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xr:revisionPtr revIDLastSave="0" documentId="13_ncr:1_{A3190C19-75DF-1849-B4EE-73DDBD10F9E6}" xr6:coauthVersionLast="47" xr6:coauthVersionMax="47" xr10:uidLastSave="{00000000-0000-0000-0000-000000000000}"/>
  <bookViews>
    <workbookView xWindow="0" yWindow="600" windowWidth="51200" windowHeight="26460" xr2:uid="{00000000-000D-0000-FFFF-FFFF00000000}"/>
  </bookViews>
  <sheets>
    <sheet name="Start Here" sheetId="1" r:id="rId1"/>
    <sheet name="Setup" sheetId="2" r:id="rId2"/>
    <sheet name="Roster" sheetId="3" r:id="rId3"/>
    <sheet name="Anniversary Calendar" sheetId="4" r:id="rId4"/>
    <sheet name="Order Calendar" sheetId="5" r:id="rId5"/>
    <sheet name="Budget" sheetId="6" r:id="rId6"/>
    <sheet name="Calc" sheetId="7"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505" i="7" l="1"/>
  <c r="AQ505" i="7" s="1"/>
  <c r="AR505" i="7" s="1"/>
  <c r="AS505" i="7" s="1"/>
  <c r="P505" i="7"/>
  <c r="AF505" i="7" s="1"/>
  <c r="O505" i="7"/>
  <c r="AE505" i="7" s="1"/>
  <c r="N505" i="7"/>
  <c r="AD505" i="7" s="1"/>
  <c r="M505" i="7"/>
  <c r="AC505" i="7" s="1"/>
  <c r="L505" i="7"/>
  <c r="AB505" i="7" s="1"/>
  <c r="K505" i="7"/>
  <c r="AA505" i="7" s="1"/>
  <c r="J505" i="7"/>
  <c r="Z505" i="7" s="1"/>
  <c r="I505" i="7"/>
  <c r="Y505" i="7" s="1"/>
  <c r="H505" i="7"/>
  <c r="X505" i="7" s="1"/>
  <c r="G505" i="7"/>
  <c r="W505" i="7" s="1"/>
  <c r="F505" i="7"/>
  <c r="V505" i="7" s="1"/>
  <c r="E505" i="7"/>
  <c r="U505" i="7" s="1"/>
  <c r="D505" i="7"/>
  <c r="T505" i="7" s="1"/>
  <c r="C505" i="7"/>
  <c r="S505" i="7" s="1"/>
  <c r="B505" i="7"/>
  <c r="R505" i="7" s="1"/>
  <c r="AH505" i="7" s="1"/>
  <c r="AI505" i="7" s="1"/>
  <c r="AP504" i="7"/>
  <c r="AQ504" i="7" s="1"/>
  <c r="AR504" i="7" s="1"/>
  <c r="AS504" i="7" s="1"/>
  <c r="P504" i="7"/>
  <c r="AF504" i="7" s="1"/>
  <c r="O504" i="7"/>
  <c r="AE504" i="7" s="1"/>
  <c r="N504" i="7"/>
  <c r="AD504" i="7" s="1"/>
  <c r="M504" i="7"/>
  <c r="AC504" i="7" s="1"/>
  <c r="L504" i="7"/>
  <c r="AB504" i="7" s="1"/>
  <c r="K504" i="7"/>
  <c r="AA504" i="7" s="1"/>
  <c r="J504" i="7"/>
  <c r="Z504" i="7" s="1"/>
  <c r="I504" i="7"/>
  <c r="Y504" i="7" s="1"/>
  <c r="H504" i="7"/>
  <c r="X504" i="7" s="1"/>
  <c r="G504" i="7"/>
  <c r="W504" i="7" s="1"/>
  <c r="F504" i="7"/>
  <c r="V504" i="7" s="1"/>
  <c r="E504" i="7"/>
  <c r="U504" i="7" s="1"/>
  <c r="D504" i="7"/>
  <c r="T504" i="7" s="1"/>
  <c r="C504" i="7"/>
  <c r="S504" i="7" s="1"/>
  <c r="B504" i="7"/>
  <c r="R504" i="7" s="1"/>
  <c r="AH504" i="7" s="1"/>
  <c r="AI504" i="7" s="1"/>
  <c r="AP503" i="7"/>
  <c r="AQ503" i="7" s="1"/>
  <c r="AR503" i="7" s="1"/>
  <c r="AS503" i="7" s="1"/>
  <c r="P503" i="7"/>
  <c r="AF503" i="7" s="1"/>
  <c r="O503" i="7"/>
  <c r="AE503" i="7" s="1"/>
  <c r="N503" i="7"/>
  <c r="AD503" i="7" s="1"/>
  <c r="M503" i="7"/>
  <c r="AC503" i="7" s="1"/>
  <c r="L503" i="7"/>
  <c r="AB503" i="7" s="1"/>
  <c r="K503" i="7"/>
  <c r="AA503" i="7" s="1"/>
  <c r="J503" i="7"/>
  <c r="Z503" i="7" s="1"/>
  <c r="I503" i="7"/>
  <c r="Y503" i="7" s="1"/>
  <c r="H503" i="7"/>
  <c r="X503" i="7" s="1"/>
  <c r="G503" i="7"/>
  <c r="W503" i="7" s="1"/>
  <c r="F503" i="7"/>
  <c r="V503" i="7" s="1"/>
  <c r="E503" i="7"/>
  <c r="U503" i="7" s="1"/>
  <c r="D503" i="7"/>
  <c r="T503" i="7" s="1"/>
  <c r="C503" i="7"/>
  <c r="S503" i="7" s="1"/>
  <c r="B503" i="7"/>
  <c r="R503" i="7" s="1"/>
  <c r="AP502" i="7"/>
  <c r="AQ502" i="7" s="1"/>
  <c r="AR502" i="7" s="1"/>
  <c r="AS502" i="7" s="1"/>
  <c r="P502" i="7"/>
  <c r="AF502" i="7" s="1"/>
  <c r="O502" i="7"/>
  <c r="AE502" i="7" s="1"/>
  <c r="N502" i="7"/>
  <c r="AD502" i="7" s="1"/>
  <c r="M502" i="7"/>
  <c r="AC502" i="7" s="1"/>
  <c r="L502" i="7"/>
  <c r="AB502" i="7" s="1"/>
  <c r="K502" i="7"/>
  <c r="AA502" i="7" s="1"/>
  <c r="J502" i="7"/>
  <c r="Z502" i="7" s="1"/>
  <c r="I502" i="7"/>
  <c r="Y502" i="7" s="1"/>
  <c r="H502" i="7"/>
  <c r="X502" i="7" s="1"/>
  <c r="G502" i="7"/>
  <c r="W502" i="7" s="1"/>
  <c r="F502" i="7"/>
  <c r="V502" i="7" s="1"/>
  <c r="E502" i="7"/>
  <c r="U502" i="7" s="1"/>
  <c r="D502" i="7"/>
  <c r="T502" i="7" s="1"/>
  <c r="C502" i="7"/>
  <c r="S502" i="7" s="1"/>
  <c r="B502" i="7"/>
  <c r="R502" i="7" s="1"/>
  <c r="AP501" i="7"/>
  <c r="AQ501" i="7" s="1"/>
  <c r="AR501" i="7" s="1"/>
  <c r="AS501" i="7" s="1"/>
  <c r="P501" i="7"/>
  <c r="AF501" i="7" s="1"/>
  <c r="O501" i="7"/>
  <c r="AE501" i="7" s="1"/>
  <c r="N501" i="7"/>
  <c r="AD501" i="7" s="1"/>
  <c r="M501" i="7"/>
  <c r="AC501" i="7" s="1"/>
  <c r="L501" i="7"/>
  <c r="AB501" i="7" s="1"/>
  <c r="K501" i="7"/>
  <c r="AA501" i="7" s="1"/>
  <c r="J501" i="7"/>
  <c r="Z501" i="7" s="1"/>
  <c r="I501" i="7"/>
  <c r="Y501" i="7" s="1"/>
  <c r="H501" i="7"/>
  <c r="X501" i="7" s="1"/>
  <c r="G501" i="7"/>
  <c r="W501" i="7" s="1"/>
  <c r="F501" i="7"/>
  <c r="V501" i="7" s="1"/>
  <c r="E501" i="7"/>
  <c r="U501" i="7" s="1"/>
  <c r="D501" i="7"/>
  <c r="T501" i="7" s="1"/>
  <c r="C501" i="7"/>
  <c r="S501" i="7" s="1"/>
  <c r="B501" i="7"/>
  <c r="R501" i="7" s="1"/>
  <c r="AP500" i="7"/>
  <c r="AQ500" i="7" s="1"/>
  <c r="AR500" i="7" s="1"/>
  <c r="AS500" i="7" s="1"/>
  <c r="P500" i="7"/>
  <c r="AF500" i="7" s="1"/>
  <c r="O500" i="7"/>
  <c r="AE500" i="7" s="1"/>
  <c r="N500" i="7"/>
  <c r="AD500" i="7" s="1"/>
  <c r="M500" i="7"/>
  <c r="AC500" i="7" s="1"/>
  <c r="L500" i="7"/>
  <c r="AB500" i="7" s="1"/>
  <c r="K500" i="7"/>
  <c r="AA500" i="7" s="1"/>
  <c r="J500" i="7"/>
  <c r="Z500" i="7" s="1"/>
  <c r="I500" i="7"/>
  <c r="Y500" i="7" s="1"/>
  <c r="H500" i="7"/>
  <c r="X500" i="7" s="1"/>
  <c r="G500" i="7"/>
  <c r="W500" i="7" s="1"/>
  <c r="F500" i="7"/>
  <c r="V500" i="7" s="1"/>
  <c r="E500" i="7"/>
  <c r="U500" i="7" s="1"/>
  <c r="D500" i="7"/>
  <c r="T500" i="7" s="1"/>
  <c r="C500" i="7"/>
  <c r="S500" i="7" s="1"/>
  <c r="B500" i="7"/>
  <c r="R500" i="7" s="1"/>
  <c r="AP499" i="7"/>
  <c r="AQ499" i="7" s="1"/>
  <c r="AR499" i="7" s="1"/>
  <c r="AS499" i="7" s="1"/>
  <c r="P499" i="7"/>
  <c r="AF499" i="7" s="1"/>
  <c r="O499" i="7"/>
  <c r="AE499" i="7" s="1"/>
  <c r="N499" i="7"/>
  <c r="AD499" i="7" s="1"/>
  <c r="M499" i="7"/>
  <c r="AC499" i="7" s="1"/>
  <c r="L499" i="7"/>
  <c r="AB499" i="7" s="1"/>
  <c r="K499" i="7"/>
  <c r="AA499" i="7" s="1"/>
  <c r="J499" i="7"/>
  <c r="Z499" i="7" s="1"/>
  <c r="I499" i="7"/>
  <c r="Y499" i="7" s="1"/>
  <c r="H499" i="7"/>
  <c r="X499" i="7" s="1"/>
  <c r="G499" i="7"/>
  <c r="W499" i="7" s="1"/>
  <c r="F499" i="7"/>
  <c r="V499" i="7" s="1"/>
  <c r="E499" i="7"/>
  <c r="U499" i="7" s="1"/>
  <c r="D499" i="7"/>
  <c r="T499" i="7" s="1"/>
  <c r="C499" i="7"/>
  <c r="S499" i="7" s="1"/>
  <c r="B499" i="7"/>
  <c r="R499" i="7" s="1"/>
  <c r="AH499" i="7" s="1"/>
  <c r="AI499" i="7" s="1"/>
  <c r="AP498" i="7"/>
  <c r="AQ498" i="7" s="1"/>
  <c r="AR498" i="7" s="1"/>
  <c r="AS498" i="7" s="1"/>
  <c r="P498" i="7"/>
  <c r="AF498" i="7" s="1"/>
  <c r="O498" i="7"/>
  <c r="AE498" i="7" s="1"/>
  <c r="N498" i="7"/>
  <c r="AD498" i="7" s="1"/>
  <c r="M498" i="7"/>
  <c r="AC498" i="7" s="1"/>
  <c r="L498" i="7"/>
  <c r="AB498" i="7" s="1"/>
  <c r="K498" i="7"/>
  <c r="AA498" i="7" s="1"/>
  <c r="J498" i="7"/>
  <c r="Z498" i="7" s="1"/>
  <c r="I498" i="7"/>
  <c r="Y498" i="7" s="1"/>
  <c r="H498" i="7"/>
  <c r="X498" i="7" s="1"/>
  <c r="G498" i="7"/>
  <c r="W498" i="7" s="1"/>
  <c r="F498" i="7"/>
  <c r="V498" i="7" s="1"/>
  <c r="E498" i="7"/>
  <c r="U498" i="7" s="1"/>
  <c r="D498" i="7"/>
  <c r="T498" i="7" s="1"/>
  <c r="C498" i="7"/>
  <c r="S498" i="7" s="1"/>
  <c r="B498" i="7"/>
  <c r="R498" i="7" s="1"/>
  <c r="AP497" i="7"/>
  <c r="AQ497" i="7" s="1"/>
  <c r="AR497" i="7" s="1"/>
  <c r="AS497" i="7" s="1"/>
  <c r="P497" i="7"/>
  <c r="AF497" i="7" s="1"/>
  <c r="O497" i="7"/>
  <c r="AE497" i="7" s="1"/>
  <c r="N497" i="7"/>
  <c r="AD497" i="7" s="1"/>
  <c r="M497" i="7"/>
  <c r="AC497" i="7" s="1"/>
  <c r="L497" i="7"/>
  <c r="AB497" i="7" s="1"/>
  <c r="K497" i="7"/>
  <c r="AA497" i="7" s="1"/>
  <c r="J497" i="7"/>
  <c r="Z497" i="7" s="1"/>
  <c r="I497" i="7"/>
  <c r="Y497" i="7" s="1"/>
  <c r="H497" i="7"/>
  <c r="X497" i="7" s="1"/>
  <c r="G497" i="7"/>
  <c r="W497" i="7" s="1"/>
  <c r="F497" i="7"/>
  <c r="V497" i="7" s="1"/>
  <c r="E497" i="7"/>
  <c r="U497" i="7" s="1"/>
  <c r="D497" i="7"/>
  <c r="T497" i="7" s="1"/>
  <c r="C497" i="7"/>
  <c r="S497" i="7" s="1"/>
  <c r="B497" i="7"/>
  <c r="R497" i="7" s="1"/>
  <c r="AH497" i="7" s="1"/>
  <c r="AI497" i="7" s="1"/>
  <c r="AP496" i="7"/>
  <c r="AQ496" i="7" s="1"/>
  <c r="AR496" i="7" s="1"/>
  <c r="AS496" i="7" s="1"/>
  <c r="P496" i="7"/>
  <c r="AF496" i="7" s="1"/>
  <c r="O496" i="7"/>
  <c r="AE496" i="7" s="1"/>
  <c r="N496" i="7"/>
  <c r="AD496" i="7" s="1"/>
  <c r="M496" i="7"/>
  <c r="AC496" i="7" s="1"/>
  <c r="L496" i="7"/>
  <c r="AB496" i="7" s="1"/>
  <c r="K496" i="7"/>
  <c r="AA496" i="7" s="1"/>
  <c r="J496" i="7"/>
  <c r="Z496" i="7" s="1"/>
  <c r="I496" i="7"/>
  <c r="Y496" i="7" s="1"/>
  <c r="H496" i="7"/>
  <c r="X496" i="7" s="1"/>
  <c r="G496" i="7"/>
  <c r="W496" i="7" s="1"/>
  <c r="F496" i="7"/>
  <c r="V496" i="7" s="1"/>
  <c r="E496" i="7"/>
  <c r="U496" i="7" s="1"/>
  <c r="D496" i="7"/>
  <c r="T496" i="7" s="1"/>
  <c r="C496" i="7"/>
  <c r="S496" i="7" s="1"/>
  <c r="B496" i="7"/>
  <c r="R496" i="7" s="1"/>
  <c r="AP495" i="7"/>
  <c r="AQ495" i="7" s="1"/>
  <c r="AR495" i="7" s="1"/>
  <c r="AS495" i="7" s="1"/>
  <c r="P495" i="7"/>
  <c r="AF495" i="7" s="1"/>
  <c r="O495" i="7"/>
  <c r="AE495" i="7" s="1"/>
  <c r="N495" i="7"/>
  <c r="AD495" i="7" s="1"/>
  <c r="M495" i="7"/>
  <c r="AC495" i="7" s="1"/>
  <c r="L495" i="7"/>
  <c r="AB495" i="7" s="1"/>
  <c r="K495" i="7"/>
  <c r="AA495" i="7" s="1"/>
  <c r="J495" i="7"/>
  <c r="Z495" i="7" s="1"/>
  <c r="I495" i="7"/>
  <c r="Y495" i="7" s="1"/>
  <c r="H495" i="7"/>
  <c r="X495" i="7" s="1"/>
  <c r="G495" i="7"/>
  <c r="W495" i="7" s="1"/>
  <c r="F495" i="7"/>
  <c r="V495" i="7" s="1"/>
  <c r="E495" i="7"/>
  <c r="U495" i="7" s="1"/>
  <c r="D495" i="7"/>
  <c r="T495" i="7" s="1"/>
  <c r="C495" i="7"/>
  <c r="S495" i="7" s="1"/>
  <c r="B495" i="7"/>
  <c r="R495" i="7" s="1"/>
  <c r="AH495" i="7" s="1"/>
  <c r="AI495" i="7" s="1"/>
  <c r="AP494" i="7"/>
  <c r="AQ494" i="7" s="1"/>
  <c r="AR494" i="7" s="1"/>
  <c r="AS494" i="7" s="1"/>
  <c r="P494" i="7"/>
  <c r="AF494" i="7" s="1"/>
  <c r="O494" i="7"/>
  <c r="AE494" i="7" s="1"/>
  <c r="N494" i="7"/>
  <c r="AD494" i="7" s="1"/>
  <c r="M494" i="7"/>
  <c r="AC494" i="7" s="1"/>
  <c r="L494" i="7"/>
  <c r="AB494" i="7" s="1"/>
  <c r="K494" i="7"/>
  <c r="AA494" i="7" s="1"/>
  <c r="J494" i="7"/>
  <c r="Z494" i="7" s="1"/>
  <c r="I494" i="7"/>
  <c r="Y494" i="7" s="1"/>
  <c r="H494" i="7"/>
  <c r="X494" i="7" s="1"/>
  <c r="G494" i="7"/>
  <c r="W494" i="7" s="1"/>
  <c r="F494" i="7"/>
  <c r="V494" i="7" s="1"/>
  <c r="E494" i="7"/>
  <c r="U494" i="7" s="1"/>
  <c r="D494" i="7"/>
  <c r="T494" i="7" s="1"/>
  <c r="C494" i="7"/>
  <c r="S494" i="7" s="1"/>
  <c r="B494" i="7"/>
  <c r="R494" i="7" s="1"/>
  <c r="AP493" i="7"/>
  <c r="AQ493" i="7" s="1"/>
  <c r="AR493" i="7" s="1"/>
  <c r="AS493" i="7" s="1"/>
  <c r="P493" i="7"/>
  <c r="AF493" i="7" s="1"/>
  <c r="O493" i="7"/>
  <c r="AE493" i="7" s="1"/>
  <c r="N493" i="7"/>
  <c r="AD493" i="7" s="1"/>
  <c r="M493" i="7"/>
  <c r="AC493" i="7" s="1"/>
  <c r="L493" i="7"/>
  <c r="AB493" i="7" s="1"/>
  <c r="K493" i="7"/>
  <c r="AA493" i="7" s="1"/>
  <c r="J493" i="7"/>
  <c r="Z493" i="7" s="1"/>
  <c r="I493" i="7"/>
  <c r="Y493" i="7" s="1"/>
  <c r="H493" i="7"/>
  <c r="X493" i="7" s="1"/>
  <c r="G493" i="7"/>
  <c r="W493" i="7" s="1"/>
  <c r="F493" i="7"/>
  <c r="V493" i="7" s="1"/>
  <c r="E493" i="7"/>
  <c r="U493" i="7" s="1"/>
  <c r="D493" i="7"/>
  <c r="T493" i="7" s="1"/>
  <c r="C493" i="7"/>
  <c r="S493" i="7" s="1"/>
  <c r="B493" i="7"/>
  <c r="R493" i="7" s="1"/>
  <c r="AH493" i="7" s="1"/>
  <c r="AI493" i="7" s="1"/>
  <c r="AP492" i="7"/>
  <c r="AQ492" i="7" s="1"/>
  <c r="AR492" i="7" s="1"/>
  <c r="AS492" i="7" s="1"/>
  <c r="P492" i="7"/>
  <c r="AF492" i="7" s="1"/>
  <c r="O492" i="7"/>
  <c r="AE492" i="7" s="1"/>
  <c r="N492" i="7"/>
  <c r="AD492" i="7" s="1"/>
  <c r="M492" i="7"/>
  <c r="AC492" i="7" s="1"/>
  <c r="L492" i="7"/>
  <c r="AB492" i="7" s="1"/>
  <c r="K492" i="7"/>
  <c r="AA492" i="7" s="1"/>
  <c r="J492" i="7"/>
  <c r="Z492" i="7" s="1"/>
  <c r="I492" i="7"/>
  <c r="Y492" i="7" s="1"/>
  <c r="H492" i="7"/>
  <c r="X492" i="7" s="1"/>
  <c r="G492" i="7"/>
  <c r="W492" i="7" s="1"/>
  <c r="F492" i="7"/>
  <c r="V492" i="7" s="1"/>
  <c r="E492" i="7"/>
  <c r="U492" i="7" s="1"/>
  <c r="D492" i="7"/>
  <c r="T492" i="7" s="1"/>
  <c r="C492" i="7"/>
  <c r="S492" i="7" s="1"/>
  <c r="B492" i="7"/>
  <c r="R492" i="7" s="1"/>
  <c r="AH492" i="7" s="1"/>
  <c r="AI492" i="7" s="1"/>
  <c r="AP491" i="7"/>
  <c r="AQ491" i="7" s="1"/>
  <c r="AR491" i="7" s="1"/>
  <c r="AS491" i="7" s="1"/>
  <c r="P491" i="7"/>
  <c r="AF491" i="7" s="1"/>
  <c r="O491" i="7"/>
  <c r="AE491" i="7" s="1"/>
  <c r="N491" i="7"/>
  <c r="AD491" i="7" s="1"/>
  <c r="M491" i="7"/>
  <c r="AC491" i="7" s="1"/>
  <c r="L491" i="7"/>
  <c r="AB491" i="7" s="1"/>
  <c r="K491" i="7"/>
  <c r="AA491" i="7" s="1"/>
  <c r="J491" i="7"/>
  <c r="Z491" i="7" s="1"/>
  <c r="I491" i="7"/>
  <c r="Y491" i="7" s="1"/>
  <c r="H491" i="7"/>
  <c r="X491" i="7" s="1"/>
  <c r="G491" i="7"/>
  <c r="W491" i="7" s="1"/>
  <c r="F491" i="7"/>
  <c r="V491" i="7" s="1"/>
  <c r="E491" i="7"/>
  <c r="U491" i="7" s="1"/>
  <c r="D491" i="7"/>
  <c r="T491" i="7" s="1"/>
  <c r="C491" i="7"/>
  <c r="S491" i="7" s="1"/>
  <c r="B491" i="7"/>
  <c r="R491" i="7" s="1"/>
  <c r="AP490" i="7"/>
  <c r="AQ490" i="7" s="1"/>
  <c r="AR490" i="7" s="1"/>
  <c r="AS490" i="7" s="1"/>
  <c r="P490" i="7"/>
  <c r="AF490" i="7" s="1"/>
  <c r="O490" i="7"/>
  <c r="AE490" i="7" s="1"/>
  <c r="N490" i="7"/>
  <c r="AD490" i="7" s="1"/>
  <c r="M490" i="7"/>
  <c r="AC490" i="7" s="1"/>
  <c r="L490" i="7"/>
  <c r="AB490" i="7" s="1"/>
  <c r="K490" i="7"/>
  <c r="AA490" i="7" s="1"/>
  <c r="J490" i="7"/>
  <c r="Z490" i="7" s="1"/>
  <c r="I490" i="7"/>
  <c r="Y490" i="7" s="1"/>
  <c r="H490" i="7"/>
  <c r="X490" i="7" s="1"/>
  <c r="G490" i="7"/>
  <c r="W490" i="7" s="1"/>
  <c r="F490" i="7"/>
  <c r="V490" i="7" s="1"/>
  <c r="E490" i="7"/>
  <c r="U490" i="7" s="1"/>
  <c r="D490" i="7"/>
  <c r="T490" i="7" s="1"/>
  <c r="C490" i="7"/>
  <c r="S490" i="7" s="1"/>
  <c r="B490" i="7"/>
  <c r="R490" i="7" s="1"/>
  <c r="AP489" i="7"/>
  <c r="AQ489" i="7" s="1"/>
  <c r="AR489" i="7" s="1"/>
  <c r="AS489" i="7" s="1"/>
  <c r="P489" i="7"/>
  <c r="AF489" i="7" s="1"/>
  <c r="O489" i="7"/>
  <c r="AE489" i="7" s="1"/>
  <c r="N489" i="7"/>
  <c r="AD489" i="7" s="1"/>
  <c r="M489" i="7"/>
  <c r="AC489" i="7" s="1"/>
  <c r="L489" i="7"/>
  <c r="AB489" i="7" s="1"/>
  <c r="K489" i="7"/>
  <c r="AA489" i="7" s="1"/>
  <c r="J489" i="7"/>
  <c r="Z489" i="7" s="1"/>
  <c r="I489" i="7"/>
  <c r="Y489" i="7" s="1"/>
  <c r="H489" i="7"/>
  <c r="X489" i="7" s="1"/>
  <c r="G489" i="7"/>
  <c r="W489" i="7" s="1"/>
  <c r="F489" i="7"/>
  <c r="V489" i="7" s="1"/>
  <c r="E489" i="7"/>
  <c r="U489" i="7" s="1"/>
  <c r="D489" i="7"/>
  <c r="T489" i="7" s="1"/>
  <c r="C489" i="7"/>
  <c r="S489" i="7" s="1"/>
  <c r="B489" i="7"/>
  <c r="R489" i="7" s="1"/>
  <c r="AP488" i="7"/>
  <c r="AQ488" i="7" s="1"/>
  <c r="AR488" i="7" s="1"/>
  <c r="AS488" i="7" s="1"/>
  <c r="P488" i="7"/>
  <c r="AF488" i="7" s="1"/>
  <c r="O488" i="7"/>
  <c r="AE488" i="7" s="1"/>
  <c r="N488" i="7"/>
  <c r="AD488" i="7" s="1"/>
  <c r="M488" i="7"/>
  <c r="AC488" i="7" s="1"/>
  <c r="L488" i="7"/>
  <c r="AB488" i="7" s="1"/>
  <c r="K488" i="7"/>
  <c r="AA488" i="7" s="1"/>
  <c r="J488" i="7"/>
  <c r="Z488" i="7" s="1"/>
  <c r="I488" i="7"/>
  <c r="Y488" i="7" s="1"/>
  <c r="H488" i="7"/>
  <c r="X488" i="7" s="1"/>
  <c r="G488" i="7"/>
  <c r="W488" i="7" s="1"/>
  <c r="F488" i="7"/>
  <c r="V488" i="7" s="1"/>
  <c r="E488" i="7"/>
  <c r="U488" i="7" s="1"/>
  <c r="D488" i="7"/>
  <c r="T488" i="7" s="1"/>
  <c r="C488" i="7"/>
  <c r="S488" i="7" s="1"/>
  <c r="B488" i="7"/>
  <c r="R488" i="7" s="1"/>
  <c r="AP487" i="7"/>
  <c r="AQ487" i="7" s="1"/>
  <c r="AR487" i="7" s="1"/>
  <c r="AS487" i="7" s="1"/>
  <c r="P487" i="7"/>
  <c r="AF487" i="7" s="1"/>
  <c r="O487" i="7"/>
  <c r="AE487" i="7" s="1"/>
  <c r="N487" i="7"/>
  <c r="AD487" i="7" s="1"/>
  <c r="M487" i="7"/>
  <c r="AC487" i="7" s="1"/>
  <c r="L487" i="7"/>
  <c r="AB487" i="7" s="1"/>
  <c r="K487" i="7"/>
  <c r="AA487" i="7" s="1"/>
  <c r="J487" i="7"/>
  <c r="Z487" i="7" s="1"/>
  <c r="I487" i="7"/>
  <c r="Y487" i="7" s="1"/>
  <c r="H487" i="7"/>
  <c r="X487" i="7" s="1"/>
  <c r="G487" i="7"/>
  <c r="W487" i="7" s="1"/>
  <c r="F487" i="7"/>
  <c r="V487" i="7" s="1"/>
  <c r="E487" i="7"/>
  <c r="U487" i="7" s="1"/>
  <c r="D487" i="7"/>
  <c r="T487" i="7" s="1"/>
  <c r="C487" i="7"/>
  <c r="S487" i="7" s="1"/>
  <c r="B487" i="7"/>
  <c r="R487" i="7" s="1"/>
  <c r="AP486" i="7"/>
  <c r="AQ486" i="7" s="1"/>
  <c r="AR486" i="7" s="1"/>
  <c r="AS486" i="7" s="1"/>
  <c r="P486" i="7"/>
  <c r="AF486" i="7" s="1"/>
  <c r="O486" i="7"/>
  <c r="AE486" i="7" s="1"/>
  <c r="N486" i="7"/>
  <c r="AD486" i="7" s="1"/>
  <c r="M486" i="7"/>
  <c r="AC486" i="7" s="1"/>
  <c r="L486" i="7"/>
  <c r="AB486" i="7" s="1"/>
  <c r="K486" i="7"/>
  <c r="AA486" i="7" s="1"/>
  <c r="J486" i="7"/>
  <c r="Z486" i="7" s="1"/>
  <c r="I486" i="7"/>
  <c r="Y486" i="7" s="1"/>
  <c r="H486" i="7"/>
  <c r="X486" i="7" s="1"/>
  <c r="G486" i="7"/>
  <c r="W486" i="7" s="1"/>
  <c r="F486" i="7"/>
  <c r="V486" i="7" s="1"/>
  <c r="E486" i="7"/>
  <c r="U486" i="7" s="1"/>
  <c r="D486" i="7"/>
  <c r="T486" i="7" s="1"/>
  <c r="C486" i="7"/>
  <c r="S486" i="7" s="1"/>
  <c r="B486" i="7"/>
  <c r="R486" i="7" s="1"/>
  <c r="AH486" i="7" s="1"/>
  <c r="AI486" i="7" s="1"/>
  <c r="AP485" i="7"/>
  <c r="AQ485" i="7" s="1"/>
  <c r="AR485" i="7" s="1"/>
  <c r="AS485" i="7" s="1"/>
  <c r="P485" i="7"/>
  <c r="AF485" i="7" s="1"/>
  <c r="O485" i="7"/>
  <c r="AE485" i="7" s="1"/>
  <c r="N485" i="7"/>
  <c r="AD485" i="7" s="1"/>
  <c r="M485" i="7"/>
  <c r="AC485" i="7" s="1"/>
  <c r="L485" i="7"/>
  <c r="AB485" i="7" s="1"/>
  <c r="K485" i="7"/>
  <c r="AA485" i="7" s="1"/>
  <c r="J485" i="7"/>
  <c r="Z485" i="7" s="1"/>
  <c r="I485" i="7"/>
  <c r="Y485" i="7" s="1"/>
  <c r="H485" i="7"/>
  <c r="X485" i="7" s="1"/>
  <c r="G485" i="7"/>
  <c r="W485" i="7" s="1"/>
  <c r="F485" i="7"/>
  <c r="V485" i="7" s="1"/>
  <c r="E485" i="7"/>
  <c r="U485" i="7" s="1"/>
  <c r="D485" i="7"/>
  <c r="T485" i="7" s="1"/>
  <c r="C485" i="7"/>
  <c r="S485" i="7" s="1"/>
  <c r="B485" i="7"/>
  <c r="R485" i="7" s="1"/>
  <c r="AP484" i="7"/>
  <c r="AQ484" i="7" s="1"/>
  <c r="AR484" i="7" s="1"/>
  <c r="AS484" i="7" s="1"/>
  <c r="P484" i="7"/>
  <c r="AF484" i="7" s="1"/>
  <c r="O484" i="7"/>
  <c r="AE484" i="7" s="1"/>
  <c r="N484" i="7"/>
  <c r="AD484" i="7" s="1"/>
  <c r="M484" i="7"/>
  <c r="AC484" i="7" s="1"/>
  <c r="L484" i="7"/>
  <c r="AB484" i="7" s="1"/>
  <c r="K484" i="7"/>
  <c r="AA484" i="7" s="1"/>
  <c r="J484" i="7"/>
  <c r="Z484" i="7" s="1"/>
  <c r="I484" i="7"/>
  <c r="Y484" i="7" s="1"/>
  <c r="H484" i="7"/>
  <c r="X484" i="7" s="1"/>
  <c r="G484" i="7"/>
  <c r="W484" i="7" s="1"/>
  <c r="F484" i="7"/>
  <c r="V484" i="7" s="1"/>
  <c r="E484" i="7"/>
  <c r="U484" i="7" s="1"/>
  <c r="D484" i="7"/>
  <c r="T484" i="7" s="1"/>
  <c r="C484" i="7"/>
  <c r="S484" i="7" s="1"/>
  <c r="B484" i="7"/>
  <c r="R484" i="7" s="1"/>
  <c r="AH484" i="7" s="1"/>
  <c r="AI484" i="7" s="1"/>
  <c r="AP483" i="7"/>
  <c r="AQ483" i="7" s="1"/>
  <c r="AR483" i="7" s="1"/>
  <c r="AS483" i="7" s="1"/>
  <c r="P483" i="7"/>
  <c r="AF483" i="7" s="1"/>
  <c r="O483" i="7"/>
  <c r="AE483" i="7" s="1"/>
  <c r="N483" i="7"/>
  <c r="AD483" i="7" s="1"/>
  <c r="M483" i="7"/>
  <c r="AC483" i="7" s="1"/>
  <c r="L483" i="7"/>
  <c r="AB483" i="7" s="1"/>
  <c r="K483" i="7"/>
  <c r="AA483" i="7" s="1"/>
  <c r="J483" i="7"/>
  <c r="Z483" i="7" s="1"/>
  <c r="I483" i="7"/>
  <c r="Y483" i="7" s="1"/>
  <c r="H483" i="7"/>
  <c r="X483" i="7" s="1"/>
  <c r="G483" i="7"/>
  <c r="W483" i="7" s="1"/>
  <c r="F483" i="7"/>
  <c r="V483" i="7" s="1"/>
  <c r="E483" i="7"/>
  <c r="U483" i="7" s="1"/>
  <c r="D483" i="7"/>
  <c r="T483" i="7" s="1"/>
  <c r="C483" i="7"/>
  <c r="S483" i="7" s="1"/>
  <c r="B483" i="7"/>
  <c r="R483" i="7" s="1"/>
  <c r="AP482" i="7"/>
  <c r="AQ482" i="7" s="1"/>
  <c r="AR482" i="7" s="1"/>
  <c r="AS482" i="7" s="1"/>
  <c r="P482" i="7"/>
  <c r="AF482" i="7" s="1"/>
  <c r="O482" i="7"/>
  <c r="AE482" i="7" s="1"/>
  <c r="N482" i="7"/>
  <c r="AD482" i="7" s="1"/>
  <c r="M482" i="7"/>
  <c r="AC482" i="7" s="1"/>
  <c r="L482" i="7"/>
  <c r="AB482" i="7" s="1"/>
  <c r="K482" i="7"/>
  <c r="AA482" i="7" s="1"/>
  <c r="J482" i="7"/>
  <c r="Z482" i="7" s="1"/>
  <c r="I482" i="7"/>
  <c r="Y482" i="7" s="1"/>
  <c r="H482" i="7"/>
  <c r="X482" i="7" s="1"/>
  <c r="G482" i="7"/>
  <c r="W482" i="7" s="1"/>
  <c r="F482" i="7"/>
  <c r="V482" i="7" s="1"/>
  <c r="E482" i="7"/>
  <c r="U482" i="7" s="1"/>
  <c r="D482" i="7"/>
  <c r="T482" i="7" s="1"/>
  <c r="C482" i="7"/>
  <c r="S482" i="7" s="1"/>
  <c r="B482" i="7"/>
  <c r="R482" i="7" s="1"/>
  <c r="AP481" i="7"/>
  <c r="AQ481" i="7" s="1"/>
  <c r="AR481" i="7" s="1"/>
  <c r="AS481" i="7" s="1"/>
  <c r="P481" i="7"/>
  <c r="AF481" i="7" s="1"/>
  <c r="O481" i="7"/>
  <c r="AE481" i="7" s="1"/>
  <c r="N481" i="7"/>
  <c r="AD481" i="7" s="1"/>
  <c r="M481" i="7"/>
  <c r="AC481" i="7" s="1"/>
  <c r="L481" i="7"/>
  <c r="AB481" i="7" s="1"/>
  <c r="K481" i="7"/>
  <c r="AA481" i="7" s="1"/>
  <c r="J481" i="7"/>
  <c r="Z481" i="7" s="1"/>
  <c r="I481" i="7"/>
  <c r="Y481" i="7" s="1"/>
  <c r="H481" i="7"/>
  <c r="X481" i="7" s="1"/>
  <c r="G481" i="7"/>
  <c r="W481" i="7" s="1"/>
  <c r="F481" i="7"/>
  <c r="V481" i="7" s="1"/>
  <c r="E481" i="7"/>
  <c r="U481" i="7" s="1"/>
  <c r="D481" i="7"/>
  <c r="T481" i="7" s="1"/>
  <c r="C481" i="7"/>
  <c r="S481" i="7" s="1"/>
  <c r="B481" i="7"/>
  <c r="R481" i="7" s="1"/>
  <c r="AP480" i="7"/>
  <c r="AQ480" i="7" s="1"/>
  <c r="AR480" i="7" s="1"/>
  <c r="AS480" i="7" s="1"/>
  <c r="P480" i="7"/>
  <c r="AF480" i="7" s="1"/>
  <c r="O480" i="7"/>
  <c r="AE480" i="7" s="1"/>
  <c r="N480" i="7"/>
  <c r="AD480" i="7" s="1"/>
  <c r="M480" i="7"/>
  <c r="AC480" i="7" s="1"/>
  <c r="L480" i="7"/>
  <c r="AB480" i="7" s="1"/>
  <c r="K480" i="7"/>
  <c r="AA480" i="7" s="1"/>
  <c r="J480" i="7"/>
  <c r="Z480" i="7" s="1"/>
  <c r="I480" i="7"/>
  <c r="Y480" i="7" s="1"/>
  <c r="H480" i="7"/>
  <c r="X480" i="7" s="1"/>
  <c r="G480" i="7"/>
  <c r="W480" i="7" s="1"/>
  <c r="F480" i="7"/>
  <c r="V480" i="7" s="1"/>
  <c r="E480" i="7"/>
  <c r="U480" i="7" s="1"/>
  <c r="D480" i="7"/>
  <c r="T480" i="7" s="1"/>
  <c r="C480" i="7"/>
  <c r="S480" i="7" s="1"/>
  <c r="B480" i="7"/>
  <c r="R480" i="7" s="1"/>
  <c r="AH480" i="7" s="1"/>
  <c r="AI480" i="7" s="1"/>
  <c r="AP479" i="7"/>
  <c r="AQ479" i="7" s="1"/>
  <c r="AR479" i="7" s="1"/>
  <c r="AS479" i="7" s="1"/>
  <c r="P479" i="7"/>
  <c r="AF479" i="7" s="1"/>
  <c r="O479" i="7"/>
  <c r="AE479" i="7" s="1"/>
  <c r="N479" i="7"/>
  <c r="AD479" i="7" s="1"/>
  <c r="M479" i="7"/>
  <c r="AC479" i="7" s="1"/>
  <c r="L479" i="7"/>
  <c r="AB479" i="7" s="1"/>
  <c r="K479" i="7"/>
  <c r="AA479" i="7" s="1"/>
  <c r="J479" i="7"/>
  <c r="Z479" i="7" s="1"/>
  <c r="I479" i="7"/>
  <c r="Y479" i="7" s="1"/>
  <c r="H479" i="7"/>
  <c r="X479" i="7" s="1"/>
  <c r="G479" i="7"/>
  <c r="W479" i="7" s="1"/>
  <c r="F479" i="7"/>
  <c r="V479" i="7" s="1"/>
  <c r="E479" i="7"/>
  <c r="U479" i="7" s="1"/>
  <c r="D479" i="7"/>
  <c r="T479" i="7" s="1"/>
  <c r="C479" i="7"/>
  <c r="S479" i="7" s="1"/>
  <c r="B479" i="7"/>
  <c r="R479" i="7" s="1"/>
  <c r="AP478" i="7"/>
  <c r="AQ478" i="7" s="1"/>
  <c r="AR478" i="7" s="1"/>
  <c r="AS478" i="7" s="1"/>
  <c r="P478" i="7"/>
  <c r="AF478" i="7" s="1"/>
  <c r="O478" i="7"/>
  <c r="AE478" i="7" s="1"/>
  <c r="N478" i="7"/>
  <c r="AD478" i="7" s="1"/>
  <c r="M478" i="7"/>
  <c r="AC478" i="7" s="1"/>
  <c r="L478" i="7"/>
  <c r="AB478" i="7" s="1"/>
  <c r="K478" i="7"/>
  <c r="AA478" i="7" s="1"/>
  <c r="J478" i="7"/>
  <c r="Z478" i="7" s="1"/>
  <c r="I478" i="7"/>
  <c r="Y478" i="7" s="1"/>
  <c r="H478" i="7"/>
  <c r="X478" i="7" s="1"/>
  <c r="G478" i="7"/>
  <c r="W478" i="7" s="1"/>
  <c r="F478" i="7"/>
  <c r="V478" i="7" s="1"/>
  <c r="E478" i="7"/>
  <c r="U478" i="7" s="1"/>
  <c r="D478" i="7"/>
  <c r="T478" i="7" s="1"/>
  <c r="C478" i="7"/>
  <c r="S478" i="7" s="1"/>
  <c r="B478" i="7"/>
  <c r="R478" i="7" s="1"/>
  <c r="AP477" i="7"/>
  <c r="AQ477" i="7" s="1"/>
  <c r="AR477" i="7" s="1"/>
  <c r="AS477" i="7" s="1"/>
  <c r="P477" i="7"/>
  <c r="AF477" i="7" s="1"/>
  <c r="O477" i="7"/>
  <c r="AE477" i="7" s="1"/>
  <c r="N477" i="7"/>
  <c r="AD477" i="7" s="1"/>
  <c r="M477" i="7"/>
  <c r="AC477" i="7" s="1"/>
  <c r="L477" i="7"/>
  <c r="AB477" i="7" s="1"/>
  <c r="K477" i="7"/>
  <c r="AA477" i="7" s="1"/>
  <c r="J477" i="7"/>
  <c r="Z477" i="7" s="1"/>
  <c r="I477" i="7"/>
  <c r="Y477" i="7" s="1"/>
  <c r="H477" i="7"/>
  <c r="X477" i="7" s="1"/>
  <c r="G477" i="7"/>
  <c r="W477" i="7" s="1"/>
  <c r="F477" i="7"/>
  <c r="V477" i="7" s="1"/>
  <c r="E477" i="7"/>
  <c r="U477" i="7" s="1"/>
  <c r="D477" i="7"/>
  <c r="T477" i="7" s="1"/>
  <c r="C477" i="7"/>
  <c r="S477" i="7" s="1"/>
  <c r="B477" i="7"/>
  <c r="R477" i="7" s="1"/>
  <c r="AH477" i="7" s="1"/>
  <c r="AI477" i="7" s="1"/>
  <c r="AP476" i="7"/>
  <c r="AQ476" i="7" s="1"/>
  <c r="AR476" i="7" s="1"/>
  <c r="AS476" i="7" s="1"/>
  <c r="P476" i="7"/>
  <c r="AF476" i="7" s="1"/>
  <c r="O476" i="7"/>
  <c r="AE476" i="7" s="1"/>
  <c r="N476" i="7"/>
  <c r="AD476" i="7" s="1"/>
  <c r="M476" i="7"/>
  <c r="AC476" i="7" s="1"/>
  <c r="L476" i="7"/>
  <c r="AB476" i="7" s="1"/>
  <c r="K476" i="7"/>
  <c r="AA476" i="7" s="1"/>
  <c r="J476" i="7"/>
  <c r="Z476" i="7" s="1"/>
  <c r="I476" i="7"/>
  <c r="Y476" i="7" s="1"/>
  <c r="H476" i="7"/>
  <c r="X476" i="7" s="1"/>
  <c r="G476" i="7"/>
  <c r="W476" i="7" s="1"/>
  <c r="F476" i="7"/>
  <c r="V476" i="7" s="1"/>
  <c r="E476" i="7"/>
  <c r="U476" i="7" s="1"/>
  <c r="D476" i="7"/>
  <c r="T476" i="7" s="1"/>
  <c r="C476" i="7"/>
  <c r="S476" i="7" s="1"/>
  <c r="B476" i="7"/>
  <c r="R476" i="7" s="1"/>
  <c r="AH476" i="7" s="1"/>
  <c r="AI476" i="7" s="1"/>
  <c r="AP475" i="7"/>
  <c r="AQ475" i="7" s="1"/>
  <c r="AR475" i="7" s="1"/>
  <c r="AS475" i="7" s="1"/>
  <c r="P475" i="7"/>
  <c r="AF475" i="7" s="1"/>
  <c r="O475" i="7"/>
  <c r="AE475" i="7" s="1"/>
  <c r="N475" i="7"/>
  <c r="AD475" i="7" s="1"/>
  <c r="M475" i="7"/>
  <c r="AC475" i="7" s="1"/>
  <c r="L475" i="7"/>
  <c r="AB475" i="7" s="1"/>
  <c r="K475" i="7"/>
  <c r="AA475" i="7" s="1"/>
  <c r="J475" i="7"/>
  <c r="Z475" i="7" s="1"/>
  <c r="I475" i="7"/>
  <c r="Y475" i="7" s="1"/>
  <c r="H475" i="7"/>
  <c r="X475" i="7" s="1"/>
  <c r="G475" i="7"/>
  <c r="W475" i="7" s="1"/>
  <c r="F475" i="7"/>
  <c r="V475" i="7" s="1"/>
  <c r="E475" i="7"/>
  <c r="U475" i="7" s="1"/>
  <c r="D475" i="7"/>
  <c r="T475" i="7" s="1"/>
  <c r="C475" i="7"/>
  <c r="S475" i="7" s="1"/>
  <c r="B475" i="7"/>
  <c r="R475" i="7" s="1"/>
  <c r="AH475" i="7" s="1"/>
  <c r="AI475" i="7" s="1"/>
  <c r="AP474" i="7"/>
  <c r="AQ474" i="7" s="1"/>
  <c r="AR474" i="7" s="1"/>
  <c r="AS474" i="7" s="1"/>
  <c r="P474" i="7"/>
  <c r="AF474" i="7" s="1"/>
  <c r="O474" i="7"/>
  <c r="AE474" i="7" s="1"/>
  <c r="N474" i="7"/>
  <c r="AD474" i="7" s="1"/>
  <c r="M474" i="7"/>
  <c r="AC474" i="7" s="1"/>
  <c r="L474" i="7"/>
  <c r="AB474" i="7" s="1"/>
  <c r="K474" i="7"/>
  <c r="AA474" i="7" s="1"/>
  <c r="J474" i="7"/>
  <c r="Z474" i="7" s="1"/>
  <c r="I474" i="7"/>
  <c r="Y474" i="7" s="1"/>
  <c r="H474" i="7"/>
  <c r="X474" i="7" s="1"/>
  <c r="G474" i="7"/>
  <c r="W474" i="7" s="1"/>
  <c r="F474" i="7"/>
  <c r="V474" i="7" s="1"/>
  <c r="E474" i="7"/>
  <c r="U474" i="7" s="1"/>
  <c r="D474" i="7"/>
  <c r="T474" i="7" s="1"/>
  <c r="C474" i="7"/>
  <c r="S474" i="7" s="1"/>
  <c r="B474" i="7"/>
  <c r="R474" i="7" s="1"/>
  <c r="AP473" i="7"/>
  <c r="AQ473" i="7" s="1"/>
  <c r="AR473" i="7" s="1"/>
  <c r="AS473" i="7" s="1"/>
  <c r="P473" i="7"/>
  <c r="AF473" i="7" s="1"/>
  <c r="O473" i="7"/>
  <c r="AE473" i="7" s="1"/>
  <c r="N473" i="7"/>
  <c r="AD473" i="7" s="1"/>
  <c r="M473" i="7"/>
  <c r="AC473" i="7" s="1"/>
  <c r="L473" i="7"/>
  <c r="AB473" i="7" s="1"/>
  <c r="K473" i="7"/>
  <c r="AA473" i="7" s="1"/>
  <c r="J473" i="7"/>
  <c r="Z473" i="7" s="1"/>
  <c r="I473" i="7"/>
  <c r="Y473" i="7" s="1"/>
  <c r="H473" i="7"/>
  <c r="X473" i="7" s="1"/>
  <c r="G473" i="7"/>
  <c r="W473" i="7" s="1"/>
  <c r="F473" i="7"/>
  <c r="V473" i="7" s="1"/>
  <c r="E473" i="7"/>
  <c r="U473" i="7" s="1"/>
  <c r="D473" i="7"/>
  <c r="T473" i="7" s="1"/>
  <c r="C473" i="7"/>
  <c r="S473" i="7" s="1"/>
  <c r="B473" i="7"/>
  <c r="R473" i="7" s="1"/>
  <c r="AH473" i="7" s="1"/>
  <c r="AI473" i="7" s="1"/>
  <c r="AP472" i="7"/>
  <c r="AQ472" i="7" s="1"/>
  <c r="AR472" i="7" s="1"/>
  <c r="AS472" i="7" s="1"/>
  <c r="P472" i="7"/>
  <c r="AF472" i="7" s="1"/>
  <c r="O472" i="7"/>
  <c r="AE472" i="7" s="1"/>
  <c r="N472" i="7"/>
  <c r="AD472" i="7" s="1"/>
  <c r="M472" i="7"/>
  <c r="AC472" i="7" s="1"/>
  <c r="L472" i="7"/>
  <c r="AB472" i="7" s="1"/>
  <c r="K472" i="7"/>
  <c r="AA472" i="7" s="1"/>
  <c r="J472" i="7"/>
  <c r="Z472" i="7" s="1"/>
  <c r="I472" i="7"/>
  <c r="Y472" i="7" s="1"/>
  <c r="H472" i="7"/>
  <c r="X472" i="7" s="1"/>
  <c r="G472" i="7"/>
  <c r="W472" i="7" s="1"/>
  <c r="F472" i="7"/>
  <c r="V472" i="7" s="1"/>
  <c r="E472" i="7"/>
  <c r="U472" i="7" s="1"/>
  <c r="D472" i="7"/>
  <c r="T472" i="7" s="1"/>
  <c r="C472" i="7"/>
  <c r="S472" i="7" s="1"/>
  <c r="B472" i="7"/>
  <c r="R472" i="7" s="1"/>
  <c r="AP471" i="7"/>
  <c r="AQ471" i="7" s="1"/>
  <c r="AR471" i="7" s="1"/>
  <c r="AS471" i="7" s="1"/>
  <c r="P471" i="7"/>
  <c r="AF471" i="7" s="1"/>
  <c r="O471" i="7"/>
  <c r="AE471" i="7" s="1"/>
  <c r="N471" i="7"/>
  <c r="AD471" i="7" s="1"/>
  <c r="M471" i="7"/>
  <c r="AC471" i="7" s="1"/>
  <c r="L471" i="7"/>
  <c r="AB471" i="7" s="1"/>
  <c r="K471" i="7"/>
  <c r="AA471" i="7" s="1"/>
  <c r="J471" i="7"/>
  <c r="Z471" i="7" s="1"/>
  <c r="I471" i="7"/>
  <c r="Y471" i="7" s="1"/>
  <c r="H471" i="7"/>
  <c r="X471" i="7" s="1"/>
  <c r="G471" i="7"/>
  <c r="W471" i="7" s="1"/>
  <c r="F471" i="7"/>
  <c r="V471" i="7" s="1"/>
  <c r="E471" i="7"/>
  <c r="U471" i="7" s="1"/>
  <c r="D471" i="7"/>
  <c r="T471" i="7" s="1"/>
  <c r="C471" i="7"/>
  <c r="S471" i="7" s="1"/>
  <c r="B471" i="7"/>
  <c r="R471" i="7" s="1"/>
  <c r="AP470" i="7"/>
  <c r="AQ470" i="7" s="1"/>
  <c r="AR470" i="7" s="1"/>
  <c r="AS470" i="7" s="1"/>
  <c r="P470" i="7"/>
  <c r="AF470" i="7" s="1"/>
  <c r="O470" i="7"/>
  <c r="AE470" i="7" s="1"/>
  <c r="N470" i="7"/>
  <c r="AD470" i="7" s="1"/>
  <c r="M470" i="7"/>
  <c r="AC470" i="7" s="1"/>
  <c r="L470" i="7"/>
  <c r="AB470" i="7" s="1"/>
  <c r="K470" i="7"/>
  <c r="AA470" i="7" s="1"/>
  <c r="J470" i="7"/>
  <c r="Z470" i="7" s="1"/>
  <c r="I470" i="7"/>
  <c r="Y470" i="7" s="1"/>
  <c r="H470" i="7"/>
  <c r="X470" i="7" s="1"/>
  <c r="G470" i="7"/>
  <c r="W470" i="7" s="1"/>
  <c r="F470" i="7"/>
  <c r="V470" i="7" s="1"/>
  <c r="E470" i="7"/>
  <c r="U470" i="7" s="1"/>
  <c r="D470" i="7"/>
  <c r="T470" i="7" s="1"/>
  <c r="C470" i="7"/>
  <c r="S470" i="7" s="1"/>
  <c r="B470" i="7"/>
  <c r="R470" i="7" s="1"/>
  <c r="AP469" i="7"/>
  <c r="AQ469" i="7" s="1"/>
  <c r="AR469" i="7" s="1"/>
  <c r="AS469" i="7" s="1"/>
  <c r="P469" i="7"/>
  <c r="AF469" i="7" s="1"/>
  <c r="O469" i="7"/>
  <c r="AE469" i="7" s="1"/>
  <c r="N469" i="7"/>
  <c r="AD469" i="7" s="1"/>
  <c r="M469" i="7"/>
  <c r="AC469" i="7" s="1"/>
  <c r="L469" i="7"/>
  <c r="AB469" i="7" s="1"/>
  <c r="K469" i="7"/>
  <c r="AA469" i="7" s="1"/>
  <c r="J469" i="7"/>
  <c r="Z469" i="7" s="1"/>
  <c r="I469" i="7"/>
  <c r="Y469" i="7" s="1"/>
  <c r="H469" i="7"/>
  <c r="X469" i="7" s="1"/>
  <c r="G469" i="7"/>
  <c r="W469" i="7" s="1"/>
  <c r="F469" i="7"/>
  <c r="V469" i="7" s="1"/>
  <c r="E469" i="7"/>
  <c r="U469" i="7" s="1"/>
  <c r="D469" i="7"/>
  <c r="T469" i="7" s="1"/>
  <c r="C469" i="7"/>
  <c r="S469" i="7" s="1"/>
  <c r="B469" i="7"/>
  <c r="R469" i="7" s="1"/>
  <c r="AP468" i="7"/>
  <c r="AQ468" i="7" s="1"/>
  <c r="AR468" i="7" s="1"/>
  <c r="AS468" i="7" s="1"/>
  <c r="P468" i="7"/>
  <c r="AF468" i="7" s="1"/>
  <c r="O468" i="7"/>
  <c r="AE468" i="7" s="1"/>
  <c r="N468" i="7"/>
  <c r="AD468" i="7" s="1"/>
  <c r="M468" i="7"/>
  <c r="AC468" i="7" s="1"/>
  <c r="L468" i="7"/>
  <c r="AB468" i="7" s="1"/>
  <c r="K468" i="7"/>
  <c r="AA468" i="7" s="1"/>
  <c r="J468" i="7"/>
  <c r="Z468" i="7" s="1"/>
  <c r="I468" i="7"/>
  <c r="Y468" i="7" s="1"/>
  <c r="H468" i="7"/>
  <c r="X468" i="7" s="1"/>
  <c r="G468" i="7"/>
  <c r="W468" i="7" s="1"/>
  <c r="F468" i="7"/>
  <c r="V468" i="7" s="1"/>
  <c r="E468" i="7"/>
  <c r="U468" i="7" s="1"/>
  <c r="D468" i="7"/>
  <c r="T468" i="7" s="1"/>
  <c r="C468" i="7"/>
  <c r="S468" i="7" s="1"/>
  <c r="B468" i="7"/>
  <c r="R468" i="7" s="1"/>
  <c r="AH468" i="7" s="1"/>
  <c r="AI468" i="7" s="1"/>
  <c r="AP467" i="7"/>
  <c r="AQ467" i="7" s="1"/>
  <c r="AR467" i="7" s="1"/>
  <c r="AS467" i="7" s="1"/>
  <c r="P467" i="7"/>
  <c r="AF467" i="7" s="1"/>
  <c r="O467" i="7"/>
  <c r="AE467" i="7" s="1"/>
  <c r="N467" i="7"/>
  <c r="AD467" i="7" s="1"/>
  <c r="M467" i="7"/>
  <c r="AC467" i="7" s="1"/>
  <c r="L467" i="7"/>
  <c r="AB467" i="7" s="1"/>
  <c r="K467" i="7"/>
  <c r="AA467" i="7" s="1"/>
  <c r="J467" i="7"/>
  <c r="Z467" i="7" s="1"/>
  <c r="I467" i="7"/>
  <c r="Y467" i="7" s="1"/>
  <c r="H467" i="7"/>
  <c r="X467" i="7" s="1"/>
  <c r="G467" i="7"/>
  <c r="W467" i="7" s="1"/>
  <c r="F467" i="7"/>
  <c r="V467" i="7" s="1"/>
  <c r="E467" i="7"/>
  <c r="U467" i="7" s="1"/>
  <c r="D467" i="7"/>
  <c r="T467" i="7" s="1"/>
  <c r="C467" i="7"/>
  <c r="S467" i="7" s="1"/>
  <c r="B467" i="7"/>
  <c r="R467" i="7" s="1"/>
  <c r="AP466" i="7"/>
  <c r="AQ466" i="7" s="1"/>
  <c r="AR466" i="7" s="1"/>
  <c r="AS466" i="7" s="1"/>
  <c r="P466" i="7"/>
  <c r="AF466" i="7" s="1"/>
  <c r="O466" i="7"/>
  <c r="AE466" i="7" s="1"/>
  <c r="N466" i="7"/>
  <c r="AD466" i="7" s="1"/>
  <c r="M466" i="7"/>
  <c r="AC466" i="7" s="1"/>
  <c r="L466" i="7"/>
  <c r="AB466" i="7" s="1"/>
  <c r="K466" i="7"/>
  <c r="AA466" i="7" s="1"/>
  <c r="J466" i="7"/>
  <c r="Z466" i="7" s="1"/>
  <c r="I466" i="7"/>
  <c r="Y466" i="7" s="1"/>
  <c r="H466" i="7"/>
  <c r="X466" i="7" s="1"/>
  <c r="G466" i="7"/>
  <c r="W466" i="7" s="1"/>
  <c r="F466" i="7"/>
  <c r="V466" i="7" s="1"/>
  <c r="E466" i="7"/>
  <c r="U466" i="7" s="1"/>
  <c r="D466" i="7"/>
  <c r="T466" i="7" s="1"/>
  <c r="C466" i="7"/>
  <c r="S466" i="7" s="1"/>
  <c r="B466" i="7"/>
  <c r="R466" i="7" s="1"/>
  <c r="AP465" i="7"/>
  <c r="AQ465" i="7" s="1"/>
  <c r="AR465" i="7" s="1"/>
  <c r="AS465" i="7" s="1"/>
  <c r="P465" i="7"/>
  <c r="AF465" i="7" s="1"/>
  <c r="O465" i="7"/>
  <c r="AE465" i="7" s="1"/>
  <c r="N465" i="7"/>
  <c r="AD465" i="7" s="1"/>
  <c r="M465" i="7"/>
  <c r="AC465" i="7" s="1"/>
  <c r="L465" i="7"/>
  <c r="AB465" i="7" s="1"/>
  <c r="K465" i="7"/>
  <c r="AA465" i="7" s="1"/>
  <c r="J465" i="7"/>
  <c r="Z465" i="7" s="1"/>
  <c r="I465" i="7"/>
  <c r="Y465" i="7" s="1"/>
  <c r="H465" i="7"/>
  <c r="X465" i="7" s="1"/>
  <c r="G465" i="7"/>
  <c r="W465" i="7" s="1"/>
  <c r="F465" i="7"/>
  <c r="V465" i="7" s="1"/>
  <c r="E465" i="7"/>
  <c r="U465" i="7" s="1"/>
  <c r="D465" i="7"/>
  <c r="T465" i="7" s="1"/>
  <c r="C465" i="7"/>
  <c r="S465" i="7" s="1"/>
  <c r="B465" i="7"/>
  <c r="R465" i="7" s="1"/>
  <c r="AH465" i="7" s="1"/>
  <c r="AI465" i="7" s="1"/>
  <c r="AP464" i="7"/>
  <c r="AQ464" i="7" s="1"/>
  <c r="AR464" i="7" s="1"/>
  <c r="AS464" i="7" s="1"/>
  <c r="P464" i="7"/>
  <c r="AF464" i="7" s="1"/>
  <c r="O464" i="7"/>
  <c r="AE464" i="7" s="1"/>
  <c r="N464" i="7"/>
  <c r="AD464" i="7" s="1"/>
  <c r="M464" i="7"/>
  <c r="AC464" i="7" s="1"/>
  <c r="L464" i="7"/>
  <c r="AB464" i="7" s="1"/>
  <c r="K464" i="7"/>
  <c r="AA464" i="7" s="1"/>
  <c r="J464" i="7"/>
  <c r="Z464" i="7" s="1"/>
  <c r="I464" i="7"/>
  <c r="Y464" i="7" s="1"/>
  <c r="H464" i="7"/>
  <c r="X464" i="7" s="1"/>
  <c r="G464" i="7"/>
  <c r="W464" i="7" s="1"/>
  <c r="F464" i="7"/>
  <c r="V464" i="7" s="1"/>
  <c r="E464" i="7"/>
  <c r="U464" i="7" s="1"/>
  <c r="D464" i="7"/>
  <c r="T464" i="7" s="1"/>
  <c r="C464" i="7"/>
  <c r="S464" i="7" s="1"/>
  <c r="B464" i="7"/>
  <c r="R464" i="7" s="1"/>
  <c r="AH464" i="7" s="1"/>
  <c r="AI464" i="7" s="1"/>
  <c r="AP463" i="7"/>
  <c r="AQ463" i="7" s="1"/>
  <c r="AR463" i="7" s="1"/>
  <c r="AS463" i="7" s="1"/>
  <c r="P463" i="7"/>
  <c r="AF463" i="7" s="1"/>
  <c r="O463" i="7"/>
  <c r="AE463" i="7" s="1"/>
  <c r="N463" i="7"/>
  <c r="AD463" i="7" s="1"/>
  <c r="M463" i="7"/>
  <c r="AC463" i="7" s="1"/>
  <c r="L463" i="7"/>
  <c r="AB463" i="7" s="1"/>
  <c r="K463" i="7"/>
  <c r="AA463" i="7" s="1"/>
  <c r="J463" i="7"/>
  <c r="Z463" i="7" s="1"/>
  <c r="I463" i="7"/>
  <c r="Y463" i="7" s="1"/>
  <c r="H463" i="7"/>
  <c r="X463" i="7" s="1"/>
  <c r="G463" i="7"/>
  <c r="W463" i="7" s="1"/>
  <c r="F463" i="7"/>
  <c r="V463" i="7" s="1"/>
  <c r="E463" i="7"/>
  <c r="U463" i="7" s="1"/>
  <c r="D463" i="7"/>
  <c r="T463" i="7" s="1"/>
  <c r="C463" i="7"/>
  <c r="S463" i="7" s="1"/>
  <c r="B463" i="7"/>
  <c r="R463" i="7" s="1"/>
  <c r="AH463" i="7" s="1"/>
  <c r="AI463" i="7" s="1"/>
  <c r="AP462" i="7"/>
  <c r="AQ462" i="7" s="1"/>
  <c r="AR462" i="7" s="1"/>
  <c r="AS462" i="7" s="1"/>
  <c r="P462" i="7"/>
  <c r="AF462" i="7" s="1"/>
  <c r="O462" i="7"/>
  <c r="AE462" i="7" s="1"/>
  <c r="N462" i="7"/>
  <c r="AD462" i="7" s="1"/>
  <c r="M462" i="7"/>
  <c r="AC462" i="7" s="1"/>
  <c r="L462" i="7"/>
  <c r="AB462" i="7" s="1"/>
  <c r="K462" i="7"/>
  <c r="AA462" i="7" s="1"/>
  <c r="J462" i="7"/>
  <c r="Z462" i="7" s="1"/>
  <c r="I462" i="7"/>
  <c r="Y462" i="7" s="1"/>
  <c r="H462" i="7"/>
  <c r="X462" i="7" s="1"/>
  <c r="G462" i="7"/>
  <c r="W462" i="7" s="1"/>
  <c r="F462" i="7"/>
  <c r="V462" i="7" s="1"/>
  <c r="E462" i="7"/>
  <c r="U462" i="7" s="1"/>
  <c r="D462" i="7"/>
  <c r="T462" i="7" s="1"/>
  <c r="C462" i="7"/>
  <c r="S462" i="7" s="1"/>
  <c r="B462" i="7"/>
  <c r="R462" i="7" s="1"/>
  <c r="AH462" i="7" s="1"/>
  <c r="AI462" i="7" s="1"/>
  <c r="AP461" i="7"/>
  <c r="AQ461" i="7" s="1"/>
  <c r="AR461" i="7" s="1"/>
  <c r="AS461" i="7" s="1"/>
  <c r="P461" i="7"/>
  <c r="AF461" i="7" s="1"/>
  <c r="O461" i="7"/>
  <c r="AE461" i="7" s="1"/>
  <c r="N461" i="7"/>
  <c r="AD461" i="7" s="1"/>
  <c r="M461" i="7"/>
  <c r="AC461" i="7" s="1"/>
  <c r="L461" i="7"/>
  <c r="AB461" i="7" s="1"/>
  <c r="K461" i="7"/>
  <c r="AA461" i="7" s="1"/>
  <c r="J461" i="7"/>
  <c r="Z461" i="7" s="1"/>
  <c r="I461" i="7"/>
  <c r="Y461" i="7" s="1"/>
  <c r="H461" i="7"/>
  <c r="X461" i="7" s="1"/>
  <c r="G461" i="7"/>
  <c r="W461" i="7" s="1"/>
  <c r="F461" i="7"/>
  <c r="V461" i="7" s="1"/>
  <c r="E461" i="7"/>
  <c r="U461" i="7" s="1"/>
  <c r="D461" i="7"/>
  <c r="T461" i="7" s="1"/>
  <c r="C461" i="7"/>
  <c r="S461" i="7" s="1"/>
  <c r="B461" i="7"/>
  <c r="R461" i="7" s="1"/>
  <c r="AH461" i="7" s="1"/>
  <c r="AI461" i="7" s="1"/>
  <c r="AP460" i="7"/>
  <c r="AQ460" i="7" s="1"/>
  <c r="AR460" i="7" s="1"/>
  <c r="AS460" i="7" s="1"/>
  <c r="P460" i="7"/>
  <c r="AF460" i="7" s="1"/>
  <c r="O460" i="7"/>
  <c r="AE460" i="7" s="1"/>
  <c r="N460" i="7"/>
  <c r="AD460" i="7" s="1"/>
  <c r="M460" i="7"/>
  <c r="AC460" i="7" s="1"/>
  <c r="L460" i="7"/>
  <c r="AB460" i="7" s="1"/>
  <c r="K460" i="7"/>
  <c r="AA460" i="7" s="1"/>
  <c r="J460" i="7"/>
  <c r="Z460" i="7" s="1"/>
  <c r="I460" i="7"/>
  <c r="Y460" i="7" s="1"/>
  <c r="H460" i="7"/>
  <c r="X460" i="7" s="1"/>
  <c r="G460" i="7"/>
  <c r="W460" i="7" s="1"/>
  <c r="F460" i="7"/>
  <c r="V460" i="7" s="1"/>
  <c r="E460" i="7"/>
  <c r="U460" i="7" s="1"/>
  <c r="D460" i="7"/>
  <c r="T460" i="7" s="1"/>
  <c r="C460" i="7"/>
  <c r="S460" i="7" s="1"/>
  <c r="B460" i="7"/>
  <c r="R460" i="7" s="1"/>
  <c r="AP459" i="7"/>
  <c r="AQ459" i="7" s="1"/>
  <c r="AR459" i="7" s="1"/>
  <c r="AS459" i="7" s="1"/>
  <c r="P459" i="7"/>
  <c r="AF459" i="7" s="1"/>
  <c r="O459" i="7"/>
  <c r="AE459" i="7" s="1"/>
  <c r="N459" i="7"/>
  <c r="AD459" i="7" s="1"/>
  <c r="M459" i="7"/>
  <c r="AC459" i="7" s="1"/>
  <c r="L459" i="7"/>
  <c r="AB459" i="7" s="1"/>
  <c r="K459" i="7"/>
  <c r="AA459" i="7" s="1"/>
  <c r="J459" i="7"/>
  <c r="Z459" i="7" s="1"/>
  <c r="I459" i="7"/>
  <c r="Y459" i="7" s="1"/>
  <c r="H459" i="7"/>
  <c r="X459" i="7" s="1"/>
  <c r="G459" i="7"/>
  <c r="W459" i="7" s="1"/>
  <c r="F459" i="7"/>
  <c r="V459" i="7" s="1"/>
  <c r="E459" i="7"/>
  <c r="U459" i="7" s="1"/>
  <c r="D459" i="7"/>
  <c r="T459" i="7" s="1"/>
  <c r="C459" i="7"/>
  <c r="S459" i="7" s="1"/>
  <c r="B459" i="7"/>
  <c r="R459" i="7" s="1"/>
  <c r="AP458" i="7"/>
  <c r="AQ458" i="7" s="1"/>
  <c r="AR458" i="7" s="1"/>
  <c r="AS458" i="7" s="1"/>
  <c r="P458" i="7"/>
  <c r="AF458" i="7" s="1"/>
  <c r="O458" i="7"/>
  <c r="AE458" i="7" s="1"/>
  <c r="N458" i="7"/>
  <c r="AD458" i="7" s="1"/>
  <c r="M458" i="7"/>
  <c r="AC458" i="7" s="1"/>
  <c r="L458" i="7"/>
  <c r="AB458" i="7" s="1"/>
  <c r="K458" i="7"/>
  <c r="AA458" i="7" s="1"/>
  <c r="J458" i="7"/>
  <c r="Z458" i="7" s="1"/>
  <c r="I458" i="7"/>
  <c r="Y458" i="7" s="1"/>
  <c r="H458" i="7"/>
  <c r="X458" i="7" s="1"/>
  <c r="G458" i="7"/>
  <c r="W458" i="7" s="1"/>
  <c r="F458" i="7"/>
  <c r="V458" i="7" s="1"/>
  <c r="E458" i="7"/>
  <c r="U458" i="7" s="1"/>
  <c r="D458" i="7"/>
  <c r="T458" i="7" s="1"/>
  <c r="C458" i="7"/>
  <c r="S458" i="7" s="1"/>
  <c r="B458" i="7"/>
  <c r="R458" i="7" s="1"/>
  <c r="AH458" i="7" s="1"/>
  <c r="AI458" i="7" s="1"/>
  <c r="AP457" i="7"/>
  <c r="AQ457" i="7" s="1"/>
  <c r="AR457" i="7" s="1"/>
  <c r="AS457" i="7" s="1"/>
  <c r="P457" i="7"/>
  <c r="AF457" i="7" s="1"/>
  <c r="O457" i="7"/>
  <c r="AE457" i="7" s="1"/>
  <c r="N457" i="7"/>
  <c r="AD457" i="7" s="1"/>
  <c r="M457" i="7"/>
  <c r="AC457" i="7" s="1"/>
  <c r="L457" i="7"/>
  <c r="AB457" i="7" s="1"/>
  <c r="K457" i="7"/>
  <c r="AA457" i="7" s="1"/>
  <c r="J457" i="7"/>
  <c r="Z457" i="7" s="1"/>
  <c r="I457" i="7"/>
  <c r="Y457" i="7" s="1"/>
  <c r="H457" i="7"/>
  <c r="X457" i="7" s="1"/>
  <c r="G457" i="7"/>
  <c r="W457" i="7" s="1"/>
  <c r="F457" i="7"/>
  <c r="V457" i="7" s="1"/>
  <c r="E457" i="7"/>
  <c r="U457" i="7" s="1"/>
  <c r="D457" i="7"/>
  <c r="T457" i="7" s="1"/>
  <c r="C457" i="7"/>
  <c r="S457" i="7" s="1"/>
  <c r="B457" i="7"/>
  <c r="R457" i="7" s="1"/>
  <c r="AP456" i="7"/>
  <c r="AQ456" i="7" s="1"/>
  <c r="AR456" i="7" s="1"/>
  <c r="AS456" i="7" s="1"/>
  <c r="P456" i="7"/>
  <c r="AF456" i="7" s="1"/>
  <c r="O456" i="7"/>
  <c r="AE456" i="7" s="1"/>
  <c r="N456" i="7"/>
  <c r="AD456" i="7" s="1"/>
  <c r="M456" i="7"/>
  <c r="AC456" i="7" s="1"/>
  <c r="L456" i="7"/>
  <c r="AB456" i="7" s="1"/>
  <c r="K456" i="7"/>
  <c r="AA456" i="7" s="1"/>
  <c r="J456" i="7"/>
  <c r="Z456" i="7" s="1"/>
  <c r="I456" i="7"/>
  <c r="Y456" i="7" s="1"/>
  <c r="H456" i="7"/>
  <c r="X456" i="7" s="1"/>
  <c r="G456" i="7"/>
  <c r="W456" i="7" s="1"/>
  <c r="F456" i="7"/>
  <c r="V456" i="7" s="1"/>
  <c r="E456" i="7"/>
  <c r="U456" i="7" s="1"/>
  <c r="D456" i="7"/>
  <c r="T456" i="7" s="1"/>
  <c r="C456" i="7"/>
  <c r="S456" i="7" s="1"/>
  <c r="B456" i="7"/>
  <c r="R456" i="7" s="1"/>
  <c r="AP455" i="7"/>
  <c r="AQ455" i="7" s="1"/>
  <c r="AR455" i="7" s="1"/>
  <c r="AS455" i="7" s="1"/>
  <c r="P455" i="7"/>
  <c r="AF455" i="7" s="1"/>
  <c r="O455" i="7"/>
  <c r="AE455" i="7" s="1"/>
  <c r="N455" i="7"/>
  <c r="AD455" i="7" s="1"/>
  <c r="M455" i="7"/>
  <c r="AC455" i="7" s="1"/>
  <c r="L455" i="7"/>
  <c r="AB455" i="7" s="1"/>
  <c r="K455" i="7"/>
  <c r="AA455" i="7" s="1"/>
  <c r="J455" i="7"/>
  <c r="Z455" i="7" s="1"/>
  <c r="I455" i="7"/>
  <c r="Y455" i="7" s="1"/>
  <c r="H455" i="7"/>
  <c r="X455" i="7" s="1"/>
  <c r="G455" i="7"/>
  <c r="W455" i="7" s="1"/>
  <c r="F455" i="7"/>
  <c r="V455" i="7" s="1"/>
  <c r="E455" i="7"/>
  <c r="U455" i="7" s="1"/>
  <c r="D455" i="7"/>
  <c r="T455" i="7" s="1"/>
  <c r="C455" i="7"/>
  <c r="S455" i="7" s="1"/>
  <c r="B455" i="7"/>
  <c r="R455" i="7" s="1"/>
  <c r="AP454" i="7"/>
  <c r="AQ454" i="7" s="1"/>
  <c r="AR454" i="7" s="1"/>
  <c r="AS454" i="7" s="1"/>
  <c r="P454" i="7"/>
  <c r="AF454" i="7" s="1"/>
  <c r="O454" i="7"/>
  <c r="AE454" i="7" s="1"/>
  <c r="N454" i="7"/>
  <c r="AD454" i="7" s="1"/>
  <c r="M454" i="7"/>
  <c r="AC454" i="7" s="1"/>
  <c r="L454" i="7"/>
  <c r="AB454" i="7" s="1"/>
  <c r="K454" i="7"/>
  <c r="AA454" i="7" s="1"/>
  <c r="J454" i="7"/>
  <c r="Z454" i="7" s="1"/>
  <c r="I454" i="7"/>
  <c r="Y454" i="7" s="1"/>
  <c r="H454" i="7"/>
  <c r="X454" i="7" s="1"/>
  <c r="G454" i="7"/>
  <c r="W454" i="7" s="1"/>
  <c r="F454" i="7"/>
  <c r="V454" i="7" s="1"/>
  <c r="E454" i="7"/>
  <c r="U454" i="7" s="1"/>
  <c r="D454" i="7"/>
  <c r="T454" i="7" s="1"/>
  <c r="C454" i="7"/>
  <c r="S454" i="7" s="1"/>
  <c r="B454" i="7"/>
  <c r="R454" i="7" s="1"/>
  <c r="AP453" i="7"/>
  <c r="AQ453" i="7" s="1"/>
  <c r="AR453" i="7" s="1"/>
  <c r="AS453" i="7" s="1"/>
  <c r="P453" i="7"/>
  <c r="AF453" i="7" s="1"/>
  <c r="O453" i="7"/>
  <c r="AE453" i="7" s="1"/>
  <c r="N453" i="7"/>
  <c r="AD453" i="7" s="1"/>
  <c r="M453" i="7"/>
  <c r="AC453" i="7" s="1"/>
  <c r="L453" i="7"/>
  <c r="AB453" i="7" s="1"/>
  <c r="K453" i="7"/>
  <c r="AA453" i="7" s="1"/>
  <c r="J453" i="7"/>
  <c r="Z453" i="7" s="1"/>
  <c r="I453" i="7"/>
  <c r="Y453" i="7" s="1"/>
  <c r="H453" i="7"/>
  <c r="X453" i="7" s="1"/>
  <c r="G453" i="7"/>
  <c r="W453" i="7" s="1"/>
  <c r="F453" i="7"/>
  <c r="V453" i="7" s="1"/>
  <c r="E453" i="7"/>
  <c r="U453" i="7" s="1"/>
  <c r="D453" i="7"/>
  <c r="T453" i="7" s="1"/>
  <c r="C453" i="7"/>
  <c r="S453" i="7" s="1"/>
  <c r="B453" i="7"/>
  <c r="R453" i="7" s="1"/>
  <c r="AP452" i="7"/>
  <c r="AQ452" i="7" s="1"/>
  <c r="AR452" i="7" s="1"/>
  <c r="AS452" i="7" s="1"/>
  <c r="P452" i="7"/>
  <c r="AF452" i="7" s="1"/>
  <c r="O452" i="7"/>
  <c r="AE452" i="7" s="1"/>
  <c r="N452" i="7"/>
  <c r="AD452" i="7" s="1"/>
  <c r="M452" i="7"/>
  <c r="AC452" i="7" s="1"/>
  <c r="L452" i="7"/>
  <c r="AB452" i="7" s="1"/>
  <c r="K452" i="7"/>
  <c r="AA452" i="7" s="1"/>
  <c r="J452" i="7"/>
  <c r="Z452" i="7" s="1"/>
  <c r="I452" i="7"/>
  <c r="Y452" i="7" s="1"/>
  <c r="H452" i="7"/>
  <c r="X452" i="7" s="1"/>
  <c r="G452" i="7"/>
  <c r="W452" i="7" s="1"/>
  <c r="F452" i="7"/>
  <c r="V452" i="7" s="1"/>
  <c r="E452" i="7"/>
  <c r="U452" i="7" s="1"/>
  <c r="D452" i="7"/>
  <c r="T452" i="7" s="1"/>
  <c r="C452" i="7"/>
  <c r="S452" i="7" s="1"/>
  <c r="B452" i="7"/>
  <c r="R452" i="7" s="1"/>
  <c r="AH452" i="7" s="1"/>
  <c r="AI452" i="7" s="1"/>
  <c r="AP451" i="7"/>
  <c r="AQ451" i="7" s="1"/>
  <c r="AR451" i="7" s="1"/>
  <c r="AS451" i="7" s="1"/>
  <c r="P451" i="7"/>
  <c r="AF451" i="7" s="1"/>
  <c r="O451" i="7"/>
  <c r="AE451" i="7" s="1"/>
  <c r="N451" i="7"/>
  <c r="AD451" i="7" s="1"/>
  <c r="M451" i="7"/>
  <c r="AC451" i="7" s="1"/>
  <c r="L451" i="7"/>
  <c r="AB451" i="7" s="1"/>
  <c r="K451" i="7"/>
  <c r="AA451" i="7" s="1"/>
  <c r="J451" i="7"/>
  <c r="Z451" i="7" s="1"/>
  <c r="I451" i="7"/>
  <c r="Y451" i="7" s="1"/>
  <c r="H451" i="7"/>
  <c r="X451" i="7" s="1"/>
  <c r="G451" i="7"/>
  <c r="W451" i="7" s="1"/>
  <c r="F451" i="7"/>
  <c r="V451" i="7" s="1"/>
  <c r="E451" i="7"/>
  <c r="U451" i="7" s="1"/>
  <c r="D451" i="7"/>
  <c r="T451" i="7" s="1"/>
  <c r="C451" i="7"/>
  <c r="S451" i="7" s="1"/>
  <c r="B451" i="7"/>
  <c r="R451" i="7" s="1"/>
  <c r="AH451" i="7" s="1"/>
  <c r="AI451" i="7" s="1"/>
  <c r="AP450" i="7"/>
  <c r="AQ450" i="7" s="1"/>
  <c r="AR450" i="7" s="1"/>
  <c r="AS450" i="7" s="1"/>
  <c r="P450" i="7"/>
  <c r="AF450" i="7" s="1"/>
  <c r="O450" i="7"/>
  <c r="AE450" i="7" s="1"/>
  <c r="N450" i="7"/>
  <c r="AD450" i="7" s="1"/>
  <c r="M450" i="7"/>
  <c r="AC450" i="7" s="1"/>
  <c r="L450" i="7"/>
  <c r="AB450" i="7" s="1"/>
  <c r="K450" i="7"/>
  <c r="AA450" i="7" s="1"/>
  <c r="J450" i="7"/>
  <c r="Z450" i="7" s="1"/>
  <c r="I450" i="7"/>
  <c r="Y450" i="7" s="1"/>
  <c r="H450" i="7"/>
  <c r="X450" i="7" s="1"/>
  <c r="G450" i="7"/>
  <c r="W450" i="7" s="1"/>
  <c r="F450" i="7"/>
  <c r="V450" i="7" s="1"/>
  <c r="E450" i="7"/>
  <c r="U450" i="7" s="1"/>
  <c r="D450" i="7"/>
  <c r="T450" i="7" s="1"/>
  <c r="C450" i="7"/>
  <c r="S450" i="7" s="1"/>
  <c r="B450" i="7"/>
  <c r="R450" i="7" s="1"/>
  <c r="AH450" i="7" s="1"/>
  <c r="AI450" i="7" s="1"/>
  <c r="AP449" i="7"/>
  <c r="AQ449" i="7" s="1"/>
  <c r="AR449" i="7" s="1"/>
  <c r="AS449" i="7" s="1"/>
  <c r="P449" i="7"/>
  <c r="AF449" i="7" s="1"/>
  <c r="O449" i="7"/>
  <c r="AE449" i="7" s="1"/>
  <c r="N449" i="7"/>
  <c r="AD449" i="7" s="1"/>
  <c r="M449" i="7"/>
  <c r="AC449" i="7" s="1"/>
  <c r="L449" i="7"/>
  <c r="AB449" i="7" s="1"/>
  <c r="K449" i="7"/>
  <c r="AA449" i="7" s="1"/>
  <c r="J449" i="7"/>
  <c r="Z449" i="7" s="1"/>
  <c r="I449" i="7"/>
  <c r="Y449" i="7" s="1"/>
  <c r="H449" i="7"/>
  <c r="X449" i="7" s="1"/>
  <c r="G449" i="7"/>
  <c r="W449" i="7" s="1"/>
  <c r="F449" i="7"/>
  <c r="V449" i="7" s="1"/>
  <c r="E449" i="7"/>
  <c r="U449" i="7" s="1"/>
  <c r="D449" i="7"/>
  <c r="T449" i="7" s="1"/>
  <c r="C449" i="7"/>
  <c r="S449" i="7" s="1"/>
  <c r="B449" i="7"/>
  <c r="R449" i="7" s="1"/>
  <c r="AH449" i="7" s="1"/>
  <c r="AI449" i="7" s="1"/>
  <c r="AP448" i="7"/>
  <c r="AQ448" i="7" s="1"/>
  <c r="AR448" i="7" s="1"/>
  <c r="AS448" i="7" s="1"/>
  <c r="P448" i="7"/>
  <c r="AF448" i="7" s="1"/>
  <c r="O448" i="7"/>
  <c r="AE448" i="7" s="1"/>
  <c r="N448" i="7"/>
  <c r="AD448" i="7" s="1"/>
  <c r="M448" i="7"/>
  <c r="AC448" i="7" s="1"/>
  <c r="L448" i="7"/>
  <c r="AB448" i="7" s="1"/>
  <c r="K448" i="7"/>
  <c r="AA448" i="7" s="1"/>
  <c r="J448" i="7"/>
  <c r="Z448" i="7" s="1"/>
  <c r="I448" i="7"/>
  <c r="Y448" i="7" s="1"/>
  <c r="H448" i="7"/>
  <c r="X448" i="7" s="1"/>
  <c r="G448" i="7"/>
  <c r="W448" i="7" s="1"/>
  <c r="F448" i="7"/>
  <c r="V448" i="7" s="1"/>
  <c r="E448" i="7"/>
  <c r="U448" i="7" s="1"/>
  <c r="D448" i="7"/>
  <c r="T448" i="7" s="1"/>
  <c r="C448" i="7"/>
  <c r="S448" i="7" s="1"/>
  <c r="B448" i="7"/>
  <c r="R448" i="7" s="1"/>
  <c r="AH448" i="7" s="1"/>
  <c r="AI448" i="7" s="1"/>
  <c r="AP447" i="7"/>
  <c r="AQ447" i="7" s="1"/>
  <c r="AR447" i="7" s="1"/>
  <c r="AS447" i="7" s="1"/>
  <c r="P447" i="7"/>
  <c r="AF447" i="7" s="1"/>
  <c r="O447" i="7"/>
  <c r="AE447" i="7" s="1"/>
  <c r="N447" i="7"/>
  <c r="AD447" i="7" s="1"/>
  <c r="M447" i="7"/>
  <c r="AC447" i="7" s="1"/>
  <c r="L447" i="7"/>
  <c r="AB447" i="7" s="1"/>
  <c r="K447" i="7"/>
  <c r="AA447" i="7" s="1"/>
  <c r="J447" i="7"/>
  <c r="Z447" i="7" s="1"/>
  <c r="I447" i="7"/>
  <c r="Y447" i="7" s="1"/>
  <c r="H447" i="7"/>
  <c r="X447" i="7" s="1"/>
  <c r="G447" i="7"/>
  <c r="W447" i="7" s="1"/>
  <c r="F447" i="7"/>
  <c r="V447" i="7" s="1"/>
  <c r="E447" i="7"/>
  <c r="U447" i="7" s="1"/>
  <c r="D447" i="7"/>
  <c r="T447" i="7" s="1"/>
  <c r="C447" i="7"/>
  <c r="S447" i="7" s="1"/>
  <c r="B447" i="7"/>
  <c r="R447" i="7" s="1"/>
  <c r="AH447" i="7" s="1"/>
  <c r="AI447" i="7" s="1"/>
  <c r="AP446" i="7"/>
  <c r="AQ446" i="7" s="1"/>
  <c r="AR446" i="7" s="1"/>
  <c r="AS446" i="7" s="1"/>
  <c r="P446" i="7"/>
  <c r="AF446" i="7" s="1"/>
  <c r="O446" i="7"/>
  <c r="AE446" i="7" s="1"/>
  <c r="N446" i="7"/>
  <c r="AD446" i="7" s="1"/>
  <c r="M446" i="7"/>
  <c r="AC446" i="7" s="1"/>
  <c r="L446" i="7"/>
  <c r="AB446" i="7" s="1"/>
  <c r="K446" i="7"/>
  <c r="AA446" i="7" s="1"/>
  <c r="J446" i="7"/>
  <c r="Z446" i="7" s="1"/>
  <c r="I446" i="7"/>
  <c r="Y446" i="7" s="1"/>
  <c r="H446" i="7"/>
  <c r="X446" i="7" s="1"/>
  <c r="G446" i="7"/>
  <c r="W446" i="7" s="1"/>
  <c r="F446" i="7"/>
  <c r="V446" i="7" s="1"/>
  <c r="E446" i="7"/>
  <c r="U446" i="7" s="1"/>
  <c r="D446" i="7"/>
  <c r="T446" i="7" s="1"/>
  <c r="C446" i="7"/>
  <c r="S446" i="7" s="1"/>
  <c r="B446" i="7"/>
  <c r="R446" i="7" s="1"/>
  <c r="AH446" i="7" s="1"/>
  <c r="AI446" i="7" s="1"/>
  <c r="AP445" i="7"/>
  <c r="AQ445" i="7" s="1"/>
  <c r="AR445" i="7" s="1"/>
  <c r="AS445" i="7" s="1"/>
  <c r="P445" i="7"/>
  <c r="AF445" i="7" s="1"/>
  <c r="O445" i="7"/>
  <c r="AE445" i="7" s="1"/>
  <c r="N445" i="7"/>
  <c r="AD445" i="7" s="1"/>
  <c r="M445" i="7"/>
  <c r="AC445" i="7" s="1"/>
  <c r="L445" i="7"/>
  <c r="AB445" i="7" s="1"/>
  <c r="K445" i="7"/>
  <c r="AA445" i="7" s="1"/>
  <c r="J445" i="7"/>
  <c r="Z445" i="7" s="1"/>
  <c r="I445" i="7"/>
  <c r="Y445" i="7" s="1"/>
  <c r="H445" i="7"/>
  <c r="X445" i="7" s="1"/>
  <c r="G445" i="7"/>
  <c r="W445" i="7" s="1"/>
  <c r="F445" i="7"/>
  <c r="V445" i="7" s="1"/>
  <c r="E445" i="7"/>
  <c r="U445" i="7" s="1"/>
  <c r="D445" i="7"/>
  <c r="T445" i="7" s="1"/>
  <c r="C445" i="7"/>
  <c r="S445" i="7" s="1"/>
  <c r="B445" i="7"/>
  <c r="R445" i="7" s="1"/>
  <c r="AH445" i="7" s="1"/>
  <c r="AI445" i="7" s="1"/>
  <c r="AP444" i="7"/>
  <c r="AQ444" i="7" s="1"/>
  <c r="AR444" i="7" s="1"/>
  <c r="AS444" i="7" s="1"/>
  <c r="P444" i="7"/>
  <c r="AF444" i="7" s="1"/>
  <c r="O444" i="7"/>
  <c r="AE444" i="7" s="1"/>
  <c r="N444" i="7"/>
  <c r="AD444" i="7" s="1"/>
  <c r="M444" i="7"/>
  <c r="AC444" i="7" s="1"/>
  <c r="L444" i="7"/>
  <c r="AB444" i="7" s="1"/>
  <c r="K444" i="7"/>
  <c r="AA444" i="7" s="1"/>
  <c r="J444" i="7"/>
  <c r="Z444" i="7" s="1"/>
  <c r="I444" i="7"/>
  <c r="Y444" i="7" s="1"/>
  <c r="H444" i="7"/>
  <c r="X444" i="7" s="1"/>
  <c r="G444" i="7"/>
  <c r="W444" i="7" s="1"/>
  <c r="F444" i="7"/>
  <c r="V444" i="7" s="1"/>
  <c r="E444" i="7"/>
  <c r="U444" i="7" s="1"/>
  <c r="D444" i="7"/>
  <c r="T444" i="7" s="1"/>
  <c r="C444" i="7"/>
  <c r="S444" i="7" s="1"/>
  <c r="B444" i="7"/>
  <c r="R444" i="7" s="1"/>
  <c r="AH444" i="7" s="1"/>
  <c r="AI444" i="7" s="1"/>
  <c r="AP443" i="7"/>
  <c r="AQ443" i="7" s="1"/>
  <c r="AR443" i="7" s="1"/>
  <c r="AS443" i="7" s="1"/>
  <c r="P443" i="7"/>
  <c r="AF443" i="7" s="1"/>
  <c r="O443" i="7"/>
  <c r="AE443" i="7" s="1"/>
  <c r="N443" i="7"/>
  <c r="AD443" i="7" s="1"/>
  <c r="M443" i="7"/>
  <c r="AC443" i="7" s="1"/>
  <c r="L443" i="7"/>
  <c r="AB443" i="7" s="1"/>
  <c r="K443" i="7"/>
  <c r="AA443" i="7" s="1"/>
  <c r="J443" i="7"/>
  <c r="Z443" i="7" s="1"/>
  <c r="I443" i="7"/>
  <c r="Y443" i="7" s="1"/>
  <c r="H443" i="7"/>
  <c r="X443" i="7" s="1"/>
  <c r="G443" i="7"/>
  <c r="W443" i="7" s="1"/>
  <c r="F443" i="7"/>
  <c r="V443" i="7" s="1"/>
  <c r="E443" i="7"/>
  <c r="U443" i="7" s="1"/>
  <c r="D443" i="7"/>
  <c r="T443" i="7" s="1"/>
  <c r="C443" i="7"/>
  <c r="S443" i="7" s="1"/>
  <c r="B443" i="7"/>
  <c r="R443" i="7" s="1"/>
  <c r="AH443" i="7" s="1"/>
  <c r="AI443" i="7" s="1"/>
  <c r="AP442" i="7"/>
  <c r="AQ442" i="7" s="1"/>
  <c r="AR442" i="7" s="1"/>
  <c r="AS442" i="7" s="1"/>
  <c r="P442" i="7"/>
  <c r="AF442" i="7" s="1"/>
  <c r="O442" i="7"/>
  <c r="AE442" i="7" s="1"/>
  <c r="N442" i="7"/>
  <c r="AD442" i="7" s="1"/>
  <c r="M442" i="7"/>
  <c r="AC442" i="7" s="1"/>
  <c r="L442" i="7"/>
  <c r="AB442" i="7" s="1"/>
  <c r="K442" i="7"/>
  <c r="AA442" i="7" s="1"/>
  <c r="J442" i="7"/>
  <c r="Z442" i="7" s="1"/>
  <c r="I442" i="7"/>
  <c r="Y442" i="7" s="1"/>
  <c r="H442" i="7"/>
  <c r="X442" i="7" s="1"/>
  <c r="G442" i="7"/>
  <c r="W442" i="7" s="1"/>
  <c r="F442" i="7"/>
  <c r="V442" i="7" s="1"/>
  <c r="E442" i="7"/>
  <c r="U442" i="7" s="1"/>
  <c r="D442" i="7"/>
  <c r="T442" i="7" s="1"/>
  <c r="C442" i="7"/>
  <c r="S442" i="7" s="1"/>
  <c r="B442" i="7"/>
  <c r="R442" i="7" s="1"/>
  <c r="AH442" i="7" s="1"/>
  <c r="AI442" i="7" s="1"/>
  <c r="AP441" i="7"/>
  <c r="AQ441" i="7" s="1"/>
  <c r="AR441" i="7" s="1"/>
  <c r="AS441" i="7" s="1"/>
  <c r="P441" i="7"/>
  <c r="AF441" i="7" s="1"/>
  <c r="O441" i="7"/>
  <c r="AE441" i="7" s="1"/>
  <c r="N441" i="7"/>
  <c r="AD441" i="7" s="1"/>
  <c r="M441" i="7"/>
  <c r="AC441" i="7" s="1"/>
  <c r="L441" i="7"/>
  <c r="AB441" i="7" s="1"/>
  <c r="K441" i="7"/>
  <c r="AA441" i="7" s="1"/>
  <c r="J441" i="7"/>
  <c r="Z441" i="7" s="1"/>
  <c r="I441" i="7"/>
  <c r="Y441" i="7" s="1"/>
  <c r="H441" i="7"/>
  <c r="X441" i="7" s="1"/>
  <c r="G441" i="7"/>
  <c r="W441" i="7" s="1"/>
  <c r="F441" i="7"/>
  <c r="V441" i="7" s="1"/>
  <c r="E441" i="7"/>
  <c r="U441" i="7" s="1"/>
  <c r="D441" i="7"/>
  <c r="T441" i="7" s="1"/>
  <c r="C441" i="7"/>
  <c r="S441" i="7" s="1"/>
  <c r="B441" i="7"/>
  <c r="R441" i="7" s="1"/>
  <c r="AH441" i="7" s="1"/>
  <c r="AI441" i="7" s="1"/>
  <c r="AP440" i="7"/>
  <c r="AQ440" i="7" s="1"/>
  <c r="AR440" i="7" s="1"/>
  <c r="AS440" i="7" s="1"/>
  <c r="P440" i="7"/>
  <c r="AF440" i="7" s="1"/>
  <c r="O440" i="7"/>
  <c r="AE440" i="7" s="1"/>
  <c r="N440" i="7"/>
  <c r="AD440" i="7" s="1"/>
  <c r="M440" i="7"/>
  <c r="AC440" i="7" s="1"/>
  <c r="L440" i="7"/>
  <c r="AB440" i="7" s="1"/>
  <c r="K440" i="7"/>
  <c r="AA440" i="7" s="1"/>
  <c r="J440" i="7"/>
  <c r="Z440" i="7" s="1"/>
  <c r="I440" i="7"/>
  <c r="Y440" i="7" s="1"/>
  <c r="H440" i="7"/>
  <c r="X440" i="7" s="1"/>
  <c r="G440" i="7"/>
  <c r="W440" i="7" s="1"/>
  <c r="F440" i="7"/>
  <c r="V440" i="7" s="1"/>
  <c r="E440" i="7"/>
  <c r="U440" i="7" s="1"/>
  <c r="D440" i="7"/>
  <c r="T440" i="7" s="1"/>
  <c r="C440" i="7"/>
  <c r="S440" i="7" s="1"/>
  <c r="B440" i="7"/>
  <c r="R440" i="7" s="1"/>
  <c r="AH440" i="7" s="1"/>
  <c r="AI440" i="7" s="1"/>
  <c r="AP439" i="7"/>
  <c r="AQ439" i="7" s="1"/>
  <c r="AR439" i="7" s="1"/>
  <c r="AS439" i="7" s="1"/>
  <c r="P439" i="7"/>
  <c r="AF439" i="7" s="1"/>
  <c r="O439" i="7"/>
  <c r="AE439" i="7" s="1"/>
  <c r="N439" i="7"/>
  <c r="AD439" i="7" s="1"/>
  <c r="M439" i="7"/>
  <c r="AC439" i="7" s="1"/>
  <c r="L439" i="7"/>
  <c r="AB439" i="7" s="1"/>
  <c r="K439" i="7"/>
  <c r="AA439" i="7" s="1"/>
  <c r="J439" i="7"/>
  <c r="Z439" i="7" s="1"/>
  <c r="I439" i="7"/>
  <c r="Y439" i="7" s="1"/>
  <c r="H439" i="7"/>
  <c r="X439" i="7" s="1"/>
  <c r="G439" i="7"/>
  <c r="W439" i="7" s="1"/>
  <c r="F439" i="7"/>
  <c r="V439" i="7" s="1"/>
  <c r="E439" i="7"/>
  <c r="U439" i="7" s="1"/>
  <c r="D439" i="7"/>
  <c r="T439" i="7" s="1"/>
  <c r="C439" i="7"/>
  <c r="S439" i="7" s="1"/>
  <c r="B439" i="7"/>
  <c r="R439" i="7" s="1"/>
  <c r="AH439" i="7" s="1"/>
  <c r="AI439" i="7" s="1"/>
  <c r="AP438" i="7"/>
  <c r="AQ438" i="7" s="1"/>
  <c r="AR438" i="7" s="1"/>
  <c r="AS438" i="7" s="1"/>
  <c r="P438" i="7"/>
  <c r="AF438" i="7" s="1"/>
  <c r="O438" i="7"/>
  <c r="AE438" i="7" s="1"/>
  <c r="N438" i="7"/>
  <c r="AD438" i="7" s="1"/>
  <c r="M438" i="7"/>
  <c r="AC438" i="7" s="1"/>
  <c r="L438" i="7"/>
  <c r="AB438" i="7" s="1"/>
  <c r="K438" i="7"/>
  <c r="AA438" i="7" s="1"/>
  <c r="J438" i="7"/>
  <c r="Z438" i="7" s="1"/>
  <c r="I438" i="7"/>
  <c r="Y438" i="7" s="1"/>
  <c r="H438" i="7"/>
  <c r="X438" i="7" s="1"/>
  <c r="G438" i="7"/>
  <c r="W438" i="7" s="1"/>
  <c r="F438" i="7"/>
  <c r="V438" i="7" s="1"/>
  <c r="E438" i="7"/>
  <c r="U438" i="7" s="1"/>
  <c r="D438" i="7"/>
  <c r="T438" i="7" s="1"/>
  <c r="C438" i="7"/>
  <c r="S438" i="7" s="1"/>
  <c r="B438" i="7"/>
  <c r="R438" i="7" s="1"/>
  <c r="AH438" i="7" s="1"/>
  <c r="AI438" i="7" s="1"/>
  <c r="AP437" i="7"/>
  <c r="AQ437" i="7" s="1"/>
  <c r="AR437" i="7" s="1"/>
  <c r="AS437" i="7" s="1"/>
  <c r="P437" i="7"/>
  <c r="AF437" i="7" s="1"/>
  <c r="O437" i="7"/>
  <c r="AE437" i="7" s="1"/>
  <c r="N437" i="7"/>
  <c r="AD437" i="7" s="1"/>
  <c r="M437" i="7"/>
  <c r="AC437" i="7" s="1"/>
  <c r="L437" i="7"/>
  <c r="AB437" i="7" s="1"/>
  <c r="K437" i="7"/>
  <c r="AA437" i="7" s="1"/>
  <c r="J437" i="7"/>
  <c r="Z437" i="7" s="1"/>
  <c r="I437" i="7"/>
  <c r="Y437" i="7" s="1"/>
  <c r="H437" i="7"/>
  <c r="X437" i="7" s="1"/>
  <c r="G437" i="7"/>
  <c r="W437" i="7" s="1"/>
  <c r="F437" i="7"/>
  <c r="V437" i="7" s="1"/>
  <c r="E437" i="7"/>
  <c r="U437" i="7" s="1"/>
  <c r="D437" i="7"/>
  <c r="T437" i="7" s="1"/>
  <c r="C437" i="7"/>
  <c r="S437" i="7" s="1"/>
  <c r="B437" i="7"/>
  <c r="R437" i="7" s="1"/>
  <c r="AH437" i="7" s="1"/>
  <c r="AI437" i="7" s="1"/>
  <c r="AP436" i="7"/>
  <c r="AQ436" i="7" s="1"/>
  <c r="AR436" i="7" s="1"/>
  <c r="AS436" i="7" s="1"/>
  <c r="P436" i="7"/>
  <c r="AF436" i="7" s="1"/>
  <c r="O436" i="7"/>
  <c r="AE436" i="7" s="1"/>
  <c r="N436" i="7"/>
  <c r="AD436" i="7" s="1"/>
  <c r="M436" i="7"/>
  <c r="AC436" i="7" s="1"/>
  <c r="L436" i="7"/>
  <c r="AB436" i="7" s="1"/>
  <c r="K436" i="7"/>
  <c r="AA436" i="7" s="1"/>
  <c r="J436" i="7"/>
  <c r="Z436" i="7" s="1"/>
  <c r="I436" i="7"/>
  <c r="Y436" i="7" s="1"/>
  <c r="H436" i="7"/>
  <c r="X436" i="7" s="1"/>
  <c r="G436" i="7"/>
  <c r="W436" i="7" s="1"/>
  <c r="F436" i="7"/>
  <c r="V436" i="7" s="1"/>
  <c r="E436" i="7"/>
  <c r="U436" i="7" s="1"/>
  <c r="D436" i="7"/>
  <c r="T436" i="7" s="1"/>
  <c r="C436" i="7"/>
  <c r="S436" i="7" s="1"/>
  <c r="B436" i="7"/>
  <c r="R436" i="7" s="1"/>
  <c r="AH436" i="7" s="1"/>
  <c r="AI436" i="7" s="1"/>
  <c r="AP435" i="7"/>
  <c r="AQ435" i="7" s="1"/>
  <c r="AR435" i="7" s="1"/>
  <c r="AS435" i="7" s="1"/>
  <c r="P435" i="7"/>
  <c r="AF435" i="7" s="1"/>
  <c r="O435" i="7"/>
  <c r="AE435" i="7" s="1"/>
  <c r="N435" i="7"/>
  <c r="AD435" i="7" s="1"/>
  <c r="M435" i="7"/>
  <c r="AC435" i="7" s="1"/>
  <c r="L435" i="7"/>
  <c r="AB435" i="7" s="1"/>
  <c r="K435" i="7"/>
  <c r="AA435" i="7" s="1"/>
  <c r="J435" i="7"/>
  <c r="Z435" i="7" s="1"/>
  <c r="I435" i="7"/>
  <c r="Y435" i="7" s="1"/>
  <c r="H435" i="7"/>
  <c r="X435" i="7" s="1"/>
  <c r="G435" i="7"/>
  <c r="W435" i="7" s="1"/>
  <c r="F435" i="7"/>
  <c r="V435" i="7" s="1"/>
  <c r="E435" i="7"/>
  <c r="U435" i="7" s="1"/>
  <c r="D435" i="7"/>
  <c r="T435" i="7" s="1"/>
  <c r="C435" i="7"/>
  <c r="S435" i="7" s="1"/>
  <c r="B435" i="7"/>
  <c r="R435" i="7" s="1"/>
  <c r="AH435" i="7" s="1"/>
  <c r="AI435" i="7" s="1"/>
  <c r="AP434" i="7"/>
  <c r="AQ434" i="7" s="1"/>
  <c r="AR434" i="7" s="1"/>
  <c r="AS434" i="7" s="1"/>
  <c r="P434" i="7"/>
  <c r="AF434" i="7" s="1"/>
  <c r="O434" i="7"/>
  <c r="AE434" i="7" s="1"/>
  <c r="N434" i="7"/>
  <c r="AD434" i="7" s="1"/>
  <c r="M434" i="7"/>
  <c r="AC434" i="7" s="1"/>
  <c r="L434" i="7"/>
  <c r="AB434" i="7" s="1"/>
  <c r="K434" i="7"/>
  <c r="AA434" i="7" s="1"/>
  <c r="J434" i="7"/>
  <c r="Z434" i="7" s="1"/>
  <c r="I434" i="7"/>
  <c r="Y434" i="7" s="1"/>
  <c r="H434" i="7"/>
  <c r="X434" i="7" s="1"/>
  <c r="G434" i="7"/>
  <c r="W434" i="7" s="1"/>
  <c r="F434" i="7"/>
  <c r="V434" i="7" s="1"/>
  <c r="E434" i="7"/>
  <c r="U434" i="7" s="1"/>
  <c r="D434" i="7"/>
  <c r="T434" i="7" s="1"/>
  <c r="C434" i="7"/>
  <c r="S434" i="7" s="1"/>
  <c r="B434" i="7"/>
  <c r="R434" i="7" s="1"/>
  <c r="AH434" i="7" s="1"/>
  <c r="AI434" i="7" s="1"/>
  <c r="AP433" i="7"/>
  <c r="AQ433" i="7" s="1"/>
  <c r="AR433" i="7" s="1"/>
  <c r="AS433" i="7" s="1"/>
  <c r="P433" i="7"/>
  <c r="AF433" i="7" s="1"/>
  <c r="O433" i="7"/>
  <c r="AE433" i="7" s="1"/>
  <c r="N433" i="7"/>
  <c r="AD433" i="7" s="1"/>
  <c r="M433" i="7"/>
  <c r="AC433" i="7" s="1"/>
  <c r="L433" i="7"/>
  <c r="AB433" i="7" s="1"/>
  <c r="K433" i="7"/>
  <c r="AA433" i="7" s="1"/>
  <c r="J433" i="7"/>
  <c r="Z433" i="7" s="1"/>
  <c r="I433" i="7"/>
  <c r="Y433" i="7" s="1"/>
  <c r="H433" i="7"/>
  <c r="X433" i="7" s="1"/>
  <c r="G433" i="7"/>
  <c r="W433" i="7" s="1"/>
  <c r="F433" i="7"/>
  <c r="V433" i="7" s="1"/>
  <c r="E433" i="7"/>
  <c r="U433" i="7" s="1"/>
  <c r="D433" i="7"/>
  <c r="T433" i="7" s="1"/>
  <c r="C433" i="7"/>
  <c r="S433" i="7" s="1"/>
  <c r="B433" i="7"/>
  <c r="R433" i="7" s="1"/>
  <c r="AH433" i="7" s="1"/>
  <c r="AI433" i="7" s="1"/>
  <c r="AP432" i="7"/>
  <c r="AQ432" i="7" s="1"/>
  <c r="AR432" i="7" s="1"/>
  <c r="AS432" i="7" s="1"/>
  <c r="P432" i="7"/>
  <c r="AF432" i="7" s="1"/>
  <c r="O432" i="7"/>
  <c r="AE432" i="7" s="1"/>
  <c r="N432" i="7"/>
  <c r="AD432" i="7" s="1"/>
  <c r="M432" i="7"/>
  <c r="AC432" i="7" s="1"/>
  <c r="AH432" i="7" s="1"/>
  <c r="AI432" i="7" s="1"/>
  <c r="L432" i="7"/>
  <c r="AB432" i="7" s="1"/>
  <c r="K432" i="7"/>
  <c r="AA432" i="7" s="1"/>
  <c r="J432" i="7"/>
  <c r="Z432" i="7" s="1"/>
  <c r="I432" i="7"/>
  <c r="Y432" i="7" s="1"/>
  <c r="H432" i="7"/>
  <c r="X432" i="7" s="1"/>
  <c r="G432" i="7"/>
  <c r="W432" i="7" s="1"/>
  <c r="F432" i="7"/>
  <c r="V432" i="7" s="1"/>
  <c r="E432" i="7"/>
  <c r="U432" i="7" s="1"/>
  <c r="D432" i="7"/>
  <c r="T432" i="7" s="1"/>
  <c r="C432" i="7"/>
  <c r="S432" i="7" s="1"/>
  <c r="B432" i="7"/>
  <c r="R432" i="7" s="1"/>
  <c r="AP431" i="7"/>
  <c r="AQ431" i="7" s="1"/>
  <c r="AR431" i="7" s="1"/>
  <c r="AS431" i="7" s="1"/>
  <c r="P431" i="7"/>
  <c r="AF431" i="7" s="1"/>
  <c r="O431" i="7"/>
  <c r="AE431" i="7" s="1"/>
  <c r="N431" i="7"/>
  <c r="AD431" i="7" s="1"/>
  <c r="M431" i="7"/>
  <c r="AC431" i="7" s="1"/>
  <c r="L431" i="7"/>
  <c r="AB431" i="7" s="1"/>
  <c r="K431" i="7"/>
  <c r="AA431" i="7" s="1"/>
  <c r="J431" i="7"/>
  <c r="Z431" i="7" s="1"/>
  <c r="I431" i="7"/>
  <c r="Y431" i="7" s="1"/>
  <c r="H431" i="7"/>
  <c r="X431" i="7" s="1"/>
  <c r="G431" i="7"/>
  <c r="W431" i="7" s="1"/>
  <c r="F431" i="7"/>
  <c r="V431" i="7" s="1"/>
  <c r="E431" i="7"/>
  <c r="U431" i="7" s="1"/>
  <c r="D431" i="7"/>
  <c r="T431" i="7" s="1"/>
  <c r="C431" i="7"/>
  <c r="S431" i="7" s="1"/>
  <c r="B431" i="7"/>
  <c r="R431" i="7" s="1"/>
  <c r="AH431" i="7" s="1"/>
  <c r="AI431" i="7" s="1"/>
  <c r="AP430" i="7"/>
  <c r="AQ430" i="7" s="1"/>
  <c r="AR430" i="7" s="1"/>
  <c r="AS430" i="7" s="1"/>
  <c r="P430" i="7"/>
  <c r="AF430" i="7" s="1"/>
  <c r="O430" i="7"/>
  <c r="AE430" i="7" s="1"/>
  <c r="N430" i="7"/>
  <c r="AD430" i="7" s="1"/>
  <c r="M430" i="7"/>
  <c r="AC430" i="7" s="1"/>
  <c r="L430" i="7"/>
  <c r="AB430" i="7" s="1"/>
  <c r="K430" i="7"/>
  <c r="AA430" i="7" s="1"/>
  <c r="J430" i="7"/>
  <c r="Z430" i="7" s="1"/>
  <c r="I430" i="7"/>
  <c r="Y430" i="7" s="1"/>
  <c r="H430" i="7"/>
  <c r="X430" i="7" s="1"/>
  <c r="G430" i="7"/>
  <c r="W430" i="7" s="1"/>
  <c r="F430" i="7"/>
  <c r="V430" i="7" s="1"/>
  <c r="E430" i="7"/>
  <c r="U430" i="7" s="1"/>
  <c r="D430" i="7"/>
  <c r="T430" i="7" s="1"/>
  <c r="C430" i="7"/>
  <c r="S430" i="7" s="1"/>
  <c r="B430" i="7"/>
  <c r="R430" i="7" s="1"/>
  <c r="AH430" i="7" s="1"/>
  <c r="AI430" i="7" s="1"/>
  <c r="AP429" i="7"/>
  <c r="AQ429" i="7" s="1"/>
  <c r="AR429" i="7" s="1"/>
  <c r="AS429" i="7" s="1"/>
  <c r="P429" i="7"/>
  <c r="AF429" i="7" s="1"/>
  <c r="O429" i="7"/>
  <c r="AE429" i="7" s="1"/>
  <c r="N429" i="7"/>
  <c r="AD429" i="7" s="1"/>
  <c r="M429" i="7"/>
  <c r="AC429" i="7" s="1"/>
  <c r="L429" i="7"/>
  <c r="AB429" i="7" s="1"/>
  <c r="K429" i="7"/>
  <c r="AA429" i="7" s="1"/>
  <c r="J429" i="7"/>
  <c r="Z429" i="7" s="1"/>
  <c r="I429" i="7"/>
  <c r="Y429" i="7" s="1"/>
  <c r="H429" i="7"/>
  <c r="X429" i="7" s="1"/>
  <c r="G429" i="7"/>
  <c r="W429" i="7" s="1"/>
  <c r="F429" i="7"/>
  <c r="V429" i="7" s="1"/>
  <c r="E429" i="7"/>
  <c r="U429" i="7" s="1"/>
  <c r="D429" i="7"/>
  <c r="T429" i="7" s="1"/>
  <c r="C429" i="7"/>
  <c r="S429" i="7" s="1"/>
  <c r="B429" i="7"/>
  <c r="R429" i="7" s="1"/>
  <c r="AH429" i="7" s="1"/>
  <c r="AI429" i="7" s="1"/>
  <c r="AP428" i="7"/>
  <c r="AQ428" i="7" s="1"/>
  <c r="AR428" i="7" s="1"/>
  <c r="AS428" i="7" s="1"/>
  <c r="P428" i="7"/>
  <c r="AF428" i="7" s="1"/>
  <c r="O428" i="7"/>
  <c r="AE428" i="7" s="1"/>
  <c r="N428" i="7"/>
  <c r="AD428" i="7" s="1"/>
  <c r="M428" i="7"/>
  <c r="AC428" i="7" s="1"/>
  <c r="L428" i="7"/>
  <c r="AB428" i="7" s="1"/>
  <c r="K428" i="7"/>
  <c r="AA428" i="7" s="1"/>
  <c r="J428" i="7"/>
  <c r="Z428" i="7" s="1"/>
  <c r="I428" i="7"/>
  <c r="Y428" i="7" s="1"/>
  <c r="H428" i="7"/>
  <c r="X428" i="7" s="1"/>
  <c r="G428" i="7"/>
  <c r="W428" i="7" s="1"/>
  <c r="F428" i="7"/>
  <c r="V428" i="7" s="1"/>
  <c r="E428" i="7"/>
  <c r="U428" i="7" s="1"/>
  <c r="D428" i="7"/>
  <c r="T428" i="7" s="1"/>
  <c r="C428" i="7"/>
  <c r="S428" i="7" s="1"/>
  <c r="B428" i="7"/>
  <c r="R428" i="7" s="1"/>
  <c r="AH428" i="7" s="1"/>
  <c r="AI428" i="7" s="1"/>
  <c r="AP427" i="7"/>
  <c r="AQ427" i="7" s="1"/>
  <c r="AR427" i="7" s="1"/>
  <c r="AS427" i="7" s="1"/>
  <c r="P427" i="7"/>
  <c r="AF427" i="7" s="1"/>
  <c r="O427" i="7"/>
  <c r="AE427" i="7" s="1"/>
  <c r="N427" i="7"/>
  <c r="AD427" i="7" s="1"/>
  <c r="M427" i="7"/>
  <c r="AC427" i="7" s="1"/>
  <c r="L427" i="7"/>
  <c r="AB427" i="7" s="1"/>
  <c r="K427" i="7"/>
  <c r="AA427" i="7" s="1"/>
  <c r="J427" i="7"/>
  <c r="Z427" i="7" s="1"/>
  <c r="I427" i="7"/>
  <c r="Y427" i="7" s="1"/>
  <c r="H427" i="7"/>
  <c r="X427" i="7" s="1"/>
  <c r="G427" i="7"/>
  <c r="W427" i="7" s="1"/>
  <c r="F427" i="7"/>
  <c r="V427" i="7" s="1"/>
  <c r="E427" i="7"/>
  <c r="U427" i="7" s="1"/>
  <c r="D427" i="7"/>
  <c r="T427" i="7" s="1"/>
  <c r="C427" i="7"/>
  <c r="S427" i="7" s="1"/>
  <c r="B427" i="7"/>
  <c r="R427" i="7" s="1"/>
  <c r="AH427" i="7" s="1"/>
  <c r="AI427" i="7" s="1"/>
  <c r="AP426" i="7"/>
  <c r="AQ426" i="7" s="1"/>
  <c r="AR426" i="7" s="1"/>
  <c r="AS426" i="7" s="1"/>
  <c r="P426" i="7"/>
  <c r="AF426" i="7" s="1"/>
  <c r="O426" i="7"/>
  <c r="AE426" i="7" s="1"/>
  <c r="N426" i="7"/>
  <c r="AD426" i="7" s="1"/>
  <c r="M426" i="7"/>
  <c r="AC426" i="7" s="1"/>
  <c r="L426" i="7"/>
  <c r="AB426" i="7" s="1"/>
  <c r="K426" i="7"/>
  <c r="AA426" i="7" s="1"/>
  <c r="J426" i="7"/>
  <c r="Z426" i="7" s="1"/>
  <c r="I426" i="7"/>
  <c r="Y426" i="7" s="1"/>
  <c r="H426" i="7"/>
  <c r="X426" i="7" s="1"/>
  <c r="G426" i="7"/>
  <c r="W426" i="7" s="1"/>
  <c r="F426" i="7"/>
  <c r="V426" i="7" s="1"/>
  <c r="E426" i="7"/>
  <c r="U426" i="7" s="1"/>
  <c r="D426" i="7"/>
  <c r="T426" i="7" s="1"/>
  <c r="C426" i="7"/>
  <c r="S426" i="7" s="1"/>
  <c r="B426" i="7"/>
  <c r="R426" i="7" s="1"/>
  <c r="AH426" i="7" s="1"/>
  <c r="AI426" i="7" s="1"/>
  <c r="AP425" i="7"/>
  <c r="AQ425" i="7" s="1"/>
  <c r="AR425" i="7" s="1"/>
  <c r="AS425" i="7" s="1"/>
  <c r="P425" i="7"/>
  <c r="AF425" i="7" s="1"/>
  <c r="O425" i="7"/>
  <c r="AE425" i="7" s="1"/>
  <c r="N425" i="7"/>
  <c r="AD425" i="7" s="1"/>
  <c r="M425" i="7"/>
  <c r="AC425" i="7" s="1"/>
  <c r="L425" i="7"/>
  <c r="AB425" i="7" s="1"/>
  <c r="K425" i="7"/>
  <c r="AA425" i="7" s="1"/>
  <c r="J425" i="7"/>
  <c r="Z425" i="7" s="1"/>
  <c r="I425" i="7"/>
  <c r="Y425" i="7" s="1"/>
  <c r="H425" i="7"/>
  <c r="X425" i="7" s="1"/>
  <c r="G425" i="7"/>
  <c r="W425" i="7" s="1"/>
  <c r="F425" i="7"/>
  <c r="V425" i="7" s="1"/>
  <c r="E425" i="7"/>
  <c r="U425" i="7" s="1"/>
  <c r="D425" i="7"/>
  <c r="T425" i="7" s="1"/>
  <c r="C425" i="7"/>
  <c r="S425" i="7" s="1"/>
  <c r="B425" i="7"/>
  <c r="R425" i="7" s="1"/>
  <c r="AH425" i="7" s="1"/>
  <c r="AI425" i="7" s="1"/>
  <c r="AP424" i="7"/>
  <c r="AQ424" i="7" s="1"/>
  <c r="AR424" i="7" s="1"/>
  <c r="AS424" i="7" s="1"/>
  <c r="P424" i="7"/>
  <c r="AF424" i="7" s="1"/>
  <c r="O424" i="7"/>
  <c r="AE424" i="7" s="1"/>
  <c r="N424" i="7"/>
  <c r="AD424" i="7" s="1"/>
  <c r="M424" i="7"/>
  <c r="AC424" i="7" s="1"/>
  <c r="L424" i="7"/>
  <c r="AB424" i="7" s="1"/>
  <c r="K424" i="7"/>
  <c r="AA424" i="7" s="1"/>
  <c r="J424" i="7"/>
  <c r="Z424" i="7" s="1"/>
  <c r="I424" i="7"/>
  <c r="Y424" i="7" s="1"/>
  <c r="H424" i="7"/>
  <c r="X424" i="7" s="1"/>
  <c r="G424" i="7"/>
  <c r="W424" i="7" s="1"/>
  <c r="F424" i="7"/>
  <c r="V424" i="7" s="1"/>
  <c r="E424" i="7"/>
  <c r="U424" i="7" s="1"/>
  <c r="D424" i="7"/>
  <c r="T424" i="7" s="1"/>
  <c r="C424" i="7"/>
  <c r="S424" i="7" s="1"/>
  <c r="B424" i="7"/>
  <c r="R424" i="7" s="1"/>
  <c r="AH424" i="7" s="1"/>
  <c r="AI424" i="7" s="1"/>
  <c r="AP423" i="7"/>
  <c r="AQ423" i="7" s="1"/>
  <c r="AR423" i="7" s="1"/>
  <c r="AS423" i="7" s="1"/>
  <c r="P423" i="7"/>
  <c r="AF423" i="7" s="1"/>
  <c r="O423" i="7"/>
  <c r="AE423" i="7" s="1"/>
  <c r="N423" i="7"/>
  <c r="AD423" i="7" s="1"/>
  <c r="M423" i="7"/>
  <c r="AC423" i="7" s="1"/>
  <c r="L423" i="7"/>
  <c r="AB423" i="7" s="1"/>
  <c r="K423" i="7"/>
  <c r="AA423" i="7" s="1"/>
  <c r="J423" i="7"/>
  <c r="Z423" i="7" s="1"/>
  <c r="I423" i="7"/>
  <c r="Y423" i="7" s="1"/>
  <c r="H423" i="7"/>
  <c r="X423" i="7" s="1"/>
  <c r="G423" i="7"/>
  <c r="W423" i="7" s="1"/>
  <c r="F423" i="7"/>
  <c r="V423" i="7" s="1"/>
  <c r="E423" i="7"/>
  <c r="U423" i="7" s="1"/>
  <c r="D423" i="7"/>
  <c r="T423" i="7" s="1"/>
  <c r="C423" i="7"/>
  <c r="S423" i="7" s="1"/>
  <c r="B423" i="7"/>
  <c r="R423" i="7" s="1"/>
  <c r="AH423" i="7" s="1"/>
  <c r="AI423" i="7" s="1"/>
  <c r="AP422" i="7"/>
  <c r="AQ422" i="7" s="1"/>
  <c r="AR422" i="7" s="1"/>
  <c r="AS422" i="7" s="1"/>
  <c r="P422" i="7"/>
  <c r="AF422" i="7" s="1"/>
  <c r="O422" i="7"/>
  <c r="AE422" i="7" s="1"/>
  <c r="N422" i="7"/>
  <c r="AD422" i="7" s="1"/>
  <c r="M422" i="7"/>
  <c r="AC422" i="7" s="1"/>
  <c r="L422" i="7"/>
  <c r="AB422" i="7" s="1"/>
  <c r="K422" i="7"/>
  <c r="AA422" i="7" s="1"/>
  <c r="J422" i="7"/>
  <c r="Z422" i="7" s="1"/>
  <c r="I422" i="7"/>
  <c r="Y422" i="7" s="1"/>
  <c r="H422" i="7"/>
  <c r="X422" i="7" s="1"/>
  <c r="G422" i="7"/>
  <c r="W422" i="7" s="1"/>
  <c r="F422" i="7"/>
  <c r="V422" i="7" s="1"/>
  <c r="E422" i="7"/>
  <c r="U422" i="7" s="1"/>
  <c r="D422" i="7"/>
  <c r="T422" i="7" s="1"/>
  <c r="C422" i="7"/>
  <c r="S422" i="7" s="1"/>
  <c r="B422" i="7"/>
  <c r="R422" i="7" s="1"/>
  <c r="AH422" i="7" s="1"/>
  <c r="AI422" i="7" s="1"/>
  <c r="AP421" i="7"/>
  <c r="AQ421" i="7" s="1"/>
  <c r="AR421" i="7" s="1"/>
  <c r="AS421" i="7" s="1"/>
  <c r="P421" i="7"/>
  <c r="AF421" i="7" s="1"/>
  <c r="O421" i="7"/>
  <c r="AE421" i="7" s="1"/>
  <c r="N421" i="7"/>
  <c r="AD421" i="7" s="1"/>
  <c r="M421" i="7"/>
  <c r="AC421" i="7" s="1"/>
  <c r="L421" i="7"/>
  <c r="AB421" i="7" s="1"/>
  <c r="K421" i="7"/>
  <c r="AA421" i="7" s="1"/>
  <c r="J421" i="7"/>
  <c r="Z421" i="7" s="1"/>
  <c r="I421" i="7"/>
  <c r="Y421" i="7" s="1"/>
  <c r="H421" i="7"/>
  <c r="X421" i="7" s="1"/>
  <c r="G421" i="7"/>
  <c r="W421" i="7" s="1"/>
  <c r="F421" i="7"/>
  <c r="V421" i="7" s="1"/>
  <c r="E421" i="7"/>
  <c r="U421" i="7" s="1"/>
  <c r="D421" i="7"/>
  <c r="T421" i="7" s="1"/>
  <c r="C421" i="7"/>
  <c r="S421" i="7" s="1"/>
  <c r="B421" i="7"/>
  <c r="R421" i="7" s="1"/>
  <c r="AH421" i="7" s="1"/>
  <c r="AI421" i="7" s="1"/>
  <c r="AP420" i="7"/>
  <c r="AQ420" i="7" s="1"/>
  <c r="AR420" i="7" s="1"/>
  <c r="AS420" i="7" s="1"/>
  <c r="P420" i="7"/>
  <c r="AF420" i="7" s="1"/>
  <c r="O420" i="7"/>
  <c r="AE420" i="7" s="1"/>
  <c r="N420" i="7"/>
  <c r="AD420" i="7" s="1"/>
  <c r="M420" i="7"/>
  <c r="AC420" i="7" s="1"/>
  <c r="L420" i="7"/>
  <c r="AB420" i="7" s="1"/>
  <c r="K420" i="7"/>
  <c r="AA420" i="7" s="1"/>
  <c r="J420" i="7"/>
  <c r="Z420" i="7" s="1"/>
  <c r="I420" i="7"/>
  <c r="Y420" i="7" s="1"/>
  <c r="H420" i="7"/>
  <c r="X420" i="7" s="1"/>
  <c r="G420" i="7"/>
  <c r="W420" i="7" s="1"/>
  <c r="F420" i="7"/>
  <c r="V420" i="7" s="1"/>
  <c r="E420" i="7"/>
  <c r="U420" i="7" s="1"/>
  <c r="D420" i="7"/>
  <c r="T420" i="7" s="1"/>
  <c r="C420" i="7"/>
  <c r="S420" i="7" s="1"/>
  <c r="B420" i="7"/>
  <c r="R420" i="7" s="1"/>
  <c r="AH420" i="7" s="1"/>
  <c r="AI420" i="7" s="1"/>
  <c r="AP419" i="7"/>
  <c r="AQ419" i="7" s="1"/>
  <c r="AR419" i="7" s="1"/>
  <c r="AS419" i="7" s="1"/>
  <c r="P419" i="7"/>
  <c r="AF419" i="7" s="1"/>
  <c r="O419" i="7"/>
  <c r="AE419" i="7" s="1"/>
  <c r="N419" i="7"/>
  <c r="AD419" i="7" s="1"/>
  <c r="M419" i="7"/>
  <c r="AC419" i="7" s="1"/>
  <c r="L419" i="7"/>
  <c r="AB419" i="7" s="1"/>
  <c r="K419" i="7"/>
  <c r="AA419" i="7" s="1"/>
  <c r="J419" i="7"/>
  <c r="Z419" i="7" s="1"/>
  <c r="I419" i="7"/>
  <c r="Y419" i="7" s="1"/>
  <c r="H419" i="7"/>
  <c r="X419" i="7" s="1"/>
  <c r="G419" i="7"/>
  <c r="W419" i="7" s="1"/>
  <c r="F419" i="7"/>
  <c r="V419" i="7" s="1"/>
  <c r="E419" i="7"/>
  <c r="U419" i="7" s="1"/>
  <c r="D419" i="7"/>
  <c r="T419" i="7" s="1"/>
  <c r="C419" i="7"/>
  <c r="S419" i="7" s="1"/>
  <c r="B419" i="7"/>
  <c r="R419" i="7" s="1"/>
  <c r="AH419" i="7" s="1"/>
  <c r="AI419" i="7" s="1"/>
  <c r="AP418" i="7"/>
  <c r="AQ418" i="7" s="1"/>
  <c r="AR418" i="7" s="1"/>
  <c r="AS418" i="7" s="1"/>
  <c r="P418" i="7"/>
  <c r="AF418" i="7" s="1"/>
  <c r="O418" i="7"/>
  <c r="AE418" i="7" s="1"/>
  <c r="N418" i="7"/>
  <c r="AD418" i="7" s="1"/>
  <c r="M418" i="7"/>
  <c r="AC418" i="7" s="1"/>
  <c r="L418" i="7"/>
  <c r="AB418" i="7" s="1"/>
  <c r="K418" i="7"/>
  <c r="AA418" i="7" s="1"/>
  <c r="J418" i="7"/>
  <c r="Z418" i="7" s="1"/>
  <c r="I418" i="7"/>
  <c r="Y418" i="7" s="1"/>
  <c r="H418" i="7"/>
  <c r="X418" i="7" s="1"/>
  <c r="G418" i="7"/>
  <c r="W418" i="7" s="1"/>
  <c r="F418" i="7"/>
  <c r="V418" i="7" s="1"/>
  <c r="E418" i="7"/>
  <c r="U418" i="7" s="1"/>
  <c r="D418" i="7"/>
  <c r="T418" i="7" s="1"/>
  <c r="C418" i="7"/>
  <c r="S418" i="7" s="1"/>
  <c r="B418" i="7"/>
  <c r="R418" i="7" s="1"/>
  <c r="AH418" i="7" s="1"/>
  <c r="AI418" i="7" s="1"/>
  <c r="AP417" i="7"/>
  <c r="AQ417" i="7" s="1"/>
  <c r="AR417" i="7" s="1"/>
  <c r="AS417" i="7" s="1"/>
  <c r="P417" i="7"/>
  <c r="AF417" i="7" s="1"/>
  <c r="O417" i="7"/>
  <c r="AE417" i="7" s="1"/>
  <c r="N417" i="7"/>
  <c r="AD417" i="7" s="1"/>
  <c r="M417" i="7"/>
  <c r="AC417" i="7" s="1"/>
  <c r="L417" i="7"/>
  <c r="AB417" i="7" s="1"/>
  <c r="K417" i="7"/>
  <c r="AA417" i="7" s="1"/>
  <c r="J417" i="7"/>
  <c r="Z417" i="7" s="1"/>
  <c r="I417" i="7"/>
  <c r="Y417" i="7" s="1"/>
  <c r="H417" i="7"/>
  <c r="X417" i="7" s="1"/>
  <c r="G417" i="7"/>
  <c r="W417" i="7" s="1"/>
  <c r="F417" i="7"/>
  <c r="V417" i="7" s="1"/>
  <c r="E417" i="7"/>
  <c r="U417" i="7" s="1"/>
  <c r="D417" i="7"/>
  <c r="T417" i="7" s="1"/>
  <c r="C417" i="7"/>
  <c r="S417" i="7" s="1"/>
  <c r="B417" i="7"/>
  <c r="R417" i="7" s="1"/>
  <c r="AH417" i="7" s="1"/>
  <c r="AI417" i="7" s="1"/>
  <c r="AP416" i="7"/>
  <c r="AQ416" i="7" s="1"/>
  <c r="AR416" i="7" s="1"/>
  <c r="AS416" i="7" s="1"/>
  <c r="P416" i="7"/>
  <c r="AF416" i="7" s="1"/>
  <c r="O416" i="7"/>
  <c r="AE416" i="7" s="1"/>
  <c r="N416" i="7"/>
  <c r="AD416" i="7" s="1"/>
  <c r="M416" i="7"/>
  <c r="AC416" i="7" s="1"/>
  <c r="L416" i="7"/>
  <c r="AB416" i="7" s="1"/>
  <c r="K416" i="7"/>
  <c r="AA416" i="7" s="1"/>
  <c r="J416" i="7"/>
  <c r="Z416" i="7" s="1"/>
  <c r="I416" i="7"/>
  <c r="Y416" i="7" s="1"/>
  <c r="H416" i="7"/>
  <c r="X416" i="7" s="1"/>
  <c r="G416" i="7"/>
  <c r="W416" i="7" s="1"/>
  <c r="F416" i="7"/>
  <c r="V416" i="7" s="1"/>
  <c r="E416" i="7"/>
  <c r="U416" i="7" s="1"/>
  <c r="D416" i="7"/>
  <c r="T416" i="7" s="1"/>
  <c r="C416" i="7"/>
  <c r="S416" i="7" s="1"/>
  <c r="B416" i="7"/>
  <c r="R416" i="7" s="1"/>
  <c r="AH416" i="7" s="1"/>
  <c r="AI416" i="7" s="1"/>
  <c r="AP415" i="7"/>
  <c r="AQ415" i="7" s="1"/>
  <c r="AR415" i="7" s="1"/>
  <c r="AS415" i="7" s="1"/>
  <c r="P415" i="7"/>
  <c r="AF415" i="7" s="1"/>
  <c r="O415" i="7"/>
  <c r="AE415" i="7" s="1"/>
  <c r="N415" i="7"/>
  <c r="AD415" i="7" s="1"/>
  <c r="M415" i="7"/>
  <c r="AC415" i="7" s="1"/>
  <c r="L415" i="7"/>
  <c r="AB415" i="7" s="1"/>
  <c r="K415" i="7"/>
  <c r="AA415" i="7" s="1"/>
  <c r="J415" i="7"/>
  <c r="Z415" i="7" s="1"/>
  <c r="I415" i="7"/>
  <c r="Y415" i="7" s="1"/>
  <c r="H415" i="7"/>
  <c r="X415" i="7" s="1"/>
  <c r="G415" i="7"/>
  <c r="W415" i="7" s="1"/>
  <c r="F415" i="7"/>
  <c r="V415" i="7" s="1"/>
  <c r="E415" i="7"/>
  <c r="U415" i="7" s="1"/>
  <c r="D415" i="7"/>
  <c r="T415" i="7" s="1"/>
  <c r="C415" i="7"/>
  <c r="S415" i="7" s="1"/>
  <c r="B415" i="7"/>
  <c r="R415" i="7" s="1"/>
  <c r="AH415" i="7" s="1"/>
  <c r="AI415" i="7" s="1"/>
  <c r="AP414" i="7"/>
  <c r="AQ414" i="7" s="1"/>
  <c r="AR414" i="7" s="1"/>
  <c r="AS414" i="7" s="1"/>
  <c r="P414" i="7"/>
  <c r="AF414" i="7" s="1"/>
  <c r="O414" i="7"/>
  <c r="AE414" i="7" s="1"/>
  <c r="N414" i="7"/>
  <c r="AD414" i="7" s="1"/>
  <c r="M414" i="7"/>
  <c r="AC414" i="7" s="1"/>
  <c r="L414" i="7"/>
  <c r="AB414" i="7" s="1"/>
  <c r="K414" i="7"/>
  <c r="AA414" i="7" s="1"/>
  <c r="J414" i="7"/>
  <c r="Z414" i="7" s="1"/>
  <c r="I414" i="7"/>
  <c r="Y414" i="7" s="1"/>
  <c r="H414" i="7"/>
  <c r="X414" i="7" s="1"/>
  <c r="G414" i="7"/>
  <c r="W414" i="7" s="1"/>
  <c r="F414" i="7"/>
  <c r="V414" i="7" s="1"/>
  <c r="E414" i="7"/>
  <c r="U414" i="7" s="1"/>
  <c r="D414" i="7"/>
  <c r="T414" i="7" s="1"/>
  <c r="C414" i="7"/>
  <c r="S414" i="7" s="1"/>
  <c r="B414" i="7"/>
  <c r="R414" i="7" s="1"/>
  <c r="AH414" i="7" s="1"/>
  <c r="AI414" i="7" s="1"/>
  <c r="AP413" i="7"/>
  <c r="AQ413" i="7" s="1"/>
  <c r="AR413" i="7" s="1"/>
  <c r="AS413" i="7" s="1"/>
  <c r="P413" i="7"/>
  <c r="AF413" i="7" s="1"/>
  <c r="O413" i="7"/>
  <c r="AE413" i="7" s="1"/>
  <c r="N413" i="7"/>
  <c r="AD413" i="7" s="1"/>
  <c r="M413" i="7"/>
  <c r="AC413" i="7" s="1"/>
  <c r="L413" i="7"/>
  <c r="AB413" i="7" s="1"/>
  <c r="K413" i="7"/>
  <c r="AA413" i="7" s="1"/>
  <c r="J413" i="7"/>
  <c r="Z413" i="7" s="1"/>
  <c r="I413" i="7"/>
  <c r="Y413" i="7" s="1"/>
  <c r="H413" i="7"/>
  <c r="X413" i="7" s="1"/>
  <c r="G413" i="7"/>
  <c r="W413" i="7" s="1"/>
  <c r="F413" i="7"/>
  <c r="V413" i="7" s="1"/>
  <c r="E413" i="7"/>
  <c r="U413" i="7" s="1"/>
  <c r="D413" i="7"/>
  <c r="T413" i="7" s="1"/>
  <c r="C413" i="7"/>
  <c r="S413" i="7" s="1"/>
  <c r="B413" i="7"/>
  <c r="R413" i="7" s="1"/>
  <c r="AH413" i="7" s="1"/>
  <c r="AI413" i="7" s="1"/>
  <c r="AP412" i="7"/>
  <c r="AQ412" i="7" s="1"/>
  <c r="AR412" i="7" s="1"/>
  <c r="AS412" i="7" s="1"/>
  <c r="P412" i="7"/>
  <c r="AF412" i="7" s="1"/>
  <c r="O412" i="7"/>
  <c r="AE412" i="7" s="1"/>
  <c r="N412" i="7"/>
  <c r="AD412" i="7" s="1"/>
  <c r="M412" i="7"/>
  <c r="AC412" i="7" s="1"/>
  <c r="L412" i="7"/>
  <c r="AB412" i="7" s="1"/>
  <c r="K412" i="7"/>
  <c r="AA412" i="7" s="1"/>
  <c r="J412" i="7"/>
  <c r="Z412" i="7" s="1"/>
  <c r="I412" i="7"/>
  <c r="Y412" i="7" s="1"/>
  <c r="H412" i="7"/>
  <c r="X412" i="7" s="1"/>
  <c r="G412" i="7"/>
  <c r="W412" i="7" s="1"/>
  <c r="F412" i="7"/>
  <c r="V412" i="7" s="1"/>
  <c r="E412" i="7"/>
  <c r="U412" i="7" s="1"/>
  <c r="D412" i="7"/>
  <c r="T412" i="7" s="1"/>
  <c r="C412" i="7"/>
  <c r="S412" i="7" s="1"/>
  <c r="B412" i="7"/>
  <c r="R412" i="7" s="1"/>
  <c r="AH412" i="7" s="1"/>
  <c r="AI412" i="7" s="1"/>
  <c r="AP411" i="7"/>
  <c r="AQ411" i="7" s="1"/>
  <c r="AR411" i="7" s="1"/>
  <c r="AS411" i="7" s="1"/>
  <c r="P411" i="7"/>
  <c r="AF411" i="7" s="1"/>
  <c r="O411" i="7"/>
  <c r="AE411" i="7" s="1"/>
  <c r="N411" i="7"/>
  <c r="AD411" i="7" s="1"/>
  <c r="M411" i="7"/>
  <c r="AC411" i="7" s="1"/>
  <c r="L411" i="7"/>
  <c r="AB411" i="7" s="1"/>
  <c r="K411" i="7"/>
  <c r="AA411" i="7" s="1"/>
  <c r="J411" i="7"/>
  <c r="Z411" i="7" s="1"/>
  <c r="I411" i="7"/>
  <c r="Y411" i="7" s="1"/>
  <c r="H411" i="7"/>
  <c r="X411" i="7" s="1"/>
  <c r="G411" i="7"/>
  <c r="W411" i="7" s="1"/>
  <c r="F411" i="7"/>
  <c r="V411" i="7" s="1"/>
  <c r="E411" i="7"/>
  <c r="U411" i="7" s="1"/>
  <c r="D411" i="7"/>
  <c r="T411" i="7" s="1"/>
  <c r="C411" i="7"/>
  <c r="S411" i="7" s="1"/>
  <c r="B411" i="7"/>
  <c r="R411" i="7" s="1"/>
  <c r="AH411" i="7" s="1"/>
  <c r="AI411" i="7" s="1"/>
  <c r="AP410" i="7"/>
  <c r="AQ410" i="7" s="1"/>
  <c r="AR410" i="7" s="1"/>
  <c r="AS410" i="7" s="1"/>
  <c r="P410" i="7"/>
  <c r="AF410" i="7" s="1"/>
  <c r="O410" i="7"/>
  <c r="AE410" i="7" s="1"/>
  <c r="N410" i="7"/>
  <c r="AD410" i="7" s="1"/>
  <c r="M410" i="7"/>
  <c r="AC410" i="7" s="1"/>
  <c r="L410" i="7"/>
  <c r="AB410" i="7" s="1"/>
  <c r="K410" i="7"/>
  <c r="AA410" i="7" s="1"/>
  <c r="J410" i="7"/>
  <c r="Z410" i="7" s="1"/>
  <c r="I410" i="7"/>
  <c r="Y410" i="7" s="1"/>
  <c r="H410" i="7"/>
  <c r="X410" i="7" s="1"/>
  <c r="G410" i="7"/>
  <c r="W410" i="7" s="1"/>
  <c r="F410" i="7"/>
  <c r="V410" i="7" s="1"/>
  <c r="E410" i="7"/>
  <c r="U410" i="7" s="1"/>
  <c r="D410" i="7"/>
  <c r="T410" i="7" s="1"/>
  <c r="C410" i="7"/>
  <c r="S410" i="7" s="1"/>
  <c r="B410" i="7"/>
  <c r="R410" i="7" s="1"/>
  <c r="AH410" i="7" s="1"/>
  <c r="AI410" i="7" s="1"/>
  <c r="AP409" i="7"/>
  <c r="AQ409" i="7" s="1"/>
  <c r="AR409" i="7" s="1"/>
  <c r="AS409" i="7" s="1"/>
  <c r="P409" i="7"/>
  <c r="AF409" i="7" s="1"/>
  <c r="O409" i="7"/>
  <c r="AE409" i="7" s="1"/>
  <c r="N409" i="7"/>
  <c r="AD409" i="7" s="1"/>
  <c r="M409" i="7"/>
  <c r="AC409" i="7" s="1"/>
  <c r="L409" i="7"/>
  <c r="AB409" i="7" s="1"/>
  <c r="K409" i="7"/>
  <c r="AA409" i="7" s="1"/>
  <c r="J409" i="7"/>
  <c r="Z409" i="7" s="1"/>
  <c r="I409" i="7"/>
  <c r="Y409" i="7" s="1"/>
  <c r="H409" i="7"/>
  <c r="X409" i="7" s="1"/>
  <c r="G409" i="7"/>
  <c r="W409" i="7" s="1"/>
  <c r="F409" i="7"/>
  <c r="V409" i="7" s="1"/>
  <c r="E409" i="7"/>
  <c r="U409" i="7" s="1"/>
  <c r="D409" i="7"/>
  <c r="T409" i="7" s="1"/>
  <c r="C409" i="7"/>
  <c r="S409" i="7" s="1"/>
  <c r="B409" i="7"/>
  <c r="R409" i="7" s="1"/>
  <c r="AH409" i="7" s="1"/>
  <c r="AI409" i="7" s="1"/>
  <c r="AP408" i="7"/>
  <c r="AQ408" i="7" s="1"/>
  <c r="AR408" i="7" s="1"/>
  <c r="AS408" i="7" s="1"/>
  <c r="P408" i="7"/>
  <c r="AF408" i="7" s="1"/>
  <c r="O408" i="7"/>
  <c r="AE408" i="7" s="1"/>
  <c r="N408" i="7"/>
  <c r="AD408" i="7" s="1"/>
  <c r="M408" i="7"/>
  <c r="AC408" i="7" s="1"/>
  <c r="L408" i="7"/>
  <c r="AB408" i="7" s="1"/>
  <c r="K408" i="7"/>
  <c r="AA408" i="7" s="1"/>
  <c r="J408" i="7"/>
  <c r="Z408" i="7" s="1"/>
  <c r="I408" i="7"/>
  <c r="Y408" i="7" s="1"/>
  <c r="H408" i="7"/>
  <c r="X408" i="7" s="1"/>
  <c r="G408" i="7"/>
  <c r="W408" i="7" s="1"/>
  <c r="F408" i="7"/>
  <c r="V408" i="7" s="1"/>
  <c r="E408" i="7"/>
  <c r="U408" i="7" s="1"/>
  <c r="D408" i="7"/>
  <c r="T408" i="7" s="1"/>
  <c r="C408" i="7"/>
  <c r="S408" i="7" s="1"/>
  <c r="B408" i="7"/>
  <c r="R408" i="7" s="1"/>
  <c r="AH408" i="7" s="1"/>
  <c r="AI408" i="7" s="1"/>
  <c r="AP407" i="7"/>
  <c r="AQ407" i="7" s="1"/>
  <c r="AR407" i="7" s="1"/>
  <c r="AS407" i="7" s="1"/>
  <c r="P407" i="7"/>
  <c r="AF407" i="7" s="1"/>
  <c r="O407" i="7"/>
  <c r="AE407" i="7" s="1"/>
  <c r="N407" i="7"/>
  <c r="AD407" i="7" s="1"/>
  <c r="M407" i="7"/>
  <c r="AC407" i="7" s="1"/>
  <c r="L407" i="7"/>
  <c r="AB407" i="7" s="1"/>
  <c r="K407" i="7"/>
  <c r="AA407" i="7" s="1"/>
  <c r="J407" i="7"/>
  <c r="Z407" i="7" s="1"/>
  <c r="I407" i="7"/>
  <c r="Y407" i="7" s="1"/>
  <c r="H407" i="7"/>
  <c r="X407" i="7" s="1"/>
  <c r="G407" i="7"/>
  <c r="W407" i="7" s="1"/>
  <c r="F407" i="7"/>
  <c r="V407" i="7" s="1"/>
  <c r="E407" i="7"/>
  <c r="U407" i="7" s="1"/>
  <c r="D407" i="7"/>
  <c r="T407" i="7" s="1"/>
  <c r="C407" i="7"/>
  <c r="S407" i="7" s="1"/>
  <c r="B407" i="7"/>
  <c r="R407" i="7" s="1"/>
  <c r="AH407" i="7" s="1"/>
  <c r="AI407" i="7" s="1"/>
  <c r="AP406" i="7"/>
  <c r="AQ406" i="7" s="1"/>
  <c r="AR406" i="7" s="1"/>
  <c r="AS406" i="7" s="1"/>
  <c r="P406" i="7"/>
  <c r="AF406" i="7" s="1"/>
  <c r="O406" i="7"/>
  <c r="AE406" i="7" s="1"/>
  <c r="N406" i="7"/>
  <c r="AD406" i="7" s="1"/>
  <c r="M406" i="7"/>
  <c r="AC406" i="7" s="1"/>
  <c r="L406" i="7"/>
  <c r="AB406" i="7" s="1"/>
  <c r="K406" i="7"/>
  <c r="AA406" i="7" s="1"/>
  <c r="J406" i="7"/>
  <c r="Z406" i="7" s="1"/>
  <c r="I406" i="7"/>
  <c r="Y406" i="7" s="1"/>
  <c r="H406" i="7"/>
  <c r="X406" i="7" s="1"/>
  <c r="G406" i="7"/>
  <c r="W406" i="7" s="1"/>
  <c r="F406" i="7"/>
  <c r="V406" i="7" s="1"/>
  <c r="E406" i="7"/>
  <c r="U406" i="7" s="1"/>
  <c r="D406" i="7"/>
  <c r="T406" i="7" s="1"/>
  <c r="C406" i="7"/>
  <c r="S406" i="7" s="1"/>
  <c r="B406" i="7"/>
  <c r="R406" i="7" s="1"/>
  <c r="AH406" i="7" s="1"/>
  <c r="AI406" i="7" s="1"/>
  <c r="AP405" i="7"/>
  <c r="AQ405" i="7" s="1"/>
  <c r="AR405" i="7" s="1"/>
  <c r="AS405" i="7" s="1"/>
  <c r="P405" i="7"/>
  <c r="AF405" i="7" s="1"/>
  <c r="O405" i="7"/>
  <c r="AE405" i="7" s="1"/>
  <c r="N405" i="7"/>
  <c r="AD405" i="7" s="1"/>
  <c r="M405" i="7"/>
  <c r="AC405" i="7" s="1"/>
  <c r="L405" i="7"/>
  <c r="AB405" i="7" s="1"/>
  <c r="K405" i="7"/>
  <c r="AA405" i="7" s="1"/>
  <c r="J405" i="7"/>
  <c r="Z405" i="7" s="1"/>
  <c r="I405" i="7"/>
  <c r="Y405" i="7" s="1"/>
  <c r="H405" i="7"/>
  <c r="X405" i="7" s="1"/>
  <c r="G405" i="7"/>
  <c r="W405" i="7" s="1"/>
  <c r="F405" i="7"/>
  <c r="V405" i="7" s="1"/>
  <c r="E405" i="7"/>
  <c r="U405" i="7" s="1"/>
  <c r="D405" i="7"/>
  <c r="T405" i="7" s="1"/>
  <c r="C405" i="7"/>
  <c r="S405" i="7" s="1"/>
  <c r="B405" i="7"/>
  <c r="R405" i="7" s="1"/>
  <c r="AH405" i="7" s="1"/>
  <c r="AI405" i="7" s="1"/>
  <c r="AP404" i="7"/>
  <c r="AQ404" i="7" s="1"/>
  <c r="AR404" i="7" s="1"/>
  <c r="AS404" i="7" s="1"/>
  <c r="P404" i="7"/>
  <c r="AF404" i="7" s="1"/>
  <c r="O404" i="7"/>
  <c r="AE404" i="7" s="1"/>
  <c r="N404" i="7"/>
  <c r="AD404" i="7" s="1"/>
  <c r="M404" i="7"/>
  <c r="AC404" i="7" s="1"/>
  <c r="L404" i="7"/>
  <c r="AB404" i="7" s="1"/>
  <c r="K404" i="7"/>
  <c r="AA404" i="7" s="1"/>
  <c r="J404" i="7"/>
  <c r="Z404" i="7" s="1"/>
  <c r="I404" i="7"/>
  <c r="Y404" i="7" s="1"/>
  <c r="H404" i="7"/>
  <c r="X404" i="7" s="1"/>
  <c r="G404" i="7"/>
  <c r="W404" i="7" s="1"/>
  <c r="F404" i="7"/>
  <c r="V404" i="7" s="1"/>
  <c r="E404" i="7"/>
  <c r="U404" i="7" s="1"/>
  <c r="D404" i="7"/>
  <c r="T404" i="7" s="1"/>
  <c r="C404" i="7"/>
  <c r="S404" i="7" s="1"/>
  <c r="B404" i="7"/>
  <c r="R404" i="7" s="1"/>
  <c r="AH404" i="7" s="1"/>
  <c r="AI404" i="7" s="1"/>
  <c r="AP403" i="7"/>
  <c r="AQ403" i="7" s="1"/>
  <c r="AR403" i="7" s="1"/>
  <c r="AS403" i="7" s="1"/>
  <c r="P403" i="7"/>
  <c r="AF403" i="7" s="1"/>
  <c r="O403" i="7"/>
  <c r="AE403" i="7" s="1"/>
  <c r="N403" i="7"/>
  <c r="AD403" i="7" s="1"/>
  <c r="M403" i="7"/>
  <c r="AC403" i="7" s="1"/>
  <c r="L403" i="7"/>
  <c r="AB403" i="7" s="1"/>
  <c r="K403" i="7"/>
  <c r="AA403" i="7" s="1"/>
  <c r="J403" i="7"/>
  <c r="Z403" i="7" s="1"/>
  <c r="I403" i="7"/>
  <c r="Y403" i="7" s="1"/>
  <c r="H403" i="7"/>
  <c r="X403" i="7" s="1"/>
  <c r="G403" i="7"/>
  <c r="W403" i="7" s="1"/>
  <c r="F403" i="7"/>
  <c r="V403" i="7" s="1"/>
  <c r="E403" i="7"/>
  <c r="U403" i="7" s="1"/>
  <c r="D403" i="7"/>
  <c r="T403" i="7" s="1"/>
  <c r="C403" i="7"/>
  <c r="S403" i="7" s="1"/>
  <c r="B403" i="7"/>
  <c r="R403" i="7" s="1"/>
  <c r="AP402" i="7"/>
  <c r="AQ402" i="7" s="1"/>
  <c r="AR402" i="7" s="1"/>
  <c r="AS402" i="7" s="1"/>
  <c r="P402" i="7"/>
  <c r="AF402" i="7" s="1"/>
  <c r="O402" i="7"/>
  <c r="AE402" i="7" s="1"/>
  <c r="N402" i="7"/>
  <c r="AD402" i="7" s="1"/>
  <c r="M402" i="7"/>
  <c r="AC402" i="7" s="1"/>
  <c r="L402" i="7"/>
  <c r="AB402" i="7" s="1"/>
  <c r="K402" i="7"/>
  <c r="AA402" i="7" s="1"/>
  <c r="J402" i="7"/>
  <c r="Z402" i="7" s="1"/>
  <c r="I402" i="7"/>
  <c r="Y402" i="7" s="1"/>
  <c r="H402" i="7"/>
  <c r="X402" i="7" s="1"/>
  <c r="G402" i="7"/>
  <c r="W402" i="7" s="1"/>
  <c r="F402" i="7"/>
  <c r="V402" i="7" s="1"/>
  <c r="E402" i="7"/>
  <c r="U402" i="7" s="1"/>
  <c r="D402" i="7"/>
  <c r="T402" i="7" s="1"/>
  <c r="C402" i="7"/>
  <c r="S402" i="7" s="1"/>
  <c r="B402" i="7"/>
  <c r="R402" i="7" s="1"/>
  <c r="AP401" i="7"/>
  <c r="AQ401" i="7" s="1"/>
  <c r="AR401" i="7" s="1"/>
  <c r="AS401" i="7" s="1"/>
  <c r="P401" i="7"/>
  <c r="AF401" i="7" s="1"/>
  <c r="O401" i="7"/>
  <c r="AE401" i="7" s="1"/>
  <c r="N401" i="7"/>
  <c r="AD401" i="7" s="1"/>
  <c r="M401" i="7"/>
  <c r="AC401" i="7" s="1"/>
  <c r="L401" i="7"/>
  <c r="AB401" i="7" s="1"/>
  <c r="K401" i="7"/>
  <c r="AA401" i="7" s="1"/>
  <c r="J401" i="7"/>
  <c r="Z401" i="7" s="1"/>
  <c r="I401" i="7"/>
  <c r="Y401" i="7" s="1"/>
  <c r="H401" i="7"/>
  <c r="X401" i="7" s="1"/>
  <c r="G401" i="7"/>
  <c r="W401" i="7" s="1"/>
  <c r="F401" i="7"/>
  <c r="V401" i="7" s="1"/>
  <c r="E401" i="7"/>
  <c r="U401" i="7" s="1"/>
  <c r="D401" i="7"/>
  <c r="T401" i="7" s="1"/>
  <c r="C401" i="7"/>
  <c r="S401" i="7" s="1"/>
  <c r="B401" i="7"/>
  <c r="R401" i="7" s="1"/>
  <c r="AH401" i="7" s="1"/>
  <c r="AI401" i="7" s="1"/>
  <c r="AP400" i="7"/>
  <c r="AQ400" i="7" s="1"/>
  <c r="AR400" i="7" s="1"/>
  <c r="AS400" i="7" s="1"/>
  <c r="P400" i="7"/>
  <c r="AF400" i="7" s="1"/>
  <c r="O400" i="7"/>
  <c r="AE400" i="7" s="1"/>
  <c r="N400" i="7"/>
  <c r="AD400" i="7" s="1"/>
  <c r="M400" i="7"/>
  <c r="AC400" i="7" s="1"/>
  <c r="L400" i="7"/>
  <c r="AB400" i="7" s="1"/>
  <c r="K400" i="7"/>
  <c r="AA400" i="7" s="1"/>
  <c r="J400" i="7"/>
  <c r="Z400" i="7" s="1"/>
  <c r="I400" i="7"/>
  <c r="Y400" i="7" s="1"/>
  <c r="H400" i="7"/>
  <c r="X400" i="7" s="1"/>
  <c r="G400" i="7"/>
  <c r="W400" i="7" s="1"/>
  <c r="F400" i="7"/>
  <c r="V400" i="7" s="1"/>
  <c r="E400" i="7"/>
  <c r="U400" i="7" s="1"/>
  <c r="D400" i="7"/>
  <c r="T400" i="7" s="1"/>
  <c r="C400" i="7"/>
  <c r="S400" i="7" s="1"/>
  <c r="B400" i="7"/>
  <c r="R400" i="7" s="1"/>
  <c r="AH400" i="7" s="1"/>
  <c r="AI400" i="7" s="1"/>
  <c r="AP399" i="7"/>
  <c r="AQ399" i="7" s="1"/>
  <c r="AR399" i="7" s="1"/>
  <c r="AS399" i="7" s="1"/>
  <c r="P399" i="7"/>
  <c r="AF399" i="7" s="1"/>
  <c r="O399" i="7"/>
  <c r="AE399" i="7" s="1"/>
  <c r="N399" i="7"/>
  <c r="AD399" i="7" s="1"/>
  <c r="M399" i="7"/>
  <c r="AC399" i="7" s="1"/>
  <c r="L399" i="7"/>
  <c r="AB399" i="7" s="1"/>
  <c r="K399" i="7"/>
  <c r="AA399" i="7" s="1"/>
  <c r="J399" i="7"/>
  <c r="Z399" i="7" s="1"/>
  <c r="I399" i="7"/>
  <c r="Y399" i="7" s="1"/>
  <c r="H399" i="7"/>
  <c r="X399" i="7" s="1"/>
  <c r="G399" i="7"/>
  <c r="W399" i="7" s="1"/>
  <c r="F399" i="7"/>
  <c r="V399" i="7" s="1"/>
  <c r="E399" i="7"/>
  <c r="U399" i="7" s="1"/>
  <c r="D399" i="7"/>
  <c r="T399" i="7" s="1"/>
  <c r="C399" i="7"/>
  <c r="S399" i="7" s="1"/>
  <c r="B399" i="7"/>
  <c r="R399" i="7" s="1"/>
  <c r="AH399" i="7" s="1"/>
  <c r="AI399" i="7" s="1"/>
  <c r="AP398" i="7"/>
  <c r="AQ398" i="7" s="1"/>
  <c r="AR398" i="7" s="1"/>
  <c r="AS398" i="7" s="1"/>
  <c r="P398" i="7"/>
  <c r="AF398" i="7" s="1"/>
  <c r="O398" i="7"/>
  <c r="AE398" i="7" s="1"/>
  <c r="N398" i="7"/>
  <c r="AD398" i="7" s="1"/>
  <c r="M398" i="7"/>
  <c r="AC398" i="7" s="1"/>
  <c r="L398" i="7"/>
  <c r="AB398" i="7" s="1"/>
  <c r="K398" i="7"/>
  <c r="AA398" i="7" s="1"/>
  <c r="J398" i="7"/>
  <c r="Z398" i="7" s="1"/>
  <c r="I398" i="7"/>
  <c r="Y398" i="7" s="1"/>
  <c r="H398" i="7"/>
  <c r="X398" i="7" s="1"/>
  <c r="G398" i="7"/>
  <c r="W398" i="7" s="1"/>
  <c r="F398" i="7"/>
  <c r="V398" i="7" s="1"/>
  <c r="E398" i="7"/>
  <c r="U398" i="7" s="1"/>
  <c r="D398" i="7"/>
  <c r="T398" i="7" s="1"/>
  <c r="C398" i="7"/>
  <c r="S398" i="7" s="1"/>
  <c r="B398" i="7"/>
  <c r="R398" i="7" s="1"/>
  <c r="AH398" i="7" s="1"/>
  <c r="AI398" i="7" s="1"/>
  <c r="AP397" i="7"/>
  <c r="AQ397" i="7" s="1"/>
  <c r="AR397" i="7" s="1"/>
  <c r="AS397" i="7" s="1"/>
  <c r="P397" i="7"/>
  <c r="AF397" i="7" s="1"/>
  <c r="O397" i="7"/>
  <c r="AE397" i="7" s="1"/>
  <c r="N397" i="7"/>
  <c r="AD397" i="7" s="1"/>
  <c r="M397" i="7"/>
  <c r="AC397" i="7" s="1"/>
  <c r="L397" i="7"/>
  <c r="AB397" i="7" s="1"/>
  <c r="K397" i="7"/>
  <c r="AA397" i="7" s="1"/>
  <c r="J397" i="7"/>
  <c r="Z397" i="7" s="1"/>
  <c r="I397" i="7"/>
  <c r="Y397" i="7" s="1"/>
  <c r="H397" i="7"/>
  <c r="X397" i="7" s="1"/>
  <c r="G397" i="7"/>
  <c r="W397" i="7" s="1"/>
  <c r="F397" i="7"/>
  <c r="V397" i="7" s="1"/>
  <c r="E397" i="7"/>
  <c r="U397" i="7" s="1"/>
  <c r="D397" i="7"/>
  <c r="T397" i="7" s="1"/>
  <c r="C397" i="7"/>
  <c r="S397" i="7" s="1"/>
  <c r="B397" i="7"/>
  <c r="R397" i="7" s="1"/>
  <c r="AH397" i="7" s="1"/>
  <c r="AI397" i="7" s="1"/>
  <c r="AP396" i="7"/>
  <c r="AQ396" i="7" s="1"/>
  <c r="AR396" i="7" s="1"/>
  <c r="AS396" i="7" s="1"/>
  <c r="P396" i="7"/>
  <c r="AF396" i="7" s="1"/>
  <c r="O396" i="7"/>
  <c r="AE396" i="7" s="1"/>
  <c r="N396" i="7"/>
  <c r="AD396" i="7" s="1"/>
  <c r="M396" i="7"/>
  <c r="AC396" i="7" s="1"/>
  <c r="L396" i="7"/>
  <c r="AB396" i="7" s="1"/>
  <c r="K396" i="7"/>
  <c r="AA396" i="7" s="1"/>
  <c r="J396" i="7"/>
  <c r="Z396" i="7" s="1"/>
  <c r="I396" i="7"/>
  <c r="Y396" i="7" s="1"/>
  <c r="H396" i="7"/>
  <c r="X396" i="7" s="1"/>
  <c r="G396" i="7"/>
  <c r="W396" i="7" s="1"/>
  <c r="F396" i="7"/>
  <c r="V396" i="7" s="1"/>
  <c r="E396" i="7"/>
  <c r="U396" i="7" s="1"/>
  <c r="D396" i="7"/>
  <c r="T396" i="7" s="1"/>
  <c r="C396" i="7"/>
  <c r="S396" i="7" s="1"/>
  <c r="B396" i="7"/>
  <c r="R396" i="7" s="1"/>
  <c r="AH396" i="7" s="1"/>
  <c r="AI396" i="7" s="1"/>
  <c r="AP395" i="7"/>
  <c r="AQ395" i="7" s="1"/>
  <c r="AR395" i="7" s="1"/>
  <c r="AS395" i="7" s="1"/>
  <c r="P395" i="7"/>
  <c r="AF395" i="7" s="1"/>
  <c r="O395" i="7"/>
  <c r="AE395" i="7" s="1"/>
  <c r="N395" i="7"/>
  <c r="AD395" i="7" s="1"/>
  <c r="M395" i="7"/>
  <c r="AC395" i="7" s="1"/>
  <c r="L395" i="7"/>
  <c r="AB395" i="7" s="1"/>
  <c r="K395" i="7"/>
  <c r="AA395" i="7" s="1"/>
  <c r="J395" i="7"/>
  <c r="Z395" i="7" s="1"/>
  <c r="I395" i="7"/>
  <c r="Y395" i="7" s="1"/>
  <c r="H395" i="7"/>
  <c r="X395" i="7" s="1"/>
  <c r="G395" i="7"/>
  <c r="W395" i="7" s="1"/>
  <c r="F395" i="7"/>
  <c r="V395" i="7" s="1"/>
  <c r="E395" i="7"/>
  <c r="U395" i="7" s="1"/>
  <c r="D395" i="7"/>
  <c r="T395" i="7" s="1"/>
  <c r="C395" i="7"/>
  <c r="S395" i="7" s="1"/>
  <c r="B395" i="7"/>
  <c r="R395" i="7" s="1"/>
  <c r="AH395" i="7" s="1"/>
  <c r="AI395" i="7" s="1"/>
  <c r="AP394" i="7"/>
  <c r="AQ394" i="7" s="1"/>
  <c r="AR394" i="7" s="1"/>
  <c r="AS394" i="7" s="1"/>
  <c r="P394" i="7"/>
  <c r="AF394" i="7" s="1"/>
  <c r="O394" i="7"/>
  <c r="AE394" i="7" s="1"/>
  <c r="N394" i="7"/>
  <c r="AD394" i="7" s="1"/>
  <c r="M394" i="7"/>
  <c r="AC394" i="7" s="1"/>
  <c r="L394" i="7"/>
  <c r="AB394" i="7" s="1"/>
  <c r="K394" i="7"/>
  <c r="AA394" i="7" s="1"/>
  <c r="J394" i="7"/>
  <c r="Z394" i="7" s="1"/>
  <c r="I394" i="7"/>
  <c r="Y394" i="7" s="1"/>
  <c r="H394" i="7"/>
  <c r="X394" i="7" s="1"/>
  <c r="G394" i="7"/>
  <c r="W394" i="7" s="1"/>
  <c r="F394" i="7"/>
  <c r="V394" i="7" s="1"/>
  <c r="E394" i="7"/>
  <c r="U394" i="7" s="1"/>
  <c r="D394" i="7"/>
  <c r="T394" i="7" s="1"/>
  <c r="C394" i="7"/>
  <c r="S394" i="7" s="1"/>
  <c r="B394" i="7"/>
  <c r="R394" i="7" s="1"/>
  <c r="AH394" i="7" s="1"/>
  <c r="AI394" i="7" s="1"/>
  <c r="AP393" i="7"/>
  <c r="AQ393" i="7" s="1"/>
  <c r="AR393" i="7" s="1"/>
  <c r="AS393" i="7" s="1"/>
  <c r="P393" i="7"/>
  <c r="AF393" i="7" s="1"/>
  <c r="O393" i="7"/>
  <c r="AE393" i="7" s="1"/>
  <c r="N393" i="7"/>
  <c r="AD393" i="7" s="1"/>
  <c r="M393" i="7"/>
  <c r="AC393" i="7" s="1"/>
  <c r="L393" i="7"/>
  <c r="AB393" i="7" s="1"/>
  <c r="K393" i="7"/>
  <c r="AA393" i="7" s="1"/>
  <c r="J393" i="7"/>
  <c r="Z393" i="7" s="1"/>
  <c r="I393" i="7"/>
  <c r="Y393" i="7" s="1"/>
  <c r="H393" i="7"/>
  <c r="X393" i="7" s="1"/>
  <c r="G393" i="7"/>
  <c r="W393" i="7" s="1"/>
  <c r="F393" i="7"/>
  <c r="V393" i="7" s="1"/>
  <c r="E393" i="7"/>
  <c r="U393" i="7" s="1"/>
  <c r="D393" i="7"/>
  <c r="T393" i="7" s="1"/>
  <c r="C393" i="7"/>
  <c r="S393" i="7" s="1"/>
  <c r="B393" i="7"/>
  <c r="R393" i="7" s="1"/>
  <c r="AH393" i="7" s="1"/>
  <c r="AI393" i="7" s="1"/>
  <c r="AP392" i="7"/>
  <c r="AQ392" i="7" s="1"/>
  <c r="AR392" i="7" s="1"/>
  <c r="AS392" i="7" s="1"/>
  <c r="P392" i="7"/>
  <c r="AF392" i="7" s="1"/>
  <c r="O392" i="7"/>
  <c r="AE392" i="7" s="1"/>
  <c r="N392" i="7"/>
  <c r="AD392" i="7" s="1"/>
  <c r="M392" i="7"/>
  <c r="AC392" i="7" s="1"/>
  <c r="L392" i="7"/>
  <c r="AB392" i="7" s="1"/>
  <c r="K392" i="7"/>
  <c r="AA392" i="7" s="1"/>
  <c r="J392" i="7"/>
  <c r="Z392" i="7" s="1"/>
  <c r="I392" i="7"/>
  <c r="Y392" i="7" s="1"/>
  <c r="H392" i="7"/>
  <c r="X392" i="7" s="1"/>
  <c r="G392" i="7"/>
  <c r="W392" i="7" s="1"/>
  <c r="F392" i="7"/>
  <c r="V392" i="7" s="1"/>
  <c r="E392" i="7"/>
  <c r="U392" i="7" s="1"/>
  <c r="D392" i="7"/>
  <c r="T392" i="7" s="1"/>
  <c r="C392" i="7"/>
  <c r="S392" i="7" s="1"/>
  <c r="B392" i="7"/>
  <c r="R392" i="7" s="1"/>
  <c r="AH392" i="7" s="1"/>
  <c r="AI392" i="7" s="1"/>
  <c r="AP391" i="7"/>
  <c r="AQ391" i="7" s="1"/>
  <c r="AR391" i="7" s="1"/>
  <c r="AS391" i="7" s="1"/>
  <c r="P391" i="7"/>
  <c r="AF391" i="7" s="1"/>
  <c r="O391" i="7"/>
  <c r="AE391" i="7" s="1"/>
  <c r="N391" i="7"/>
  <c r="AD391" i="7" s="1"/>
  <c r="M391" i="7"/>
  <c r="AC391" i="7" s="1"/>
  <c r="L391" i="7"/>
  <c r="AB391" i="7" s="1"/>
  <c r="K391" i="7"/>
  <c r="AA391" i="7" s="1"/>
  <c r="J391" i="7"/>
  <c r="Z391" i="7" s="1"/>
  <c r="I391" i="7"/>
  <c r="Y391" i="7" s="1"/>
  <c r="H391" i="7"/>
  <c r="X391" i="7" s="1"/>
  <c r="G391" i="7"/>
  <c r="W391" i="7" s="1"/>
  <c r="F391" i="7"/>
  <c r="V391" i="7" s="1"/>
  <c r="E391" i="7"/>
  <c r="U391" i="7" s="1"/>
  <c r="D391" i="7"/>
  <c r="T391" i="7" s="1"/>
  <c r="C391" i="7"/>
  <c r="S391" i="7" s="1"/>
  <c r="B391" i="7"/>
  <c r="R391" i="7" s="1"/>
  <c r="AH391" i="7" s="1"/>
  <c r="AI391" i="7" s="1"/>
  <c r="AP390" i="7"/>
  <c r="AQ390" i="7" s="1"/>
  <c r="AR390" i="7" s="1"/>
  <c r="AS390" i="7" s="1"/>
  <c r="P390" i="7"/>
  <c r="AF390" i="7" s="1"/>
  <c r="O390" i="7"/>
  <c r="AE390" i="7" s="1"/>
  <c r="N390" i="7"/>
  <c r="AD390" i="7" s="1"/>
  <c r="M390" i="7"/>
  <c r="AC390" i="7" s="1"/>
  <c r="L390" i="7"/>
  <c r="AB390" i="7" s="1"/>
  <c r="K390" i="7"/>
  <c r="AA390" i="7" s="1"/>
  <c r="J390" i="7"/>
  <c r="Z390" i="7" s="1"/>
  <c r="I390" i="7"/>
  <c r="Y390" i="7" s="1"/>
  <c r="H390" i="7"/>
  <c r="X390" i="7" s="1"/>
  <c r="G390" i="7"/>
  <c r="W390" i="7" s="1"/>
  <c r="F390" i="7"/>
  <c r="V390" i="7" s="1"/>
  <c r="E390" i="7"/>
  <c r="U390" i="7" s="1"/>
  <c r="D390" i="7"/>
  <c r="T390" i="7" s="1"/>
  <c r="C390" i="7"/>
  <c r="S390" i="7" s="1"/>
  <c r="B390" i="7"/>
  <c r="R390" i="7" s="1"/>
  <c r="AH390" i="7" s="1"/>
  <c r="AI390" i="7" s="1"/>
  <c r="AP389" i="7"/>
  <c r="AQ389" i="7" s="1"/>
  <c r="AR389" i="7" s="1"/>
  <c r="AS389" i="7" s="1"/>
  <c r="P389" i="7"/>
  <c r="AF389" i="7" s="1"/>
  <c r="O389" i="7"/>
  <c r="AE389" i="7" s="1"/>
  <c r="N389" i="7"/>
  <c r="AD389" i="7" s="1"/>
  <c r="M389" i="7"/>
  <c r="AC389" i="7" s="1"/>
  <c r="L389" i="7"/>
  <c r="AB389" i="7" s="1"/>
  <c r="K389" i="7"/>
  <c r="AA389" i="7" s="1"/>
  <c r="J389" i="7"/>
  <c r="Z389" i="7" s="1"/>
  <c r="I389" i="7"/>
  <c r="Y389" i="7" s="1"/>
  <c r="H389" i="7"/>
  <c r="X389" i="7" s="1"/>
  <c r="G389" i="7"/>
  <c r="W389" i="7" s="1"/>
  <c r="F389" i="7"/>
  <c r="V389" i="7" s="1"/>
  <c r="E389" i="7"/>
  <c r="U389" i="7" s="1"/>
  <c r="D389" i="7"/>
  <c r="T389" i="7" s="1"/>
  <c r="C389" i="7"/>
  <c r="S389" i="7" s="1"/>
  <c r="B389" i="7"/>
  <c r="R389" i="7" s="1"/>
  <c r="AH389" i="7" s="1"/>
  <c r="AI389" i="7" s="1"/>
  <c r="AP388" i="7"/>
  <c r="AQ388" i="7" s="1"/>
  <c r="AR388" i="7" s="1"/>
  <c r="AS388" i="7" s="1"/>
  <c r="P388" i="7"/>
  <c r="AF388" i="7" s="1"/>
  <c r="O388" i="7"/>
  <c r="AE388" i="7" s="1"/>
  <c r="N388" i="7"/>
  <c r="AD388" i="7" s="1"/>
  <c r="M388" i="7"/>
  <c r="AC388" i="7" s="1"/>
  <c r="L388" i="7"/>
  <c r="AB388" i="7" s="1"/>
  <c r="K388" i="7"/>
  <c r="AA388" i="7" s="1"/>
  <c r="J388" i="7"/>
  <c r="Z388" i="7" s="1"/>
  <c r="I388" i="7"/>
  <c r="Y388" i="7" s="1"/>
  <c r="H388" i="7"/>
  <c r="X388" i="7" s="1"/>
  <c r="G388" i="7"/>
  <c r="W388" i="7" s="1"/>
  <c r="F388" i="7"/>
  <c r="V388" i="7" s="1"/>
  <c r="E388" i="7"/>
  <c r="U388" i="7" s="1"/>
  <c r="D388" i="7"/>
  <c r="T388" i="7" s="1"/>
  <c r="C388" i="7"/>
  <c r="S388" i="7" s="1"/>
  <c r="B388" i="7"/>
  <c r="R388" i="7" s="1"/>
  <c r="AH388" i="7" s="1"/>
  <c r="AI388" i="7" s="1"/>
  <c r="AP387" i="7"/>
  <c r="AQ387" i="7" s="1"/>
  <c r="AR387" i="7" s="1"/>
  <c r="AS387" i="7" s="1"/>
  <c r="P387" i="7"/>
  <c r="AF387" i="7" s="1"/>
  <c r="O387" i="7"/>
  <c r="AE387" i="7" s="1"/>
  <c r="N387" i="7"/>
  <c r="AD387" i="7" s="1"/>
  <c r="M387" i="7"/>
  <c r="AC387" i="7" s="1"/>
  <c r="L387" i="7"/>
  <c r="AB387" i="7" s="1"/>
  <c r="K387" i="7"/>
  <c r="AA387" i="7" s="1"/>
  <c r="J387" i="7"/>
  <c r="Z387" i="7" s="1"/>
  <c r="I387" i="7"/>
  <c r="Y387" i="7" s="1"/>
  <c r="H387" i="7"/>
  <c r="X387" i="7" s="1"/>
  <c r="G387" i="7"/>
  <c r="W387" i="7" s="1"/>
  <c r="F387" i="7"/>
  <c r="V387" i="7" s="1"/>
  <c r="E387" i="7"/>
  <c r="U387" i="7" s="1"/>
  <c r="D387" i="7"/>
  <c r="T387" i="7" s="1"/>
  <c r="C387" i="7"/>
  <c r="S387" i="7" s="1"/>
  <c r="B387" i="7"/>
  <c r="R387" i="7" s="1"/>
  <c r="AH387" i="7" s="1"/>
  <c r="AI387" i="7" s="1"/>
  <c r="AP386" i="7"/>
  <c r="AQ386" i="7" s="1"/>
  <c r="AR386" i="7" s="1"/>
  <c r="AS386" i="7" s="1"/>
  <c r="P386" i="7"/>
  <c r="AF386" i="7" s="1"/>
  <c r="O386" i="7"/>
  <c r="AE386" i="7" s="1"/>
  <c r="N386" i="7"/>
  <c r="AD386" i="7" s="1"/>
  <c r="M386" i="7"/>
  <c r="AC386" i="7" s="1"/>
  <c r="L386" i="7"/>
  <c r="AB386" i="7" s="1"/>
  <c r="K386" i="7"/>
  <c r="AA386" i="7" s="1"/>
  <c r="J386" i="7"/>
  <c r="Z386" i="7" s="1"/>
  <c r="I386" i="7"/>
  <c r="Y386" i="7" s="1"/>
  <c r="H386" i="7"/>
  <c r="X386" i="7" s="1"/>
  <c r="G386" i="7"/>
  <c r="W386" i="7" s="1"/>
  <c r="F386" i="7"/>
  <c r="V386" i="7" s="1"/>
  <c r="E386" i="7"/>
  <c r="U386" i="7" s="1"/>
  <c r="D386" i="7"/>
  <c r="T386" i="7" s="1"/>
  <c r="C386" i="7"/>
  <c r="S386" i="7" s="1"/>
  <c r="B386" i="7"/>
  <c r="R386" i="7" s="1"/>
  <c r="AH386" i="7" s="1"/>
  <c r="AI386" i="7" s="1"/>
  <c r="AP385" i="7"/>
  <c r="AQ385" i="7" s="1"/>
  <c r="AR385" i="7" s="1"/>
  <c r="AS385" i="7" s="1"/>
  <c r="P385" i="7"/>
  <c r="AF385" i="7" s="1"/>
  <c r="O385" i="7"/>
  <c r="AE385" i="7" s="1"/>
  <c r="N385" i="7"/>
  <c r="AD385" i="7" s="1"/>
  <c r="M385" i="7"/>
  <c r="AC385" i="7" s="1"/>
  <c r="L385" i="7"/>
  <c r="AB385" i="7" s="1"/>
  <c r="K385" i="7"/>
  <c r="AA385" i="7" s="1"/>
  <c r="J385" i="7"/>
  <c r="Z385" i="7" s="1"/>
  <c r="I385" i="7"/>
  <c r="Y385" i="7" s="1"/>
  <c r="H385" i="7"/>
  <c r="X385" i="7" s="1"/>
  <c r="G385" i="7"/>
  <c r="W385" i="7" s="1"/>
  <c r="F385" i="7"/>
  <c r="V385" i="7" s="1"/>
  <c r="E385" i="7"/>
  <c r="U385" i="7" s="1"/>
  <c r="D385" i="7"/>
  <c r="T385" i="7" s="1"/>
  <c r="C385" i="7"/>
  <c r="S385" i="7" s="1"/>
  <c r="B385" i="7"/>
  <c r="R385" i="7" s="1"/>
  <c r="AH385" i="7" s="1"/>
  <c r="AI385" i="7" s="1"/>
  <c r="AP384" i="7"/>
  <c r="AQ384" i="7" s="1"/>
  <c r="AR384" i="7" s="1"/>
  <c r="AS384" i="7" s="1"/>
  <c r="P384" i="7"/>
  <c r="AF384" i="7" s="1"/>
  <c r="O384" i="7"/>
  <c r="AE384" i="7" s="1"/>
  <c r="N384" i="7"/>
  <c r="AD384" i="7" s="1"/>
  <c r="M384" i="7"/>
  <c r="AC384" i="7" s="1"/>
  <c r="L384" i="7"/>
  <c r="AB384" i="7" s="1"/>
  <c r="K384" i="7"/>
  <c r="AA384" i="7" s="1"/>
  <c r="J384" i="7"/>
  <c r="Z384" i="7" s="1"/>
  <c r="I384" i="7"/>
  <c r="Y384" i="7" s="1"/>
  <c r="H384" i="7"/>
  <c r="X384" i="7" s="1"/>
  <c r="G384" i="7"/>
  <c r="W384" i="7" s="1"/>
  <c r="F384" i="7"/>
  <c r="V384" i="7" s="1"/>
  <c r="E384" i="7"/>
  <c r="U384" i="7" s="1"/>
  <c r="D384" i="7"/>
  <c r="T384" i="7" s="1"/>
  <c r="C384" i="7"/>
  <c r="S384" i="7" s="1"/>
  <c r="B384" i="7"/>
  <c r="R384" i="7" s="1"/>
  <c r="AP383" i="7"/>
  <c r="AQ383" i="7" s="1"/>
  <c r="AR383" i="7" s="1"/>
  <c r="AS383" i="7" s="1"/>
  <c r="P383" i="7"/>
  <c r="AF383" i="7" s="1"/>
  <c r="O383" i="7"/>
  <c r="AE383" i="7" s="1"/>
  <c r="N383" i="7"/>
  <c r="AD383" i="7" s="1"/>
  <c r="M383" i="7"/>
  <c r="AC383" i="7" s="1"/>
  <c r="L383" i="7"/>
  <c r="AB383" i="7" s="1"/>
  <c r="K383" i="7"/>
  <c r="AA383" i="7" s="1"/>
  <c r="J383" i="7"/>
  <c r="Z383" i="7" s="1"/>
  <c r="I383" i="7"/>
  <c r="Y383" i="7" s="1"/>
  <c r="H383" i="7"/>
  <c r="X383" i="7" s="1"/>
  <c r="G383" i="7"/>
  <c r="W383" i="7" s="1"/>
  <c r="F383" i="7"/>
  <c r="V383" i="7" s="1"/>
  <c r="E383" i="7"/>
  <c r="U383" i="7" s="1"/>
  <c r="D383" i="7"/>
  <c r="T383" i="7" s="1"/>
  <c r="C383" i="7"/>
  <c r="S383" i="7" s="1"/>
  <c r="B383" i="7"/>
  <c r="R383" i="7" s="1"/>
  <c r="AH383" i="7" s="1"/>
  <c r="AI383" i="7" s="1"/>
  <c r="AP382" i="7"/>
  <c r="AQ382" i="7" s="1"/>
  <c r="AR382" i="7" s="1"/>
  <c r="AS382" i="7" s="1"/>
  <c r="P382" i="7"/>
  <c r="AF382" i="7" s="1"/>
  <c r="O382" i="7"/>
  <c r="AE382" i="7" s="1"/>
  <c r="N382" i="7"/>
  <c r="AD382" i="7" s="1"/>
  <c r="M382" i="7"/>
  <c r="AC382" i="7" s="1"/>
  <c r="L382" i="7"/>
  <c r="AB382" i="7" s="1"/>
  <c r="K382" i="7"/>
  <c r="AA382" i="7" s="1"/>
  <c r="J382" i="7"/>
  <c r="Z382" i="7" s="1"/>
  <c r="I382" i="7"/>
  <c r="Y382" i="7" s="1"/>
  <c r="H382" i="7"/>
  <c r="X382" i="7" s="1"/>
  <c r="G382" i="7"/>
  <c r="W382" i="7" s="1"/>
  <c r="F382" i="7"/>
  <c r="V382" i="7" s="1"/>
  <c r="E382" i="7"/>
  <c r="U382" i="7" s="1"/>
  <c r="D382" i="7"/>
  <c r="T382" i="7" s="1"/>
  <c r="C382" i="7"/>
  <c r="S382" i="7" s="1"/>
  <c r="B382" i="7"/>
  <c r="R382" i="7" s="1"/>
  <c r="AH382" i="7" s="1"/>
  <c r="AI382" i="7" s="1"/>
  <c r="AP381" i="7"/>
  <c r="AQ381" i="7" s="1"/>
  <c r="AR381" i="7" s="1"/>
  <c r="AS381" i="7" s="1"/>
  <c r="P381" i="7"/>
  <c r="AF381" i="7" s="1"/>
  <c r="O381" i="7"/>
  <c r="AE381" i="7" s="1"/>
  <c r="N381" i="7"/>
  <c r="AD381" i="7" s="1"/>
  <c r="M381" i="7"/>
  <c r="AC381" i="7" s="1"/>
  <c r="L381" i="7"/>
  <c r="AB381" i="7" s="1"/>
  <c r="K381" i="7"/>
  <c r="AA381" i="7" s="1"/>
  <c r="J381" i="7"/>
  <c r="Z381" i="7" s="1"/>
  <c r="I381" i="7"/>
  <c r="Y381" i="7" s="1"/>
  <c r="H381" i="7"/>
  <c r="X381" i="7" s="1"/>
  <c r="G381" i="7"/>
  <c r="W381" i="7" s="1"/>
  <c r="F381" i="7"/>
  <c r="V381" i="7" s="1"/>
  <c r="E381" i="7"/>
  <c r="U381" i="7" s="1"/>
  <c r="D381" i="7"/>
  <c r="T381" i="7" s="1"/>
  <c r="C381" i="7"/>
  <c r="S381" i="7" s="1"/>
  <c r="B381" i="7"/>
  <c r="R381" i="7" s="1"/>
  <c r="AH381" i="7" s="1"/>
  <c r="AI381" i="7" s="1"/>
  <c r="AP380" i="7"/>
  <c r="AQ380" i="7" s="1"/>
  <c r="AR380" i="7" s="1"/>
  <c r="AS380" i="7" s="1"/>
  <c r="P380" i="7"/>
  <c r="AF380" i="7" s="1"/>
  <c r="O380" i="7"/>
  <c r="AE380" i="7" s="1"/>
  <c r="N380" i="7"/>
  <c r="AD380" i="7" s="1"/>
  <c r="M380" i="7"/>
  <c r="AC380" i="7" s="1"/>
  <c r="L380" i="7"/>
  <c r="AB380" i="7" s="1"/>
  <c r="K380" i="7"/>
  <c r="AA380" i="7" s="1"/>
  <c r="J380" i="7"/>
  <c r="Z380" i="7" s="1"/>
  <c r="I380" i="7"/>
  <c r="Y380" i="7" s="1"/>
  <c r="H380" i="7"/>
  <c r="X380" i="7" s="1"/>
  <c r="G380" i="7"/>
  <c r="W380" i="7" s="1"/>
  <c r="F380" i="7"/>
  <c r="V380" i="7" s="1"/>
  <c r="E380" i="7"/>
  <c r="U380" i="7" s="1"/>
  <c r="D380" i="7"/>
  <c r="T380" i="7" s="1"/>
  <c r="C380" i="7"/>
  <c r="S380" i="7" s="1"/>
  <c r="B380" i="7"/>
  <c r="R380" i="7" s="1"/>
  <c r="AH380" i="7" s="1"/>
  <c r="AI380" i="7" s="1"/>
  <c r="AP379" i="7"/>
  <c r="AQ379" i="7" s="1"/>
  <c r="AR379" i="7" s="1"/>
  <c r="AS379" i="7" s="1"/>
  <c r="P379" i="7"/>
  <c r="AF379" i="7" s="1"/>
  <c r="O379" i="7"/>
  <c r="AE379" i="7" s="1"/>
  <c r="N379" i="7"/>
  <c r="AD379" i="7" s="1"/>
  <c r="M379" i="7"/>
  <c r="AC379" i="7" s="1"/>
  <c r="L379" i="7"/>
  <c r="AB379" i="7" s="1"/>
  <c r="K379" i="7"/>
  <c r="AA379" i="7" s="1"/>
  <c r="J379" i="7"/>
  <c r="Z379" i="7" s="1"/>
  <c r="I379" i="7"/>
  <c r="Y379" i="7" s="1"/>
  <c r="H379" i="7"/>
  <c r="X379" i="7" s="1"/>
  <c r="G379" i="7"/>
  <c r="W379" i="7" s="1"/>
  <c r="F379" i="7"/>
  <c r="V379" i="7" s="1"/>
  <c r="E379" i="7"/>
  <c r="U379" i="7" s="1"/>
  <c r="D379" i="7"/>
  <c r="T379" i="7" s="1"/>
  <c r="C379" i="7"/>
  <c r="S379" i="7" s="1"/>
  <c r="B379" i="7"/>
  <c r="R379" i="7" s="1"/>
  <c r="AH379" i="7" s="1"/>
  <c r="AI379" i="7" s="1"/>
  <c r="AP378" i="7"/>
  <c r="AQ378" i="7" s="1"/>
  <c r="AR378" i="7" s="1"/>
  <c r="AS378" i="7" s="1"/>
  <c r="P378" i="7"/>
  <c r="AF378" i="7" s="1"/>
  <c r="O378" i="7"/>
  <c r="AE378" i="7" s="1"/>
  <c r="N378" i="7"/>
  <c r="AD378" i="7" s="1"/>
  <c r="M378" i="7"/>
  <c r="AC378" i="7" s="1"/>
  <c r="L378" i="7"/>
  <c r="AB378" i="7" s="1"/>
  <c r="K378" i="7"/>
  <c r="AA378" i="7" s="1"/>
  <c r="J378" i="7"/>
  <c r="Z378" i="7" s="1"/>
  <c r="I378" i="7"/>
  <c r="Y378" i="7" s="1"/>
  <c r="H378" i="7"/>
  <c r="X378" i="7" s="1"/>
  <c r="G378" i="7"/>
  <c r="W378" i="7" s="1"/>
  <c r="F378" i="7"/>
  <c r="V378" i="7" s="1"/>
  <c r="E378" i="7"/>
  <c r="U378" i="7" s="1"/>
  <c r="D378" i="7"/>
  <c r="T378" i="7" s="1"/>
  <c r="C378" i="7"/>
  <c r="S378" i="7" s="1"/>
  <c r="B378" i="7"/>
  <c r="R378" i="7" s="1"/>
  <c r="AH378" i="7" s="1"/>
  <c r="AI378" i="7" s="1"/>
  <c r="AP377" i="7"/>
  <c r="AQ377" i="7" s="1"/>
  <c r="AR377" i="7" s="1"/>
  <c r="AS377" i="7" s="1"/>
  <c r="P377" i="7"/>
  <c r="AF377" i="7" s="1"/>
  <c r="O377" i="7"/>
  <c r="AE377" i="7" s="1"/>
  <c r="N377" i="7"/>
  <c r="AD377" i="7" s="1"/>
  <c r="M377" i="7"/>
  <c r="AC377" i="7" s="1"/>
  <c r="L377" i="7"/>
  <c r="AB377" i="7" s="1"/>
  <c r="K377" i="7"/>
  <c r="AA377" i="7" s="1"/>
  <c r="J377" i="7"/>
  <c r="Z377" i="7" s="1"/>
  <c r="I377" i="7"/>
  <c r="Y377" i="7" s="1"/>
  <c r="H377" i="7"/>
  <c r="X377" i="7" s="1"/>
  <c r="G377" i="7"/>
  <c r="W377" i="7" s="1"/>
  <c r="F377" i="7"/>
  <c r="V377" i="7" s="1"/>
  <c r="E377" i="7"/>
  <c r="U377" i="7" s="1"/>
  <c r="D377" i="7"/>
  <c r="T377" i="7" s="1"/>
  <c r="C377" i="7"/>
  <c r="S377" i="7" s="1"/>
  <c r="B377" i="7"/>
  <c r="R377" i="7" s="1"/>
  <c r="AH377" i="7" s="1"/>
  <c r="AI377" i="7" s="1"/>
  <c r="AP376" i="7"/>
  <c r="AQ376" i="7" s="1"/>
  <c r="AR376" i="7" s="1"/>
  <c r="AS376" i="7" s="1"/>
  <c r="P376" i="7"/>
  <c r="AF376" i="7" s="1"/>
  <c r="O376" i="7"/>
  <c r="AE376" i="7" s="1"/>
  <c r="N376" i="7"/>
  <c r="AD376" i="7" s="1"/>
  <c r="M376" i="7"/>
  <c r="AC376" i="7" s="1"/>
  <c r="L376" i="7"/>
  <c r="AB376" i="7" s="1"/>
  <c r="K376" i="7"/>
  <c r="AA376" i="7" s="1"/>
  <c r="J376" i="7"/>
  <c r="Z376" i="7" s="1"/>
  <c r="I376" i="7"/>
  <c r="Y376" i="7" s="1"/>
  <c r="H376" i="7"/>
  <c r="X376" i="7" s="1"/>
  <c r="G376" i="7"/>
  <c r="W376" i="7" s="1"/>
  <c r="F376" i="7"/>
  <c r="V376" i="7" s="1"/>
  <c r="E376" i="7"/>
  <c r="U376" i="7" s="1"/>
  <c r="D376" i="7"/>
  <c r="T376" i="7" s="1"/>
  <c r="C376" i="7"/>
  <c r="S376" i="7" s="1"/>
  <c r="B376" i="7"/>
  <c r="R376" i="7" s="1"/>
  <c r="AH376" i="7" s="1"/>
  <c r="AI376" i="7" s="1"/>
  <c r="AP375" i="7"/>
  <c r="AQ375" i="7" s="1"/>
  <c r="AR375" i="7" s="1"/>
  <c r="AS375" i="7" s="1"/>
  <c r="P375" i="7"/>
  <c r="AF375" i="7" s="1"/>
  <c r="O375" i="7"/>
  <c r="AE375" i="7" s="1"/>
  <c r="N375" i="7"/>
  <c r="AD375" i="7" s="1"/>
  <c r="M375" i="7"/>
  <c r="AC375" i="7" s="1"/>
  <c r="L375" i="7"/>
  <c r="AB375" i="7" s="1"/>
  <c r="K375" i="7"/>
  <c r="AA375" i="7" s="1"/>
  <c r="J375" i="7"/>
  <c r="Z375" i="7" s="1"/>
  <c r="I375" i="7"/>
  <c r="Y375" i="7" s="1"/>
  <c r="H375" i="7"/>
  <c r="X375" i="7" s="1"/>
  <c r="G375" i="7"/>
  <c r="W375" i="7" s="1"/>
  <c r="F375" i="7"/>
  <c r="V375" i="7" s="1"/>
  <c r="E375" i="7"/>
  <c r="U375" i="7" s="1"/>
  <c r="D375" i="7"/>
  <c r="T375" i="7" s="1"/>
  <c r="C375" i="7"/>
  <c r="S375" i="7" s="1"/>
  <c r="B375" i="7"/>
  <c r="R375" i="7" s="1"/>
  <c r="AH375" i="7" s="1"/>
  <c r="AI375" i="7" s="1"/>
  <c r="AP374" i="7"/>
  <c r="AQ374" i="7" s="1"/>
  <c r="AR374" i="7" s="1"/>
  <c r="AS374" i="7" s="1"/>
  <c r="P374" i="7"/>
  <c r="AF374" i="7" s="1"/>
  <c r="O374" i="7"/>
  <c r="AE374" i="7" s="1"/>
  <c r="N374" i="7"/>
  <c r="AD374" i="7" s="1"/>
  <c r="M374" i="7"/>
  <c r="AC374" i="7" s="1"/>
  <c r="L374" i="7"/>
  <c r="AB374" i="7" s="1"/>
  <c r="K374" i="7"/>
  <c r="AA374" i="7" s="1"/>
  <c r="J374" i="7"/>
  <c r="Z374" i="7" s="1"/>
  <c r="I374" i="7"/>
  <c r="Y374" i="7" s="1"/>
  <c r="H374" i="7"/>
  <c r="X374" i="7" s="1"/>
  <c r="G374" i="7"/>
  <c r="W374" i="7" s="1"/>
  <c r="F374" i="7"/>
  <c r="V374" i="7" s="1"/>
  <c r="E374" i="7"/>
  <c r="U374" i="7" s="1"/>
  <c r="D374" i="7"/>
  <c r="T374" i="7" s="1"/>
  <c r="C374" i="7"/>
  <c r="S374" i="7" s="1"/>
  <c r="B374" i="7"/>
  <c r="R374" i="7" s="1"/>
  <c r="AP373" i="7"/>
  <c r="AQ373" i="7" s="1"/>
  <c r="AR373" i="7" s="1"/>
  <c r="AS373" i="7" s="1"/>
  <c r="P373" i="7"/>
  <c r="AF373" i="7" s="1"/>
  <c r="O373" i="7"/>
  <c r="AE373" i="7" s="1"/>
  <c r="N373" i="7"/>
  <c r="AD373" i="7" s="1"/>
  <c r="M373" i="7"/>
  <c r="AC373" i="7" s="1"/>
  <c r="L373" i="7"/>
  <c r="AB373" i="7" s="1"/>
  <c r="K373" i="7"/>
  <c r="AA373" i="7" s="1"/>
  <c r="J373" i="7"/>
  <c r="Z373" i="7" s="1"/>
  <c r="I373" i="7"/>
  <c r="Y373" i="7" s="1"/>
  <c r="H373" i="7"/>
  <c r="X373" i="7" s="1"/>
  <c r="G373" i="7"/>
  <c r="W373" i="7" s="1"/>
  <c r="F373" i="7"/>
  <c r="V373" i="7" s="1"/>
  <c r="E373" i="7"/>
  <c r="U373" i="7" s="1"/>
  <c r="D373" i="7"/>
  <c r="T373" i="7" s="1"/>
  <c r="C373" i="7"/>
  <c r="S373" i="7" s="1"/>
  <c r="B373" i="7"/>
  <c r="R373" i="7" s="1"/>
  <c r="AP372" i="7"/>
  <c r="AQ372" i="7" s="1"/>
  <c r="AR372" i="7" s="1"/>
  <c r="AS372" i="7" s="1"/>
  <c r="P372" i="7"/>
  <c r="AF372" i="7" s="1"/>
  <c r="O372" i="7"/>
  <c r="AE372" i="7" s="1"/>
  <c r="N372" i="7"/>
  <c r="AD372" i="7" s="1"/>
  <c r="M372" i="7"/>
  <c r="AC372" i="7" s="1"/>
  <c r="L372" i="7"/>
  <c r="AB372" i="7" s="1"/>
  <c r="K372" i="7"/>
  <c r="AA372" i="7" s="1"/>
  <c r="J372" i="7"/>
  <c r="Z372" i="7" s="1"/>
  <c r="I372" i="7"/>
  <c r="Y372" i="7" s="1"/>
  <c r="H372" i="7"/>
  <c r="X372" i="7" s="1"/>
  <c r="G372" i="7"/>
  <c r="W372" i="7" s="1"/>
  <c r="F372" i="7"/>
  <c r="V372" i="7" s="1"/>
  <c r="E372" i="7"/>
  <c r="U372" i="7" s="1"/>
  <c r="D372" i="7"/>
  <c r="T372" i="7" s="1"/>
  <c r="C372" i="7"/>
  <c r="S372" i="7" s="1"/>
  <c r="B372" i="7"/>
  <c r="R372" i="7" s="1"/>
  <c r="AH372" i="7" s="1"/>
  <c r="AI372" i="7" s="1"/>
  <c r="AP371" i="7"/>
  <c r="AQ371" i="7" s="1"/>
  <c r="AR371" i="7" s="1"/>
  <c r="AS371" i="7" s="1"/>
  <c r="P371" i="7"/>
  <c r="AF371" i="7" s="1"/>
  <c r="O371" i="7"/>
  <c r="AE371" i="7" s="1"/>
  <c r="N371" i="7"/>
  <c r="AD371" i="7" s="1"/>
  <c r="M371" i="7"/>
  <c r="AC371" i="7" s="1"/>
  <c r="L371" i="7"/>
  <c r="AB371" i="7" s="1"/>
  <c r="K371" i="7"/>
  <c r="AA371" i="7" s="1"/>
  <c r="J371" i="7"/>
  <c r="Z371" i="7" s="1"/>
  <c r="I371" i="7"/>
  <c r="Y371" i="7" s="1"/>
  <c r="H371" i="7"/>
  <c r="X371" i="7" s="1"/>
  <c r="G371" i="7"/>
  <c r="W371" i="7" s="1"/>
  <c r="F371" i="7"/>
  <c r="V371" i="7" s="1"/>
  <c r="E371" i="7"/>
  <c r="U371" i="7" s="1"/>
  <c r="D371" i="7"/>
  <c r="T371" i="7" s="1"/>
  <c r="C371" i="7"/>
  <c r="S371" i="7" s="1"/>
  <c r="B371" i="7"/>
  <c r="R371" i="7" s="1"/>
  <c r="AH371" i="7" s="1"/>
  <c r="AI371" i="7" s="1"/>
  <c r="AP370" i="7"/>
  <c r="AQ370" i="7" s="1"/>
  <c r="AR370" i="7" s="1"/>
  <c r="AS370" i="7" s="1"/>
  <c r="P370" i="7"/>
  <c r="AF370" i="7" s="1"/>
  <c r="O370" i="7"/>
  <c r="AE370" i="7" s="1"/>
  <c r="N370" i="7"/>
  <c r="AD370" i="7" s="1"/>
  <c r="M370" i="7"/>
  <c r="AC370" i="7" s="1"/>
  <c r="L370" i="7"/>
  <c r="AB370" i="7" s="1"/>
  <c r="K370" i="7"/>
  <c r="AA370" i="7" s="1"/>
  <c r="J370" i="7"/>
  <c r="Z370" i="7" s="1"/>
  <c r="I370" i="7"/>
  <c r="Y370" i="7" s="1"/>
  <c r="H370" i="7"/>
  <c r="X370" i="7" s="1"/>
  <c r="G370" i="7"/>
  <c r="W370" i="7" s="1"/>
  <c r="F370" i="7"/>
  <c r="V370" i="7" s="1"/>
  <c r="E370" i="7"/>
  <c r="U370" i="7" s="1"/>
  <c r="D370" i="7"/>
  <c r="T370" i="7" s="1"/>
  <c r="C370" i="7"/>
  <c r="S370" i="7" s="1"/>
  <c r="B370" i="7"/>
  <c r="R370" i="7" s="1"/>
  <c r="AH370" i="7" s="1"/>
  <c r="AI370" i="7" s="1"/>
  <c r="AP369" i="7"/>
  <c r="AQ369" i="7" s="1"/>
  <c r="AR369" i="7" s="1"/>
  <c r="AS369" i="7" s="1"/>
  <c r="P369" i="7"/>
  <c r="AF369" i="7" s="1"/>
  <c r="O369" i="7"/>
  <c r="AE369" i="7" s="1"/>
  <c r="N369" i="7"/>
  <c r="AD369" i="7" s="1"/>
  <c r="M369" i="7"/>
  <c r="AC369" i="7" s="1"/>
  <c r="L369" i="7"/>
  <c r="AB369" i="7" s="1"/>
  <c r="K369" i="7"/>
  <c r="AA369" i="7" s="1"/>
  <c r="J369" i="7"/>
  <c r="Z369" i="7" s="1"/>
  <c r="I369" i="7"/>
  <c r="Y369" i="7" s="1"/>
  <c r="H369" i="7"/>
  <c r="X369" i="7" s="1"/>
  <c r="G369" i="7"/>
  <c r="W369" i="7" s="1"/>
  <c r="F369" i="7"/>
  <c r="V369" i="7" s="1"/>
  <c r="E369" i="7"/>
  <c r="U369" i="7" s="1"/>
  <c r="D369" i="7"/>
  <c r="T369" i="7" s="1"/>
  <c r="C369" i="7"/>
  <c r="S369" i="7" s="1"/>
  <c r="B369" i="7"/>
  <c r="R369" i="7" s="1"/>
  <c r="AH369" i="7" s="1"/>
  <c r="AI369" i="7" s="1"/>
  <c r="AP368" i="7"/>
  <c r="AQ368" i="7" s="1"/>
  <c r="AR368" i="7" s="1"/>
  <c r="AS368" i="7" s="1"/>
  <c r="P368" i="7"/>
  <c r="AF368" i="7" s="1"/>
  <c r="O368" i="7"/>
  <c r="AE368" i="7" s="1"/>
  <c r="N368" i="7"/>
  <c r="AD368" i="7" s="1"/>
  <c r="M368" i="7"/>
  <c r="AC368" i="7" s="1"/>
  <c r="L368" i="7"/>
  <c r="AB368" i="7" s="1"/>
  <c r="K368" i="7"/>
  <c r="AA368" i="7" s="1"/>
  <c r="J368" i="7"/>
  <c r="Z368" i="7" s="1"/>
  <c r="I368" i="7"/>
  <c r="Y368" i="7" s="1"/>
  <c r="H368" i="7"/>
  <c r="X368" i="7" s="1"/>
  <c r="G368" i="7"/>
  <c r="W368" i="7" s="1"/>
  <c r="F368" i="7"/>
  <c r="V368" i="7" s="1"/>
  <c r="E368" i="7"/>
  <c r="U368" i="7" s="1"/>
  <c r="D368" i="7"/>
  <c r="T368" i="7" s="1"/>
  <c r="C368" i="7"/>
  <c r="S368" i="7" s="1"/>
  <c r="B368" i="7"/>
  <c r="R368" i="7" s="1"/>
  <c r="AH368" i="7" s="1"/>
  <c r="AI368" i="7" s="1"/>
  <c r="AP367" i="7"/>
  <c r="AQ367" i="7" s="1"/>
  <c r="AR367" i="7" s="1"/>
  <c r="AS367" i="7" s="1"/>
  <c r="P367" i="7"/>
  <c r="AF367" i="7" s="1"/>
  <c r="O367" i="7"/>
  <c r="AE367" i="7" s="1"/>
  <c r="N367" i="7"/>
  <c r="AD367" i="7" s="1"/>
  <c r="M367" i="7"/>
  <c r="AC367" i="7" s="1"/>
  <c r="L367" i="7"/>
  <c r="AB367" i="7" s="1"/>
  <c r="K367" i="7"/>
  <c r="AA367" i="7" s="1"/>
  <c r="J367" i="7"/>
  <c r="Z367" i="7" s="1"/>
  <c r="I367" i="7"/>
  <c r="Y367" i="7" s="1"/>
  <c r="H367" i="7"/>
  <c r="X367" i="7" s="1"/>
  <c r="G367" i="7"/>
  <c r="W367" i="7" s="1"/>
  <c r="F367" i="7"/>
  <c r="V367" i="7" s="1"/>
  <c r="E367" i="7"/>
  <c r="U367" i="7" s="1"/>
  <c r="D367" i="7"/>
  <c r="T367" i="7" s="1"/>
  <c r="C367" i="7"/>
  <c r="S367" i="7" s="1"/>
  <c r="B367" i="7"/>
  <c r="R367" i="7" s="1"/>
  <c r="AP366" i="7"/>
  <c r="AQ366" i="7" s="1"/>
  <c r="AR366" i="7" s="1"/>
  <c r="AS366" i="7" s="1"/>
  <c r="P366" i="7"/>
  <c r="AF366" i="7" s="1"/>
  <c r="O366" i="7"/>
  <c r="AE366" i="7" s="1"/>
  <c r="N366" i="7"/>
  <c r="AD366" i="7" s="1"/>
  <c r="M366" i="7"/>
  <c r="AC366" i="7" s="1"/>
  <c r="L366" i="7"/>
  <c r="AB366" i="7" s="1"/>
  <c r="K366" i="7"/>
  <c r="AA366" i="7" s="1"/>
  <c r="J366" i="7"/>
  <c r="Z366" i="7" s="1"/>
  <c r="I366" i="7"/>
  <c r="Y366" i="7" s="1"/>
  <c r="H366" i="7"/>
  <c r="X366" i="7" s="1"/>
  <c r="G366" i="7"/>
  <c r="W366" i="7" s="1"/>
  <c r="F366" i="7"/>
  <c r="V366" i="7" s="1"/>
  <c r="E366" i="7"/>
  <c r="U366" i="7" s="1"/>
  <c r="D366" i="7"/>
  <c r="T366" i="7" s="1"/>
  <c r="C366" i="7"/>
  <c r="S366" i="7" s="1"/>
  <c r="B366" i="7"/>
  <c r="R366" i="7" s="1"/>
  <c r="AH366" i="7" s="1"/>
  <c r="AI366" i="7" s="1"/>
  <c r="AP365" i="7"/>
  <c r="AQ365" i="7" s="1"/>
  <c r="AR365" i="7" s="1"/>
  <c r="AS365" i="7" s="1"/>
  <c r="P365" i="7"/>
  <c r="AF365" i="7" s="1"/>
  <c r="O365" i="7"/>
  <c r="AE365" i="7" s="1"/>
  <c r="N365" i="7"/>
  <c r="AD365" i="7" s="1"/>
  <c r="M365" i="7"/>
  <c r="AC365" i="7" s="1"/>
  <c r="L365" i="7"/>
  <c r="AB365" i="7" s="1"/>
  <c r="K365" i="7"/>
  <c r="AA365" i="7" s="1"/>
  <c r="J365" i="7"/>
  <c r="Z365" i="7" s="1"/>
  <c r="I365" i="7"/>
  <c r="Y365" i="7" s="1"/>
  <c r="H365" i="7"/>
  <c r="X365" i="7" s="1"/>
  <c r="G365" i="7"/>
  <c r="W365" i="7" s="1"/>
  <c r="F365" i="7"/>
  <c r="V365" i="7" s="1"/>
  <c r="E365" i="7"/>
  <c r="U365" i="7" s="1"/>
  <c r="D365" i="7"/>
  <c r="T365" i="7" s="1"/>
  <c r="C365" i="7"/>
  <c r="S365" i="7" s="1"/>
  <c r="B365" i="7"/>
  <c r="R365" i="7" s="1"/>
  <c r="AH365" i="7" s="1"/>
  <c r="AI365" i="7" s="1"/>
  <c r="AP364" i="7"/>
  <c r="AQ364" i="7" s="1"/>
  <c r="AR364" i="7" s="1"/>
  <c r="AS364" i="7" s="1"/>
  <c r="P364" i="7"/>
  <c r="AF364" i="7" s="1"/>
  <c r="O364" i="7"/>
  <c r="AE364" i="7" s="1"/>
  <c r="N364" i="7"/>
  <c r="AD364" i="7" s="1"/>
  <c r="M364" i="7"/>
  <c r="AC364" i="7" s="1"/>
  <c r="L364" i="7"/>
  <c r="AB364" i="7" s="1"/>
  <c r="K364" i="7"/>
  <c r="AA364" i="7" s="1"/>
  <c r="J364" i="7"/>
  <c r="Z364" i="7" s="1"/>
  <c r="I364" i="7"/>
  <c r="Y364" i="7" s="1"/>
  <c r="H364" i="7"/>
  <c r="X364" i="7" s="1"/>
  <c r="G364" i="7"/>
  <c r="W364" i="7" s="1"/>
  <c r="F364" i="7"/>
  <c r="V364" i="7" s="1"/>
  <c r="E364" i="7"/>
  <c r="U364" i="7" s="1"/>
  <c r="D364" i="7"/>
  <c r="T364" i="7" s="1"/>
  <c r="C364" i="7"/>
  <c r="S364" i="7" s="1"/>
  <c r="B364" i="7"/>
  <c r="R364" i="7" s="1"/>
  <c r="AP363" i="7"/>
  <c r="AQ363" i="7" s="1"/>
  <c r="AR363" i="7" s="1"/>
  <c r="AS363" i="7" s="1"/>
  <c r="P363" i="7"/>
  <c r="AF363" i="7" s="1"/>
  <c r="O363" i="7"/>
  <c r="AE363" i="7" s="1"/>
  <c r="N363" i="7"/>
  <c r="AD363" i="7" s="1"/>
  <c r="M363" i="7"/>
  <c r="AC363" i="7" s="1"/>
  <c r="L363" i="7"/>
  <c r="AB363" i="7" s="1"/>
  <c r="K363" i="7"/>
  <c r="AA363" i="7" s="1"/>
  <c r="J363" i="7"/>
  <c r="Z363" i="7" s="1"/>
  <c r="I363" i="7"/>
  <c r="Y363" i="7" s="1"/>
  <c r="H363" i="7"/>
  <c r="X363" i="7" s="1"/>
  <c r="G363" i="7"/>
  <c r="W363" i="7" s="1"/>
  <c r="F363" i="7"/>
  <c r="V363" i="7" s="1"/>
  <c r="E363" i="7"/>
  <c r="U363" i="7" s="1"/>
  <c r="D363" i="7"/>
  <c r="T363" i="7" s="1"/>
  <c r="C363" i="7"/>
  <c r="S363" i="7" s="1"/>
  <c r="B363" i="7"/>
  <c r="R363" i="7" s="1"/>
  <c r="AH363" i="7" s="1"/>
  <c r="AI363" i="7" s="1"/>
  <c r="AP362" i="7"/>
  <c r="AQ362" i="7" s="1"/>
  <c r="AR362" i="7" s="1"/>
  <c r="AS362" i="7" s="1"/>
  <c r="P362" i="7"/>
  <c r="AF362" i="7" s="1"/>
  <c r="O362" i="7"/>
  <c r="AE362" i="7" s="1"/>
  <c r="N362" i="7"/>
  <c r="AD362" i="7" s="1"/>
  <c r="M362" i="7"/>
  <c r="AC362" i="7" s="1"/>
  <c r="L362" i="7"/>
  <c r="AB362" i="7" s="1"/>
  <c r="K362" i="7"/>
  <c r="AA362" i="7" s="1"/>
  <c r="J362" i="7"/>
  <c r="Z362" i="7" s="1"/>
  <c r="I362" i="7"/>
  <c r="Y362" i="7" s="1"/>
  <c r="H362" i="7"/>
  <c r="X362" i="7" s="1"/>
  <c r="G362" i="7"/>
  <c r="W362" i="7" s="1"/>
  <c r="F362" i="7"/>
  <c r="V362" i="7" s="1"/>
  <c r="E362" i="7"/>
  <c r="U362" i="7" s="1"/>
  <c r="D362" i="7"/>
  <c r="T362" i="7" s="1"/>
  <c r="C362" i="7"/>
  <c r="S362" i="7" s="1"/>
  <c r="B362" i="7"/>
  <c r="R362" i="7" s="1"/>
  <c r="AH362" i="7" s="1"/>
  <c r="AI362" i="7" s="1"/>
  <c r="AP361" i="7"/>
  <c r="AQ361" i="7" s="1"/>
  <c r="AR361" i="7" s="1"/>
  <c r="AS361" i="7" s="1"/>
  <c r="P361" i="7"/>
  <c r="AF361" i="7" s="1"/>
  <c r="O361" i="7"/>
  <c r="AE361" i="7" s="1"/>
  <c r="N361" i="7"/>
  <c r="AD361" i="7" s="1"/>
  <c r="M361" i="7"/>
  <c r="AC361" i="7" s="1"/>
  <c r="L361" i="7"/>
  <c r="AB361" i="7" s="1"/>
  <c r="K361" i="7"/>
  <c r="AA361" i="7" s="1"/>
  <c r="J361" i="7"/>
  <c r="Z361" i="7" s="1"/>
  <c r="I361" i="7"/>
  <c r="Y361" i="7" s="1"/>
  <c r="H361" i="7"/>
  <c r="X361" i="7" s="1"/>
  <c r="G361" i="7"/>
  <c r="W361" i="7" s="1"/>
  <c r="F361" i="7"/>
  <c r="V361" i="7" s="1"/>
  <c r="E361" i="7"/>
  <c r="U361" i="7" s="1"/>
  <c r="D361" i="7"/>
  <c r="T361" i="7" s="1"/>
  <c r="C361" i="7"/>
  <c r="S361" i="7" s="1"/>
  <c r="B361" i="7"/>
  <c r="R361" i="7" s="1"/>
  <c r="AH361" i="7" s="1"/>
  <c r="AI361" i="7" s="1"/>
  <c r="AP360" i="7"/>
  <c r="AQ360" i="7" s="1"/>
  <c r="AR360" i="7" s="1"/>
  <c r="AS360" i="7" s="1"/>
  <c r="P360" i="7"/>
  <c r="AF360" i="7" s="1"/>
  <c r="O360" i="7"/>
  <c r="AE360" i="7" s="1"/>
  <c r="N360" i="7"/>
  <c r="AD360" i="7" s="1"/>
  <c r="M360" i="7"/>
  <c r="AC360" i="7" s="1"/>
  <c r="L360" i="7"/>
  <c r="AB360" i="7" s="1"/>
  <c r="K360" i="7"/>
  <c r="AA360" i="7" s="1"/>
  <c r="J360" i="7"/>
  <c r="Z360" i="7" s="1"/>
  <c r="I360" i="7"/>
  <c r="Y360" i="7" s="1"/>
  <c r="H360" i="7"/>
  <c r="X360" i="7" s="1"/>
  <c r="G360" i="7"/>
  <c r="W360" i="7" s="1"/>
  <c r="F360" i="7"/>
  <c r="V360" i="7" s="1"/>
  <c r="E360" i="7"/>
  <c r="U360" i="7" s="1"/>
  <c r="D360" i="7"/>
  <c r="T360" i="7" s="1"/>
  <c r="C360" i="7"/>
  <c r="S360" i="7" s="1"/>
  <c r="B360" i="7"/>
  <c r="R360" i="7" s="1"/>
  <c r="AP359" i="7"/>
  <c r="AQ359" i="7" s="1"/>
  <c r="AR359" i="7" s="1"/>
  <c r="AS359" i="7" s="1"/>
  <c r="P359" i="7"/>
  <c r="AF359" i="7" s="1"/>
  <c r="O359" i="7"/>
  <c r="AE359" i="7" s="1"/>
  <c r="N359" i="7"/>
  <c r="AD359" i="7" s="1"/>
  <c r="M359" i="7"/>
  <c r="AC359" i="7" s="1"/>
  <c r="L359" i="7"/>
  <c r="AB359" i="7" s="1"/>
  <c r="K359" i="7"/>
  <c r="AA359" i="7" s="1"/>
  <c r="J359" i="7"/>
  <c r="Z359" i="7" s="1"/>
  <c r="I359" i="7"/>
  <c r="Y359" i="7" s="1"/>
  <c r="H359" i="7"/>
  <c r="X359" i="7" s="1"/>
  <c r="G359" i="7"/>
  <c r="W359" i="7" s="1"/>
  <c r="F359" i="7"/>
  <c r="V359" i="7" s="1"/>
  <c r="E359" i="7"/>
  <c r="U359" i="7" s="1"/>
  <c r="D359" i="7"/>
  <c r="T359" i="7" s="1"/>
  <c r="C359" i="7"/>
  <c r="S359" i="7" s="1"/>
  <c r="B359" i="7"/>
  <c r="R359" i="7" s="1"/>
  <c r="AH359" i="7" s="1"/>
  <c r="AI359" i="7" s="1"/>
  <c r="AP358" i="7"/>
  <c r="AQ358" i="7" s="1"/>
  <c r="AR358" i="7" s="1"/>
  <c r="AS358" i="7" s="1"/>
  <c r="P358" i="7"/>
  <c r="AF358" i="7" s="1"/>
  <c r="O358" i="7"/>
  <c r="AE358" i="7" s="1"/>
  <c r="N358" i="7"/>
  <c r="AD358" i="7" s="1"/>
  <c r="M358" i="7"/>
  <c r="AC358" i="7" s="1"/>
  <c r="L358" i="7"/>
  <c r="AB358" i="7" s="1"/>
  <c r="K358" i="7"/>
  <c r="AA358" i="7" s="1"/>
  <c r="J358" i="7"/>
  <c r="Z358" i="7" s="1"/>
  <c r="I358" i="7"/>
  <c r="Y358" i="7" s="1"/>
  <c r="H358" i="7"/>
  <c r="X358" i="7" s="1"/>
  <c r="G358" i="7"/>
  <c r="W358" i="7" s="1"/>
  <c r="F358" i="7"/>
  <c r="V358" i="7" s="1"/>
  <c r="E358" i="7"/>
  <c r="U358" i="7" s="1"/>
  <c r="D358" i="7"/>
  <c r="T358" i="7" s="1"/>
  <c r="C358" i="7"/>
  <c r="S358" i="7" s="1"/>
  <c r="B358" i="7"/>
  <c r="R358" i="7" s="1"/>
  <c r="AP357" i="7"/>
  <c r="AQ357" i="7" s="1"/>
  <c r="AR357" i="7" s="1"/>
  <c r="AS357" i="7" s="1"/>
  <c r="P357" i="7"/>
  <c r="AF357" i="7" s="1"/>
  <c r="O357" i="7"/>
  <c r="AE357" i="7" s="1"/>
  <c r="N357" i="7"/>
  <c r="AD357" i="7" s="1"/>
  <c r="M357" i="7"/>
  <c r="AC357" i="7" s="1"/>
  <c r="L357" i="7"/>
  <c r="AB357" i="7" s="1"/>
  <c r="K357" i="7"/>
  <c r="AA357" i="7" s="1"/>
  <c r="J357" i="7"/>
  <c r="Z357" i="7" s="1"/>
  <c r="I357" i="7"/>
  <c r="Y357" i="7" s="1"/>
  <c r="H357" i="7"/>
  <c r="X357" i="7" s="1"/>
  <c r="G357" i="7"/>
  <c r="W357" i="7" s="1"/>
  <c r="F357" i="7"/>
  <c r="V357" i="7" s="1"/>
  <c r="E357" i="7"/>
  <c r="U357" i="7" s="1"/>
  <c r="D357" i="7"/>
  <c r="T357" i="7" s="1"/>
  <c r="C357" i="7"/>
  <c r="S357" i="7" s="1"/>
  <c r="B357" i="7"/>
  <c r="R357" i="7" s="1"/>
  <c r="AH357" i="7" s="1"/>
  <c r="AI357" i="7" s="1"/>
  <c r="AP356" i="7"/>
  <c r="AQ356" i="7" s="1"/>
  <c r="AR356" i="7" s="1"/>
  <c r="AS356" i="7" s="1"/>
  <c r="P356" i="7"/>
  <c r="AF356" i="7" s="1"/>
  <c r="O356" i="7"/>
  <c r="AE356" i="7" s="1"/>
  <c r="N356" i="7"/>
  <c r="AD356" i="7" s="1"/>
  <c r="M356" i="7"/>
  <c r="AC356" i="7" s="1"/>
  <c r="L356" i="7"/>
  <c r="AB356" i="7" s="1"/>
  <c r="K356" i="7"/>
  <c r="AA356" i="7" s="1"/>
  <c r="J356" i="7"/>
  <c r="Z356" i="7" s="1"/>
  <c r="I356" i="7"/>
  <c r="Y356" i="7" s="1"/>
  <c r="H356" i="7"/>
  <c r="X356" i="7" s="1"/>
  <c r="G356" i="7"/>
  <c r="W356" i="7" s="1"/>
  <c r="F356" i="7"/>
  <c r="V356" i="7" s="1"/>
  <c r="E356" i="7"/>
  <c r="U356" i="7" s="1"/>
  <c r="D356" i="7"/>
  <c r="T356" i="7" s="1"/>
  <c r="C356" i="7"/>
  <c r="S356" i="7" s="1"/>
  <c r="B356" i="7"/>
  <c r="R356" i="7" s="1"/>
  <c r="AP355" i="7"/>
  <c r="AQ355" i="7" s="1"/>
  <c r="AR355" i="7" s="1"/>
  <c r="AS355" i="7" s="1"/>
  <c r="P355" i="7"/>
  <c r="AF355" i="7" s="1"/>
  <c r="O355" i="7"/>
  <c r="AE355" i="7" s="1"/>
  <c r="N355" i="7"/>
  <c r="AD355" i="7" s="1"/>
  <c r="M355" i="7"/>
  <c r="AC355" i="7" s="1"/>
  <c r="L355" i="7"/>
  <c r="AB355" i="7" s="1"/>
  <c r="K355" i="7"/>
  <c r="AA355" i="7" s="1"/>
  <c r="J355" i="7"/>
  <c r="Z355" i="7" s="1"/>
  <c r="I355" i="7"/>
  <c r="Y355" i="7" s="1"/>
  <c r="H355" i="7"/>
  <c r="X355" i="7" s="1"/>
  <c r="G355" i="7"/>
  <c r="W355" i="7" s="1"/>
  <c r="F355" i="7"/>
  <c r="V355" i="7" s="1"/>
  <c r="E355" i="7"/>
  <c r="U355" i="7" s="1"/>
  <c r="D355" i="7"/>
  <c r="T355" i="7" s="1"/>
  <c r="C355" i="7"/>
  <c r="S355" i="7" s="1"/>
  <c r="B355" i="7"/>
  <c r="R355" i="7" s="1"/>
  <c r="AH355" i="7" s="1"/>
  <c r="AI355" i="7" s="1"/>
  <c r="AP354" i="7"/>
  <c r="AQ354" i="7" s="1"/>
  <c r="AR354" i="7" s="1"/>
  <c r="AS354" i="7" s="1"/>
  <c r="P354" i="7"/>
  <c r="AF354" i="7" s="1"/>
  <c r="O354" i="7"/>
  <c r="AE354" i="7" s="1"/>
  <c r="N354" i="7"/>
  <c r="AD354" i="7" s="1"/>
  <c r="M354" i="7"/>
  <c r="AC354" i="7" s="1"/>
  <c r="L354" i="7"/>
  <c r="AB354" i="7" s="1"/>
  <c r="K354" i="7"/>
  <c r="AA354" i="7" s="1"/>
  <c r="J354" i="7"/>
  <c r="Z354" i="7" s="1"/>
  <c r="I354" i="7"/>
  <c r="Y354" i="7" s="1"/>
  <c r="H354" i="7"/>
  <c r="X354" i="7" s="1"/>
  <c r="G354" i="7"/>
  <c r="W354" i="7" s="1"/>
  <c r="F354" i="7"/>
  <c r="V354" i="7" s="1"/>
  <c r="E354" i="7"/>
  <c r="U354" i="7" s="1"/>
  <c r="D354" i="7"/>
  <c r="T354" i="7" s="1"/>
  <c r="C354" i="7"/>
  <c r="S354" i="7" s="1"/>
  <c r="B354" i="7"/>
  <c r="R354" i="7" s="1"/>
  <c r="AH354" i="7" s="1"/>
  <c r="AI354" i="7" s="1"/>
  <c r="AP353" i="7"/>
  <c r="AQ353" i="7" s="1"/>
  <c r="AR353" i="7" s="1"/>
  <c r="AS353" i="7" s="1"/>
  <c r="P353" i="7"/>
  <c r="AF353" i="7" s="1"/>
  <c r="O353" i="7"/>
  <c r="AE353" i="7" s="1"/>
  <c r="N353" i="7"/>
  <c r="AD353" i="7" s="1"/>
  <c r="M353" i="7"/>
  <c r="AC353" i="7" s="1"/>
  <c r="L353" i="7"/>
  <c r="AB353" i="7" s="1"/>
  <c r="K353" i="7"/>
  <c r="AA353" i="7" s="1"/>
  <c r="J353" i="7"/>
  <c r="Z353" i="7" s="1"/>
  <c r="I353" i="7"/>
  <c r="Y353" i="7" s="1"/>
  <c r="H353" i="7"/>
  <c r="X353" i="7" s="1"/>
  <c r="G353" i="7"/>
  <c r="W353" i="7" s="1"/>
  <c r="F353" i="7"/>
  <c r="V353" i="7" s="1"/>
  <c r="E353" i="7"/>
  <c r="U353" i="7" s="1"/>
  <c r="D353" i="7"/>
  <c r="T353" i="7" s="1"/>
  <c r="C353" i="7"/>
  <c r="S353" i="7" s="1"/>
  <c r="B353" i="7"/>
  <c r="R353" i="7" s="1"/>
  <c r="AH353" i="7" s="1"/>
  <c r="AI353" i="7" s="1"/>
  <c r="AP352" i="7"/>
  <c r="AQ352" i="7" s="1"/>
  <c r="AR352" i="7" s="1"/>
  <c r="AS352" i="7" s="1"/>
  <c r="P352" i="7"/>
  <c r="AF352" i="7" s="1"/>
  <c r="O352" i="7"/>
  <c r="AE352" i="7" s="1"/>
  <c r="N352" i="7"/>
  <c r="AD352" i="7" s="1"/>
  <c r="M352" i="7"/>
  <c r="AC352" i="7" s="1"/>
  <c r="L352" i="7"/>
  <c r="AB352" i="7" s="1"/>
  <c r="K352" i="7"/>
  <c r="AA352" i="7" s="1"/>
  <c r="J352" i="7"/>
  <c r="Z352" i="7" s="1"/>
  <c r="I352" i="7"/>
  <c r="Y352" i="7" s="1"/>
  <c r="H352" i="7"/>
  <c r="X352" i="7" s="1"/>
  <c r="G352" i="7"/>
  <c r="W352" i="7" s="1"/>
  <c r="F352" i="7"/>
  <c r="V352" i="7" s="1"/>
  <c r="E352" i="7"/>
  <c r="U352" i="7" s="1"/>
  <c r="D352" i="7"/>
  <c r="T352" i="7" s="1"/>
  <c r="C352" i="7"/>
  <c r="S352" i="7" s="1"/>
  <c r="B352" i="7"/>
  <c r="R352" i="7" s="1"/>
  <c r="AH352" i="7" s="1"/>
  <c r="AI352" i="7" s="1"/>
  <c r="AP351" i="7"/>
  <c r="AQ351" i="7" s="1"/>
  <c r="AR351" i="7" s="1"/>
  <c r="AS351" i="7" s="1"/>
  <c r="P351" i="7"/>
  <c r="AF351" i="7" s="1"/>
  <c r="O351" i="7"/>
  <c r="AE351" i="7" s="1"/>
  <c r="N351" i="7"/>
  <c r="AD351" i="7" s="1"/>
  <c r="M351" i="7"/>
  <c r="AC351" i="7" s="1"/>
  <c r="L351" i="7"/>
  <c r="AB351" i="7" s="1"/>
  <c r="K351" i="7"/>
  <c r="AA351" i="7" s="1"/>
  <c r="J351" i="7"/>
  <c r="Z351" i="7" s="1"/>
  <c r="I351" i="7"/>
  <c r="Y351" i="7" s="1"/>
  <c r="H351" i="7"/>
  <c r="X351" i="7" s="1"/>
  <c r="G351" i="7"/>
  <c r="W351" i="7" s="1"/>
  <c r="F351" i="7"/>
  <c r="V351" i="7" s="1"/>
  <c r="E351" i="7"/>
  <c r="U351" i="7" s="1"/>
  <c r="D351" i="7"/>
  <c r="T351" i="7" s="1"/>
  <c r="C351" i="7"/>
  <c r="S351" i="7" s="1"/>
  <c r="B351" i="7"/>
  <c r="R351" i="7" s="1"/>
  <c r="AP350" i="7"/>
  <c r="AQ350" i="7" s="1"/>
  <c r="AR350" i="7" s="1"/>
  <c r="AS350" i="7" s="1"/>
  <c r="P350" i="7"/>
  <c r="AF350" i="7" s="1"/>
  <c r="O350" i="7"/>
  <c r="AE350" i="7" s="1"/>
  <c r="N350" i="7"/>
  <c r="AD350" i="7" s="1"/>
  <c r="M350" i="7"/>
  <c r="AC350" i="7" s="1"/>
  <c r="L350" i="7"/>
  <c r="AB350" i="7" s="1"/>
  <c r="K350" i="7"/>
  <c r="AA350" i="7" s="1"/>
  <c r="J350" i="7"/>
  <c r="Z350" i="7" s="1"/>
  <c r="I350" i="7"/>
  <c r="Y350" i="7" s="1"/>
  <c r="H350" i="7"/>
  <c r="X350" i="7" s="1"/>
  <c r="G350" i="7"/>
  <c r="W350" i="7" s="1"/>
  <c r="F350" i="7"/>
  <c r="V350" i="7" s="1"/>
  <c r="E350" i="7"/>
  <c r="U350" i="7" s="1"/>
  <c r="D350" i="7"/>
  <c r="T350" i="7" s="1"/>
  <c r="C350" i="7"/>
  <c r="S350" i="7" s="1"/>
  <c r="B350" i="7"/>
  <c r="R350" i="7" s="1"/>
  <c r="AP349" i="7"/>
  <c r="AQ349" i="7" s="1"/>
  <c r="AR349" i="7" s="1"/>
  <c r="AS349" i="7" s="1"/>
  <c r="P349" i="7"/>
  <c r="AF349" i="7" s="1"/>
  <c r="O349" i="7"/>
  <c r="AE349" i="7" s="1"/>
  <c r="N349" i="7"/>
  <c r="AD349" i="7" s="1"/>
  <c r="M349" i="7"/>
  <c r="AC349" i="7" s="1"/>
  <c r="L349" i="7"/>
  <c r="AB349" i="7" s="1"/>
  <c r="K349" i="7"/>
  <c r="AA349" i="7" s="1"/>
  <c r="J349" i="7"/>
  <c r="Z349" i="7" s="1"/>
  <c r="I349" i="7"/>
  <c r="Y349" i="7" s="1"/>
  <c r="H349" i="7"/>
  <c r="X349" i="7" s="1"/>
  <c r="G349" i="7"/>
  <c r="W349" i="7" s="1"/>
  <c r="F349" i="7"/>
  <c r="V349" i="7" s="1"/>
  <c r="E349" i="7"/>
  <c r="U349" i="7" s="1"/>
  <c r="D349" i="7"/>
  <c r="T349" i="7" s="1"/>
  <c r="C349" i="7"/>
  <c r="S349" i="7" s="1"/>
  <c r="B349" i="7"/>
  <c r="R349" i="7" s="1"/>
  <c r="AH349" i="7" s="1"/>
  <c r="AI349" i="7" s="1"/>
  <c r="AP348" i="7"/>
  <c r="AQ348" i="7" s="1"/>
  <c r="AR348" i="7" s="1"/>
  <c r="AS348" i="7" s="1"/>
  <c r="P348" i="7"/>
  <c r="AF348" i="7" s="1"/>
  <c r="O348" i="7"/>
  <c r="AE348" i="7" s="1"/>
  <c r="N348" i="7"/>
  <c r="AD348" i="7" s="1"/>
  <c r="M348" i="7"/>
  <c r="AC348" i="7" s="1"/>
  <c r="L348" i="7"/>
  <c r="AB348" i="7" s="1"/>
  <c r="K348" i="7"/>
  <c r="AA348" i="7" s="1"/>
  <c r="J348" i="7"/>
  <c r="Z348" i="7" s="1"/>
  <c r="I348" i="7"/>
  <c r="Y348" i="7" s="1"/>
  <c r="H348" i="7"/>
  <c r="X348" i="7" s="1"/>
  <c r="G348" i="7"/>
  <c r="W348" i="7" s="1"/>
  <c r="F348" i="7"/>
  <c r="V348" i="7" s="1"/>
  <c r="E348" i="7"/>
  <c r="U348" i="7" s="1"/>
  <c r="D348" i="7"/>
  <c r="T348" i="7" s="1"/>
  <c r="C348" i="7"/>
  <c r="S348" i="7" s="1"/>
  <c r="B348" i="7"/>
  <c r="R348" i="7" s="1"/>
  <c r="AH348" i="7" s="1"/>
  <c r="AI348" i="7" s="1"/>
  <c r="AP347" i="7"/>
  <c r="AQ347" i="7" s="1"/>
  <c r="AR347" i="7" s="1"/>
  <c r="AS347" i="7" s="1"/>
  <c r="P347" i="7"/>
  <c r="AF347" i="7" s="1"/>
  <c r="O347" i="7"/>
  <c r="AE347" i="7" s="1"/>
  <c r="N347" i="7"/>
  <c r="AD347" i="7" s="1"/>
  <c r="M347" i="7"/>
  <c r="AC347" i="7" s="1"/>
  <c r="L347" i="7"/>
  <c r="AB347" i="7" s="1"/>
  <c r="K347" i="7"/>
  <c r="AA347" i="7" s="1"/>
  <c r="J347" i="7"/>
  <c r="Z347" i="7" s="1"/>
  <c r="I347" i="7"/>
  <c r="Y347" i="7" s="1"/>
  <c r="H347" i="7"/>
  <c r="X347" i="7" s="1"/>
  <c r="G347" i="7"/>
  <c r="W347" i="7" s="1"/>
  <c r="F347" i="7"/>
  <c r="V347" i="7" s="1"/>
  <c r="E347" i="7"/>
  <c r="U347" i="7" s="1"/>
  <c r="D347" i="7"/>
  <c r="T347" i="7" s="1"/>
  <c r="C347" i="7"/>
  <c r="S347" i="7" s="1"/>
  <c r="B347" i="7"/>
  <c r="R347" i="7" s="1"/>
  <c r="AH347" i="7" s="1"/>
  <c r="AI347" i="7" s="1"/>
  <c r="AP346" i="7"/>
  <c r="AQ346" i="7" s="1"/>
  <c r="AR346" i="7" s="1"/>
  <c r="AS346" i="7" s="1"/>
  <c r="P346" i="7"/>
  <c r="AF346" i="7" s="1"/>
  <c r="O346" i="7"/>
  <c r="AE346" i="7" s="1"/>
  <c r="N346" i="7"/>
  <c r="AD346" i="7" s="1"/>
  <c r="M346" i="7"/>
  <c r="AC346" i="7" s="1"/>
  <c r="L346" i="7"/>
  <c r="AB346" i="7" s="1"/>
  <c r="K346" i="7"/>
  <c r="AA346" i="7" s="1"/>
  <c r="J346" i="7"/>
  <c r="Z346" i="7" s="1"/>
  <c r="I346" i="7"/>
  <c r="Y346" i="7" s="1"/>
  <c r="H346" i="7"/>
  <c r="X346" i="7" s="1"/>
  <c r="G346" i="7"/>
  <c r="W346" i="7" s="1"/>
  <c r="F346" i="7"/>
  <c r="V346" i="7" s="1"/>
  <c r="E346" i="7"/>
  <c r="U346" i="7" s="1"/>
  <c r="D346" i="7"/>
  <c r="T346" i="7" s="1"/>
  <c r="C346" i="7"/>
  <c r="S346" i="7" s="1"/>
  <c r="B346" i="7"/>
  <c r="R346" i="7" s="1"/>
  <c r="AH346" i="7" s="1"/>
  <c r="AI346" i="7" s="1"/>
  <c r="AP345" i="7"/>
  <c r="AQ345" i="7" s="1"/>
  <c r="AR345" i="7" s="1"/>
  <c r="AS345" i="7" s="1"/>
  <c r="P345" i="7"/>
  <c r="AF345" i="7" s="1"/>
  <c r="O345" i="7"/>
  <c r="AE345" i="7" s="1"/>
  <c r="N345" i="7"/>
  <c r="AD345" i="7" s="1"/>
  <c r="M345" i="7"/>
  <c r="AC345" i="7" s="1"/>
  <c r="L345" i="7"/>
  <c r="AB345" i="7" s="1"/>
  <c r="K345" i="7"/>
  <c r="AA345" i="7" s="1"/>
  <c r="J345" i="7"/>
  <c r="Z345" i="7" s="1"/>
  <c r="I345" i="7"/>
  <c r="Y345" i="7" s="1"/>
  <c r="H345" i="7"/>
  <c r="X345" i="7" s="1"/>
  <c r="G345" i="7"/>
  <c r="W345" i="7" s="1"/>
  <c r="F345" i="7"/>
  <c r="V345" i="7" s="1"/>
  <c r="E345" i="7"/>
  <c r="U345" i="7" s="1"/>
  <c r="D345" i="7"/>
  <c r="T345" i="7" s="1"/>
  <c r="C345" i="7"/>
  <c r="S345" i="7" s="1"/>
  <c r="B345" i="7"/>
  <c r="R345" i="7" s="1"/>
  <c r="AH345" i="7" s="1"/>
  <c r="AI345" i="7" s="1"/>
  <c r="AP344" i="7"/>
  <c r="AQ344" i="7" s="1"/>
  <c r="AR344" i="7" s="1"/>
  <c r="AS344" i="7" s="1"/>
  <c r="P344" i="7"/>
  <c r="AF344" i="7" s="1"/>
  <c r="O344" i="7"/>
  <c r="AE344" i="7" s="1"/>
  <c r="N344" i="7"/>
  <c r="AD344" i="7" s="1"/>
  <c r="M344" i="7"/>
  <c r="AC344" i="7" s="1"/>
  <c r="L344" i="7"/>
  <c r="AB344" i="7" s="1"/>
  <c r="K344" i="7"/>
  <c r="AA344" i="7" s="1"/>
  <c r="J344" i="7"/>
  <c r="Z344" i="7" s="1"/>
  <c r="I344" i="7"/>
  <c r="Y344" i="7" s="1"/>
  <c r="H344" i="7"/>
  <c r="X344" i="7" s="1"/>
  <c r="G344" i="7"/>
  <c r="W344" i="7" s="1"/>
  <c r="F344" i="7"/>
  <c r="V344" i="7" s="1"/>
  <c r="E344" i="7"/>
  <c r="U344" i="7" s="1"/>
  <c r="D344" i="7"/>
  <c r="T344" i="7" s="1"/>
  <c r="C344" i="7"/>
  <c r="S344" i="7" s="1"/>
  <c r="B344" i="7"/>
  <c r="R344" i="7" s="1"/>
  <c r="AH344" i="7" s="1"/>
  <c r="AI344" i="7" s="1"/>
  <c r="AP343" i="7"/>
  <c r="AQ343" i="7" s="1"/>
  <c r="AR343" i="7" s="1"/>
  <c r="AS343" i="7" s="1"/>
  <c r="P343" i="7"/>
  <c r="AF343" i="7" s="1"/>
  <c r="O343" i="7"/>
  <c r="AE343" i="7" s="1"/>
  <c r="N343" i="7"/>
  <c r="AD343" i="7" s="1"/>
  <c r="M343" i="7"/>
  <c r="AC343" i="7" s="1"/>
  <c r="L343" i="7"/>
  <c r="AB343" i="7" s="1"/>
  <c r="K343" i="7"/>
  <c r="AA343" i="7" s="1"/>
  <c r="J343" i="7"/>
  <c r="Z343" i="7" s="1"/>
  <c r="I343" i="7"/>
  <c r="Y343" i="7" s="1"/>
  <c r="H343" i="7"/>
  <c r="X343" i="7" s="1"/>
  <c r="G343" i="7"/>
  <c r="W343" i="7" s="1"/>
  <c r="F343" i="7"/>
  <c r="V343" i="7" s="1"/>
  <c r="E343" i="7"/>
  <c r="U343" i="7" s="1"/>
  <c r="D343" i="7"/>
  <c r="T343" i="7" s="1"/>
  <c r="C343" i="7"/>
  <c r="S343" i="7" s="1"/>
  <c r="B343" i="7"/>
  <c r="R343" i="7" s="1"/>
  <c r="AH343" i="7" s="1"/>
  <c r="AI343" i="7" s="1"/>
  <c r="AP342" i="7"/>
  <c r="AQ342" i="7" s="1"/>
  <c r="AR342" i="7" s="1"/>
  <c r="AS342" i="7" s="1"/>
  <c r="P342" i="7"/>
  <c r="AF342" i="7" s="1"/>
  <c r="O342" i="7"/>
  <c r="AE342" i="7" s="1"/>
  <c r="N342" i="7"/>
  <c r="AD342" i="7" s="1"/>
  <c r="M342" i="7"/>
  <c r="AC342" i="7" s="1"/>
  <c r="L342" i="7"/>
  <c r="AB342" i="7" s="1"/>
  <c r="K342" i="7"/>
  <c r="AA342" i="7" s="1"/>
  <c r="J342" i="7"/>
  <c r="Z342" i="7" s="1"/>
  <c r="I342" i="7"/>
  <c r="Y342" i="7" s="1"/>
  <c r="H342" i="7"/>
  <c r="X342" i="7" s="1"/>
  <c r="G342" i="7"/>
  <c r="W342" i="7" s="1"/>
  <c r="F342" i="7"/>
  <c r="V342" i="7" s="1"/>
  <c r="E342" i="7"/>
  <c r="U342" i="7" s="1"/>
  <c r="D342" i="7"/>
  <c r="T342" i="7" s="1"/>
  <c r="C342" i="7"/>
  <c r="S342" i="7" s="1"/>
  <c r="B342" i="7"/>
  <c r="R342" i="7" s="1"/>
  <c r="AH342" i="7" s="1"/>
  <c r="AI342" i="7" s="1"/>
  <c r="AP341" i="7"/>
  <c r="AQ341" i="7" s="1"/>
  <c r="AR341" i="7" s="1"/>
  <c r="AS341" i="7" s="1"/>
  <c r="P341" i="7"/>
  <c r="AF341" i="7" s="1"/>
  <c r="O341" i="7"/>
  <c r="AE341" i="7" s="1"/>
  <c r="N341" i="7"/>
  <c r="AD341" i="7" s="1"/>
  <c r="M341" i="7"/>
  <c r="AC341" i="7" s="1"/>
  <c r="L341" i="7"/>
  <c r="AB341" i="7" s="1"/>
  <c r="K341" i="7"/>
  <c r="AA341" i="7" s="1"/>
  <c r="J341" i="7"/>
  <c r="Z341" i="7" s="1"/>
  <c r="I341" i="7"/>
  <c r="Y341" i="7" s="1"/>
  <c r="H341" i="7"/>
  <c r="X341" i="7" s="1"/>
  <c r="G341" i="7"/>
  <c r="W341" i="7" s="1"/>
  <c r="F341" i="7"/>
  <c r="V341" i="7" s="1"/>
  <c r="E341" i="7"/>
  <c r="U341" i="7" s="1"/>
  <c r="D341" i="7"/>
  <c r="T341" i="7" s="1"/>
  <c r="C341" i="7"/>
  <c r="S341" i="7" s="1"/>
  <c r="B341" i="7"/>
  <c r="R341" i="7" s="1"/>
  <c r="AH341" i="7" s="1"/>
  <c r="AI341" i="7" s="1"/>
  <c r="AP340" i="7"/>
  <c r="AQ340" i="7" s="1"/>
  <c r="AR340" i="7" s="1"/>
  <c r="AS340" i="7" s="1"/>
  <c r="P340" i="7"/>
  <c r="AF340" i="7" s="1"/>
  <c r="O340" i="7"/>
  <c r="AE340" i="7" s="1"/>
  <c r="N340" i="7"/>
  <c r="AD340" i="7" s="1"/>
  <c r="M340" i="7"/>
  <c r="AC340" i="7" s="1"/>
  <c r="L340" i="7"/>
  <c r="AB340" i="7" s="1"/>
  <c r="K340" i="7"/>
  <c r="AA340" i="7" s="1"/>
  <c r="J340" i="7"/>
  <c r="Z340" i="7" s="1"/>
  <c r="I340" i="7"/>
  <c r="Y340" i="7" s="1"/>
  <c r="H340" i="7"/>
  <c r="X340" i="7" s="1"/>
  <c r="G340" i="7"/>
  <c r="W340" i="7" s="1"/>
  <c r="F340" i="7"/>
  <c r="V340" i="7" s="1"/>
  <c r="E340" i="7"/>
  <c r="U340" i="7" s="1"/>
  <c r="D340" i="7"/>
  <c r="T340" i="7" s="1"/>
  <c r="C340" i="7"/>
  <c r="S340" i="7" s="1"/>
  <c r="B340" i="7"/>
  <c r="R340" i="7" s="1"/>
  <c r="AH340" i="7" s="1"/>
  <c r="AI340" i="7" s="1"/>
  <c r="AP339" i="7"/>
  <c r="AQ339" i="7" s="1"/>
  <c r="AR339" i="7" s="1"/>
  <c r="AS339" i="7" s="1"/>
  <c r="P339" i="7"/>
  <c r="AF339" i="7" s="1"/>
  <c r="O339" i="7"/>
  <c r="AE339" i="7" s="1"/>
  <c r="N339" i="7"/>
  <c r="AD339" i="7" s="1"/>
  <c r="M339" i="7"/>
  <c r="AC339" i="7" s="1"/>
  <c r="L339" i="7"/>
  <c r="AB339" i="7" s="1"/>
  <c r="K339" i="7"/>
  <c r="AA339" i="7" s="1"/>
  <c r="J339" i="7"/>
  <c r="Z339" i="7" s="1"/>
  <c r="I339" i="7"/>
  <c r="Y339" i="7" s="1"/>
  <c r="H339" i="7"/>
  <c r="X339" i="7" s="1"/>
  <c r="G339" i="7"/>
  <c r="W339" i="7" s="1"/>
  <c r="F339" i="7"/>
  <c r="V339" i="7" s="1"/>
  <c r="E339" i="7"/>
  <c r="U339" i="7" s="1"/>
  <c r="D339" i="7"/>
  <c r="T339" i="7" s="1"/>
  <c r="C339" i="7"/>
  <c r="S339" i="7" s="1"/>
  <c r="B339" i="7"/>
  <c r="R339" i="7" s="1"/>
  <c r="AH339" i="7" s="1"/>
  <c r="AI339" i="7" s="1"/>
  <c r="AP338" i="7"/>
  <c r="AQ338" i="7" s="1"/>
  <c r="AR338" i="7" s="1"/>
  <c r="AS338" i="7" s="1"/>
  <c r="P338" i="7"/>
  <c r="AF338" i="7" s="1"/>
  <c r="O338" i="7"/>
  <c r="AE338" i="7" s="1"/>
  <c r="N338" i="7"/>
  <c r="AD338" i="7" s="1"/>
  <c r="M338" i="7"/>
  <c r="AC338" i="7" s="1"/>
  <c r="L338" i="7"/>
  <c r="AB338" i="7" s="1"/>
  <c r="K338" i="7"/>
  <c r="AA338" i="7" s="1"/>
  <c r="J338" i="7"/>
  <c r="Z338" i="7" s="1"/>
  <c r="I338" i="7"/>
  <c r="Y338" i="7" s="1"/>
  <c r="H338" i="7"/>
  <c r="X338" i="7" s="1"/>
  <c r="G338" i="7"/>
  <c r="W338" i="7" s="1"/>
  <c r="F338" i="7"/>
  <c r="V338" i="7" s="1"/>
  <c r="E338" i="7"/>
  <c r="U338" i="7" s="1"/>
  <c r="D338" i="7"/>
  <c r="T338" i="7" s="1"/>
  <c r="C338" i="7"/>
  <c r="S338" i="7" s="1"/>
  <c r="B338" i="7"/>
  <c r="R338" i="7" s="1"/>
  <c r="AH338" i="7" s="1"/>
  <c r="AI338" i="7" s="1"/>
  <c r="AP337" i="7"/>
  <c r="AQ337" i="7" s="1"/>
  <c r="AR337" i="7" s="1"/>
  <c r="AS337" i="7" s="1"/>
  <c r="P337" i="7"/>
  <c r="AF337" i="7" s="1"/>
  <c r="O337" i="7"/>
  <c r="AE337" i="7" s="1"/>
  <c r="N337" i="7"/>
  <c r="AD337" i="7" s="1"/>
  <c r="M337" i="7"/>
  <c r="AC337" i="7" s="1"/>
  <c r="L337" i="7"/>
  <c r="AB337" i="7" s="1"/>
  <c r="K337" i="7"/>
  <c r="AA337" i="7" s="1"/>
  <c r="J337" i="7"/>
  <c r="Z337" i="7" s="1"/>
  <c r="I337" i="7"/>
  <c r="Y337" i="7" s="1"/>
  <c r="H337" i="7"/>
  <c r="X337" i="7" s="1"/>
  <c r="G337" i="7"/>
  <c r="W337" i="7" s="1"/>
  <c r="F337" i="7"/>
  <c r="V337" i="7" s="1"/>
  <c r="E337" i="7"/>
  <c r="U337" i="7" s="1"/>
  <c r="D337" i="7"/>
  <c r="T337" i="7" s="1"/>
  <c r="C337" i="7"/>
  <c r="S337" i="7" s="1"/>
  <c r="B337" i="7"/>
  <c r="R337" i="7" s="1"/>
  <c r="AH337" i="7" s="1"/>
  <c r="AI337" i="7" s="1"/>
  <c r="AP336" i="7"/>
  <c r="AQ336" i="7" s="1"/>
  <c r="AR336" i="7" s="1"/>
  <c r="AS336" i="7" s="1"/>
  <c r="P336" i="7"/>
  <c r="AF336" i="7" s="1"/>
  <c r="O336" i="7"/>
  <c r="AE336" i="7" s="1"/>
  <c r="N336" i="7"/>
  <c r="AD336" i="7" s="1"/>
  <c r="M336" i="7"/>
  <c r="AC336" i="7" s="1"/>
  <c r="L336" i="7"/>
  <c r="AB336" i="7" s="1"/>
  <c r="K336" i="7"/>
  <c r="AA336" i="7" s="1"/>
  <c r="J336" i="7"/>
  <c r="Z336" i="7" s="1"/>
  <c r="I336" i="7"/>
  <c r="Y336" i="7" s="1"/>
  <c r="H336" i="7"/>
  <c r="X336" i="7" s="1"/>
  <c r="G336" i="7"/>
  <c r="W336" i="7" s="1"/>
  <c r="F336" i="7"/>
  <c r="V336" i="7" s="1"/>
  <c r="E336" i="7"/>
  <c r="U336" i="7" s="1"/>
  <c r="D336" i="7"/>
  <c r="T336" i="7" s="1"/>
  <c r="C336" i="7"/>
  <c r="S336" i="7" s="1"/>
  <c r="B336" i="7"/>
  <c r="R336" i="7" s="1"/>
  <c r="AH336" i="7" s="1"/>
  <c r="AI336" i="7" s="1"/>
  <c r="AP335" i="7"/>
  <c r="AQ335" i="7" s="1"/>
  <c r="AR335" i="7" s="1"/>
  <c r="AS335" i="7" s="1"/>
  <c r="P335" i="7"/>
  <c r="AF335" i="7" s="1"/>
  <c r="O335" i="7"/>
  <c r="AE335" i="7" s="1"/>
  <c r="N335" i="7"/>
  <c r="AD335" i="7" s="1"/>
  <c r="M335" i="7"/>
  <c r="AC335" i="7" s="1"/>
  <c r="L335" i="7"/>
  <c r="AB335" i="7" s="1"/>
  <c r="K335" i="7"/>
  <c r="AA335" i="7" s="1"/>
  <c r="J335" i="7"/>
  <c r="Z335" i="7" s="1"/>
  <c r="I335" i="7"/>
  <c r="Y335" i="7" s="1"/>
  <c r="H335" i="7"/>
  <c r="X335" i="7" s="1"/>
  <c r="G335" i="7"/>
  <c r="W335" i="7" s="1"/>
  <c r="F335" i="7"/>
  <c r="V335" i="7" s="1"/>
  <c r="E335" i="7"/>
  <c r="U335" i="7" s="1"/>
  <c r="D335" i="7"/>
  <c r="T335" i="7" s="1"/>
  <c r="C335" i="7"/>
  <c r="S335" i="7" s="1"/>
  <c r="B335" i="7"/>
  <c r="R335" i="7" s="1"/>
  <c r="AH335" i="7" s="1"/>
  <c r="AI335" i="7" s="1"/>
  <c r="AP334" i="7"/>
  <c r="AQ334" i="7" s="1"/>
  <c r="AR334" i="7" s="1"/>
  <c r="AS334" i="7" s="1"/>
  <c r="P334" i="7"/>
  <c r="AF334" i="7" s="1"/>
  <c r="O334" i="7"/>
  <c r="AE334" i="7" s="1"/>
  <c r="N334" i="7"/>
  <c r="AD334" i="7" s="1"/>
  <c r="M334" i="7"/>
  <c r="AC334" i="7" s="1"/>
  <c r="L334" i="7"/>
  <c r="AB334" i="7" s="1"/>
  <c r="K334" i="7"/>
  <c r="AA334" i="7" s="1"/>
  <c r="J334" i="7"/>
  <c r="Z334" i="7" s="1"/>
  <c r="I334" i="7"/>
  <c r="Y334" i="7" s="1"/>
  <c r="H334" i="7"/>
  <c r="X334" i="7" s="1"/>
  <c r="G334" i="7"/>
  <c r="W334" i="7" s="1"/>
  <c r="F334" i="7"/>
  <c r="V334" i="7" s="1"/>
  <c r="E334" i="7"/>
  <c r="U334" i="7" s="1"/>
  <c r="D334" i="7"/>
  <c r="T334" i="7" s="1"/>
  <c r="C334" i="7"/>
  <c r="S334" i="7" s="1"/>
  <c r="B334" i="7"/>
  <c r="R334" i="7" s="1"/>
  <c r="AH334" i="7" s="1"/>
  <c r="AI334" i="7" s="1"/>
  <c r="AP333" i="7"/>
  <c r="AQ333" i="7" s="1"/>
  <c r="AR333" i="7" s="1"/>
  <c r="AS333" i="7" s="1"/>
  <c r="P333" i="7"/>
  <c r="AF333" i="7" s="1"/>
  <c r="O333" i="7"/>
  <c r="AE333" i="7" s="1"/>
  <c r="N333" i="7"/>
  <c r="AD333" i="7" s="1"/>
  <c r="M333" i="7"/>
  <c r="AC333" i="7" s="1"/>
  <c r="L333" i="7"/>
  <c r="AB333" i="7" s="1"/>
  <c r="K333" i="7"/>
  <c r="AA333" i="7" s="1"/>
  <c r="J333" i="7"/>
  <c r="Z333" i="7" s="1"/>
  <c r="I333" i="7"/>
  <c r="Y333" i="7" s="1"/>
  <c r="H333" i="7"/>
  <c r="X333" i="7" s="1"/>
  <c r="G333" i="7"/>
  <c r="W333" i="7" s="1"/>
  <c r="F333" i="7"/>
  <c r="V333" i="7" s="1"/>
  <c r="E333" i="7"/>
  <c r="U333" i="7" s="1"/>
  <c r="D333" i="7"/>
  <c r="T333" i="7" s="1"/>
  <c r="C333" i="7"/>
  <c r="S333" i="7" s="1"/>
  <c r="B333" i="7"/>
  <c r="R333" i="7" s="1"/>
  <c r="AP332" i="7"/>
  <c r="AQ332" i="7" s="1"/>
  <c r="AR332" i="7" s="1"/>
  <c r="AS332" i="7" s="1"/>
  <c r="P332" i="7"/>
  <c r="AF332" i="7" s="1"/>
  <c r="O332" i="7"/>
  <c r="AE332" i="7" s="1"/>
  <c r="N332" i="7"/>
  <c r="AD332" i="7" s="1"/>
  <c r="M332" i="7"/>
  <c r="AC332" i="7" s="1"/>
  <c r="L332" i="7"/>
  <c r="AB332" i="7" s="1"/>
  <c r="K332" i="7"/>
  <c r="AA332" i="7" s="1"/>
  <c r="J332" i="7"/>
  <c r="Z332" i="7" s="1"/>
  <c r="I332" i="7"/>
  <c r="Y332" i="7" s="1"/>
  <c r="H332" i="7"/>
  <c r="X332" i="7" s="1"/>
  <c r="G332" i="7"/>
  <c r="W332" i="7" s="1"/>
  <c r="F332" i="7"/>
  <c r="V332" i="7" s="1"/>
  <c r="E332" i="7"/>
  <c r="U332" i="7" s="1"/>
  <c r="D332" i="7"/>
  <c r="T332" i="7" s="1"/>
  <c r="C332" i="7"/>
  <c r="S332" i="7" s="1"/>
  <c r="B332" i="7"/>
  <c r="R332" i="7" s="1"/>
  <c r="AH332" i="7" s="1"/>
  <c r="AI332" i="7" s="1"/>
  <c r="AP331" i="7"/>
  <c r="AQ331" i="7" s="1"/>
  <c r="AR331" i="7" s="1"/>
  <c r="AS331" i="7" s="1"/>
  <c r="P331" i="7"/>
  <c r="AF331" i="7" s="1"/>
  <c r="O331" i="7"/>
  <c r="AE331" i="7" s="1"/>
  <c r="N331" i="7"/>
  <c r="AD331" i="7" s="1"/>
  <c r="M331" i="7"/>
  <c r="AC331" i="7" s="1"/>
  <c r="L331" i="7"/>
  <c r="AB331" i="7" s="1"/>
  <c r="K331" i="7"/>
  <c r="AA331" i="7" s="1"/>
  <c r="J331" i="7"/>
  <c r="Z331" i="7" s="1"/>
  <c r="I331" i="7"/>
  <c r="Y331" i="7" s="1"/>
  <c r="H331" i="7"/>
  <c r="X331" i="7" s="1"/>
  <c r="G331" i="7"/>
  <c r="W331" i="7" s="1"/>
  <c r="F331" i="7"/>
  <c r="V331" i="7" s="1"/>
  <c r="E331" i="7"/>
  <c r="U331" i="7" s="1"/>
  <c r="D331" i="7"/>
  <c r="T331" i="7" s="1"/>
  <c r="C331" i="7"/>
  <c r="S331" i="7" s="1"/>
  <c r="B331" i="7"/>
  <c r="R331" i="7" s="1"/>
  <c r="AP330" i="7"/>
  <c r="AQ330" i="7" s="1"/>
  <c r="AR330" i="7" s="1"/>
  <c r="AS330" i="7" s="1"/>
  <c r="P330" i="7"/>
  <c r="AF330" i="7" s="1"/>
  <c r="O330" i="7"/>
  <c r="AE330" i="7" s="1"/>
  <c r="N330" i="7"/>
  <c r="AD330" i="7" s="1"/>
  <c r="M330" i="7"/>
  <c r="AC330" i="7" s="1"/>
  <c r="L330" i="7"/>
  <c r="AB330" i="7" s="1"/>
  <c r="K330" i="7"/>
  <c r="AA330" i="7" s="1"/>
  <c r="J330" i="7"/>
  <c r="Z330" i="7" s="1"/>
  <c r="I330" i="7"/>
  <c r="Y330" i="7" s="1"/>
  <c r="H330" i="7"/>
  <c r="X330" i="7" s="1"/>
  <c r="G330" i="7"/>
  <c r="W330" i="7" s="1"/>
  <c r="F330" i="7"/>
  <c r="V330" i="7" s="1"/>
  <c r="E330" i="7"/>
  <c r="U330" i="7" s="1"/>
  <c r="D330" i="7"/>
  <c r="T330" i="7" s="1"/>
  <c r="C330" i="7"/>
  <c r="S330" i="7" s="1"/>
  <c r="B330" i="7"/>
  <c r="R330" i="7" s="1"/>
  <c r="AP329" i="7"/>
  <c r="AQ329" i="7" s="1"/>
  <c r="AR329" i="7" s="1"/>
  <c r="AS329" i="7" s="1"/>
  <c r="P329" i="7"/>
  <c r="AF329" i="7" s="1"/>
  <c r="O329" i="7"/>
  <c r="AE329" i="7" s="1"/>
  <c r="N329" i="7"/>
  <c r="AD329" i="7" s="1"/>
  <c r="M329" i="7"/>
  <c r="AC329" i="7" s="1"/>
  <c r="L329" i="7"/>
  <c r="AB329" i="7" s="1"/>
  <c r="K329" i="7"/>
  <c r="AA329" i="7" s="1"/>
  <c r="J329" i="7"/>
  <c r="Z329" i="7" s="1"/>
  <c r="I329" i="7"/>
  <c r="Y329" i="7" s="1"/>
  <c r="H329" i="7"/>
  <c r="X329" i="7" s="1"/>
  <c r="G329" i="7"/>
  <c r="W329" i="7" s="1"/>
  <c r="F329" i="7"/>
  <c r="V329" i="7" s="1"/>
  <c r="E329" i="7"/>
  <c r="U329" i="7" s="1"/>
  <c r="D329" i="7"/>
  <c r="T329" i="7" s="1"/>
  <c r="C329" i="7"/>
  <c r="S329" i="7" s="1"/>
  <c r="B329" i="7"/>
  <c r="R329" i="7" s="1"/>
  <c r="AP328" i="7"/>
  <c r="AQ328" i="7" s="1"/>
  <c r="AR328" i="7" s="1"/>
  <c r="AS328" i="7" s="1"/>
  <c r="P328" i="7"/>
  <c r="AF328" i="7" s="1"/>
  <c r="O328" i="7"/>
  <c r="AE328" i="7" s="1"/>
  <c r="N328" i="7"/>
  <c r="AD328" i="7" s="1"/>
  <c r="M328" i="7"/>
  <c r="AC328" i="7" s="1"/>
  <c r="L328" i="7"/>
  <c r="AB328" i="7" s="1"/>
  <c r="K328" i="7"/>
  <c r="AA328" i="7" s="1"/>
  <c r="J328" i="7"/>
  <c r="Z328" i="7" s="1"/>
  <c r="I328" i="7"/>
  <c r="Y328" i="7" s="1"/>
  <c r="H328" i="7"/>
  <c r="X328" i="7" s="1"/>
  <c r="G328" i="7"/>
  <c r="W328" i="7" s="1"/>
  <c r="F328" i="7"/>
  <c r="V328" i="7" s="1"/>
  <c r="E328" i="7"/>
  <c r="U328" i="7" s="1"/>
  <c r="D328" i="7"/>
  <c r="T328" i="7" s="1"/>
  <c r="C328" i="7"/>
  <c r="S328" i="7" s="1"/>
  <c r="B328" i="7"/>
  <c r="R328" i="7" s="1"/>
  <c r="AP327" i="7"/>
  <c r="AQ327" i="7" s="1"/>
  <c r="AR327" i="7" s="1"/>
  <c r="AS327" i="7" s="1"/>
  <c r="P327" i="7"/>
  <c r="AF327" i="7" s="1"/>
  <c r="O327" i="7"/>
  <c r="AE327" i="7" s="1"/>
  <c r="N327" i="7"/>
  <c r="AD327" i="7" s="1"/>
  <c r="M327" i="7"/>
  <c r="AC327" i="7" s="1"/>
  <c r="L327" i="7"/>
  <c r="AB327" i="7" s="1"/>
  <c r="K327" i="7"/>
  <c r="AA327" i="7" s="1"/>
  <c r="J327" i="7"/>
  <c r="Z327" i="7" s="1"/>
  <c r="I327" i="7"/>
  <c r="Y327" i="7" s="1"/>
  <c r="H327" i="7"/>
  <c r="X327" i="7" s="1"/>
  <c r="G327" i="7"/>
  <c r="W327" i="7" s="1"/>
  <c r="F327" i="7"/>
  <c r="V327" i="7" s="1"/>
  <c r="E327" i="7"/>
  <c r="U327" i="7" s="1"/>
  <c r="D327" i="7"/>
  <c r="T327" i="7" s="1"/>
  <c r="C327" i="7"/>
  <c r="S327" i="7" s="1"/>
  <c r="B327" i="7"/>
  <c r="R327" i="7" s="1"/>
  <c r="AP326" i="7"/>
  <c r="AQ326" i="7" s="1"/>
  <c r="AR326" i="7" s="1"/>
  <c r="AS326" i="7" s="1"/>
  <c r="P326" i="7"/>
  <c r="AF326" i="7" s="1"/>
  <c r="O326" i="7"/>
  <c r="AE326" i="7" s="1"/>
  <c r="N326" i="7"/>
  <c r="AD326" i="7" s="1"/>
  <c r="M326" i="7"/>
  <c r="AC326" i="7" s="1"/>
  <c r="L326" i="7"/>
  <c r="AB326" i="7" s="1"/>
  <c r="K326" i="7"/>
  <c r="AA326" i="7" s="1"/>
  <c r="J326" i="7"/>
  <c r="Z326" i="7" s="1"/>
  <c r="I326" i="7"/>
  <c r="Y326" i="7" s="1"/>
  <c r="H326" i="7"/>
  <c r="X326" i="7" s="1"/>
  <c r="G326" i="7"/>
  <c r="W326" i="7" s="1"/>
  <c r="F326" i="7"/>
  <c r="V326" i="7" s="1"/>
  <c r="E326" i="7"/>
  <c r="U326" i="7" s="1"/>
  <c r="D326" i="7"/>
  <c r="T326" i="7" s="1"/>
  <c r="C326" i="7"/>
  <c r="S326" i="7" s="1"/>
  <c r="B326" i="7"/>
  <c r="R326" i="7" s="1"/>
  <c r="AP325" i="7"/>
  <c r="AQ325" i="7" s="1"/>
  <c r="AR325" i="7" s="1"/>
  <c r="AS325" i="7" s="1"/>
  <c r="P325" i="7"/>
  <c r="AF325" i="7" s="1"/>
  <c r="O325" i="7"/>
  <c r="AE325" i="7" s="1"/>
  <c r="N325" i="7"/>
  <c r="AD325" i="7" s="1"/>
  <c r="M325" i="7"/>
  <c r="AC325" i="7" s="1"/>
  <c r="L325" i="7"/>
  <c r="AB325" i="7" s="1"/>
  <c r="K325" i="7"/>
  <c r="AA325" i="7" s="1"/>
  <c r="J325" i="7"/>
  <c r="Z325" i="7" s="1"/>
  <c r="I325" i="7"/>
  <c r="Y325" i="7" s="1"/>
  <c r="H325" i="7"/>
  <c r="X325" i="7" s="1"/>
  <c r="G325" i="7"/>
  <c r="W325" i="7" s="1"/>
  <c r="F325" i="7"/>
  <c r="V325" i="7" s="1"/>
  <c r="E325" i="7"/>
  <c r="U325" i="7" s="1"/>
  <c r="D325" i="7"/>
  <c r="T325" i="7" s="1"/>
  <c r="C325" i="7"/>
  <c r="S325" i="7" s="1"/>
  <c r="B325" i="7"/>
  <c r="R325" i="7" s="1"/>
  <c r="AP324" i="7"/>
  <c r="AQ324" i="7" s="1"/>
  <c r="AR324" i="7" s="1"/>
  <c r="AS324" i="7" s="1"/>
  <c r="P324" i="7"/>
  <c r="AF324" i="7" s="1"/>
  <c r="O324" i="7"/>
  <c r="AE324" i="7" s="1"/>
  <c r="N324" i="7"/>
  <c r="AD324" i="7" s="1"/>
  <c r="M324" i="7"/>
  <c r="AC324" i="7" s="1"/>
  <c r="L324" i="7"/>
  <c r="AB324" i="7" s="1"/>
  <c r="K324" i="7"/>
  <c r="AA324" i="7" s="1"/>
  <c r="J324" i="7"/>
  <c r="Z324" i="7" s="1"/>
  <c r="I324" i="7"/>
  <c r="Y324" i="7" s="1"/>
  <c r="H324" i="7"/>
  <c r="X324" i="7" s="1"/>
  <c r="G324" i="7"/>
  <c r="W324" i="7" s="1"/>
  <c r="F324" i="7"/>
  <c r="V324" i="7" s="1"/>
  <c r="E324" i="7"/>
  <c r="U324" i="7" s="1"/>
  <c r="D324" i="7"/>
  <c r="T324" i="7" s="1"/>
  <c r="C324" i="7"/>
  <c r="S324" i="7" s="1"/>
  <c r="B324" i="7"/>
  <c r="R324" i="7" s="1"/>
  <c r="AP323" i="7"/>
  <c r="AQ323" i="7" s="1"/>
  <c r="AR323" i="7" s="1"/>
  <c r="AS323" i="7" s="1"/>
  <c r="P323" i="7"/>
  <c r="AF323" i="7" s="1"/>
  <c r="O323" i="7"/>
  <c r="AE323" i="7" s="1"/>
  <c r="N323" i="7"/>
  <c r="AD323" i="7" s="1"/>
  <c r="M323" i="7"/>
  <c r="AC323" i="7" s="1"/>
  <c r="L323" i="7"/>
  <c r="AB323" i="7" s="1"/>
  <c r="K323" i="7"/>
  <c r="AA323" i="7" s="1"/>
  <c r="J323" i="7"/>
  <c r="Z323" i="7" s="1"/>
  <c r="I323" i="7"/>
  <c r="Y323" i="7" s="1"/>
  <c r="H323" i="7"/>
  <c r="X323" i="7" s="1"/>
  <c r="G323" i="7"/>
  <c r="W323" i="7" s="1"/>
  <c r="F323" i="7"/>
  <c r="V323" i="7" s="1"/>
  <c r="E323" i="7"/>
  <c r="U323" i="7" s="1"/>
  <c r="D323" i="7"/>
  <c r="T323" i="7" s="1"/>
  <c r="C323" i="7"/>
  <c r="S323" i="7" s="1"/>
  <c r="B323" i="7"/>
  <c r="R323" i="7" s="1"/>
  <c r="AP322" i="7"/>
  <c r="AQ322" i="7" s="1"/>
  <c r="AR322" i="7" s="1"/>
  <c r="AS322" i="7" s="1"/>
  <c r="P322" i="7"/>
  <c r="AF322" i="7" s="1"/>
  <c r="O322" i="7"/>
  <c r="AE322" i="7" s="1"/>
  <c r="N322" i="7"/>
  <c r="AD322" i="7" s="1"/>
  <c r="M322" i="7"/>
  <c r="AC322" i="7" s="1"/>
  <c r="L322" i="7"/>
  <c r="AB322" i="7" s="1"/>
  <c r="K322" i="7"/>
  <c r="AA322" i="7" s="1"/>
  <c r="J322" i="7"/>
  <c r="Z322" i="7" s="1"/>
  <c r="I322" i="7"/>
  <c r="Y322" i="7" s="1"/>
  <c r="H322" i="7"/>
  <c r="X322" i="7" s="1"/>
  <c r="G322" i="7"/>
  <c r="W322" i="7" s="1"/>
  <c r="F322" i="7"/>
  <c r="V322" i="7" s="1"/>
  <c r="E322" i="7"/>
  <c r="U322" i="7" s="1"/>
  <c r="D322" i="7"/>
  <c r="T322" i="7" s="1"/>
  <c r="C322" i="7"/>
  <c r="S322" i="7" s="1"/>
  <c r="B322" i="7"/>
  <c r="R322" i="7" s="1"/>
  <c r="AP321" i="7"/>
  <c r="AQ321" i="7" s="1"/>
  <c r="AR321" i="7" s="1"/>
  <c r="AS321" i="7" s="1"/>
  <c r="P321" i="7"/>
  <c r="AF321" i="7" s="1"/>
  <c r="O321" i="7"/>
  <c r="AE321" i="7" s="1"/>
  <c r="N321" i="7"/>
  <c r="AD321" i="7" s="1"/>
  <c r="M321" i="7"/>
  <c r="AC321" i="7" s="1"/>
  <c r="L321" i="7"/>
  <c r="AB321" i="7" s="1"/>
  <c r="K321" i="7"/>
  <c r="AA321" i="7" s="1"/>
  <c r="J321" i="7"/>
  <c r="Z321" i="7" s="1"/>
  <c r="I321" i="7"/>
  <c r="Y321" i="7" s="1"/>
  <c r="H321" i="7"/>
  <c r="X321" i="7" s="1"/>
  <c r="G321" i="7"/>
  <c r="W321" i="7" s="1"/>
  <c r="F321" i="7"/>
  <c r="V321" i="7" s="1"/>
  <c r="E321" i="7"/>
  <c r="U321" i="7" s="1"/>
  <c r="D321" i="7"/>
  <c r="T321" i="7" s="1"/>
  <c r="C321" i="7"/>
  <c r="S321" i="7" s="1"/>
  <c r="B321" i="7"/>
  <c r="R321" i="7" s="1"/>
  <c r="AP320" i="7"/>
  <c r="AQ320" i="7" s="1"/>
  <c r="AR320" i="7" s="1"/>
  <c r="AS320" i="7" s="1"/>
  <c r="P320" i="7"/>
  <c r="AF320" i="7" s="1"/>
  <c r="O320" i="7"/>
  <c r="AE320" i="7" s="1"/>
  <c r="N320" i="7"/>
  <c r="AD320" i="7" s="1"/>
  <c r="M320" i="7"/>
  <c r="AC320" i="7" s="1"/>
  <c r="L320" i="7"/>
  <c r="AB320" i="7" s="1"/>
  <c r="K320" i="7"/>
  <c r="AA320" i="7" s="1"/>
  <c r="J320" i="7"/>
  <c r="Z320" i="7" s="1"/>
  <c r="I320" i="7"/>
  <c r="Y320" i="7" s="1"/>
  <c r="H320" i="7"/>
  <c r="X320" i="7" s="1"/>
  <c r="G320" i="7"/>
  <c r="W320" i="7" s="1"/>
  <c r="F320" i="7"/>
  <c r="V320" i="7" s="1"/>
  <c r="E320" i="7"/>
  <c r="U320" i="7" s="1"/>
  <c r="D320" i="7"/>
  <c r="T320" i="7" s="1"/>
  <c r="C320" i="7"/>
  <c r="S320" i="7" s="1"/>
  <c r="B320" i="7"/>
  <c r="R320" i="7" s="1"/>
  <c r="AP319" i="7"/>
  <c r="AQ319" i="7" s="1"/>
  <c r="AR319" i="7" s="1"/>
  <c r="AS319" i="7" s="1"/>
  <c r="P319" i="7"/>
  <c r="AF319" i="7" s="1"/>
  <c r="O319" i="7"/>
  <c r="AE319" i="7" s="1"/>
  <c r="N319" i="7"/>
  <c r="AD319" i="7" s="1"/>
  <c r="M319" i="7"/>
  <c r="AC319" i="7" s="1"/>
  <c r="L319" i="7"/>
  <c r="AB319" i="7" s="1"/>
  <c r="K319" i="7"/>
  <c r="AA319" i="7" s="1"/>
  <c r="J319" i="7"/>
  <c r="Z319" i="7" s="1"/>
  <c r="I319" i="7"/>
  <c r="Y319" i="7" s="1"/>
  <c r="H319" i="7"/>
  <c r="X319" i="7" s="1"/>
  <c r="G319" i="7"/>
  <c r="W319" i="7" s="1"/>
  <c r="F319" i="7"/>
  <c r="V319" i="7" s="1"/>
  <c r="E319" i="7"/>
  <c r="U319" i="7" s="1"/>
  <c r="D319" i="7"/>
  <c r="T319" i="7" s="1"/>
  <c r="C319" i="7"/>
  <c r="S319" i="7" s="1"/>
  <c r="B319" i="7"/>
  <c r="R319" i="7" s="1"/>
  <c r="AH319" i="7" s="1"/>
  <c r="AI319" i="7" s="1"/>
  <c r="AP318" i="7"/>
  <c r="AQ318" i="7" s="1"/>
  <c r="AR318" i="7" s="1"/>
  <c r="AS318" i="7" s="1"/>
  <c r="P318" i="7"/>
  <c r="AF318" i="7" s="1"/>
  <c r="O318" i="7"/>
  <c r="AE318" i="7" s="1"/>
  <c r="N318" i="7"/>
  <c r="AD318" i="7" s="1"/>
  <c r="M318" i="7"/>
  <c r="AC318" i="7" s="1"/>
  <c r="L318" i="7"/>
  <c r="AB318" i="7" s="1"/>
  <c r="K318" i="7"/>
  <c r="AA318" i="7" s="1"/>
  <c r="J318" i="7"/>
  <c r="Z318" i="7" s="1"/>
  <c r="I318" i="7"/>
  <c r="Y318" i="7" s="1"/>
  <c r="H318" i="7"/>
  <c r="X318" i="7" s="1"/>
  <c r="G318" i="7"/>
  <c r="W318" i="7" s="1"/>
  <c r="F318" i="7"/>
  <c r="V318" i="7" s="1"/>
  <c r="E318" i="7"/>
  <c r="U318" i="7" s="1"/>
  <c r="D318" i="7"/>
  <c r="T318" i="7" s="1"/>
  <c r="C318" i="7"/>
  <c r="S318" i="7" s="1"/>
  <c r="B318" i="7"/>
  <c r="R318" i="7" s="1"/>
  <c r="AH318" i="7" s="1"/>
  <c r="AI318" i="7" s="1"/>
  <c r="AP317" i="7"/>
  <c r="AQ317" i="7" s="1"/>
  <c r="AR317" i="7" s="1"/>
  <c r="AS317" i="7" s="1"/>
  <c r="P317" i="7"/>
  <c r="AF317" i="7" s="1"/>
  <c r="O317" i="7"/>
  <c r="AE317" i="7" s="1"/>
  <c r="N317" i="7"/>
  <c r="AD317" i="7" s="1"/>
  <c r="M317" i="7"/>
  <c r="AC317" i="7" s="1"/>
  <c r="L317" i="7"/>
  <c r="AB317" i="7" s="1"/>
  <c r="K317" i="7"/>
  <c r="AA317" i="7" s="1"/>
  <c r="J317" i="7"/>
  <c r="Z317" i="7" s="1"/>
  <c r="I317" i="7"/>
  <c r="Y317" i="7" s="1"/>
  <c r="H317" i="7"/>
  <c r="X317" i="7" s="1"/>
  <c r="G317" i="7"/>
  <c r="W317" i="7" s="1"/>
  <c r="F317" i="7"/>
  <c r="V317" i="7" s="1"/>
  <c r="E317" i="7"/>
  <c r="U317" i="7" s="1"/>
  <c r="D317" i="7"/>
  <c r="T317" i="7" s="1"/>
  <c r="C317" i="7"/>
  <c r="S317" i="7" s="1"/>
  <c r="B317" i="7"/>
  <c r="R317" i="7" s="1"/>
  <c r="AP316" i="7"/>
  <c r="AQ316" i="7" s="1"/>
  <c r="AR316" i="7" s="1"/>
  <c r="AS316" i="7" s="1"/>
  <c r="P316" i="7"/>
  <c r="AF316" i="7" s="1"/>
  <c r="O316" i="7"/>
  <c r="AE316" i="7" s="1"/>
  <c r="N316" i="7"/>
  <c r="AD316" i="7" s="1"/>
  <c r="M316" i="7"/>
  <c r="AC316" i="7" s="1"/>
  <c r="L316" i="7"/>
  <c r="AB316" i="7" s="1"/>
  <c r="K316" i="7"/>
  <c r="AA316" i="7" s="1"/>
  <c r="J316" i="7"/>
  <c r="Z316" i="7" s="1"/>
  <c r="I316" i="7"/>
  <c r="Y316" i="7" s="1"/>
  <c r="H316" i="7"/>
  <c r="X316" i="7" s="1"/>
  <c r="G316" i="7"/>
  <c r="W316" i="7" s="1"/>
  <c r="F316" i="7"/>
  <c r="V316" i="7" s="1"/>
  <c r="E316" i="7"/>
  <c r="U316" i="7" s="1"/>
  <c r="D316" i="7"/>
  <c r="T316" i="7" s="1"/>
  <c r="C316" i="7"/>
  <c r="S316" i="7" s="1"/>
  <c r="B316" i="7"/>
  <c r="R316" i="7" s="1"/>
  <c r="AP315" i="7"/>
  <c r="AQ315" i="7" s="1"/>
  <c r="AR315" i="7" s="1"/>
  <c r="AS315" i="7" s="1"/>
  <c r="P315" i="7"/>
  <c r="AF315" i="7" s="1"/>
  <c r="O315" i="7"/>
  <c r="AE315" i="7" s="1"/>
  <c r="N315" i="7"/>
  <c r="AD315" i="7" s="1"/>
  <c r="M315" i="7"/>
  <c r="AC315" i="7" s="1"/>
  <c r="L315" i="7"/>
  <c r="AB315" i="7" s="1"/>
  <c r="K315" i="7"/>
  <c r="AA315" i="7" s="1"/>
  <c r="J315" i="7"/>
  <c r="Z315" i="7" s="1"/>
  <c r="I315" i="7"/>
  <c r="Y315" i="7" s="1"/>
  <c r="H315" i="7"/>
  <c r="X315" i="7" s="1"/>
  <c r="G315" i="7"/>
  <c r="W315" i="7" s="1"/>
  <c r="F315" i="7"/>
  <c r="V315" i="7" s="1"/>
  <c r="E315" i="7"/>
  <c r="U315" i="7" s="1"/>
  <c r="D315" i="7"/>
  <c r="T315" i="7" s="1"/>
  <c r="C315" i="7"/>
  <c r="S315" i="7" s="1"/>
  <c r="B315" i="7"/>
  <c r="R315" i="7" s="1"/>
  <c r="AP314" i="7"/>
  <c r="AQ314" i="7" s="1"/>
  <c r="AR314" i="7" s="1"/>
  <c r="AS314" i="7" s="1"/>
  <c r="P314" i="7"/>
  <c r="AF314" i="7" s="1"/>
  <c r="O314" i="7"/>
  <c r="AE314" i="7" s="1"/>
  <c r="N314" i="7"/>
  <c r="AD314" i="7" s="1"/>
  <c r="M314" i="7"/>
  <c r="AC314" i="7" s="1"/>
  <c r="L314" i="7"/>
  <c r="AB314" i="7" s="1"/>
  <c r="K314" i="7"/>
  <c r="AA314" i="7" s="1"/>
  <c r="J314" i="7"/>
  <c r="Z314" i="7" s="1"/>
  <c r="I314" i="7"/>
  <c r="Y314" i="7" s="1"/>
  <c r="H314" i="7"/>
  <c r="X314" i="7" s="1"/>
  <c r="G314" i="7"/>
  <c r="W314" i="7" s="1"/>
  <c r="F314" i="7"/>
  <c r="V314" i="7" s="1"/>
  <c r="E314" i="7"/>
  <c r="U314" i="7" s="1"/>
  <c r="D314" i="7"/>
  <c r="T314" i="7" s="1"/>
  <c r="C314" i="7"/>
  <c r="S314" i="7" s="1"/>
  <c r="B314" i="7"/>
  <c r="R314" i="7" s="1"/>
  <c r="AP313" i="7"/>
  <c r="AQ313" i="7" s="1"/>
  <c r="AR313" i="7" s="1"/>
  <c r="AS313" i="7" s="1"/>
  <c r="P313" i="7"/>
  <c r="AF313" i="7" s="1"/>
  <c r="O313" i="7"/>
  <c r="AE313" i="7" s="1"/>
  <c r="N313" i="7"/>
  <c r="AD313" i="7" s="1"/>
  <c r="M313" i="7"/>
  <c r="AC313" i="7" s="1"/>
  <c r="L313" i="7"/>
  <c r="AB313" i="7" s="1"/>
  <c r="K313" i="7"/>
  <c r="AA313" i="7" s="1"/>
  <c r="J313" i="7"/>
  <c r="Z313" i="7" s="1"/>
  <c r="I313" i="7"/>
  <c r="Y313" i="7" s="1"/>
  <c r="H313" i="7"/>
  <c r="X313" i="7" s="1"/>
  <c r="G313" i="7"/>
  <c r="W313" i="7" s="1"/>
  <c r="F313" i="7"/>
  <c r="V313" i="7" s="1"/>
  <c r="E313" i="7"/>
  <c r="U313" i="7" s="1"/>
  <c r="D313" i="7"/>
  <c r="T313" i="7" s="1"/>
  <c r="C313" i="7"/>
  <c r="S313" i="7" s="1"/>
  <c r="B313" i="7"/>
  <c r="R313" i="7" s="1"/>
  <c r="AH313" i="7" s="1"/>
  <c r="AI313" i="7" s="1"/>
  <c r="AP312" i="7"/>
  <c r="AQ312" i="7" s="1"/>
  <c r="AR312" i="7" s="1"/>
  <c r="AS312" i="7" s="1"/>
  <c r="P312" i="7"/>
  <c r="AF312" i="7" s="1"/>
  <c r="O312" i="7"/>
  <c r="AE312" i="7" s="1"/>
  <c r="N312" i="7"/>
  <c r="AD312" i="7" s="1"/>
  <c r="M312" i="7"/>
  <c r="AC312" i="7" s="1"/>
  <c r="L312" i="7"/>
  <c r="AB312" i="7" s="1"/>
  <c r="K312" i="7"/>
  <c r="AA312" i="7" s="1"/>
  <c r="J312" i="7"/>
  <c r="Z312" i="7" s="1"/>
  <c r="I312" i="7"/>
  <c r="Y312" i="7" s="1"/>
  <c r="H312" i="7"/>
  <c r="X312" i="7" s="1"/>
  <c r="G312" i="7"/>
  <c r="W312" i="7" s="1"/>
  <c r="F312" i="7"/>
  <c r="V312" i="7" s="1"/>
  <c r="E312" i="7"/>
  <c r="U312" i="7" s="1"/>
  <c r="D312" i="7"/>
  <c r="T312" i="7" s="1"/>
  <c r="C312" i="7"/>
  <c r="S312" i="7" s="1"/>
  <c r="B312" i="7"/>
  <c r="R312" i="7" s="1"/>
  <c r="AP311" i="7"/>
  <c r="AQ311" i="7" s="1"/>
  <c r="AR311" i="7" s="1"/>
  <c r="AS311" i="7" s="1"/>
  <c r="P311" i="7"/>
  <c r="AF311" i="7" s="1"/>
  <c r="O311" i="7"/>
  <c r="AE311" i="7" s="1"/>
  <c r="N311" i="7"/>
  <c r="AD311" i="7" s="1"/>
  <c r="M311" i="7"/>
  <c r="AC311" i="7" s="1"/>
  <c r="L311" i="7"/>
  <c r="AB311" i="7" s="1"/>
  <c r="K311" i="7"/>
  <c r="AA311" i="7" s="1"/>
  <c r="J311" i="7"/>
  <c r="Z311" i="7" s="1"/>
  <c r="I311" i="7"/>
  <c r="Y311" i="7" s="1"/>
  <c r="H311" i="7"/>
  <c r="X311" i="7" s="1"/>
  <c r="G311" i="7"/>
  <c r="W311" i="7" s="1"/>
  <c r="F311" i="7"/>
  <c r="V311" i="7" s="1"/>
  <c r="E311" i="7"/>
  <c r="U311" i="7" s="1"/>
  <c r="D311" i="7"/>
  <c r="T311" i="7" s="1"/>
  <c r="C311" i="7"/>
  <c r="S311" i="7" s="1"/>
  <c r="B311" i="7"/>
  <c r="R311" i="7" s="1"/>
  <c r="AH311" i="7" s="1"/>
  <c r="AI311" i="7" s="1"/>
  <c r="AP310" i="7"/>
  <c r="AQ310" i="7" s="1"/>
  <c r="AR310" i="7" s="1"/>
  <c r="AS310" i="7" s="1"/>
  <c r="P310" i="7"/>
  <c r="AF310" i="7" s="1"/>
  <c r="O310" i="7"/>
  <c r="AE310" i="7" s="1"/>
  <c r="N310" i="7"/>
  <c r="AD310" i="7" s="1"/>
  <c r="M310" i="7"/>
  <c r="AC310" i="7" s="1"/>
  <c r="L310" i="7"/>
  <c r="AB310" i="7" s="1"/>
  <c r="K310" i="7"/>
  <c r="AA310" i="7" s="1"/>
  <c r="J310" i="7"/>
  <c r="Z310" i="7" s="1"/>
  <c r="I310" i="7"/>
  <c r="Y310" i="7" s="1"/>
  <c r="H310" i="7"/>
  <c r="X310" i="7" s="1"/>
  <c r="G310" i="7"/>
  <c r="W310" i="7" s="1"/>
  <c r="F310" i="7"/>
  <c r="V310" i="7" s="1"/>
  <c r="E310" i="7"/>
  <c r="U310" i="7" s="1"/>
  <c r="D310" i="7"/>
  <c r="T310" i="7" s="1"/>
  <c r="C310" i="7"/>
  <c r="S310" i="7" s="1"/>
  <c r="B310" i="7"/>
  <c r="R310" i="7" s="1"/>
  <c r="AH310" i="7" s="1"/>
  <c r="AI310" i="7" s="1"/>
  <c r="AP309" i="7"/>
  <c r="AQ309" i="7" s="1"/>
  <c r="AR309" i="7" s="1"/>
  <c r="AS309" i="7" s="1"/>
  <c r="P309" i="7"/>
  <c r="AF309" i="7" s="1"/>
  <c r="O309" i="7"/>
  <c r="AE309" i="7" s="1"/>
  <c r="N309" i="7"/>
  <c r="AD309" i="7" s="1"/>
  <c r="M309" i="7"/>
  <c r="AC309" i="7" s="1"/>
  <c r="L309" i="7"/>
  <c r="AB309" i="7" s="1"/>
  <c r="K309" i="7"/>
  <c r="AA309" i="7" s="1"/>
  <c r="J309" i="7"/>
  <c r="Z309" i="7" s="1"/>
  <c r="I309" i="7"/>
  <c r="Y309" i="7" s="1"/>
  <c r="H309" i="7"/>
  <c r="X309" i="7" s="1"/>
  <c r="G309" i="7"/>
  <c r="W309" i="7" s="1"/>
  <c r="F309" i="7"/>
  <c r="V309" i="7" s="1"/>
  <c r="E309" i="7"/>
  <c r="U309" i="7" s="1"/>
  <c r="D309" i="7"/>
  <c r="T309" i="7" s="1"/>
  <c r="C309" i="7"/>
  <c r="S309" i="7" s="1"/>
  <c r="B309" i="7"/>
  <c r="R309" i="7" s="1"/>
  <c r="AH309" i="7" s="1"/>
  <c r="AI309" i="7" s="1"/>
  <c r="AP308" i="7"/>
  <c r="AQ308" i="7" s="1"/>
  <c r="AR308" i="7" s="1"/>
  <c r="AS308" i="7" s="1"/>
  <c r="P308" i="7"/>
  <c r="AF308" i="7" s="1"/>
  <c r="O308" i="7"/>
  <c r="AE308" i="7" s="1"/>
  <c r="N308" i="7"/>
  <c r="AD308" i="7" s="1"/>
  <c r="M308" i="7"/>
  <c r="AC308" i="7" s="1"/>
  <c r="L308" i="7"/>
  <c r="AB308" i="7" s="1"/>
  <c r="K308" i="7"/>
  <c r="AA308" i="7" s="1"/>
  <c r="J308" i="7"/>
  <c r="Z308" i="7" s="1"/>
  <c r="I308" i="7"/>
  <c r="Y308" i="7" s="1"/>
  <c r="H308" i="7"/>
  <c r="X308" i="7" s="1"/>
  <c r="G308" i="7"/>
  <c r="W308" i="7" s="1"/>
  <c r="F308" i="7"/>
  <c r="V308" i="7" s="1"/>
  <c r="E308" i="7"/>
  <c r="U308" i="7" s="1"/>
  <c r="D308" i="7"/>
  <c r="T308" i="7" s="1"/>
  <c r="C308" i="7"/>
  <c r="S308" i="7" s="1"/>
  <c r="B308" i="7"/>
  <c r="R308" i="7" s="1"/>
  <c r="AH308" i="7" s="1"/>
  <c r="AI308" i="7" s="1"/>
  <c r="AP307" i="7"/>
  <c r="AQ307" i="7" s="1"/>
  <c r="AR307" i="7" s="1"/>
  <c r="AS307" i="7" s="1"/>
  <c r="P307" i="7"/>
  <c r="AF307" i="7" s="1"/>
  <c r="O307" i="7"/>
  <c r="AE307" i="7" s="1"/>
  <c r="N307" i="7"/>
  <c r="AD307" i="7" s="1"/>
  <c r="M307" i="7"/>
  <c r="AC307" i="7" s="1"/>
  <c r="L307" i="7"/>
  <c r="AB307" i="7" s="1"/>
  <c r="K307" i="7"/>
  <c r="AA307" i="7" s="1"/>
  <c r="J307" i="7"/>
  <c r="Z307" i="7" s="1"/>
  <c r="I307" i="7"/>
  <c r="Y307" i="7" s="1"/>
  <c r="H307" i="7"/>
  <c r="X307" i="7" s="1"/>
  <c r="G307" i="7"/>
  <c r="W307" i="7" s="1"/>
  <c r="F307" i="7"/>
  <c r="V307" i="7" s="1"/>
  <c r="E307" i="7"/>
  <c r="U307" i="7" s="1"/>
  <c r="D307" i="7"/>
  <c r="T307" i="7" s="1"/>
  <c r="C307" i="7"/>
  <c r="S307" i="7" s="1"/>
  <c r="B307" i="7"/>
  <c r="R307" i="7" s="1"/>
  <c r="AP306" i="7"/>
  <c r="AQ306" i="7" s="1"/>
  <c r="AR306" i="7" s="1"/>
  <c r="AS306" i="7" s="1"/>
  <c r="P306" i="7"/>
  <c r="AF306" i="7" s="1"/>
  <c r="O306" i="7"/>
  <c r="AE306" i="7" s="1"/>
  <c r="N306" i="7"/>
  <c r="AD306" i="7" s="1"/>
  <c r="M306" i="7"/>
  <c r="AC306" i="7" s="1"/>
  <c r="L306" i="7"/>
  <c r="AB306" i="7" s="1"/>
  <c r="K306" i="7"/>
  <c r="AA306" i="7" s="1"/>
  <c r="J306" i="7"/>
  <c r="Z306" i="7" s="1"/>
  <c r="I306" i="7"/>
  <c r="Y306" i="7" s="1"/>
  <c r="H306" i="7"/>
  <c r="X306" i="7" s="1"/>
  <c r="G306" i="7"/>
  <c r="W306" i="7" s="1"/>
  <c r="F306" i="7"/>
  <c r="V306" i="7" s="1"/>
  <c r="E306" i="7"/>
  <c r="U306" i="7" s="1"/>
  <c r="D306" i="7"/>
  <c r="T306" i="7" s="1"/>
  <c r="C306" i="7"/>
  <c r="S306" i="7" s="1"/>
  <c r="B306" i="7"/>
  <c r="R306" i="7" s="1"/>
  <c r="AH306" i="7" s="1"/>
  <c r="AI306" i="7" s="1"/>
  <c r="AP305" i="7"/>
  <c r="AQ305" i="7" s="1"/>
  <c r="AR305" i="7" s="1"/>
  <c r="AS305" i="7" s="1"/>
  <c r="P305" i="7"/>
  <c r="AF305" i="7" s="1"/>
  <c r="O305" i="7"/>
  <c r="AE305" i="7" s="1"/>
  <c r="N305" i="7"/>
  <c r="AD305" i="7" s="1"/>
  <c r="M305" i="7"/>
  <c r="AC305" i="7" s="1"/>
  <c r="L305" i="7"/>
  <c r="AB305" i="7" s="1"/>
  <c r="K305" i="7"/>
  <c r="AA305" i="7" s="1"/>
  <c r="J305" i="7"/>
  <c r="Z305" i="7" s="1"/>
  <c r="I305" i="7"/>
  <c r="Y305" i="7" s="1"/>
  <c r="H305" i="7"/>
  <c r="X305" i="7" s="1"/>
  <c r="G305" i="7"/>
  <c r="W305" i="7" s="1"/>
  <c r="F305" i="7"/>
  <c r="V305" i="7" s="1"/>
  <c r="E305" i="7"/>
  <c r="U305" i="7" s="1"/>
  <c r="D305" i="7"/>
  <c r="T305" i="7" s="1"/>
  <c r="C305" i="7"/>
  <c r="S305" i="7" s="1"/>
  <c r="B305" i="7"/>
  <c r="R305" i="7" s="1"/>
  <c r="AH305" i="7" s="1"/>
  <c r="AI305" i="7" s="1"/>
  <c r="AP304" i="7"/>
  <c r="AQ304" i="7" s="1"/>
  <c r="AR304" i="7" s="1"/>
  <c r="AS304" i="7" s="1"/>
  <c r="P304" i="7"/>
  <c r="AF304" i="7" s="1"/>
  <c r="O304" i="7"/>
  <c r="AE304" i="7" s="1"/>
  <c r="N304" i="7"/>
  <c r="AD304" i="7" s="1"/>
  <c r="M304" i="7"/>
  <c r="AC304" i="7" s="1"/>
  <c r="L304" i="7"/>
  <c r="AB304" i="7" s="1"/>
  <c r="K304" i="7"/>
  <c r="AA304" i="7" s="1"/>
  <c r="J304" i="7"/>
  <c r="Z304" i="7" s="1"/>
  <c r="I304" i="7"/>
  <c r="Y304" i="7" s="1"/>
  <c r="H304" i="7"/>
  <c r="X304" i="7" s="1"/>
  <c r="G304" i="7"/>
  <c r="W304" i="7" s="1"/>
  <c r="F304" i="7"/>
  <c r="V304" i="7" s="1"/>
  <c r="E304" i="7"/>
  <c r="U304" i="7" s="1"/>
  <c r="D304" i="7"/>
  <c r="T304" i="7" s="1"/>
  <c r="C304" i="7"/>
  <c r="S304" i="7" s="1"/>
  <c r="B304" i="7"/>
  <c r="R304" i="7" s="1"/>
  <c r="AP303" i="7"/>
  <c r="AQ303" i="7" s="1"/>
  <c r="AR303" i="7" s="1"/>
  <c r="AS303" i="7" s="1"/>
  <c r="P303" i="7"/>
  <c r="AF303" i="7" s="1"/>
  <c r="O303" i="7"/>
  <c r="AE303" i="7" s="1"/>
  <c r="N303" i="7"/>
  <c r="AD303" i="7" s="1"/>
  <c r="M303" i="7"/>
  <c r="AC303" i="7" s="1"/>
  <c r="L303" i="7"/>
  <c r="AB303" i="7" s="1"/>
  <c r="K303" i="7"/>
  <c r="AA303" i="7" s="1"/>
  <c r="J303" i="7"/>
  <c r="Z303" i="7" s="1"/>
  <c r="I303" i="7"/>
  <c r="Y303" i="7" s="1"/>
  <c r="H303" i="7"/>
  <c r="X303" i="7" s="1"/>
  <c r="G303" i="7"/>
  <c r="W303" i="7" s="1"/>
  <c r="F303" i="7"/>
  <c r="V303" i="7" s="1"/>
  <c r="E303" i="7"/>
  <c r="U303" i="7" s="1"/>
  <c r="D303" i="7"/>
  <c r="T303" i="7" s="1"/>
  <c r="C303" i="7"/>
  <c r="S303" i="7" s="1"/>
  <c r="B303" i="7"/>
  <c r="R303" i="7" s="1"/>
  <c r="AP302" i="7"/>
  <c r="AQ302" i="7" s="1"/>
  <c r="AR302" i="7" s="1"/>
  <c r="AS302" i="7" s="1"/>
  <c r="P302" i="7"/>
  <c r="AF302" i="7" s="1"/>
  <c r="O302" i="7"/>
  <c r="AE302" i="7" s="1"/>
  <c r="N302" i="7"/>
  <c r="AD302" i="7" s="1"/>
  <c r="M302" i="7"/>
  <c r="AC302" i="7" s="1"/>
  <c r="L302" i="7"/>
  <c r="AB302" i="7" s="1"/>
  <c r="K302" i="7"/>
  <c r="AA302" i="7" s="1"/>
  <c r="J302" i="7"/>
  <c r="Z302" i="7" s="1"/>
  <c r="I302" i="7"/>
  <c r="Y302" i="7" s="1"/>
  <c r="H302" i="7"/>
  <c r="X302" i="7" s="1"/>
  <c r="G302" i="7"/>
  <c r="W302" i="7" s="1"/>
  <c r="F302" i="7"/>
  <c r="V302" i="7" s="1"/>
  <c r="E302" i="7"/>
  <c r="U302" i="7" s="1"/>
  <c r="D302" i="7"/>
  <c r="T302" i="7" s="1"/>
  <c r="C302" i="7"/>
  <c r="S302" i="7" s="1"/>
  <c r="B302" i="7"/>
  <c r="R302" i="7" s="1"/>
  <c r="AP301" i="7"/>
  <c r="AQ301" i="7" s="1"/>
  <c r="AR301" i="7" s="1"/>
  <c r="AS301" i="7" s="1"/>
  <c r="P301" i="7"/>
  <c r="AF301" i="7" s="1"/>
  <c r="O301" i="7"/>
  <c r="AE301" i="7" s="1"/>
  <c r="N301" i="7"/>
  <c r="AD301" i="7" s="1"/>
  <c r="M301" i="7"/>
  <c r="AC301" i="7" s="1"/>
  <c r="L301" i="7"/>
  <c r="AB301" i="7" s="1"/>
  <c r="K301" i="7"/>
  <c r="AA301" i="7" s="1"/>
  <c r="J301" i="7"/>
  <c r="Z301" i="7" s="1"/>
  <c r="I301" i="7"/>
  <c r="Y301" i="7" s="1"/>
  <c r="H301" i="7"/>
  <c r="X301" i="7" s="1"/>
  <c r="G301" i="7"/>
  <c r="W301" i="7" s="1"/>
  <c r="F301" i="7"/>
  <c r="V301" i="7" s="1"/>
  <c r="E301" i="7"/>
  <c r="U301" i="7" s="1"/>
  <c r="D301" i="7"/>
  <c r="T301" i="7" s="1"/>
  <c r="C301" i="7"/>
  <c r="S301" i="7" s="1"/>
  <c r="B301" i="7"/>
  <c r="R301" i="7" s="1"/>
  <c r="AH301" i="7" s="1"/>
  <c r="AI301" i="7" s="1"/>
  <c r="AP300" i="7"/>
  <c r="AQ300" i="7" s="1"/>
  <c r="AR300" i="7" s="1"/>
  <c r="AS300" i="7" s="1"/>
  <c r="P300" i="7"/>
  <c r="AF300" i="7" s="1"/>
  <c r="O300" i="7"/>
  <c r="AE300" i="7" s="1"/>
  <c r="N300" i="7"/>
  <c r="AD300" i="7" s="1"/>
  <c r="M300" i="7"/>
  <c r="AC300" i="7" s="1"/>
  <c r="L300" i="7"/>
  <c r="AB300" i="7" s="1"/>
  <c r="K300" i="7"/>
  <c r="AA300" i="7" s="1"/>
  <c r="J300" i="7"/>
  <c r="Z300" i="7" s="1"/>
  <c r="I300" i="7"/>
  <c r="Y300" i="7" s="1"/>
  <c r="H300" i="7"/>
  <c r="X300" i="7" s="1"/>
  <c r="G300" i="7"/>
  <c r="W300" i="7" s="1"/>
  <c r="F300" i="7"/>
  <c r="V300" i="7" s="1"/>
  <c r="E300" i="7"/>
  <c r="U300" i="7" s="1"/>
  <c r="D300" i="7"/>
  <c r="T300" i="7" s="1"/>
  <c r="C300" i="7"/>
  <c r="S300" i="7" s="1"/>
  <c r="B300" i="7"/>
  <c r="R300" i="7" s="1"/>
  <c r="AP299" i="7"/>
  <c r="AQ299" i="7" s="1"/>
  <c r="AR299" i="7" s="1"/>
  <c r="AS299" i="7" s="1"/>
  <c r="P299" i="7"/>
  <c r="AF299" i="7" s="1"/>
  <c r="O299" i="7"/>
  <c r="AE299" i="7" s="1"/>
  <c r="N299" i="7"/>
  <c r="AD299" i="7" s="1"/>
  <c r="M299" i="7"/>
  <c r="AC299" i="7" s="1"/>
  <c r="L299" i="7"/>
  <c r="AB299" i="7" s="1"/>
  <c r="K299" i="7"/>
  <c r="AA299" i="7" s="1"/>
  <c r="J299" i="7"/>
  <c r="Z299" i="7" s="1"/>
  <c r="I299" i="7"/>
  <c r="Y299" i="7" s="1"/>
  <c r="H299" i="7"/>
  <c r="X299" i="7" s="1"/>
  <c r="G299" i="7"/>
  <c r="W299" i="7" s="1"/>
  <c r="F299" i="7"/>
  <c r="V299" i="7" s="1"/>
  <c r="E299" i="7"/>
  <c r="U299" i="7" s="1"/>
  <c r="D299" i="7"/>
  <c r="T299" i="7" s="1"/>
  <c r="C299" i="7"/>
  <c r="S299" i="7" s="1"/>
  <c r="B299" i="7"/>
  <c r="R299" i="7" s="1"/>
  <c r="AP298" i="7"/>
  <c r="AQ298" i="7" s="1"/>
  <c r="AR298" i="7" s="1"/>
  <c r="AS298" i="7" s="1"/>
  <c r="P298" i="7"/>
  <c r="AF298" i="7" s="1"/>
  <c r="O298" i="7"/>
  <c r="AE298" i="7" s="1"/>
  <c r="N298" i="7"/>
  <c r="AD298" i="7" s="1"/>
  <c r="M298" i="7"/>
  <c r="AC298" i="7" s="1"/>
  <c r="L298" i="7"/>
  <c r="AB298" i="7" s="1"/>
  <c r="K298" i="7"/>
  <c r="AA298" i="7" s="1"/>
  <c r="J298" i="7"/>
  <c r="Z298" i="7" s="1"/>
  <c r="I298" i="7"/>
  <c r="Y298" i="7" s="1"/>
  <c r="H298" i="7"/>
  <c r="X298" i="7" s="1"/>
  <c r="G298" i="7"/>
  <c r="W298" i="7" s="1"/>
  <c r="F298" i="7"/>
  <c r="V298" i="7" s="1"/>
  <c r="E298" i="7"/>
  <c r="U298" i="7" s="1"/>
  <c r="D298" i="7"/>
  <c r="T298" i="7" s="1"/>
  <c r="C298" i="7"/>
  <c r="S298" i="7" s="1"/>
  <c r="B298" i="7"/>
  <c r="R298" i="7" s="1"/>
  <c r="AH298" i="7" s="1"/>
  <c r="AI298" i="7" s="1"/>
  <c r="AP297" i="7"/>
  <c r="AQ297" i="7" s="1"/>
  <c r="AR297" i="7" s="1"/>
  <c r="AS297" i="7" s="1"/>
  <c r="P297" i="7"/>
  <c r="AF297" i="7" s="1"/>
  <c r="O297" i="7"/>
  <c r="AE297" i="7" s="1"/>
  <c r="N297" i="7"/>
  <c r="AD297" i="7" s="1"/>
  <c r="M297" i="7"/>
  <c r="AC297" i="7" s="1"/>
  <c r="L297" i="7"/>
  <c r="AB297" i="7" s="1"/>
  <c r="K297" i="7"/>
  <c r="AA297" i="7" s="1"/>
  <c r="J297" i="7"/>
  <c r="Z297" i="7" s="1"/>
  <c r="I297" i="7"/>
  <c r="Y297" i="7" s="1"/>
  <c r="H297" i="7"/>
  <c r="X297" i="7" s="1"/>
  <c r="G297" i="7"/>
  <c r="W297" i="7" s="1"/>
  <c r="F297" i="7"/>
  <c r="V297" i="7" s="1"/>
  <c r="E297" i="7"/>
  <c r="U297" i="7" s="1"/>
  <c r="D297" i="7"/>
  <c r="T297" i="7" s="1"/>
  <c r="C297" i="7"/>
  <c r="S297" i="7" s="1"/>
  <c r="B297" i="7"/>
  <c r="R297" i="7" s="1"/>
  <c r="AH297" i="7" s="1"/>
  <c r="AI297" i="7" s="1"/>
  <c r="AP296" i="7"/>
  <c r="AQ296" i="7" s="1"/>
  <c r="AR296" i="7" s="1"/>
  <c r="AS296" i="7" s="1"/>
  <c r="P296" i="7"/>
  <c r="AF296" i="7" s="1"/>
  <c r="O296" i="7"/>
  <c r="AE296" i="7" s="1"/>
  <c r="N296" i="7"/>
  <c r="AD296" i="7" s="1"/>
  <c r="M296" i="7"/>
  <c r="AC296" i="7" s="1"/>
  <c r="L296" i="7"/>
  <c r="AB296" i="7" s="1"/>
  <c r="K296" i="7"/>
  <c r="AA296" i="7" s="1"/>
  <c r="J296" i="7"/>
  <c r="Z296" i="7" s="1"/>
  <c r="I296" i="7"/>
  <c r="Y296" i="7" s="1"/>
  <c r="H296" i="7"/>
  <c r="X296" i="7" s="1"/>
  <c r="G296" i="7"/>
  <c r="W296" i="7" s="1"/>
  <c r="F296" i="7"/>
  <c r="V296" i="7" s="1"/>
  <c r="E296" i="7"/>
  <c r="U296" i="7" s="1"/>
  <c r="D296" i="7"/>
  <c r="T296" i="7" s="1"/>
  <c r="C296" i="7"/>
  <c r="S296" i="7" s="1"/>
  <c r="B296" i="7"/>
  <c r="R296" i="7" s="1"/>
  <c r="AH296" i="7" s="1"/>
  <c r="AI296" i="7" s="1"/>
  <c r="AP295" i="7"/>
  <c r="AQ295" i="7" s="1"/>
  <c r="AR295" i="7" s="1"/>
  <c r="AS295" i="7" s="1"/>
  <c r="P295" i="7"/>
  <c r="AF295" i="7" s="1"/>
  <c r="O295" i="7"/>
  <c r="AE295" i="7" s="1"/>
  <c r="N295" i="7"/>
  <c r="AD295" i="7" s="1"/>
  <c r="M295" i="7"/>
  <c r="AC295" i="7" s="1"/>
  <c r="L295" i="7"/>
  <c r="AB295" i="7" s="1"/>
  <c r="K295" i="7"/>
  <c r="AA295" i="7" s="1"/>
  <c r="J295" i="7"/>
  <c r="Z295" i="7" s="1"/>
  <c r="I295" i="7"/>
  <c r="Y295" i="7" s="1"/>
  <c r="H295" i="7"/>
  <c r="X295" i="7" s="1"/>
  <c r="G295" i="7"/>
  <c r="W295" i="7" s="1"/>
  <c r="F295" i="7"/>
  <c r="V295" i="7" s="1"/>
  <c r="E295" i="7"/>
  <c r="U295" i="7" s="1"/>
  <c r="D295" i="7"/>
  <c r="T295" i="7" s="1"/>
  <c r="C295" i="7"/>
  <c r="S295" i="7" s="1"/>
  <c r="B295" i="7"/>
  <c r="R295" i="7" s="1"/>
  <c r="AH295" i="7" s="1"/>
  <c r="AI295" i="7" s="1"/>
  <c r="AP294" i="7"/>
  <c r="AQ294" i="7" s="1"/>
  <c r="AR294" i="7" s="1"/>
  <c r="AS294" i="7" s="1"/>
  <c r="P294" i="7"/>
  <c r="AF294" i="7" s="1"/>
  <c r="O294" i="7"/>
  <c r="AE294" i="7" s="1"/>
  <c r="N294" i="7"/>
  <c r="AD294" i="7" s="1"/>
  <c r="M294" i="7"/>
  <c r="AC294" i="7" s="1"/>
  <c r="L294" i="7"/>
  <c r="AB294" i="7" s="1"/>
  <c r="K294" i="7"/>
  <c r="AA294" i="7" s="1"/>
  <c r="J294" i="7"/>
  <c r="Z294" i="7" s="1"/>
  <c r="I294" i="7"/>
  <c r="Y294" i="7" s="1"/>
  <c r="H294" i="7"/>
  <c r="X294" i="7" s="1"/>
  <c r="G294" i="7"/>
  <c r="W294" i="7" s="1"/>
  <c r="F294" i="7"/>
  <c r="V294" i="7" s="1"/>
  <c r="E294" i="7"/>
  <c r="U294" i="7" s="1"/>
  <c r="D294" i="7"/>
  <c r="T294" i="7" s="1"/>
  <c r="C294" i="7"/>
  <c r="S294" i="7" s="1"/>
  <c r="B294" i="7"/>
  <c r="R294" i="7" s="1"/>
  <c r="AH294" i="7" s="1"/>
  <c r="AI294" i="7" s="1"/>
  <c r="AP293" i="7"/>
  <c r="AQ293" i="7" s="1"/>
  <c r="AR293" i="7" s="1"/>
  <c r="AS293" i="7" s="1"/>
  <c r="P293" i="7"/>
  <c r="AF293" i="7" s="1"/>
  <c r="O293" i="7"/>
  <c r="AE293" i="7" s="1"/>
  <c r="N293" i="7"/>
  <c r="AD293" i="7" s="1"/>
  <c r="M293" i="7"/>
  <c r="AC293" i="7" s="1"/>
  <c r="L293" i="7"/>
  <c r="AB293" i="7" s="1"/>
  <c r="K293" i="7"/>
  <c r="AA293" i="7" s="1"/>
  <c r="J293" i="7"/>
  <c r="Z293" i="7" s="1"/>
  <c r="I293" i="7"/>
  <c r="Y293" i="7" s="1"/>
  <c r="H293" i="7"/>
  <c r="X293" i="7" s="1"/>
  <c r="G293" i="7"/>
  <c r="W293" i="7" s="1"/>
  <c r="F293" i="7"/>
  <c r="V293" i="7" s="1"/>
  <c r="E293" i="7"/>
  <c r="U293" i="7" s="1"/>
  <c r="D293" i="7"/>
  <c r="T293" i="7" s="1"/>
  <c r="C293" i="7"/>
  <c r="S293" i="7" s="1"/>
  <c r="B293" i="7"/>
  <c r="R293" i="7" s="1"/>
  <c r="AH293" i="7" s="1"/>
  <c r="AI293" i="7" s="1"/>
  <c r="AP292" i="7"/>
  <c r="AQ292" i="7" s="1"/>
  <c r="AR292" i="7" s="1"/>
  <c r="AS292" i="7" s="1"/>
  <c r="P292" i="7"/>
  <c r="AF292" i="7" s="1"/>
  <c r="O292" i="7"/>
  <c r="AE292" i="7" s="1"/>
  <c r="N292" i="7"/>
  <c r="AD292" i="7" s="1"/>
  <c r="M292" i="7"/>
  <c r="AC292" i="7" s="1"/>
  <c r="L292" i="7"/>
  <c r="AB292" i="7" s="1"/>
  <c r="K292" i="7"/>
  <c r="AA292" i="7" s="1"/>
  <c r="J292" i="7"/>
  <c r="Z292" i="7" s="1"/>
  <c r="I292" i="7"/>
  <c r="Y292" i="7" s="1"/>
  <c r="H292" i="7"/>
  <c r="X292" i="7" s="1"/>
  <c r="G292" i="7"/>
  <c r="W292" i="7" s="1"/>
  <c r="F292" i="7"/>
  <c r="V292" i="7" s="1"/>
  <c r="E292" i="7"/>
  <c r="U292" i="7" s="1"/>
  <c r="D292" i="7"/>
  <c r="T292" i="7" s="1"/>
  <c r="C292" i="7"/>
  <c r="S292" i="7" s="1"/>
  <c r="B292" i="7"/>
  <c r="R292" i="7" s="1"/>
  <c r="AH292" i="7" s="1"/>
  <c r="AI292" i="7" s="1"/>
  <c r="AP291" i="7"/>
  <c r="AQ291" i="7" s="1"/>
  <c r="AR291" i="7" s="1"/>
  <c r="AS291" i="7" s="1"/>
  <c r="P291" i="7"/>
  <c r="AF291" i="7" s="1"/>
  <c r="O291" i="7"/>
  <c r="AE291" i="7" s="1"/>
  <c r="N291" i="7"/>
  <c r="AD291" i="7" s="1"/>
  <c r="M291" i="7"/>
  <c r="AC291" i="7" s="1"/>
  <c r="L291" i="7"/>
  <c r="AB291" i="7" s="1"/>
  <c r="K291" i="7"/>
  <c r="AA291" i="7" s="1"/>
  <c r="J291" i="7"/>
  <c r="Z291" i="7" s="1"/>
  <c r="I291" i="7"/>
  <c r="Y291" i="7" s="1"/>
  <c r="H291" i="7"/>
  <c r="X291" i="7" s="1"/>
  <c r="G291" i="7"/>
  <c r="W291" i="7" s="1"/>
  <c r="F291" i="7"/>
  <c r="V291" i="7" s="1"/>
  <c r="E291" i="7"/>
  <c r="U291" i="7" s="1"/>
  <c r="D291" i="7"/>
  <c r="T291" i="7" s="1"/>
  <c r="C291" i="7"/>
  <c r="S291" i="7" s="1"/>
  <c r="B291" i="7"/>
  <c r="R291" i="7" s="1"/>
  <c r="AH291" i="7" s="1"/>
  <c r="AI291" i="7" s="1"/>
  <c r="AP290" i="7"/>
  <c r="AQ290" i="7" s="1"/>
  <c r="AR290" i="7" s="1"/>
  <c r="AS290" i="7" s="1"/>
  <c r="P290" i="7"/>
  <c r="AF290" i="7" s="1"/>
  <c r="O290" i="7"/>
  <c r="AE290" i="7" s="1"/>
  <c r="N290" i="7"/>
  <c r="AD290" i="7" s="1"/>
  <c r="M290" i="7"/>
  <c r="AC290" i="7" s="1"/>
  <c r="L290" i="7"/>
  <c r="AB290" i="7" s="1"/>
  <c r="K290" i="7"/>
  <c r="AA290" i="7" s="1"/>
  <c r="J290" i="7"/>
  <c r="Z290" i="7" s="1"/>
  <c r="I290" i="7"/>
  <c r="Y290" i="7" s="1"/>
  <c r="H290" i="7"/>
  <c r="X290" i="7" s="1"/>
  <c r="G290" i="7"/>
  <c r="W290" i="7" s="1"/>
  <c r="F290" i="7"/>
  <c r="V290" i="7" s="1"/>
  <c r="E290" i="7"/>
  <c r="U290" i="7" s="1"/>
  <c r="D290" i="7"/>
  <c r="T290" i="7" s="1"/>
  <c r="C290" i="7"/>
  <c r="S290" i="7" s="1"/>
  <c r="B290" i="7"/>
  <c r="R290" i="7" s="1"/>
  <c r="AH290" i="7" s="1"/>
  <c r="AI290" i="7" s="1"/>
  <c r="AP289" i="7"/>
  <c r="AQ289" i="7" s="1"/>
  <c r="AR289" i="7" s="1"/>
  <c r="AS289" i="7" s="1"/>
  <c r="P289" i="7"/>
  <c r="AF289" i="7" s="1"/>
  <c r="O289" i="7"/>
  <c r="AE289" i="7" s="1"/>
  <c r="N289" i="7"/>
  <c r="AD289" i="7" s="1"/>
  <c r="M289" i="7"/>
  <c r="AC289" i="7" s="1"/>
  <c r="L289" i="7"/>
  <c r="AB289" i="7" s="1"/>
  <c r="K289" i="7"/>
  <c r="AA289" i="7" s="1"/>
  <c r="J289" i="7"/>
  <c r="Z289" i="7" s="1"/>
  <c r="I289" i="7"/>
  <c r="Y289" i="7" s="1"/>
  <c r="H289" i="7"/>
  <c r="X289" i="7" s="1"/>
  <c r="G289" i="7"/>
  <c r="W289" i="7" s="1"/>
  <c r="F289" i="7"/>
  <c r="V289" i="7" s="1"/>
  <c r="E289" i="7"/>
  <c r="U289" i="7" s="1"/>
  <c r="D289" i="7"/>
  <c r="T289" i="7" s="1"/>
  <c r="C289" i="7"/>
  <c r="S289" i="7" s="1"/>
  <c r="B289" i="7"/>
  <c r="R289" i="7" s="1"/>
  <c r="AH289" i="7" s="1"/>
  <c r="AI289" i="7" s="1"/>
  <c r="AP288" i="7"/>
  <c r="AQ288" i="7" s="1"/>
  <c r="AR288" i="7" s="1"/>
  <c r="AS288" i="7" s="1"/>
  <c r="P288" i="7"/>
  <c r="AF288" i="7" s="1"/>
  <c r="O288" i="7"/>
  <c r="AE288" i="7" s="1"/>
  <c r="N288" i="7"/>
  <c r="AD288" i="7" s="1"/>
  <c r="M288" i="7"/>
  <c r="AC288" i="7" s="1"/>
  <c r="L288" i="7"/>
  <c r="AB288" i="7" s="1"/>
  <c r="K288" i="7"/>
  <c r="AA288" i="7" s="1"/>
  <c r="J288" i="7"/>
  <c r="Z288" i="7" s="1"/>
  <c r="I288" i="7"/>
  <c r="Y288" i="7" s="1"/>
  <c r="H288" i="7"/>
  <c r="X288" i="7" s="1"/>
  <c r="G288" i="7"/>
  <c r="W288" i="7" s="1"/>
  <c r="F288" i="7"/>
  <c r="V288" i="7" s="1"/>
  <c r="E288" i="7"/>
  <c r="U288" i="7" s="1"/>
  <c r="D288" i="7"/>
  <c r="T288" i="7" s="1"/>
  <c r="C288" i="7"/>
  <c r="S288" i="7" s="1"/>
  <c r="B288" i="7"/>
  <c r="R288" i="7" s="1"/>
  <c r="AH288" i="7" s="1"/>
  <c r="AI288" i="7" s="1"/>
  <c r="AP287" i="7"/>
  <c r="AQ287" i="7" s="1"/>
  <c r="AR287" i="7" s="1"/>
  <c r="AS287" i="7" s="1"/>
  <c r="P287" i="7"/>
  <c r="AF287" i="7" s="1"/>
  <c r="O287" i="7"/>
  <c r="AE287" i="7" s="1"/>
  <c r="N287" i="7"/>
  <c r="AD287" i="7" s="1"/>
  <c r="M287" i="7"/>
  <c r="AC287" i="7" s="1"/>
  <c r="L287" i="7"/>
  <c r="AB287" i="7" s="1"/>
  <c r="K287" i="7"/>
  <c r="AA287" i="7" s="1"/>
  <c r="J287" i="7"/>
  <c r="Z287" i="7" s="1"/>
  <c r="I287" i="7"/>
  <c r="Y287" i="7" s="1"/>
  <c r="H287" i="7"/>
  <c r="X287" i="7" s="1"/>
  <c r="G287" i="7"/>
  <c r="W287" i="7" s="1"/>
  <c r="F287" i="7"/>
  <c r="V287" i="7" s="1"/>
  <c r="E287" i="7"/>
  <c r="U287" i="7" s="1"/>
  <c r="D287" i="7"/>
  <c r="T287" i="7" s="1"/>
  <c r="C287" i="7"/>
  <c r="S287" i="7" s="1"/>
  <c r="B287" i="7"/>
  <c r="R287" i="7" s="1"/>
  <c r="AH287" i="7" s="1"/>
  <c r="AI287" i="7" s="1"/>
  <c r="AP286" i="7"/>
  <c r="AQ286" i="7" s="1"/>
  <c r="AR286" i="7" s="1"/>
  <c r="AS286" i="7" s="1"/>
  <c r="P286" i="7"/>
  <c r="AF286" i="7" s="1"/>
  <c r="O286" i="7"/>
  <c r="AE286" i="7" s="1"/>
  <c r="N286" i="7"/>
  <c r="AD286" i="7" s="1"/>
  <c r="M286" i="7"/>
  <c r="AC286" i="7" s="1"/>
  <c r="L286" i="7"/>
  <c r="AB286" i="7" s="1"/>
  <c r="K286" i="7"/>
  <c r="AA286" i="7" s="1"/>
  <c r="J286" i="7"/>
  <c r="Z286" i="7" s="1"/>
  <c r="I286" i="7"/>
  <c r="Y286" i="7" s="1"/>
  <c r="H286" i="7"/>
  <c r="X286" i="7" s="1"/>
  <c r="G286" i="7"/>
  <c r="W286" i="7" s="1"/>
  <c r="F286" i="7"/>
  <c r="V286" i="7" s="1"/>
  <c r="E286" i="7"/>
  <c r="U286" i="7" s="1"/>
  <c r="D286" i="7"/>
  <c r="T286" i="7" s="1"/>
  <c r="C286" i="7"/>
  <c r="S286" i="7" s="1"/>
  <c r="B286" i="7"/>
  <c r="R286" i="7" s="1"/>
  <c r="AH286" i="7" s="1"/>
  <c r="AI286" i="7" s="1"/>
  <c r="AP285" i="7"/>
  <c r="AQ285" i="7" s="1"/>
  <c r="AR285" i="7" s="1"/>
  <c r="AS285" i="7" s="1"/>
  <c r="P285" i="7"/>
  <c r="AF285" i="7" s="1"/>
  <c r="O285" i="7"/>
  <c r="AE285" i="7" s="1"/>
  <c r="N285" i="7"/>
  <c r="AD285" i="7" s="1"/>
  <c r="M285" i="7"/>
  <c r="AC285" i="7" s="1"/>
  <c r="L285" i="7"/>
  <c r="AB285" i="7" s="1"/>
  <c r="K285" i="7"/>
  <c r="AA285" i="7" s="1"/>
  <c r="J285" i="7"/>
  <c r="Z285" i="7" s="1"/>
  <c r="I285" i="7"/>
  <c r="Y285" i="7" s="1"/>
  <c r="H285" i="7"/>
  <c r="X285" i="7" s="1"/>
  <c r="G285" i="7"/>
  <c r="W285" i="7" s="1"/>
  <c r="F285" i="7"/>
  <c r="V285" i="7" s="1"/>
  <c r="E285" i="7"/>
  <c r="U285" i="7" s="1"/>
  <c r="D285" i="7"/>
  <c r="T285" i="7" s="1"/>
  <c r="C285" i="7"/>
  <c r="S285" i="7" s="1"/>
  <c r="B285" i="7"/>
  <c r="R285" i="7" s="1"/>
  <c r="AH285" i="7" s="1"/>
  <c r="AI285" i="7" s="1"/>
  <c r="AP284" i="7"/>
  <c r="AQ284" i="7" s="1"/>
  <c r="AR284" i="7" s="1"/>
  <c r="AS284" i="7" s="1"/>
  <c r="P284" i="7"/>
  <c r="AF284" i="7" s="1"/>
  <c r="O284" i="7"/>
  <c r="AE284" i="7" s="1"/>
  <c r="N284" i="7"/>
  <c r="AD284" i="7" s="1"/>
  <c r="M284" i="7"/>
  <c r="AC284" i="7" s="1"/>
  <c r="L284" i="7"/>
  <c r="AB284" i="7" s="1"/>
  <c r="K284" i="7"/>
  <c r="AA284" i="7" s="1"/>
  <c r="J284" i="7"/>
  <c r="Z284" i="7" s="1"/>
  <c r="I284" i="7"/>
  <c r="Y284" i="7" s="1"/>
  <c r="H284" i="7"/>
  <c r="X284" i="7" s="1"/>
  <c r="G284" i="7"/>
  <c r="W284" i="7" s="1"/>
  <c r="F284" i="7"/>
  <c r="V284" i="7" s="1"/>
  <c r="E284" i="7"/>
  <c r="U284" i="7" s="1"/>
  <c r="D284" i="7"/>
  <c r="T284" i="7" s="1"/>
  <c r="C284" i="7"/>
  <c r="S284" i="7" s="1"/>
  <c r="B284" i="7"/>
  <c r="R284" i="7" s="1"/>
  <c r="AH284" i="7" s="1"/>
  <c r="AI284" i="7" s="1"/>
  <c r="AP283" i="7"/>
  <c r="AQ283" i="7" s="1"/>
  <c r="AR283" i="7" s="1"/>
  <c r="AS283" i="7" s="1"/>
  <c r="P283" i="7"/>
  <c r="AF283" i="7" s="1"/>
  <c r="O283" i="7"/>
  <c r="AE283" i="7" s="1"/>
  <c r="N283" i="7"/>
  <c r="AD283" i="7" s="1"/>
  <c r="M283" i="7"/>
  <c r="AC283" i="7" s="1"/>
  <c r="L283" i="7"/>
  <c r="AB283" i="7" s="1"/>
  <c r="K283" i="7"/>
  <c r="AA283" i="7" s="1"/>
  <c r="J283" i="7"/>
  <c r="Z283" i="7" s="1"/>
  <c r="I283" i="7"/>
  <c r="Y283" i="7" s="1"/>
  <c r="H283" i="7"/>
  <c r="X283" i="7" s="1"/>
  <c r="G283" i="7"/>
  <c r="W283" i="7" s="1"/>
  <c r="F283" i="7"/>
  <c r="V283" i="7" s="1"/>
  <c r="E283" i="7"/>
  <c r="U283" i="7" s="1"/>
  <c r="D283" i="7"/>
  <c r="T283" i="7" s="1"/>
  <c r="C283" i="7"/>
  <c r="S283" i="7" s="1"/>
  <c r="B283" i="7"/>
  <c r="R283" i="7" s="1"/>
  <c r="AH283" i="7" s="1"/>
  <c r="AI283" i="7" s="1"/>
  <c r="AP282" i="7"/>
  <c r="AQ282" i="7" s="1"/>
  <c r="AR282" i="7" s="1"/>
  <c r="AS282" i="7" s="1"/>
  <c r="P282" i="7"/>
  <c r="AF282" i="7" s="1"/>
  <c r="O282" i="7"/>
  <c r="AE282" i="7" s="1"/>
  <c r="N282" i="7"/>
  <c r="AD282" i="7" s="1"/>
  <c r="M282" i="7"/>
  <c r="AC282" i="7" s="1"/>
  <c r="L282" i="7"/>
  <c r="AB282" i="7" s="1"/>
  <c r="K282" i="7"/>
  <c r="AA282" i="7" s="1"/>
  <c r="J282" i="7"/>
  <c r="Z282" i="7" s="1"/>
  <c r="I282" i="7"/>
  <c r="Y282" i="7" s="1"/>
  <c r="H282" i="7"/>
  <c r="X282" i="7" s="1"/>
  <c r="G282" i="7"/>
  <c r="W282" i="7" s="1"/>
  <c r="F282" i="7"/>
  <c r="V282" i="7" s="1"/>
  <c r="E282" i="7"/>
  <c r="U282" i="7" s="1"/>
  <c r="D282" i="7"/>
  <c r="T282" i="7" s="1"/>
  <c r="C282" i="7"/>
  <c r="S282" i="7" s="1"/>
  <c r="B282" i="7"/>
  <c r="R282" i="7" s="1"/>
  <c r="AH282" i="7" s="1"/>
  <c r="AI282" i="7" s="1"/>
  <c r="AP281" i="7"/>
  <c r="AQ281" i="7" s="1"/>
  <c r="AR281" i="7" s="1"/>
  <c r="AS281" i="7" s="1"/>
  <c r="P281" i="7"/>
  <c r="AF281" i="7" s="1"/>
  <c r="O281" i="7"/>
  <c r="AE281" i="7" s="1"/>
  <c r="N281" i="7"/>
  <c r="AD281" i="7" s="1"/>
  <c r="M281" i="7"/>
  <c r="AC281" i="7" s="1"/>
  <c r="L281" i="7"/>
  <c r="AB281" i="7" s="1"/>
  <c r="K281" i="7"/>
  <c r="AA281" i="7" s="1"/>
  <c r="J281" i="7"/>
  <c r="Z281" i="7" s="1"/>
  <c r="I281" i="7"/>
  <c r="Y281" i="7" s="1"/>
  <c r="H281" i="7"/>
  <c r="X281" i="7" s="1"/>
  <c r="G281" i="7"/>
  <c r="W281" i="7" s="1"/>
  <c r="F281" i="7"/>
  <c r="V281" i="7" s="1"/>
  <c r="E281" i="7"/>
  <c r="U281" i="7" s="1"/>
  <c r="D281" i="7"/>
  <c r="T281" i="7" s="1"/>
  <c r="C281" i="7"/>
  <c r="S281" i="7" s="1"/>
  <c r="B281" i="7"/>
  <c r="R281" i="7" s="1"/>
  <c r="AH281" i="7" s="1"/>
  <c r="AI281" i="7" s="1"/>
  <c r="AP280" i="7"/>
  <c r="AQ280" i="7" s="1"/>
  <c r="AR280" i="7" s="1"/>
  <c r="AS280" i="7" s="1"/>
  <c r="P280" i="7"/>
  <c r="AF280" i="7" s="1"/>
  <c r="O280" i="7"/>
  <c r="AE280" i="7" s="1"/>
  <c r="N280" i="7"/>
  <c r="AD280" i="7" s="1"/>
  <c r="M280" i="7"/>
  <c r="AC280" i="7" s="1"/>
  <c r="L280" i="7"/>
  <c r="AB280" i="7" s="1"/>
  <c r="K280" i="7"/>
  <c r="AA280" i="7" s="1"/>
  <c r="J280" i="7"/>
  <c r="Z280" i="7" s="1"/>
  <c r="I280" i="7"/>
  <c r="Y280" i="7" s="1"/>
  <c r="H280" i="7"/>
  <c r="X280" i="7" s="1"/>
  <c r="G280" i="7"/>
  <c r="W280" i="7" s="1"/>
  <c r="F280" i="7"/>
  <c r="V280" i="7" s="1"/>
  <c r="E280" i="7"/>
  <c r="U280" i="7" s="1"/>
  <c r="D280" i="7"/>
  <c r="T280" i="7" s="1"/>
  <c r="C280" i="7"/>
  <c r="S280" i="7" s="1"/>
  <c r="B280" i="7"/>
  <c r="R280" i="7" s="1"/>
  <c r="AH280" i="7" s="1"/>
  <c r="AI280" i="7" s="1"/>
  <c r="AP279" i="7"/>
  <c r="AQ279" i="7" s="1"/>
  <c r="AR279" i="7" s="1"/>
  <c r="AS279" i="7" s="1"/>
  <c r="P279" i="7"/>
  <c r="AF279" i="7" s="1"/>
  <c r="O279" i="7"/>
  <c r="AE279" i="7" s="1"/>
  <c r="N279" i="7"/>
  <c r="AD279" i="7" s="1"/>
  <c r="M279" i="7"/>
  <c r="AC279" i="7" s="1"/>
  <c r="L279" i="7"/>
  <c r="AB279" i="7" s="1"/>
  <c r="K279" i="7"/>
  <c r="AA279" i="7" s="1"/>
  <c r="J279" i="7"/>
  <c r="Z279" i="7" s="1"/>
  <c r="I279" i="7"/>
  <c r="Y279" i="7" s="1"/>
  <c r="H279" i="7"/>
  <c r="X279" i="7" s="1"/>
  <c r="G279" i="7"/>
  <c r="W279" i="7" s="1"/>
  <c r="F279" i="7"/>
  <c r="V279" i="7" s="1"/>
  <c r="E279" i="7"/>
  <c r="U279" i="7" s="1"/>
  <c r="D279" i="7"/>
  <c r="T279" i="7" s="1"/>
  <c r="C279" i="7"/>
  <c r="S279" i="7" s="1"/>
  <c r="B279" i="7"/>
  <c r="R279" i="7" s="1"/>
  <c r="AH279" i="7" s="1"/>
  <c r="AI279" i="7" s="1"/>
  <c r="AP278" i="7"/>
  <c r="AQ278" i="7" s="1"/>
  <c r="AR278" i="7" s="1"/>
  <c r="AS278" i="7" s="1"/>
  <c r="P278" i="7"/>
  <c r="AF278" i="7" s="1"/>
  <c r="O278" i="7"/>
  <c r="AE278" i="7" s="1"/>
  <c r="N278" i="7"/>
  <c r="AD278" i="7" s="1"/>
  <c r="M278" i="7"/>
  <c r="AC278" i="7" s="1"/>
  <c r="L278" i="7"/>
  <c r="AB278" i="7" s="1"/>
  <c r="K278" i="7"/>
  <c r="AA278" i="7" s="1"/>
  <c r="J278" i="7"/>
  <c r="Z278" i="7" s="1"/>
  <c r="I278" i="7"/>
  <c r="Y278" i="7" s="1"/>
  <c r="H278" i="7"/>
  <c r="X278" i="7" s="1"/>
  <c r="G278" i="7"/>
  <c r="W278" i="7" s="1"/>
  <c r="F278" i="7"/>
  <c r="V278" i="7" s="1"/>
  <c r="E278" i="7"/>
  <c r="U278" i="7" s="1"/>
  <c r="D278" i="7"/>
  <c r="T278" i="7" s="1"/>
  <c r="C278" i="7"/>
  <c r="S278" i="7" s="1"/>
  <c r="B278" i="7"/>
  <c r="R278" i="7" s="1"/>
  <c r="AH278" i="7" s="1"/>
  <c r="AI278" i="7" s="1"/>
  <c r="AP277" i="7"/>
  <c r="AQ277" i="7" s="1"/>
  <c r="AR277" i="7" s="1"/>
  <c r="AS277" i="7" s="1"/>
  <c r="P277" i="7"/>
  <c r="AF277" i="7" s="1"/>
  <c r="O277" i="7"/>
  <c r="AE277" i="7" s="1"/>
  <c r="N277" i="7"/>
  <c r="AD277" i="7" s="1"/>
  <c r="M277" i="7"/>
  <c r="AC277" i="7" s="1"/>
  <c r="L277" i="7"/>
  <c r="AB277" i="7" s="1"/>
  <c r="K277" i="7"/>
  <c r="AA277" i="7" s="1"/>
  <c r="J277" i="7"/>
  <c r="Z277" i="7" s="1"/>
  <c r="I277" i="7"/>
  <c r="Y277" i="7" s="1"/>
  <c r="H277" i="7"/>
  <c r="X277" i="7" s="1"/>
  <c r="G277" i="7"/>
  <c r="W277" i="7" s="1"/>
  <c r="F277" i="7"/>
  <c r="V277" i="7" s="1"/>
  <c r="E277" i="7"/>
  <c r="U277" i="7" s="1"/>
  <c r="D277" i="7"/>
  <c r="T277" i="7" s="1"/>
  <c r="C277" i="7"/>
  <c r="S277" i="7" s="1"/>
  <c r="B277" i="7"/>
  <c r="R277" i="7" s="1"/>
  <c r="AH277" i="7" s="1"/>
  <c r="AI277" i="7" s="1"/>
  <c r="AP276" i="7"/>
  <c r="AQ276" i="7" s="1"/>
  <c r="AR276" i="7" s="1"/>
  <c r="AS276" i="7" s="1"/>
  <c r="P276" i="7"/>
  <c r="AF276" i="7" s="1"/>
  <c r="O276" i="7"/>
  <c r="AE276" i="7" s="1"/>
  <c r="N276" i="7"/>
  <c r="AD276" i="7" s="1"/>
  <c r="M276" i="7"/>
  <c r="AC276" i="7" s="1"/>
  <c r="L276" i="7"/>
  <c r="AB276" i="7" s="1"/>
  <c r="K276" i="7"/>
  <c r="AA276" i="7" s="1"/>
  <c r="J276" i="7"/>
  <c r="Z276" i="7" s="1"/>
  <c r="I276" i="7"/>
  <c r="Y276" i="7" s="1"/>
  <c r="H276" i="7"/>
  <c r="X276" i="7" s="1"/>
  <c r="G276" i="7"/>
  <c r="W276" i="7" s="1"/>
  <c r="F276" i="7"/>
  <c r="V276" i="7" s="1"/>
  <c r="E276" i="7"/>
  <c r="U276" i="7" s="1"/>
  <c r="D276" i="7"/>
  <c r="T276" i="7" s="1"/>
  <c r="C276" i="7"/>
  <c r="S276" i="7" s="1"/>
  <c r="B276" i="7"/>
  <c r="R276" i="7" s="1"/>
  <c r="AH276" i="7" s="1"/>
  <c r="AI276" i="7" s="1"/>
  <c r="AP275" i="7"/>
  <c r="AQ275" i="7" s="1"/>
  <c r="AR275" i="7" s="1"/>
  <c r="AS275" i="7" s="1"/>
  <c r="P275" i="7"/>
  <c r="AF275" i="7" s="1"/>
  <c r="O275" i="7"/>
  <c r="AE275" i="7" s="1"/>
  <c r="N275" i="7"/>
  <c r="AD275" i="7" s="1"/>
  <c r="M275" i="7"/>
  <c r="AC275" i="7" s="1"/>
  <c r="L275" i="7"/>
  <c r="AB275" i="7" s="1"/>
  <c r="K275" i="7"/>
  <c r="AA275" i="7" s="1"/>
  <c r="J275" i="7"/>
  <c r="Z275" i="7" s="1"/>
  <c r="I275" i="7"/>
  <c r="Y275" i="7" s="1"/>
  <c r="H275" i="7"/>
  <c r="X275" i="7" s="1"/>
  <c r="G275" i="7"/>
  <c r="W275" i="7" s="1"/>
  <c r="F275" i="7"/>
  <c r="V275" i="7" s="1"/>
  <c r="E275" i="7"/>
  <c r="U275" i="7" s="1"/>
  <c r="D275" i="7"/>
  <c r="T275" i="7" s="1"/>
  <c r="C275" i="7"/>
  <c r="S275" i="7" s="1"/>
  <c r="B275" i="7"/>
  <c r="R275" i="7" s="1"/>
  <c r="AH275" i="7" s="1"/>
  <c r="AI275" i="7" s="1"/>
  <c r="AP274" i="7"/>
  <c r="AQ274" i="7" s="1"/>
  <c r="AR274" i="7" s="1"/>
  <c r="AS274" i="7" s="1"/>
  <c r="P274" i="7"/>
  <c r="AF274" i="7" s="1"/>
  <c r="O274" i="7"/>
  <c r="AE274" i="7" s="1"/>
  <c r="N274" i="7"/>
  <c r="AD274" i="7" s="1"/>
  <c r="M274" i="7"/>
  <c r="AC274" i="7" s="1"/>
  <c r="L274" i="7"/>
  <c r="AB274" i="7" s="1"/>
  <c r="K274" i="7"/>
  <c r="AA274" i="7" s="1"/>
  <c r="J274" i="7"/>
  <c r="Z274" i="7" s="1"/>
  <c r="I274" i="7"/>
  <c r="Y274" i="7" s="1"/>
  <c r="H274" i="7"/>
  <c r="X274" i="7" s="1"/>
  <c r="G274" i="7"/>
  <c r="W274" i="7" s="1"/>
  <c r="F274" i="7"/>
  <c r="V274" i="7" s="1"/>
  <c r="E274" i="7"/>
  <c r="U274" i="7" s="1"/>
  <c r="D274" i="7"/>
  <c r="T274" i="7" s="1"/>
  <c r="C274" i="7"/>
  <c r="S274" i="7" s="1"/>
  <c r="B274" i="7"/>
  <c r="R274" i="7" s="1"/>
  <c r="AH274" i="7" s="1"/>
  <c r="AI274" i="7" s="1"/>
  <c r="AP273" i="7"/>
  <c r="AQ273" i="7" s="1"/>
  <c r="AR273" i="7" s="1"/>
  <c r="AS273" i="7" s="1"/>
  <c r="P273" i="7"/>
  <c r="AF273" i="7" s="1"/>
  <c r="O273" i="7"/>
  <c r="AE273" i="7" s="1"/>
  <c r="N273" i="7"/>
  <c r="AD273" i="7" s="1"/>
  <c r="M273" i="7"/>
  <c r="AC273" i="7" s="1"/>
  <c r="L273" i="7"/>
  <c r="AB273" i="7" s="1"/>
  <c r="K273" i="7"/>
  <c r="AA273" i="7" s="1"/>
  <c r="J273" i="7"/>
  <c r="Z273" i="7" s="1"/>
  <c r="I273" i="7"/>
  <c r="Y273" i="7" s="1"/>
  <c r="H273" i="7"/>
  <c r="X273" i="7" s="1"/>
  <c r="G273" i="7"/>
  <c r="W273" i="7" s="1"/>
  <c r="F273" i="7"/>
  <c r="V273" i="7" s="1"/>
  <c r="E273" i="7"/>
  <c r="U273" i="7" s="1"/>
  <c r="D273" i="7"/>
  <c r="T273" i="7" s="1"/>
  <c r="C273" i="7"/>
  <c r="S273" i="7" s="1"/>
  <c r="B273" i="7"/>
  <c r="R273" i="7" s="1"/>
  <c r="AH273" i="7" s="1"/>
  <c r="AI273" i="7" s="1"/>
  <c r="AP272" i="7"/>
  <c r="AQ272" i="7" s="1"/>
  <c r="AR272" i="7" s="1"/>
  <c r="AS272" i="7" s="1"/>
  <c r="P272" i="7"/>
  <c r="AF272" i="7" s="1"/>
  <c r="O272" i="7"/>
  <c r="AE272" i="7" s="1"/>
  <c r="N272" i="7"/>
  <c r="AD272" i="7" s="1"/>
  <c r="M272" i="7"/>
  <c r="AC272" i="7" s="1"/>
  <c r="L272" i="7"/>
  <c r="AB272" i="7" s="1"/>
  <c r="K272" i="7"/>
  <c r="AA272" i="7" s="1"/>
  <c r="J272" i="7"/>
  <c r="Z272" i="7" s="1"/>
  <c r="I272" i="7"/>
  <c r="Y272" i="7" s="1"/>
  <c r="H272" i="7"/>
  <c r="X272" i="7" s="1"/>
  <c r="G272" i="7"/>
  <c r="W272" i="7" s="1"/>
  <c r="F272" i="7"/>
  <c r="V272" i="7" s="1"/>
  <c r="E272" i="7"/>
  <c r="U272" i="7" s="1"/>
  <c r="D272" i="7"/>
  <c r="T272" i="7" s="1"/>
  <c r="C272" i="7"/>
  <c r="S272" i="7" s="1"/>
  <c r="B272" i="7"/>
  <c r="R272" i="7" s="1"/>
  <c r="AH272" i="7" s="1"/>
  <c r="AI272" i="7" s="1"/>
  <c r="AP271" i="7"/>
  <c r="AQ271" i="7" s="1"/>
  <c r="AR271" i="7" s="1"/>
  <c r="AS271" i="7" s="1"/>
  <c r="P271" i="7"/>
  <c r="AF271" i="7" s="1"/>
  <c r="O271" i="7"/>
  <c r="AE271" i="7" s="1"/>
  <c r="N271" i="7"/>
  <c r="AD271" i="7" s="1"/>
  <c r="M271" i="7"/>
  <c r="AC271" i="7" s="1"/>
  <c r="L271" i="7"/>
  <c r="AB271" i="7" s="1"/>
  <c r="K271" i="7"/>
  <c r="AA271" i="7" s="1"/>
  <c r="J271" i="7"/>
  <c r="Z271" i="7" s="1"/>
  <c r="I271" i="7"/>
  <c r="Y271" i="7" s="1"/>
  <c r="H271" i="7"/>
  <c r="X271" i="7" s="1"/>
  <c r="G271" i="7"/>
  <c r="W271" i="7" s="1"/>
  <c r="F271" i="7"/>
  <c r="V271" i="7" s="1"/>
  <c r="E271" i="7"/>
  <c r="U271" i="7" s="1"/>
  <c r="D271" i="7"/>
  <c r="T271" i="7" s="1"/>
  <c r="C271" i="7"/>
  <c r="S271" i="7" s="1"/>
  <c r="B271" i="7"/>
  <c r="R271" i="7" s="1"/>
  <c r="AH271" i="7" s="1"/>
  <c r="AI271" i="7" s="1"/>
  <c r="AP270" i="7"/>
  <c r="AQ270" i="7" s="1"/>
  <c r="AR270" i="7" s="1"/>
  <c r="AS270" i="7" s="1"/>
  <c r="P270" i="7"/>
  <c r="AF270" i="7" s="1"/>
  <c r="O270" i="7"/>
  <c r="AE270" i="7" s="1"/>
  <c r="N270" i="7"/>
  <c r="AD270" i="7" s="1"/>
  <c r="M270" i="7"/>
  <c r="AC270" i="7" s="1"/>
  <c r="L270" i="7"/>
  <c r="AB270" i="7" s="1"/>
  <c r="K270" i="7"/>
  <c r="AA270" i="7" s="1"/>
  <c r="J270" i="7"/>
  <c r="Z270" i="7" s="1"/>
  <c r="I270" i="7"/>
  <c r="Y270" i="7" s="1"/>
  <c r="H270" i="7"/>
  <c r="X270" i="7" s="1"/>
  <c r="G270" i="7"/>
  <c r="W270" i="7" s="1"/>
  <c r="F270" i="7"/>
  <c r="V270" i="7" s="1"/>
  <c r="E270" i="7"/>
  <c r="U270" i="7" s="1"/>
  <c r="D270" i="7"/>
  <c r="T270" i="7" s="1"/>
  <c r="C270" i="7"/>
  <c r="S270" i="7" s="1"/>
  <c r="B270" i="7"/>
  <c r="R270" i="7" s="1"/>
  <c r="AH270" i="7" s="1"/>
  <c r="AI270" i="7" s="1"/>
  <c r="AP269" i="7"/>
  <c r="AQ269" i="7" s="1"/>
  <c r="AR269" i="7" s="1"/>
  <c r="AS269" i="7" s="1"/>
  <c r="P269" i="7"/>
  <c r="AF269" i="7" s="1"/>
  <c r="O269" i="7"/>
  <c r="AE269" i="7" s="1"/>
  <c r="N269" i="7"/>
  <c r="AD269" i="7" s="1"/>
  <c r="M269" i="7"/>
  <c r="AC269" i="7" s="1"/>
  <c r="L269" i="7"/>
  <c r="AB269" i="7" s="1"/>
  <c r="K269" i="7"/>
  <c r="AA269" i="7" s="1"/>
  <c r="J269" i="7"/>
  <c r="Z269" i="7" s="1"/>
  <c r="I269" i="7"/>
  <c r="Y269" i="7" s="1"/>
  <c r="H269" i="7"/>
  <c r="X269" i="7" s="1"/>
  <c r="G269" i="7"/>
  <c r="W269" i="7" s="1"/>
  <c r="F269" i="7"/>
  <c r="V269" i="7" s="1"/>
  <c r="E269" i="7"/>
  <c r="U269" i="7" s="1"/>
  <c r="D269" i="7"/>
  <c r="T269" i="7" s="1"/>
  <c r="C269" i="7"/>
  <c r="S269" i="7" s="1"/>
  <c r="B269" i="7"/>
  <c r="R269" i="7" s="1"/>
  <c r="AH269" i="7" s="1"/>
  <c r="AI269" i="7" s="1"/>
  <c r="AP268" i="7"/>
  <c r="AQ268" i="7" s="1"/>
  <c r="AR268" i="7" s="1"/>
  <c r="AS268" i="7" s="1"/>
  <c r="P268" i="7"/>
  <c r="AF268" i="7" s="1"/>
  <c r="O268" i="7"/>
  <c r="AE268" i="7" s="1"/>
  <c r="N268" i="7"/>
  <c r="AD268" i="7" s="1"/>
  <c r="M268" i="7"/>
  <c r="AC268" i="7" s="1"/>
  <c r="L268" i="7"/>
  <c r="AB268" i="7" s="1"/>
  <c r="K268" i="7"/>
  <c r="AA268" i="7" s="1"/>
  <c r="J268" i="7"/>
  <c r="Z268" i="7" s="1"/>
  <c r="I268" i="7"/>
  <c r="Y268" i="7" s="1"/>
  <c r="H268" i="7"/>
  <c r="X268" i="7" s="1"/>
  <c r="G268" i="7"/>
  <c r="W268" i="7" s="1"/>
  <c r="F268" i="7"/>
  <c r="V268" i="7" s="1"/>
  <c r="E268" i="7"/>
  <c r="U268" i="7" s="1"/>
  <c r="D268" i="7"/>
  <c r="T268" i="7" s="1"/>
  <c r="C268" i="7"/>
  <c r="S268" i="7" s="1"/>
  <c r="B268" i="7"/>
  <c r="R268" i="7" s="1"/>
  <c r="AH268" i="7" s="1"/>
  <c r="AI268" i="7" s="1"/>
  <c r="AP267" i="7"/>
  <c r="AQ267" i="7" s="1"/>
  <c r="AR267" i="7" s="1"/>
  <c r="AS267" i="7" s="1"/>
  <c r="P267" i="7"/>
  <c r="AF267" i="7" s="1"/>
  <c r="O267" i="7"/>
  <c r="AE267" i="7" s="1"/>
  <c r="N267" i="7"/>
  <c r="AD267" i="7" s="1"/>
  <c r="M267" i="7"/>
  <c r="AC267" i="7" s="1"/>
  <c r="L267" i="7"/>
  <c r="AB267" i="7" s="1"/>
  <c r="K267" i="7"/>
  <c r="AA267" i="7" s="1"/>
  <c r="J267" i="7"/>
  <c r="Z267" i="7" s="1"/>
  <c r="I267" i="7"/>
  <c r="Y267" i="7" s="1"/>
  <c r="H267" i="7"/>
  <c r="X267" i="7" s="1"/>
  <c r="G267" i="7"/>
  <c r="W267" i="7" s="1"/>
  <c r="F267" i="7"/>
  <c r="V267" i="7" s="1"/>
  <c r="E267" i="7"/>
  <c r="U267" i="7" s="1"/>
  <c r="D267" i="7"/>
  <c r="T267" i="7" s="1"/>
  <c r="C267" i="7"/>
  <c r="S267" i="7" s="1"/>
  <c r="B267" i="7"/>
  <c r="R267" i="7" s="1"/>
  <c r="AH267" i="7" s="1"/>
  <c r="AI267" i="7" s="1"/>
  <c r="AP266" i="7"/>
  <c r="AQ266" i="7" s="1"/>
  <c r="AR266" i="7" s="1"/>
  <c r="AS266" i="7" s="1"/>
  <c r="P266" i="7"/>
  <c r="AF266" i="7" s="1"/>
  <c r="O266" i="7"/>
  <c r="AE266" i="7" s="1"/>
  <c r="N266" i="7"/>
  <c r="AD266" i="7" s="1"/>
  <c r="M266" i="7"/>
  <c r="AC266" i="7" s="1"/>
  <c r="L266" i="7"/>
  <c r="AB266" i="7" s="1"/>
  <c r="K266" i="7"/>
  <c r="AA266" i="7" s="1"/>
  <c r="J266" i="7"/>
  <c r="Z266" i="7" s="1"/>
  <c r="I266" i="7"/>
  <c r="Y266" i="7" s="1"/>
  <c r="H266" i="7"/>
  <c r="X266" i="7" s="1"/>
  <c r="G266" i="7"/>
  <c r="W266" i="7" s="1"/>
  <c r="F266" i="7"/>
  <c r="V266" i="7" s="1"/>
  <c r="E266" i="7"/>
  <c r="U266" i="7" s="1"/>
  <c r="D266" i="7"/>
  <c r="T266" i="7" s="1"/>
  <c r="C266" i="7"/>
  <c r="S266" i="7" s="1"/>
  <c r="B266" i="7"/>
  <c r="R266" i="7" s="1"/>
  <c r="AH266" i="7" s="1"/>
  <c r="AI266" i="7" s="1"/>
  <c r="AP265" i="7"/>
  <c r="AQ265" i="7" s="1"/>
  <c r="AR265" i="7" s="1"/>
  <c r="AS265" i="7" s="1"/>
  <c r="P265" i="7"/>
  <c r="AF265" i="7" s="1"/>
  <c r="O265" i="7"/>
  <c r="AE265" i="7" s="1"/>
  <c r="N265" i="7"/>
  <c r="AD265" i="7" s="1"/>
  <c r="M265" i="7"/>
  <c r="AC265" i="7" s="1"/>
  <c r="L265" i="7"/>
  <c r="AB265" i="7" s="1"/>
  <c r="K265" i="7"/>
  <c r="AA265" i="7" s="1"/>
  <c r="J265" i="7"/>
  <c r="Z265" i="7" s="1"/>
  <c r="I265" i="7"/>
  <c r="Y265" i="7" s="1"/>
  <c r="H265" i="7"/>
  <c r="X265" i="7" s="1"/>
  <c r="G265" i="7"/>
  <c r="W265" i="7" s="1"/>
  <c r="F265" i="7"/>
  <c r="V265" i="7" s="1"/>
  <c r="E265" i="7"/>
  <c r="U265" i="7" s="1"/>
  <c r="D265" i="7"/>
  <c r="T265" i="7" s="1"/>
  <c r="C265" i="7"/>
  <c r="S265" i="7" s="1"/>
  <c r="B265" i="7"/>
  <c r="R265" i="7" s="1"/>
  <c r="AH265" i="7" s="1"/>
  <c r="AI265" i="7" s="1"/>
  <c r="AP264" i="7"/>
  <c r="AQ264" i="7" s="1"/>
  <c r="AR264" i="7" s="1"/>
  <c r="AS264" i="7" s="1"/>
  <c r="P264" i="7"/>
  <c r="AF264" i="7" s="1"/>
  <c r="O264" i="7"/>
  <c r="AE264" i="7" s="1"/>
  <c r="N264" i="7"/>
  <c r="AD264" i="7" s="1"/>
  <c r="M264" i="7"/>
  <c r="AC264" i="7" s="1"/>
  <c r="L264" i="7"/>
  <c r="AB264" i="7" s="1"/>
  <c r="K264" i="7"/>
  <c r="AA264" i="7" s="1"/>
  <c r="J264" i="7"/>
  <c r="Z264" i="7" s="1"/>
  <c r="I264" i="7"/>
  <c r="Y264" i="7" s="1"/>
  <c r="H264" i="7"/>
  <c r="X264" i="7" s="1"/>
  <c r="G264" i="7"/>
  <c r="W264" i="7" s="1"/>
  <c r="F264" i="7"/>
  <c r="V264" i="7" s="1"/>
  <c r="E264" i="7"/>
  <c r="U264" i="7" s="1"/>
  <c r="D264" i="7"/>
  <c r="T264" i="7" s="1"/>
  <c r="C264" i="7"/>
  <c r="S264" i="7" s="1"/>
  <c r="B264" i="7"/>
  <c r="R264" i="7" s="1"/>
  <c r="AH264" i="7" s="1"/>
  <c r="AI264" i="7" s="1"/>
  <c r="AP263" i="7"/>
  <c r="AQ263" i="7" s="1"/>
  <c r="AR263" i="7" s="1"/>
  <c r="AS263" i="7" s="1"/>
  <c r="P263" i="7"/>
  <c r="AF263" i="7" s="1"/>
  <c r="O263" i="7"/>
  <c r="AE263" i="7" s="1"/>
  <c r="N263" i="7"/>
  <c r="AD263" i="7" s="1"/>
  <c r="M263" i="7"/>
  <c r="AC263" i="7" s="1"/>
  <c r="L263" i="7"/>
  <c r="AB263" i="7" s="1"/>
  <c r="K263" i="7"/>
  <c r="AA263" i="7" s="1"/>
  <c r="J263" i="7"/>
  <c r="Z263" i="7" s="1"/>
  <c r="I263" i="7"/>
  <c r="Y263" i="7" s="1"/>
  <c r="H263" i="7"/>
  <c r="X263" i="7" s="1"/>
  <c r="G263" i="7"/>
  <c r="W263" i="7" s="1"/>
  <c r="F263" i="7"/>
  <c r="V263" i="7" s="1"/>
  <c r="E263" i="7"/>
  <c r="U263" i="7" s="1"/>
  <c r="D263" i="7"/>
  <c r="T263" i="7" s="1"/>
  <c r="C263" i="7"/>
  <c r="S263" i="7" s="1"/>
  <c r="B263" i="7"/>
  <c r="R263" i="7" s="1"/>
  <c r="AH263" i="7" s="1"/>
  <c r="AI263" i="7" s="1"/>
  <c r="AP262" i="7"/>
  <c r="AQ262" i="7" s="1"/>
  <c r="AR262" i="7" s="1"/>
  <c r="AS262" i="7" s="1"/>
  <c r="P262" i="7"/>
  <c r="AF262" i="7" s="1"/>
  <c r="O262" i="7"/>
  <c r="AE262" i="7" s="1"/>
  <c r="N262" i="7"/>
  <c r="AD262" i="7" s="1"/>
  <c r="M262" i="7"/>
  <c r="AC262" i="7" s="1"/>
  <c r="L262" i="7"/>
  <c r="AB262" i="7" s="1"/>
  <c r="K262" i="7"/>
  <c r="AA262" i="7" s="1"/>
  <c r="J262" i="7"/>
  <c r="Z262" i="7" s="1"/>
  <c r="I262" i="7"/>
  <c r="Y262" i="7" s="1"/>
  <c r="H262" i="7"/>
  <c r="X262" i="7" s="1"/>
  <c r="G262" i="7"/>
  <c r="W262" i="7" s="1"/>
  <c r="F262" i="7"/>
  <c r="V262" i="7" s="1"/>
  <c r="E262" i="7"/>
  <c r="U262" i="7" s="1"/>
  <c r="D262" i="7"/>
  <c r="T262" i="7" s="1"/>
  <c r="C262" i="7"/>
  <c r="S262" i="7" s="1"/>
  <c r="B262" i="7"/>
  <c r="R262" i="7" s="1"/>
  <c r="AH262" i="7" s="1"/>
  <c r="AI262" i="7" s="1"/>
  <c r="AP261" i="7"/>
  <c r="AQ261" i="7" s="1"/>
  <c r="AR261" i="7" s="1"/>
  <c r="AS261" i="7" s="1"/>
  <c r="P261" i="7"/>
  <c r="AF261" i="7" s="1"/>
  <c r="O261" i="7"/>
  <c r="AE261" i="7" s="1"/>
  <c r="N261" i="7"/>
  <c r="AD261" i="7" s="1"/>
  <c r="M261" i="7"/>
  <c r="AC261" i="7" s="1"/>
  <c r="L261" i="7"/>
  <c r="AB261" i="7" s="1"/>
  <c r="K261" i="7"/>
  <c r="AA261" i="7" s="1"/>
  <c r="J261" i="7"/>
  <c r="Z261" i="7" s="1"/>
  <c r="I261" i="7"/>
  <c r="Y261" i="7" s="1"/>
  <c r="H261" i="7"/>
  <c r="X261" i="7" s="1"/>
  <c r="G261" i="7"/>
  <c r="W261" i="7" s="1"/>
  <c r="F261" i="7"/>
  <c r="V261" i="7" s="1"/>
  <c r="E261" i="7"/>
  <c r="U261" i="7" s="1"/>
  <c r="D261" i="7"/>
  <c r="T261" i="7" s="1"/>
  <c r="C261" i="7"/>
  <c r="S261" i="7" s="1"/>
  <c r="B261" i="7"/>
  <c r="R261" i="7" s="1"/>
  <c r="AH261" i="7" s="1"/>
  <c r="AI261" i="7" s="1"/>
  <c r="AP260" i="7"/>
  <c r="AQ260" i="7" s="1"/>
  <c r="AR260" i="7" s="1"/>
  <c r="AS260" i="7" s="1"/>
  <c r="P260" i="7"/>
  <c r="AF260" i="7" s="1"/>
  <c r="O260" i="7"/>
  <c r="AE260" i="7" s="1"/>
  <c r="N260" i="7"/>
  <c r="AD260" i="7" s="1"/>
  <c r="M260" i="7"/>
  <c r="AC260" i="7" s="1"/>
  <c r="L260" i="7"/>
  <c r="AB260" i="7" s="1"/>
  <c r="K260" i="7"/>
  <c r="AA260" i="7" s="1"/>
  <c r="J260" i="7"/>
  <c r="Z260" i="7" s="1"/>
  <c r="I260" i="7"/>
  <c r="Y260" i="7" s="1"/>
  <c r="H260" i="7"/>
  <c r="X260" i="7" s="1"/>
  <c r="G260" i="7"/>
  <c r="W260" i="7" s="1"/>
  <c r="F260" i="7"/>
  <c r="V260" i="7" s="1"/>
  <c r="E260" i="7"/>
  <c r="U260" i="7" s="1"/>
  <c r="D260" i="7"/>
  <c r="T260" i="7" s="1"/>
  <c r="C260" i="7"/>
  <c r="S260" i="7" s="1"/>
  <c r="B260" i="7"/>
  <c r="R260" i="7" s="1"/>
  <c r="AH260" i="7" s="1"/>
  <c r="AI260" i="7" s="1"/>
  <c r="AP259" i="7"/>
  <c r="AQ259" i="7" s="1"/>
  <c r="AR259" i="7" s="1"/>
  <c r="AS259" i="7" s="1"/>
  <c r="P259" i="7"/>
  <c r="AF259" i="7" s="1"/>
  <c r="O259" i="7"/>
  <c r="AE259" i="7" s="1"/>
  <c r="N259" i="7"/>
  <c r="AD259" i="7" s="1"/>
  <c r="M259" i="7"/>
  <c r="AC259" i="7" s="1"/>
  <c r="L259" i="7"/>
  <c r="AB259" i="7" s="1"/>
  <c r="K259" i="7"/>
  <c r="AA259" i="7" s="1"/>
  <c r="J259" i="7"/>
  <c r="Z259" i="7" s="1"/>
  <c r="I259" i="7"/>
  <c r="Y259" i="7" s="1"/>
  <c r="H259" i="7"/>
  <c r="X259" i="7" s="1"/>
  <c r="G259" i="7"/>
  <c r="W259" i="7" s="1"/>
  <c r="F259" i="7"/>
  <c r="V259" i="7" s="1"/>
  <c r="E259" i="7"/>
  <c r="U259" i="7" s="1"/>
  <c r="D259" i="7"/>
  <c r="T259" i="7" s="1"/>
  <c r="C259" i="7"/>
  <c r="S259" i="7" s="1"/>
  <c r="B259" i="7"/>
  <c r="R259" i="7" s="1"/>
  <c r="AH259" i="7" s="1"/>
  <c r="AI259" i="7" s="1"/>
  <c r="AP258" i="7"/>
  <c r="AQ258" i="7" s="1"/>
  <c r="AR258" i="7" s="1"/>
  <c r="AS258" i="7" s="1"/>
  <c r="P258" i="7"/>
  <c r="AF258" i="7" s="1"/>
  <c r="O258" i="7"/>
  <c r="AE258" i="7" s="1"/>
  <c r="N258" i="7"/>
  <c r="AD258" i="7" s="1"/>
  <c r="M258" i="7"/>
  <c r="AC258" i="7" s="1"/>
  <c r="L258" i="7"/>
  <c r="AB258" i="7" s="1"/>
  <c r="K258" i="7"/>
  <c r="AA258" i="7" s="1"/>
  <c r="J258" i="7"/>
  <c r="Z258" i="7" s="1"/>
  <c r="I258" i="7"/>
  <c r="Y258" i="7" s="1"/>
  <c r="H258" i="7"/>
  <c r="X258" i="7" s="1"/>
  <c r="G258" i="7"/>
  <c r="W258" i="7" s="1"/>
  <c r="F258" i="7"/>
  <c r="V258" i="7" s="1"/>
  <c r="E258" i="7"/>
  <c r="U258" i="7" s="1"/>
  <c r="D258" i="7"/>
  <c r="T258" i="7" s="1"/>
  <c r="C258" i="7"/>
  <c r="S258" i="7" s="1"/>
  <c r="B258" i="7"/>
  <c r="R258" i="7" s="1"/>
  <c r="AH258" i="7" s="1"/>
  <c r="AI258" i="7" s="1"/>
  <c r="AP257" i="7"/>
  <c r="AQ257" i="7" s="1"/>
  <c r="AR257" i="7" s="1"/>
  <c r="AS257" i="7" s="1"/>
  <c r="P257" i="7"/>
  <c r="AF257" i="7" s="1"/>
  <c r="O257" i="7"/>
  <c r="AE257" i="7" s="1"/>
  <c r="N257" i="7"/>
  <c r="AD257" i="7" s="1"/>
  <c r="M257" i="7"/>
  <c r="AC257" i="7" s="1"/>
  <c r="L257" i="7"/>
  <c r="AB257" i="7" s="1"/>
  <c r="K257" i="7"/>
  <c r="AA257" i="7" s="1"/>
  <c r="J257" i="7"/>
  <c r="Z257" i="7" s="1"/>
  <c r="I257" i="7"/>
  <c r="Y257" i="7" s="1"/>
  <c r="H257" i="7"/>
  <c r="X257" i="7" s="1"/>
  <c r="G257" i="7"/>
  <c r="W257" i="7" s="1"/>
  <c r="F257" i="7"/>
  <c r="V257" i="7" s="1"/>
  <c r="E257" i="7"/>
  <c r="U257" i="7" s="1"/>
  <c r="D257" i="7"/>
  <c r="T257" i="7" s="1"/>
  <c r="C257" i="7"/>
  <c r="S257" i="7" s="1"/>
  <c r="B257" i="7"/>
  <c r="R257" i="7" s="1"/>
  <c r="AH257" i="7" s="1"/>
  <c r="AI257" i="7" s="1"/>
  <c r="AP256" i="7"/>
  <c r="AQ256" i="7" s="1"/>
  <c r="AR256" i="7" s="1"/>
  <c r="AS256" i="7" s="1"/>
  <c r="P256" i="7"/>
  <c r="AF256" i="7" s="1"/>
  <c r="O256" i="7"/>
  <c r="AE256" i="7" s="1"/>
  <c r="N256" i="7"/>
  <c r="AD256" i="7" s="1"/>
  <c r="M256" i="7"/>
  <c r="AC256" i="7" s="1"/>
  <c r="L256" i="7"/>
  <c r="AB256" i="7" s="1"/>
  <c r="K256" i="7"/>
  <c r="AA256" i="7" s="1"/>
  <c r="J256" i="7"/>
  <c r="Z256" i="7" s="1"/>
  <c r="I256" i="7"/>
  <c r="Y256" i="7" s="1"/>
  <c r="H256" i="7"/>
  <c r="X256" i="7" s="1"/>
  <c r="G256" i="7"/>
  <c r="W256" i="7" s="1"/>
  <c r="F256" i="7"/>
  <c r="V256" i="7" s="1"/>
  <c r="E256" i="7"/>
  <c r="U256" i="7" s="1"/>
  <c r="D256" i="7"/>
  <c r="T256" i="7" s="1"/>
  <c r="C256" i="7"/>
  <c r="S256" i="7" s="1"/>
  <c r="B256" i="7"/>
  <c r="R256" i="7" s="1"/>
  <c r="AH256" i="7" s="1"/>
  <c r="AI256" i="7" s="1"/>
  <c r="AP255" i="7"/>
  <c r="AQ255" i="7" s="1"/>
  <c r="AR255" i="7" s="1"/>
  <c r="AS255" i="7" s="1"/>
  <c r="P255" i="7"/>
  <c r="AF255" i="7" s="1"/>
  <c r="O255" i="7"/>
  <c r="AE255" i="7" s="1"/>
  <c r="N255" i="7"/>
  <c r="AD255" i="7" s="1"/>
  <c r="M255" i="7"/>
  <c r="AC255" i="7" s="1"/>
  <c r="L255" i="7"/>
  <c r="AB255" i="7" s="1"/>
  <c r="K255" i="7"/>
  <c r="AA255" i="7" s="1"/>
  <c r="J255" i="7"/>
  <c r="Z255" i="7" s="1"/>
  <c r="I255" i="7"/>
  <c r="Y255" i="7" s="1"/>
  <c r="H255" i="7"/>
  <c r="X255" i="7" s="1"/>
  <c r="G255" i="7"/>
  <c r="W255" i="7" s="1"/>
  <c r="F255" i="7"/>
  <c r="V255" i="7" s="1"/>
  <c r="E255" i="7"/>
  <c r="U255" i="7" s="1"/>
  <c r="D255" i="7"/>
  <c r="T255" i="7" s="1"/>
  <c r="C255" i="7"/>
  <c r="S255" i="7" s="1"/>
  <c r="B255" i="7"/>
  <c r="R255" i="7" s="1"/>
  <c r="AH255" i="7" s="1"/>
  <c r="AI255" i="7" s="1"/>
  <c r="AP254" i="7"/>
  <c r="AQ254" i="7" s="1"/>
  <c r="AR254" i="7" s="1"/>
  <c r="AS254" i="7" s="1"/>
  <c r="P254" i="7"/>
  <c r="AF254" i="7" s="1"/>
  <c r="O254" i="7"/>
  <c r="AE254" i="7" s="1"/>
  <c r="N254" i="7"/>
  <c r="AD254" i="7" s="1"/>
  <c r="M254" i="7"/>
  <c r="AC254" i="7" s="1"/>
  <c r="L254" i="7"/>
  <c r="AB254" i="7" s="1"/>
  <c r="K254" i="7"/>
  <c r="AA254" i="7" s="1"/>
  <c r="J254" i="7"/>
  <c r="Z254" i="7" s="1"/>
  <c r="I254" i="7"/>
  <c r="Y254" i="7" s="1"/>
  <c r="H254" i="7"/>
  <c r="X254" i="7" s="1"/>
  <c r="G254" i="7"/>
  <c r="W254" i="7" s="1"/>
  <c r="F254" i="7"/>
  <c r="V254" i="7" s="1"/>
  <c r="E254" i="7"/>
  <c r="U254" i="7" s="1"/>
  <c r="D254" i="7"/>
  <c r="T254" i="7" s="1"/>
  <c r="C254" i="7"/>
  <c r="S254" i="7" s="1"/>
  <c r="B254" i="7"/>
  <c r="R254" i="7" s="1"/>
  <c r="AH254" i="7" s="1"/>
  <c r="AI254" i="7" s="1"/>
  <c r="AP253" i="7"/>
  <c r="AQ253" i="7" s="1"/>
  <c r="AR253" i="7" s="1"/>
  <c r="AS253" i="7" s="1"/>
  <c r="P253" i="7"/>
  <c r="AF253" i="7" s="1"/>
  <c r="O253" i="7"/>
  <c r="AE253" i="7" s="1"/>
  <c r="N253" i="7"/>
  <c r="AD253" i="7" s="1"/>
  <c r="M253" i="7"/>
  <c r="AC253" i="7" s="1"/>
  <c r="L253" i="7"/>
  <c r="AB253" i="7" s="1"/>
  <c r="K253" i="7"/>
  <c r="AA253" i="7" s="1"/>
  <c r="J253" i="7"/>
  <c r="Z253" i="7" s="1"/>
  <c r="I253" i="7"/>
  <c r="Y253" i="7" s="1"/>
  <c r="H253" i="7"/>
  <c r="X253" i="7" s="1"/>
  <c r="G253" i="7"/>
  <c r="W253" i="7" s="1"/>
  <c r="F253" i="7"/>
  <c r="V253" i="7" s="1"/>
  <c r="E253" i="7"/>
  <c r="U253" i="7" s="1"/>
  <c r="D253" i="7"/>
  <c r="T253" i="7" s="1"/>
  <c r="C253" i="7"/>
  <c r="S253" i="7" s="1"/>
  <c r="B253" i="7"/>
  <c r="R253" i="7" s="1"/>
  <c r="AH253" i="7" s="1"/>
  <c r="AI253" i="7" s="1"/>
  <c r="AP252" i="7"/>
  <c r="AQ252" i="7" s="1"/>
  <c r="AR252" i="7" s="1"/>
  <c r="AS252" i="7" s="1"/>
  <c r="P252" i="7"/>
  <c r="AF252" i="7" s="1"/>
  <c r="O252" i="7"/>
  <c r="AE252" i="7" s="1"/>
  <c r="N252" i="7"/>
  <c r="AD252" i="7" s="1"/>
  <c r="M252" i="7"/>
  <c r="AC252" i="7" s="1"/>
  <c r="L252" i="7"/>
  <c r="AB252" i="7" s="1"/>
  <c r="K252" i="7"/>
  <c r="AA252" i="7" s="1"/>
  <c r="J252" i="7"/>
  <c r="Z252" i="7" s="1"/>
  <c r="I252" i="7"/>
  <c r="Y252" i="7" s="1"/>
  <c r="H252" i="7"/>
  <c r="X252" i="7" s="1"/>
  <c r="G252" i="7"/>
  <c r="W252" i="7" s="1"/>
  <c r="F252" i="7"/>
  <c r="V252" i="7" s="1"/>
  <c r="E252" i="7"/>
  <c r="U252" i="7" s="1"/>
  <c r="D252" i="7"/>
  <c r="T252" i="7" s="1"/>
  <c r="C252" i="7"/>
  <c r="S252" i="7" s="1"/>
  <c r="B252" i="7"/>
  <c r="R252" i="7" s="1"/>
  <c r="AH252" i="7" s="1"/>
  <c r="AI252" i="7" s="1"/>
  <c r="AP251" i="7"/>
  <c r="AQ251" i="7" s="1"/>
  <c r="AR251" i="7" s="1"/>
  <c r="AS251" i="7" s="1"/>
  <c r="P251" i="7"/>
  <c r="AF251" i="7" s="1"/>
  <c r="O251" i="7"/>
  <c r="AE251" i="7" s="1"/>
  <c r="N251" i="7"/>
  <c r="AD251" i="7" s="1"/>
  <c r="M251" i="7"/>
  <c r="AC251" i="7" s="1"/>
  <c r="L251" i="7"/>
  <c r="AB251" i="7" s="1"/>
  <c r="K251" i="7"/>
  <c r="AA251" i="7" s="1"/>
  <c r="J251" i="7"/>
  <c r="Z251" i="7" s="1"/>
  <c r="I251" i="7"/>
  <c r="Y251" i="7" s="1"/>
  <c r="H251" i="7"/>
  <c r="X251" i="7" s="1"/>
  <c r="G251" i="7"/>
  <c r="W251" i="7" s="1"/>
  <c r="F251" i="7"/>
  <c r="V251" i="7" s="1"/>
  <c r="E251" i="7"/>
  <c r="U251" i="7" s="1"/>
  <c r="D251" i="7"/>
  <c r="T251" i="7" s="1"/>
  <c r="C251" i="7"/>
  <c r="S251" i="7" s="1"/>
  <c r="B251" i="7"/>
  <c r="R251" i="7" s="1"/>
  <c r="AH251" i="7" s="1"/>
  <c r="AI251" i="7" s="1"/>
  <c r="AP250" i="7"/>
  <c r="AQ250" i="7" s="1"/>
  <c r="AR250" i="7" s="1"/>
  <c r="AS250" i="7" s="1"/>
  <c r="P250" i="7"/>
  <c r="AF250" i="7" s="1"/>
  <c r="O250" i="7"/>
  <c r="AE250" i="7" s="1"/>
  <c r="N250" i="7"/>
  <c r="AD250" i="7" s="1"/>
  <c r="M250" i="7"/>
  <c r="AC250" i="7" s="1"/>
  <c r="L250" i="7"/>
  <c r="AB250" i="7" s="1"/>
  <c r="K250" i="7"/>
  <c r="AA250" i="7" s="1"/>
  <c r="J250" i="7"/>
  <c r="Z250" i="7" s="1"/>
  <c r="I250" i="7"/>
  <c r="Y250" i="7" s="1"/>
  <c r="H250" i="7"/>
  <c r="X250" i="7" s="1"/>
  <c r="G250" i="7"/>
  <c r="W250" i="7" s="1"/>
  <c r="F250" i="7"/>
  <c r="V250" i="7" s="1"/>
  <c r="E250" i="7"/>
  <c r="U250" i="7" s="1"/>
  <c r="D250" i="7"/>
  <c r="T250" i="7" s="1"/>
  <c r="C250" i="7"/>
  <c r="S250" i="7" s="1"/>
  <c r="B250" i="7"/>
  <c r="R250" i="7" s="1"/>
  <c r="AH250" i="7" s="1"/>
  <c r="AI250" i="7" s="1"/>
  <c r="AP249" i="7"/>
  <c r="AQ249" i="7" s="1"/>
  <c r="AR249" i="7" s="1"/>
  <c r="AS249" i="7" s="1"/>
  <c r="P249" i="7"/>
  <c r="AF249" i="7" s="1"/>
  <c r="O249" i="7"/>
  <c r="AE249" i="7" s="1"/>
  <c r="N249" i="7"/>
  <c r="AD249" i="7" s="1"/>
  <c r="M249" i="7"/>
  <c r="AC249" i="7" s="1"/>
  <c r="L249" i="7"/>
  <c r="AB249" i="7" s="1"/>
  <c r="K249" i="7"/>
  <c r="AA249" i="7" s="1"/>
  <c r="J249" i="7"/>
  <c r="Z249" i="7" s="1"/>
  <c r="I249" i="7"/>
  <c r="Y249" i="7" s="1"/>
  <c r="H249" i="7"/>
  <c r="X249" i="7" s="1"/>
  <c r="G249" i="7"/>
  <c r="W249" i="7" s="1"/>
  <c r="F249" i="7"/>
  <c r="V249" i="7" s="1"/>
  <c r="E249" i="7"/>
  <c r="U249" i="7" s="1"/>
  <c r="D249" i="7"/>
  <c r="T249" i="7" s="1"/>
  <c r="C249" i="7"/>
  <c r="S249" i="7" s="1"/>
  <c r="B249" i="7"/>
  <c r="R249" i="7" s="1"/>
  <c r="AH249" i="7" s="1"/>
  <c r="AI249" i="7" s="1"/>
  <c r="AP248" i="7"/>
  <c r="AQ248" i="7" s="1"/>
  <c r="AR248" i="7" s="1"/>
  <c r="AS248" i="7" s="1"/>
  <c r="P248" i="7"/>
  <c r="AF248" i="7" s="1"/>
  <c r="O248" i="7"/>
  <c r="AE248" i="7" s="1"/>
  <c r="N248" i="7"/>
  <c r="AD248" i="7" s="1"/>
  <c r="M248" i="7"/>
  <c r="AC248" i="7" s="1"/>
  <c r="L248" i="7"/>
  <c r="AB248" i="7" s="1"/>
  <c r="K248" i="7"/>
  <c r="AA248" i="7" s="1"/>
  <c r="J248" i="7"/>
  <c r="Z248" i="7" s="1"/>
  <c r="I248" i="7"/>
  <c r="Y248" i="7" s="1"/>
  <c r="H248" i="7"/>
  <c r="X248" i="7" s="1"/>
  <c r="G248" i="7"/>
  <c r="W248" i="7" s="1"/>
  <c r="F248" i="7"/>
  <c r="V248" i="7" s="1"/>
  <c r="E248" i="7"/>
  <c r="U248" i="7" s="1"/>
  <c r="D248" i="7"/>
  <c r="T248" i="7" s="1"/>
  <c r="C248" i="7"/>
  <c r="S248" i="7" s="1"/>
  <c r="B248" i="7"/>
  <c r="R248" i="7" s="1"/>
  <c r="AP247" i="7"/>
  <c r="AQ247" i="7" s="1"/>
  <c r="AR247" i="7" s="1"/>
  <c r="AS247" i="7" s="1"/>
  <c r="P247" i="7"/>
  <c r="AF247" i="7" s="1"/>
  <c r="O247" i="7"/>
  <c r="AE247" i="7" s="1"/>
  <c r="N247" i="7"/>
  <c r="AD247" i="7" s="1"/>
  <c r="M247" i="7"/>
  <c r="AC247" i="7" s="1"/>
  <c r="L247" i="7"/>
  <c r="AB247" i="7" s="1"/>
  <c r="K247" i="7"/>
  <c r="AA247" i="7" s="1"/>
  <c r="J247" i="7"/>
  <c r="Z247" i="7" s="1"/>
  <c r="I247" i="7"/>
  <c r="Y247" i="7" s="1"/>
  <c r="H247" i="7"/>
  <c r="X247" i="7" s="1"/>
  <c r="G247" i="7"/>
  <c r="W247" i="7" s="1"/>
  <c r="F247" i="7"/>
  <c r="V247" i="7" s="1"/>
  <c r="E247" i="7"/>
  <c r="U247" i="7" s="1"/>
  <c r="D247" i="7"/>
  <c r="T247" i="7" s="1"/>
  <c r="C247" i="7"/>
  <c r="S247" i="7" s="1"/>
  <c r="B247" i="7"/>
  <c r="R247" i="7" s="1"/>
  <c r="AH247" i="7" s="1"/>
  <c r="AI247" i="7" s="1"/>
  <c r="AP246" i="7"/>
  <c r="AQ246" i="7" s="1"/>
  <c r="AR246" i="7" s="1"/>
  <c r="AS246" i="7" s="1"/>
  <c r="P246" i="7"/>
  <c r="AF246" i="7" s="1"/>
  <c r="O246" i="7"/>
  <c r="AE246" i="7" s="1"/>
  <c r="N246" i="7"/>
  <c r="AD246" i="7" s="1"/>
  <c r="M246" i="7"/>
  <c r="AC246" i="7" s="1"/>
  <c r="L246" i="7"/>
  <c r="AB246" i="7" s="1"/>
  <c r="K246" i="7"/>
  <c r="AA246" i="7" s="1"/>
  <c r="J246" i="7"/>
  <c r="Z246" i="7" s="1"/>
  <c r="I246" i="7"/>
  <c r="Y246" i="7" s="1"/>
  <c r="H246" i="7"/>
  <c r="X246" i="7" s="1"/>
  <c r="G246" i="7"/>
  <c r="W246" i="7" s="1"/>
  <c r="F246" i="7"/>
  <c r="V246" i="7" s="1"/>
  <c r="E246" i="7"/>
  <c r="U246" i="7" s="1"/>
  <c r="D246" i="7"/>
  <c r="T246" i="7" s="1"/>
  <c r="C246" i="7"/>
  <c r="S246" i="7" s="1"/>
  <c r="B246" i="7"/>
  <c r="R246" i="7" s="1"/>
  <c r="AH246" i="7" s="1"/>
  <c r="AI246" i="7" s="1"/>
  <c r="AP245" i="7"/>
  <c r="AQ245" i="7" s="1"/>
  <c r="AR245" i="7" s="1"/>
  <c r="AS245" i="7" s="1"/>
  <c r="P245" i="7"/>
  <c r="AF245" i="7" s="1"/>
  <c r="O245" i="7"/>
  <c r="AE245" i="7" s="1"/>
  <c r="N245" i="7"/>
  <c r="AD245" i="7" s="1"/>
  <c r="M245" i="7"/>
  <c r="AC245" i="7" s="1"/>
  <c r="L245" i="7"/>
  <c r="AB245" i="7" s="1"/>
  <c r="K245" i="7"/>
  <c r="AA245" i="7" s="1"/>
  <c r="J245" i="7"/>
  <c r="Z245" i="7" s="1"/>
  <c r="I245" i="7"/>
  <c r="Y245" i="7" s="1"/>
  <c r="H245" i="7"/>
  <c r="X245" i="7" s="1"/>
  <c r="G245" i="7"/>
  <c r="W245" i="7" s="1"/>
  <c r="F245" i="7"/>
  <c r="V245" i="7" s="1"/>
  <c r="E245" i="7"/>
  <c r="U245" i="7" s="1"/>
  <c r="D245" i="7"/>
  <c r="T245" i="7" s="1"/>
  <c r="C245" i="7"/>
  <c r="S245" i="7" s="1"/>
  <c r="B245" i="7"/>
  <c r="R245" i="7" s="1"/>
  <c r="AH245" i="7" s="1"/>
  <c r="AI245" i="7" s="1"/>
  <c r="AP244" i="7"/>
  <c r="AQ244" i="7" s="1"/>
  <c r="AR244" i="7" s="1"/>
  <c r="AS244" i="7" s="1"/>
  <c r="P244" i="7"/>
  <c r="AF244" i="7" s="1"/>
  <c r="O244" i="7"/>
  <c r="AE244" i="7" s="1"/>
  <c r="N244" i="7"/>
  <c r="AD244" i="7" s="1"/>
  <c r="M244" i="7"/>
  <c r="AC244" i="7" s="1"/>
  <c r="L244" i="7"/>
  <c r="AB244" i="7" s="1"/>
  <c r="K244" i="7"/>
  <c r="AA244" i="7" s="1"/>
  <c r="J244" i="7"/>
  <c r="Z244" i="7" s="1"/>
  <c r="I244" i="7"/>
  <c r="Y244" i="7" s="1"/>
  <c r="H244" i="7"/>
  <c r="X244" i="7" s="1"/>
  <c r="G244" i="7"/>
  <c r="W244" i="7" s="1"/>
  <c r="F244" i="7"/>
  <c r="V244" i="7" s="1"/>
  <c r="E244" i="7"/>
  <c r="U244" i="7" s="1"/>
  <c r="D244" i="7"/>
  <c r="T244" i="7" s="1"/>
  <c r="C244" i="7"/>
  <c r="S244" i="7" s="1"/>
  <c r="B244" i="7"/>
  <c r="R244" i="7" s="1"/>
  <c r="AH244" i="7" s="1"/>
  <c r="AI244" i="7" s="1"/>
  <c r="AP243" i="7"/>
  <c r="AQ243" i="7" s="1"/>
  <c r="AR243" i="7" s="1"/>
  <c r="AS243" i="7" s="1"/>
  <c r="P243" i="7"/>
  <c r="AF243" i="7" s="1"/>
  <c r="O243" i="7"/>
  <c r="AE243" i="7" s="1"/>
  <c r="N243" i="7"/>
  <c r="AD243" i="7" s="1"/>
  <c r="M243" i="7"/>
  <c r="AC243" i="7" s="1"/>
  <c r="L243" i="7"/>
  <c r="AB243" i="7" s="1"/>
  <c r="K243" i="7"/>
  <c r="AA243" i="7" s="1"/>
  <c r="J243" i="7"/>
  <c r="Z243" i="7" s="1"/>
  <c r="I243" i="7"/>
  <c r="Y243" i="7" s="1"/>
  <c r="H243" i="7"/>
  <c r="X243" i="7" s="1"/>
  <c r="G243" i="7"/>
  <c r="W243" i="7" s="1"/>
  <c r="F243" i="7"/>
  <c r="V243" i="7" s="1"/>
  <c r="E243" i="7"/>
  <c r="U243" i="7" s="1"/>
  <c r="D243" i="7"/>
  <c r="T243" i="7" s="1"/>
  <c r="C243" i="7"/>
  <c r="S243" i="7" s="1"/>
  <c r="B243" i="7"/>
  <c r="R243" i="7" s="1"/>
  <c r="AH243" i="7" s="1"/>
  <c r="AI243" i="7" s="1"/>
  <c r="AP242" i="7"/>
  <c r="AQ242" i="7" s="1"/>
  <c r="AR242" i="7" s="1"/>
  <c r="AS242" i="7" s="1"/>
  <c r="P242" i="7"/>
  <c r="AF242" i="7" s="1"/>
  <c r="O242" i="7"/>
  <c r="AE242" i="7" s="1"/>
  <c r="N242" i="7"/>
  <c r="AD242" i="7" s="1"/>
  <c r="M242" i="7"/>
  <c r="AC242" i="7" s="1"/>
  <c r="L242" i="7"/>
  <c r="AB242" i="7" s="1"/>
  <c r="K242" i="7"/>
  <c r="AA242" i="7" s="1"/>
  <c r="J242" i="7"/>
  <c r="Z242" i="7" s="1"/>
  <c r="I242" i="7"/>
  <c r="Y242" i="7" s="1"/>
  <c r="H242" i="7"/>
  <c r="X242" i="7" s="1"/>
  <c r="G242" i="7"/>
  <c r="W242" i="7" s="1"/>
  <c r="F242" i="7"/>
  <c r="V242" i="7" s="1"/>
  <c r="E242" i="7"/>
  <c r="U242" i="7" s="1"/>
  <c r="D242" i="7"/>
  <c r="T242" i="7" s="1"/>
  <c r="C242" i="7"/>
  <c r="S242" i="7" s="1"/>
  <c r="B242" i="7"/>
  <c r="R242" i="7" s="1"/>
  <c r="AH242" i="7" s="1"/>
  <c r="AI242" i="7" s="1"/>
  <c r="AP241" i="7"/>
  <c r="AQ241" i="7" s="1"/>
  <c r="AR241" i="7" s="1"/>
  <c r="AS241" i="7" s="1"/>
  <c r="P241" i="7"/>
  <c r="AF241" i="7" s="1"/>
  <c r="O241" i="7"/>
  <c r="AE241" i="7" s="1"/>
  <c r="N241" i="7"/>
  <c r="AD241" i="7" s="1"/>
  <c r="M241" i="7"/>
  <c r="AC241" i="7" s="1"/>
  <c r="L241" i="7"/>
  <c r="AB241" i="7" s="1"/>
  <c r="K241" i="7"/>
  <c r="AA241" i="7" s="1"/>
  <c r="J241" i="7"/>
  <c r="Z241" i="7" s="1"/>
  <c r="I241" i="7"/>
  <c r="Y241" i="7" s="1"/>
  <c r="H241" i="7"/>
  <c r="X241" i="7" s="1"/>
  <c r="G241" i="7"/>
  <c r="W241" i="7" s="1"/>
  <c r="F241" i="7"/>
  <c r="V241" i="7" s="1"/>
  <c r="E241" i="7"/>
  <c r="U241" i="7" s="1"/>
  <c r="D241" i="7"/>
  <c r="T241" i="7" s="1"/>
  <c r="C241" i="7"/>
  <c r="S241" i="7" s="1"/>
  <c r="B241" i="7"/>
  <c r="R241" i="7" s="1"/>
  <c r="AH241" i="7" s="1"/>
  <c r="AI241" i="7" s="1"/>
  <c r="AP240" i="7"/>
  <c r="AQ240" i="7" s="1"/>
  <c r="AR240" i="7" s="1"/>
  <c r="AS240" i="7" s="1"/>
  <c r="P240" i="7"/>
  <c r="AF240" i="7" s="1"/>
  <c r="O240" i="7"/>
  <c r="AE240" i="7" s="1"/>
  <c r="N240" i="7"/>
  <c r="AD240" i="7" s="1"/>
  <c r="M240" i="7"/>
  <c r="AC240" i="7" s="1"/>
  <c r="L240" i="7"/>
  <c r="AB240" i="7" s="1"/>
  <c r="K240" i="7"/>
  <c r="AA240" i="7" s="1"/>
  <c r="J240" i="7"/>
  <c r="Z240" i="7" s="1"/>
  <c r="I240" i="7"/>
  <c r="Y240" i="7" s="1"/>
  <c r="H240" i="7"/>
  <c r="X240" i="7" s="1"/>
  <c r="G240" i="7"/>
  <c r="W240" i="7" s="1"/>
  <c r="F240" i="7"/>
  <c r="V240" i="7" s="1"/>
  <c r="E240" i="7"/>
  <c r="U240" i="7" s="1"/>
  <c r="D240" i="7"/>
  <c r="T240" i="7" s="1"/>
  <c r="C240" i="7"/>
  <c r="S240" i="7" s="1"/>
  <c r="B240" i="7"/>
  <c r="R240" i="7" s="1"/>
  <c r="AH240" i="7" s="1"/>
  <c r="AI240" i="7" s="1"/>
  <c r="AP239" i="7"/>
  <c r="AQ239" i="7" s="1"/>
  <c r="AR239" i="7" s="1"/>
  <c r="AS239" i="7" s="1"/>
  <c r="P239" i="7"/>
  <c r="AF239" i="7" s="1"/>
  <c r="O239" i="7"/>
  <c r="AE239" i="7" s="1"/>
  <c r="N239" i="7"/>
  <c r="AD239" i="7" s="1"/>
  <c r="M239" i="7"/>
  <c r="AC239" i="7" s="1"/>
  <c r="L239" i="7"/>
  <c r="AB239" i="7" s="1"/>
  <c r="K239" i="7"/>
  <c r="AA239" i="7" s="1"/>
  <c r="J239" i="7"/>
  <c r="Z239" i="7" s="1"/>
  <c r="I239" i="7"/>
  <c r="Y239" i="7" s="1"/>
  <c r="H239" i="7"/>
  <c r="X239" i="7" s="1"/>
  <c r="G239" i="7"/>
  <c r="W239" i="7" s="1"/>
  <c r="F239" i="7"/>
  <c r="V239" i="7" s="1"/>
  <c r="E239" i="7"/>
  <c r="U239" i="7" s="1"/>
  <c r="D239" i="7"/>
  <c r="T239" i="7" s="1"/>
  <c r="C239" i="7"/>
  <c r="S239" i="7" s="1"/>
  <c r="B239" i="7"/>
  <c r="R239" i="7" s="1"/>
  <c r="AH239" i="7" s="1"/>
  <c r="AI239" i="7" s="1"/>
  <c r="AP238" i="7"/>
  <c r="AQ238" i="7" s="1"/>
  <c r="AR238" i="7" s="1"/>
  <c r="AS238" i="7" s="1"/>
  <c r="P238" i="7"/>
  <c r="AF238" i="7" s="1"/>
  <c r="O238" i="7"/>
  <c r="AE238" i="7" s="1"/>
  <c r="N238" i="7"/>
  <c r="AD238" i="7" s="1"/>
  <c r="M238" i="7"/>
  <c r="AC238" i="7" s="1"/>
  <c r="L238" i="7"/>
  <c r="AB238" i="7" s="1"/>
  <c r="K238" i="7"/>
  <c r="AA238" i="7" s="1"/>
  <c r="J238" i="7"/>
  <c r="Z238" i="7" s="1"/>
  <c r="I238" i="7"/>
  <c r="Y238" i="7" s="1"/>
  <c r="H238" i="7"/>
  <c r="X238" i="7" s="1"/>
  <c r="G238" i="7"/>
  <c r="W238" i="7" s="1"/>
  <c r="F238" i="7"/>
  <c r="V238" i="7" s="1"/>
  <c r="E238" i="7"/>
  <c r="U238" i="7" s="1"/>
  <c r="D238" i="7"/>
  <c r="T238" i="7" s="1"/>
  <c r="C238" i="7"/>
  <c r="S238" i="7" s="1"/>
  <c r="B238" i="7"/>
  <c r="R238" i="7" s="1"/>
  <c r="AH238" i="7" s="1"/>
  <c r="AI238" i="7" s="1"/>
  <c r="AP237" i="7"/>
  <c r="AQ237" i="7" s="1"/>
  <c r="AR237" i="7" s="1"/>
  <c r="AS237" i="7" s="1"/>
  <c r="P237" i="7"/>
  <c r="AF237" i="7" s="1"/>
  <c r="O237" i="7"/>
  <c r="AE237" i="7" s="1"/>
  <c r="N237" i="7"/>
  <c r="AD237" i="7" s="1"/>
  <c r="M237" i="7"/>
  <c r="AC237" i="7" s="1"/>
  <c r="L237" i="7"/>
  <c r="AB237" i="7" s="1"/>
  <c r="K237" i="7"/>
  <c r="AA237" i="7" s="1"/>
  <c r="J237" i="7"/>
  <c r="Z237" i="7" s="1"/>
  <c r="I237" i="7"/>
  <c r="Y237" i="7" s="1"/>
  <c r="H237" i="7"/>
  <c r="X237" i="7" s="1"/>
  <c r="G237" i="7"/>
  <c r="W237" i="7" s="1"/>
  <c r="F237" i="7"/>
  <c r="V237" i="7" s="1"/>
  <c r="E237" i="7"/>
  <c r="U237" i="7" s="1"/>
  <c r="D237" i="7"/>
  <c r="T237" i="7" s="1"/>
  <c r="C237" i="7"/>
  <c r="S237" i="7" s="1"/>
  <c r="B237" i="7"/>
  <c r="R237" i="7" s="1"/>
  <c r="AH237" i="7" s="1"/>
  <c r="AI237" i="7" s="1"/>
  <c r="AP236" i="7"/>
  <c r="AQ236" i="7" s="1"/>
  <c r="AR236" i="7" s="1"/>
  <c r="AS236" i="7" s="1"/>
  <c r="P236" i="7"/>
  <c r="AF236" i="7" s="1"/>
  <c r="O236" i="7"/>
  <c r="AE236" i="7" s="1"/>
  <c r="N236" i="7"/>
  <c r="AD236" i="7" s="1"/>
  <c r="M236" i="7"/>
  <c r="AC236" i="7" s="1"/>
  <c r="L236" i="7"/>
  <c r="AB236" i="7" s="1"/>
  <c r="K236" i="7"/>
  <c r="AA236" i="7" s="1"/>
  <c r="J236" i="7"/>
  <c r="Z236" i="7" s="1"/>
  <c r="I236" i="7"/>
  <c r="Y236" i="7" s="1"/>
  <c r="H236" i="7"/>
  <c r="X236" i="7" s="1"/>
  <c r="G236" i="7"/>
  <c r="W236" i="7" s="1"/>
  <c r="F236" i="7"/>
  <c r="V236" i="7" s="1"/>
  <c r="E236" i="7"/>
  <c r="U236" i="7" s="1"/>
  <c r="D236" i="7"/>
  <c r="T236" i="7" s="1"/>
  <c r="C236" i="7"/>
  <c r="S236" i="7" s="1"/>
  <c r="B236" i="7"/>
  <c r="R236" i="7" s="1"/>
  <c r="AH236" i="7" s="1"/>
  <c r="AI236" i="7" s="1"/>
  <c r="AP235" i="7"/>
  <c r="AQ235" i="7" s="1"/>
  <c r="AR235" i="7" s="1"/>
  <c r="AS235" i="7" s="1"/>
  <c r="P235" i="7"/>
  <c r="AF235" i="7" s="1"/>
  <c r="O235" i="7"/>
  <c r="AE235" i="7" s="1"/>
  <c r="N235" i="7"/>
  <c r="AD235" i="7" s="1"/>
  <c r="M235" i="7"/>
  <c r="AC235" i="7" s="1"/>
  <c r="L235" i="7"/>
  <c r="AB235" i="7" s="1"/>
  <c r="K235" i="7"/>
  <c r="AA235" i="7" s="1"/>
  <c r="J235" i="7"/>
  <c r="Z235" i="7" s="1"/>
  <c r="I235" i="7"/>
  <c r="Y235" i="7" s="1"/>
  <c r="H235" i="7"/>
  <c r="X235" i="7" s="1"/>
  <c r="G235" i="7"/>
  <c r="W235" i="7" s="1"/>
  <c r="F235" i="7"/>
  <c r="V235" i="7" s="1"/>
  <c r="E235" i="7"/>
  <c r="U235" i="7" s="1"/>
  <c r="D235" i="7"/>
  <c r="T235" i="7" s="1"/>
  <c r="C235" i="7"/>
  <c r="S235" i="7" s="1"/>
  <c r="B235" i="7"/>
  <c r="R235" i="7" s="1"/>
  <c r="AH235" i="7" s="1"/>
  <c r="AI235" i="7" s="1"/>
  <c r="AP234" i="7"/>
  <c r="AQ234" i="7" s="1"/>
  <c r="AR234" i="7" s="1"/>
  <c r="AS234" i="7" s="1"/>
  <c r="P234" i="7"/>
  <c r="AF234" i="7" s="1"/>
  <c r="O234" i="7"/>
  <c r="AE234" i="7" s="1"/>
  <c r="N234" i="7"/>
  <c r="AD234" i="7" s="1"/>
  <c r="M234" i="7"/>
  <c r="AC234" i="7" s="1"/>
  <c r="L234" i="7"/>
  <c r="AB234" i="7" s="1"/>
  <c r="K234" i="7"/>
  <c r="AA234" i="7" s="1"/>
  <c r="J234" i="7"/>
  <c r="Z234" i="7" s="1"/>
  <c r="I234" i="7"/>
  <c r="Y234" i="7" s="1"/>
  <c r="H234" i="7"/>
  <c r="X234" i="7" s="1"/>
  <c r="G234" i="7"/>
  <c r="W234" i="7" s="1"/>
  <c r="F234" i="7"/>
  <c r="V234" i="7" s="1"/>
  <c r="E234" i="7"/>
  <c r="U234" i="7" s="1"/>
  <c r="D234" i="7"/>
  <c r="T234" i="7" s="1"/>
  <c r="C234" i="7"/>
  <c r="S234" i="7" s="1"/>
  <c r="B234" i="7"/>
  <c r="R234" i="7" s="1"/>
  <c r="AH234" i="7" s="1"/>
  <c r="AI234" i="7" s="1"/>
  <c r="AP233" i="7"/>
  <c r="AQ233" i="7" s="1"/>
  <c r="AR233" i="7" s="1"/>
  <c r="AS233" i="7" s="1"/>
  <c r="P233" i="7"/>
  <c r="AF233" i="7" s="1"/>
  <c r="O233" i="7"/>
  <c r="AE233" i="7" s="1"/>
  <c r="N233" i="7"/>
  <c r="AD233" i="7" s="1"/>
  <c r="M233" i="7"/>
  <c r="AC233" i="7" s="1"/>
  <c r="L233" i="7"/>
  <c r="AB233" i="7" s="1"/>
  <c r="K233" i="7"/>
  <c r="AA233" i="7" s="1"/>
  <c r="J233" i="7"/>
  <c r="Z233" i="7" s="1"/>
  <c r="I233" i="7"/>
  <c r="Y233" i="7" s="1"/>
  <c r="H233" i="7"/>
  <c r="X233" i="7" s="1"/>
  <c r="G233" i="7"/>
  <c r="W233" i="7" s="1"/>
  <c r="F233" i="7"/>
  <c r="V233" i="7" s="1"/>
  <c r="E233" i="7"/>
  <c r="U233" i="7" s="1"/>
  <c r="D233" i="7"/>
  <c r="T233" i="7" s="1"/>
  <c r="C233" i="7"/>
  <c r="S233" i="7" s="1"/>
  <c r="B233" i="7"/>
  <c r="R233" i="7" s="1"/>
  <c r="AH233" i="7" s="1"/>
  <c r="AI233" i="7" s="1"/>
  <c r="AP232" i="7"/>
  <c r="AQ232" i="7" s="1"/>
  <c r="AR232" i="7" s="1"/>
  <c r="AS232" i="7" s="1"/>
  <c r="P232" i="7"/>
  <c r="AF232" i="7" s="1"/>
  <c r="O232" i="7"/>
  <c r="AE232" i="7" s="1"/>
  <c r="N232" i="7"/>
  <c r="AD232" i="7" s="1"/>
  <c r="M232" i="7"/>
  <c r="AC232" i="7" s="1"/>
  <c r="L232" i="7"/>
  <c r="AB232" i="7" s="1"/>
  <c r="K232" i="7"/>
  <c r="AA232" i="7" s="1"/>
  <c r="J232" i="7"/>
  <c r="Z232" i="7" s="1"/>
  <c r="I232" i="7"/>
  <c r="Y232" i="7" s="1"/>
  <c r="H232" i="7"/>
  <c r="X232" i="7" s="1"/>
  <c r="G232" i="7"/>
  <c r="W232" i="7" s="1"/>
  <c r="F232" i="7"/>
  <c r="V232" i="7" s="1"/>
  <c r="E232" i="7"/>
  <c r="U232" i="7" s="1"/>
  <c r="D232" i="7"/>
  <c r="T232" i="7" s="1"/>
  <c r="C232" i="7"/>
  <c r="S232" i="7" s="1"/>
  <c r="B232" i="7"/>
  <c r="R232" i="7" s="1"/>
  <c r="AH232" i="7" s="1"/>
  <c r="AI232" i="7" s="1"/>
  <c r="AP231" i="7"/>
  <c r="AQ231" i="7" s="1"/>
  <c r="AR231" i="7" s="1"/>
  <c r="AS231" i="7" s="1"/>
  <c r="P231" i="7"/>
  <c r="AF231" i="7" s="1"/>
  <c r="O231" i="7"/>
  <c r="AE231" i="7" s="1"/>
  <c r="N231" i="7"/>
  <c r="AD231" i="7" s="1"/>
  <c r="M231" i="7"/>
  <c r="AC231" i="7" s="1"/>
  <c r="L231" i="7"/>
  <c r="AB231" i="7" s="1"/>
  <c r="K231" i="7"/>
  <c r="AA231" i="7" s="1"/>
  <c r="J231" i="7"/>
  <c r="Z231" i="7" s="1"/>
  <c r="I231" i="7"/>
  <c r="Y231" i="7" s="1"/>
  <c r="H231" i="7"/>
  <c r="X231" i="7" s="1"/>
  <c r="G231" i="7"/>
  <c r="W231" i="7" s="1"/>
  <c r="F231" i="7"/>
  <c r="V231" i="7" s="1"/>
  <c r="E231" i="7"/>
  <c r="U231" i="7" s="1"/>
  <c r="D231" i="7"/>
  <c r="T231" i="7" s="1"/>
  <c r="C231" i="7"/>
  <c r="S231" i="7" s="1"/>
  <c r="B231" i="7"/>
  <c r="R231" i="7" s="1"/>
  <c r="AH231" i="7" s="1"/>
  <c r="AI231" i="7" s="1"/>
  <c r="AP230" i="7"/>
  <c r="AQ230" i="7" s="1"/>
  <c r="AR230" i="7" s="1"/>
  <c r="AS230" i="7" s="1"/>
  <c r="P230" i="7"/>
  <c r="AF230" i="7" s="1"/>
  <c r="O230" i="7"/>
  <c r="AE230" i="7" s="1"/>
  <c r="N230" i="7"/>
  <c r="AD230" i="7" s="1"/>
  <c r="M230" i="7"/>
  <c r="AC230" i="7" s="1"/>
  <c r="L230" i="7"/>
  <c r="AB230" i="7" s="1"/>
  <c r="K230" i="7"/>
  <c r="AA230" i="7" s="1"/>
  <c r="J230" i="7"/>
  <c r="Z230" i="7" s="1"/>
  <c r="I230" i="7"/>
  <c r="Y230" i="7" s="1"/>
  <c r="H230" i="7"/>
  <c r="X230" i="7" s="1"/>
  <c r="G230" i="7"/>
  <c r="W230" i="7" s="1"/>
  <c r="F230" i="7"/>
  <c r="V230" i="7" s="1"/>
  <c r="E230" i="7"/>
  <c r="U230" i="7" s="1"/>
  <c r="D230" i="7"/>
  <c r="T230" i="7" s="1"/>
  <c r="C230" i="7"/>
  <c r="S230" i="7" s="1"/>
  <c r="B230" i="7"/>
  <c r="R230" i="7" s="1"/>
  <c r="AH230" i="7" s="1"/>
  <c r="AI230" i="7" s="1"/>
  <c r="AP229" i="7"/>
  <c r="AQ229" i="7" s="1"/>
  <c r="AR229" i="7" s="1"/>
  <c r="AS229" i="7" s="1"/>
  <c r="P229" i="7"/>
  <c r="AF229" i="7" s="1"/>
  <c r="O229" i="7"/>
  <c r="AE229" i="7" s="1"/>
  <c r="N229" i="7"/>
  <c r="AD229" i="7" s="1"/>
  <c r="M229" i="7"/>
  <c r="AC229" i="7" s="1"/>
  <c r="L229" i="7"/>
  <c r="AB229" i="7" s="1"/>
  <c r="K229" i="7"/>
  <c r="AA229" i="7" s="1"/>
  <c r="J229" i="7"/>
  <c r="Z229" i="7" s="1"/>
  <c r="I229" i="7"/>
  <c r="Y229" i="7" s="1"/>
  <c r="H229" i="7"/>
  <c r="X229" i="7" s="1"/>
  <c r="G229" i="7"/>
  <c r="W229" i="7" s="1"/>
  <c r="F229" i="7"/>
  <c r="V229" i="7" s="1"/>
  <c r="E229" i="7"/>
  <c r="U229" i="7" s="1"/>
  <c r="D229" i="7"/>
  <c r="T229" i="7" s="1"/>
  <c r="C229" i="7"/>
  <c r="S229" i="7" s="1"/>
  <c r="B229" i="7"/>
  <c r="R229" i="7" s="1"/>
  <c r="AH229" i="7" s="1"/>
  <c r="AI229" i="7" s="1"/>
  <c r="AP228" i="7"/>
  <c r="AQ228" i="7" s="1"/>
  <c r="AR228" i="7" s="1"/>
  <c r="AS228" i="7" s="1"/>
  <c r="P228" i="7"/>
  <c r="AF228" i="7" s="1"/>
  <c r="O228" i="7"/>
  <c r="AE228" i="7" s="1"/>
  <c r="N228" i="7"/>
  <c r="AD228" i="7" s="1"/>
  <c r="M228" i="7"/>
  <c r="AC228" i="7" s="1"/>
  <c r="L228" i="7"/>
  <c r="AB228" i="7" s="1"/>
  <c r="K228" i="7"/>
  <c r="AA228" i="7" s="1"/>
  <c r="J228" i="7"/>
  <c r="Z228" i="7" s="1"/>
  <c r="I228" i="7"/>
  <c r="Y228" i="7" s="1"/>
  <c r="H228" i="7"/>
  <c r="X228" i="7" s="1"/>
  <c r="G228" i="7"/>
  <c r="W228" i="7" s="1"/>
  <c r="F228" i="7"/>
  <c r="V228" i="7" s="1"/>
  <c r="E228" i="7"/>
  <c r="U228" i="7" s="1"/>
  <c r="D228" i="7"/>
  <c r="T228" i="7" s="1"/>
  <c r="C228" i="7"/>
  <c r="S228" i="7" s="1"/>
  <c r="B228" i="7"/>
  <c r="R228" i="7" s="1"/>
  <c r="AH228" i="7" s="1"/>
  <c r="AI228" i="7" s="1"/>
  <c r="AP227" i="7"/>
  <c r="AQ227" i="7" s="1"/>
  <c r="AR227" i="7" s="1"/>
  <c r="AS227" i="7" s="1"/>
  <c r="P227" i="7"/>
  <c r="AF227" i="7" s="1"/>
  <c r="O227" i="7"/>
  <c r="AE227" i="7" s="1"/>
  <c r="N227" i="7"/>
  <c r="AD227" i="7" s="1"/>
  <c r="M227" i="7"/>
  <c r="AC227" i="7" s="1"/>
  <c r="L227" i="7"/>
  <c r="AB227" i="7" s="1"/>
  <c r="K227" i="7"/>
  <c r="AA227" i="7" s="1"/>
  <c r="J227" i="7"/>
  <c r="Z227" i="7" s="1"/>
  <c r="I227" i="7"/>
  <c r="Y227" i="7" s="1"/>
  <c r="H227" i="7"/>
  <c r="X227" i="7" s="1"/>
  <c r="G227" i="7"/>
  <c r="W227" i="7" s="1"/>
  <c r="F227" i="7"/>
  <c r="V227" i="7" s="1"/>
  <c r="E227" i="7"/>
  <c r="U227" i="7" s="1"/>
  <c r="D227" i="7"/>
  <c r="T227" i="7" s="1"/>
  <c r="C227" i="7"/>
  <c r="S227" i="7" s="1"/>
  <c r="B227" i="7"/>
  <c r="R227" i="7" s="1"/>
  <c r="AH227" i="7" s="1"/>
  <c r="AI227" i="7" s="1"/>
  <c r="AP226" i="7"/>
  <c r="AQ226" i="7" s="1"/>
  <c r="AR226" i="7" s="1"/>
  <c r="AS226" i="7" s="1"/>
  <c r="P226" i="7"/>
  <c r="AF226" i="7" s="1"/>
  <c r="O226" i="7"/>
  <c r="AE226" i="7" s="1"/>
  <c r="N226" i="7"/>
  <c r="AD226" i="7" s="1"/>
  <c r="M226" i="7"/>
  <c r="AC226" i="7" s="1"/>
  <c r="L226" i="7"/>
  <c r="AB226" i="7" s="1"/>
  <c r="K226" i="7"/>
  <c r="AA226" i="7" s="1"/>
  <c r="J226" i="7"/>
  <c r="Z226" i="7" s="1"/>
  <c r="I226" i="7"/>
  <c r="Y226" i="7" s="1"/>
  <c r="H226" i="7"/>
  <c r="X226" i="7" s="1"/>
  <c r="G226" i="7"/>
  <c r="W226" i="7" s="1"/>
  <c r="F226" i="7"/>
  <c r="V226" i="7" s="1"/>
  <c r="E226" i="7"/>
  <c r="U226" i="7" s="1"/>
  <c r="D226" i="7"/>
  <c r="T226" i="7" s="1"/>
  <c r="C226" i="7"/>
  <c r="S226" i="7" s="1"/>
  <c r="B226" i="7"/>
  <c r="R226" i="7" s="1"/>
  <c r="AH226" i="7" s="1"/>
  <c r="AI226" i="7" s="1"/>
  <c r="AP225" i="7"/>
  <c r="AQ225" i="7" s="1"/>
  <c r="AR225" i="7" s="1"/>
  <c r="AS225" i="7" s="1"/>
  <c r="P225" i="7"/>
  <c r="AF225" i="7" s="1"/>
  <c r="O225" i="7"/>
  <c r="AE225" i="7" s="1"/>
  <c r="N225" i="7"/>
  <c r="AD225" i="7" s="1"/>
  <c r="M225" i="7"/>
  <c r="AC225" i="7" s="1"/>
  <c r="L225" i="7"/>
  <c r="AB225" i="7" s="1"/>
  <c r="K225" i="7"/>
  <c r="AA225" i="7" s="1"/>
  <c r="J225" i="7"/>
  <c r="Z225" i="7" s="1"/>
  <c r="I225" i="7"/>
  <c r="Y225" i="7" s="1"/>
  <c r="H225" i="7"/>
  <c r="X225" i="7" s="1"/>
  <c r="G225" i="7"/>
  <c r="W225" i="7" s="1"/>
  <c r="F225" i="7"/>
  <c r="V225" i="7" s="1"/>
  <c r="E225" i="7"/>
  <c r="U225" i="7" s="1"/>
  <c r="D225" i="7"/>
  <c r="T225" i="7" s="1"/>
  <c r="C225" i="7"/>
  <c r="S225" i="7" s="1"/>
  <c r="B225" i="7"/>
  <c r="R225" i="7" s="1"/>
  <c r="AH225" i="7" s="1"/>
  <c r="AI225" i="7" s="1"/>
  <c r="AP224" i="7"/>
  <c r="AQ224" i="7" s="1"/>
  <c r="AR224" i="7" s="1"/>
  <c r="AS224" i="7" s="1"/>
  <c r="P224" i="7"/>
  <c r="AF224" i="7" s="1"/>
  <c r="O224" i="7"/>
  <c r="AE224" i="7" s="1"/>
  <c r="N224" i="7"/>
  <c r="AD224" i="7" s="1"/>
  <c r="M224" i="7"/>
  <c r="AC224" i="7" s="1"/>
  <c r="L224" i="7"/>
  <c r="AB224" i="7" s="1"/>
  <c r="K224" i="7"/>
  <c r="AA224" i="7" s="1"/>
  <c r="J224" i="7"/>
  <c r="Z224" i="7" s="1"/>
  <c r="I224" i="7"/>
  <c r="Y224" i="7" s="1"/>
  <c r="H224" i="7"/>
  <c r="X224" i="7" s="1"/>
  <c r="G224" i="7"/>
  <c r="W224" i="7" s="1"/>
  <c r="F224" i="7"/>
  <c r="V224" i="7" s="1"/>
  <c r="E224" i="7"/>
  <c r="U224" i="7" s="1"/>
  <c r="D224" i="7"/>
  <c r="T224" i="7" s="1"/>
  <c r="C224" i="7"/>
  <c r="S224" i="7" s="1"/>
  <c r="B224" i="7"/>
  <c r="R224" i="7" s="1"/>
  <c r="AH224" i="7" s="1"/>
  <c r="AI224" i="7" s="1"/>
  <c r="AP223" i="7"/>
  <c r="AQ223" i="7" s="1"/>
  <c r="AR223" i="7" s="1"/>
  <c r="AS223" i="7" s="1"/>
  <c r="P223" i="7"/>
  <c r="AF223" i="7" s="1"/>
  <c r="O223" i="7"/>
  <c r="AE223" i="7" s="1"/>
  <c r="N223" i="7"/>
  <c r="AD223" i="7" s="1"/>
  <c r="M223" i="7"/>
  <c r="AC223" i="7" s="1"/>
  <c r="L223" i="7"/>
  <c r="AB223" i="7" s="1"/>
  <c r="K223" i="7"/>
  <c r="AA223" i="7" s="1"/>
  <c r="J223" i="7"/>
  <c r="Z223" i="7" s="1"/>
  <c r="I223" i="7"/>
  <c r="Y223" i="7" s="1"/>
  <c r="H223" i="7"/>
  <c r="X223" i="7" s="1"/>
  <c r="G223" i="7"/>
  <c r="W223" i="7" s="1"/>
  <c r="F223" i="7"/>
  <c r="V223" i="7" s="1"/>
  <c r="E223" i="7"/>
  <c r="U223" i="7" s="1"/>
  <c r="D223" i="7"/>
  <c r="T223" i="7" s="1"/>
  <c r="C223" i="7"/>
  <c r="S223" i="7" s="1"/>
  <c r="B223" i="7"/>
  <c r="R223" i="7" s="1"/>
  <c r="AH223" i="7" s="1"/>
  <c r="AI223" i="7" s="1"/>
  <c r="AP222" i="7"/>
  <c r="AQ222" i="7" s="1"/>
  <c r="AR222" i="7" s="1"/>
  <c r="AS222" i="7" s="1"/>
  <c r="P222" i="7"/>
  <c r="AF222" i="7" s="1"/>
  <c r="O222" i="7"/>
  <c r="AE222" i="7" s="1"/>
  <c r="N222" i="7"/>
  <c r="AD222" i="7" s="1"/>
  <c r="M222" i="7"/>
  <c r="AC222" i="7" s="1"/>
  <c r="L222" i="7"/>
  <c r="AB222" i="7" s="1"/>
  <c r="K222" i="7"/>
  <c r="AA222" i="7" s="1"/>
  <c r="J222" i="7"/>
  <c r="Z222" i="7" s="1"/>
  <c r="I222" i="7"/>
  <c r="Y222" i="7" s="1"/>
  <c r="H222" i="7"/>
  <c r="X222" i="7" s="1"/>
  <c r="G222" i="7"/>
  <c r="W222" i="7" s="1"/>
  <c r="F222" i="7"/>
  <c r="V222" i="7" s="1"/>
  <c r="E222" i="7"/>
  <c r="U222" i="7" s="1"/>
  <c r="D222" i="7"/>
  <c r="T222" i="7" s="1"/>
  <c r="C222" i="7"/>
  <c r="S222" i="7" s="1"/>
  <c r="B222" i="7"/>
  <c r="R222" i="7" s="1"/>
  <c r="AH222" i="7" s="1"/>
  <c r="AI222" i="7" s="1"/>
  <c r="AP221" i="7"/>
  <c r="AQ221" i="7" s="1"/>
  <c r="AR221" i="7" s="1"/>
  <c r="AS221" i="7" s="1"/>
  <c r="P221" i="7"/>
  <c r="AF221" i="7" s="1"/>
  <c r="O221" i="7"/>
  <c r="AE221" i="7" s="1"/>
  <c r="N221" i="7"/>
  <c r="AD221" i="7" s="1"/>
  <c r="M221" i="7"/>
  <c r="AC221" i="7" s="1"/>
  <c r="L221" i="7"/>
  <c r="AB221" i="7" s="1"/>
  <c r="K221" i="7"/>
  <c r="AA221" i="7" s="1"/>
  <c r="J221" i="7"/>
  <c r="Z221" i="7" s="1"/>
  <c r="I221" i="7"/>
  <c r="Y221" i="7" s="1"/>
  <c r="H221" i="7"/>
  <c r="X221" i="7" s="1"/>
  <c r="G221" i="7"/>
  <c r="W221" i="7" s="1"/>
  <c r="F221" i="7"/>
  <c r="V221" i="7" s="1"/>
  <c r="E221" i="7"/>
  <c r="U221" i="7" s="1"/>
  <c r="D221" i="7"/>
  <c r="T221" i="7" s="1"/>
  <c r="C221" i="7"/>
  <c r="S221" i="7" s="1"/>
  <c r="B221" i="7"/>
  <c r="R221" i="7" s="1"/>
  <c r="AH221" i="7" s="1"/>
  <c r="AI221" i="7" s="1"/>
  <c r="AP220" i="7"/>
  <c r="AQ220" i="7" s="1"/>
  <c r="AR220" i="7" s="1"/>
  <c r="AS220" i="7" s="1"/>
  <c r="P220" i="7"/>
  <c r="AF220" i="7" s="1"/>
  <c r="O220" i="7"/>
  <c r="AE220" i="7" s="1"/>
  <c r="N220" i="7"/>
  <c r="AD220" i="7" s="1"/>
  <c r="M220" i="7"/>
  <c r="AC220" i="7" s="1"/>
  <c r="L220" i="7"/>
  <c r="AB220" i="7" s="1"/>
  <c r="K220" i="7"/>
  <c r="AA220" i="7" s="1"/>
  <c r="J220" i="7"/>
  <c r="Z220" i="7" s="1"/>
  <c r="I220" i="7"/>
  <c r="Y220" i="7" s="1"/>
  <c r="H220" i="7"/>
  <c r="X220" i="7" s="1"/>
  <c r="G220" i="7"/>
  <c r="W220" i="7" s="1"/>
  <c r="F220" i="7"/>
  <c r="V220" i="7" s="1"/>
  <c r="E220" i="7"/>
  <c r="U220" i="7" s="1"/>
  <c r="D220" i="7"/>
  <c r="T220" i="7" s="1"/>
  <c r="C220" i="7"/>
  <c r="S220" i="7" s="1"/>
  <c r="B220" i="7"/>
  <c r="R220" i="7" s="1"/>
  <c r="AH220" i="7" s="1"/>
  <c r="AI220" i="7" s="1"/>
  <c r="AP219" i="7"/>
  <c r="AQ219" i="7" s="1"/>
  <c r="AR219" i="7" s="1"/>
  <c r="AS219" i="7" s="1"/>
  <c r="P219" i="7"/>
  <c r="AF219" i="7" s="1"/>
  <c r="O219" i="7"/>
  <c r="AE219" i="7" s="1"/>
  <c r="N219" i="7"/>
  <c r="AD219" i="7" s="1"/>
  <c r="M219" i="7"/>
  <c r="AC219" i="7" s="1"/>
  <c r="L219" i="7"/>
  <c r="AB219" i="7" s="1"/>
  <c r="K219" i="7"/>
  <c r="AA219" i="7" s="1"/>
  <c r="J219" i="7"/>
  <c r="Z219" i="7" s="1"/>
  <c r="I219" i="7"/>
  <c r="Y219" i="7" s="1"/>
  <c r="H219" i="7"/>
  <c r="X219" i="7" s="1"/>
  <c r="G219" i="7"/>
  <c r="W219" i="7" s="1"/>
  <c r="F219" i="7"/>
  <c r="V219" i="7" s="1"/>
  <c r="E219" i="7"/>
  <c r="U219" i="7" s="1"/>
  <c r="D219" i="7"/>
  <c r="T219" i="7" s="1"/>
  <c r="C219" i="7"/>
  <c r="S219" i="7" s="1"/>
  <c r="B219" i="7"/>
  <c r="R219" i="7" s="1"/>
  <c r="AH219" i="7" s="1"/>
  <c r="AI219" i="7" s="1"/>
  <c r="AP218" i="7"/>
  <c r="AQ218" i="7" s="1"/>
  <c r="AR218" i="7" s="1"/>
  <c r="AS218" i="7" s="1"/>
  <c r="P218" i="7"/>
  <c r="AF218" i="7" s="1"/>
  <c r="O218" i="7"/>
  <c r="AE218" i="7" s="1"/>
  <c r="N218" i="7"/>
  <c r="AD218" i="7" s="1"/>
  <c r="M218" i="7"/>
  <c r="AC218" i="7" s="1"/>
  <c r="L218" i="7"/>
  <c r="AB218" i="7" s="1"/>
  <c r="K218" i="7"/>
  <c r="AA218" i="7" s="1"/>
  <c r="J218" i="7"/>
  <c r="Z218" i="7" s="1"/>
  <c r="I218" i="7"/>
  <c r="Y218" i="7" s="1"/>
  <c r="H218" i="7"/>
  <c r="X218" i="7" s="1"/>
  <c r="G218" i="7"/>
  <c r="W218" i="7" s="1"/>
  <c r="F218" i="7"/>
  <c r="V218" i="7" s="1"/>
  <c r="E218" i="7"/>
  <c r="U218" i="7" s="1"/>
  <c r="D218" i="7"/>
  <c r="T218" i="7" s="1"/>
  <c r="C218" i="7"/>
  <c r="S218" i="7" s="1"/>
  <c r="B218" i="7"/>
  <c r="R218" i="7" s="1"/>
  <c r="AH218" i="7" s="1"/>
  <c r="AI218" i="7" s="1"/>
  <c r="AP217" i="7"/>
  <c r="AQ217" i="7" s="1"/>
  <c r="AR217" i="7" s="1"/>
  <c r="AS217" i="7" s="1"/>
  <c r="P217" i="7"/>
  <c r="AF217" i="7" s="1"/>
  <c r="O217" i="7"/>
  <c r="AE217" i="7" s="1"/>
  <c r="N217" i="7"/>
  <c r="AD217" i="7" s="1"/>
  <c r="M217" i="7"/>
  <c r="AC217" i="7" s="1"/>
  <c r="L217" i="7"/>
  <c r="AB217" i="7" s="1"/>
  <c r="K217" i="7"/>
  <c r="AA217" i="7" s="1"/>
  <c r="J217" i="7"/>
  <c r="Z217" i="7" s="1"/>
  <c r="I217" i="7"/>
  <c r="Y217" i="7" s="1"/>
  <c r="H217" i="7"/>
  <c r="X217" i="7" s="1"/>
  <c r="G217" i="7"/>
  <c r="W217" i="7" s="1"/>
  <c r="F217" i="7"/>
  <c r="V217" i="7" s="1"/>
  <c r="E217" i="7"/>
  <c r="U217" i="7" s="1"/>
  <c r="D217" i="7"/>
  <c r="T217" i="7" s="1"/>
  <c r="C217" i="7"/>
  <c r="S217" i="7" s="1"/>
  <c r="B217" i="7"/>
  <c r="R217" i="7" s="1"/>
  <c r="AH217" i="7" s="1"/>
  <c r="AI217" i="7" s="1"/>
  <c r="AP216" i="7"/>
  <c r="AQ216" i="7" s="1"/>
  <c r="AR216" i="7" s="1"/>
  <c r="AS216" i="7" s="1"/>
  <c r="P216" i="7"/>
  <c r="AF216" i="7" s="1"/>
  <c r="O216" i="7"/>
  <c r="AE216" i="7" s="1"/>
  <c r="N216" i="7"/>
  <c r="AD216" i="7" s="1"/>
  <c r="M216" i="7"/>
  <c r="AC216" i="7" s="1"/>
  <c r="L216" i="7"/>
  <c r="AB216" i="7" s="1"/>
  <c r="K216" i="7"/>
  <c r="AA216" i="7" s="1"/>
  <c r="J216" i="7"/>
  <c r="Z216" i="7" s="1"/>
  <c r="I216" i="7"/>
  <c r="Y216" i="7" s="1"/>
  <c r="H216" i="7"/>
  <c r="X216" i="7" s="1"/>
  <c r="G216" i="7"/>
  <c r="W216" i="7" s="1"/>
  <c r="F216" i="7"/>
  <c r="V216" i="7" s="1"/>
  <c r="E216" i="7"/>
  <c r="U216" i="7" s="1"/>
  <c r="D216" i="7"/>
  <c r="T216" i="7" s="1"/>
  <c r="C216" i="7"/>
  <c r="S216" i="7" s="1"/>
  <c r="B216" i="7"/>
  <c r="R216" i="7" s="1"/>
  <c r="AH216" i="7" s="1"/>
  <c r="AI216" i="7" s="1"/>
  <c r="AP215" i="7"/>
  <c r="AQ215" i="7" s="1"/>
  <c r="AR215" i="7" s="1"/>
  <c r="AS215" i="7" s="1"/>
  <c r="P215" i="7"/>
  <c r="AF215" i="7" s="1"/>
  <c r="O215" i="7"/>
  <c r="AE215" i="7" s="1"/>
  <c r="N215" i="7"/>
  <c r="AD215" i="7" s="1"/>
  <c r="M215" i="7"/>
  <c r="AC215" i="7" s="1"/>
  <c r="L215" i="7"/>
  <c r="AB215" i="7" s="1"/>
  <c r="K215" i="7"/>
  <c r="AA215" i="7" s="1"/>
  <c r="J215" i="7"/>
  <c r="Z215" i="7" s="1"/>
  <c r="I215" i="7"/>
  <c r="Y215" i="7" s="1"/>
  <c r="H215" i="7"/>
  <c r="X215" i="7" s="1"/>
  <c r="G215" i="7"/>
  <c r="W215" i="7" s="1"/>
  <c r="F215" i="7"/>
  <c r="V215" i="7" s="1"/>
  <c r="E215" i="7"/>
  <c r="U215" i="7" s="1"/>
  <c r="D215" i="7"/>
  <c r="T215" i="7" s="1"/>
  <c r="C215" i="7"/>
  <c r="S215" i="7" s="1"/>
  <c r="B215" i="7"/>
  <c r="R215" i="7" s="1"/>
  <c r="AH215" i="7" s="1"/>
  <c r="AI215" i="7" s="1"/>
  <c r="AP214" i="7"/>
  <c r="AQ214" i="7" s="1"/>
  <c r="AR214" i="7" s="1"/>
  <c r="AS214" i="7" s="1"/>
  <c r="P214" i="7"/>
  <c r="AF214" i="7" s="1"/>
  <c r="O214" i="7"/>
  <c r="AE214" i="7" s="1"/>
  <c r="N214" i="7"/>
  <c r="AD214" i="7" s="1"/>
  <c r="M214" i="7"/>
  <c r="AC214" i="7" s="1"/>
  <c r="L214" i="7"/>
  <c r="AB214" i="7" s="1"/>
  <c r="K214" i="7"/>
  <c r="AA214" i="7" s="1"/>
  <c r="J214" i="7"/>
  <c r="Z214" i="7" s="1"/>
  <c r="I214" i="7"/>
  <c r="Y214" i="7" s="1"/>
  <c r="H214" i="7"/>
  <c r="X214" i="7" s="1"/>
  <c r="G214" i="7"/>
  <c r="W214" i="7" s="1"/>
  <c r="F214" i="7"/>
  <c r="V214" i="7" s="1"/>
  <c r="E214" i="7"/>
  <c r="U214" i="7" s="1"/>
  <c r="D214" i="7"/>
  <c r="T214" i="7" s="1"/>
  <c r="C214" i="7"/>
  <c r="S214" i="7" s="1"/>
  <c r="B214" i="7"/>
  <c r="R214" i="7" s="1"/>
  <c r="AH214" i="7" s="1"/>
  <c r="AI214" i="7" s="1"/>
  <c r="AP213" i="7"/>
  <c r="AQ213" i="7" s="1"/>
  <c r="AR213" i="7" s="1"/>
  <c r="AS213" i="7" s="1"/>
  <c r="P213" i="7"/>
  <c r="AF213" i="7" s="1"/>
  <c r="O213" i="7"/>
  <c r="AE213" i="7" s="1"/>
  <c r="N213" i="7"/>
  <c r="AD213" i="7" s="1"/>
  <c r="M213" i="7"/>
  <c r="AC213" i="7" s="1"/>
  <c r="L213" i="7"/>
  <c r="AB213" i="7" s="1"/>
  <c r="K213" i="7"/>
  <c r="AA213" i="7" s="1"/>
  <c r="J213" i="7"/>
  <c r="Z213" i="7" s="1"/>
  <c r="I213" i="7"/>
  <c r="Y213" i="7" s="1"/>
  <c r="H213" i="7"/>
  <c r="X213" i="7" s="1"/>
  <c r="G213" i="7"/>
  <c r="W213" i="7" s="1"/>
  <c r="F213" i="7"/>
  <c r="V213" i="7" s="1"/>
  <c r="E213" i="7"/>
  <c r="U213" i="7" s="1"/>
  <c r="D213" i="7"/>
  <c r="T213" i="7" s="1"/>
  <c r="C213" i="7"/>
  <c r="S213" i="7" s="1"/>
  <c r="B213" i="7"/>
  <c r="R213" i="7" s="1"/>
  <c r="AH213" i="7" s="1"/>
  <c r="AI213" i="7" s="1"/>
  <c r="AP212" i="7"/>
  <c r="AQ212" i="7" s="1"/>
  <c r="AR212" i="7" s="1"/>
  <c r="AS212" i="7" s="1"/>
  <c r="P212" i="7"/>
  <c r="AF212" i="7" s="1"/>
  <c r="O212" i="7"/>
  <c r="AE212" i="7" s="1"/>
  <c r="N212" i="7"/>
  <c r="AD212" i="7" s="1"/>
  <c r="M212" i="7"/>
  <c r="AC212" i="7" s="1"/>
  <c r="L212" i="7"/>
  <c r="AB212" i="7" s="1"/>
  <c r="K212" i="7"/>
  <c r="AA212" i="7" s="1"/>
  <c r="J212" i="7"/>
  <c r="Z212" i="7" s="1"/>
  <c r="I212" i="7"/>
  <c r="Y212" i="7" s="1"/>
  <c r="H212" i="7"/>
  <c r="X212" i="7" s="1"/>
  <c r="G212" i="7"/>
  <c r="W212" i="7" s="1"/>
  <c r="F212" i="7"/>
  <c r="V212" i="7" s="1"/>
  <c r="E212" i="7"/>
  <c r="U212" i="7" s="1"/>
  <c r="D212" i="7"/>
  <c r="T212" i="7" s="1"/>
  <c r="C212" i="7"/>
  <c r="S212" i="7" s="1"/>
  <c r="B212" i="7"/>
  <c r="R212" i="7" s="1"/>
  <c r="AH212" i="7" s="1"/>
  <c r="AI212" i="7" s="1"/>
  <c r="AP211" i="7"/>
  <c r="AQ211" i="7" s="1"/>
  <c r="AR211" i="7" s="1"/>
  <c r="AS211" i="7" s="1"/>
  <c r="P211" i="7"/>
  <c r="AF211" i="7" s="1"/>
  <c r="O211" i="7"/>
  <c r="AE211" i="7" s="1"/>
  <c r="N211" i="7"/>
  <c r="AD211" i="7" s="1"/>
  <c r="M211" i="7"/>
  <c r="AC211" i="7" s="1"/>
  <c r="L211" i="7"/>
  <c r="AB211" i="7" s="1"/>
  <c r="K211" i="7"/>
  <c r="AA211" i="7" s="1"/>
  <c r="J211" i="7"/>
  <c r="Z211" i="7" s="1"/>
  <c r="I211" i="7"/>
  <c r="Y211" i="7" s="1"/>
  <c r="H211" i="7"/>
  <c r="X211" i="7" s="1"/>
  <c r="G211" i="7"/>
  <c r="W211" i="7" s="1"/>
  <c r="F211" i="7"/>
  <c r="V211" i="7" s="1"/>
  <c r="E211" i="7"/>
  <c r="U211" i="7" s="1"/>
  <c r="D211" i="7"/>
  <c r="T211" i="7" s="1"/>
  <c r="C211" i="7"/>
  <c r="S211" i="7" s="1"/>
  <c r="B211" i="7"/>
  <c r="R211" i="7" s="1"/>
  <c r="AH211" i="7" s="1"/>
  <c r="AI211" i="7" s="1"/>
  <c r="AP210" i="7"/>
  <c r="AQ210" i="7" s="1"/>
  <c r="AR210" i="7" s="1"/>
  <c r="AS210" i="7" s="1"/>
  <c r="P210" i="7"/>
  <c r="AF210" i="7" s="1"/>
  <c r="O210" i="7"/>
  <c r="AE210" i="7" s="1"/>
  <c r="N210" i="7"/>
  <c r="AD210" i="7" s="1"/>
  <c r="M210" i="7"/>
  <c r="AC210" i="7" s="1"/>
  <c r="L210" i="7"/>
  <c r="AB210" i="7" s="1"/>
  <c r="K210" i="7"/>
  <c r="AA210" i="7" s="1"/>
  <c r="J210" i="7"/>
  <c r="Z210" i="7" s="1"/>
  <c r="I210" i="7"/>
  <c r="Y210" i="7" s="1"/>
  <c r="H210" i="7"/>
  <c r="X210" i="7" s="1"/>
  <c r="G210" i="7"/>
  <c r="W210" i="7" s="1"/>
  <c r="F210" i="7"/>
  <c r="V210" i="7" s="1"/>
  <c r="E210" i="7"/>
  <c r="U210" i="7" s="1"/>
  <c r="D210" i="7"/>
  <c r="T210" i="7" s="1"/>
  <c r="C210" i="7"/>
  <c r="S210" i="7" s="1"/>
  <c r="B210" i="7"/>
  <c r="R210" i="7" s="1"/>
  <c r="AH210" i="7" s="1"/>
  <c r="AI210" i="7" s="1"/>
  <c r="AP209" i="7"/>
  <c r="AQ209" i="7" s="1"/>
  <c r="AR209" i="7" s="1"/>
  <c r="AS209" i="7" s="1"/>
  <c r="P209" i="7"/>
  <c r="AF209" i="7" s="1"/>
  <c r="O209" i="7"/>
  <c r="AE209" i="7" s="1"/>
  <c r="N209" i="7"/>
  <c r="AD209" i="7" s="1"/>
  <c r="M209" i="7"/>
  <c r="AC209" i="7" s="1"/>
  <c r="L209" i="7"/>
  <c r="AB209" i="7" s="1"/>
  <c r="K209" i="7"/>
  <c r="AA209" i="7" s="1"/>
  <c r="J209" i="7"/>
  <c r="Z209" i="7" s="1"/>
  <c r="I209" i="7"/>
  <c r="Y209" i="7" s="1"/>
  <c r="H209" i="7"/>
  <c r="X209" i="7" s="1"/>
  <c r="G209" i="7"/>
  <c r="W209" i="7" s="1"/>
  <c r="F209" i="7"/>
  <c r="V209" i="7" s="1"/>
  <c r="E209" i="7"/>
  <c r="U209" i="7" s="1"/>
  <c r="D209" i="7"/>
  <c r="T209" i="7" s="1"/>
  <c r="C209" i="7"/>
  <c r="S209" i="7" s="1"/>
  <c r="B209" i="7"/>
  <c r="R209" i="7" s="1"/>
  <c r="AH209" i="7" s="1"/>
  <c r="AI209" i="7" s="1"/>
  <c r="AP208" i="7"/>
  <c r="AQ208" i="7" s="1"/>
  <c r="AR208" i="7" s="1"/>
  <c r="AS208" i="7" s="1"/>
  <c r="P208" i="7"/>
  <c r="AF208" i="7" s="1"/>
  <c r="O208" i="7"/>
  <c r="AE208" i="7" s="1"/>
  <c r="N208" i="7"/>
  <c r="AD208" i="7" s="1"/>
  <c r="M208" i="7"/>
  <c r="AC208" i="7" s="1"/>
  <c r="L208" i="7"/>
  <c r="AB208" i="7" s="1"/>
  <c r="K208" i="7"/>
  <c r="AA208" i="7" s="1"/>
  <c r="J208" i="7"/>
  <c r="Z208" i="7" s="1"/>
  <c r="I208" i="7"/>
  <c r="Y208" i="7" s="1"/>
  <c r="H208" i="7"/>
  <c r="X208" i="7" s="1"/>
  <c r="G208" i="7"/>
  <c r="W208" i="7" s="1"/>
  <c r="F208" i="7"/>
  <c r="V208" i="7" s="1"/>
  <c r="E208" i="7"/>
  <c r="U208" i="7" s="1"/>
  <c r="D208" i="7"/>
  <c r="T208" i="7" s="1"/>
  <c r="C208" i="7"/>
  <c r="S208" i="7" s="1"/>
  <c r="B208" i="7"/>
  <c r="R208" i="7" s="1"/>
  <c r="AH208" i="7" s="1"/>
  <c r="AI208" i="7" s="1"/>
  <c r="AP207" i="7"/>
  <c r="AQ207" i="7" s="1"/>
  <c r="AR207" i="7" s="1"/>
  <c r="AS207" i="7" s="1"/>
  <c r="P207" i="7"/>
  <c r="AF207" i="7" s="1"/>
  <c r="O207" i="7"/>
  <c r="AE207" i="7" s="1"/>
  <c r="N207" i="7"/>
  <c r="AD207" i="7" s="1"/>
  <c r="M207" i="7"/>
  <c r="AC207" i="7" s="1"/>
  <c r="L207" i="7"/>
  <c r="AB207" i="7" s="1"/>
  <c r="K207" i="7"/>
  <c r="AA207" i="7" s="1"/>
  <c r="J207" i="7"/>
  <c r="Z207" i="7" s="1"/>
  <c r="I207" i="7"/>
  <c r="Y207" i="7" s="1"/>
  <c r="H207" i="7"/>
  <c r="X207" i="7" s="1"/>
  <c r="G207" i="7"/>
  <c r="W207" i="7" s="1"/>
  <c r="F207" i="7"/>
  <c r="V207" i="7" s="1"/>
  <c r="E207" i="7"/>
  <c r="U207" i="7" s="1"/>
  <c r="D207" i="7"/>
  <c r="T207" i="7" s="1"/>
  <c r="C207" i="7"/>
  <c r="S207" i="7" s="1"/>
  <c r="B207" i="7"/>
  <c r="R207" i="7" s="1"/>
  <c r="AH207" i="7" s="1"/>
  <c r="AI207" i="7" s="1"/>
  <c r="AP206" i="7"/>
  <c r="AQ206" i="7" s="1"/>
  <c r="AR206" i="7" s="1"/>
  <c r="AS206" i="7" s="1"/>
  <c r="P206" i="7"/>
  <c r="AF206" i="7" s="1"/>
  <c r="O206" i="7"/>
  <c r="AE206" i="7" s="1"/>
  <c r="N206" i="7"/>
  <c r="AD206" i="7" s="1"/>
  <c r="M206" i="7"/>
  <c r="AC206" i="7" s="1"/>
  <c r="L206" i="7"/>
  <c r="AB206" i="7" s="1"/>
  <c r="K206" i="7"/>
  <c r="AA206" i="7" s="1"/>
  <c r="J206" i="7"/>
  <c r="Z206" i="7" s="1"/>
  <c r="I206" i="7"/>
  <c r="Y206" i="7" s="1"/>
  <c r="H206" i="7"/>
  <c r="X206" i="7" s="1"/>
  <c r="G206" i="7"/>
  <c r="W206" i="7" s="1"/>
  <c r="F206" i="7"/>
  <c r="V206" i="7" s="1"/>
  <c r="E206" i="7"/>
  <c r="U206" i="7" s="1"/>
  <c r="D206" i="7"/>
  <c r="T206" i="7" s="1"/>
  <c r="C206" i="7"/>
  <c r="S206" i="7" s="1"/>
  <c r="B206" i="7"/>
  <c r="R206" i="7" s="1"/>
  <c r="AH206" i="7" s="1"/>
  <c r="AI206" i="7" s="1"/>
  <c r="AP205" i="7"/>
  <c r="AQ205" i="7" s="1"/>
  <c r="AR205" i="7" s="1"/>
  <c r="AS205" i="7" s="1"/>
  <c r="P205" i="7"/>
  <c r="AF205" i="7" s="1"/>
  <c r="O205" i="7"/>
  <c r="AE205" i="7" s="1"/>
  <c r="N205" i="7"/>
  <c r="AD205" i="7" s="1"/>
  <c r="M205" i="7"/>
  <c r="AC205" i="7" s="1"/>
  <c r="L205" i="7"/>
  <c r="AB205" i="7" s="1"/>
  <c r="K205" i="7"/>
  <c r="AA205" i="7" s="1"/>
  <c r="J205" i="7"/>
  <c r="Z205" i="7" s="1"/>
  <c r="I205" i="7"/>
  <c r="Y205" i="7" s="1"/>
  <c r="H205" i="7"/>
  <c r="X205" i="7" s="1"/>
  <c r="G205" i="7"/>
  <c r="W205" i="7" s="1"/>
  <c r="F205" i="7"/>
  <c r="V205" i="7" s="1"/>
  <c r="E205" i="7"/>
  <c r="U205" i="7" s="1"/>
  <c r="D205" i="7"/>
  <c r="T205" i="7" s="1"/>
  <c r="C205" i="7"/>
  <c r="S205" i="7" s="1"/>
  <c r="B205" i="7"/>
  <c r="R205" i="7" s="1"/>
  <c r="AH205" i="7" s="1"/>
  <c r="AI205" i="7" s="1"/>
  <c r="AP204" i="7"/>
  <c r="AQ204" i="7" s="1"/>
  <c r="AR204" i="7" s="1"/>
  <c r="AS204" i="7" s="1"/>
  <c r="P204" i="7"/>
  <c r="AF204" i="7" s="1"/>
  <c r="O204" i="7"/>
  <c r="AE204" i="7" s="1"/>
  <c r="N204" i="7"/>
  <c r="AD204" i="7" s="1"/>
  <c r="M204" i="7"/>
  <c r="AC204" i="7" s="1"/>
  <c r="L204" i="7"/>
  <c r="AB204" i="7" s="1"/>
  <c r="K204" i="7"/>
  <c r="AA204" i="7" s="1"/>
  <c r="J204" i="7"/>
  <c r="Z204" i="7" s="1"/>
  <c r="I204" i="7"/>
  <c r="Y204" i="7" s="1"/>
  <c r="H204" i="7"/>
  <c r="X204" i="7" s="1"/>
  <c r="G204" i="7"/>
  <c r="W204" i="7" s="1"/>
  <c r="F204" i="7"/>
  <c r="V204" i="7" s="1"/>
  <c r="E204" i="7"/>
  <c r="U204" i="7" s="1"/>
  <c r="D204" i="7"/>
  <c r="T204" i="7" s="1"/>
  <c r="C204" i="7"/>
  <c r="S204" i="7" s="1"/>
  <c r="B204" i="7"/>
  <c r="R204" i="7" s="1"/>
  <c r="AH204" i="7" s="1"/>
  <c r="AI204" i="7" s="1"/>
  <c r="AP203" i="7"/>
  <c r="AQ203" i="7" s="1"/>
  <c r="AR203" i="7" s="1"/>
  <c r="AS203" i="7" s="1"/>
  <c r="P203" i="7"/>
  <c r="AF203" i="7" s="1"/>
  <c r="O203" i="7"/>
  <c r="AE203" i="7" s="1"/>
  <c r="N203" i="7"/>
  <c r="AD203" i="7" s="1"/>
  <c r="M203" i="7"/>
  <c r="AC203" i="7" s="1"/>
  <c r="L203" i="7"/>
  <c r="AB203" i="7" s="1"/>
  <c r="K203" i="7"/>
  <c r="AA203" i="7" s="1"/>
  <c r="J203" i="7"/>
  <c r="Z203" i="7" s="1"/>
  <c r="I203" i="7"/>
  <c r="Y203" i="7" s="1"/>
  <c r="H203" i="7"/>
  <c r="X203" i="7" s="1"/>
  <c r="G203" i="7"/>
  <c r="W203" i="7" s="1"/>
  <c r="F203" i="7"/>
  <c r="V203" i="7" s="1"/>
  <c r="E203" i="7"/>
  <c r="U203" i="7" s="1"/>
  <c r="D203" i="7"/>
  <c r="T203" i="7" s="1"/>
  <c r="C203" i="7"/>
  <c r="S203" i="7" s="1"/>
  <c r="B203" i="7"/>
  <c r="R203" i="7" s="1"/>
  <c r="AH203" i="7" s="1"/>
  <c r="AI203" i="7" s="1"/>
  <c r="AP202" i="7"/>
  <c r="AQ202" i="7" s="1"/>
  <c r="AR202" i="7" s="1"/>
  <c r="AS202" i="7" s="1"/>
  <c r="P202" i="7"/>
  <c r="AF202" i="7" s="1"/>
  <c r="O202" i="7"/>
  <c r="AE202" i="7" s="1"/>
  <c r="N202" i="7"/>
  <c r="AD202" i="7" s="1"/>
  <c r="M202" i="7"/>
  <c r="AC202" i="7" s="1"/>
  <c r="L202" i="7"/>
  <c r="AB202" i="7" s="1"/>
  <c r="K202" i="7"/>
  <c r="AA202" i="7" s="1"/>
  <c r="J202" i="7"/>
  <c r="Z202" i="7" s="1"/>
  <c r="I202" i="7"/>
  <c r="Y202" i="7" s="1"/>
  <c r="H202" i="7"/>
  <c r="X202" i="7" s="1"/>
  <c r="G202" i="7"/>
  <c r="W202" i="7" s="1"/>
  <c r="F202" i="7"/>
  <c r="V202" i="7" s="1"/>
  <c r="E202" i="7"/>
  <c r="U202" i="7" s="1"/>
  <c r="D202" i="7"/>
  <c r="T202" i="7" s="1"/>
  <c r="C202" i="7"/>
  <c r="S202" i="7" s="1"/>
  <c r="B202" i="7"/>
  <c r="R202" i="7" s="1"/>
  <c r="AH202" i="7" s="1"/>
  <c r="AI202" i="7" s="1"/>
  <c r="AP201" i="7"/>
  <c r="AQ201" i="7" s="1"/>
  <c r="AR201" i="7" s="1"/>
  <c r="AS201" i="7" s="1"/>
  <c r="P201" i="7"/>
  <c r="AF201" i="7" s="1"/>
  <c r="O201" i="7"/>
  <c r="AE201" i="7" s="1"/>
  <c r="N201" i="7"/>
  <c r="AD201" i="7" s="1"/>
  <c r="M201" i="7"/>
  <c r="AC201" i="7" s="1"/>
  <c r="L201" i="7"/>
  <c r="AB201" i="7" s="1"/>
  <c r="K201" i="7"/>
  <c r="AA201" i="7" s="1"/>
  <c r="J201" i="7"/>
  <c r="Z201" i="7" s="1"/>
  <c r="I201" i="7"/>
  <c r="Y201" i="7" s="1"/>
  <c r="H201" i="7"/>
  <c r="X201" i="7" s="1"/>
  <c r="G201" i="7"/>
  <c r="W201" i="7" s="1"/>
  <c r="F201" i="7"/>
  <c r="V201" i="7" s="1"/>
  <c r="E201" i="7"/>
  <c r="U201" i="7" s="1"/>
  <c r="D201" i="7"/>
  <c r="T201" i="7" s="1"/>
  <c r="C201" i="7"/>
  <c r="S201" i="7" s="1"/>
  <c r="B201" i="7"/>
  <c r="R201" i="7" s="1"/>
  <c r="AH201" i="7" s="1"/>
  <c r="AI201" i="7" s="1"/>
  <c r="AP200" i="7"/>
  <c r="AQ200" i="7" s="1"/>
  <c r="AR200" i="7" s="1"/>
  <c r="AS200" i="7" s="1"/>
  <c r="P200" i="7"/>
  <c r="AF200" i="7" s="1"/>
  <c r="O200" i="7"/>
  <c r="AE200" i="7" s="1"/>
  <c r="N200" i="7"/>
  <c r="AD200" i="7" s="1"/>
  <c r="M200" i="7"/>
  <c r="AC200" i="7" s="1"/>
  <c r="L200" i="7"/>
  <c r="AB200" i="7" s="1"/>
  <c r="K200" i="7"/>
  <c r="AA200" i="7" s="1"/>
  <c r="J200" i="7"/>
  <c r="Z200" i="7" s="1"/>
  <c r="I200" i="7"/>
  <c r="Y200" i="7" s="1"/>
  <c r="H200" i="7"/>
  <c r="X200" i="7" s="1"/>
  <c r="G200" i="7"/>
  <c r="W200" i="7" s="1"/>
  <c r="F200" i="7"/>
  <c r="V200" i="7" s="1"/>
  <c r="E200" i="7"/>
  <c r="U200" i="7" s="1"/>
  <c r="D200" i="7"/>
  <c r="T200" i="7" s="1"/>
  <c r="C200" i="7"/>
  <c r="S200" i="7" s="1"/>
  <c r="B200" i="7"/>
  <c r="R200" i="7" s="1"/>
  <c r="AH200" i="7" s="1"/>
  <c r="AI200" i="7" s="1"/>
  <c r="AP199" i="7"/>
  <c r="AQ199" i="7" s="1"/>
  <c r="AR199" i="7" s="1"/>
  <c r="AS199" i="7" s="1"/>
  <c r="P199" i="7"/>
  <c r="AF199" i="7" s="1"/>
  <c r="O199" i="7"/>
  <c r="AE199" i="7" s="1"/>
  <c r="N199" i="7"/>
  <c r="AD199" i="7" s="1"/>
  <c r="M199" i="7"/>
  <c r="AC199" i="7" s="1"/>
  <c r="L199" i="7"/>
  <c r="AB199" i="7" s="1"/>
  <c r="K199" i="7"/>
  <c r="AA199" i="7" s="1"/>
  <c r="J199" i="7"/>
  <c r="Z199" i="7" s="1"/>
  <c r="I199" i="7"/>
  <c r="Y199" i="7" s="1"/>
  <c r="H199" i="7"/>
  <c r="X199" i="7" s="1"/>
  <c r="G199" i="7"/>
  <c r="W199" i="7" s="1"/>
  <c r="F199" i="7"/>
  <c r="V199" i="7" s="1"/>
  <c r="E199" i="7"/>
  <c r="U199" i="7" s="1"/>
  <c r="D199" i="7"/>
  <c r="T199" i="7" s="1"/>
  <c r="C199" i="7"/>
  <c r="S199" i="7" s="1"/>
  <c r="B199" i="7"/>
  <c r="R199" i="7" s="1"/>
  <c r="AH199" i="7" s="1"/>
  <c r="AI199" i="7" s="1"/>
  <c r="AP198" i="7"/>
  <c r="AQ198" i="7" s="1"/>
  <c r="AR198" i="7" s="1"/>
  <c r="AS198" i="7" s="1"/>
  <c r="P198" i="7"/>
  <c r="AF198" i="7" s="1"/>
  <c r="O198" i="7"/>
  <c r="AE198" i="7" s="1"/>
  <c r="N198" i="7"/>
  <c r="AD198" i="7" s="1"/>
  <c r="M198" i="7"/>
  <c r="AC198" i="7" s="1"/>
  <c r="L198" i="7"/>
  <c r="AB198" i="7" s="1"/>
  <c r="K198" i="7"/>
  <c r="AA198" i="7" s="1"/>
  <c r="J198" i="7"/>
  <c r="Z198" i="7" s="1"/>
  <c r="I198" i="7"/>
  <c r="Y198" i="7" s="1"/>
  <c r="H198" i="7"/>
  <c r="X198" i="7" s="1"/>
  <c r="G198" i="7"/>
  <c r="W198" i="7" s="1"/>
  <c r="F198" i="7"/>
  <c r="V198" i="7" s="1"/>
  <c r="E198" i="7"/>
  <c r="U198" i="7" s="1"/>
  <c r="D198" i="7"/>
  <c r="T198" i="7" s="1"/>
  <c r="C198" i="7"/>
  <c r="S198" i="7" s="1"/>
  <c r="B198" i="7"/>
  <c r="R198" i="7" s="1"/>
  <c r="AH198" i="7" s="1"/>
  <c r="AI198" i="7" s="1"/>
  <c r="AP197" i="7"/>
  <c r="AQ197" i="7" s="1"/>
  <c r="AR197" i="7" s="1"/>
  <c r="AS197" i="7" s="1"/>
  <c r="P197" i="7"/>
  <c r="AF197" i="7" s="1"/>
  <c r="O197" i="7"/>
  <c r="AE197" i="7" s="1"/>
  <c r="N197" i="7"/>
  <c r="AD197" i="7" s="1"/>
  <c r="M197" i="7"/>
  <c r="AC197" i="7" s="1"/>
  <c r="L197" i="7"/>
  <c r="AB197" i="7" s="1"/>
  <c r="K197" i="7"/>
  <c r="AA197" i="7" s="1"/>
  <c r="J197" i="7"/>
  <c r="Z197" i="7" s="1"/>
  <c r="I197" i="7"/>
  <c r="Y197" i="7" s="1"/>
  <c r="H197" i="7"/>
  <c r="X197" i="7" s="1"/>
  <c r="G197" i="7"/>
  <c r="W197" i="7" s="1"/>
  <c r="F197" i="7"/>
  <c r="V197" i="7" s="1"/>
  <c r="E197" i="7"/>
  <c r="U197" i="7" s="1"/>
  <c r="D197" i="7"/>
  <c r="T197" i="7" s="1"/>
  <c r="C197" i="7"/>
  <c r="S197" i="7" s="1"/>
  <c r="B197" i="7"/>
  <c r="R197" i="7" s="1"/>
  <c r="AP196" i="7"/>
  <c r="AQ196" i="7" s="1"/>
  <c r="AR196" i="7" s="1"/>
  <c r="AS196" i="7" s="1"/>
  <c r="P196" i="7"/>
  <c r="AF196" i="7" s="1"/>
  <c r="O196" i="7"/>
  <c r="AE196" i="7" s="1"/>
  <c r="N196" i="7"/>
  <c r="AD196" i="7" s="1"/>
  <c r="M196" i="7"/>
  <c r="AC196" i="7" s="1"/>
  <c r="L196" i="7"/>
  <c r="AB196" i="7" s="1"/>
  <c r="K196" i="7"/>
  <c r="AA196" i="7" s="1"/>
  <c r="J196" i="7"/>
  <c r="Z196" i="7" s="1"/>
  <c r="I196" i="7"/>
  <c r="Y196" i="7" s="1"/>
  <c r="H196" i="7"/>
  <c r="X196" i="7" s="1"/>
  <c r="G196" i="7"/>
  <c r="W196" i="7" s="1"/>
  <c r="F196" i="7"/>
  <c r="V196" i="7" s="1"/>
  <c r="E196" i="7"/>
  <c r="U196" i="7" s="1"/>
  <c r="D196" i="7"/>
  <c r="T196" i="7" s="1"/>
  <c r="C196" i="7"/>
  <c r="S196" i="7" s="1"/>
  <c r="B196" i="7"/>
  <c r="R196" i="7" s="1"/>
  <c r="AP195" i="7"/>
  <c r="AQ195" i="7" s="1"/>
  <c r="AR195" i="7" s="1"/>
  <c r="AS195" i="7" s="1"/>
  <c r="P195" i="7"/>
  <c r="AF195" i="7" s="1"/>
  <c r="O195" i="7"/>
  <c r="AE195" i="7" s="1"/>
  <c r="N195" i="7"/>
  <c r="AD195" i="7" s="1"/>
  <c r="M195" i="7"/>
  <c r="AC195" i="7" s="1"/>
  <c r="L195" i="7"/>
  <c r="AB195" i="7" s="1"/>
  <c r="K195" i="7"/>
  <c r="AA195" i="7" s="1"/>
  <c r="J195" i="7"/>
  <c r="Z195" i="7" s="1"/>
  <c r="I195" i="7"/>
  <c r="Y195" i="7" s="1"/>
  <c r="H195" i="7"/>
  <c r="X195" i="7" s="1"/>
  <c r="G195" i="7"/>
  <c r="W195" i="7" s="1"/>
  <c r="F195" i="7"/>
  <c r="V195" i="7" s="1"/>
  <c r="E195" i="7"/>
  <c r="U195" i="7" s="1"/>
  <c r="D195" i="7"/>
  <c r="T195" i="7" s="1"/>
  <c r="C195" i="7"/>
  <c r="S195" i="7" s="1"/>
  <c r="B195" i="7"/>
  <c r="R195" i="7" s="1"/>
  <c r="AH195" i="7" s="1"/>
  <c r="AI195" i="7" s="1"/>
  <c r="AP194" i="7"/>
  <c r="AQ194" i="7" s="1"/>
  <c r="AR194" i="7" s="1"/>
  <c r="AS194" i="7" s="1"/>
  <c r="P194" i="7"/>
  <c r="AF194" i="7" s="1"/>
  <c r="O194" i="7"/>
  <c r="AE194" i="7" s="1"/>
  <c r="N194" i="7"/>
  <c r="AD194" i="7" s="1"/>
  <c r="M194" i="7"/>
  <c r="AC194" i="7" s="1"/>
  <c r="L194" i="7"/>
  <c r="AB194" i="7" s="1"/>
  <c r="K194" i="7"/>
  <c r="AA194" i="7" s="1"/>
  <c r="J194" i="7"/>
  <c r="Z194" i="7" s="1"/>
  <c r="I194" i="7"/>
  <c r="Y194" i="7" s="1"/>
  <c r="H194" i="7"/>
  <c r="X194" i="7" s="1"/>
  <c r="G194" i="7"/>
  <c r="W194" i="7" s="1"/>
  <c r="F194" i="7"/>
  <c r="V194" i="7" s="1"/>
  <c r="E194" i="7"/>
  <c r="U194" i="7" s="1"/>
  <c r="D194" i="7"/>
  <c r="T194" i="7" s="1"/>
  <c r="C194" i="7"/>
  <c r="S194" i="7" s="1"/>
  <c r="B194" i="7"/>
  <c r="R194" i="7" s="1"/>
  <c r="AH194" i="7" s="1"/>
  <c r="AI194" i="7" s="1"/>
  <c r="AP193" i="7"/>
  <c r="AQ193" i="7" s="1"/>
  <c r="AR193" i="7" s="1"/>
  <c r="AS193" i="7" s="1"/>
  <c r="P193" i="7"/>
  <c r="AF193" i="7" s="1"/>
  <c r="O193" i="7"/>
  <c r="AE193" i="7" s="1"/>
  <c r="N193" i="7"/>
  <c r="AD193" i="7" s="1"/>
  <c r="M193" i="7"/>
  <c r="AC193" i="7" s="1"/>
  <c r="L193" i="7"/>
  <c r="AB193" i="7" s="1"/>
  <c r="K193" i="7"/>
  <c r="AA193" i="7" s="1"/>
  <c r="J193" i="7"/>
  <c r="Z193" i="7" s="1"/>
  <c r="I193" i="7"/>
  <c r="Y193" i="7" s="1"/>
  <c r="H193" i="7"/>
  <c r="X193" i="7" s="1"/>
  <c r="G193" i="7"/>
  <c r="W193" i="7" s="1"/>
  <c r="F193" i="7"/>
  <c r="V193" i="7" s="1"/>
  <c r="E193" i="7"/>
  <c r="U193" i="7" s="1"/>
  <c r="D193" i="7"/>
  <c r="T193" i="7" s="1"/>
  <c r="C193" i="7"/>
  <c r="S193" i="7" s="1"/>
  <c r="B193" i="7"/>
  <c r="R193" i="7" s="1"/>
  <c r="AH193" i="7" s="1"/>
  <c r="AI193" i="7" s="1"/>
  <c r="AP192" i="7"/>
  <c r="AQ192" i="7" s="1"/>
  <c r="AR192" i="7" s="1"/>
  <c r="AS192" i="7" s="1"/>
  <c r="P192" i="7"/>
  <c r="AF192" i="7" s="1"/>
  <c r="O192" i="7"/>
  <c r="AE192" i="7" s="1"/>
  <c r="N192" i="7"/>
  <c r="AD192" i="7" s="1"/>
  <c r="M192" i="7"/>
  <c r="AC192" i="7" s="1"/>
  <c r="L192" i="7"/>
  <c r="AB192" i="7" s="1"/>
  <c r="K192" i="7"/>
  <c r="AA192" i="7" s="1"/>
  <c r="J192" i="7"/>
  <c r="Z192" i="7" s="1"/>
  <c r="I192" i="7"/>
  <c r="Y192" i="7" s="1"/>
  <c r="H192" i="7"/>
  <c r="X192" i="7" s="1"/>
  <c r="G192" i="7"/>
  <c r="W192" i="7" s="1"/>
  <c r="F192" i="7"/>
  <c r="V192" i="7" s="1"/>
  <c r="E192" i="7"/>
  <c r="U192" i="7" s="1"/>
  <c r="D192" i="7"/>
  <c r="T192" i="7" s="1"/>
  <c r="C192" i="7"/>
  <c r="S192" i="7" s="1"/>
  <c r="B192" i="7"/>
  <c r="R192" i="7" s="1"/>
  <c r="AH192" i="7" s="1"/>
  <c r="AI192" i="7" s="1"/>
  <c r="AP191" i="7"/>
  <c r="AQ191" i="7" s="1"/>
  <c r="AR191" i="7" s="1"/>
  <c r="AS191" i="7" s="1"/>
  <c r="P191" i="7"/>
  <c r="AF191" i="7" s="1"/>
  <c r="O191" i="7"/>
  <c r="AE191" i="7" s="1"/>
  <c r="N191" i="7"/>
  <c r="AD191" i="7" s="1"/>
  <c r="M191" i="7"/>
  <c r="AC191" i="7" s="1"/>
  <c r="L191" i="7"/>
  <c r="AB191" i="7" s="1"/>
  <c r="K191" i="7"/>
  <c r="AA191" i="7" s="1"/>
  <c r="J191" i="7"/>
  <c r="Z191" i="7" s="1"/>
  <c r="I191" i="7"/>
  <c r="Y191" i="7" s="1"/>
  <c r="H191" i="7"/>
  <c r="X191" i="7" s="1"/>
  <c r="G191" i="7"/>
  <c r="W191" i="7" s="1"/>
  <c r="F191" i="7"/>
  <c r="V191" i="7" s="1"/>
  <c r="E191" i="7"/>
  <c r="U191" i="7" s="1"/>
  <c r="D191" i="7"/>
  <c r="T191" i="7" s="1"/>
  <c r="C191" i="7"/>
  <c r="S191" i="7" s="1"/>
  <c r="B191" i="7"/>
  <c r="R191" i="7" s="1"/>
  <c r="AH191" i="7" s="1"/>
  <c r="AI191" i="7" s="1"/>
  <c r="AP190" i="7"/>
  <c r="AQ190" i="7" s="1"/>
  <c r="AR190" i="7" s="1"/>
  <c r="AS190" i="7" s="1"/>
  <c r="P190" i="7"/>
  <c r="AF190" i="7" s="1"/>
  <c r="O190" i="7"/>
  <c r="AE190" i="7" s="1"/>
  <c r="N190" i="7"/>
  <c r="AD190" i="7" s="1"/>
  <c r="M190" i="7"/>
  <c r="AC190" i="7" s="1"/>
  <c r="L190" i="7"/>
  <c r="AB190" i="7" s="1"/>
  <c r="K190" i="7"/>
  <c r="AA190" i="7" s="1"/>
  <c r="J190" i="7"/>
  <c r="Z190" i="7" s="1"/>
  <c r="I190" i="7"/>
  <c r="Y190" i="7" s="1"/>
  <c r="H190" i="7"/>
  <c r="X190" i="7" s="1"/>
  <c r="G190" i="7"/>
  <c r="W190" i="7" s="1"/>
  <c r="F190" i="7"/>
  <c r="V190" i="7" s="1"/>
  <c r="E190" i="7"/>
  <c r="U190" i="7" s="1"/>
  <c r="D190" i="7"/>
  <c r="T190" i="7" s="1"/>
  <c r="C190" i="7"/>
  <c r="S190" i="7" s="1"/>
  <c r="B190" i="7"/>
  <c r="R190" i="7" s="1"/>
  <c r="AH190" i="7" s="1"/>
  <c r="AI190" i="7" s="1"/>
  <c r="AP189" i="7"/>
  <c r="AQ189" i="7" s="1"/>
  <c r="AR189" i="7" s="1"/>
  <c r="AS189" i="7" s="1"/>
  <c r="P189" i="7"/>
  <c r="AF189" i="7" s="1"/>
  <c r="O189" i="7"/>
  <c r="AE189" i="7" s="1"/>
  <c r="N189" i="7"/>
  <c r="AD189" i="7" s="1"/>
  <c r="M189" i="7"/>
  <c r="AC189" i="7" s="1"/>
  <c r="L189" i="7"/>
  <c r="AB189" i="7" s="1"/>
  <c r="K189" i="7"/>
  <c r="AA189" i="7" s="1"/>
  <c r="J189" i="7"/>
  <c r="Z189" i="7" s="1"/>
  <c r="I189" i="7"/>
  <c r="Y189" i="7" s="1"/>
  <c r="H189" i="7"/>
  <c r="X189" i="7" s="1"/>
  <c r="G189" i="7"/>
  <c r="W189" i="7" s="1"/>
  <c r="F189" i="7"/>
  <c r="V189" i="7" s="1"/>
  <c r="E189" i="7"/>
  <c r="U189" i="7" s="1"/>
  <c r="D189" i="7"/>
  <c r="T189" i="7" s="1"/>
  <c r="C189" i="7"/>
  <c r="S189" i="7" s="1"/>
  <c r="B189" i="7"/>
  <c r="R189" i="7" s="1"/>
  <c r="AH189" i="7" s="1"/>
  <c r="AI189" i="7" s="1"/>
  <c r="AP188" i="7"/>
  <c r="AQ188" i="7" s="1"/>
  <c r="AR188" i="7" s="1"/>
  <c r="AS188" i="7" s="1"/>
  <c r="P188" i="7"/>
  <c r="AF188" i="7" s="1"/>
  <c r="O188" i="7"/>
  <c r="AE188" i="7" s="1"/>
  <c r="N188" i="7"/>
  <c r="AD188" i="7" s="1"/>
  <c r="M188" i="7"/>
  <c r="AC188" i="7" s="1"/>
  <c r="L188" i="7"/>
  <c r="AB188" i="7" s="1"/>
  <c r="K188" i="7"/>
  <c r="AA188" i="7" s="1"/>
  <c r="J188" i="7"/>
  <c r="Z188" i="7" s="1"/>
  <c r="I188" i="7"/>
  <c r="Y188" i="7" s="1"/>
  <c r="H188" i="7"/>
  <c r="X188" i="7" s="1"/>
  <c r="G188" i="7"/>
  <c r="W188" i="7" s="1"/>
  <c r="F188" i="7"/>
  <c r="V188" i="7" s="1"/>
  <c r="E188" i="7"/>
  <c r="U188" i="7" s="1"/>
  <c r="D188" i="7"/>
  <c r="T188" i="7" s="1"/>
  <c r="C188" i="7"/>
  <c r="S188" i="7" s="1"/>
  <c r="B188" i="7"/>
  <c r="R188" i="7" s="1"/>
  <c r="AH188" i="7" s="1"/>
  <c r="AI188" i="7" s="1"/>
  <c r="AP187" i="7"/>
  <c r="AQ187" i="7" s="1"/>
  <c r="AR187" i="7" s="1"/>
  <c r="AS187" i="7" s="1"/>
  <c r="P187" i="7"/>
  <c r="AF187" i="7" s="1"/>
  <c r="O187" i="7"/>
  <c r="AE187" i="7" s="1"/>
  <c r="N187" i="7"/>
  <c r="AD187" i="7" s="1"/>
  <c r="M187" i="7"/>
  <c r="AC187" i="7" s="1"/>
  <c r="L187" i="7"/>
  <c r="AB187" i="7" s="1"/>
  <c r="K187" i="7"/>
  <c r="AA187" i="7" s="1"/>
  <c r="J187" i="7"/>
  <c r="Z187" i="7" s="1"/>
  <c r="I187" i="7"/>
  <c r="Y187" i="7" s="1"/>
  <c r="H187" i="7"/>
  <c r="X187" i="7" s="1"/>
  <c r="G187" i="7"/>
  <c r="W187" i="7" s="1"/>
  <c r="F187" i="7"/>
  <c r="V187" i="7" s="1"/>
  <c r="E187" i="7"/>
  <c r="U187" i="7" s="1"/>
  <c r="D187" i="7"/>
  <c r="T187" i="7" s="1"/>
  <c r="C187" i="7"/>
  <c r="S187" i="7" s="1"/>
  <c r="B187" i="7"/>
  <c r="R187" i="7" s="1"/>
  <c r="AH187" i="7" s="1"/>
  <c r="AI187" i="7" s="1"/>
  <c r="AP186" i="7"/>
  <c r="AQ186" i="7" s="1"/>
  <c r="AR186" i="7" s="1"/>
  <c r="AS186" i="7" s="1"/>
  <c r="P186" i="7"/>
  <c r="AF186" i="7" s="1"/>
  <c r="O186" i="7"/>
  <c r="AE186" i="7" s="1"/>
  <c r="N186" i="7"/>
  <c r="AD186" i="7" s="1"/>
  <c r="M186" i="7"/>
  <c r="AC186" i="7" s="1"/>
  <c r="L186" i="7"/>
  <c r="AB186" i="7" s="1"/>
  <c r="K186" i="7"/>
  <c r="AA186" i="7" s="1"/>
  <c r="J186" i="7"/>
  <c r="Z186" i="7" s="1"/>
  <c r="I186" i="7"/>
  <c r="Y186" i="7" s="1"/>
  <c r="H186" i="7"/>
  <c r="X186" i="7" s="1"/>
  <c r="G186" i="7"/>
  <c r="W186" i="7" s="1"/>
  <c r="F186" i="7"/>
  <c r="V186" i="7" s="1"/>
  <c r="E186" i="7"/>
  <c r="U186" i="7" s="1"/>
  <c r="D186" i="7"/>
  <c r="T186" i="7" s="1"/>
  <c r="C186" i="7"/>
  <c r="S186" i="7" s="1"/>
  <c r="B186" i="7"/>
  <c r="R186" i="7" s="1"/>
  <c r="AH186" i="7" s="1"/>
  <c r="AI186" i="7" s="1"/>
  <c r="AP185" i="7"/>
  <c r="AQ185" i="7" s="1"/>
  <c r="AR185" i="7" s="1"/>
  <c r="AS185" i="7" s="1"/>
  <c r="P185" i="7"/>
  <c r="AF185" i="7" s="1"/>
  <c r="O185" i="7"/>
  <c r="AE185" i="7" s="1"/>
  <c r="N185" i="7"/>
  <c r="AD185" i="7" s="1"/>
  <c r="M185" i="7"/>
  <c r="AC185" i="7" s="1"/>
  <c r="L185" i="7"/>
  <c r="AB185" i="7" s="1"/>
  <c r="K185" i="7"/>
  <c r="AA185" i="7" s="1"/>
  <c r="J185" i="7"/>
  <c r="Z185" i="7" s="1"/>
  <c r="I185" i="7"/>
  <c r="Y185" i="7" s="1"/>
  <c r="H185" i="7"/>
  <c r="X185" i="7" s="1"/>
  <c r="G185" i="7"/>
  <c r="W185" i="7" s="1"/>
  <c r="F185" i="7"/>
  <c r="V185" i="7" s="1"/>
  <c r="E185" i="7"/>
  <c r="U185" i="7" s="1"/>
  <c r="D185" i="7"/>
  <c r="T185" i="7" s="1"/>
  <c r="C185" i="7"/>
  <c r="S185" i="7" s="1"/>
  <c r="B185" i="7"/>
  <c r="R185" i="7" s="1"/>
  <c r="AH185" i="7" s="1"/>
  <c r="AI185" i="7" s="1"/>
  <c r="AP184" i="7"/>
  <c r="AQ184" i="7" s="1"/>
  <c r="AR184" i="7" s="1"/>
  <c r="AS184" i="7" s="1"/>
  <c r="P184" i="7"/>
  <c r="AF184" i="7" s="1"/>
  <c r="O184" i="7"/>
  <c r="AE184" i="7" s="1"/>
  <c r="N184" i="7"/>
  <c r="AD184" i="7" s="1"/>
  <c r="M184" i="7"/>
  <c r="AC184" i="7" s="1"/>
  <c r="L184" i="7"/>
  <c r="AB184" i="7" s="1"/>
  <c r="K184" i="7"/>
  <c r="AA184" i="7" s="1"/>
  <c r="J184" i="7"/>
  <c r="Z184" i="7" s="1"/>
  <c r="I184" i="7"/>
  <c r="Y184" i="7" s="1"/>
  <c r="H184" i="7"/>
  <c r="X184" i="7" s="1"/>
  <c r="G184" i="7"/>
  <c r="W184" i="7" s="1"/>
  <c r="F184" i="7"/>
  <c r="V184" i="7" s="1"/>
  <c r="E184" i="7"/>
  <c r="U184" i="7" s="1"/>
  <c r="D184" i="7"/>
  <c r="T184" i="7" s="1"/>
  <c r="C184" i="7"/>
  <c r="S184" i="7" s="1"/>
  <c r="B184" i="7"/>
  <c r="R184" i="7" s="1"/>
  <c r="AH184" i="7" s="1"/>
  <c r="AI184" i="7" s="1"/>
  <c r="AP183" i="7"/>
  <c r="AQ183" i="7" s="1"/>
  <c r="AR183" i="7" s="1"/>
  <c r="AS183" i="7" s="1"/>
  <c r="P183" i="7"/>
  <c r="AF183" i="7" s="1"/>
  <c r="O183" i="7"/>
  <c r="AE183" i="7" s="1"/>
  <c r="N183" i="7"/>
  <c r="AD183" i="7" s="1"/>
  <c r="M183" i="7"/>
  <c r="AC183" i="7" s="1"/>
  <c r="L183" i="7"/>
  <c r="AB183" i="7" s="1"/>
  <c r="K183" i="7"/>
  <c r="AA183" i="7" s="1"/>
  <c r="J183" i="7"/>
  <c r="Z183" i="7" s="1"/>
  <c r="I183" i="7"/>
  <c r="Y183" i="7" s="1"/>
  <c r="H183" i="7"/>
  <c r="X183" i="7" s="1"/>
  <c r="G183" i="7"/>
  <c r="W183" i="7" s="1"/>
  <c r="F183" i="7"/>
  <c r="V183" i="7" s="1"/>
  <c r="E183" i="7"/>
  <c r="U183" i="7" s="1"/>
  <c r="D183" i="7"/>
  <c r="T183" i="7" s="1"/>
  <c r="C183" i="7"/>
  <c r="S183" i="7" s="1"/>
  <c r="B183" i="7"/>
  <c r="R183" i="7" s="1"/>
  <c r="AH183" i="7" s="1"/>
  <c r="AI183" i="7" s="1"/>
  <c r="AP182" i="7"/>
  <c r="AQ182" i="7" s="1"/>
  <c r="AR182" i="7" s="1"/>
  <c r="AS182" i="7" s="1"/>
  <c r="P182" i="7"/>
  <c r="AF182" i="7" s="1"/>
  <c r="O182" i="7"/>
  <c r="AE182" i="7" s="1"/>
  <c r="N182" i="7"/>
  <c r="AD182" i="7" s="1"/>
  <c r="M182" i="7"/>
  <c r="AC182" i="7" s="1"/>
  <c r="L182" i="7"/>
  <c r="AB182" i="7" s="1"/>
  <c r="K182" i="7"/>
  <c r="AA182" i="7" s="1"/>
  <c r="J182" i="7"/>
  <c r="Z182" i="7" s="1"/>
  <c r="I182" i="7"/>
  <c r="Y182" i="7" s="1"/>
  <c r="H182" i="7"/>
  <c r="X182" i="7" s="1"/>
  <c r="G182" i="7"/>
  <c r="W182" i="7" s="1"/>
  <c r="F182" i="7"/>
  <c r="V182" i="7" s="1"/>
  <c r="E182" i="7"/>
  <c r="U182" i="7" s="1"/>
  <c r="D182" i="7"/>
  <c r="T182" i="7" s="1"/>
  <c r="C182" i="7"/>
  <c r="S182" i="7" s="1"/>
  <c r="B182" i="7"/>
  <c r="R182" i="7" s="1"/>
  <c r="AH182" i="7" s="1"/>
  <c r="AI182" i="7" s="1"/>
  <c r="AP181" i="7"/>
  <c r="AQ181" i="7" s="1"/>
  <c r="AR181" i="7" s="1"/>
  <c r="AS181" i="7" s="1"/>
  <c r="P181" i="7"/>
  <c r="AF181" i="7" s="1"/>
  <c r="O181" i="7"/>
  <c r="AE181" i="7" s="1"/>
  <c r="N181" i="7"/>
  <c r="AD181" i="7" s="1"/>
  <c r="M181" i="7"/>
  <c r="AC181" i="7" s="1"/>
  <c r="L181" i="7"/>
  <c r="AB181" i="7" s="1"/>
  <c r="K181" i="7"/>
  <c r="AA181" i="7" s="1"/>
  <c r="J181" i="7"/>
  <c r="Z181" i="7" s="1"/>
  <c r="I181" i="7"/>
  <c r="Y181" i="7" s="1"/>
  <c r="H181" i="7"/>
  <c r="X181" i="7" s="1"/>
  <c r="G181" i="7"/>
  <c r="W181" i="7" s="1"/>
  <c r="F181" i="7"/>
  <c r="V181" i="7" s="1"/>
  <c r="E181" i="7"/>
  <c r="U181" i="7" s="1"/>
  <c r="D181" i="7"/>
  <c r="T181" i="7" s="1"/>
  <c r="C181" i="7"/>
  <c r="S181" i="7" s="1"/>
  <c r="B181" i="7"/>
  <c r="R181" i="7" s="1"/>
  <c r="AH181" i="7" s="1"/>
  <c r="AI181" i="7" s="1"/>
  <c r="AP180" i="7"/>
  <c r="AQ180" i="7" s="1"/>
  <c r="AR180" i="7" s="1"/>
  <c r="AS180" i="7" s="1"/>
  <c r="P180" i="7"/>
  <c r="AF180" i="7" s="1"/>
  <c r="O180" i="7"/>
  <c r="AE180" i="7" s="1"/>
  <c r="N180" i="7"/>
  <c r="AD180" i="7" s="1"/>
  <c r="M180" i="7"/>
  <c r="AC180" i="7" s="1"/>
  <c r="L180" i="7"/>
  <c r="AB180" i="7" s="1"/>
  <c r="K180" i="7"/>
  <c r="AA180" i="7" s="1"/>
  <c r="J180" i="7"/>
  <c r="Z180" i="7" s="1"/>
  <c r="I180" i="7"/>
  <c r="Y180" i="7" s="1"/>
  <c r="H180" i="7"/>
  <c r="X180" i="7" s="1"/>
  <c r="G180" i="7"/>
  <c r="W180" i="7" s="1"/>
  <c r="F180" i="7"/>
  <c r="V180" i="7" s="1"/>
  <c r="E180" i="7"/>
  <c r="U180" i="7" s="1"/>
  <c r="D180" i="7"/>
  <c r="T180" i="7" s="1"/>
  <c r="C180" i="7"/>
  <c r="S180" i="7" s="1"/>
  <c r="B180" i="7"/>
  <c r="R180" i="7" s="1"/>
  <c r="AH180" i="7" s="1"/>
  <c r="AI180" i="7" s="1"/>
  <c r="AP179" i="7"/>
  <c r="AQ179" i="7" s="1"/>
  <c r="AR179" i="7" s="1"/>
  <c r="AS179" i="7" s="1"/>
  <c r="P179" i="7"/>
  <c r="AF179" i="7" s="1"/>
  <c r="O179" i="7"/>
  <c r="AE179" i="7" s="1"/>
  <c r="N179" i="7"/>
  <c r="AD179" i="7" s="1"/>
  <c r="M179" i="7"/>
  <c r="AC179" i="7" s="1"/>
  <c r="L179" i="7"/>
  <c r="AB179" i="7" s="1"/>
  <c r="K179" i="7"/>
  <c r="AA179" i="7" s="1"/>
  <c r="J179" i="7"/>
  <c r="Z179" i="7" s="1"/>
  <c r="I179" i="7"/>
  <c r="Y179" i="7" s="1"/>
  <c r="H179" i="7"/>
  <c r="X179" i="7" s="1"/>
  <c r="G179" i="7"/>
  <c r="W179" i="7" s="1"/>
  <c r="F179" i="7"/>
  <c r="V179" i="7" s="1"/>
  <c r="E179" i="7"/>
  <c r="U179" i="7" s="1"/>
  <c r="D179" i="7"/>
  <c r="T179" i="7" s="1"/>
  <c r="C179" i="7"/>
  <c r="S179" i="7" s="1"/>
  <c r="B179" i="7"/>
  <c r="R179" i="7" s="1"/>
  <c r="AH179" i="7" s="1"/>
  <c r="AI179" i="7" s="1"/>
  <c r="AP178" i="7"/>
  <c r="AQ178" i="7" s="1"/>
  <c r="AR178" i="7" s="1"/>
  <c r="AS178" i="7" s="1"/>
  <c r="P178" i="7"/>
  <c r="AF178" i="7" s="1"/>
  <c r="O178" i="7"/>
  <c r="AE178" i="7" s="1"/>
  <c r="N178" i="7"/>
  <c r="AD178" i="7" s="1"/>
  <c r="M178" i="7"/>
  <c r="AC178" i="7" s="1"/>
  <c r="L178" i="7"/>
  <c r="AB178" i="7" s="1"/>
  <c r="K178" i="7"/>
  <c r="AA178" i="7" s="1"/>
  <c r="J178" i="7"/>
  <c r="Z178" i="7" s="1"/>
  <c r="I178" i="7"/>
  <c r="Y178" i="7" s="1"/>
  <c r="H178" i="7"/>
  <c r="X178" i="7" s="1"/>
  <c r="G178" i="7"/>
  <c r="W178" i="7" s="1"/>
  <c r="F178" i="7"/>
  <c r="V178" i="7" s="1"/>
  <c r="E178" i="7"/>
  <c r="U178" i="7" s="1"/>
  <c r="D178" i="7"/>
  <c r="T178" i="7" s="1"/>
  <c r="C178" i="7"/>
  <c r="S178" i="7" s="1"/>
  <c r="B178" i="7"/>
  <c r="R178" i="7" s="1"/>
  <c r="AH178" i="7" s="1"/>
  <c r="AI178" i="7" s="1"/>
  <c r="AP177" i="7"/>
  <c r="AQ177" i="7" s="1"/>
  <c r="AR177" i="7" s="1"/>
  <c r="AS177" i="7" s="1"/>
  <c r="P177" i="7"/>
  <c r="AF177" i="7" s="1"/>
  <c r="O177" i="7"/>
  <c r="AE177" i="7" s="1"/>
  <c r="N177" i="7"/>
  <c r="AD177" i="7" s="1"/>
  <c r="M177" i="7"/>
  <c r="AC177" i="7" s="1"/>
  <c r="L177" i="7"/>
  <c r="AB177" i="7" s="1"/>
  <c r="K177" i="7"/>
  <c r="AA177" i="7" s="1"/>
  <c r="J177" i="7"/>
  <c r="Z177" i="7" s="1"/>
  <c r="I177" i="7"/>
  <c r="Y177" i="7" s="1"/>
  <c r="H177" i="7"/>
  <c r="X177" i="7" s="1"/>
  <c r="G177" i="7"/>
  <c r="W177" i="7" s="1"/>
  <c r="F177" i="7"/>
  <c r="V177" i="7" s="1"/>
  <c r="E177" i="7"/>
  <c r="U177" i="7" s="1"/>
  <c r="D177" i="7"/>
  <c r="T177" i="7" s="1"/>
  <c r="C177" i="7"/>
  <c r="S177" i="7" s="1"/>
  <c r="B177" i="7"/>
  <c r="R177" i="7" s="1"/>
  <c r="AP176" i="7"/>
  <c r="AQ176" i="7" s="1"/>
  <c r="AR176" i="7" s="1"/>
  <c r="AS176" i="7" s="1"/>
  <c r="P176" i="7"/>
  <c r="AF176" i="7" s="1"/>
  <c r="O176" i="7"/>
  <c r="AE176" i="7" s="1"/>
  <c r="N176" i="7"/>
  <c r="AD176" i="7" s="1"/>
  <c r="M176" i="7"/>
  <c r="AC176" i="7" s="1"/>
  <c r="L176" i="7"/>
  <c r="AB176" i="7" s="1"/>
  <c r="K176" i="7"/>
  <c r="AA176" i="7" s="1"/>
  <c r="J176" i="7"/>
  <c r="Z176" i="7" s="1"/>
  <c r="I176" i="7"/>
  <c r="Y176" i="7" s="1"/>
  <c r="H176" i="7"/>
  <c r="X176" i="7" s="1"/>
  <c r="G176" i="7"/>
  <c r="W176" i="7" s="1"/>
  <c r="F176" i="7"/>
  <c r="V176" i="7" s="1"/>
  <c r="E176" i="7"/>
  <c r="U176" i="7" s="1"/>
  <c r="D176" i="7"/>
  <c r="T176" i="7" s="1"/>
  <c r="C176" i="7"/>
  <c r="S176" i="7" s="1"/>
  <c r="B176" i="7"/>
  <c r="R176" i="7" s="1"/>
  <c r="AH176" i="7" s="1"/>
  <c r="AI176" i="7" s="1"/>
  <c r="AP175" i="7"/>
  <c r="AQ175" i="7" s="1"/>
  <c r="AR175" i="7" s="1"/>
  <c r="AS175" i="7" s="1"/>
  <c r="P175" i="7"/>
  <c r="AF175" i="7" s="1"/>
  <c r="O175" i="7"/>
  <c r="AE175" i="7" s="1"/>
  <c r="N175" i="7"/>
  <c r="AD175" i="7" s="1"/>
  <c r="M175" i="7"/>
  <c r="AC175" i="7" s="1"/>
  <c r="L175" i="7"/>
  <c r="AB175" i="7" s="1"/>
  <c r="K175" i="7"/>
  <c r="AA175" i="7" s="1"/>
  <c r="J175" i="7"/>
  <c r="Z175" i="7" s="1"/>
  <c r="I175" i="7"/>
  <c r="Y175" i="7" s="1"/>
  <c r="H175" i="7"/>
  <c r="X175" i="7" s="1"/>
  <c r="G175" i="7"/>
  <c r="W175" i="7" s="1"/>
  <c r="F175" i="7"/>
  <c r="V175" i="7" s="1"/>
  <c r="E175" i="7"/>
  <c r="U175" i="7" s="1"/>
  <c r="D175" i="7"/>
  <c r="T175" i="7" s="1"/>
  <c r="C175" i="7"/>
  <c r="S175" i="7" s="1"/>
  <c r="B175" i="7"/>
  <c r="R175" i="7" s="1"/>
  <c r="AH175" i="7" s="1"/>
  <c r="AI175" i="7" s="1"/>
  <c r="AP174" i="7"/>
  <c r="AQ174" i="7" s="1"/>
  <c r="AR174" i="7" s="1"/>
  <c r="AS174" i="7" s="1"/>
  <c r="P174" i="7"/>
  <c r="AF174" i="7" s="1"/>
  <c r="O174" i="7"/>
  <c r="AE174" i="7" s="1"/>
  <c r="N174" i="7"/>
  <c r="AD174" i="7" s="1"/>
  <c r="M174" i="7"/>
  <c r="AC174" i="7" s="1"/>
  <c r="L174" i="7"/>
  <c r="AB174" i="7" s="1"/>
  <c r="K174" i="7"/>
  <c r="AA174" i="7" s="1"/>
  <c r="J174" i="7"/>
  <c r="Z174" i="7" s="1"/>
  <c r="I174" i="7"/>
  <c r="Y174" i="7" s="1"/>
  <c r="H174" i="7"/>
  <c r="X174" i="7" s="1"/>
  <c r="G174" i="7"/>
  <c r="W174" i="7" s="1"/>
  <c r="F174" i="7"/>
  <c r="V174" i="7" s="1"/>
  <c r="E174" i="7"/>
  <c r="U174" i="7" s="1"/>
  <c r="D174" i="7"/>
  <c r="T174" i="7" s="1"/>
  <c r="C174" i="7"/>
  <c r="S174" i="7" s="1"/>
  <c r="B174" i="7"/>
  <c r="R174" i="7" s="1"/>
  <c r="AH174" i="7" s="1"/>
  <c r="AI174" i="7" s="1"/>
  <c r="AP173" i="7"/>
  <c r="AQ173" i="7" s="1"/>
  <c r="AR173" i="7" s="1"/>
  <c r="AS173" i="7" s="1"/>
  <c r="P173" i="7"/>
  <c r="AF173" i="7" s="1"/>
  <c r="O173" i="7"/>
  <c r="AE173" i="7" s="1"/>
  <c r="N173" i="7"/>
  <c r="AD173" i="7" s="1"/>
  <c r="M173" i="7"/>
  <c r="AC173" i="7" s="1"/>
  <c r="L173" i="7"/>
  <c r="AB173" i="7" s="1"/>
  <c r="K173" i="7"/>
  <c r="AA173" i="7" s="1"/>
  <c r="J173" i="7"/>
  <c r="Z173" i="7" s="1"/>
  <c r="I173" i="7"/>
  <c r="Y173" i="7" s="1"/>
  <c r="H173" i="7"/>
  <c r="X173" i="7" s="1"/>
  <c r="G173" i="7"/>
  <c r="W173" i="7" s="1"/>
  <c r="F173" i="7"/>
  <c r="V173" i="7" s="1"/>
  <c r="E173" i="7"/>
  <c r="U173" i="7" s="1"/>
  <c r="D173" i="7"/>
  <c r="T173" i="7" s="1"/>
  <c r="C173" i="7"/>
  <c r="S173" i="7" s="1"/>
  <c r="B173" i="7"/>
  <c r="R173" i="7" s="1"/>
  <c r="AH173" i="7" s="1"/>
  <c r="AI173" i="7" s="1"/>
  <c r="AP172" i="7"/>
  <c r="AQ172" i="7" s="1"/>
  <c r="AR172" i="7" s="1"/>
  <c r="AS172" i="7" s="1"/>
  <c r="P172" i="7"/>
  <c r="AF172" i="7" s="1"/>
  <c r="O172" i="7"/>
  <c r="AE172" i="7" s="1"/>
  <c r="N172" i="7"/>
  <c r="AD172" i="7" s="1"/>
  <c r="M172" i="7"/>
  <c r="AC172" i="7" s="1"/>
  <c r="L172" i="7"/>
  <c r="AB172" i="7" s="1"/>
  <c r="K172" i="7"/>
  <c r="AA172" i="7" s="1"/>
  <c r="J172" i="7"/>
  <c r="Z172" i="7" s="1"/>
  <c r="I172" i="7"/>
  <c r="Y172" i="7" s="1"/>
  <c r="H172" i="7"/>
  <c r="X172" i="7" s="1"/>
  <c r="G172" i="7"/>
  <c r="W172" i="7" s="1"/>
  <c r="F172" i="7"/>
  <c r="V172" i="7" s="1"/>
  <c r="E172" i="7"/>
  <c r="U172" i="7" s="1"/>
  <c r="D172" i="7"/>
  <c r="T172" i="7" s="1"/>
  <c r="C172" i="7"/>
  <c r="S172" i="7" s="1"/>
  <c r="B172" i="7"/>
  <c r="R172" i="7" s="1"/>
  <c r="AH172" i="7" s="1"/>
  <c r="AI172" i="7" s="1"/>
  <c r="AP171" i="7"/>
  <c r="AQ171" i="7" s="1"/>
  <c r="AR171" i="7" s="1"/>
  <c r="AS171" i="7" s="1"/>
  <c r="P171" i="7"/>
  <c r="AF171" i="7" s="1"/>
  <c r="O171" i="7"/>
  <c r="AE171" i="7" s="1"/>
  <c r="N171" i="7"/>
  <c r="AD171" i="7" s="1"/>
  <c r="M171" i="7"/>
  <c r="AC171" i="7" s="1"/>
  <c r="L171" i="7"/>
  <c r="AB171" i="7" s="1"/>
  <c r="K171" i="7"/>
  <c r="AA171" i="7" s="1"/>
  <c r="J171" i="7"/>
  <c r="Z171" i="7" s="1"/>
  <c r="I171" i="7"/>
  <c r="Y171" i="7" s="1"/>
  <c r="H171" i="7"/>
  <c r="X171" i="7" s="1"/>
  <c r="G171" i="7"/>
  <c r="W171" i="7" s="1"/>
  <c r="F171" i="7"/>
  <c r="V171" i="7" s="1"/>
  <c r="E171" i="7"/>
  <c r="U171" i="7" s="1"/>
  <c r="D171" i="7"/>
  <c r="T171" i="7" s="1"/>
  <c r="C171" i="7"/>
  <c r="S171" i="7" s="1"/>
  <c r="B171" i="7"/>
  <c r="R171" i="7" s="1"/>
  <c r="AH171" i="7" s="1"/>
  <c r="AI171" i="7" s="1"/>
  <c r="AP170" i="7"/>
  <c r="AQ170" i="7" s="1"/>
  <c r="AR170" i="7" s="1"/>
  <c r="AS170" i="7" s="1"/>
  <c r="P170" i="7"/>
  <c r="AF170" i="7" s="1"/>
  <c r="O170" i="7"/>
  <c r="AE170" i="7" s="1"/>
  <c r="N170" i="7"/>
  <c r="AD170" i="7" s="1"/>
  <c r="M170" i="7"/>
  <c r="AC170" i="7" s="1"/>
  <c r="L170" i="7"/>
  <c r="AB170" i="7" s="1"/>
  <c r="K170" i="7"/>
  <c r="AA170" i="7" s="1"/>
  <c r="J170" i="7"/>
  <c r="Z170" i="7" s="1"/>
  <c r="I170" i="7"/>
  <c r="Y170" i="7" s="1"/>
  <c r="H170" i="7"/>
  <c r="X170" i="7" s="1"/>
  <c r="G170" i="7"/>
  <c r="W170" i="7" s="1"/>
  <c r="F170" i="7"/>
  <c r="V170" i="7" s="1"/>
  <c r="E170" i="7"/>
  <c r="U170" i="7" s="1"/>
  <c r="D170" i="7"/>
  <c r="T170" i="7" s="1"/>
  <c r="C170" i="7"/>
  <c r="S170" i="7" s="1"/>
  <c r="B170" i="7"/>
  <c r="R170" i="7" s="1"/>
  <c r="AH170" i="7" s="1"/>
  <c r="AI170" i="7" s="1"/>
  <c r="AP169" i="7"/>
  <c r="AQ169" i="7" s="1"/>
  <c r="AR169" i="7" s="1"/>
  <c r="AS169" i="7" s="1"/>
  <c r="P169" i="7"/>
  <c r="AF169" i="7" s="1"/>
  <c r="O169" i="7"/>
  <c r="AE169" i="7" s="1"/>
  <c r="N169" i="7"/>
  <c r="AD169" i="7" s="1"/>
  <c r="M169" i="7"/>
  <c r="AC169" i="7" s="1"/>
  <c r="L169" i="7"/>
  <c r="AB169" i="7" s="1"/>
  <c r="K169" i="7"/>
  <c r="AA169" i="7" s="1"/>
  <c r="J169" i="7"/>
  <c r="Z169" i="7" s="1"/>
  <c r="I169" i="7"/>
  <c r="Y169" i="7" s="1"/>
  <c r="H169" i="7"/>
  <c r="X169" i="7" s="1"/>
  <c r="G169" i="7"/>
  <c r="W169" i="7" s="1"/>
  <c r="F169" i="7"/>
  <c r="V169" i="7" s="1"/>
  <c r="E169" i="7"/>
  <c r="U169" i="7" s="1"/>
  <c r="D169" i="7"/>
  <c r="T169" i="7" s="1"/>
  <c r="C169" i="7"/>
  <c r="S169" i="7" s="1"/>
  <c r="B169" i="7"/>
  <c r="R169" i="7" s="1"/>
  <c r="AH169" i="7" s="1"/>
  <c r="AI169" i="7" s="1"/>
  <c r="AP168" i="7"/>
  <c r="AQ168" i="7" s="1"/>
  <c r="AR168" i="7" s="1"/>
  <c r="AS168" i="7" s="1"/>
  <c r="P168" i="7"/>
  <c r="AF168" i="7" s="1"/>
  <c r="O168" i="7"/>
  <c r="AE168" i="7" s="1"/>
  <c r="N168" i="7"/>
  <c r="AD168" i="7" s="1"/>
  <c r="M168" i="7"/>
  <c r="AC168" i="7" s="1"/>
  <c r="L168" i="7"/>
  <c r="AB168" i="7" s="1"/>
  <c r="K168" i="7"/>
  <c r="AA168" i="7" s="1"/>
  <c r="J168" i="7"/>
  <c r="Z168" i="7" s="1"/>
  <c r="I168" i="7"/>
  <c r="Y168" i="7" s="1"/>
  <c r="H168" i="7"/>
  <c r="X168" i="7" s="1"/>
  <c r="G168" i="7"/>
  <c r="W168" i="7" s="1"/>
  <c r="F168" i="7"/>
  <c r="V168" i="7" s="1"/>
  <c r="E168" i="7"/>
  <c r="U168" i="7" s="1"/>
  <c r="D168" i="7"/>
  <c r="T168" i="7" s="1"/>
  <c r="C168" i="7"/>
  <c r="S168" i="7" s="1"/>
  <c r="B168" i="7"/>
  <c r="R168" i="7" s="1"/>
  <c r="AP167" i="7"/>
  <c r="AQ167" i="7" s="1"/>
  <c r="AR167" i="7" s="1"/>
  <c r="AS167" i="7" s="1"/>
  <c r="P167" i="7"/>
  <c r="AF167" i="7" s="1"/>
  <c r="O167" i="7"/>
  <c r="AE167" i="7" s="1"/>
  <c r="N167" i="7"/>
  <c r="AD167" i="7" s="1"/>
  <c r="M167" i="7"/>
  <c r="AC167" i="7" s="1"/>
  <c r="L167" i="7"/>
  <c r="AB167" i="7" s="1"/>
  <c r="K167" i="7"/>
  <c r="AA167" i="7" s="1"/>
  <c r="J167" i="7"/>
  <c r="Z167" i="7" s="1"/>
  <c r="I167" i="7"/>
  <c r="Y167" i="7" s="1"/>
  <c r="H167" i="7"/>
  <c r="X167" i="7" s="1"/>
  <c r="G167" i="7"/>
  <c r="W167" i="7" s="1"/>
  <c r="F167" i="7"/>
  <c r="V167" i="7" s="1"/>
  <c r="E167" i="7"/>
  <c r="U167" i="7" s="1"/>
  <c r="D167" i="7"/>
  <c r="T167" i="7" s="1"/>
  <c r="C167" i="7"/>
  <c r="S167" i="7" s="1"/>
  <c r="B167" i="7"/>
  <c r="R167" i="7" s="1"/>
  <c r="AH167" i="7" s="1"/>
  <c r="AI167" i="7" s="1"/>
  <c r="AP166" i="7"/>
  <c r="AQ166" i="7" s="1"/>
  <c r="AR166" i="7" s="1"/>
  <c r="AS166" i="7" s="1"/>
  <c r="P166" i="7"/>
  <c r="AF166" i="7" s="1"/>
  <c r="O166" i="7"/>
  <c r="AE166" i="7" s="1"/>
  <c r="N166" i="7"/>
  <c r="AD166" i="7" s="1"/>
  <c r="M166" i="7"/>
  <c r="AC166" i="7" s="1"/>
  <c r="L166" i="7"/>
  <c r="AB166" i="7" s="1"/>
  <c r="K166" i="7"/>
  <c r="AA166" i="7" s="1"/>
  <c r="J166" i="7"/>
  <c r="Z166" i="7" s="1"/>
  <c r="I166" i="7"/>
  <c r="Y166" i="7" s="1"/>
  <c r="H166" i="7"/>
  <c r="X166" i="7" s="1"/>
  <c r="G166" i="7"/>
  <c r="W166" i="7" s="1"/>
  <c r="F166" i="7"/>
  <c r="V166" i="7" s="1"/>
  <c r="E166" i="7"/>
  <c r="U166" i="7" s="1"/>
  <c r="D166" i="7"/>
  <c r="T166" i="7" s="1"/>
  <c r="C166" i="7"/>
  <c r="S166" i="7" s="1"/>
  <c r="B166" i="7"/>
  <c r="R166" i="7" s="1"/>
  <c r="AP165" i="7"/>
  <c r="AQ165" i="7" s="1"/>
  <c r="AR165" i="7" s="1"/>
  <c r="AS165" i="7" s="1"/>
  <c r="P165" i="7"/>
  <c r="AF165" i="7" s="1"/>
  <c r="O165" i="7"/>
  <c r="AE165" i="7" s="1"/>
  <c r="N165" i="7"/>
  <c r="AD165" i="7" s="1"/>
  <c r="M165" i="7"/>
  <c r="AC165" i="7" s="1"/>
  <c r="L165" i="7"/>
  <c r="AB165" i="7" s="1"/>
  <c r="K165" i="7"/>
  <c r="AA165" i="7" s="1"/>
  <c r="J165" i="7"/>
  <c r="Z165" i="7" s="1"/>
  <c r="I165" i="7"/>
  <c r="Y165" i="7" s="1"/>
  <c r="H165" i="7"/>
  <c r="X165" i="7" s="1"/>
  <c r="G165" i="7"/>
  <c r="W165" i="7" s="1"/>
  <c r="F165" i="7"/>
  <c r="V165" i="7" s="1"/>
  <c r="E165" i="7"/>
  <c r="U165" i="7" s="1"/>
  <c r="D165" i="7"/>
  <c r="T165" i="7" s="1"/>
  <c r="C165" i="7"/>
  <c r="S165" i="7" s="1"/>
  <c r="B165" i="7"/>
  <c r="R165" i="7" s="1"/>
  <c r="AH165" i="7" s="1"/>
  <c r="AI165" i="7" s="1"/>
  <c r="AP164" i="7"/>
  <c r="AQ164" i="7" s="1"/>
  <c r="AR164" i="7" s="1"/>
  <c r="AS164" i="7" s="1"/>
  <c r="P164" i="7"/>
  <c r="AF164" i="7" s="1"/>
  <c r="O164" i="7"/>
  <c r="AE164" i="7" s="1"/>
  <c r="N164" i="7"/>
  <c r="AD164" i="7" s="1"/>
  <c r="M164" i="7"/>
  <c r="AC164" i="7" s="1"/>
  <c r="L164" i="7"/>
  <c r="AB164" i="7" s="1"/>
  <c r="K164" i="7"/>
  <c r="AA164" i="7" s="1"/>
  <c r="J164" i="7"/>
  <c r="Z164" i="7" s="1"/>
  <c r="I164" i="7"/>
  <c r="Y164" i="7" s="1"/>
  <c r="H164" i="7"/>
  <c r="X164" i="7" s="1"/>
  <c r="G164" i="7"/>
  <c r="W164" i="7" s="1"/>
  <c r="F164" i="7"/>
  <c r="V164" i="7" s="1"/>
  <c r="E164" i="7"/>
  <c r="U164" i="7" s="1"/>
  <c r="D164" i="7"/>
  <c r="T164" i="7" s="1"/>
  <c r="C164" i="7"/>
  <c r="S164" i="7" s="1"/>
  <c r="B164" i="7"/>
  <c r="R164" i="7" s="1"/>
  <c r="AP163" i="7"/>
  <c r="AQ163" i="7" s="1"/>
  <c r="AR163" i="7" s="1"/>
  <c r="AS163" i="7" s="1"/>
  <c r="P163" i="7"/>
  <c r="AF163" i="7" s="1"/>
  <c r="O163" i="7"/>
  <c r="AE163" i="7" s="1"/>
  <c r="N163" i="7"/>
  <c r="AD163" i="7" s="1"/>
  <c r="M163" i="7"/>
  <c r="AC163" i="7" s="1"/>
  <c r="L163" i="7"/>
  <c r="AB163" i="7" s="1"/>
  <c r="K163" i="7"/>
  <c r="AA163" i="7" s="1"/>
  <c r="J163" i="7"/>
  <c r="Z163" i="7" s="1"/>
  <c r="I163" i="7"/>
  <c r="Y163" i="7" s="1"/>
  <c r="H163" i="7"/>
  <c r="X163" i="7" s="1"/>
  <c r="G163" i="7"/>
  <c r="W163" i="7" s="1"/>
  <c r="F163" i="7"/>
  <c r="V163" i="7" s="1"/>
  <c r="E163" i="7"/>
  <c r="U163" i="7" s="1"/>
  <c r="D163" i="7"/>
  <c r="T163" i="7" s="1"/>
  <c r="C163" i="7"/>
  <c r="S163" i="7" s="1"/>
  <c r="B163" i="7"/>
  <c r="R163" i="7" s="1"/>
  <c r="AH163" i="7" s="1"/>
  <c r="AI163" i="7" s="1"/>
  <c r="AP162" i="7"/>
  <c r="AQ162" i="7" s="1"/>
  <c r="AR162" i="7" s="1"/>
  <c r="AS162" i="7" s="1"/>
  <c r="P162" i="7"/>
  <c r="AF162" i="7" s="1"/>
  <c r="O162" i="7"/>
  <c r="AE162" i="7" s="1"/>
  <c r="N162" i="7"/>
  <c r="AD162" i="7" s="1"/>
  <c r="M162" i="7"/>
  <c r="AC162" i="7" s="1"/>
  <c r="L162" i="7"/>
  <c r="AB162" i="7" s="1"/>
  <c r="K162" i="7"/>
  <c r="AA162" i="7" s="1"/>
  <c r="J162" i="7"/>
  <c r="Z162" i="7" s="1"/>
  <c r="I162" i="7"/>
  <c r="Y162" i="7" s="1"/>
  <c r="H162" i="7"/>
  <c r="X162" i="7" s="1"/>
  <c r="G162" i="7"/>
  <c r="W162" i="7" s="1"/>
  <c r="F162" i="7"/>
  <c r="V162" i="7" s="1"/>
  <c r="E162" i="7"/>
  <c r="U162" i="7" s="1"/>
  <c r="D162" i="7"/>
  <c r="T162" i="7" s="1"/>
  <c r="C162" i="7"/>
  <c r="S162" i="7" s="1"/>
  <c r="B162" i="7"/>
  <c r="R162" i="7" s="1"/>
  <c r="AH162" i="7" s="1"/>
  <c r="AI162" i="7" s="1"/>
  <c r="AP161" i="7"/>
  <c r="AQ161" i="7" s="1"/>
  <c r="AR161" i="7" s="1"/>
  <c r="AS161" i="7" s="1"/>
  <c r="P161" i="7"/>
  <c r="AF161" i="7" s="1"/>
  <c r="O161" i="7"/>
  <c r="AE161" i="7" s="1"/>
  <c r="N161" i="7"/>
  <c r="AD161" i="7" s="1"/>
  <c r="M161" i="7"/>
  <c r="AC161" i="7" s="1"/>
  <c r="L161" i="7"/>
  <c r="AB161" i="7" s="1"/>
  <c r="K161" i="7"/>
  <c r="AA161" i="7" s="1"/>
  <c r="J161" i="7"/>
  <c r="Z161" i="7" s="1"/>
  <c r="I161" i="7"/>
  <c r="Y161" i="7" s="1"/>
  <c r="H161" i="7"/>
  <c r="X161" i="7" s="1"/>
  <c r="G161" i="7"/>
  <c r="W161" i="7" s="1"/>
  <c r="F161" i="7"/>
  <c r="V161" i="7" s="1"/>
  <c r="E161" i="7"/>
  <c r="U161" i="7" s="1"/>
  <c r="D161" i="7"/>
  <c r="T161" i="7" s="1"/>
  <c r="C161" i="7"/>
  <c r="S161" i="7" s="1"/>
  <c r="B161" i="7"/>
  <c r="R161" i="7" s="1"/>
  <c r="AH161" i="7" s="1"/>
  <c r="AI161" i="7" s="1"/>
  <c r="AP160" i="7"/>
  <c r="AQ160" i="7" s="1"/>
  <c r="AR160" i="7" s="1"/>
  <c r="AS160" i="7" s="1"/>
  <c r="P160" i="7"/>
  <c r="AF160" i="7" s="1"/>
  <c r="O160" i="7"/>
  <c r="AE160" i="7" s="1"/>
  <c r="N160" i="7"/>
  <c r="AD160" i="7" s="1"/>
  <c r="M160" i="7"/>
  <c r="AC160" i="7" s="1"/>
  <c r="L160" i="7"/>
  <c r="AB160" i="7" s="1"/>
  <c r="K160" i="7"/>
  <c r="AA160" i="7" s="1"/>
  <c r="J160" i="7"/>
  <c r="Z160" i="7" s="1"/>
  <c r="I160" i="7"/>
  <c r="Y160" i="7" s="1"/>
  <c r="H160" i="7"/>
  <c r="X160" i="7" s="1"/>
  <c r="G160" i="7"/>
  <c r="W160" i="7" s="1"/>
  <c r="F160" i="7"/>
  <c r="V160" i="7" s="1"/>
  <c r="E160" i="7"/>
  <c r="U160" i="7" s="1"/>
  <c r="D160" i="7"/>
  <c r="T160" i="7" s="1"/>
  <c r="C160" i="7"/>
  <c r="S160" i="7" s="1"/>
  <c r="B160" i="7"/>
  <c r="R160" i="7" s="1"/>
  <c r="AP159" i="7"/>
  <c r="AQ159" i="7" s="1"/>
  <c r="AR159" i="7" s="1"/>
  <c r="AS159" i="7" s="1"/>
  <c r="P159" i="7"/>
  <c r="AF159" i="7" s="1"/>
  <c r="O159" i="7"/>
  <c r="AE159" i="7" s="1"/>
  <c r="N159" i="7"/>
  <c r="AD159" i="7" s="1"/>
  <c r="M159" i="7"/>
  <c r="AC159" i="7" s="1"/>
  <c r="L159" i="7"/>
  <c r="AB159" i="7" s="1"/>
  <c r="K159" i="7"/>
  <c r="AA159" i="7" s="1"/>
  <c r="J159" i="7"/>
  <c r="Z159" i="7" s="1"/>
  <c r="I159" i="7"/>
  <c r="Y159" i="7" s="1"/>
  <c r="H159" i="7"/>
  <c r="X159" i="7" s="1"/>
  <c r="G159" i="7"/>
  <c r="W159" i="7" s="1"/>
  <c r="F159" i="7"/>
  <c r="V159" i="7" s="1"/>
  <c r="E159" i="7"/>
  <c r="U159" i="7" s="1"/>
  <c r="D159" i="7"/>
  <c r="T159" i="7" s="1"/>
  <c r="C159" i="7"/>
  <c r="S159" i="7" s="1"/>
  <c r="B159" i="7"/>
  <c r="R159" i="7" s="1"/>
  <c r="AP158" i="7"/>
  <c r="AQ158" i="7" s="1"/>
  <c r="AR158" i="7" s="1"/>
  <c r="AS158" i="7" s="1"/>
  <c r="P158" i="7"/>
  <c r="AF158" i="7" s="1"/>
  <c r="O158" i="7"/>
  <c r="AE158" i="7" s="1"/>
  <c r="N158" i="7"/>
  <c r="AD158" i="7" s="1"/>
  <c r="M158" i="7"/>
  <c r="AC158" i="7" s="1"/>
  <c r="L158" i="7"/>
  <c r="AB158" i="7" s="1"/>
  <c r="K158" i="7"/>
  <c r="AA158" i="7" s="1"/>
  <c r="J158" i="7"/>
  <c r="Z158" i="7" s="1"/>
  <c r="I158" i="7"/>
  <c r="Y158" i="7" s="1"/>
  <c r="H158" i="7"/>
  <c r="X158" i="7" s="1"/>
  <c r="G158" i="7"/>
  <c r="W158" i="7" s="1"/>
  <c r="F158" i="7"/>
  <c r="V158" i="7" s="1"/>
  <c r="E158" i="7"/>
  <c r="U158" i="7" s="1"/>
  <c r="D158" i="7"/>
  <c r="T158" i="7" s="1"/>
  <c r="C158" i="7"/>
  <c r="S158" i="7" s="1"/>
  <c r="B158" i="7"/>
  <c r="R158" i="7" s="1"/>
  <c r="AH158" i="7" s="1"/>
  <c r="AI158" i="7" s="1"/>
  <c r="AP157" i="7"/>
  <c r="AQ157" i="7" s="1"/>
  <c r="AR157" i="7" s="1"/>
  <c r="AS157" i="7" s="1"/>
  <c r="P157" i="7"/>
  <c r="AF157" i="7" s="1"/>
  <c r="O157" i="7"/>
  <c r="AE157" i="7" s="1"/>
  <c r="N157" i="7"/>
  <c r="AD157" i="7" s="1"/>
  <c r="M157" i="7"/>
  <c r="AC157" i="7" s="1"/>
  <c r="L157" i="7"/>
  <c r="AB157" i="7" s="1"/>
  <c r="K157" i="7"/>
  <c r="AA157" i="7" s="1"/>
  <c r="J157" i="7"/>
  <c r="Z157" i="7" s="1"/>
  <c r="I157" i="7"/>
  <c r="Y157" i="7" s="1"/>
  <c r="H157" i="7"/>
  <c r="X157" i="7" s="1"/>
  <c r="G157" i="7"/>
  <c r="W157" i="7" s="1"/>
  <c r="F157" i="7"/>
  <c r="V157" i="7" s="1"/>
  <c r="E157" i="7"/>
  <c r="U157" i="7" s="1"/>
  <c r="D157" i="7"/>
  <c r="T157" i="7" s="1"/>
  <c r="C157" i="7"/>
  <c r="S157" i="7" s="1"/>
  <c r="B157" i="7"/>
  <c r="R157" i="7" s="1"/>
  <c r="AH157" i="7" s="1"/>
  <c r="AI157" i="7" s="1"/>
  <c r="AP156" i="7"/>
  <c r="AQ156" i="7" s="1"/>
  <c r="AR156" i="7" s="1"/>
  <c r="AS156" i="7" s="1"/>
  <c r="P156" i="7"/>
  <c r="AF156" i="7" s="1"/>
  <c r="O156" i="7"/>
  <c r="AE156" i="7" s="1"/>
  <c r="N156" i="7"/>
  <c r="AD156" i="7" s="1"/>
  <c r="M156" i="7"/>
  <c r="AC156" i="7" s="1"/>
  <c r="L156" i="7"/>
  <c r="AB156" i="7" s="1"/>
  <c r="K156" i="7"/>
  <c r="AA156" i="7" s="1"/>
  <c r="J156" i="7"/>
  <c r="Z156" i="7" s="1"/>
  <c r="I156" i="7"/>
  <c r="Y156" i="7" s="1"/>
  <c r="H156" i="7"/>
  <c r="X156" i="7" s="1"/>
  <c r="G156" i="7"/>
  <c r="W156" i="7" s="1"/>
  <c r="F156" i="7"/>
  <c r="V156" i="7" s="1"/>
  <c r="E156" i="7"/>
  <c r="U156" i="7" s="1"/>
  <c r="D156" i="7"/>
  <c r="T156" i="7" s="1"/>
  <c r="C156" i="7"/>
  <c r="S156" i="7" s="1"/>
  <c r="B156" i="7"/>
  <c r="R156" i="7" s="1"/>
  <c r="AP155" i="7"/>
  <c r="AQ155" i="7" s="1"/>
  <c r="AR155" i="7" s="1"/>
  <c r="AS155" i="7" s="1"/>
  <c r="P155" i="7"/>
  <c r="AF155" i="7" s="1"/>
  <c r="O155" i="7"/>
  <c r="AE155" i="7" s="1"/>
  <c r="N155" i="7"/>
  <c r="AD155" i="7" s="1"/>
  <c r="M155" i="7"/>
  <c r="AC155" i="7" s="1"/>
  <c r="L155" i="7"/>
  <c r="AB155" i="7" s="1"/>
  <c r="K155" i="7"/>
  <c r="AA155" i="7" s="1"/>
  <c r="J155" i="7"/>
  <c r="Z155" i="7" s="1"/>
  <c r="I155" i="7"/>
  <c r="Y155" i="7" s="1"/>
  <c r="H155" i="7"/>
  <c r="X155" i="7" s="1"/>
  <c r="G155" i="7"/>
  <c r="W155" i="7" s="1"/>
  <c r="F155" i="7"/>
  <c r="V155" i="7" s="1"/>
  <c r="E155" i="7"/>
  <c r="U155" i="7" s="1"/>
  <c r="D155" i="7"/>
  <c r="T155" i="7" s="1"/>
  <c r="C155" i="7"/>
  <c r="S155" i="7" s="1"/>
  <c r="B155" i="7"/>
  <c r="R155" i="7" s="1"/>
  <c r="AH155" i="7" s="1"/>
  <c r="AI155" i="7" s="1"/>
  <c r="AP154" i="7"/>
  <c r="AQ154" i="7" s="1"/>
  <c r="AR154" i="7" s="1"/>
  <c r="AS154" i="7" s="1"/>
  <c r="P154" i="7"/>
  <c r="AF154" i="7" s="1"/>
  <c r="O154" i="7"/>
  <c r="AE154" i="7" s="1"/>
  <c r="N154" i="7"/>
  <c r="AD154" i="7" s="1"/>
  <c r="M154" i="7"/>
  <c r="AC154" i="7" s="1"/>
  <c r="L154" i="7"/>
  <c r="AB154" i="7" s="1"/>
  <c r="K154" i="7"/>
  <c r="AA154" i="7" s="1"/>
  <c r="J154" i="7"/>
  <c r="Z154" i="7" s="1"/>
  <c r="I154" i="7"/>
  <c r="Y154" i="7" s="1"/>
  <c r="H154" i="7"/>
  <c r="X154" i="7" s="1"/>
  <c r="G154" i="7"/>
  <c r="W154" i="7" s="1"/>
  <c r="F154" i="7"/>
  <c r="V154" i="7" s="1"/>
  <c r="E154" i="7"/>
  <c r="U154" i="7" s="1"/>
  <c r="D154" i="7"/>
  <c r="T154" i="7" s="1"/>
  <c r="C154" i="7"/>
  <c r="S154" i="7" s="1"/>
  <c r="B154" i="7"/>
  <c r="R154" i="7" s="1"/>
  <c r="AP153" i="7"/>
  <c r="AQ153" i="7" s="1"/>
  <c r="AR153" i="7" s="1"/>
  <c r="AS153" i="7" s="1"/>
  <c r="P153" i="7"/>
  <c r="AF153" i="7" s="1"/>
  <c r="O153" i="7"/>
  <c r="AE153" i="7" s="1"/>
  <c r="N153" i="7"/>
  <c r="AD153" i="7" s="1"/>
  <c r="M153" i="7"/>
  <c r="AC153" i="7" s="1"/>
  <c r="L153" i="7"/>
  <c r="AB153" i="7" s="1"/>
  <c r="K153" i="7"/>
  <c r="AA153" i="7" s="1"/>
  <c r="J153" i="7"/>
  <c r="Z153" i="7" s="1"/>
  <c r="I153" i="7"/>
  <c r="Y153" i="7" s="1"/>
  <c r="H153" i="7"/>
  <c r="X153" i="7" s="1"/>
  <c r="G153" i="7"/>
  <c r="W153" i="7" s="1"/>
  <c r="F153" i="7"/>
  <c r="V153" i="7" s="1"/>
  <c r="E153" i="7"/>
  <c r="U153" i="7" s="1"/>
  <c r="D153" i="7"/>
  <c r="T153" i="7" s="1"/>
  <c r="C153" i="7"/>
  <c r="S153" i="7" s="1"/>
  <c r="B153" i="7"/>
  <c r="R153" i="7" s="1"/>
  <c r="AP152" i="7"/>
  <c r="AQ152" i="7" s="1"/>
  <c r="AR152" i="7" s="1"/>
  <c r="AS152" i="7" s="1"/>
  <c r="P152" i="7"/>
  <c r="AF152" i="7" s="1"/>
  <c r="O152" i="7"/>
  <c r="AE152" i="7" s="1"/>
  <c r="N152" i="7"/>
  <c r="AD152" i="7" s="1"/>
  <c r="M152" i="7"/>
  <c r="AC152" i="7" s="1"/>
  <c r="L152" i="7"/>
  <c r="AB152" i="7" s="1"/>
  <c r="K152" i="7"/>
  <c r="AA152" i="7" s="1"/>
  <c r="J152" i="7"/>
  <c r="Z152" i="7" s="1"/>
  <c r="I152" i="7"/>
  <c r="Y152" i="7" s="1"/>
  <c r="H152" i="7"/>
  <c r="X152" i="7" s="1"/>
  <c r="G152" i="7"/>
  <c r="W152" i="7" s="1"/>
  <c r="F152" i="7"/>
  <c r="V152" i="7" s="1"/>
  <c r="E152" i="7"/>
  <c r="U152" i="7" s="1"/>
  <c r="D152" i="7"/>
  <c r="T152" i="7" s="1"/>
  <c r="C152" i="7"/>
  <c r="S152" i="7" s="1"/>
  <c r="B152" i="7"/>
  <c r="R152" i="7" s="1"/>
  <c r="AH152" i="7" s="1"/>
  <c r="AI152" i="7" s="1"/>
  <c r="AP151" i="7"/>
  <c r="AQ151" i="7" s="1"/>
  <c r="AR151" i="7" s="1"/>
  <c r="AS151" i="7" s="1"/>
  <c r="P151" i="7"/>
  <c r="AF151" i="7" s="1"/>
  <c r="O151" i="7"/>
  <c r="AE151" i="7" s="1"/>
  <c r="N151" i="7"/>
  <c r="AD151" i="7" s="1"/>
  <c r="M151" i="7"/>
  <c r="AC151" i="7" s="1"/>
  <c r="L151" i="7"/>
  <c r="AB151" i="7" s="1"/>
  <c r="K151" i="7"/>
  <c r="AA151" i="7" s="1"/>
  <c r="J151" i="7"/>
  <c r="Z151" i="7" s="1"/>
  <c r="I151" i="7"/>
  <c r="Y151" i="7" s="1"/>
  <c r="H151" i="7"/>
  <c r="X151" i="7" s="1"/>
  <c r="G151" i="7"/>
  <c r="W151" i="7" s="1"/>
  <c r="F151" i="7"/>
  <c r="V151" i="7" s="1"/>
  <c r="E151" i="7"/>
  <c r="U151" i="7" s="1"/>
  <c r="D151" i="7"/>
  <c r="T151" i="7" s="1"/>
  <c r="C151" i="7"/>
  <c r="S151" i="7" s="1"/>
  <c r="B151" i="7"/>
  <c r="R151" i="7" s="1"/>
  <c r="AH151" i="7" s="1"/>
  <c r="AI151" i="7" s="1"/>
  <c r="AP150" i="7"/>
  <c r="AQ150" i="7" s="1"/>
  <c r="AR150" i="7" s="1"/>
  <c r="AS150" i="7" s="1"/>
  <c r="P150" i="7"/>
  <c r="AF150" i="7" s="1"/>
  <c r="O150" i="7"/>
  <c r="AE150" i="7" s="1"/>
  <c r="N150" i="7"/>
  <c r="AD150" i="7" s="1"/>
  <c r="M150" i="7"/>
  <c r="AC150" i="7" s="1"/>
  <c r="L150" i="7"/>
  <c r="AB150" i="7" s="1"/>
  <c r="K150" i="7"/>
  <c r="AA150" i="7" s="1"/>
  <c r="J150" i="7"/>
  <c r="Z150" i="7" s="1"/>
  <c r="I150" i="7"/>
  <c r="Y150" i="7" s="1"/>
  <c r="H150" i="7"/>
  <c r="X150" i="7" s="1"/>
  <c r="G150" i="7"/>
  <c r="W150" i="7" s="1"/>
  <c r="F150" i="7"/>
  <c r="V150" i="7" s="1"/>
  <c r="E150" i="7"/>
  <c r="U150" i="7" s="1"/>
  <c r="D150" i="7"/>
  <c r="T150" i="7" s="1"/>
  <c r="C150" i="7"/>
  <c r="S150" i="7" s="1"/>
  <c r="B150" i="7"/>
  <c r="R150" i="7" s="1"/>
  <c r="AH150" i="7" s="1"/>
  <c r="AI150" i="7" s="1"/>
  <c r="AP149" i="7"/>
  <c r="AQ149" i="7" s="1"/>
  <c r="AR149" i="7" s="1"/>
  <c r="AS149" i="7" s="1"/>
  <c r="P149" i="7"/>
  <c r="AF149" i="7" s="1"/>
  <c r="O149" i="7"/>
  <c r="AE149" i="7" s="1"/>
  <c r="N149" i="7"/>
  <c r="AD149" i="7" s="1"/>
  <c r="M149" i="7"/>
  <c r="AC149" i="7" s="1"/>
  <c r="L149" i="7"/>
  <c r="AB149" i="7" s="1"/>
  <c r="K149" i="7"/>
  <c r="AA149" i="7" s="1"/>
  <c r="J149" i="7"/>
  <c r="Z149" i="7" s="1"/>
  <c r="I149" i="7"/>
  <c r="Y149" i="7" s="1"/>
  <c r="H149" i="7"/>
  <c r="X149" i="7" s="1"/>
  <c r="G149" i="7"/>
  <c r="W149" i="7" s="1"/>
  <c r="F149" i="7"/>
  <c r="V149" i="7" s="1"/>
  <c r="E149" i="7"/>
  <c r="U149" i="7" s="1"/>
  <c r="D149" i="7"/>
  <c r="T149" i="7" s="1"/>
  <c r="C149" i="7"/>
  <c r="S149" i="7" s="1"/>
  <c r="B149" i="7"/>
  <c r="R149" i="7" s="1"/>
  <c r="AH149" i="7" s="1"/>
  <c r="AI149" i="7" s="1"/>
  <c r="AP148" i="7"/>
  <c r="AQ148" i="7" s="1"/>
  <c r="AR148" i="7" s="1"/>
  <c r="AS148" i="7" s="1"/>
  <c r="P148" i="7"/>
  <c r="AF148" i="7" s="1"/>
  <c r="O148" i="7"/>
  <c r="AE148" i="7" s="1"/>
  <c r="N148" i="7"/>
  <c r="AD148" i="7" s="1"/>
  <c r="M148" i="7"/>
  <c r="AC148" i="7" s="1"/>
  <c r="L148" i="7"/>
  <c r="AB148" i="7" s="1"/>
  <c r="K148" i="7"/>
  <c r="AA148" i="7" s="1"/>
  <c r="J148" i="7"/>
  <c r="Z148" i="7" s="1"/>
  <c r="I148" i="7"/>
  <c r="Y148" i="7" s="1"/>
  <c r="H148" i="7"/>
  <c r="X148" i="7" s="1"/>
  <c r="G148" i="7"/>
  <c r="W148" i="7" s="1"/>
  <c r="F148" i="7"/>
  <c r="V148" i="7" s="1"/>
  <c r="E148" i="7"/>
  <c r="U148" i="7" s="1"/>
  <c r="D148" i="7"/>
  <c r="T148" i="7" s="1"/>
  <c r="C148" i="7"/>
  <c r="S148" i="7" s="1"/>
  <c r="B148" i="7"/>
  <c r="R148" i="7" s="1"/>
  <c r="AP147" i="7"/>
  <c r="AQ147" i="7" s="1"/>
  <c r="AR147" i="7" s="1"/>
  <c r="AS147" i="7" s="1"/>
  <c r="P147" i="7"/>
  <c r="AF147" i="7" s="1"/>
  <c r="O147" i="7"/>
  <c r="AE147" i="7" s="1"/>
  <c r="N147" i="7"/>
  <c r="AD147" i="7" s="1"/>
  <c r="M147" i="7"/>
  <c r="AC147" i="7" s="1"/>
  <c r="L147" i="7"/>
  <c r="AB147" i="7" s="1"/>
  <c r="K147" i="7"/>
  <c r="AA147" i="7" s="1"/>
  <c r="J147" i="7"/>
  <c r="Z147" i="7" s="1"/>
  <c r="I147" i="7"/>
  <c r="Y147" i="7" s="1"/>
  <c r="H147" i="7"/>
  <c r="X147" i="7" s="1"/>
  <c r="G147" i="7"/>
  <c r="W147" i="7" s="1"/>
  <c r="F147" i="7"/>
  <c r="V147" i="7" s="1"/>
  <c r="E147" i="7"/>
  <c r="U147" i="7" s="1"/>
  <c r="D147" i="7"/>
  <c r="T147" i="7" s="1"/>
  <c r="C147" i="7"/>
  <c r="S147" i="7" s="1"/>
  <c r="B147" i="7"/>
  <c r="R147" i="7" s="1"/>
  <c r="AH147" i="7" s="1"/>
  <c r="AI147" i="7" s="1"/>
  <c r="AP146" i="7"/>
  <c r="AQ146" i="7" s="1"/>
  <c r="AR146" i="7" s="1"/>
  <c r="AS146" i="7" s="1"/>
  <c r="P146" i="7"/>
  <c r="AF146" i="7" s="1"/>
  <c r="O146" i="7"/>
  <c r="AE146" i="7" s="1"/>
  <c r="N146" i="7"/>
  <c r="AD146" i="7" s="1"/>
  <c r="M146" i="7"/>
  <c r="AC146" i="7" s="1"/>
  <c r="L146" i="7"/>
  <c r="AB146" i="7" s="1"/>
  <c r="K146" i="7"/>
  <c r="AA146" i="7" s="1"/>
  <c r="J146" i="7"/>
  <c r="Z146" i="7" s="1"/>
  <c r="I146" i="7"/>
  <c r="Y146" i="7" s="1"/>
  <c r="H146" i="7"/>
  <c r="X146" i="7" s="1"/>
  <c r="G146" i="7"/>
  <c r="W146" i="7" s="1"/>
  <c r="F146" i="7"/>
  <c r="V146" i="7" s="1"/>
  <c r="E146" i="7"/>
  <c r="U146" i="7" s="1"/>
  <c r="D146" i="7"/>
  <c r="T146" i="7" s="1"/>
  <c r="C146" i="7"/>
  <c r="S146" i="7" s="1"/>
  <c r="B146" i="7"/>
  <c r="R146" i="7" s="1"/>
  <c r="AP145" i="7"/>
  <c r="AQ145" i="7" s="1"/>
  <c r="AR145" i="7" s="1"/>
  <c r="AS145" i="7" s="1"/>
  <c r="P145" i="7"/>
  <c r="AF145" i="7" s="1"/>
  <c r="O145" i="7"/>
  <c r="AE145" i="7" s="1"/>
  <c r="N145" i="7"/>
  <c r="AD145" i="7" s="1"/>
  <c r="M145" i="7"/>
  <c r="AC145" i="7" s="1"/>
  <c r="L145" i="7"/>
  <c r="AB145" i="7" s="1"/>
  <c r="K145" i="7"/>
  <c r="AA145" i="7" s="1"/>
  <c r="J145" i="7"/>
  <c r="Z145" i="7" s="1"/>
  <c r="I145" i="7"/>
  <c r="Y145" i="7" s="1"/>
  <c r="H145" i="7"/>
  <c r="X145" i="7" s="1"/>
  <c r="G145" i="7"/>
  <c r="W145" i="7" s="1"/>
  <c r="F145" i="7"/>
  <c r="V145" i="7" s="1"/>
  <c r="E145" i="7"/>
  <c r="U145" i="7" s="1"/>
  <c r="D145" i="7"/>
  <c r="T145" i="7" s="1"/>
  <c r="C145" i="7"/>
  <c r="S145" i="7" s="1"/>
  <c r="B145" i="7"/>
  <c r="R145" i="7" s="1"/>
  <c r="AH145" i="7" s="1"/>
  <c r="AI145" i="7" s="1"/>
  <c r="AP144" i="7"/>
  <c r="AQ144" i="7" s="1"/>
  <c r="AR144" i="7" s="1"/>
  <c r="AS144" i="7" s="1"/>
  <c r="P144" i="7"/>
  <c r="AF144" i="7" s="1"/>
  <c r="O144" i="7"/>
  <c r="AE144" i="7" s="1"/>
  <c r="N144" i="7"/>
  <c r="AD144" i="7" s="1"/>
  <c r="M144" i="7"/>
  <c r="AC144" i="7" s="1"/>
  <c r="L144" i="7"/>
  <c r="AB144" i="7" s="1"/>
  <c r="K144" i="7"/>
  <c r="AA144" i="7" s="1"/>
  <c r="J144" i="7"/>
  <c r="Z144" i="7" s="1"/>
  <c r="I144" i="7"/>
  <c r="Y144" i="7" s="1"/>
  <c r="H144" i="7"/>
  <c r="X144" i="7" s="1"/>
  <c r="G144" i="7"/>
  <c r="W144" i="7" s="1"/>
  <c r="F144" i="7"/>
  <c r="V144" i="7" s="1"/>
  <c r="E144" i="7"/>
  <c r="U144" i="7" s="1"/>
  <c r="D144" i="7"/>
  <c r="T144" i="7" s="1"/>
  <c r="C144" i="7"/>
  <c r="S144" i="7" s="1"/>
  <c r="B144" i="7"/>
  <c r="R144" i="7" s="1"/>
  <c r="AH144" i="7" s="1"/>
  <c r="AI144" i="7" s="1"/>
  <c r="AP143" i="7"/>
  <c r="AQ143" i="7" s="1"/>
  <c r="AR143" i="7" s="1"/>
  <c r="AS143" i="7" s="1"/>
  <c r="P143" i="7"/>
  <c r="AF143" i="7" s="1"/>
  <c r="O143" i="7"/>
  <c r="AE143" i="7" s="1"/>
  <c r="N143" i="7"/>
  <c r="AD143" i="7" s="1"/>
  <c r="M143" i="7"/>
  <c r="AC143" i="7" s="1"/>
  <c r="L143" i="7"/>
  <c r="AB143" i="7" s="1"/>
  <c r="K143" i="7"/>
  <c r="AA143" i="7" s="1"/>
  <c r="J143" i="7"/>
  <c r="Z143" i="7" s="1"/>
  <c r="I143" i="7"/>
  <c r="Y143" i="7" s="1"/>
  <c r="H143" i="7"/>
  <c r="X143" i="7" s="1"/>
  <c r="G143" i="7"/>
  <c r="W143" i="7" s="1"/>
  <c r="F143" i="7"/>
  <c r="V143" i="7" s="1"/>
  <c r="E143" i="7"/>
  <c r="U143" i="7" s="1"/>
  <c r="D143" i="7"/>
  <c r="T143" i="7" s="1"/>
  <c r="C143" i="7"/>
  <c r="S143" i="7" s="1"/>
  <c r="B143" i="7"/>
  <c r="R143" i="7" s="1"/>
  <c r="AH143" i="7" s="1"/>
  <c r="AI143" i="7" s="1"/>
  <c r="AP142" i="7"/>
  <c r="AQ142" i="7" s="1"/>
  <c r="AR142" i="7" s="1"/>
  <c r="AS142" i="7" s="1"/>
  <c r="P142" i="7"/>
  <c r="AF142" i="7" s="1"/>
  <c r="O142" i="7"/>
  <c r="AE142" i="7" s="1"/>
  <c r="N142" i="7"/>
  <c r="AD142" i="7" s="1"/>
  <c r="M142" i="7"/>
  <c r="AC142" i="7" s="1"/>
  <c r="L142" i="7"/>
  <c r="AB142" i="7" s="1"/>
  <c r="K142" i="7"/>
  <c r="AA142" i="7" s="1"/>
  <c r="J142" i="7"/>
  <c r="Z142" i="7" s="1"/>
  <c r="I142" i="7"/>
  <c r="Y142" i="7" s="1"/>
  <c r="H142" i="7"/>
  <c r="X142" i="7" s="1"/>
  <c r="G142" i="7"/>
  <c r="W142" i="7" s="1"/>
  <c r="F142" i="7"/>
  <c r="V142" i="7" s="1"/>
  <c r="E142" i="7"/>
  <c r="U142" i="7" s="1"/>
  <c r="D142" i="7"/>
  <c r="T142" i="7" s="1"/>
  <c r="C142" i="7"/>
  <c r="S142" i="7" s="1"/>
  <c r="B142" i="7"/>
  <c r="R142" i="7" s="1"/>
  <c r="AH142" i="7" s="1"/>
  <c r="AI142" i="7" s="1"/>
  <c r="AP141" i="7"/>
  <c r="AQ141" i="7" s="1"/>
  <c r="AR141" i="7" s="1"/>
  <c r="AS141" i="7" s="1"/>
  <c r="P141" i="7"/>
  <c r="AF141" i="7" s="1"/>
  <c r="O141" i="7"/>
  <c r="AE141" i="7" s="1"/>
  <c r="N141" i="7"/>
  <c r="AD141" i="7" s="1"/>
  <c r="M141" i="7"/>
  <c r="AC141" i="7" s="1"/>
  <c r="L141" i="7"/>
  <c r="AB141" i="7" s="1"/>
  <c r="K141" i="7"/>
  <c r="AA141" i="7" s="1"/>
  <c r="J141" i="7"/>
  <c r="Z141" i="7" s="1"/>
  <c r="I141" i="7"/>
  <c r="Y141" i="7" s="1"/>
  <c r="H141" i="7"/>
  <c r="X141" i="7" s="1"/>
  <c r="G141" i="7"/>
  <c r="W141" i="7" s="1"/>
  <c r="F141" i="7"/>
  <c r="V141" i="7" s="1"/>
  <c r="E141" i="7"/>
  <c r="U141" i="7" s="1"/>
  <c r="D141" i="7"/>
  <c r="T141" i="7" s="1"/>
  <c r="C141" i="7"/>
  <c r="S141" i="7" s="1"/>
  <c r="B141" i="7"/>
  <c r="R141" i="7" s="1"/>
  <c r="AH141" i="7" s="1"/>
  <c r="AI141" i="7" s="1"/>
  <c r="AP140" i="7"/>
  <c r="AQ140" i="7" s="1"/>
  <c r="AR140" i="7" s="1"/>
  <c r="AS140" i="7" s="1"/>
  <c r="P140" i="7"/>
  <c r="AF140" i="7" s="1"/>
  <c r="O140" i="7"/>
  <c r="AE140" i="7" s="1"/>
  <c r="N140" i="7"/>
  <c r="AD140" i="7" s="1"/>
  <c r="M140" i="7"/>
  <c r="AC140" i="7" s="1"/>
  <c r="L140" i="7"/>
  <c r="AB140" i="7" s="1"/>
  <c r="K140" i="7"/>
  <c r="AA140" i="7" s="1"/>
  <c r="J140" i="7"/>
  <c r="Z140" i="7" s="1"/>
  <c r="I140" i="7"/>
  <c r="Y140" i="7" s="1"/>
  <c r="H140" i="7"/>
  <c r="X140" i="7" s="1"/>
  <c r="G140" i="7"/>
  <c r="W140" i="7" s="1"/>
  <c r="F140" i="7"/>
  <c r="V140" i="7" s="1"/>
  <c r="E140" i="7"/>
  <c r="U140" i="7" s="1"/>
  <c r="D140" i="7"/>
  <c r="T140" i="7" s="1"/>
  <c r="C140" i="7"/>
  <c r="S140" i="7" s="1"/>
  <c r="B140" i="7"/>
  <c r="R140" i="7" s="1"/>
  <c r="AH140" i="7" s="1"/>
  <c r="AI140" i="7" s="1"/>
  <c r="AP139" i="7"/>
  <c r="AQ139" i="7" s="1"/>
  <c r="AR139" i="7" s="1"/>
  <c r="AS139" i="7" s="1"/>
  <c r="P139" i="7"/>
  <c r="AF139" i="7" s="1"/>
  <c r="O139" i="7"/>
  <c r="AE139" i="7" s="1"/>
  <c r="N139" i="7"/>
  <c r="AD139" i="7" s="1"/>
  <c r="M139" i="7"/>
  <c r="AC139" i="7" s="1"/>
  <c r="L139" i="7"/>
  <c r="AB139" i="7" s="1"/>
  <c r="K139" i="7"/>
  <c r="AA139" i="7" s="1"/>
  <c r="J139" i="7"/>
  <c r="Z139" i="7" s="1"/>
  <c r="I139" i="7"/>
  <c r="Y139" i="7" s="1"/>
  <c r="H139" i="7"/>
  <c r="X139" i="7" s="1"/>
  <c r="G139" i="7"/>
  <c r="W139" i="7" s="1"/>
  <c r="F139" i="7"/>
  <c r="V139" i="7" s="1"/>
  <c r="E139" i="7"/>
  <c r="U139" i="7" s="1"/>
  <c r="D139" i="7"/>
  <c r="T139" i="7" s="1"/>
  <c r="C139" i="7"/>
  <c r="S139" i="7" s="1"/>
  <c r="B139" i="7"/>
  <c r="R139" i="7" s="1"/>
  <c r="AH139" i="7" s="1"/>
  <c r="AI139" i="7" s="1"/>
  <c r="AP138" i="7"/>
  <c r="AQ138" i="7" s="1"/>
  <c r="AR138" i="7" s="1"/>
  <c r="AS138" i="7" s="1"/>
  <c r="P138" i="7"/>
  <c r="AF138" i="7" s="1"/>
  <c r="O138" i="7"/>
  <c r="AE138" i="7" s="1"/>
  <c r="N138" i="7"/>
  <c r="AD138" i="7" s="1"/>
  <c r="M138" i="7"/>
  <c r="AC138" i="7" s="1"/>
  <c r="L138" i="7"/>
  <c r="AB138" i="7" s="1"/>
  <c r="K138" i="7"/>
  <c r="AA138" i="7" s="1"/>
  <c r="J138" i="7"/>
  <c r="Z138" i="7" s="1"/>
  <c r="I138" i="7"/>
  <c r="Y138" i="7" s="1"/>
  <c r="H138" i="7"/>
  <c r="X138" i="7" s="1"/>
  <c r="G138" i="7"/>
  <c r="W138" i="7" s="1"/>
  <c r="F138" i="7"/>
  <c r="V138" i="7" s="1"/>
  <c r="E138" i="7"/>
  <c r="U138" i="7" s="1"/>
  <c r="D138" i="7"/>
  <c r="T138" i="7" s="1"/>
  <c r="C138" i="7"/>
  <c r="S138" i="7" s="1"/>
  <c r="B138" i="7"/>
  <c r="R138" i="7" s="1"/>
  <c r="AH138" i="7" s="1"/>
  <c r="AI138" i="7" s="1"/>
  <c r="AP137" i="7"/>
  <c r="AQ137" i="7" s="1"/>
  <c r="AR137" i="7" s="1"/>
  <c r="AS137" i="7" s="1"/>
  <c r="P137" i="7"/>
  <c r="AF137" i="7" s="1"/>
  <c r="O137" i="7"/>
  <c r="AE137" i="7" s="1"/>
  <c r="N137" i="7"/>
  <c r="AD137" i="7" s="1"/>
  <c r="M137" i="7"/>
  <c r="AC137" i="7" s="1"/>
  <c r="L137" i="7"/>
  <c r="AB137" i="7" s="1"/>
  <c r="K137" i="7"/>
  <c r="AA137" i="7" s="1"/>
  <c r="J137" i="7"/>
  <c r="Z137" i="7" s="1"/>
  <c r="I137" i="7"/>
  <c r="Y137" i="7" s="1"/>
  <c r="H137" i="7"/>
  <c r="X137" i="7" s="1"/>
  <c r="G137" i="7"/>
  <c r="W137" i="7" s="1"/>
  <c r="F137" i="7"/>
  <c r="V137" i="7" s="1"/>
  <c r="E137" i="7"/>
  <c r="U137" i="7" s="1"/>
  <c r="D137" i="7"/>
  <c r="T137" i="7" s="1"/>
  <c r="C137" i="7"/>
  <c r="S137" i="7" s="1"/>
  <c r="B137" i="7"/>
  <c r="R137" i="7" s="1"/>
  <c r="AH137" i="7" s="1"/>
  <c r="AI137" i="7" s="1"/>
  <c r="AP136" i="7"/>
  <c r="AQ136" i="7" s="1"/>
  <c r="AR136" i="7" s="1"/>
  <c r="AS136" i="7" s="1"/>
  <c r="P136" i="7"/>
  <c r="AF136" i="7" s="1"/>
  <c r="O136" i="7"/>
  <c r="AE136" i="7" s="1"/>
  <c r="N136" i="7"/>
  <c r="AD136" i="7" s="1"/>
  <c r="M136" i="7"/>
  <c r="AC136" i="7" s="1"/>
  <c r="L136" i="7"/>
  <c r="AB136" i="7" s="1"/>
  <c r="K136" i="7"/>
  <c r="AA136" i="7" s="1"/>
  <c r="J136" i="7"/>
  <c r="Z136" i="7" s="1"/>
  <c r="I136" i="7"/>
  <c r="Y136" i="7" s="1"/>
  <c r="H136" i="7"/>
  <c r="X136" i="7" s="1"/>
  <c r="G136" i="7"/>
  <c r="W136" i="7" s="1"/>
  <c r="F136" i="7"/>
  <c r="V136" i="7" s="1"/>
  <c r="E136" i="7"/>
  <c r="U136" i="7" s="1"/>
  <c r="D136" i="7"/>
  <c r="T136" i="7" s="1"/>
  <c r="C136" i="7"/>
  <c r="S136" i="7" s="1"/>
  <c r="B136" i="7"/>
  <c r="R136" i="7" s="1"/>
  <c r="AH136" i="7" s="1"/>
  <c r="AI136" i="7" s="1"/>
  <c r="AP135" i="7"/>
  <c r="AQ135" i="7" s="1"/>
  <c r="AR135" i="7" s="1"/>
  <c r="AS135" i="7" s="1"/>
  <c r="P135" i="7"/>
  <c r="AF135" i="7" s="1"/>
  <c r="O135" i="7"/>
  <c r="AE135" i="7" s="1"/>
  <c r="N135" i="7"/>
  <c r="AD135" i="7" s="1"/>
  <c r="M135" i="7"/>
  <c r="AC135" i="7" s="1"/>
  <c r="L135" i="7"/>
  <c r="AB135" i="7" s="1"/>
  <c r="K135" i="7"/>
  <c r="AA135" i="7" s="1"/>
  <c r="J135" i="7"/>
  <c r="Z135" i="7" s="1"/>
  <c r="I135" i="7"/>
  <c r="Y135" i="7" s="1"/>
  <c r="H135" i="7"/>
  <c r="X135" i="7" s="1"/>
  <c r="G135" i="7"/>
  <c r="W135" i="7" s="1"/>
  <c r="F135" i="7"/>
  <c r="V135" i="7" s="1"/>
  <c r="E135" i="7"/>
  <c r="U135" i="7" s="1"/>
  <c r="D135" i="7"/>
  <c r="T135" i="7" s="1"/>
  <c r="C135" i="7"/>
  <c r="S135" i="7" s="1"/>
  <c r="B135" i="7"/>
  <c r="R135" i="7" s="1"/>
  <c r="AH135" i="7" s="1"/>
  <c r="AI135" i="7" s="1"/>
  <c r="AP134" i="7"/>
  <c r="AQ134" i="7" s="1"/>
  <c r="AR134" i="7" s="1"/>
  <c r="AS134" i="7" s="1"/>
  <c r="P134" i="7"/>
  <c r="AF134" i="7" s="1"/>
  <c r="O134" i="7"/>
  <c r="AE134" i="7" s="1"/>
  <c r="N134" i="7"/>
  <c r="AD134" i="7" s="1"/>
  <c r="M134" i="7"/>
  <c r="AC134" i="7" s="1"/>
  <c r="L134" i="7"/>
  <c r="AB134" i="7" s="1"/>
  <c r="K134" i="7"/>
  <c r="AA134" i="7" s="1"/>
  <c r="J134" i="7"/>
  <c r="Z134" i="7" s="1"/>
  <c r="I134" i="7"/>
  <c r="Y134" i="7" s="1"/>
  <c r="H134" i="7"/>
  <c r="X134" i="7" s="1"/>
  <c r="G134" i="7"/>
  <c r="W134" i="7" s="1"/>
  <c r="F134" i="7"/>
  <c r="V134" i="7" s="1"/>
  <c r="E134" i="7"/>
  <c r="U134" i="7" s="1"/>
  <c r="D134" i="7"/>
  <c r="T134" i="7" s="1"/>
  <c r="C134" i="7"/>
  <c r="S134" i="7" s="1"/>
  <c r="B134" i="7"/>
  <c r="R134" i="7" s="1"/>
  <c r="AH134" i="7" s="1"/>
  <c r="AI134" i="7" s="1"/>
  <c r="AP133" i="7"/>
  <c r="AQ133" i="7" s="1"/>
  <c r="AR133" i="7" s="1"/>
  <c r="AS133" i="7" s="1"/>
  <c r="P133" i="7"/>
  <c r="AF133" i="7" s="1"/>
  <c r="O133" i="7"/>
  <c r="AE133" i="7" s="1"/>
  <c r="N133" i="7"/>
  <c r="AD133" i="7" s="1"/>
  <c r="M133" i="7"/>
  <c r="AC133" i="7" s="1"/>
  <c r="L133" i="7"/>
  <c r="AB133" i="7" s="1"/>
  <c r="K133" i="7"/>
  <c r="AA133" i="7" s="1"/>
  <c r="J133" i="7"/>
  <c r="Z133" i="7" s="1"/>
  <c r="I133" i="7"/>
  <c r="Y133" i="7" s="1"/>
  <c r="H133" i="7"/>
  <c r="X133" i="7" s="1"/>
  <c r="G133" i="7"/>
  <c r="W133" i="7" s="1"/>
  <c r="F133" i="7"/>
  <c r="V133" i="7" s="1"/>
  <c r="E133" i="7"/>
  <c r="U133" i="7" s="1"/>
  <c r="D133" i="7"/>
  <c r="T133" i="7" s="1"/>
  <c r="C133" i="7"/>
  <c r="S133" i="7" s="1"/>
  <c r="B133" i="7"/>
  <c r="R133" i="7" s="1"/>
  <c r="AH133" i="7" s="1"/>
  <c r="AI133" i="7" s="1"/>
  <c r="AP132" i="7"/>
  <c r="AQ132" i="7" s="1"/>
  <c r="AR132" i="7" s="1"/>
  <c r="AS132" i="7" s="1"/>
  <c r="P132" i="7"/>
  <c r="AF132" i="7" s="1"/>
  <c r="AH132" i="7" s="1"/>
  <c r="AI132" i="7" s="1"/>
  <c r="O132" i="7"/>
  <c r="AE132" i="7" s="1"/>
  <c r="N132" i="7"/>
  <c r="AD132" i="7" s="1"/>
  <c r="M132" i="7"/>
  <c r="AC132" i="7" s="1"/>
  <c r="L132" i="7"/>
  <c r="AB132" i="7" s="1"/>
  <c r="K132" i="7"/>
  <c r="AA132" i="7" s="1"/>
  <c r="J132" i="7"/>
  <c r="Z132" i="7" s="1"/>
  <c r="I132" i="7"/>
  <c r="Y132" i="7" s="1"/>
  <c r="H132" i="7"/>
  <c r="X132" i="7" s="1"/>
  <c r="G132" i="7"/>
  <c r="W132" i="7" s="1"/>
  <c r="F132" i="7"/>
  <c r="V132" i="7" s="1"/>
  <c r="E132" i="7"/>
  <c r="U132" i="7" s="1"/>
  <c r="D132" i="7"/>
  <c r="T132" i="7" s="1"/>
  <c r="C132" i="7"/>
  <c r="S132" i="7" s="1"/>
  <c r="B132" i="7"/>
  <c r="R132" i="7" s="1"/>
  <c r="AP131" i="7"/>
  <c r="AQ131" i="7" s="1"/>
  <c r="AR131" i="7" s="1"/>
  <c r="AS131" i="7" s="1"/>
  <c r="P131" i="7"/>
  <c r="AF131" i="7" s="1"/>
  <c r="O131" i="7"/>
  <c r="AE131" i="7" s="1"/>
  <c r="N131" i="7"/>
  <c r="AD131" i="7" s="1"/>
  <c r="M131" i="7"/>
  <c r="AC131" i="7" s="1"/>
  <c r="L131" i="7"/>
  <c r="AB131" i="7" s="1"/>
  <c r="K131" i="7"/>
  <c r="AA131" i="7" s="1"/>
  <c r="J131" i="7"/>
  <c r="Z131" i="7" s="1"/>
  <c r="I131" i="7"/>
  <c r="Y131" i="7" s="1"/>
  <c r="H131" i="7"/>
  <c r="X131" i="7" s="1"/>
  <c r="G131" i="7"/>
  <c r="W131" i="7" s="1"/>
  <c r="F131" i="7"/>
  <c r="V131" i="7" s="1"/>
  <c r="E131" i="7"/>
  <c r="U131" i="7" s="1"/>
  <c r="D131" i="7"/>
  <c r="T131" i="7" s="1"/>
  <c r="C131" i="7"/>
  <c r="S131" i="7" s="1"/>
  <c r="B131" i="7"/>
  <c r="R131" i="7" s="1"/>
  <c r="AH131" i="7" s="1"/>
  <c r="AI131" i="7" s="1"/>
  <c r="AP130" i="7"/>
  <c r="AQ130" i="7" s="1"/>
  <c r="AR130" i="7" s="1"/>
  <c r="AS130" i="7" s="1"/>
  <c r="P130" i="7"/>
  <c r="AF130" i="7" s="1"/>
  <c r="O130" i="7"/>
  <c r="AE130" i="7" s="1"/>
  <c r="N130" i="7"/>
  <c r="AD130" i="7" s="1"/>
  <c r="M130" i="7"/>
  <c r="AC130" i="7" s="1"/>
  <c r="L130" i="7"/>
  <c r="AB130" i="7" s="1"/>
  <c r="K130" i="7"/>
  <c r="AA130" i="7" s="1"/>
  <c r="J130" i="7"/>
  <c r="Z130" i="7" s="1"/>
  <c r="I130" i="7"/>
  <c r="Y130" i="7" s="1"/>
  <c r="H130" i="7"/>
  <c r="X130" i="7" s="1"/>
  <c r="G130" i="7"/>
  <c r="W130" i="7" s="1"/>
  <c r="F130" i="7"/>
  <c r="V130" i="7" s="1"/>
  <c r="E130" i="7"/>
  <c r="U130" i="7" s="1"/>
  <c r="D130" i="7"/>
  <c r="T130" i="7" s="1"/>
  <c r="C130" i="7"/>
  <c r="S130" i="7" s="1"/>
  <c r="B130" i="7"/>
  <c r="R130" i="7" s="1"/>
  <c r="AH130" i="7" s="1"/>
  <c r="AI130" i="7" s="1"/>
  <c r="AP129" i="7"/>
  <c r="AQ129" i="7" s="1"/>
  <c r="AR129" i="7" s="1"/>
  <c r="AS129" i="7" s="1"/>
  <c r="P129" i="7"/>
  <c r="AF129" i="7" s="1"/>
  <c r="O129" i="7"/>
  <c r="AE129" i="7" s="1"/>
  <c r="N129" i="7"/>
  <c r="AD129" i="7" s="1"/>
  <c r="M129" i="7"/>
  <c r="AC129" i="7" s="1"/>
  <c r="L129" i="7"/>
  <c r="AB129" i="7" s="1"/>
  <c r="K129" i="7"/>
  <c r="AA129" i="7" s="1"/>
  <c r="J129" i="7"/>
  <c r="Z129" i="7" s="1"/>
  <c r="I129" i="7"/>
  <c r="Y129" i="7" s="1"/>
  <c r="H129" i="7"/>
  <c r="X129" i="7" s="1"/>
  <c r="G129" i="7"/>
  <c r="W129" i="7" s="1"/>
  <c r="F129" i="7"/>
  <c r="V129" i="7" s="1"/>
  <c r="E129" i="7"/>
  <c r="U129" i="7" s="1"/>
  <c r="D129" i="7"/>
  <c r="T129" i="7" s="1"/>
  <c r="C129" i="7"/>
  <c r="S129" i="7" s="1"/>
  <c r="B129" i="7"/>
  <c r="R129" i="7" s="1"/>
  <c r="AH129" i="7" s="1"/>
  <c r="AI129" i="7" s="1"/>
  <c r="AP128" i="7"/>
  <c r="AQ128" i="7" s="1"/>
  <c r="AR128" i="7" s="1"/>
  <c r="AS128" i="7" s="1"/>
  <c r="P128" i="7"/>
  <c r="AF128" i="7" s="1"/>
  <c r="O128" i="7"/>
  <c r="AE128" i="7" s="1"/>
  <c r="N128" i="7"/>
  <c r="AD128" i="7" s="1"/>
  <c r="M128" i="7"/>
  <c r="AC128" i="7" s="1"/>
  <c r="L128" i="7"/>
  <c r="AB128" i="7" s="1"/>
  <c r="K128" i="7"/>
  <c r="AA128" i="7" s="1"/>
  <c r="J128" i="7"/>
  <c r="Z128" i="7" s="1"/>
  <c r="I128" i="7"/>
  <c r="Y128" i="7" s="1"/>
  <c r="H128" i="7"/>
  <c r="X128" i="7" s="1"/>
  <c r="G128" i="7"/>
  <c r="W128" i="7" s="1"/>
  <c r="F128" i="7"/>
  <c r="V128" i="7" s="1"/>
  <c r="E128" i="7"/>
  <c r="U128" i="7" s="1"/>
  <c r="D128" i="7"/>
  <c r="T128" i="7" s="1"/>
  <c r="C128" i="7"/>
  <c r="S128" i="7" s="1"/>
  <c r="B128" i="7"/>
  <c r="R128" i="7" s="1"/>
  <c r="AH128" i="7" s="1"/>
  <c r="AI128" i="7" s="1"/>
  <c r="AP127" i="7"/>
  <c r="AQ127" i="7" s="1"/>
  <c r="AR127" i="7" s="1"/>
  <c r="AS127" i="7" s="1"/>
  <c r="P127" i="7"/>
  <c r="AF127" i="7" s="1"/>
  <c r="O127" i="7"/>
  <c r="AE127" i="7" s="1"/>
  <c r="N127" i="7"/>
  <c r="AD127" i="7" s="1"/>
  <c r="M127" i="7"/>
  <c r="AC127" i="7" s="1"/>
  <c r="L127" i="7"/>
  <c r="AB127" i="7" s="1"/>
  <c r="K127" i="7"/>
  <c r="AA127" i="7" s="1"/>
  <c r="J127" i="7"/>
  <c r="Z127" i="7" s="1"/>
  <c r="I127" i="7"/>
  <c r="Y127" i="7" s="1"/>
  <c r="H127" i="7"/>
  <c r="X127" i="7" s="1"/>
  <c r="G127" i="7"/>
  <c r="W127" i="7" s="1"/>
  <c r="F127" i="7"/>
  <c r="V127" i="7" s="1"/>
  <c r="E127" i="7"/>
  <c r="U127" i="7" s="1"/>
  <c r="D127" i="7"/>
  <c r="T127" i="7" s="1"/>
  <c r="C127" i="7"/>
  <c r="S127" i="7" s="1"/>
  <c r="B127" i="7"/>
  <c r="R127" i="7" s="1"/>
  <c r="AH127" i="7" s="1"/>
  <c r="AI127" i="7" s="1"/>
  <c r="AP126" i="7"/>
  <c r="AQ126" i="7" s="1"/>
  <c r="AR126" i="7" s="1"/>
  <c r="AS126" i="7" s="1"/>
  <c r="P126" i="7"/>
  <c r="AF126" i="7" s="1"/>
  <c r="O126" i="7"/>
  <c r="AE126" i="7" s="1"/>
  <c r="N126" i="7"/>
  <c r="AD126" i="7" s="1"/>
  <c r="M126" i="7"/>
  <c r="AC126" i="7" s="1"/>
  <c r="L126" i="7"/>
  <c r="AB126" i="7" s="1"/>
  <c r="K126" i="7"/>
  <c r="AA126" i="7" s="1"/>
  <c r="J126" i="7"/>
  <c r="Z126" i="7" s="1"/>
  <c r="I126" i="7"/>
  <c r="Y126" i="7" s="1"/>
  <c r="H126" i="7"/>
  <c r="X126" i="7" s="1"/>
  <c r="G126" i="7"/>
  <c r="W126" i="7" s="1"/>
  <c r="F126" i="7"/>
  <c r="V126" i="7" s="1"/>
  <c r="E126" i="7"/>
  <c r="U126" i="7" s="1"/>
  <c r="D126" i="7"/>
  <c r="T126" i="7" s="1"/>
  <c r="C126" i="7"/>
  <c r="S126" i="7" s="1"/>
  <c r="B126" i="7"/>
  <c r="R126" i="7" s="1"/>
  <c r="AP125" i="7"/>
  <c r="AQ125" i="7" s="1"/>
  <c r="AR125" i="7" s="1"/>
  <c r="AS125" i="7" s="1"/>
  <c r="P125" i="7"/>
  <c r="AF125" i="7" s="1"/>
  <c r="O125" i="7"/>
  <c r="AE125" i="7" s="1"/>
  <c r="N125" i="7"/>
  <c r="AD125" i="7" s="1"/>
  <c r="M125" i="7"/>
  <c r="AC125" i="7" s="1"/>
  <c r="L125" i="7"/>
  <c r="AB125" i="7" s="1"/>
  <c r="K125" i="7"/>
  <c r="AA125" i="7" s="1"/>
  <c r="J125" i="7"/>
  <c r="Z125" i="7" s="1"/>
  <c r="I125" i="7"/>
  <c r="Y125" i="7" s="1"/>
  <c r="H125" i="7"/>
  <c r="X125" i="7" s="1"/>
  <c r="G125" i="7"/>
  <c r="W125" i="7" s="1"/>
  <c r="F125" i="7"/>
  <c r="V125" i="7" s="1"/>
  <c r="E125" i="7"/>
  <c r="U125" i="7" s="1"/>
  <c r="D125" i="7"/>
  <c r="T125" i="7" s="1"/>
  <c r="C125" i="7"/>
  <c r="S125" i="7" s="1"/>
  <c r="B125" i="7"/>
  <c r="R125" i="7" s="1"/>
  <c r="AP124" i="7"/>
  <c r="AQ124" i="7" s="1"/>
  <c r="AR124" i="7" s="1"/>
  <c r="AS124" i="7" s="1"/>
  <c r="P124" i="7"/>
  <c r="AF124" i="7" s="1"/>
  <c r="O124" i="7"/>
  <c r="AE124" i="7" s="1"/>
  <c r="N124" i="7"/>
  <c r="AD124" i="7" s="1"/>
  <c r="M124" i="7"/>
  <c r="AC124" i="7" s="1"/>
  <c r="L124" i="7"/>
  <c r="AB124" i="7" s="1"/>
  <c r="K124" i="7"/>
  <c r="AA124" i="7" s="1"/>
  <c r="J124" i="7"/>
  <c r="Z124" i="7" s="1"/>
  <c r="I124" i="7"/>
  <c r="Y124" i="7" s="1"/>
  <c r="H124" i="7"/>
  <c r="X124" i="7" s="1"/>
  <c r="G124" i="7"/>
  <c r="W124" i="7" s="1"/>
  <c r="F124" i="7"/>
  <c r="V124" i="7" s="1"/>
  <c r="E124" i="7"/>
  <c r="U124" i="7" s="1"/>
  <c r="D124" i="7"/>
  <c r="T124" i="7" s="1"/>
  <c r="C124" i="7"/>
  <c r="S124" i="7" s="1"/>
  <c r="B124" i="7"/>
  <c r="R124" i="7" s="1"/>
  <c r="AP123" i="7"/>
  <c r="AQ123" i="7" s="1"/>
  <c r="AR123" i="7" s="1"/>
  <c r="AS123" i="7" s="1"/>
  <c r="P123" i="7"/>
  <c r="AF123" i="7" s="1"/>
  <c r="O123" i="7"/>
  <c r="AE123" i="7" s="1"/>
  <c r="N123" i="7"/>
  <c r="AD123" i="7" s="1"/>
  <c r="M123" i="7"/>
  <c r="AC123" i="7" s="1"/>
  <c r="L123" i="7"/>
  <c r="AB123" i="7" s="1"/>
  <c r="K123" i="7"/>
  <c r="AA123" i="7" s="1"/>
  <c r="J123" i="7"/>
  <c r="Z123" i="7" s="1"/>
  <c r="I123" i="7"/>
  <c r="Y123" i="7" s="1"/>
  <c r="H123" i="7"/>
  <c r="X123" i="7" s="1"/>
  <c r="G123" i="7"/>
  <c r="W123" i="7" s="1"/>
  <c r="F123" i="7"/>
  <c r="V123" i="7" s="1"/>
  <c r="E123" i="7"/>
  <c r="U123" i="7" s="1"/>
  <c r="D123" i="7"/>
  <c r="T123" i="7" s="1"/>
  <c r="C123" i="7"/>
  <c r="S123" i="7" s="1"/>
  <c r="B123" i="7"/>
  <c r="R123" i="7" s="1"/>
  <c r="AP122" i="7"/>
  <c r="AQ122" i="7" s="1"/>
  <c r="AR122" i="7" s="1"/>
  <c r="AS122" i="7" s="1"/>
  <c r="P122" i="7"/>
  <c r="AF122" i="7" s="1"/>
  <c r="O122" i="7"/>
  <c r="AE122" i="7" s="1"/>
  <c r="N122" i="7"/>
  <c r="AD122" i="7" s="1"/>
  <c r="M122" i="7"/>
  <c r="AC122" i="7" s="1"/>
  <c r="L122" i="7"/>
  <c r="AB122" i="7" s="1"/>
  <c r="K122" i="7"/>
  <c r="AA122" i="7" s="1"/>
  <c r="J122" i="7"/>
  <c r="Z122" i="7" s="1"/>
  <c r="I122" i="7"/>
  <c r="Y122" i="7" s="1"/>
  <c r="H122" i="7"/>
  <c r="X122" i="7" s="1"/>
  <c r="G122" i="7"/>
  <c r="W122" i="7" s="1"/>
  <c r="F122" i="7"/>
  <c r="V122" i="7" s="1"/>
  <c r="E122" i="7"/>
  <c r="U122" i="7" s="1"/>
  <c r="D122" i="7"/>
  <c r="T122" i="7" s="1"/>
  <c r="C122" i="7"/>
  <c r="S122" i="7" s="1"/>
  <c r="B122" i="7"/>
  <c r="R122" i="7" s="1"/>
  <c r="AP121" i="7"/>
  <c r="AQ121" i="7" s="1"/>
  <c r="AR121" i="7" s="1"/>
  <c r="AS121" i="7" s="1"/>
  <c r="P121" i="7"/>
  <c r="AF121" i="7" s="1"/>
  <c r="O121" i="7"/>
  <c r="AE121" i="7" s="1"/>
  <c r="N121" i="7"/>
  <c r="AD121" i="7" s="1"/>
  <c r="M121" i="7"/>
  <c r="AC121" i="7" s="1"/>
  <c r="L121" i="7"/>
  <c r="AB121" i="7" s="1"/>
  <c r="K121" i="7"/>
  <c r="AA121" i="7" s="1"/>
  <c r="J121" i="7"/>
  <c r="Z121" i="7" s="1"/>
  <c r="I121" i="7"/>
  <c r="Y121" i="7" s="1"/>
  <c r="H121" i="7"/>
  <c r="X121" i="7" s="1"/>
  <c r="G121" i="7"/>
  <c r="W121" i="7" s="1"/>
  <c r="F121" i="7"/>
  <c r="V121" i="7" s="1"/>
  <c r="E121" i="7"/>
  <c r="U121" i="7" s="1"/>
  <c r="D121" i="7"/>
  <c r="T121" i="7" s="1"/>
  <c r="C121" i="7"/>
  <c r="S121" i="7" s="1"/>
  <c r="B121" i="7"/>
  <c r="R121" i="7" s="1"/>
  <c r="AP120" i="7"/>
  <c r="AQ120" i="7" s="1"/>
  <c r="AR120" i="7" s="1"/>
  <c r="AS120" i="7" s="1"/>
  <c r="P120" i="7"/>
  <c r="AF120" i="7" s="1"/>
  <c r="O120" i="7"/>
  <c r="AE120" i="7" s="1"/>
  <c r="N120" i="7"/>
  <c r="AD120" i="7" s="1"/>
  <c r="M120" i="7"/>
  <c r="AC120" i="7" s="1"/>
  <c r="L120" i="7"/>
  <c r="AB120" i="7" s="1"/>
  <c r="K120" i="7"/>
  <c r="AA120" i="7" s="1"/>
  <c r="J120" i="7"/>
  <c r="Z120" i="7" s="1"/>
  <c r="I120" i="7"/>
  <c r="Y120" i="7" s="1"/>
  <c r="H120" i="7"/>
  <c r="X120" i="7" s="1"/>
  <c r="G120" i="7"/>
  <c r="W120" i="7" s="1"/>
  <c r="F120" i="7"/>
  <c r="V120" i="7" s="1"/>
  <c r="E120" i="7"/>
  <c r="U120" i="7" s="1"/>
  <c r="D120" i="7"/>
  <c r="T120" i="7" s="1"/>
  <c r="C120" i="7"/>
  <c r="S120" i="7" s="1"/>
  <c r="B120" i="7"/>
  <c r="R120" i="7" s="1"/>
  <c r="AP119" i="7"/>
  <c r="AQ119" i="7" s="1"/>
  <c r="AR119" i="7" s="1"/>
  <c r="AS119" i="7" s="1"/>
  <c r="P119" i="7"/>
  <c r="AF119" i="7" s="1"/>
  <c r="O119" i="7"/>
  <c r="AE119" i="7" s="1"/>
  <c r="N119" i="7"/>
  <c r="AD119" i="7" s="1"/>
  <c r="M119" i="7"/>
  <c r="AC119" i="7" s="1"/>
  <c r="L119" i="7"/>
  <c r="AB119" i="7" s="1"/>
  <c r="K119" i="7"/>
  <c r="AA119" i="7" s="1"/>
  <c r="J119" i="7"/>
  <c r="Z119" i="7" s="1"/>
  <c r="I119" i="7"/>
  <c r="Y119" i="7" s="1"/>
  <c r="H119" i="7"/>
  <c r="X119" i="7" s="1"/>
  <c r="G119" i="7"/>
  <c r="W119" i="7" s="1"/>
  <c r="F119" i="7"/>
  <c r="V119" i="7" s="1"/>
  <c r="E119" i="7"/>
  <c r="U119" i="7" s="1"/>
  <c r="D119" i="7"/>
  <c r="T119" i="7" s="1"/>
  <c r="C119" i="7"/>
  <c r="S119" i="7" s="1"/>
  <c r="B119" i="7"/>
  <c r="R119" i="7" s="1"/>
  <c r="AP118" i="7"/>
  <c r="AQ118" i="7" s="1"/>
  <c r="AR118" i="7" s="1"/>
  <c r="AS118" i="7" s="1"/>
  <c r="P118" i="7"/>
  <c r="AF118" i="7" s="1"/>
  <c r="O118" i="7"/>
  <c r="AE118" i="7" s="1"/>
  <c r="N118" i="7"/>
  <c r="AD118" i="7" s="1"/>
  <c r="M118" i="7"/>
  <c r="AC118" i="7" s="1"/>
  <c r="L118" i="7"/>
  <c r="AB118" i="7" s="1"/>
  <c r="K118" i="7"/>
  <c r="AA118" i="7" s="1"/>
  <c r="J118" i="7"/>
  <c r="Z118" i="7" s="1"/>
  <c r="I118" i="7"/>
  <c r="Y118" i="7" s="1"/>
  <c r="H118" i="7"/>
  <c r="X118" i="7" s="1"/>
  <c r="G118" i="7"/>
  <c r="W118" i="7" s="1"/>
  <c r="F118" i="7"/>
  <c r="V118" i="7" s="1"/>
  <c r="E118" i="7"/>
  <c r="U118" i="7" s="1"/>
  <c r="D118" i="7"/>
  <c r="T118" i="7" s="1"/>
  <c r="C118" i="7"/>
  <c r="S118" i="7" s="1"/>
  <c r="B118" i="7"/>
  <c r="R118" i="7" s="1"/>
  <c r="AP117" i="7"/>
  <c r="AQ117" i="7" s="1"/>
  <c r="AR117" i="7" s="1"/>
  <c r="AS117" i="7" s="1"/>
  <c r="P117" i="7"/>
  <c r="AF117" i="7" s="1"/>
  <c r="O117" i="7"/>
  <c r="AE117" i="7" s="1"/>
  <c r="N117" i="7"/>
  <c r="AD117" i="7" s="1"/>
  <c r="M117" i="7"/>
  <c r="AC117" i="7" s="1"/>
  <c r="L117" i="7"/>
  <c r="AB117" i="7" s="1"/>
  <c r="K117" i="7"/>
  <c r="AA117" i="7" s="1"/>
  <c r="J117" i="7"/>
  <c r="Z117" i="7" s="1"/>
  <c r="I117" i="7"/>
  <c r="Y117" i="7" s="1"/>
  <c r="H117" i="7"/>
  <c r="X117" i="7" s="1"/>
  <c r="G117" i="7"/>
  <c r="W117" i="7" s="1"/>
  <c r="F117" i="7"/>
  <c r="V117" i="7" s="1"/>
  <c r="E117" i="7"/>
  <c r="U117" i="7" s="1"/>
  <c r="D117" i="7"/>
  <c r="T117" i="7" s="1"/>
  <c r="C117" i="7"/>
  <c r="S117" i="7" s="1"/>
  <c r="B117" i="7"/>
  <c r="R117" i="7" s="1"/>
  <c r="AH117" i="7" s="1"/>
  <c r="AI117" i="7" s="1"/>
  <c r="AP116" i="7"/>
  <c r="AQ116" i="7" s="1"/>
  <c r="AR116" i="7" s="1"/>
  <c r="AS116" i="7" s="1"/>
  <c r="P116" i="7"/>
  <c r="AF116" i="7" s="1"/>
  <c r="O116" i="7"/>
  <c r="AE116" i="7" s="1"/>
  <c r="N116" i="7"/>
  <c r="AD116" i="7" s="1"/>
  <c r="M116" i="7"/>
  <c r="AC116" i="7" s="1"/>
  <c r="L116" i="7"/>
  <c r="AB116" i="7" s="1"/>
  <c r="K116" i="7"/>
  <c r="AA116" i="7" s="1"/>
  <c r="J116" i="7"/>
  <c r="Z116" i="7" s="1"/>
  <c r="I116" i="7"/>
  <c r="Y116" i="7" s="1"/>
  <c r="H116" i="7"/>
  <c r="X116" i="7" s="1"/>
  <c r="G116" i="7"/>
  <c r="W116" i="7" s="1"/>
  <c r="F116" i="7"/>
  <c r="V116" i="7" s="1"/>
  <c r="E116" i="7"/>
  <c r="U116" i="7" s="1"/>
  <c r="D116" i="7"/>
  <c r="T116" i="7" s="1"/>
  <c r="C116" i="7"/>
  <c r="S116" i="7" s="1"/>
  <c r="B116" i="7"/>
  <c r="R116" i="7" s="1"/>
  <c r="AH116" i="7" s="1"/>
  <c r="AI116" i="7" s="1"/>
  <c r="AP115" i="7"/>
  <c r="AQ115" i="7" s="1"/>
  <c r="AR115" i="7" s="1"/>
  <c r="AS115" i="7" s="1"/>
  <c r="P115" i="7"/>
  <c r="AF115" i="7" s="1"/>
  <c r="O115" i="7"/>
  <c r="AE115" i="7" s="1"/>
  <c r="N115" i="7"/>
  <c r="AD115" i="7" s="1"/>
  <c r="M115" i="7"/>
  <c r="AC115" i="7" s="1"/>
  <c r="L115" i="7"/>
  <c r="AB115" i="7" s="1"/>
  <c r="K115" i="7"/>
  <c r="AA115" i="7" s="1"/>
  <c r="J115" i="7"/>
  <c r="Z115" i="7" s="1"/>
  <c r="I115" i="7"/>
  <c r="Y115" i="7" s="1"/>
  <c r="H115" i="7"/>
  <c r="X115" i="7" s="1"/>
  <c r="G115" i="7"/>
  <c r="W115" i="7" s="1"/>
  <c r="F115" i="7"/>
  <c r="V115" i="7" s="1"/>
  <c r="E115" i="7"/>
  <c r="U115" i="7" s="1"/>
  <c r="D115" i="7"/>
  <c r="T115" i="7" s="1"/>
  <c r="C115" i="7"/>
  <c r="S115" i="7" s="1"/>
  <c r="B115" i="7"/>
  <c r="R115" i="7" s="1"/>
  <c r="AP114" i="7"/>
  <c r="AQ114" i="7" s="1"/>
  <c r="AR114" i="7" s="1"/>
  <c r="AS114" i="7" s="1"/>
  <c r="P114" i="7"/>
  <c r="AF114" i="7" s="1"/>
  <c r="O114" i="7"/>
  <c r="AE114" i="7" s="1"/>
  <c r="N114" i="7"/>
  <c r="AD114" i="7" s="1"/>
  <c r="M114" i="7"/>
  <c r="AC114" i="7" s="1"/>
  <c r="L114" i="7"/>
  <c r="AB114" i="7" s="1"/>
  <c r="K114" i="7"/>
  <c r="AA114" i="7" s="1"/>
  <c r="J114" i="7"/>
  <c r="Z114" i="7" s="1"/>
  <c r="I114" i="7"/>
  <c r="Y114" i="7" s="1"/>
  <c r="H114" i="7"/>
  <c r="X114" i="7" s="1"/>
  <c r="G114" i="7"/>
  <c r="W114" i="7" s="1"/>
  <c r="F114" i="7"/>
  <c r="V114" i="7" s="1"/>
  <c r="E114" i="7"/>
  <c r="U114" i="7" s="1"/>
  <c r="D114" i="7"/>
  <c r="T114" i="7" s="1"/>
  <c r="C114" i="7"/>
  <c r="S114" i="7" s="1"/>
  <c r="B114" i="7"/>
  <c r="R114" i="7" s="1"/>
  <c r="AP113" i="7"/>
  <c r="AQ113" i="7" s="1"/>
  <c r="AR113" i="7" s="1"/>
  <c r="AS113" i="7" s="1"/>
  <c r="P113" i="7"/>
  <c r="AF113" i="7" s="1"/>
  <c r="O113" i="7"/>
  <c r="AE113" i="7" s="1"/>
  <c r="N113" i="7"/>
  <c r="AD113" i="7" s="1"/>
  <c r="M113" i="7"/>
  <c r="AC113" i="7" s="1"/>
  <c r="L113" i="7"/>
  <c r="AB113" i="7" s="1"/>
  <c r="K113" i="7"/>
  <c r="AA113" i="7" s="1"/>
  <c r="J113" i="7"/>
  <c r="Z113" i="7" s="1"/>
  <c r="I113" i="7"/>
  <c r="Y113" i="7" s="1"/>
  <c r="H113" i="7"/>
  <c r="X113" i="7" s="1"/>
  <c r="G113" i="7"/>
  <c r="W113" i="7" s="1"/>
  <c r="F113" i="7"/>
  <c r="V113" i="7" s="1"/>
  <c r="E113" i="7"/>
  <c r="U113" i="7" s="1"/>
  <c r="D113" i="7"/>
  <c r="T113" i="7" s="1"/>
  <c r="C113" i="7"/>
  <c r="S113" i="7" s="1"/>
  <c r="B113" i="7"/>
  <c r="R113" i="7" s="1"/>
  <c r="AP112" i="7"/>
  <c r="AQ112" i="7" s="1"/>
  <c r="AR112" i="7" s="1"/>
  <c r="AS112" i="7" s="1"/>
  <c r="P112" i="7"/>
  <c r="AF112" i="7" s="1"/>
  <c r="O112" i="7"/>
  <c r="AE112" i="7" s="1"/>
  <c r="N112" i="7"/>
  <c r="AD112" i="7" s="1"/>
  <c r="M112" i="7"/>
  <c r="AC112" i="7" s="1"/>
  <c r="L112" i="7"/>
  <c r="AB112" i="7" s="1"/>
  <c r="K112" i="7"/>
  <c r="AA112" i="7" s="1"/>
  <c r="J112" i="7"/>
  <c r="Z112" i="7" s="1"/>
  <c r="I112" i="7"/>
  <c r="Y112" i="7" s="1"/>
  <c r="H112" i="7"/>
  <c r="X112" i="7" s="1"/>
  <c r="G112" i="7"/>
  <c r="W112" i="7" s="1"/>
  <c r="F112" i="7"/>
  <c r="V112" i="7" s="1"/>
  <c r="E112" i="7"/>
  <c r="U112" i="7" s="1"/>
  <c r="D112" i="7"/>
  <c r="T112" i="7" s="1"/>
  <c r="C112" i="7"/>
  <c r="S112" i="7" s="1"/>
  <c r="B112" i="7"/>
  <c r="R112" i="7" s="1"/>
  <c r="AP111" i="7"/>
  <c r="AQ111" i="7" s="1"/>
  <c r="AR111" i="7" s="1"/>
  <c r="AS111" i="7" s="1"/>
  <c r="P111" i="7"/>
  <c r="AF111" i="7" s="1"/>
  <c r="O111" i="7"/>
  <c r="AE111" i="7" s="1"/>
  <c r="N111" i="7"/>
  <c r="AD111" i="7" s="1"/>
  <c r="M111" i="7"/>
  <c r="AC111" i="7" s="1"/>
  <c r="L111" i="7"/>
  <c r="AB111" i="7" s="1"/>
  <c r="K111" i="7"/>
  <c r="AA111" i="7" s="1"/>
  <c r="J111" i="7"/>
  <c r="Z111" i="7" s="1"/>
  <c r="I111" i="7"/>
  <c r="Y111" i="7" s="1"/>
  <c r="H111" i="7"/>
  <c r="X111" i="7" s="1"/>
  <c r="G111" i="7"/>
  <c r="W111" i="7" s="1"/>
  <c r="F111" i="7"/>
  <c r="V111" i="7" s="1"/>
  <c r="E111" i="7"/>
  <c r="U111" i="7" s="1"/>
  <c r="D111" i="7"/>
  <c r="T111" i="7" s="1"/>
  <c r="C111" i="7"/>
  <c r="S111" i="7" s="1"/>
  <c r="B111" i="7"/>
  <c r="R111" i="7" s="1"/>
  <c r="AH111" i="7" s="1"/>
  <c r="AI111" i="7" s="1"/>
  <c r="AP110" i="7"/>
  <c r="AQ110" i="7" s="1"/>
  <c r="AR110" i="7" s="1"/>
  <c r="AS110" i="7" s="1"/>
  <c r="P110" i="7"/>
  <c r="AF110" i="7" s="1"/>
  <c r="O110" i="7"/>
  <c r="AE110" i="7" s="1"/>
  <c r="N110" i="7"/>
  <c r="AD110" i="7" s="1"/>
  <c r="M110" i="7"/>
  <c r="AC110" i="7" s="1"/>
  <c r="L110" i="7"/>
  <c r="AB110" i="7" s="1"/>
  <c r="K110" i="7"/>
  <c r="AA110" i="7" s="1"/>
  <c r="J110" i="7"/>
  <c r="Z110" i="7" s="1"/>
  <c r="I110" i="7"/>
  <c r="Y110" i="7" s="1"/>
  <c r="H110" i="7"/>
  <c r="X110" i="7" s="1"/>
  <c r="G110" i="7"/>
  <c r="W110" i="7" s="1"/>
  <c r="F110" i="7"/>
  <c r="V110" i="7" s="1"/>
  <c r="E110" i="7"/>
  <c r="U110" i="7" s="1"/>
  <c r="D110" i="7"/>
  <c r="T110" i="7" s="1"/>
  <c r="C110" i="7"/>
  <c r="S110" i="7" s="1"/>
  <c r="B110" i="7"/>
  <c r="R110" i="7" s="1"/>
  <c r="AH110" i="7" s="1"/>
  <c r="AI110" i="7" s="1"/>
  <c r="AP109" i="7"/>
  <c r="AQ109" i="7" s="1"/>
  <c r="AR109" i="7" s="1"/>
  <c r="AS109" i="7" s="1"/>
  <c r="P109" i="7"/>
  <c r="AF109" i="7" s="1"/>
  <c r="O109" i="7"/>
  <c r="AE109" i="7" s="1"/>
  <c r="N109" i="7"/>
  <c r="AD109" i="7" s="1"/>
  <c r="M109" i="7"/>
  <c r="AC109" i="7" s="1"/>
  <c r="L109" i="7"/>
  <c r="AB109" i="7" s="1"/>
  <c r="K109" i="7"/>
  <c r="AA109" i="7" s="1"/>
  <c r="J109" i="7"/>
  <c r="Z109" i="7" s="1"/>
  <c r="I109" i="7"/>
  <c r="Y109" i="7" s="1"/>
  <c r="H109" i="7"/>
  <c r="X109" i="7" s="1"/>
  <c r="G109" i="7"/>
  <c r="W109" i="7" s="1"/>
  <c r="F109" i="7"/>
  <c r="V109" i="7" s="1"/>
  <c r="E109" i="7"/>
  <c r="U109" i="7" s="1"/>
  <c r="D109" i="7"/>
  <c r="T109" i="7" s="1"/>
  <c r="C109" i="7"/>
  <c r="S109" i="7" s="1"/>
  <c r="B109" i="7"/>
  <c r="R109" i="7" s="1"/>
  <c r="AH109" i="7" s="1"/>
  <c r="AI109" i="7" s="1"/>
  <c r="AP108" i="7"/>
  <c r="AQ108" i="7" s="1"/>
  <c r="AR108" i="7" s="1"/>
  <c r="AS108" i="7" s="1"/>
  <c r="P108" i="7"/>
  <c r="AF108" i="7" s="1"/>
  <c r="O108" i="7"/>
  <c r="AE108" i="7" s="1"/>
  <c r="N108" i="7"/>
  <c r="AD108" i="7" s="1"/>
  <c r="M108" i="7"/>
  <c r="AC108" i="7" s="1"/>
  <c r="L108" i="7"/>
  <c r="AB108" i="7" s="1"/>
  <c r="K108" i="7"/>
  <c r="AA108" i="7" s="1"/>
  <c r="J108" i="7"/>
  <c r="Z108" i="7" s="1"/>
  <c r="I108" i="7"/>
  <c r="Y108" i="7" s="1"/>
  <c r="H108" i="7"/>
  <c r="X108" i="7" s="1"/>
  <c r="G108" i="7"/>
  <c r="W108" i="7" s="1"/>
  <c r="F108" i="7"/>
  <c r="V108" i="7" s="1"/>
  <c r="E108" i="7"/>
  <c r="U108" i="7" s="1"/>
  <c r="D108" i="7"/>
  <c r="T108" i="7" s="1"/>
  <c r="C108" i="7"/>
  <c r="S108" i="7" s="1"/>
  <c r="B108" i="7"/>
  <c r="R108" i="7" s="1"/>
  <c r="AH108" i="7" s="1"/>
  <c r="AI108" i="7" s="1"/>
  <c r="AP107" i="7"/>
  <c r="AQ107" i="7" s="1"/>
  <c r="AR107" i="7" s="1"/>
  <c r="AS107" i="7" s="1"/>
  <c r="P107" i="7"/>
  <c r="AF107" i="7" s="1"/>
  <c r="O107" i="7"/>
  <c r="AE107" i="7" s="1"/>
  <c r="N107" i="7"/>
  <c r="AD107" i="7" s="1"/>
  <c r="M107" i="7"/>
  <c r="AC107" i="7" s="1"/>
  <c r="L107" i="7"/>
  <c r="AB107" i="7" s="1"/>
  <c r="K107" i="7"/>
  <c r="AA107" i="7" s="1"/>
  <c r="J107" i="7"/>
  <c r="Z107" i="7" s="1"/>
  <c r="I107" i="7"/>
  <c r="Y107" i="7" s="1"/>
  <c r="H107" i="7"/>
  <c r="X107" i="7" s="1"/>
  <c r="G107" i="7"/>
  <c r="W107" i="7" s="1"/>
  <c r="F107" i="7"/>
  <c r="V107" i="7" s="1"/>
  <c r="E107" i="7"/>
  <c r="U107" i="7" s="1"/>
  <c r="D107" i="7"/>
  <c r="T107" i="7" s="1"/>
  <c r="C107" i="7"/>
  <c r="S107" i="7" s="1"/>
  <c r="B107" i="7"/>
  <c r="R107" i="7" s="1"/>
  <c r="AP106" i="7"/>
  <c r="AQ106" i="7" s="1"/>
  <c r="AR106" i="7" s="1"/>
  <c r="AS106" i="7" s="1"/>
  <c r="P106" i="7"/>
  <c r="AF106" i="7" s="1"/>
  <c r="O106" i="7"/>
  <c r="AE106" i="7" s="1"/>
  <c r="N106" i="7"/>
  <c r="AD106" i="7" s="1"/>
  <c r="M106" i="7"/>
  <c r="AC106" i="7" s="1"/>
  <c r="L106" i="7"/>
  <c r="AB106" i="7" s="1"/>
  <c r="K106" i="7"/>
  <c r="AA106" i="7" s="1"/>
  <c r="J106" i="7"/>
  <c r="Z106" i="7" s="1"/>
  <c r="I106" i="7"/>
  <c r="Y106" i="7" s="1"/>
  <c r="H106" i="7"/>
  <c r="X106" i="7" s="1"/>
  <c r="G106" i="7"/>
  <c r="W106" i="7" s="1"/>
  <c r="F106" i="7"/>
  <c r="V106" i="7" s="1"/>
  <c r="E106" i="7"/>
  <c r="U106" i="7" s="1"/>
  <c r="D106" i="7"/>
  <c r="T106" i="7" s="1"/>
  <c r="C106" i="7"/>
  <c r="S106" i="7" s="1"/>
  <c r="B106" i="7"/>
  <c r="R106" i="7" s="1"/>
  <c r="AP105" i="7"/>
  <c r="AQ105" i="7" s="1"/>
  <c r="AR105" i="7" s="1"/>
  <c r="AS105" i="7" s="1"/>
  <c r="P105" i="7"/>
  <c r="AF105" i="7" s="1"/>
  <c r="O105" i="7"/>
  <c r="AE105" i="7" s="1"/>
  <c r="N105" i="7"/>
  <c r="AD105" i="7" s="1"/>
  <c r="M105" i="7"/>
  <c r="AC105" i="7" s="1"/>
  <c r="L105" i="7"/>
  <c r="AB105" i="7" s="1"/>
  <c r="K105" i="7"/>
  <c r="AA105" i="7" s="1"/>
  <c r="J105" i="7"/>
  <c r="Z105" i="7" s="1"/>
  <c r="I105" i="7"/>
  <c r="Y105" i="7" s="1"/>
  <c r="H105" i="7"/>
  <c r="X105" i="7" s="1"/>
  <c r="G105" i="7"/>
  <c r="W105" i="7" s="1"/>
  <c r="F105" i="7"/>
  <c r="V105" i="7" s="1"/>
  <c r="E105" i="7"/>
  <c r="U105" i="7" s="1"/>
  <c r="D105" i="7"/>
  <c r="T105" i="7" s="1"/>
  <c r="C105" i="7"/>
  <c r="S105" i="7" s="1"/>
  <c r="B105" i="7"/>
  <c r="R105" i="7" s="1"/>
  <c r="AP104" i="7"/>
  <c r="AQ104" i="7" s="1"/>
  <c r="AR104" i="7" s="1"/>
  <c r="AS104" i="7" s="1"/>
  <c r="P104" i="7"/>
  <c r="AF104" i="7" s="1"/>
  <c r="O104" i="7"/>
  <c r="AE104" i="7" s="1"/>
  <c r="N104" i="7"/>
  <c r="AD104" i="7" s="1"/>
  <c r="M104" i="7"/>
  <c r="AC104" i="7" s="1"/>
  <c r="L104" i="7"/>
  <c r="AB104" i="7" s="1"/>
  <c r="K104" i="7"/>
  <c r="AA104" i="7" s="1"/>
  <c r="J104" i="7"/>
  <c r="Z104" i="7" s="1"/>
  <c r="I104" i="7"/>
  <c r="Y104" i="7" s="1"/>
  <c r="H104" i="7"/>
  <c r="X104" i="7" s="1"/>
  <c r="G104" i="7"/>
  <c r="W104" i="7" s="1"/>
  <c r="F104" i="7"/>
  <c r="V104" i="7" s="1"/>
  <c r="E104" i="7"/>
  <c r="U104" i="7" s="1"/>
  <c r="D104" i="7"/>
  <c r="T104" i="7" s="1"/>
  <c r="C104" i="7"/>
  <c r="S104" i="7" s="1"/>
  <c r="B104" i="7"/>
  <c r="R104" i="7" s="1"/>
  <c r="AP103" i="7"/>
  <c r="AQ103" i="7" s="1"/>
  <c r="AR103" i="7" s="1"/>
  <c r="AS103" i="7" s="1"/>
  <c r="P103" i="7"/>
  <c r="AF103" i="7" s="1"/>
  <c r="O103" i="7"/>
  <c r="AE103" i="7" s="1"/>
  <c r="N103" i="7"/>
  <c r="AD103" i="7" s="1"/>
  <c r="M103" i="7"/>
  <c r="AC103" i="7" s="1"/>
  <c r="L103" i="7"/>
  <c r="AB103" i="7" s="1"/>
  <c r="K103" i="7"/>
  <c r="AA103" i="7" s="1"/>
  <c r="J103" i="7"/>
  <c r="Z103" i="7" s="1"/>
  <c r="I103" i="7"/>
  <c r="Y103" i="7" s="1"/>
  <c r="H103" i="7"/>
  <c r="X103" i="7" s="1"/>
  <c r="G103" i="7"/>
  <c r="W103" i="7" s="1"/>
  <c r="F103" i="7"/>
  <c r="V103" i="7" s="1"/>
  <c r="E103" i="7"/>
  <c r="U103" i="7" s="1"/>
  <c r="D103" i="7"/>
  <c r="T103" i="7" s="1"/>
  <c r="C103" i="7"/>
  <c r="S103" i="7" s="1"/>
  <c r="B103" i="7"/>
  <c r="R103" i="7" s="1"/>
  <c r="AH103" i="7" s="1"/>
  <c r="AI103" i="7" s="1"/>
  <c r="AP102" i="7"/>
  <c r="AQ102" i="7" s="1"/>
  <c r="AR102" i="7" s="1"/>
  <c r="AS102" i="7" s="1"/>
  <c r="P102" i="7"/>
  <c r="AF102" i="7" s="1"/>
  <c r="O102" i="7"/>
  <c r="AE102" i="7" s="1"/>
  <c r="N102" i="7"/>
  <c r="AD102" i="7" s="1"/>
  <c r="M102" i="7"/>
  <c r="AC102" i="7" s="1"/>
  <c r="L102" i="7"/>
  <c r="AB102" i="7" s="1"/>
  <c r="K102" i="7"/>
  <c r="AA102" i="7" s="1"/>
  <c r="J102" i="7"/>
  <c r="Z102" i="7" s="1"/>
  <c r="I102" i="7"/>
  <c r="Y102" i="7" s="1"/>
  <c r="H102" i="7"/>
  <c r="X102" i="7" s="1"/>
  <c r="G102" i="7"/>
  <c r="W102" i="7" s="1"/>
  <c r="F102" i="7"/>
  <c r="V102" i="7" s="1"/>
  <c r="E102" i="7"/>
  <c r="U102" i="7" s="1"/>
  <c r="D102" i="7"/>
  <c r="T102" i="7" s="1"/>
  <c r="C102" i="7"/>
  <c r="S102" i="7" s="1"/>
  <c r="B102" i="7"/>
  <c r="R102" i="7" s="1"/>
  <c r="AP101" i="7"/>
  <c r="AQ101" i="7" s="1"/>
  <c r="AR101" i="7" s="1"/>
  <c r="AS101" i="7" s="1"/>
  <c r="P101" i="7"/>
  <c r="AF101" i="7" s="1"/>
  <c r="O101" i="7"/>
  <c r="AE101" i="7" s="1"/>
  <c r="N101" i="7"/>
  <c r="AD101" i="7" s="1"/>
  <c r="M101" i="7"/>
  <c r="AC101" i="7" s="1"/>
  <c r="L101" i="7"/>
  <c r="AB101" i="7" s="1"/>
  <c r="K101" i="7"/>
  <c r="AA101" i="7" s="1"/>
  <c r="J101" i="7"/>
  <c r="Z101" i="7" s="1"/>
  <c r="I101" i="7"/>
  <c r="Y101" i="7" s="1"/>
  <c r="H101" i="7"/>
  <c r="X101" i="7" s="1"/>
  <c r="G101" i="7"/>
  <c r="W101" i="7" s="1"/>
  <c r="F101" i="7"/>
  <c r="V101" i="7" s="1"/>
  <c r="E101" i="7"/>
  <c r="U101" i="7" s="1"/>
  <c r="D101" i="7"/>
  <c r="T101" i="7" s="1"/>
  <c r="C101" i="7"/>
  <c r="S101" i="7" s="1"/>
  <c r="B101" i="7"/>
  <c r="R101" i="7" s="1"/>
  <c r="AH101" i="7" s="1"/>
  <c r="AI101" i="7" s="1"/>
  <c r="AP100" i="7"/>
  <c r="AQ100" i="7" s="1"/>
  <c r="AR100" i="7" s="1"/>
  <c r="AS100" i="7" s="1"/>
  <c r="P100" i="7"/>
  <c r="AF100" i="7" s="1"/>
  <c r="O100" i="7"/>
  <c r="AE100" i="7" s="1"/>
  <c r="N100" i="7"/>
  <c r="AD100" i="7" s="1"/>
  <c r="M100" i="7"/>
  <c r="AC100" i="7" s="1"/>
  <c r="L100" i="7"/>
  <c r="AB100" i="7" s="1"/>
  <c r="K100" i="7"/>
  <c r="AA100" i="7" s="1"/>
  <c r="J100" i="7"/>
  <c r="Z100" i="7" s="1"/>
  <c r="I100" i="7"/>
  <c r="Y100" i="7" s="1"/>
  <c r="H100" i="7"/>
  <c r="X100" i="7" s="1"/>
  <c r="G100" i="7"/>
  <c r="W100" i="7" s="1"/>
  <c r="F100" i="7"/>
  <c r="V100" i="7" s="1"/>
  <c r="E100" i="7"/>
  <c r="U100" i="7" s="1"/>
  <c r="D100" i="7"/>
  <c r="T100" i="7" s="1"/>
  <c r="C100" i="7"/>
  <c r="S100" i="7" s="1"/>
  <c r="B100" i="7"/>
  <c r="R100" i="7" s="1"/>
  <c r="AH100" i="7" s="1"/>
  <c r="AI100" i="7" s="1"/>
  <c r="AP99" i="7"/>
  <c r="AQ99" i="7" s="1"/>
  <c r="AR99" i="7" s="1"/>
  <c r="AS99" i="7" s="1"/>
  <c r="P99" i="7"/>
  <c r="AF99" i="7" s="1"/>
  <c r="O99" i="7"/>
  <c r="AE99" i="7" s="1"/>
  <c r="N99" i="7"/>
  <c r="AD99" i="7" s="1"/>
  <c r="M99" i="7"/>
  <c r="AC99" i="7" s="1"/>
  <c r="L99" i="7"/>
  <c r="AB99" i="7" s="1"/>
  <c r="K99" i="7"/>
  <c r="AA99" i="7" s="1"/>
  <c r="J99" i="7"/>
  <c r="Z99" i="7" s="1"/>
  <c r="I99" i="7"/>
  <c r="Y99" i="7" s="1"/>
  <c r="H99" i="7"/>
  <c r="X99" i="7" s="1"/>
  <c r="G99" i="7"/>
  <c r="W99" i="7" s="1"/>
  <c r="F99" i="7"/>
  <c r="V99" i="7" s="1"/>
  <c r="E99" i="7"/>
  <c r="U99" i="7" s="1"/>
  <c r="D99" i="7"/>
  <c r="T99" i="7" s="1"/>
  <c r="C99" i="7"/>
  <c r="S99" i="7" s="1"/>
  <c r="B99" i="7"/>
  <c r="R99" i="7" s="1"/>
  <c r="AH99" i="7" s="1"/>
  <c r="AI99" i="7" s="1"/>
  <c r="AP98" i="7"/>
  <c r="AQ98" i="7" s="1"/>
  <c r="AR98" i="7" s="1"/>
  <c r="AS98" i="7" s="1"/>
  <c r="P98" i="7"/>
  <c r="AF98" i="7" s="1"/>
  <c r="O98" i="7"/>
  <c r="AE98" i="7" s="1"/>
  <c r="N98" i="7"/>
  <c r="AD98" i="7" s="1"/>
  <c r="M98" i="7"/>
  <c r="AC98" i="7" s="1"/>
  <c r="L98" i="7"/>
  <c r="AB98" i="7" s="1"/>
  <c r="K98" i="7"/>
  <c r="AA98" i="7" s="1"/>
  <c r="J98" i="7"/>
  <c r="Z98" i="7" s="1"/>
  <c r="I98" i="7"/>
  <c r="Y98" i="7" s="1"/>
  <c r="H98" i="7"/>
  <c r="X98" i="7" s="1"/>
  <c r="G98" i="7"/>
  <c r="W98" i="7" s="1"/>
  <c r="F98" i="7"/>
  <c r="V98" i="7" s="1"/>
  <c r="E98" i="7"/>
  <c r="U98" i="7" s="1"/>
  <c r="D98" i="7"/>
  <c r="T98" i="7" s="1"/>
  <c r="C98" i="7"/>
  <c r="S98" i="7" s="1"/>
  <c r="B98" i="7"/>
  <c r="R98" i="7" s="1"/>
  <c r="AP97" i="7"/>
  <c r="AQ97" i="7" s="1"/>
  <c r="AR97" i="7" s="1"/>
  <c r="AS97" i="7" s="1"/>
  <c r="P97" i="7"/>
  <c r="AF97" i="7" s="1"/>
  <c r="O97" i="7"/>
  <c r="AE97" i="7" s="1"/>
  <c r="N97" i="7"/>
  <c r="AD97" i="7" s="1"/>
  <c r="M97" i="7"/>
  <c r="AC97" i="7" s="1"/>
  <c r="L97" i="7"/>
  <c r="AB97" i="7" s="1"/>
  <c r="K97" i="7"/>
  <c r="AA97" i="7" s="1"/>
  <c r="J97" i="7"/>
  <c r="Z97" i="7" s="1"/>
  <c r="I97" i="7"/>
  <c r="Y97" i="7" s="1"/>
  <c r="H97" i="7"/>
  <c r="X97" i="7" s="1"/>
  <c r="G97" i="7"/>
  <c r="W97" i="7" s="1"/>
  <c r="F97" i="7"/>
  <c r="V97" i="7" s="1"/>
  <c r="E97" i="7"/>
  <c r="U97" i="7" s="1"/>
  <c r="D97" i="7"/>
  <c r="T97" i="7" s="1"/>
  <c r="C97" i="7"/>
  <c r="S97" i="7" s="1"/>
  <c r="B97" i="7"/>
  <c r="R97" i="7" s="1"/>
  <c r="AP96" i="7"/>
  <c r="AQ96" i="7" s="1"/>
  <c r="AR96" i="7" s="1"/>
  <c r="AS96" i="7" s="1"/>
  <c r="P96" i="7"/>
  <c r="AF96" i="7" s="1"/>
  <c r="O96" i="7"/>
  <c r="AE96" i="7" s="1"/>
  <c r="N96" i="7"/>
  <c r="AD96" i="7" s="1"/>
  <c r="M96" i="7"/>
  <c r="AC96" i="7" s="1"/>
  <c r="L96" i="7"/>
  <c r="AB96" i="7" s="1"/>
  <c r="K96" i="7"/>
  <c r="AA96" i="7" s="1"/>
  <c r="J96" i="7"/>
  <c r="Z96" i="7" s="1"/>
  <c r="I96" i="7"/>
  <c r="Y96" i="7" s="1"/>
  <c r="H96" i="7"/>
  <c r="X96" i="7" s="1"/>
  <c r="G96" i="7"/>
  <c r="W96" i="7" s="1"/>
  <c r="F96" i="7"/>
  <c r="V96" i="7" s="1"/>
  <c r="E96" i="7"/>
  <c r="U96" i="7" s="1"/>
  <c r="D96" i="7"/>
  <c r="T96" i="7" s="1"/>
  <c r="C96" i="7"/>
  <c r="S96" i="7" s="1"/>
  <c r="B96" i="7"/>
  <c r="R96" i="7" s="1"/>
  <c r="AP95" i="7"/>
  <c r="AQ95" i="7" s="1"/>
  <c r="AR95" i="7" s="1"/>
  <c r="AS95" i="7" s="1"/>
  <c r="P95" i="7"/>
  <c r="AF95" i="7" s="1"/>
  <c r="O95" i="7"/>
  <c r="AE95" i="7" s="1"/>
  <c r="N95" i="7"/>
  <c r="AD95" i="7" s="1"/>
  <c r="M95" i="7"/>
  <c r="AC95" i="7" s="1"/>
  <c r="L95" i="7"/>
  <c r="AB95" i="7" s="1"/>
  <c r="K95" i="7"/>
  <c r="AA95" i="7" s="1"/>
  <c r="J95" i="7"/>
  <c r="Z95" i="7" s="1"/>
  <c r="I95" i="7"/>
  <c r="Y95" i="7" s="1"/>
  <c r="H95" i="7"/>
  <c r="X95" i="7" s="1"/>
  <c r="G95" i="7"/>
  <c r="W95" i="7" s="1"/>
  <c r="F95" i="7"/>
  <c r="V95" i="7" s="1"/>
  <c r="E95" i="7"/>
  <c r="U95" i="7" s="1"/>
  <c r="D95" i="7"/>
  <c r="T95" i="7" s="1"/>
  <c r="C95" i="7"/>
  <c r="S95" i="7" s="1"/>
  <c r="B95" i="7"/>
  <c r="R95" i="7" s="1"/>
  <c r="AH95" i="7" s="1"/>
  <c r="AI95" i="7" s="1"/>
  <c r="AP94" i="7"/>
  <c r="AQ94" i="7" s="1"/>
  <c r="AR94" i="7" s="1"/>
  <c r="AS94" i="7" s="1"/>
  <c r="P94" i="7"/>
  <c r="AF94" i="7" s="1"/>
  <c r="O94" i="7"/>
  <c r="AE94" i="7" s="1"/>
  <c r="N94" i="7"/>
  <c r="AD94" i="7" s="1"/>
  <c r="M94" i="7"/>
  <c r="AC94" i="7" s="1"/>
  <c r="L94" i="7"/>
  <c r="AB94" i="7" s="1"/>
  <c r="K94" i="7"/>
  <c r="AA94" i="7" s="1"/>
  <c r="J94" i="7"/>
  <c r="Z94" i="7" s="1"/>
  <c r="I94" i="7"/>
  <c r="Y94" i="7" s="1"/>
  <c r="H94" i="7"/>
  <c r="X94" i="7" s="1"/>
  <c r="G94" i="7"/>
  <c r="W94" i="7" s="1"/>
  <c r="F94" i="7"/>
  <c r="V94" i="7" s="1"/>
  <c r="E94" i="7"/>
  <c r="U94" i="7" s="1"/>
  <c r="D94" i="7"/>
  <c r="T94" i="7" s="1"/>
  <c r="C94" i="7"/>
  <c r="S94" i="7" s="1"/>
  <c r="B94" i="7"/>
  <c r="R94" i="7" s="1"/>
  <c r="AP93" i="7"/>
  <c r="AQ93" i="7" s="1"/>
  <c r="AR93" i="7" s="1"/>
  <c r="AS93" i="7" s="1"/>
  <c r="P93" i="7"/>
  <c r="AF93" i="7" s="1"/>
  <c r="O93" i="7"/>
  <c r="AE93" i="7" s="1"/>
  <c r="N93" i="7"/>
  <c r="AD93" i="7" s="1"/>
  <c r="M93" i="7"/>
  <c r="AC93" i="7" s="1"/>
  <c r="L93" i="7"/>
  <c r="AB93" i="7" s="1"/>
  <c r="K93" i="7"/>
  <c r="AA93" i="7" s="1"/>
  <c r="J93" i="7"/>
  <c r="Z93" i="7" s="1"/>
  <c r="I93" i="7"/>
  <c r="Y93" i="7" s="1"/>
  <c r="H93" i="7"/>
  <c r="X93" i="7" s="1"/>
  <c r="G93" i="7"/>
  <c r="W93" i="7" s="1"/>
  <c r="F93" i="7"/>
  <c r="V93" i="7" s="1"/>
  <c r="E93" i="7"/>
  <c r="U93" i="7" s="1"/>
  <c r="D93" i="7"/>
  <c r="T93" i="7" s="1"/>
  <c r="C93" i="7"/>
  <c r="S93" i="7" s="1"/>
  <c r="B93" i="7"/>
  <c r="R93" i="7" s="1"/>
  <c r="AH93" i="7" s="1"/>
  <c r="AI93" i="7" s="1"/>
  <c r="AP92" i="7"/>
  <c r="AQ92" i="7" s="1"/>
  <c r="AR92" i="7" s="1"/>
  <c r="AS92" i="7" s="1"/>
  <c r="P92" i="7"/>
  <c r="AF92" i="7" s="1"/>
  <c r="O92" i="7"/>
  <c r="AE92" i="7" s="1"/>
  <c r="N92" i="7"/>
  <c r="AD92" i="7" s="1"/>
  <c r="M92" i="7"/>
  <c r="AC92" i="7" s="1"/>
  <c r="L92" i="7"/>
  <c r="AB92" i="7" s="1"/>
  <c r="K92" i="7"/>
  <c r="AA92" i="7" s="1"/>
  <c r="J92" i="7"/>
  <c r="Z92" i="7" s="1"/>
  <c r="I92" i="7"/>
  <c r="Y92" i="7" s="1"/>
  <c r="H92" i="7"/>
  <c r="X92" i="7" s="1"/>
  <c r="G92" i="7"/>
  <c r="W92" i="7" s="1"/>
  <c r="F92" i="7"/>
  <c r="V92" i="7" s="1"/>
  <c r="E92" i="7"/>
  <c r="U92" i="7" s="1"/>
  <c r="D92" i="7"/>
  <c r="T92" i="7" s="1"/>
  <c r="C92" i="7"/>
  <c r="S92" i="7" s="1"/>
  <c r="B92" i="7"/>
  <c r="R92" i="7" s="1"/>
  <c r="AH92" i="7" s="1"/>
  <c r="AI92" i="7" s="1"/>
  <c r="AP91" i="7"/>
  <c r="AQ91" i="7" s="1"/>
  <c r="AR91" i="7" s="1"/>
  <c r="AS91" i="7" s="1"/>
  <c r="P91" i="7"/>
  <c r="AF91" i="7" s="1"/>
  <c r="O91" i="7"/>
  <c r="AE91" i="7" s="1"/>
  <c r="N91" i="7"/>
  <c r="AD91" i="7" s="1"/>
  <c r="M91" i="7"/>
  <c r="AC91" i="7" s="1"/>
  <c r="L91" i="7"/>
  <c r="AB91" i="7" s="1"/>
  <c r="K91" i="7"/>
  <c r="AA91" i="7" s="1"/>
  <c r="J91" i="7"/>
  <c r="Z91" i="7" s="1"/>
  <c r="I91" i="7"/>
  <c r="Y91" i="7" s="1"/>
  <c r="H91" i="7"/>
  <c r="X91" i="7" s="1"/>
  <c r="G91" i="7"/>
  <c r="W91" i="7" s="1"/>
  <c r="F91" i="7"/>
  <c r="V91" i="7" s="1"/>
  <c r="E91" i="7"/>
  <c r="U91" i="7" s="1"/>
  <c r="D91" i="7"/>
  <c r="T91" i="7" s="1"/>
  <c r="C91" i="7"/>
  <c r="S91" i="7" s="1"/>
  <c r="B91" i="7"/>
  <c r="R91" i="7" s="1"/>
  <c r="AP90" i="7"/>
  <c r="AQ90" i="7" s="1"/>
  <c r="AR90" i="7" s="1"/>
  <c r="AS90" i="7" s="1"/>
  <c r="P90" i="7"/>
  <c r="AF90" i="7" s="1"/>
  <c r="O90" i="7"/>
  <c r="AE90" i="7" s="1"/>
  <c r="N90" i="7"/>
  <c r="AD90" i="7" s="1"/>
  <c r="M90" i="7"/>
  <c r="AC90" i="7" s="1"/>
  <c r="L90" i="7"/>
  <c r="AB90" i="7" s="1"/>
  <c r="K90" i="7"/>
  <c r="AA90" i="7" s="1"/>
  <c r="J90" i="7"/>
  <c r="Z90" i="7" s="1"/>
  <c r="I90" i="7"/>
  <c r="Y90" i="7" s="1"/>
  <c r="H90" i="7"/>
  <c r="X90" i="7" s="1"/>
  <c r="G90" i="7"/>
  <c r="W90" i="7" s="1"/>
  <c r="F90" i="7"/>
  <c r="V90" i="7" s="1"/>
  <c r="E90" i="7"/>
  <c r="U90" i="7" s="1"/>
  <c r="D90" i="7"/>
  <c r="T90" i="7" s="1"/>
  <c r="C90" i="7"/>
  <c r="S90" i="7" s="1"/>
  <c r="B90" i="7"/>
  <c r="R90" i="7" s="1"/>
  <c r="AH90" i="7" s="1"/>
  <c r="AI90" i="7" s="1"/>
  <c r="AP89" i="7"/>
  <c r="AQ89" i="7" s="1"/>
  <c r="AR89" i="7" s="1"/>
  <c r="AS89" i="7" s="1"/>
  <c r="P89" i="7"/>
  <c r="AF89" i="7" s="1"/>
  <c r="O89" i="7"/>
  <c r="AE89" i="7" s="1"/>
  <c r="N89" i="7"/>
  <c r="AD89" i="7" s="1"/>
  <c r="M89" i="7"/>
  <c r="AC89" i="7" s="1"/>
  <c r="L89" i="7"/>
  <c r="AB89" i="7" s="1"/>
  <c r="K89" i="7"/>
  <c r="AA89" i="7" s="1"/>
  <c r="J89" i="7"/>
  <c r="Z89" i="7" s="1"/>
  <c r="I89" i="7"/>
  <c r="Y89" i="7" s="1"/>
  <c r="H89" i="7"/>
  <c r="X89" i="7" s="1"/>
  <c r="G89" i="7"/>
  <c r="W89" i="7" s="1"/>
  <c r="F89" i="7"/>
  <c r="V89" i="7" s="1"/>
  <c r="E89" i="7"/>
  <c r="U89" i="7" s="1"/>
  <c r="D89" i="7"/>
  <c r="T89" i="7" s="1"/>
  <c r="C89" i="7"/>
  <c r="S89" i="7" s="1"/>
  <c r="B89" i="7"/>
  <c r="R89" i="7" s="1"/>
  <c r="AH89" i="7" s="1"/>
  <c r="AI89" i="7" s="1"/>
  <c r="AP88" i="7"/>
  <c r="AQ88" i="7" s="1"/>
  <c r="AR88" i="7" s="1"/>
  <c r="AS88" i="7" s="1"/>
  <c r="P88" i="7"/>
  <c r="AF88" i="7" s="1"/>
  <c r="O88" i="7"/>
  <c r="AE88" i="7" s="1"/>
  <c r="N88" i="7"/>
  <c r="AD88" i="7" s="1"/>
  <c r="M88" i="7"/>
  <c r="AC88" i="7" s="1"/>
  <c r="L88" i="7"/>
  <c r="AB88" i="7" s="1"/>
  <c r="K88" i="7"/>
  <c r="AA88" i="7" s="1"/>
  <c r="J88" i="7"/>
  <c r="Z88" i="7" s="1"/>
  <c r="I88" i="7"/>
  <c r="Y88" i="7" s="1"/>
  <c r="H88" i="7"/>
  <c r="X88" i="7" s="1"/>
  <c r="G88" i="7"/>
  <c r="W88" i="7" s="1"/>
  <c r="F88" i="7"/>
  <c r="V88" i="7" s="1"/>
  <c r="E88" i="7"/>
  <c r="U88" i="7" s="1"/>
  <c r="D88" i="7"/>
  <c r="T88" i="7" s="1"/>
  <c r="C88" i="7"/>
  <c r="S88" i="7" s="1"/>
  <c r="B88" i="7"/>
  <c r="R88" i="7" s="1"/>
  <c r="AH88" i="7" s="1"/>
  <c r="AI88" i="7" s="1"/>
  <c r="AP87" i="7"/>
  <c r="AQ87" i="7" s="1"/>
  <c r="AR87" i="7" s="1"/>
  <c r="AS87" i="7" s="1"/>
  <c r="P87" i="7"/>
  <c r="AF87" i="7" s="1"/>
  <c r="O87" i="7"/>
  <c r="AE87" i="7" s="1"/>
  <c r="N87" i="7"/>
  <c r="AD87" i="7" s="1"/>
  <c r="M87" i="7"/>
  <c r="AC87" i="7" s="1"/>
  <c r="L87" i="7"/>
  <c r="AB87" i="7" s="1"/>
  <c r="K87" i="7"/>
  <c r="AA87" i="7" s="1"/>
  <c r="J87" i="7"/>
  <c r="Z87" i="7" s="1"/>
  <c r="I87" i="7"/>
  <c r="Y87" i="7" s="1"/>
  <c r="H87" i="7"/>
  <c r="X87" i="7" s="1"/>
  <c r="G87" i="7"/>
  <c r="W87" i="7" s="1"/>
  <c r="F87" i="7"/>
  <c r="V87" i="7" s="1"/>
  <c r="E87" i="7"/>
  <c r="U87" i="7" s="1"/>
  <c r="D87" i="7"/>
  <c r="T87" i="7" s="1"/>
  <c r="C87" i="7"/>
  <c r="S87" i="7" s="1"/>
  <c r="B87" i="7"/>
  <c r="R87" i="7" s="1"/>
  <c r="AH87" i="7" s="1"/>
  <c r="AI87" i="7" s="1"/>
  <c r="AP86" i="7"/>
  <c r="AQ86" i="7" s="1"/>
  <c r="AR86" i="7" s="1"/>
  <c r="AS86" i="7" s="1"/>
  <c r="P86" i="7"/>
  <c r="AF86" i="7" s="1"/>
  <c r="O86" i="7"/>
  <c r="AE86" i="7" s="1"/>
  <c r="N86" i="7"/>
  <c r="AD86" i="7" s="1"/>
  <c r="M86" i="7"/>
  <c r="AC86" i="7" s="1"/>
  <c r="L86" i="7"/>
  <c r="AB86" i="7" s="1"/>
  <c r="K86" i="7"/>
  <c r="AA86" i="7" s="1"/>
  <c r="J86" i="7"/>
  <c r="Z86" i="7" s="1"/>
  <c r="I86" i="7"/>
  <c r="Y86" i="7" s="1"/>
  <c r="H86" i="7"/>
  <c r="X86" i="7" s="1"/>
  <c r="G86" i="7"/>
  <c r="W86" i="7" s="1"/>
  <c r="F86" i="7"/>
  <c r="V86" i="7" s="1"/>
  <c r="E86" i="7"/>
  <c r="U86" i="7" s="1"/>
  <c r="D86" i="7"/>
  <c r="T86" i="7" s="1"/>
  <c r="C86" i="7"/>
  <c r="S86" i="7" s="1"/>
  <c r="B86" i="7"/>
  <c r="R86" i="7" s="1"/>
  <c r="AP85" i="7"/>
  <c r="AQ85" i="7" s="1"/>
  <c r="AR85" i="7" s="1"/>
  <c r="AS85" i="7" s="1"/>
  <c r="P85" i="7"/>
  <c r="AF85" i="7" s="1"/>
  <c r="O85" i="7"/>
  <c r="AE85" i="7" s="1"/>
  <c r="N85" i="7"/>
  <c r="AD85" i="7" s="1"/>
  <c r="M85" i="7"/>
  <c r="AC85" i="7" s="1"/>
  <c r="L85" i="7"/>
  <c r="AB85" i="7" s="1"/>
  <c r="K85" i="7"/>
  <c r="AA85" i="7" s="1"/>
  <c r="J85" i="7"/>
  <c r="Z85" i="7" s="1"/>
  <c r="I85" i="7"/>
  <c r="Y85" i="7" s="1"/>
  <c r="H85" i="7"/>
  <c r="X85" i="7" s="1"/>
  <c r="G85" i="7"/>
  <c r="W85" i="7" s="1"/>
  <c r="F85" i="7"/>
  <c r="V85" i="7" s="1"/>
  <c r="E85" i="7"/>
  <c r="U85" i="7" s="1"/>
  <c r="D85" i="7"/>
  <c r="T85" i="7" s="1"/>
  <c r="C85" i="7"/>
  <c r="S85" i="7" s="1"/>
  <c r="B85" i="7"/>
  <c r="R85" i="7" s="1"/>
  <c r="AH85" i="7" s="1"/>
  <c r="AI85" i="7" s="1"/>
  <c r="AP84" i="7"/>
  <c r="AQ84" i="7" s="1"/>
  <c r="AR84" i="7" s="1"/>
  <c r="AS84" i="7" s="1"/>
  <c r="P84" i="7"/>
  <c r="AF84" i="7" s="1"/>
  <c r="O84" i="7"/>
  <c r="AE84" i="7" s="1"/>
  <c r="N84" i="7"/>
  <c r="AD84" i="7" s="1"/>
  <c r="M84" i="7"/>
  <c r="AC84" i="7" s="1"/>
  <c r="L84" i="7"/>
  <c r="AB84" i="7" s="1"/>
  <c r="K84" i="7"/>
  <c r="AA84" i="7" s="1"/>
  <c r="J84" i="7"/>
  <c r="Z84" i="7" s="1"/>
  <c r="I84" i="7"/>
  <c r="Y84" i="7" s="1"/>
  <c r="H84" i="7"/>
  <c r="X84" i="7" s="1"/>
  <c r="G84" i="7"/>
  <c r="W84" i="7" s="1"/>
  <c r="F84" i="7"/>
  <c r="V84" i="7" s="1"/>
  <c r="E84" i="7"/>
  <c r="U84" i="7" s="1"/>
  <c r="D84" i="7"/>
  <c r="T84" i="7" s="1"/>
  <c r="C84" i="7"/>
  <c r="S84" i="7" s="1"/>
  <c r="B84" i="7"/>
  <c r="R84" i="7" s="1"/>
  <c r="AH84" i="7" s="1"/>
  <c r="AI84" i="7" s="1"/>
  <c r="AP83" i="7"/>
  <c r="AQ83" i="7" s="1"/>
  <c r="AR83" i="7" s="1"/>
  <c r="AS83" i="7" s="1"/>
  <c r="P83" i="7"/>
  <c r="AF83" i="7" s="1"/>
  <c r="O83" i="7"/>
  <c r="AE83" i="7" s="1"/>
  <c r="N83" i="7"/>
  <c r="AD83" i="7" s="1"/>
  <c r="M83" i="7"/>
  <c r="AC83" i="7" s="1"/>
  <c r="L83" i="7"/>
  <c r="AB83" i="7" s="1"/>
  <c r="K83" i="7"/>
  <c r="AA83" i="7" s="1"/>
  <c r="J83" i="7"/>
  <c r="Z83" i="7" s="1"/>
  <c r="I83" i="7"/>
  <c r="Y83" i="7" s="1"/>
  <c r="H83" i="7"/>
  <c r="X83" i="7" s="1"/>
  <c r="G83" i="7"/>
  <c r="W83" i="7" s="1"/>
  <c r="F83" i="7"/>
  <c r="V83" i="7" s="1"/>
  <c r="E83" i="7"/>
  <c r="U83" i="7" s="1"/>
  <c r="D83" i="7"/>
  <c r="T83" i="7" s="1"/>
  <c r="C83" i="7"/>
  <c r="S83" i="7" s="1"/>
  <c r="B83" i="7"/>
  <c r="R83" i="7" s="1"/>
  <c r="AH83" i="7" s="1"/>
  <c r="AI83" i="7" s="1"/>
  <c r="AP82" i="7"/>
  <c r="AQ82" i="7" s="1"/>
  <c r="AR82" i="7" s="1"/>
  <c r="AS82" i="7" s="1"/>
  <c r="P82" i="7"/>
  <c r="AF82" i="7" s="1"/>
  <c r="O82" i="7"/>
  <c r="AE82" i="7" s="1"/>
  <c r="N82" i="7"/>
  <c r="AD82" i="7" s="1"/>
  <c r="M82" i="7"/>
  <c r="AC82" i="7" s="1"/>
  <c r="L82" i="7"/>
  <c r="AB82" i="7" s="1"/>
  <c r="K82" i="7"/>
  <c r="AA82" i="7" s="1"/>
  <c r="J82" i="7"/>
  <c r="Z82" i="7" s="1"/>
  <c r="I82" i="7"/>
  <c r="Y82" i="7" s="1"/>
  <c r="H82" i="7"/>
  <c r="X82" i="7" s="1"/>
  <c r="G82" i="7"/>
  <c r="W82" i="7" s="1"/>
  <c r="F82" i="7"/>
  <c r="V82" i="7" s="1"/>
  <c r="E82" i="7"/>
  <c r="U82" i="7" s="1"/>
  <c r="D82" i="7"/>
  <c r="T82" i="7" s="1"/>
  <c r="C82" i="7"/>
  <c r="S82" i="7" s="1"/>
  <c r="B82" i="7"/>
  <c r="R82" i="7" s="1"/>
  <c r="AH82" i="7" s="1"/>
  <c r="AI82" i="7" s="1"/>
  <c r="AP81" i="7"/>
  <c r="AQ81" i="7" s="1"/>
  <c r="AR81" i="7" s="1"/>
  <c r="AS81" i="7" s="1"/>
  <c r="P81" i="7"/>
  <c r="AF81" i="7" s="1"/>
  <c r="O81" i="7"/>
  <c r="AE81" i="7" s="1"/>
  <c r="N81" i="7"/>
  <c r="AD81" i="7" s="1"/>
  <c r="M81" i="7"/>
  <c r="AC81" i="7" s="1"/>
  <c r="L81" i="7"/>
  <c r="AB81" i="7" s="1"/>
  <c r="K81" i="7"/>
  <c r="AA81" i="7" s="1"/>
  <c r="J81" i="7"/>
  <c r="Z81" i="7" s="1"/>
  <c r="I81" i="7"/>
  <c r="Y81" i="7" s="1"/>
  <c r="H81" i="7"/>
  <c r="X81" i="7" s="1"/>
  <c r="G81" i="7"/>
  <c r="W81" i="7" s="1"/>
  <c r="F81" i="7"/>
  <c r="V81" i="7" s="1"/>
  <c r="E81" i="7"/>
  <c r="U81" i="7" s="1"/>
  <c r="D81" i="7"/>
  <c r="T81" i="7" s="1"/>
  <c r="C81" i="7"/>
  <c r="S81" i="7" s="1"/>
  <c r="B81" i="7"/>
  <c r="R81" i="7" s="1"/>
  <c r="AH81" i="7" s="1"/>
  <c r="AI81" i="7" s="1"/>
  <c r="AP80" i="7"/>
  <c r="AQ80" i="7" s="1"/>
  <c r="AR80" i="7" s="1"/>
  <c r="AS80" i="7" s="1"/>
  <c r="P80" i="7"/>
  <c r="AF80" i="7" s="1"/>
  <c r="O80" i="7"/>
  <c r="AE80" i="7" s="1"/>
  <c r="N80" i="7"/>
  <c r="AD80" i="7" s="1"/>
  <c r="M80" i="7"/>
  <c r="AC80" i="7" s="1"/>
  <c r="L80" i="7"/>
  <c r="AB80" i="7" s="1"/>
  <c r="K80" i="7"/>
  <c r="AA80" i="7" s="1"/>
  <c r="J80" i="7"/>
  <c r="Z80" i="7" s="1"/>
  <c r="I80" i="7"/>
  <c r="Y80" i="7" s="1"/>
  <c r="H80" i="7"/>
  <c r="X80" i="7" s="1"/>
  <c r="G80" i="7"/>
  <c r="W80" i="7" s="1"/>
  <c r="F80" i="7"/>
  <c r="V80" i="7" s="1"/>
  <c r="E80" i="7"/>
  <c r="U80" i="7" s="1"/>
  <c r="D80" i="7"/>
  <c r="T80" i="7" s="1"/>
  <c r="C80" i="7"/>
  <c r="S80" i="7" s="1"/>
  <c r="B80" i="7"/>
  <c r="R80" i="7" s="1"/>
  <c r="AH80" i="7" s="1"/>
  <c r="AI80" i="7" s="1"/>
  <c r="AP79" i="7"/>
  <c r="AQ79" i="7" s="1"/>
  <c r="AR79" i="7" s="1"/>
  <c r="AS79" i="7" s="1"/>
  <c r="P79" i="7"/>
  <c r="AF79" i="7" s="1"/>
  <c r="O79" i="7"/>
  <c r="AE79" i="7" s="1"/>
  <c r="N79" i="7"/>
  <c r="AD79" i="7" s="1"/>
  <c r="M79" i="7"/>
  <c r="AC79" i="7" s="1"/>
  <c r="L79" i="7"/>
  <c r="AB79" i="7" s="1"/>
  <c r="K79" i="7"/>
  <c r="AA79" i="7" s="1"/>
  <c r="J79" i="7"/>
  <c r="Z79" i="7" s="1"/>
  <c r="I79" i="7"/>
  <c r="Y79" i="7" s="1"/>
  <c r="H79" i="7"/>
  <c r="X79" i="7" s="1"/>
  <c r="G79" i="7"/>
  <c r="W79" i="7" s="1"/>
  <c r="F79" i="7"/>
  <c r="V79" i="7" s="1"/>
  <c r="E79" i="7"/>
  <c r="U79" i="7" s="1"/>
  <c r="D79" i="7"/>
  <c r="T79" i="7" s="1"/>
  <c r="C79" i="7"/>
  <c r="S79" i="7" s="1"/>
  <c r="B79" i="7"/>
  <c r="R79" i="7" s="1"/>
  <c r="AH79" i="7" s="1"/>
  <c r="AI79" i="7" s="1"/>
  <c r="AP78" i="7"/>
  <c r="AQ78" i="7" s="1"/>
  <c r="AR78" i="7" s="1"/>
  <c r="AS78" i="7" s="1"/>
  <c r="P78" i="7"/>
  <c r="AF78" i="7" s="1"/>
  <c r="O78" i="7"/>
  <c r="AE78" i="7" s="1"/>
  <c r="N78" i="7"/>
  <c r="AD78" i="7" s="1"/>
  <c r="M78" i="7"/>
  <c r="AC78" i="7" s="1"/>
  <c r="L78" i="7"/>
  <c r="AB78" i="7" s="1"/>
  <c r="K78" i="7"/>
  <c r="AA78" i="7" s="1"/>
  <c r="J78" i="7"/>
  <c r="Z78" i="7" s="1"/>
  <c r="I78" i="7"/>
  <c r="Y78" i="7" s="1"/>
  <c r="H78" i="7"/>
  <c r="X78" i="7" s="1"/>
  <c r="G78" i="7"/>
  <c r="W78" i="7" s="1"/>
  <c r="F78" i="7"/>
  <c r="V78" i="7" s="1"/>
  <c r="E78" i="7"/>
  <c r="U78" i="7" s="1"/>
  <c r="D78" i="7"/>
  <c r="T78" i="7" s="1"/>
  <c r="C78" i="7"/>
  <c r="S78" i="7" s="1"/>
  <c r="B78" i="7"/>
  <c r="R78" i="7" s="1"/>
  <c r="AH78" i="7" s="1"/>
  <c r="AI78" i="7" s="1"/>
  <c r="AP77" i="7"/>
  <c r="AQ77" i="7" s="1"/>
  <c r="AR77" i="7" s="1"/>
  <c r="AS77" i="7" s="1"/>
  <c r="P77" i="7"/>
  <c r="AF77" i="7" s="1"/>
  <c r="O77" i="7"/>
  <c r="AE77" i="7" s="1"/>
  <c r="N77" i="7"/>
  <c r="AD77" i="7" s="1"/>
  <c r="M77" i="7"/>
  <c r="AC77" i="7" s="1"/>
  <c r="L77" i="7"/>
  <c r="AB77" i="7" s="1"/>
  <c r="K77" i="7"/>
  <c r="AA77" i="7" s="1"/>
  <c r="J77" i="7"/>
  <c r="Z77" i="7" s="1"/>
  <c r="I77" i="7"/>
  <c r="Y77" i="7" s="1"/>
  <c r="H77" i="7"/>
  <c r="X77" i="7" s="1"/>
  <c r="G77" i="7"/>
  <c r="W77" i="7" s="1"/>
  <c r="F77" i="7"/>
  <c r="V77" i="7" s="1"/>
  <c r="E77" i="7"/>
  <c r="U77" i="7" s="1"/>
  <c r="D77" i="7"/>
  <c r="T77" i="7" s="1"/>
  <c r="C77" i="7"/>
  <c r="S77" i="7" s="1"/>
  <c r="B77" i="7"/>
  <c r="R77" i="7" s="1"/>
  <c r="AH77" i="7" s="1"/>
  <c r="AI77" i="7" s="1"/>
  <c r="AP76" i="7"/>
  <c r="AQ76" i="7" s="1"/>
  <c r="AR76" i="7" s="1"/>
  <c r="AS76" i="7" s="1"/>
  <c r="P76" i="7"/>
  <c r="AF76" i="7" s="1"/>
  <c r="O76" i="7"/>
  <c r="AE76" i="7" s="1"/>
  <c r="N76" i="7"/>
  <c r="AD76" i="7" s="1"/>
  <c r="M76" i="7"/>
  <c r="AC76" i="7" s="1"/>
  <c r="L76" i="7"/>
  <c r="AB76" i="7" s="1"/>
  <c r="K76" i="7"/>
  <c r="AA76" i="7" s="1"/>
  <c r="J76" i="7"/>
  <c r="Z76" i="7" s="1"/>
  <c r="I76" i="7"/>
  <c r="Y76" i="7" s="1"/>
  <c r="H76" i="7"/>
  <c r="X76" i="7" s="1"/>
  <c r="G76" i="7"/>
  <c r="W76" i="7" s="1"/>
  <c r="F76" i="7"/>
  <c r="V76" i="7" s="1"/>
  <c r="E76" i="7"/>
  <c r="U76" i="7" s="1"/>
  <c r="D76" i="7"/>
  <c r="T76" i="7" s="1"/>
  <c r="C76" i="7"/>
  <c r="S76" i="7" s="1"/>
  <c r="B76" i="7"/>
  <c r="R76" i="7" s="1"/>
  <c r="AH76" i="7" s="1"/>
  <c r="AI76" i="7" s="1"/>
  <c r="AP75" i="7"/>
  <c r="AQ75" i="7" s="1"/>
  <c r="AR75" i="7" s="1"/>
  <c r="AS75" i="7" s="1"/>
  <c r="P75" i="7"/>
  <c r="AF75" i="7" s="1"/>
  <c r="O75" i="7"/>
  <c r="AE75" i="7" s="1"/>
  <c r="N75" i="7"/>
  <c r="AD75" i="7" s="1"/>
  <c r="M75" i="7"/>
  <c r="AC75" i="7" s="1"/>
  <c r="L75" i="7"/>
  <c r="AB75" i="7" s="1"/>
  <c r="K75" i="7"/>
  <c r="AA75" i="7" s="1"/>
  <c r="J75" i="7"/>
  <c r="Z75" i="7" s="1"/>
  <c r="I75" i="7"/>
  <c r="Y75" i="7" s="1"/>
  <c r="H75" i="7"/>
  <c r="X75" i="7" s="1"/>
  <c r="G75" i="7"/>
  <c r="W75" i="7" s="1"/>
  <c r="F75" i="7"/>
  <c r="V75" i="7" s="1"/>
  <c r="E75" i="7"/>
  <c r="U75" i="7" s="1"/>
  <c r="D75" i="7"/>
  <c r="T75" i="7" s="1"/>
  <c r="C75" i="7"/>
  <c r="S75" i="7" s="1"/>
  <c r="B75" i="7"/>
  <c r="R75" i="7" s="1"/>
  <c r="AH75" i="7" s="1"/>
  <c r="AI75" i="7" s="1"/>
  <c r="AP74" i="7"/>
  <c r="AQ74" i="7" s="1"/>
  <c r="AR74" i="7" s="1"/>
  <c r="AS74" i="7" s="1"/>
  <c r="P74" i="7"/>
  <c r="AF74" i="7" s="1"/>
  <c r="O74" i="7"/>
  <c r="AE74" i="7" s="1"/>
  <c r="N74" i="7"/>
  <c r="AD74" i="7" s="1"/>
  <c r="M74" i="7"/>
  <c r="AC74" i="7" s="1"/>
  <c r="L74" i="7"/>
  <c r="AB74" i="7" s="1"/>
  <c r="K74" i="7"/>
  <c r="AA74" i="7" s="1"/>
  <c r="J74" i="7"/>
  <c r="Z74" i="7" s="1"/>
  <c r="I74" i="7"/>
  <c r="Y74" i="7" s="1"/>
  <c r="H74" i="7"/>
  <c r="X74" i="7" s="1"/>
  <c r="G74" i="7"/>
  <c r="W74" i="7" s="1"/>
  <c r="F74" i="7"/>
  <c r="V74" i="7" s="1"/>
  <c r="E74" i="7"/>
  <c r="U74" i="7" s="1"/>
  <c r="D74" i="7"/>
  <c r="T74" i="7" s="1"/>
  <c r="C74" i="7"/>
  <c r="S74" i="7" s="1"/>
  <c r="B74" i="7"/>
  <c r="R74" i="7" s="1"/>
  <c r="AH74" i="7" s="1"/>
  <c r="AI74" i="7" s="1"/>
  <c r="AP73" i="7"/>
  <c r="AQ73" i="7" s="1"/>
  <c r="AR73" i="7" s="1"/>
  <c r="AS73" i="7" s="1"/>
  <c r="P73" i="7"/>
  <c r="AF73" i="7" s="1"/>
  <c r="O73" i="7"/>
  <c r="AE73" i="7" s="1"/>
  <c r="N73" i="7"/>
  <c r="AD73" i="7" s="1"/>
  <c r="M73" i="7"/>
  <c r="AC73" i="7" s="1"/>
  <c r="L73" i="7"/>
  <c r="AB73" i="7" s="1"/>
  <c r="K73" i="7"/>
  <c r="AA73" i="7" s="1"/>
  <c r="J73" i="7"/>
  <c r="Z73" i="7" s="1"/>
  <c r="I73" i="7"/>
  <c r="Y73" i="7" s="1"/>
  <c r="H73" i="7"/>
  <c r="X73" i="7" s="1"/>
  <c r="G73" i="7"/>
  <c r="W73" i="7" s="1"/>
  <c r="F73" i="7"/>
  <c r="V73" i="7" s="1"/>
  <c r="E73" i="7"/>
  <c r="U73" i="7" s="1"/>
  <c r="D73" i="7"/>
  <c r="T73" i="7" s="1"/>
  <c r="C73" i="7"/>
  <c r="S73" i="7" s="1"/>
  <c r="B73" i="7"/>
  <c r="R73" i="7" s="1"/>
  <c r="AH73" i="7" s="1"/>
  <c r="AI73" i="7" s="1"/>
  <c r="AP72" i="7"/>
  <c r="AQ72" i="7" s="1"/>
  <c r="AR72" i="7" s="1"/>
  <c r="AS72" i="7" s="1"/>
  <c r="P72" i="7"/>
  <c r="AF72" i="7" s="1"/>
  <c r="O72" i="7"/>
  <c r="AE72" i="7" s="1"/>
  <c r="N72" i="7"/>
  <c r="AD72" i="7" s="1"/>
  <c r="M72" i="7"/>
  <c r="AC72" i="7" s="1"/>
  <c r="L72" i="7"/>
  <c r="AB72" i="7" s="1"/>
  <c r="K72" i="7"/>
  <c r="AA72" i="7" s="1"/>
  <c r="J72" i="7"/>
  <c r="Z72" i="7" s="1"/>
  <c r="I72" i="7"/>
  <c r="Y72" i="7" s="1"/>
  <c r="H72" i="7"/>
  <c r="X72" i="7" s="1"/>
  <c r="G72" i="7"/>
  <c r="W72" i="7" s="1"/>
  <c r="F72" i="7"/>
  <c r="V72" i="7" s="1"/>
  <c r="E72" i="7"/>
  <c r="U72" i="7" s="1"/>
  <c r="D72" i="7"/>
  <c r="T72" i="7" s="1"/>
  <c r="C72" i="7"/>
  <c r="S72" i="7" s="1"/>
  <c r="B72" i="7"/>
  <c r="R72" i="7" s="1"/>
  <c r="AH72" i="7" s="1"/>
  <c r="AI72" i="7" s="1"/>
  <c r="AP71" i="7"/>
  <c r="AQ71" i="7" s="1"/>
  <c r="AR71" i="7" s="1"/>
  <c r="AS71" i="7" s="1"/>
  <c r="P71" i="7"/>
  <c r="AF71" i="7" s="1"/>
  <c r="O71" i="7"/>
  <c r="AE71" i="7" s="1"/>
  <c r="N71" i="7"/>
  <c r="AD71" i="7" s="1"/>
  <c r="M71" i="7"/>
  <c r="AC71" i="7" s="1"/>
  <c r="L71" i="7"/>
  <c r="AB71" i="7" s="1"/>
  <c r="K71" i="7"/>
  <c r="AA71" i="7" s="1"/>
  <c r="J71" i="7"/>
  <c r="Z71" i="7" s="1"/>
  <c r="I71" i="7"/>
  <c r="Y71" i="7" s="1"/>
  <c r="H71" i="7"/>
  <c r="X71" i="7" s="1"/>
  <c r="G71" i="7"/>
  <c r="W71" i="7" s="1"/>
  <c r="F71" i="7"/>
  <c r="V71" i="7" s="1"/>
  <c r="E71" i="7"/>
  <c r="U71" i="7" s="1"/>
  <c r="D71" i="7"/>
  <c r="T71" i="7" s="1"/>
  <c r="C71" i="7"/>
  <c r="S71" i="7" s="1"/>
  <c r="B71" i="7"/>
  <c r="R71" i="7" s="1"/>
  <c r="AH71" i="7" s="1"/>
  <c r="AI71" i="7" s="1"/>
  <c r="AP70" i="7"/>
  <c r="AQ70" i="7" s="1"/>
  <c r="AR70" i="7" s="1"/>
  <c r="AS70" i="7" s="1"/>
  <c r="P70" i="7"/>
  <c r="AF70" i="7" s="1"/>
  <c r="O70" i="7"/>
  <c r="AE70" i="7" s="1"/>
  <c r="N70" i="7"/>
  <c r="AD70" i="7" s="1"/>
  <c r="M70" i="7"/>
  <c r="AC70" i="7" s="1"/>
  <c r="L70" i="7"/>
  <c r="AB70" i="7" s="1"/>
  <c r="K70" i="7"/>
  <c r="AA70" i="7" s="1"/>
  <c r="J70" i="7"/>
  <c r="Z70" i="7" s="1"/>
  <c r="I70" i="7"/>
  <c r="Y70" i="7" s="1"/>
  <c r="H70" i="7"/>
  <c r="X70" i="7" s="1"/>
  <c r="G70" i="7"/>
  <c r="W70" i="7" s="1"/>
  <c r="F70" i="7"/>
  <c r="V70" i="7" s="1"/>
  <c r="E70" i="7"/>
  <c r="U70" i="7" s="1"/>
  <c r="D70" i="7"/>
  <c r="T70" i="7" s="1"/>
  <c r="C70" i="7"/>
  <c r="S70" i="7" s="1"/>
  <c r="B70" i="7"/>
  <c r="R70" i="7" s="1"/>
  <c r="AH70" i="7" s="1"/>
  <c r="AI70" i="7" s="1"/>
  <c r="AP69" i="7"/>
  <c r="AQ69" i="7" s="1"/>
  <c r="AR69" i="7" s="1"/>
  <c r="AS69" i="7" s="1"/>
  <c r="P69" i="7"/>
  <c r="AF69" i="7" s="1"/>
  <c r="O69" i="7"/>
  <c r="AE69" i="7" s="1"/>
  <c r="N69" i="7"/>
  <c r="AD69" i="7" s="1"/>
  <c r="M69" i="7"/>
  <c r="AC69" i="7" s="1"/>
  <c r="L69" i="7"/>
  <c r="AB69" i="7" s="1"/>
  <c r="K69" i="7"/>
  <c r="AA69" i="7" s="1"/>
  <c r="J69" i="7"/>
  <c r="Z69" i="7" s="1"/>
  <c r="I69" i="7"/>
  <c r="Y69" i="7" s="1"/>
  <c r="H69" i="7"/>
  <c r="X69" i="7" s="1"/>
  <c r="G69" i="7"/>
  <c r="W69" i="7" s="1"/>
  <c r="F69" i="7"/>
  <c r="V69" i="7" s="1"/>
  <c r="E69" i="7"/>
  <c r="U69" i="7" s="1"/>
  <c r="D69" i="7"/>
  <c r="T69" i="7" s="1"/>
  <c r="C69" i="7"/>
  <c r="S69" i="7" s="1"/>
  <c r="B69" i="7"/>
  <c r="R69" i="7" s="1"/>
  <c r="AH69" i="7" s="1"/>
  <c r="AI69" i="7" s="1"/>
  <c r="AP68" i="7"/>
  <c r="AQ68" i="7" s="1"/>
  <c r="AR68" i="7" s="1"/>
  <c r="AS68" i="7" s="1"/>
  <c r="P68" i="7"/>
  <c r="AF68" i="7" s="1"/>
  <c r="O68" i="7"/>
  <c r="AE68" i="7" s="1"/>
  <c r="N68" i="7"/>
  <c r="AD68" i="7" s="1"/>
  <c r="M68" i="7"/>
  <c r="AC68" i="7" s="1"/>
  <c r="L68" i="7"/>
  <c r="AB68" i="7" s="1"/>
  <c r="K68" i="7"/>
  <c r="AA68" i="7" s="1"/>
  <c r="J68" i="7"/>
  <c r="Z68" i="7" s="1"/>
  <c r="I68" i="7"/>
  <c r="Y68" i="7" s="1"/>
  <c r="H68" i="7"/>
  <c r="X68" i="7" s="1"/>
  <c r="G68" i="7"/>
  <c r="W68" i="7" s="1"/>
  <c r="F68" i="7"/>
  <c r="V68" i="7" s="1"/>
  <c r="E68" i="7"/>
  <c r="U68" i="7" s="1"/>
  <c r="D68" i="7"/>
  <c r="T68" i="7" s="1"/>
  <c r="C68" i="7"/>
  <c r="S68" i="7" s="1"/>
  <c r="B68" i="7"/>
  <c r="R68" i="7" s="1"/>
  <c r="AH68" i="7" s="1"/>
  <c r="AI68" i="7" s="1"/>
  <c r="AP67" i="7"/>
  <c r="AQ67" i="7" s="1"/>
  <c r="AR67" i="7" s="1"/>
  <c r="AS67" i="7" s="1"/>
  <c r="P67" i="7"/>
  <c r="AF67" i="7" s="1"/>
  <c r="O67" i="7"/>
  <c r="AE67" i="7" s="1"/>
  <c r="N67" i="7"/>
  <c r="AD67" i="7" s="1"/>
  <c r="M67" i="7"/>
  <c r="AC67" i="7" s="1"/>
  <c r="L67" i="7"/>
  <c r="AB67" i="7" s="1"/>
  <c r="K67" i="7"/>
  <c r="AA67" i="7" s="1"/>
  <c r="J67" i="7"/>
  <c r="Z67" i="7" s="1"/>
  <c r="I67" i="7"/>
  <c r="Y67" i="7" s="1"/>
  <c r="H67" i="7"/>
  <c r="X67" i="7" s="1"/>
  <c r="G67" i="7"/>
  <c r="W67" i="7" s="1"/>
  <c r="F67" i="7"/>
  <c r="V67" i="7" s="1"/>
  <c r="E67" i="7"/>
  <c r="U67" i="7" s="1"/>
  <c r="D67" i="7"/>
  <c r="T67" i="7" s="1"/>
  <c r="C67" i="7"/>
  <c r="S67" i="7" s="1"/>
  <c r="B67" i="7"/>
  <c r="R67" i="7" s="1"/>
  <c r="AH67" i="7" s="1"/>
  <c r="AI67" i="7" s="1"/>
  <c r="AP66" i="7"/>
  <c r="AQ66" i="7" s="1"/>
  <c r="AR66" i="7" s="1"/>
  <c r="AS66" i="7" s="1"/>
  <c r="P66" i="7"/>
  <c r="AF66" i="7" s="1"/>
  <c r="O66" i="7"/>
  <c r="AE66" i="7" s="1"/>
  <c r="N66" i="7"/>
  <c r="AD66" i="7" s="1"/>
  <c r="M66" i="7"/>
  <c r="AC66" i="7" s="1"/>
  <c r="L66" i="7"/>
  <c r="AB66" i="7" s="1"/>
  <c r="K66" i="7"/>
  <c r="AA66" i="7" s="1"/>
  <c r="J66" i="7"/>
  <c r="Z66" i="7" s="1"/>
  <c r="I66" i="7"/>
  <c r="Y66" i="7" s="1"/>
  <c r="H66" i="7"/>
  <c r="X66" i="7" s="1"/>
  <c r="G66" i="7"/>
  <c r="W66" i="7" s="1"/>
  <c r="F66" i="7"/>
  <c r="V66" i="7" s="1"/>
  <c r="E66" i="7"/>
  <c r="U66" i="7" s="1"/>
  <c r="D66" i="7"/>
  <c r="T66" i="7" s="1"/>
  <c r="C66" i="7"/>
  <c r="S66" i="7" s="1"/>
  <c r="B66" i="7"/>
  <c r="R66" i="7" s="1"/>
  <c r="AH66" i="7" s="1"/>
  <c r="AI66" i="7" s="1"/>
  <c r="AP65" i="7"/>
  <c r="AQ65" i="7" s="1"/>
  <c r="AR65" i="7" s="1"/>
  <c r="AS65" i="7" s="1"/>
  <c r="P65" i="7"/>
  <c r="AF65" i="7" s="1"/>
  <c r="O65" i="7"/>
  <c r="AE65" i="7" s="1"/>
  <c r="N65" i="7"/>
  <c r="AD65" i="7" s="1"/>
  <c r="M65" i="7"/>
  <c r="AC65" i="7" s="1"/>
  <c r="L65" i="7"/>
  <c r="AB65" i="7" s="1"/>
  <c r="K65" i="7"/>
  <c r="AA65" i="7" s="1"/>
  <c r="J65" i="7"/>
  <c r="Z65" i="7" s="1"/>
  <c r="I65" i="7"/>
  <c r="Y65" i="7" s="1"/>
  <c r="H65" i="7"/>
  <c r="X65" i="7" s="1"/>
  <c r="G65" i="7"/>
  <c r="W65" i="7" s="1"/>
  <c r="F65" i="7"/>
  <c r="V65" i="7" s="1"/>
  <c r="E65" i="7"/>
  <c r="U65" i="7" s="1"/>
  <c r="D65" i="7"/>
  <c r="T65" i="7" s="1"/>
  <c r="C65" i="7"/>
  <c r="S65" i="7" s="1"/>
  <c r="B65" i="7"/>
  <c r="R65" i="7" s="1"/>
  <c r="AH65" i="7" s="1"/>
  <c r="AI65" i="7" s="1"/>
  <c r="AP64" i="7"/>
  <c r="AQ64" i="7" s="1"/>
  <c r="AR64" i="7" s="1"/>
  <c r="AS64" i="7" s="1"/>
  <c r="P64" i="7"/>
  <c r="AF64" i="7" s="1"/>
  <c r="O64" i="7"/>
  <c r="AE64" i="7" s="1"/>
  <c r="N64" i="7"/>
  <c r="AD64" i="7" s="1"/>
  <c r="M64" i="7"/>
  <c r="AC64" i="7" s="1"/>
  <c r="L64" i="7"/>
  <c r="AB64" i="7" s="1"/>
  <c r="K64" i="7"/>
  <c r="AA64" i="7" s="1"/>
  <c r="J64" i="7"/>
  <c r="Z64" i="7" s="1"/>
  <c r="I64" i="7"/>
  <c r="Y64" i="7" s="1"/>
  <c r="H64" i="7"/>
  <c r="X64" i="7" s="1"/>
  <c r="G64" i="7"/>
  <c r="W64" i="7" s="1"/>
  <c r="F64" i="7"/>
  <c r="V64" i="7" s="1"/>
  <c r="E64" i="7"/>
  <c r="U64" i="7" s="1"/>
  <c r="D64" i="7"/>
  <c r="T64" i="7" s="1"/>
  <c r="C64" i="7"/>
  <c r="S64" i="7" s="1"/>
  <c r="B64" i="7"/>
  <c r="R64" i="7" s="1"/>
  <c r="AH64" i="7" s="1"/>
  <c r="AI64" i="7" s="1"/>
  <c r="AP63" i="7"/>
  <c r="AQ63" i="7" s="1"/>
  <c r="AR63" i="7" s="1"/>
  <c r="AS63" i="7" s="1"/>
  <c r="P63" i="7"/>
  <c r="AF63" i="7" s="1"/>
  <c r="O63" i="7"/>
  <c r="AE63" i="7" s="1"/>
  <c r="N63" i="7"/>
  <c r="AD63" i="7" s="1"/>
  <c r="M63" i="7"/>
  <c r="AC63" i="7" s="1"/>
  <c r="L63" i="7"/>
  <c r="AB63" i="7" s="1"/>
  <c r="K63" i="7"/>
  <c r="AA63" i="7" s="1"/>
  <c r="J63" i="7"/>
  <c r="Z63" i="7" s="1"/>
  <c r="I63" i="7"/>
  <c r="Y63" i="7" s="1"/>
  <c r="H63" i="7"/>
  <c r="X63" i="7" s="1"/>
  <c r="G63" i="7"/>
  <c r="W63" i="7" s="1"/>
  <c r="F63" i="7"/>
  <c r="V63" i="7" s="1"/>
  <c r="E63" i="7"/>
  <c r="U63" i="7" s="1"/>
  <c r="D63" i="7"/>
  <c r="T63" i="7" s="1"/>
  <c r="C63" i="7"/>
  <c r="S63" i="7" s="1"/>
  <c r="B63" i="7"/>
  <c r="R63" i="7" s="1"/>
  <c r="AH63" i="7" s="1"/>
  <c r="AI63" i="7" s="1"/>
  <c r="AP62" i="7"/>
  <c r="AQ62" i="7" s="1"/>
  <c r="AR62" i="7" s="1"/>
  <c r="AS62" i="7" s="1"/>
  <c r="P62" i="7"/>
  <c r="AF62" i="7" s="1"/>
  <c r="O62" i="7"/>
  <c r="AE62" i="7" s="1"/>
  <c r="N62" i="7"/>
  <c r="AD62" i="7" s="1"/>
  <c r="M62" i="7"/>
  <c r="AC62" i="7" s="1"/>
  <c r="L62" i="7"/>
  <c r="AB62" i="7" s="1"/>
  <c r="K62" i="7"/>
  <c r="AA62" i="7" s="1"/>
  <c r="J62" i="7"/>
  <c r="Z62" i="7" s="1"/>
  <c r="I62" i="7"/>
  <c r="Y62" i="7" s="1"/>
  <c r="H62" i="7"/>
  <c r="X62" i="7" s="1"/>
  <c r="G62" i="7"/>
  <c r="W62" i="7" s="1"/>
  <c r="F62" i="7"/>
  <c r="V62" i="7" s="1"/>
  <c r="E62" i="7"/>
  <c r="U62" i="7" s="1"/>
  <c r="D62" i="7"/>
  <c r="T62" i="7" s="1"/>
  <c r="C62" i="7"/>
  <c r="S62" i="7" s="1"/>
  <c r="B62" i="7"/>
  <c r="R62" i="7" s="1"/>
  <c r="AH62" i="7" s="1"/>
  <c r="AI62" i="7" s="1"/>
  <c r="AP61" i="7"/>
  <c r="AQ61" i="7" s="1"/>
  <c r="AR61" i="7" s="1"/>
  <c r="AS61" i="7" s="1"/>
  <c r="P61" i="7"/>
  <c r="AF61" i="7" s="1"/>
  <c r="O61" i="7"/>
  <c r="AE61" i="7" s="1"/>
  <c r="AH61" i="7" s="1"/>
  <c r="AI61" i="7" s="1"/>
  <c r="N61" i="7"/>
  <c r="AD61" i="7" s="1"/>
  <c r="M61" i="7"/>
  <c r="AC61" i="7" s="1"/>
  <c r="L61" i="7"/>
  <c r="AB61" i="7" s="1"/>
  <c r="K61" i="7"/>
  <c r="AA61" i="7" s="1"/>
  <c r="J61" i="7"/>
  <c r="Z61" i="7" s="1"/>
  <c r="I61" i="7"/>
  <c r="Y61" i="7" s="1"/>
  <c r="H61" i="7"/>
  <c r="X61" i="7" s="1"/>
  <c r="G61" i="7"/>
  <c r="W61" i="7" s="1"/>
  <c r="F61" i="7"/>
  <c r="V61" i="7" s="1"/>
  <c r="E61" i="7"/>
  <c r="U61" i="7" s="1"/>
  <c r="D61" i="7"/>
  <c r="T61" i="7" s="1"/>
  <c r="C61" i="7"/>
  <c r="S61" i="7" s="1"/>
  <c r="B61" i="7"/>
  <c r="R61" i="7" s="1"/>
  <c r="AP60" i="7"/>
  <c r="AQ60" i="7" s="1"/>
  <c r="AR60" i="7" s="1"/>
  <c r="AS60" i="7" s="1"/>
  <c r="P60" i="7"/>
  <c r="AF60" i="7" s="1"/>
  <c r="O60" i="7"/>
  <c r="AE60" i="7" s="1"/>
  <c r="N60" i="7"/>
  <c r="AD60" i="7" s="1"/>
  <c r="M60" i="7"/>
  <c r="AC60" i="7" s="1"/>
  <c r="L60" i="7"/>
  <c r="AB60" i="7" s="1"/>
  <c r="K60" i="7"/>
  <c r="AA60" i="7" s="1"/>
  <c r="J60" i="7"/>
  <c r="Z60" i="7" s="1"/>
  <c r="I60" i="7"/>
  <c r="Y60" i="7" s="1"/>
  <c r="H60" i="7"/>
  <c r="X60" i="7" s="1"/>
  <c r="G60" i="7"/>
  <c r="W60" i="7" s="1"/>
  <c r="F60" i="7"/>
  <c r="V60" i="7" s="1"/>
  <c r="E60" i="7"/>
  <c r="U60" i="7" s="1"/>
  <c r="D60" i="7"/>
  <c r="T60" i="7" s="1"/>
  <c r="C60" i="7"/>
  <c r="S60" i="7" s="1"/>
  <c r="B60" i="7"/>
  <c r="R60" i="7" s="1"/>
  <c r="AH60" i="7" s="1"/>
  <c r="AI60" i="7" s="1"/>
  <c r="AP59" i="7"/>
  <c r="AQ59" i="7" s="1"/>
  <c r="AR59" i="7" s="1"/>
  <c r="AS59" i="7" s="1"/>
  <c r="P59" i="7"/>
  <c r="AF59" i="7" s="1"/>
  <c r="O59" i="7"/>
  <c r="AE59" i="7" s="1"/>
  <c r="N59" i="7"/>
  <c r="AD59" i="7" s="1"/>
  <c r="M59" i="7"/>
  <c r="AC59" i="7" s="1"/>
  <c r="L59" i="7"/>
  <c r="AB59" i="7" s="1"/>
  <c r="K59" i="7"/>
  <c r="AA59" i="7" s="1"/>
  <c r="J59" i="7"/>
  <c r="Z59" i="7" s="1"/>
  <c r="I59" i="7"/>
  <c r="Y59" i="7" s="1"/>
  <c r="H59" i="7"/>
  <c r="X59" i="7" s="1"/>
  <c r="G59" i="7"/>
  <c r="W59" i="7" s="1"/>
  <c r="F59" i="7"/>
  <c r="V59" i="7" s="1"/>
  <c r="E59" i="7"/>
  <c r="U59" i="7" s="1"/>
  <c r="D59" i="7"/>
  <c r="T59" i="7" s="1"/>
  <c r="C59" i="7"/>
  <c r="S59" i="7" s="1"/>
  <c r="B59" i="7"/>
  <c r="R59" i="7" s="1"/>
  <c r="AH59" i="7" s="1"/>
  <c r="AI59" i="7" s="1"/>
  <c r="AP58" i="7"/>
  <c r="AQ58" i="7" s="1"/>
  <c r="AR58" i="7" s="1"/>
  <c r="AS58" i="7" s="1"/>
  <c r="P58" i="7"/>
  <c r="AF58" i="7" s="1"/>
  <c r="O58" i="7"/>
  <c r="AE58" i="7" s="1"/>
  <c r="N58" i="7"/>
  <c r="AD58" i="7" s="1"/>
  <c r="M58" i="7"/>
  <c r="AC58" i="7" s="1"/>
  <c r="L58" i="7"/>
  <c r="AB58" i="7" s="1"/>
  <c r="K58" i="7"/>
  <c r="AA58" i="7" s="1"/>
  <c r="J58" i="7"/>
  <c r="Z58" i="7" s="1"/>
  <c r="I58" i="7"/>
  <c r="Y58" i="7" s="1"/>
  <c r="H58" i="7"/>
  <c r="X58" i="7" s="1"/>
  <c r="G58" i="7"/>
  <c r="W58" i="7" s="1"/>
  <c r="F58" i="7"/>
  <c r="V58" i="7" s="1"/>
  <c r="E58" i="7"/>
  <c r="U58" i="7" s="1"/>
  <c r="D58" i="7"/>
  <c r="T58" i="7" s="1"/>
  <c r="C58" i="7"/>
  <c r="S58" i="7" s="1"/>
  <c r="B58" i="7"/>
  <c r="R58" i="7" s="1"/>
  <c r="AH58" i="7" s="1"/>
  <c r="AI58" i="7" s="1"/>
  <c r="AP57" i="7"/>
  <c r="AQ57" i="7" s="1"/>
  <c r="AR57" i="7" s="1"/>
  <c r="AS57" i="7" s="1"/>
  <c r="P57" i="7"/>
  <c r="AF57" i="7" s="1"/>
  <c r="O57" i="7"/>
  <c r="AE57" i="7" s="1"/>
  <c r="N57" i="7"/>
  <c r="AD57" i="7" s="1"/>
  <c r="M57" i="7"/>
  <c r="AC57" i="7" s="1"/>
  <c r="L57" i="7"/>
  <c r="AB57" i="7" s="1"/>
  <c r="K57" i="7"/>
  <c r="AA57" i="7" s="1"/>
  <c r="J57" i="7"/>
  <c r="Z57" i="7" s="1"/>
  <c r="I57" i="7"/>
  <c r="Y57" i="7" s="1"/>
  <c r="H57" i="7"/>
  <c r="X57" i="7" s="1"/>
  <c r="G57" i="7"/>
  <c r="W57" i="7" s="1"/>
  <c r="F57" i="7"/>
  <c r="V57" i="7" s="1"/>
  <c r="E57" i="7"/>
  <c r="U57" i="7" s="1"/>
  <c r="D57" i="7"/>
  <c r="T57" i="7" s="1"/>
  <c r="C57" i="7"/>
  <c r="S57" i="7" s="1"/>
  <c r="B57" i="7"/>
  <c r="R57" i="7" s="1"/>
  <c r="AH57" i="7" s="1"/>
  <c r="AI57" i="7" s="1"/>
  <c r="AP56" i="7"/>
  <c r="AQ56" i="7" s="1"/>
  <c r="AR56" i="7" s="1"/>
  <c r="AS56" i="7" s="1"/>
  <c r="P56" i="7"/>
  <c r="AF56" i="7" s="1"/>
  <c r="O56" i="7"/>
  <c r="AE56" i="7" s="1"/>
  <c r="N56" i="7"/>
  <c r="AD56" i="7" s="1"/>
  <c r="M56" i="7"/>
  <c r="AC56" i="7" s="1"/>
  <c r="L56" i="7"/>
  <c r="AB56" i="7" s="1"/>
  <c r="K56" i="7"/>
  <c r="AA56" i="7" s="1"/>
  <c r="J56" i="7"/>
  <c r="Z56" i="7" s="1"/>
  <c r="I56" i="7"/>
  <c r="Y56" i="7" s="1"/>
  <c r="H56" i="7"/>
  <c r="X56" i="7" s="1"/>
  <c r="G56" i="7"/>
  <c r="W56" i="7" s="1"/>
  <c r="F56" i="7"/>
  <c r="V56" i="7" s="1"/>
  <c r="E56" i="7"/>
  <c r="U56" i="7" s="1"/>
  <c r="D56" i="7"/>
  <c r="T56" i="7" s="1"/>
  <c r="C56" i="7"/>
  <c r="S56" i="7" s="1"/>
  <c r="B56" i="7"/>
  <c r="R56" i="7" s="1"/>
  <c r="AH56" i="7" s="1"/>
  <c r="AI56" i="7" s="1"/>
  <c r="AP55" i="7"/>
  <c r="AQ55" i="7" s="1"/>
  <c r="AR55" i="7" s="1"/>
  <c r="AS55" i="7" s="1"/>
  <c r="P55" i="7"/>
  <c r="AF55" i="7" s="1"/>
  <c r="O55" i="7"/>
  <c r="AE55" i="7" s="1"/>
  <c r="N55" i="7"/>
  <c r="AD55" i="7" s="1"/>
  <c r="M55" i="7"/>
  <c r="AC55" i="7" s="1"/>
  <c r="L55" i="7"/>
  <c r="AB55" i="7" s="1"/>
  <c r="K55" i="7"/>
  <c r="AA55" i="7" s="1"/>
  <c r="J55" i="7"/>
  <c r="Z55" i="7" s="1"/>
  <c r="I55" i="7"/>
  <c r="Y55" i="7" s="1"/>
  <c r="H55" i="7"/>
  <c r="X55" i="7" s="1"/>
  <c r="G55" i="7"/>
  <c r="W55" i="7" s="1"/>
  <c r="F55" i="7"/>
  <c r="V55" i="7" s="1"/>
  <c r="E55" i="7"/>
  <c r="U55" i="7" s="1"/>
  <c r="D55" i="7"/>
  <c r="T55" i="7" s="1"/>
  <c r="C55" i="7"/>
  <c r="S55" i="7" s="1"/>
  <c r="B55" i="7"/>
  <c r="R55" i="7" s="1"/>
  <c r="AH55" i="7" s="1"/>
  <c r="AI55" i="7" s="1"/>
  <c r="AP54" i="7"/>
  <c r="AQ54" i="7" s="1"/>
  <c r="AR54" i="7" s="1"/>
  <c r="AS54" i="7" s="1"/>
  <c r="P54" i="7"/>
  <c r="AF54" i="7" s="1"/>
  <c r="O54" i="7"/>
  <c r="AE54" i="7" s="1"/>
  <c r="N54" i="7"/>
  <c r="AD54" i="7" s="1"/>
  <c r="M54" i="7"/>
  <c r="AC54" i="7" s="1"/>
  <c r="L54" i="7"/>
  <c r="AB54" i="7" s="1"/>
  <c r="K54" i="7"/>
  <c r="AA54" i="7" s="1"/>
  <c r="J54" i="7"/>
  <c r="Z54" i="7" s="1"/>
  <c r="I54" i="7"/>
  <c r="Y54" i="7" s="1"/>
  <c r="H54" i="7"/>
  <c r="X54" i="7" s="1"/>
  <c r="G54" i="7"/>
  <c r="W54" i="7" s="1"/>
  <c r="F54" i="7"/>
  <c r="V54" i="7" s="1"/>
  <c r="E54" i="7"/>
  <c r="U54" i="7" s="1"/>
  <c r="D54" i="7"/>
  <c r="T54" i="7" s="1"/>
  <c r="C54" i="7"/>
  <c r="S54" i="7" s="1"/>
  <c r="B54" i="7"/>
  <c r="R54" i="7" s="1"/>
  <c r="AH54" i="7" s="1"/>
  <c r="AI54" i="7" s="1"/>
  <c r="AP53" i="7"/>
  <c r="AQ53" i="7" s="1"/>
  <c r="AR53" i="7" s="1"/>
  <c r="AS53" i="7" s="1"/>
  <c r="P53" i="7"/>
  <c r="AF53" i="7" s="1"/>
  <c r="O53" i="7"/>
  <c r="AE53" i="7" s="1"/>
  <c r="N53" i="7"/>
  <c r="AD53" i="7" s="1"/>
  <c r="M53" i="7"/>
  <c r="AC53" i="7" s="1"/>
  <c r="L53" i="7"/>
  <c r="AB53" i="7" s="1"/>
  <c r="K53" i="7"/>
  <c r="AA53" i="7" s="1"/>
  <c r="J53" i="7"/>
  <c r="Z53" i="7" s="1"/>
  <c r="I53" i="7"/>
  <c r="Y53" i="7" s="1"/>
  <c r="H53" i="7"/>
  <c r="X53" i="7" s="1"/>
  <c r="G53" i="7"/>
  <c r="W53" i="7" s="1"/>
  <c r="F53" i="7"/>
  <c r="V53" i="7" s="1"/>
  <c r="E53" i="7"/>
  <c r="U53" i="7" s="1"/>
  <c r="D53" i="7"/>
  <c r="T53" i="7" s="1"/>
  <c r="C53" i="7"/>
  <c r="S53" i="7" s="1"/>
  <c r="B53" i="7"/>
  <c r="R53" i="7" s="1"/>
  <c r="AH53" i="7" s="1"/>
  <c r="AI53" i="7" s="1"/>
  <c r="AP52" i="7"/>
  <c r="AQ52" i="7" s="1"/>
  <c r="AR52" i="7" s="1"/>
  <c r="AS52" i="7" s="1"/>
  <c r="P52" i="7"/>
  <c r="AF52" i="7" s="1"/>
  <c r="O52" i="7"/>
  <c r="AE52" i="7" s="1"/>
  <c r="N52" i="7"/>
  <c r="AD52" i="7" s="1"/>
  <c r="M52" i="7"/>
  <c r="AC52" i="7" s="1"/>
  <c r="L52" i="7"/>
  <c r="AB52" i="7" s="1"/>
  <c r="K52" i="7"/>
  <c r="AA52" i="7" s="1"/>
  <c r="J52" i="7"/>
  <c r="Z52" i="7" s="1"/>
  <c r="I52" i="7"/>
  <c r="Y52" i="7" s="1"/>
  <c r="H52" i="7"/>
  <c r="X52" i="7" s="1"/>
  <c r="G52" i="7"/>
  <c r="W52" i="7" s="1"/>
  <c r="F52" i="7"/>
  <c r="V52" i="7" s="1"/>
  <c r="E52" i="7"/>
  <c r="U52" i="7" s="1"/>
  <c r="D52" i="7"/>
  <c r="T52" i="7" s="1"/>
  <c r="C52" i="7"/>
  <c r="S52" i="7" s="1"/>
  <c r="B52" i="7"/>
  <c r="R52" i="7" s="1"/>
  <c r="AH52" i="7" s="1"/>
  <c r="AI52" i="7" s="1"/>
  <c r="AP51" i="7"/>
  <c r="AQ51" i="7" s="1"/>
  <c r="AR51" i="7" s="1"/>
  <c r="AS51" i="7" s="1"/>
  <c r="P51" i="7"/>
  <c r="AF51" i="7" s="1"/>
  <c r="O51" i="7"/>
  <c r="AE51" i="7" s="1"/>
  <c r="N51" i="7"/>
  <c r="AD51" i="7" s="1"/>
  <c r="M51" i="7"/>
  <c r="AC51" i="7" s="1"/>
  <c r="L51" i="7"/>
  <c r="AB51" i="7" s="1"/>
  <c r="K51" i="7"/>
  <c r="AA51" i="7" s="1"/>
  <c r="J51" i="7"/>
  <c r="Z51" i="7" s="1"/>
  <c r="I51" i="7"/>
  <c r="Y51" i="7" s="1"/>
  <c r="H51" i="7"/>
  <c r="X51" i="7" s="1"/>
  <c r="G51" i="7"/>
  <c r="W51" i="7" s="1"/>
  <c r="F51" i="7"/>
  <c r="V51" i="7" s="1"/>
  <c r="E51" i="7"/>
  <c r="U51" i="7" s="1"/>
  <c r="D51" i="7"/>
  <c r="T51" i="7" s="1"/>
  <c r="C51" i="7"/>
  <c r="S51" i="7" s="1"/>
  <c r="B51" i="7"/>
  <c r="R51" i="7" s="1"/>
  <c r="AH51" i="7" s="1"/>
  <c r="AI51" i="7" s="1"/>
  <c r="AP50" i="7"/>
  <c r="AQ50" i="7" s="1"/>
  <c r="AR50" i="7" s="1"/>
  <c r="AS50" i="7" s="1"/>
  <c r="P50" i="7"/>
  <c r="AF50" i="7" s="1"/>
  <c r="O50" i="7"/>
  <c r="AE50" i="7" s="1"/>
  <c r="N50" i="7"/>
  <c r="AD50" i="7" s="1"/>
  <c r="M50" i="7"/>
  <c r="AC50" i="7" s="1"/>
  <c r="L50" i="7"/>
  <c r="AB50" i="7" s="1"/>
  <c r="K50" i="7"/>
  <c r="AA50" i="7" s="1"/>
  <c r="J50" i="7"/>
  <c r="Z50" i="7" s="1"/>
  <c r="I50" i="7"/>
  <c r="Y50" i="7" s="1"/>
  <c r="H50" i="7"/>
  <c r="X50" i="7" s="1"/>
  <c r="G50" i="7"/>
  <c r="W50" i="7" s="1"/>
  <c r="F50" i="7"/>
  <c r="V50" i="7" s="1"/>
  <c r="E50" i="7"/>
  <c r="U50" i="7" s="1"/>
  <c r="D50" i="7"/>
  <c r="T50" i="7" s="1"/>
  <c r="C50" i="7"/>
  <c r="S50" i="7" s="1"/>
  <c r="B50" i="7"/>
  <c r="R50" i="7" s="1"/>
  <c r="AH50" i="7" s="1"/>
  <c r="AI50" i="7" s="1"/>
  <c r="AP49" i="7"/>
  <c r="AQ49" i="7" s="1"/>
  <c r="AR49" i="7" s="1"/>
  <c r="AS49" i="7" s="1"/>
  <c r="P49" i="7"/>
  <c r="AF49" i="7" s="1"/>
  <c r="O49" i="7"/>
  <c r="AE49" i="7" s="1"/>
  <c r="N49" i="7"/>
  <c r="AD49" i="7" s="1"/>
  <c r="M49" i="7"/>
  <c r="AC49" i="7" s="1"/>
  <c r="L49" i="7"/>
  <c r="AB49" i="7" s="1"/>
  <c r="K49" i="7"/>
  <c r="AA49" i="7" s="1"/>
  <c r="J49" i="7"/>
  <c r="Z49" i="7" s="1"/>
  <c r="I49" i="7"/>
  <c r="Y49" i="7" s="1"/>
  <c r="H49" i="7"/>
  <c r="X49" i="7" s="1"/>
  <c r="G49" i="7"/>
  <c r="W49" i="7" s="1"/>
  <c r="F49" i="7"/>
  <c r="V49" i="7" s="1"/>
  <c r="E49" i="7"/>
  <c r="U49" i="7" s="1"/>
  <c r="D49" i="7"/>
  <c r="T49" i="7" s="1"/>
  <c r="C49" i="7"/>
  <c r="S49" i="7" s="1"/>
  <c r="B49" i="7"/>
  <c r="R49" i="7" s="1"/>
  <c r="AH49" i="7" s="1"/>
  <c r="AI49" i="7" s="1"/>
  <c r="AP48" i="7"/>
  <c r="AQ48" i="7" s="1"/>
  <c r="AR48" i="7" s="1"/>
  <c r="AS48" i="7" s="1"/>
  <c r="P48" i="7"/>
  <c r="AF48" i="7" s="1"/>
  <c r="O48" i="7"/>
  <c r="AE48" i="7" s="1"/>
  <c r="N48" i="7"/>
  <c r="AD48" i="7" s="1"/>
  <c r="M48" i="7"/>
  <c r="AC48" i="7" s="1"/>
  <c r="L48" i="7"/>
  <c r="AB48" i="7" s="1"/>
  <c r="K48" i="7"/>
  <c r="AA48" i="7" s="1"/>
  <c r="J48" i="7"/>
  <c r="Z48" i="7" s="1"/>
  <c r="I48" i="7"/>
  <c r="Y48" i="7" s="1"/>
  <c r="H48" i="7"/>
  <c r="X48" i="7" s="1"/>
  <c r="G48" i="7"/>
  <c r="W48" i="7" s="1"/>
  <c r="F48" i="7"/>
  <c r="V48" i="7" s="1"/>
  <c r="E48" i="7"/>
  <c r="U48" i="7" s="1"/>
  <c r="D48" i="7"/>
  <c r="T48" i="7" s="1"/>
  <c r="C48" i="7"/>
  <c r="S48" i="7" s="1"/>
  <c r="B48" i="7"/>
  <c r="R48" i="7" s="1"/>
  <c r="AH48" i="7" s="1"/>
  <c r="AI48" i="7" s="1"/>
  <c r="AP47" i="7"/>
  <c r="AQ47" i="7" s="1"/>
  <c r="AR47" i="7" s="1"/>
  <c r="AS47" i="7" s="1"/>
  <c r="P47" i="7"/>
  <c r="AF47" i="7" s="1"/>
  <c r="O47" i="7"/>
  <c r="AE47" i="7" s="1"/>
  <c r="N47" i="7"/>
  <c r="AD47" i="7" s="1"/>
  <c r="M47" i="7"/>
  <c r="AC47" i="7" s="1"/>
  <c r="L47" i="7"/>
  <c r="AB47" i="7" s="1"/>
  <c r="K47" i="7"/>
  <c r="AA47" i="7" s="1"/>
  <c r="J47" i="7"/>
  <c r="Z47" i="7" s="1"/>
  <c r="I47" i="7"/>
  <c r="Y47" i="7" s="1"/>
  <c r="H47" i="7"/>
  <c r="X47" i="7" s="1"/>
  <c r="G47" i="7"/>
  <c r="W47" i="7" s="1"/>
  <c r="F47" i="7"/>
  <c r="V47" i="7" s="1"/>
  <c r="E47" i="7"/>
  <c r="U47" i="7" s="1"/>
  <c r="D47" i="7"/>
  <c r="T47" i="7" s="1"/>
  <c r="C47" i="7"/>
  <c r="S47" i="7" s="1"/>
  <c r="B47" i="7"/>
  <c r="R47" i="7" s="1"/>
  <c r="AH47" i="7" s="1"/>
  <c r="AI47" i="7" s="1"/>
  <c r="AP46" i="7"/>
  <c r="AQ46" i="7" s="1"/>
  <c r="AR46" i="7" s="1"/>
  <c r="AS46" i="7" s="1"/>
  <c r="P46" i="7"/>
  <c r="AF46" i="7" s="1"/>
  <c r="O46" i="7"/>
  <c r="AE46" i="7" s="1"/>
  <c r="N46" i="7"/>
  <c r="AD46" i="7" s="1"/>
  <c r="M46" i="7"/>
  <c r="AC46" i="7" s="1"/>
  <c r="L46" i="7"/>
  <c r="AB46" i="7" s="1"/>
  <c r="K46" i="7"/>
  <c r="AA46" i="7" s="1"/>
  <c r="J46" i="7"/>
  <c r="Z46" i="7" s="1"/>
  <c r="I46" i="7"/>
  <c r="Y46" i="7" s="1"/>
  <c r="H46" i="7"/>
  <c r="X46" i="7" s="1"/>
  <c r="G46" i="7"/>
  <c r="W46" i="7" s="1"/>
  <c r="F46" i="7"/>
  <c r="V46" i="7" s="1"/>
  <c r="E46" i="7"/>
  <c r="U46" i="7" s="1"/>
  <c r="D46" i="7"/>
  <c r="T46" i="7" s="1"/>
  <c r="C46" i="7"/>
  <c r="S46" i="7" s="1"/>
  <c r="B46" i="7"/>
  <c r="R46" i="7" s="1"/>
  <c r="AH46" i="7" s="1"/>
  <c r="AI46" i="7" s="1"/>
  <c r="AP45" i="7"/>
  <c r="AQ45" i="7" s="1"/>
  <c r="AR45" i="7" s="1"/>
  <c r="AS45" i="7" s="1"/>
  <c r="P45" i="7"/>
  <c r="AF45" i="7" s="1"/>
  <c r="O45" i="7"/>
  <c r="AE45" i="7" s="1"/>
  <c r="N45" i="7"/>
  <c r="AD45" i="7" s="1"/>
  <c r="M45" i="7"/>
  <c r="AC45" i="7" s="1"/>
  <c r="L45" i="7"/>
  <c r="AB45" i="7" s="1"/>
  <c r="K45" i="7"/>
  <c r="AA45" i="7" s="1"/>
  <c r="J45" i="7"/>
  <c r="Z45" i="7" s="1"/>
  <c r="I45" i="7"/>
  <c r="Y45" i="7" s="1"/>
  <c r="H45" i="7"/>
  <c r="X45" i="7" s="1"/>
  <c r="G45" i="7"/>
  <c r="W45" i="7" s="1"/>
  <c r="F45" i="7"/>
  <c r="V45" i="7" s="1"/>
  <c r="E45" i="7"/>
  <c r="U45" i="7" s="1"/>
  <c r="D45" i="7"/>
  <c r="T45" i="7" s="1"/>
  <c r="C45" i="7"/>
  <c r="S45" i="7" s="1"/>
  <c r="B45" i="7"/>
  <c r="R45" i="7" s="1"/>
  <c r="AP44" i="7"/>
  <c r="AQ44" i="7" s="1"/>
  <c r="AR44" i="7" s="1"/>
  <c r="AS44" i="7" s="1"/>
  <c r="P44" i="7"/>
  <c r="AF44" i="7" s="1"/>
  <c r="O44" i="7"/>
  <c r="AE44" i="7" s="1"/>
  <c r="N44" i="7"/>
  <c r="AD44" i="7" s="1"/>
  <c r="M44" i="7"/>
  <c r="AC44" i="7" s="1"/>
  <c r="L44" i="7"/>
  <c r="AB44" i="7" s="1"/>
  <c r="K44" i="7"/>
  <c r="AA44" i="7" s="1"/>
  <c r="J44" i="7"/>
  <c r="Z44" i="7" s="1"/>
  <c r="I44" i="7"/>
  <c r="Y44" i="7" s="1"/>
  <c r="H44" i="7"/>
  <c r="X44" i="7" s="1"/>
  <c r="G44" i="7"/>
  <c r="W44" i="7" s="1"/>
  <c r="F44" i="7"/>
  <c r="V44" i="7" s="1"/>
  <c r="E44" i="7"/>
  <c r="U44" i="7" s="1"/>
  <c r="D44" i="7"/>
  <c r="T44" i="7" s="1"/>
  <c r="C44" i="7"/>
  <c r="S44" i="7" s="1"/>
  <c r="B44" i="7"/>
  <c r="R44" i="7" s="1"/>
  <c r="AH44" i="7" s="1"/>
  <c r="AI44" i="7" s="1"/>
  <c r="AP43" i="7"/>
  <c r="AQ43" i="7" s="1"/>
  <c r="AR43" i="7" s="1"/>
  <c r="AS43" i="7" s="1"/>
  <c r="P43" i="7"/>
  <c r="AF43" i="7" s="1"/>
  <c r="O43" i="7"/>
  <c r="AE43" i="7" s="1"/>
  <c r="N43" i="7"/>
  <c r="AD43" i="7" s="1"/>
  <c r="M43" i="7"/>
  <c r="AC43" i="7" s="1"/>
  <c r="L43" i="7"/>
  <c r="AB43" i="7" s="1"/>
  <c r="K43" i="7"/>
  <c r="AA43" i="7" s="1"/>
  <c r="J43" i="7"/>
  <c r="Z43" i="7" s="1"/>
  <c r="I43" i="7"/>
  <c r="Y43" i="7" s="1"/>
  <c r="H43" i="7"/>
  <c r="X43" i="7" s="1"/>
  <c r="G43" i="7"/>
  <c r="W43" i="7" s="1"/>
  <c r="F43" i="7"/>
  <c r="V43" i="7" s="1"/>
  <c r="E43" i="7"/>
  <c r="U43" i="7" s="1"/>
  <c r="D43" i="7"/>
  <c r="T43" i="7" s="1"/>
  <c r="C43" i="7"/>
  <c r="S43" i="7" s="1"/>
  <c r="B43" i="7"/>
  <c r="R43" i="7" s="1"/>
  <c r="AP42" i="7"/>
  <c r="AQ42" i="7" s="1"/>
  <c r="AR42" i="7" s="1"/>
  <c r="AS42" i="7" s="1"/>
  <c r="P42" i="7"/>
  <c r="AF42" i="7" s="1"/>
  <c r="O42" i="7"/>
  <c r="AE42" i="7" s="1"/>
  <c r="N42" i="7"/>
  <c r="AD42" i="7" s="1"/>
  <c r="M42" i="7"/>
  <c r="AC42" i="7" s="1"/>
  <c r="L42" i="7"/>
  <c r="AB42" i="7" s="1"/>
  <c r="K42" i="7"/>
  <c r="AA42" i="7" s="1"/>
  <c r="J42" i="7"/>
  <c r="Z42" i="7" s="1"/>
  <c r="I42" i="7"/>
  <c r="Y42" i="7" s="1"/>
  <c r="H42" i="7"/>
  <c r="X42" i="7" s="1"/>
  <c r="G42" i="7"/>
  <c r="W42" i="7" s="1"/>
  <c r="F42" i="7"/>
  <c r="V42" i="7" s="1"/>
  <c r="E42" i="7"/>
  <c r="U42" i="7" s="1"/>
  <c r="D42" i="7"/>
  <c r="T42" i="7" s="1"/>
  <c r="C42" i="7"/>
  <c r="S42" i="7" s="1"/>
  <c r="B42" i="7"/>
  <c r="R42" i="7" s="1"/>
  <c r="AH42" i="7" s="1"/>
  <c r="AI42" i="7" s="1"/>
  <c r="AP41" i="7"/>
  <c r="AQ41" i="7" s="1"/>
  <c r="AR41" i="7" s="1"/>
  <c r="AS41" i="7" s="1"/>
  <c r="P41" i="7"/>
  <c r="AF41" i="7" s="1"/>
  <c r="O41" i="7"/>
  <c r="AE41" i="7" s="1"/>
  <c r="N41" i="7"/>
  <c r="AD41" i="7" s="1"/>
  <c r="M41" i="7"/>
  <c r="AC41" i="7" s="1"/>
  <c r="L41" i="7"/>
  <c r="AB41" i="7" s="1"/>
  <c r="K41" i="7"/>
  <c r="AA41" i="7" s="1"/>
  <c r="J41" i="7"/>
  <c r="Z41" i="7" s="1"/>
  <c r="I41" i="7"/>
  <c r="Y41" i="7" s="1"/>
  <c r="H41" i="7"/>
  <c r="X41" i="7" s="1"/>
  <c r="G41" i="7"/>
  <c r="W41" i="7" s="1"/>
  <c r="F41" i="7"/>
  <c r="V41" i="7" s="1"/>
  <c r="E41" i="7"/>
  <c r="U41" i="7" s="1"/>
  <c r="D41" i="7"/>
  <c r="T41" i="7" s="1"/>
  <c r="C41" i="7"/>
  <c r="S41" i="7" s="1"/>
  <c r="B41" i="7"/>
  <c r="R41" i="7" s="1"/>
  <c r="AH41" i="7" s="1"/>
  <c r="AI41" i="7" s="1"/>
  <c r="AP40" i="7"/>
  <c r="AQ40" i="7" s="1"/>
  <c r="AR40" i="7" s="1"/>
  <c r="AS40" i="7" s="1"/>
  <c r="P40" i="7"/>
  <c r="AF40" i="7" s="1"/>
  <c r="O40" i="7"/>
  <c r="AE40" i="7" s="1"/>
  <c r="N40" i="7"/>
  <c r="AD40" i="7" s="1"/>
  <c r="M40" i="7"/>
  <c r="AC40" i="7" s="1"/>
  <c r="L40" i="7"/>
  <c r="AB40" i="7" s="1"/>
  <c r="K40" i="7"/>
  <c r="AA40" i="7" s="1"/>
  <c r="J40" i="7"/>
  <c r="Z40" i="7" s="1"/>
  <c r="I40" i="7"/>
  <c r="Y40" i="7" s="1"/>
  <c r="H40" i="7"/>
  <c r="X40" i="7" s="1"/>
  <c r="G40" i="7"/>
  <c r="W40" i="7" s="1"/>
  <c r="F40" i="7"/>
  <c r="V40" i="7" s="1"/>
  <c r="E40" i="7"/>
  <c r="U40" i="7" s="1"/>
  <c r="D40" i="7"/>
  <c r="T40" i="7" s="1"/>
  <c r="C40" i="7"/>
  <c r="S40" i="7" s="1"/>
  <c r="B40" i="7"/>
  <c r="R40" i="7" s="1"/>
  <c r="AH40" i="7" s="1"/>
  <c r="AI40" i="7" s="1"/>
  <c r="AP39" i="7"/>
  <c r="AQ39" i="7" s="1"/>
  <c r="AR39" i="7" s="1"/>
  <c r="AS39" i="7" s="1"/>
  <c r="P39" i="7"/>
  <c r="AF39" i="7" s="1"/>
  <c r="O39" i="7"/>
  <c r="AE39" i="7" s="1"/>
  <c r="N39" i="7"/>
  <c r="AD39" i="7" s="1"/>
  <c r="M39" i="7"/>
  <c r="AC39" i="7" s="1"/>
  <c r="L39" i="7"/>
  <c r="AB39" i="7" s="1"/>
  <c r="K39" i="7"/>
  <c r="AA39" i="7" s="1"/>
  <c r="J39" i="7"/>
  <c r="Z39" i="7" s="1"/>
  <c r="I39" i="7"/>
  <c r="Y39" i="7" s="1"/>
  <c r="H39" i="7"/>
  <c r="X39" i="7" s="1"/>
  <c r="G39" i="7"/>
  <c r="W39" i="7" s="1"/>
  <c r="F39" i="7"/>
  <c r="V39" i="7" s="1"/>
  <c r="E39" i="7"/>
  <c r="U39" i="7" s="1"/>
  <c r="D39" i="7"/>
  <c r="T39" i="7" s="1"/>
  <c r="C39" i="7"/>
  <c r="S39" i="7" s="1"/>
  <c r="B39" i="7"/>
  <c r="R39" i="7" s="1"/>
  <c r="AH39" i="7" s="1"/>
  <c r="AI39" i="7" s="1"/>
  <c r="AP38" i="7"/>
  <c r="AQ38" i="7" s="1"/>
  <c r="AR38" i="7" s="1"/>
  <c r="AS38" i="7" s="1"/>
  <c r="P38" i="7"/>
  <c r="AF38" i="7" s="1"/>
  <c r="O38" i="7"/>
  <c r="AE38" i="7" s="1"/>
  <c r="N38" i="7"/>
  <c r="AD38" i="7" s="1"/>
  <c r="M38" i="7"/>
  <c r="AC38" i="7" s="1"/>
  <c r="L38" i="7"/>
  <c r="AB38" i="7" s="1"/>
  <c r="K38" i="7"/>
  <c r="AA38" i="7" s="1"/>
  <c r="J38" i="7"/>
  <c r="Z38" i="7" s="1"/>
  <c r="I38" i="7"/>
  <c r="Y38" i="7" s="1"/>
  <c r="H38" i="7"/>
  <c r="X38" i="7" s="1"/>
  <c r="G38" i="7"/>
  <c r="W38" i="7" s="1"/>
  <c r="F38" i="7"/>
  <c r="V38" i="7" s="1"/>
  <c r="E38" i="7"/>
  <c r="U38" i="7" s="1"/>
  <c r="D38" i="7"/>
  <c r="T38" i="7" s="1"/>
  <c r="C38" i="7"/>
  <c r="S38" i="7" s="1"/>
  <c r="B38" i="7"/>
  <c r="R38" i="7" s="1"/>
  <c r="AH38" i="7" s="1"/>
  <c r="AI38" i="7" s="1"/>
  <c r="AP37" i="7"/>
  <c r="AQ37" i="7" s="1"/>
  <c r="AR37" i="7" s="1"/>
  <c r="AS37" i="7" s="1"/>
  <c r="P37" i="7"/>
  <c r="AF37" i="7" s="1"/>
  <c r="O37" i="7"/>
  <c r="AE37" i="7" s="1"/>
  <c r="N37" i="7"/>
  <c r="AD37" i="7" s="1"/>
  <c r="M37" i="7"/>
  <c r="AC37" i="7" s="1"/>
  <c r="L37" i="7"/>
  <c r="AB37" i="7" s="1"/>
  <c r="K37" i="7"/>
  <c r="AA37" i="7" s="1"/>
  <c r="J37" i="7"/>
  <c r="Z37" i="7" s="1"/>
  <c r="I37" i="7"/>
  <c r="Y37" i="7" s="1"/>
  <c r="H37" i="7"/>
  <c r="X37" i="7" s="1"/>
  <c r="G37" i="7"/>
  <c r="W37" i="7" s="1"/>
  <c r="F37" i="7"/>
  <c r="V37" i="7" s="1"/>
  <c r="E37" i="7"/>
  <c r="U37" i="7" s="1"/>
  <c r="D37" i="7"/>
  <c r="T37" i="7" s="1"/>
  <c r="C37" i="7"/>
  <c r="S37" i="7" s="1"/>
  <c r="B37" i="7"/>
  <c r="R37" i="7" s="1"/>
  <c r="AH37" i="7" s="1"/>
  <c r="AI37" i="7" s="1"/>
  <c r="AP36" i="7"/>
  <c r="AQ36" i="7" s="1"/>
  <c r="AR36" i="7" s="1"/>
  <c r="AS36" i="7" s="1"/>
  <c r="P36" i="7"/>
  <c r="AF36" i="7" s="1"/>
  <c r="O36" i="7"/>
  <c r="AE36" i="7" s="1"/>
  <c r="N36" i="7"/>
  <c r="AD36" i="7" s="1"/>
  <c r="M36" i="7"/>
  <c r="AC36" i="7" s="1"/>
  <c r="L36" i="7"/>
  <c r="AB36" i="7" s="1"/>
  <c r="K36" i="7"/>
  <c r="AA36" i="7" s="1"/>
  <c r="J36" i="7"/>
  <c r="Z36" i="7" s="1"/>
  <c r="I36" i="7"/>
  <c r="Y36" i="7" s="1"/>
  <c r="H36" i="7"/>
  <c r="X36" i="7" s="1"/>
  <c r="G36" i="7"/>
  <c r="W36" i="7" s="1"/>
  <c r="F36" i="7"/>
  <c r="V36" i="7" s="1"/>
  <c r="E36" i="7"/>
  <c r="U36" i="7" s="1"/>
  <c r="D36" i="7"/>
  <c r="T36" i="7" s="1"/>
  <c r="C36" i="7"/>
  <c r="S36" i="7" s="1"/>
  <c r="B36" i="7"/>
  <c r="R36" i="7" s="1"/>
  <c r="AH36" i="7" s="1"/>
  <c r="AI36" i="7" s="1"/>
  <c r="AP35" i="7"/>
  <c r="AQ35" i="7" s="1"/>
  <c r="AR35" i="7" s="1"/>
  <c r="AS35" i="7" s="1"/>
  <c r="P35" i="7"/>
  <c r="AF35" i="7" s="1"/>
  <c r="O35" i="7"/>
  <c r="AE35" i="7" s="1"/>
  <c r="N35" i="7"/>
  <c r="AD35" i="7" s="1"/>
  <c r="M35" i="7"/>
  <c r="AC35" i="7" s="1"/>
  <c r="L35" i="7"/>
  <c r="AB35" i="7" s="1"/>
  <c r="K35" i="7"/>
  <c r="AA35" i="7" s="1"/>
  <c r="J35" i="7"/>
  <c r="Z35" i="7" s="1"/>
  <c r="I35" i="7"/>
  <c r="Y35" i="7" s="1"/>
  <c r="H35" i="7"/>
  <c r="X35" i="7" s="1"/>
  <c r="G35" i="7"/>
  <c r="W35" i="7" s="1"/>
  <c r="F35" i="7"/>
  <c r="V35" i="7" s="1"/>
  <c r="E35" i="7"/>
  <c r="U35" i="7" s="1"/>
  <c r="D35" i="7"/>
  <c r="T35" i="7" s="1"/>
  <c r="C35" i="7"/>
  <c r="S35" i="7" s="1"/>
  <c r="B35" i="7"/>
  <c r="R35" i="7" s="1"/>
  <c r="AH35" i="7" s="1"/>
  <c r="AI35" i="7" s="1"/>
  <c r="AY34" i="7"/>
  <c r="AZ34" i="7" s="1"/>
  <c r="AP34" i="7"/>
  <c r="AQ34" i="7" s="1"/>
  <c r="AR34" i="7" s="1"/>
  <c r="AS34" i="7" s="1"/>
  <c r="P34" i="7"/>
  <c r="AF34" i="7" s="1"/>
  <c r="O34" i="7"/>
  <c r="AE34" i="7" s="1"/>
  <c r="N34" i="7"/>
  <c r="AD34" i="7" s="1"/>
  <c r="M34" i="7"/>
  <c r="AC34" i="7" s="1"/>
  <c r="L34" i="7"/>
  <c r="AB34" i="7" s="1"/>
  <c r="K34" i="7"/>
  <c r="AA34" i="7" s="1"/>
  <c r="J34" i="7"/>
  <c r="Z34" i="7" s="1"/>
  <c r="I34" i="7"/>
  <c r="Y34" i="7" s="1"/>
  <c r="H34" i="7"/>
  <c r="X34" i="7" s="1"/>
  <c r="G34" i="7"/>
  <c r="W34" i="7" s="1"/>
  <c r="F34" i="7"/>
  <c r="V34" i="7" s="1"/>
  <c r="E34" i="7"/>
  <c r="U34" i="7" s="1"/>
  <c r="D34" i="7"/>
  <c r="T34" i="7" s="1"/>
  <c r="C34" i="7"/>
  <c r="S34" i="7" s="1"/>
  <c r="B34" i="7"/>
  <c r="R34" i="7" s="1"/>
  <c r="AH34" i="7" s="1"/>
  <c r="AI34" i="7" s="1"/>
  <c r="AY33" i="7"/>
  <c r="AZ33" i="7" s="1"/>
  <c r="AP33" i="7"/>
  <c r="AQ33" i="7" s="1"/>
  <c r="AR33" i="7" s="1"/>
  <c r="AS33" i="7" s="1"/>
  <c r="P33" i="7"/>
  <c r="AF33" i="7" s="1"/>
  <c r="O33" i="7"/>
  <c r="AE33" i="7" s="1"/>
  <c r="N33" i="7"/>
  <c r="AD33" i="7" s="1"/>
  <c r="M33" i="7"/>
  <c r="AC33" i="7" s="1"/>
  <c r="L33" i="7"/>
  <c r="AB33" i="7" s="1"/>
  <c r="K33" i="7"/>
  <c r="AA33" i="7" s="1"/>
  <c r="J33" i="7"/>
  <c r="Z33" i="7" s="1"/>
  <c r="I33" i="7"/>
  <c r="Y33" i="7" s="1"/>
  <c r="H33" i="7"/>
  <c r="X33" i="7" s="1"/>
  <c r="G33" i="7"/>
  <c r="W33" i="7" s="1"/>
  <c r="F33" i="7"/>
  <c r="V33" i="7" s="1"/>
  <c r="E33" i="7"/>
  <c r="U33" i="7" s="1"/>
  <c r="D33" i="7"/>
  <c r="T33" i="7" s="1"/>
  <c r="C33" i="7"/>
  <c r="S33" i="7" s="1"/>
  <c r="B33" i="7"/>
  <c r="R33" i="7" s="1"/>
  <c r="AH33" i="7" s="1"/>
  <c r="AI33" i="7" s="1"/>
  <c r="AY32" i="7"/>
  <c r="AZ32" i="7" s="1"/>
  <c r="AP32" i="7"/>
  <c r="AQ32" i="7" s="1"/>
  <c r="AR32" i="7" s="1"/>
  <c r="AS32" i="7" s="1"/>
  <c r="P32" i="7"/>
  <c r="AF32" i="7" s="1"/>
  <c r="O32" i="7"/>
  <c r="AE32" i="7" s="1"/>
  <c r="N32" i="7"/>
  <c r="AD32" i="7" s="1"/>
  <c r="M32" i="7"/>
  <c r="AC32" i="7" s="1"/>
  <c r="L32" i="7"/>
  <c r="AB32" i="7" s="1"/>
  <c r="K32" i="7"/>
  <c r="AA32" i="7" s="1"/>
  <c r="J32" i="7"/>
  <c r="Z32" i="7" s="1"/>
  <c r="I32" i="7"/>
  <c r="Y32" i="7" s="1"/>
  <c r="H32" i="7"/>
  <c r="X32" i="7" s="1"/>
  <c r="G32" i="7"/>
  <c r="W32" i="7" s="1"/>
  <c r="F32" i="7"/>
  <c r="V32" i="7" s="1"/>
  <c r="E32" i="7"/>
  <c r="U32" i="7" s="1"/>
  <c r="D32" i="7"/>
  <c r="T32" i="7" s="1"/>
  <c r="C32" i="7"/>
  <c r="S32" i="7" s="1"/>
  <c r="B32" i="7"/>
  <c r="R32" i="7" s="1"/>
  <c r="AH32" i="7" s="1"/>
  <c r="AI32" i="7" s="1"/>
  <c r="AY31" i="7"/>
  <c r="AP31" i="7"/>
  <c r="AQ31" i="7" s="1"/>
  <c r="AR31" i="7" s="1"/>
  <c r="AS31" i="7" s="1"/>
  <c r="P31" i="7"/>
  <c r="AF31" i="7" s="1"/>
  <c r="O31" i="7"/>
  <c r="AE31" i="7" s="1"/>
  <c r="N31" i="7"/>
  <c r="AD31" i="7" s="1"/>
  <c r="M31" i="7"/>
  <c r="AC31" i="7" s="1"/>
  <c r="L31" i="7"/>
  <c r="AB31" i="7" s="1"/>
  <c r="K31" i="7"/>
  <c r="AA31" i="7" s="1"/>
  <c r="J31" i="7"/>
  <c r="Z31" i="7" s="1"/>
  <c r="I31" i="7"/>
  <c r="Y31" i="7" s="1"/>
  <c r="H31" i="7"/>
  <c r="X31" i="7" s="1"/>
  <c r="G31" i="7"/>
  <c r="W31" i="7" s="1"/>
  <c r="F31" i="7"/>
  <c r="V31" i="7" s="1"/>
  <c r="E31" i="7"/>
  <c r="U31" i="7" s="1"/>
  <c r="D31" i="7"/>
  <c r="T31" i="7" s="1"/>
  <c r="C31" i="7"/>
  <c r="S31" i="7" s="1"/>
  <c r="B31" i="7"/>
  <c r="R31" i="7" s="1"/>
  <c r="AH31" i="7" s="1"/>
  <c r="AI31" i="7" s="1"/>
  <c r="AY30" i="7"/>
  <c r="AP30" i="7"/>
  <c r="AQ30" i="7" s="1"/>
  <c r="AR30" i="7" s="1"/>
  <c r="AS30" i="7" s="1"/>
  <c r="P30" i="7"/>
  <c r="AF30" i="7" s="1"/>
  <c r="O30" i="7"/>
  <c r="AE30" i="7" s="1"/>
  <c r="N30" i="7"/>
  <c r="AD30" i="7" s="1"/>
  <c r="M30" i="7"/>
  <c r="AC30" i="7" s="1"/>
  <c r="L30" i="7"/>
  <c r="AB30" i="7" s="1"/>
  <c r="K30" i="7"/>
  <c r="AA30" i="7" s="1"/>
  <c r="J30" i="7"/>
  <c r="Z30" i="7" s="1"/>
  <c r="I30" i="7"/>
  <c r="Y30" i="7" s="1"/>
  <c r="H30" i="7"/>
  <c r="X30" i="7" s="1"/>
  <c r="G30" i="7"/>
  <c r="W30" i="7" s="1"/>
  <c r="F30" i="7"/>
  <c r="V30" i="7" s="1"/>
  <c r="E30" i="7"/>
  <c r="U30" i="7" s="1"/>
  <c r="D30" i="7"/>
  <c r="T30" i="7" s="1"/>
  <c r="C30" i="7"/>
  <c r="S30" i="7" s="1"/>
  <c r="B30" i="7"/>
  <c r="R30" i="7" s="1"/>
  <c r="AH30" i="7" s="1"/>
  <c r="AI30" i="7" s="1"/>
  <c r="AY29" i="7"/>
  <c r="AP29" i="7"/>
  <c r="AQ29" i="7" s="1"/>
  <c r="AR29" i="7" s="1"/>
  <c r="AS29" i="7" s="1"/>
  <c r="P29" i="7"/>
  <c r="AF29" i="7" s="1"/>
  <c r="O29" i="7"/>
  <c r="AE29" i="7" s="1"/>
  <c r="N29" i="7"/>
  <c r="AD29" i="7" s="1"/>
  <c r="M29" i="7"/>
  <c r="AC29" i="7" s="1"/>
  <c r="L29" i="7"/>
  <c r="AB29" i="7" s="1"/>
  <c r="K29" i="7"/>
  <c r="AA29" i="7" s="1"/>
  <c r="J29" i="7"/>
  <c r="Z29" i="7" s="1"/>
  <c r="I29" i="7"/>
  <c r="Y29" i="7" s="1"/>
  <c r="H29" i="7"/>
  <c r="X29" i="7" s="1"/>
  <c r="G29" i="7"/>
  <c r="W29" i="7" s="1"/>
  <c r="F29" i="7"/>
  <c r="V29" i="7" s="1"/>
  <c r="E29" i="7"/>
  <c r="U29" i="7" s="1"/>
  <c r="D29" i="7"/>
  <c r="T29" i="7" s="1"/>
  <c r="C29" i="7"/>
  <c r="S29" i="7" s="1"/>
  <c r="B29" i="7"/>
  <c r="R29" i="7" s="1"/>
  <c r="AH29" i="7" s="1"/>
  <c r="AI29" i="7" s="1"/>
  <c r="AY28" i="7"/>
  <c r="AP28" i="7"/>
  <c r="AQ28" i="7" s="1"/>
  <c r="AR28" i="7" s="1"/>
  <c r="AS28" i="7" s="1"/>
  <c r="P28" i="7"/>
  <c r="AF28" i="7" s="1"/>
  <c r="O28" i="7"/>
  <c r="AE28" i="7" s="1"/>
  <c r="N28" i="7"/>
  <c r="AD28" i="7" s="1"/>
  <c r="M28" i="7"/>
  <c r="AC28" i="7" s="1"/>
  <c r="L28" i="7"/>
  <c r="AB28" i="7" s="1"/>
  <c r="K28" i="7"/>
  <c r="AA28" i="7" s="1"/>
  <c r="J28" i="7"/>
  <c r="Z28" i="7" s="1"/>
  <c r="I28" i="7"/>
  <c r="Y28" i="7" s="1"/>
  <c r="H28" i="7"/>
  <c r="X28" i="7" s="1"/>
  <c r="G28" i="7"/>
  <c r="W28" i="7" s="1"/>
  <c r="F28" i="7"/>
  <c r="V28" i="7" s="1"/>
  <c r="E28" i="7"/>
  <c r="U28" i="7" s="1"/>
  <c r="D28" i="7"/>
  <c r="T28" i="7" s="1"/>
  <c r="C28" i="7"/>
  <c r="S28" i="7" s="1"/>
  <c r="B28" i="7"/>
  <c r="R28" i="7" s="1"/>
  <c r="AH28" i="7" s="1"/>
  <c r="AI28" i="7" s="1"/>
  <c r="AY27" i="7"/>
  <c r="AP27" i="7"/>
  <c r="AQ27" i="7" s="1"/>
  <c r="AR27" i="7" s="1"/>
  <c r="AS27" i="7" s="1"/>
  <c r="P27" i="7"/>
  <c r="AF27" i="7" s="1"/>
  <c r="O27" i="7"/>
  <c r="AE27" i="7" s="1"/>
  <c r="N27" i="7"/>
  <c r="AD27" i="7" s="1"/>
  <c r="M27" i="7"/>
  <c r="AC27" i="7" s="1"/>
  <c r="L27" i="7"/>
  <c r="AB27" i="7" s="1"/>
  <c r="K27" i="7"/>
  <c r="AA27" i="7" s="1"/>
  <c r="J27" i="7"/>
  <c r="Z27" i="7" s="1"/>
  <c r="I27" i="7"/>
  <c r="Y27" i="7" s="1"/>
  <c r="H27" i="7"/>
  <c r="X27" i="7" s="1"/>
  <c r="G27" i="7"/>
  <c r="W27" i="7" s="1"/>
  <c r="F27" i="7"/>
  <c r="V27" i="7" s="1"/>
  <c r="E27" i="7"/>
  <c r="U27" i="7" s="1"/>
  <c r="D27" i="7"/>
  <c r="T27" i="7" s="1"/>
  <c r="C27" i="7"/>
  <c r="S27" i="7" s="1"/>
  <c r="B27" i="7"/>
  <c r="R27" i="7" s="1"/>
  <c r="AH27" i="7" s="1"/>
  <c r="AI27" i="7" s="1"/>
  <c r="AY26" i="7"/>
  <c r="AP26" i="7"/>
  <c r="AQ26" i="7" s="1"/>
  <c r="AR26" i="7" s="1"/>
  <c r="AS26" i="7" s="1"/>
  <c r="P26" i="7"/>
  <c r="AF26" i="7" s="1"/>
  <c r="O26" i="7"/>
  <c r="AE26" i="7" s="1"/>
  <c r="N26" i="7"/>
  <c r="AD26" i="7" s="1"/>
  <c r="M26" i="7"/>
  <c r="AC26" i="7" s="1"/>
  <c r="L26" i="7"/>
  <c r="AB26" i="7" s="1"/>
  <c r="K26" i="7"/>
  <c r="AA26" i="7" s="1"/>
  <c r="J26" i="7"/>
  <c r="Z26" i="7" s="1"/>
  <c r="I26" i="7"/>
  <c r="Y26" i="7" s="1"/>
  <c r="H26" i="7"/>
  <c r="X26" i="7" s="1"/>
  <c r="G26" i="7"/>
  <c r="W26" i="7" s="1"/>
  <c r="F26" i="7"/>
  <c r="V26" i="7" s="1"/>
  <c r="E26" i="7"/>
  <c r="U26" i="7" s="1"/>
  <c r="D26" i="7"/>
  <c r="T26" i="7" s="1"/>
  <c r="C26" i="7"/>
  <c r="S26" i="7" s="1"/>
  <c r="B26" i="7"/>
  <c r="R26" i="7" s="1"/>
  <c r="AH26" i="7" s="1"/>
  <c r="AI26" i="7" s="1"/>
  <c r="AY25" i="7"/>
  <c r="AP25" i="7"/>
  <c r="AQ25" i="7" s="1"/>
  <c r="AR25" i="7" s="1"/>
  <c r="AS25" i="7" s="1"/>
  <c r="P25" i="7"/>
  <c r="AF25" i="7" s="1"/>
  <c r="O25" i="7"/>
  <c r="AE25" i="7" s="1"/>
  <c r="N25" i="7"/>
  <c r="AD25" i="7" s="1"/>
  <c r="M25" i="7"/>
  <c r="AC25" i="7" s="1"/>
  <c r="L25" i="7"/>
  <c r="AB25" i="7" s="1"/>
  <c r="K25" i="7"/>
  <c r="AA25" i="7" s="1"/>
  <c r="J25" i="7"/>
  <c r="Z25" i="7" s="1"/>
  <c r="I25" i="7"/>
  <c r="Y25" i="7" s="1"/>
  <c r="H25" i="7"/>
  <c r="X25" i="7" s="1"/>
  <c r="G25" i="7"/>
  <c r="W25" i="7" s="1"/>
  <c r="F25" i="7"/>
  <c r="V25" i="7" s="1"/>
  <c r="E25" i="7"/>
  <c r="U25" i="7" s="1"/>
  <c r="D25" i="7"/>
  <c r="T25" i="7" s="1"/>
  <c r="C25" i="7"/>
  <c r="S25" i="7" s="1"/>
  <c r="B25" i="7"/>
  <c r="R25" i="7" s="1"/>
  <c r="AH25" i="7" s="1"/>
  <c r="AI25" i="7" s="1"/>
  <c r="AY24" i="7"/>
  <c r="AP24" i="7"/>
  <c r="AQ24" i="7" s="1"/>
  <c r="AR24" i="7" s="1"/>
  <c r="AS24" i="7" s="1"/>
  <c r="P24" i="7"/>
  <c r="AF24" i="7" s="1"/>
  <c r="O24" i="7"/>
  <c r="AE24" i="7" s="1"/>
  <c r="N24" i="7"/>
  <c r="AD24" i="7" s="1"/>
  <c r="M24" i="7"/>
  <c r="AC24" i="7" s="1"/>
  <c r="L24" i="7"/>
  <c r="AB24" i="7" s="1"/>
  <c r="K24" i="7"/>
  <c r="AA24" i="7" s="1"/>
  <c r="J24" i="7"/>
  <c r="Z24" i="7" s="1"/>
  <c r="I24" i="7"/>
  <c r="Y24" i="7" s="1"/>
  <c r="H24" i="7"/>
  <c r="X24" i="7" s="1"/>
  <c r="G24" i="7"/>
  <c r="W24" i="7" s="1"/>
  <c r="F24" i="7"/>
  <c r="V24" i="7" s="1"/>
  <c r="E24" i="7"/>
  <c r="U24" i="7" s="1"/>
  <c r="D24" i="7"/>
  <c r="T24" i="7" s="1"/>
  <c r="C24" i="7"/>
  <c r="S24" i="7" s="1"/>
  <c r="B24" i="7"/>
  <c r="R24" i="7" s="1"/>
  <c r="AH24" i="7" s="1"/>
  <c r="AI24" i="7" s="1"/>
  <c r="AY23" i="7"/>
  <c r="AP23" i="7"/>
  <c r="AQ23" i="7" s="1"/>
  <c r="AR23" i="7" s="1"/>
  <c r="AS23" i="7" s="1"/>
  <c r="P23" i="7"/>
  <c r="AF23" i="7" s="1"/>
  <c r="O23" i="7"/>
  <c r="AE23" i="7" s="1"/>
  <c r="N23" i="7"/>
  <c r="AD23" i="7" s="1"/>
  <c r="M23" i="7"/>
  <c r="AC23" i="7" s="1"/>
  <c r="L23" i="7"/>
  <c r="AB23" i="7" s="1"/>
  <c r="K23" i="7"/>
  <c r="AA23" i="7" s="1"/>
  <c r="J23" i="7"/>
  <c r="Z23" i="7" s="1"/>
  <c r="I23" i="7"/>
  <c r="Y23" i="7" s="1"/>
  <c r="H23" i="7"/>
  <c r="X23" i="7" s="1"/>
  <c r="G23" i="7"/>
  <c r="W23" i="7" s="1"/>
  <c r="F23" i="7"/>
  <c r="V23" i="7" s="1"/>
  <c r="E23" i="7"/>
  <c r="U23" i="7" s="1"/>
  <c r="D23" i="7"/>
  <c r="T23" i="7" s="1"/>
  <c r="C23" i="7"/>
  <c r="S23" i="7" s="1"/>
  <c r="B23" i="7"/>
  <c r="R23" i="7" s="1"/>
  <c r="AH23" i="7" s="1"/>
  <c r="AI23" i="7" s="1"/>
  <c r="AY22" i="7"/>
  <c r="AP22" i="7"/>
  <c r="AQ22" i="7" s="1"/>
  <c r="AR22" i="7" s="1"/>
  <c r="AS22" i="7" s="1"/>
  <c r="P22" i="7"/>
  <c r="AF22" i="7" s="1"/>
  <c r="O22" i="7"/>
  <c r="AE22" i="7" s="1"/>
  <c r="N22" i="7"/>
  <c r="AD22" i="7" s="1"/>
  <c r="M22" i="7"/>
  <c r="AC22" i="7" s="1"/>
  <c r="L22" i="7"/>
  <c r="AB22" i="7" s="1"/>
  <c r="K22" i="7"/>
  <c r="AA22" i="7" s="1"/>
  <c r="J22" i="7"/>
  <c r="Z22" i="7" s="1"/>
  <c r="I22" i="7"/>
  <c r="Y22" i="7" s="1"/>
  <c r="H22" i="7"/>
  <c r="X22" i="7" s="1"/>
  <c r="G22" i="7"/>
  <c r="W22" i="7" s="1"/>
  <c r="F22" i="7"/>
  <c r="V22" i="7" s="1"/>
  <c r="E22" i="7"/>
  <c r="U22" i="7" s="1"/>
  <c r="D22" i="7"/>
  <c r="T22" i="7" s="1"/>
  <c r="C22" i="7"/>
  <c r="S22" i="7" s="1"/>
  <c r="B22" i="7"/>
  <c r="R22" i="7" s="1"/>
  <c r="AH22" i="7" s="1"/>
  <c r="AI22" i="7" s="1"/>
  <c r="AY21" i="7"/>
  <c r="AP21" i="7"/>
  <c r="AQ21" i="7" s="1"/>
  <c r="AR21" i="7" s="1"/>
  <c r="AS21" i="7" s="1"/>
  <c r="P21" i="7"/>
  <c r="AF21" i="7" s="1"/>
  <c r="O21" i="7"/>
  <c r="AE21" i="7" s="1"/>
  <c r="N21" i="7"/>
  <c r="AD21" i="7" s="1"/>
  <c r="M21" i="7"/>
  <c r="AC21" i="7" s="1"/>
  <c r="L21" i="7"/>
  <c r="AB21" i="7" s="1"/>
  <c r="K21" i="7"/>
  <c r="AA21" i="7" s="1"/>
  <c r="J21" i="7"/>
  <c r="Z21" i="7" s="1"/>
  <c r="I21" i="7"/>
  <c r="Y21" i="7" s="1"/>
  <c r="H21" i="7"/>
  <c r="X21" i="7" s="1"/>
  <c r="G21" i="7"/>
  <c r="W21" i="7" s="1"/>
  <c r="F21" i="7"/>
  <c r="V21" i="7" s="1"/>
  <c r="E21" i="7"/>
  <c r="U21" i="7" s="1"/>
  <c r="D21" i="7"/>
  <c r="T21" i="7" s="1"/>
  <c r="C21" i="7"/>
  <c r="S21" i="7" s="1"/>
  <c r="B21" i="7"/>
  <c r="R21" i="7" s="1"/>
  <c r="AH21" i="7" s="1"/>
  <c r="AI21" i="7" s="1"/>
  <c r="AY20" i="7"/>
  <c r="AZ20" i="7" s="1"/>
  <c r="AP20" i="7"/>
  <c r="AQ20" i="7" s="1"/>
  <c r="AR20" i="7" s="1"/>
  <c r="AS20" i="7" s="1"/>
  <c r="P20" i="7"/>
  <c r="AF20" i="7" s="1"/>
  <c r="O20" i="7"/>
  <c r="AE20" i="7" s="1"/>
  <c r="N20" i="7"/>
  <c r="AD20" i="7" s="1"/>
  <c r="M20" i="7"/>
  <c r="AC20" i="7" s="1"/>
  <c r="L20" i="7"/>
  <c r="AB20" i="7" s="1"/>
  <c r="K20" i="7"/>
  <c r="AA20" i="7" s="1"/>
  <c r="J20" i="7"/>
  <c r="Z20" i="7" s="1"/>
  <c r="I20" i="7"/>
  <c r="Y20" i="7" s="1"/>
  <c r="H20" i="7"/>
  <c r="X20" i="7" s="1"/>
  <c r="G20" i="7"/>
  <c r="W20" i="7" s="1"/>
  <c r="F20" i="7"/>
  <c r="V20" i="7" s="1"/>
  <c r="E20" i="7"/>
  <c r="U20" i="7" s="1"/>
  <c r="D20" i="7"/>
  <c r="T20" i="7" s="1"/>
  <c r="C20" i="7"/>
  <c r="S20" i="7" s="1"/>
  <c r="B20" i="7"/>
  <c r="R20" i="7" s="1"/>
  <c r="AH20" i="7" s="1"/>
  <c r="AI20" i="7" s="1"/>
  <c r="AP19" i="7"/>
  <c r="AQ19" i="7" s="1"/>
  <c r="AR19" i="7" s="1"/>
  <c r="AS19" i="7" s="1"/>
  <c r="P19" i="7"/>
  <c r="AF19" i="7" s="1"/>
  <c r="O19" i="7"/>
  <c r="AE19" i="7" s="1"/>
  <c r="N19" i="7"/>
  <c r="AD19" i="7" s="1"/>
  <c r="M19" i="7"/>
  <c r="AC19" i="7" s="1"/>
  <c r="L19" i="7"/>
  <c r="AB19" i="7" s="1"/>
  <c r="K19" i="7"/>
  <c r="AA19" i="7" s="1"/>
  <c r="J19" i="7"/>
  <c r="Z19" i="7" s="1"/>
  <c r="I19" i="7"/>
  <c r="Y19" i="7" s="1"/>
  <c r="H19" i="7"/>
  <c r="X19" i="7" s="1"/>
  <c r="G19" i="7"/>
  <c r="W19" i="7" s="1"/>
  <c r="F19" i="7"/>
  <c r="V19" i="7" s="1"/>
  <c r="E19" i="7"/>
  <c r="U19" i="7" s="1"/>
  <c r="D19" i="7"/>
  <c r="T19" i="7" s="1"/>
  <c r="C19" i="7"/>
  <c r="S19" i="7" s="1"/>
  <c r="B19" i="7"/>
  <c r="R19" i="7" s="1"/>
  <c r="AH19" i="7" s="1"/>
  <c r="AI19" i="7" s="1"/>
  <c r="AP18" i="7"/>
  <c r="AQ18" i="7" s="1"/>
  <c r="AR18" i="7" s="1"/>
  <c r="AS18" i="7" s="1"/>
  <c r="P18" i="7"/>
  <c r="AF18" i="7" s="1"/>
  <c r="O18" i="7"/>
  <c r="AE18" i="7" s="1"/>
  <c r="N18" i="7"/>
  <c r="AD18" i="7" s="1"/>
  <c r="M18" i="7"/>
  <c r="AC18" i="7" s="1"/>
  <c r="L18" i="7"/>
  <c r="AB18" i="7" s="1"/>
  <c r="K18" i="7"/>
  <c r="AA18" i="7" s="1"/>
  <c r="J18" i="7"/>
  <c r="Z18" i="7" s="1"/>
  <c r="I18" i="7"/>
  <c r="Y18" i="7" s="1"/>
  <c r="H18" i="7"/>
  <c r="X18" i="7" s="1"/>
  <c r="G18" i="7"/>
  <c r="W18" i="7" s="1"/>
  <c r="F18" i="7"/>
  <c r="V18" i="7" s="1"/>
  <c r="E18" i="7"/>
  <c r="U18" i="7" s="1"/>
  <c r="D18" i="7"/>
  <c r="T18" i="7" s="1"/>
  <c r="C18" i="7"/>
  <c r="S18" i="7" s="1"/>
  <c r="B18" i="7"/>
  <c r="R18" i="7" s="1"/>
  <c r="AH18" i="7" s="1"/>
  <c r="AI18" i="7" s="1"/>
  <c r="P17" i="7"/>
  <c r="AF17" i="7" s="1"/>
  <c r="O17" i="7"/>
  <c r="AE17" i="7" s="1"/>
  <c r="N17" i="7"/>
  <c r="AD17" i="7" s="1"/>
  <c r="M17" i="7"/>
  <c r="L17" i="7"/>
  <c r="K17" i="7"/>
  <c r="J17" i="7"/>
  <c r="I17" i="7"/>
  <c r="H17" i="7"/>
  <c r="G17" i="7"/>
  <c r="F17" i="7"/>
  <c r="E17" i="7"/>
  <c r="D17" i="7"/>
  <c r="C17" i="7"/>
  <c r="B17" i="7"/>
  <c r="P16" i="7"/>
  <c r="AF16" i="7" s="1"/>
  <c r="O16" i="7"/>
  <c r="AE16" i="7" s="1"/>
  <c r="N16" i="7"/>
  <c r="AD16" i="7" s="1"/>
  <c r="M16" i="7"/>
  <c r="L16" i="7"/>
  <c r="K16" i="7"/>
  <c r="J16" i="7"/>
  <c r="I16" i="7"/>
  <c r="H16" i="7"/>
  <c r="G16" i="7"/>
  <c r="F16" i="7"/>
  <c r="E16" i="7"/>
  <c r="D16" i="7"/>
  <c r="C16" i="7"/>
  <c r="B16" i="7"/>
  <c r="P15" i="7"/>
  <c r="AF15" i="7" s="1"/>
  <c r="O15" i="7"/>
  <c r="AE15" i="7" s="1"/>
  <c r="N15" i="7"/>
  <c r="AD15" i="7" s="1"/>
  <c r="M15" i="7"/>
  <c r="L15" i="7"/>
  <c r="K15" i="7"/>
  <c r="J15" i="7"/>
  <c r="I15" i="7"/>
  <c r="H15" i="7"/>
  <c r="G15" i="7"/>
  <c r="F15" i="7"/>
  <c r="E15" i="7"/>
  <c r="D15" i="7"/>
  <c r="C15" i="7"/>
  <c r="B15" i="7"/>
  <c r="P14" i="7"/>
  <c r="AF14" i="7" s="1"/>
  <c r="O14" i="7"/>
  <c r="AE14" i="7" s="1"/>
  <c r="N14" i="7"/>
  <c r="AD14" i="7" s="1"/>
  <c r="M14" i="7"/>
  <c r="L14" i="7"/>
  <c r="K14" i="7"/>
  <c r="J14" i="7"/>
  <c r="I14" i="7"/>
  <c r="H14" i="7"/>
  <c r="G14" i="7"/>
  <c r="F14" i="7"/>
  <c r="E14" i="7"/>
  <c r="D14" i="7"/>
  <c r="C14" i="7"/>
  <c r="B14" i="7"/>
  <c r="P13" i="7"/>
  <c r="AF13" i="7" s="1"/>
  <c r="O13" i="7"/>
  <c r="AE13" i="7" s="1"/>
  <c r="N13" i="7"/>
  <c r="AD13" i="7" s="1"/>
  <c r="M13" i="7"/>
  <c r="L13" i="7"/>
  <c r="K13" i="7"/>
  <c r="J13" i="7"/>
  <c r="I13" i="7"/>
  <c r="H13" i="7"/>
  <c r="G13" i="7"/>
  <c r="F13" i="7"/>
  <c r="E13" i="7"/>
  <c r="D13" i="7"/>
  <c r="C13" i="7"/>
  <c r="B13" i="7"/>
  <c r="P12" i="7"/>
  <c r="AF12" i="7" s="1"/>
  <c r="O12" i="7"/>
  <c r="AE12" i="7" s="1"/>
  <c r="N12" i="7"/>
  <c r="AD12" i="7" s="1"/>
  <c r="M12" i="7"/>
  <c r="L12" i="7"/>
  <c r="K12" i="7"/>
  <c r="J12" i="7"/>
  <c r="I12" i="7"/>
  <c r="H12" i="7"/>
  <c r="G12" i="7"/>
  <c r="F12" i="7"/>
  <c r="E12" i="7"/>
  <c r="D12" i="7"/>
  <c r="C12" i="7"/>
  <c r="B12" i="7"/>
  <c r="P11" i="7"/>
  <c r="AF11" i="7" s="1"/>
  <c r="O11" i="7"/>
  <c r="AE11" i="7" s="1"/>
  <c r="N11" i="7"/>
  <c r="AD11" i="7" s="1"/>
  <c r="M11" i="7"/>
  <c r="L11" i="7"/>
  <c r="K11" i="7"/>
  <c r="J11" i="7"/>
  <c r="I11" i="7"/>
  <c r="H11" i="7"/>
  <c r="G11" i="7"/>
  <c r="F11" i="7"/>
  <c r="E11" i="7"/>
  <c r="D11" i="7"/>
  <c r="C11" i="7"/>
  <c r="B11" i="7"/>
  <c r="P10" i="7"/>
  <c r="AF10" i="7" s="1"/>
  <c r="O10" i="7"/>
  <c r="AE10" i="7" s="1"/>
  <c r="N10" i="7"/>
  <c r="AD10" i="7" s="1"/>
  <c r="M10" i="7"/>
  <c r="L10" i="7"/>
  <c r="K10" i="7"/>
  <c r="J10" i="7"/>
  <c r="I10" i="7"/>
  <c r="H10" i="7"/>
  <c r="G10" i="7"/>
  <c r="F10" i="7"/>
  <c r="E10" i="7"/>
  <c r="D10" i="7"/>
  <c r="C10" i="7"/>
  <c r="B10" i="7"/>
  <c r="P9" i="7"/>
  <c r="AF9" i="7" s="1"/>
  <c r="O9" i="7"/>
  <c r="AE9" i="7" s="1"/>
  <c r="N9" i="7"/>
  <c r="AD9" i="7" s="1"/>
  <c r="M9" i="7"/>
  <c r="L9" i="7"/>
  <c r="K9" i="7"/>
  <c r="J9" i="7"/>
  <c r="I9" i="7"/>
  <c r="H9" i="7"/>
  <c r="G9" i="7"/>
  <c r="F9" i="7"/>
  <c r="E9" i="7"/>
  <c r="D9" i="7"/>
  <c r="C9" i="7"/>
  <c r="B9" i="7"/>
  <c r="P8" i="7"/>
  <c r="AF8" i="7" s="1"/>
  <c r="O8" i="7"/>
  <c r="AE8" i="7" s="1"/>
  <c r="N8" i="7"/>
  <c r="AD8" i="7" s="1"/>
  <c r="M8" i="7"/>
  <c r="L8" i="7"/>
  <c r="K8" i="7"/>
  <c r="J8" i="7"/>
  <c r="I8" i="7"/>
  <c r="H8" i="7"/>
  <c r="G8" i="7"/>
  <c r="F8" i="7"/>
  <c r="E8" i="7"/>
  <c r="D8" i="7"/>
  <c r="C8" i="7"/>
  <c r="B8" i="7"/>
  <c r="P7" i="7"/>
  <c r="AF7" i="7" s="1"/>
  <c r="O7" i="7"/>
  <c r="AE7" i="7" s="1"/>
  <c r="N7" i="7"/>
  <c r="AD7" i="7" s="1"/>
  <c r="M7" i="7"/>
  <c r="L7" i="7"/>
  <c r="K7" i="7"/>
  <c r="J7" i="7"/>
  <c r="I7" i="7"/>
  <c r="H7" i="7"/>
  <c r="G7" i="7"/>
  <c r="F7" i="7"/>
  <c r="E7" i="7"/>
  <c r="D7" i="7"/>
  <c r="C7" i="7"/>
  <c r="B7" i="7"/>
  <c r="P6" i="7"/>
  <c r="AF6" i="7" s="1"/>
  <c r="O6" i="7"/>
  <c r="AE6" i="7" s="1"/>
  <c r="N6" i="7"/>
  <c r="AD6" i="7" s="1"/>
  <c r="M6" i="7"/>
  <c r="L6" i="7"/>
  <c r="K6" i="7"/>
  <c r="J6" i="7"/>
  <c r="I6" i="7"/>
  <c r="H6" i="7"/>
  <c r="G6" i="7"/>
  <c r="F6" i="7"/>
  <c r="E6" i="7"/>
  <c r="D6" i="7"/>
  <c r="C6" i="7"/>
  <c r="B6" i="7"/>
  <c r="B40" i="6"/>
  <c r="B39" i="6"/>
  <c r="B38" i="6"/>
  <c r="B37" i="6"/>
  <c r="B36" i="6"/>
  <c r="B35" i="6"/>
  <c r="B34" i="6"/>
  <c r="B33" i="6"/>
  <c r="B32" i="6"/>
  <c r="B31" i="6"/>
  <c r="B30" i="6"/>
  <c r="B29" i="6"/>
  <c r="B28" i="6"/>
  <c r="B27" i="6"/>
  <c r="B26" i="6"/>
  <c r="B21" i="6"/>
  <c r="B20" i="6"/>
  <c r="B19" i="6"/>
  <c r="B18" i="6"/>
  <c r="B17" i="6"/>
  <c r="B16" i="6"/>
  <c r="B15" i="6"/>
  <c r="B14" i="6"/>
  <c r="B13" i="6"/>
  <c r="B12" i="6"/>
  <c r="B11" i="6"/>
  <c r="B10" i="6"/>
  <c r="B9" i="6"/>
  <c r="B8" i="6"/>
  <c r="B7" i="6"/>
  <c r="H505" i="3"/>
  <c r="H504" i="3"/>
  <c r="H503" i="3"/>
  <c r="H502" i="3"/>
  <c r="H501" i="3"/>
  <c r="H500" i="3"/>
  <c r="H499" i="3"/>
  <c r="H498" i="3"/>
  <c r="H497" i="3"/>
  <c r="H496" i="3"/>
  <c r="H495" i="3"/>
  <c r="H494" i="3"/>
  <c r="H493" i="3"/>
  <c r="H492" i="3"/>
  <c r="H491" i="3"/>
  <c r="H490" i="3"/>
  <c r="H489" i="3"/>
  <c r="H488" i="3"/>
  <c r="H487" i="3"/>
  <c r="H486" i="3"/>
  <c r="H485" i="3"/>
  <c r="H484" i="3"/>
  <c r="H483" i="3"/>
  <c r="H482" i="3"/>
  <c r="H481" i="3"/>
  <c r="H480" i="3"/>
  <c r="H479" i="3"/>
  <c r="H478" i="3"/>
  <c r="H477" i="3"/>
  <c r="H476" i="3"/>
  <c r="H475" i="3"/>
  <c r="H474" i="3"/>
  <c r="H473" i="3"/>
  <c r="H472" i="3"/>
  <c r="H471" i="3"/>
  <c r="H470" i="3"/>
  <c r="H469" i="3"/>
  <c r="H468" i="3"/>
  <c r="H467" i="3"/>
  <c r="H466" i="3"/>
  <c r="H465" i="3"/>
  <c r="H464" i="3"/>
  <c r="H463" i="3"/>
  <c r="H462" i="3"/>
  <c r="H461" i="3"/>
  <c r="H460" i="3"/>
  <c r="H459" i="3"/>
  <c r="H458" i="3"/>
  <c r="H457" i="3"/>
  <c r="H456" i="3"/>
  <c r="H455" i="3"/>
  <c r="H454" i="3"/>
  <c r="H453" i="3"/>
  <c r="H452" i="3"/>
  <c r="H451" i="3"/>
  <c r="H450" i="3"/>
  <c r="H449" i="3"/>
  <c r="H448" i="3"/>
  <c r="H447" i="3"/>
  <c r="H446" i="3"/>
  <c r="H445" i="3"/>
  <c r="H444" i="3"/>
  <c r="H443" i="3"/>
  <c r="H442" i="3"/>
  <c r="H441" i="3"/>
  <c r="H440" i="3"/>
  <c r="H439" i="3"/>
  <c r="H438" i="3"/>
  <c r="H437" i="3"/>
  <c r="H436" i="3"/>
  <c r="H435" i="3"/>
  <c r="H434" i="3"/>
  <c r="H433" i="3"/>
  <c r="H432" i="3"/>
  <c r="H431" i="3"/>
  <c r="H430" i="3"/>
  <c r="H429" i="3"/>
  <c r="H428" i="3"/>
  <c r="H427" i="3"/>
  <c r="H426" i="3"/>
  <c r="H425" i="3"/>
  <c r="H424" i="3"/>
  <c r="H423" i="3"/>
  <c r="H422" i="3"/>
  <c r="H421" i="3"/>
  <c r="H420" i="3"/>
  <c r="H419" i="3"/>
  <c r="H418" i="3"/>
  <c r="H417" i="3"/>
  <c r="H416" i="3"/>
  <c r="H415" i="3"/>
  <c r="H414" i="3"/>
  <c r="H413" i="3"/>
  <c r="H412" i="3"/>
  <c r="H411" i="3"/>
  <c r="H410" i="3"/>
  <c r="H409" i="3"/>
  <c r="H408" i="3"/>
  <c r="H407" i="3"/>
  <c r="H406" i="3"/>
  <c r="H405" i="3"/>
  <c r="H404" i="3"/>
  <c r="H403" i="3"/>
  <c r="H402" i="3"/>
  <c r="H401" i="3"/>
  <c r="H400" i="3"/>
  <c r="H399" i="3"/>
  <c r="H398" i="3"/>
  <c r="H397" i="3"/>
  <c r="H396" i="3"/>
  <c r="H395" i="3"/>
  <c r="H394" i="3"/>
  <c r="H393" i="3"/>
  <c r="H392" i="3"/>
  <c r="H391" i="3"/>
  <c r="H390" i="3"/>
  <c r="H389" i="3"/>
  <c r="H388" i="3"/>
  <c r="H387" i="3"/>
  <c r="H386" i="3"/>
  <c r="H385" i="3"/>
  <c r="H384" i="3"/>
  <c r="H383" i="3"/>
  <c r="H382" i="3"/>
  <c r="H381" i="3"/>
  <c r="H380" i="3"/>
  <c r="H379" i="3"/>
  <c r="H378" i="3"/>
  <c r="H377" i="3"/>
  <c r="H376" i="3"/>
  <c r="H375" i="3"/>
  <c r="H374" i="3"/>
  <c r="H373" i="3"/>
  <c r="H372" i="3"/>
  <c r="H371" i="3"/>
  <c r="H370" i="3"/>
  <c r="H369" i="3"/>
  <c r="H368" i="3"/>
  <c r="H367" i="3"/>
  <c r="H366" i="3"/>
  <c r="H365" i="3"/>
  <c r="H364" i="3"/>
  <c r="H363" i="3"/>
  <c r="H362" i="3"/>
  <c r="H361" i="3"/>
  <c r="H360" i="3"/>
  <c r="H359" i="3"/>
  <c r="H358" i="3"/>
  <c r="H357" i="3"/>
  <c r="H356" i="3"/>
  <c r="H355" i="3"/>
  <c r="H354" i="3"/>
  <c r="H353" i="3"/>
  <c r="H352" i="3"/>
  <c r="H351" i="3"/>
  <c r="H350" i="3"/>
  <c r="H349" i="3"/>
  <c r="H348" i="3"/>
  <c r="H347" i="3"/>
  <c r="H346" i="3"/>
  <c r="H345" i="3"/>
  <c r="H344" i="3"/>
  <c r="H343" i="3"/>
  <c r="H342" i="3"/>
  <c r="H341" i="3"/>
  <c r="H340" i="3"/>
  <c r="H339" i="3"/>
  <c r="H338" i="3"/>
  <c r="H337" i="3"/>
  <c r="H336" i="3"/>
  <c r="H335" i="3"/>
  <c r="H334" i="3"/>
  <c r="H333" i="3"/>
  <c r="H332" i="3"/>
  <c r="H331" i="3"/>
  <c r="H330" i="3"/>
  <c r="H329" i="3"/>
  <c r="H328" i="3"/>
  <c r="H327" i="3"/>
  <c r="H326"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A3" i="3"/>
  <c r="C13" i="2"/>
  <c r="C5" i="2"/>
  <c r="AH45" i="7" l="1"/>
  <c r="AI45" i="7" s="1"/>
  <c r="AA17" i="7"/>
  <c r="Y17" i="7"/>
  <c r="W17" i="7"/>
  <c r="S17" i="7"/>
  <c r="AB16" i="7"/>
  <c r="Z16" i="7"/>
  <c r="V16" i="7"/>
  <c r="U16" i="7"/>
  <c r="R16" i="7"/>
  <c r="AB15" i="7"/>
  <c r="AA15" i="7"/>
  <c r="X15" i="7"/>
  <c r="W15" i="7"/>
  <c r="T15" i="7"/>
  <c r="S15" i="7"/>
  <c r="AB14" i="7"/>
  <c r="AA14" i="7"/>
  <c r="AH453" i="7"/>
  <c r="AI453" i="7" s="1"/>
  <c r="AH331" i="7"/>
  <c r="AI331" i="7" s="1"/>
  <c r="AH325" i="7"/>
  <c r="AI325" i="7" s="1"/>
  <c r="AH321" i="7"/>
  <c r="AI321" i="7" s="1"/>
  <c r="AH320" i="7"/>
  <c r="AI320" i="7" s="1"/>
  <c r="AH316" i="7"/>
  <c r="AI316" i="7" s="1"/>
  <c r="AH315" i="7"/>
  <c r="AI315" i="7" s="1"/>
  <c r="AH314" i="7"/>
  <c r="AI314" i="7" s="1"/>
  <c r="AH304" i="7"/>
  <c r="AI304" i="7" s="1"/>
  <c r="AH303" i="7"/>
  <c r="AI303" i="7" s="1"/>
  <c r="AH302" i="7"/>
  <c r="AI302" i="7" s="1"/>
  <c r="AH160" i="7"/>
  <c r="AI160" i="7" s="1"/>
  <c r="AH159" i="7"/>
  <c r="AI159" i="7" s="1"/>
  <c r="AH156" i="7"/>
  <c r="AI156" i="7" s="1"/>
  <c r="AH126" i="7"/>
  <c r="AI126" i="7" s="1"/>
  <c r="AH123" i="7"/>
  <c r="AI123" i="7" s="1"/>
  <c r="AH122" i="7"/>
  <c r="AI122" i="7" s="1"/>
  <c r="AH402" i="7"/>
  <c r="AI402" i="7" s="1"/>
  <c r="AH333" i="7"/>
  <c r="AI333" i="7" s="1"/>
  <c r="AH330" i="7"/>
  <c r="AI330" i="7" s="1"/>
  <c r="AH329" i="7"/>
  <c r="AI329" i="7" s="1"/>
  <c r="AH328" i="7"/>
  <c r="AI328" i="7" s="1"/>
  <c r="AH327" i="7"/>
  <c r="AI327" i="7" s="1"/>
  <c r="AH326" i="7"/>
  <c r="AI326" i="7" s="1"/>
  <c r="AH324" i="7"/>
  <c r="AI324" i="7" s="1"/>
  <c r="AH323" i="7"/>
  <c r="AI323" i="7" s="1"/>
  <c r="AH322" i="7"/>
  <c r="AI322" i="7" s="1"/>
  <c r="AH317" i="7"/>
  <c r="AI317" i="7" s="1"/>
  <c r="AH312" i="7"/>
  <c r="AI312" i="7" s="1"/>
  <c r="AH307" i="7"/>
  <c r="AI307" i="7" s="1"/>
  <c r="AH148" i="7"/>
  <c r="AI148" i="7" s="1"/>
  <c r="AH121" i="7"/>
  <c r="AI121" i="7" s="1"/>
  <c r="AH350" i="7"/>
  <c r="AI350" i="7" s="1"/>
  <c r="U12" i="7"/>
  <c r="AA11" i="7"/>
  <c r="W11" i="7"/>
  <c r="T11" i="7"/>
  <c r="AB10" i="7"/>
  <c r="W10" i="7"/>
  <c r="S10" i="7"/>
  <c r="AC9" i="7"/>
  <c r="Z9" i="7"/>
  <c r="U9" i="7"/>
  <c r="R9" i="7"/>
  <c r="AB8" i="7"/>
  <c r="Y8" i="7"/>
  <c r="V8" i="7"/>
  <c r="S8" i="7"/>
  <c r="AA7" i="7"/>
  <c r="W7" i="7"/>
  <c r="T7" i="7"/>
  <c r="AA6" i="7"/>
  <c r="V6" i="7"/>
  <c r="T6" i="7"/>
  <c r="AH299" i="7"/>
  <c r="AI299" i="7" s="1"/>
  <c r="AH196" i="7"/>
  <c r="AI196" i="7" s="1"/>
  <c r="AH177" i="7"/>
  <c r="AI177" i="7" s="1"/>
  <c r="AH168" i="7"/>
  <c r="AI168" i="7" s="1"/>
  <c r="AH166" i="7"/>
  <c r="AI166" i="7" s="1"/>
  <c r="AH164" i="7"/>
  <c r="AI164" i="7" s="1"/>
  <c r="AH154" i="7"/>
  <c r="AI154" i="7" s="1"/>
  <c r="AH153" i="7"/>
  <c r="AI153" i="7" s="1"/>
  <c r="AH125" i="7"/>
  <c r="AI125" i="7" s="1"/>
  <c r="AH124" i="7"/>
  <c r="AI124" i="7" s="1"/>
  <c r="AH118" i="7"/>
  <c r="AI118" i="7" s="1"/>
  <c r="AH115" i="7"/>
  <c r="AI115" i="7" s="1"/>
  <c r="AH113" i="7"/>
  <c r="AI113" i="7" s="1"/>
  <c r="AH248" i="7"/>
  <c r="AI248" i="7" s="1"/>
  <c r="AH112" i="7"/>
  <c r="AI112" i="7" s="1"/>
  <c r="AH102" i="7"/>
  <c r="AI102" i="7" s="1"/>
  <c r="Z12" i="7"/>
  <c r="T12" i="7"/>
  <c r="AC11" i="7"/>
  <c r="X11" i="7"/>
  <c r="U11" i="7"/>
  <c r="AA10" i="7"/>
  <c r="V10" i="7"/>
  <c r="U10" i="7"/>
  <c r="AB9" i="7"/>
  <c r="W9" i="7"/>
  <c r="T9" i="7"/>
  <c r="AA8" i="7"/>
  <c r="X8" i="7"/>
  <c r="T8" i="7"/>
  <c r="AC7" i="7"/>
  <c r="Z7" i="7"/>
  <c r="V7" i="7"/>
  <c r="S7" i="7"/>
  <c r="AB6" i="7"/>
  <c r="W6" i="7"/>
  <c r="S6" i="7"/>
  <c r="AH86" i="7"/>
  <c r="AI86" i="7" s="1"/>
  <c r="Z17" i="7"/>
  <c r="T17" i="7"/>
  <c r="AC16" i="7"/>
  <c r="X16" i="7"/>
  <c r="T16" i="7"/>
  <c r="Z15" i="7"/>
  <c r="V15" i="7"/>
  <c r="R15" i="7"/>
  <c r="AC14" i="7"/>
  <c r="Z14" i="7"/>
  <c r="X14" i="7"/>
  <c r="V14" i="7"/>
  <c r="T14" i="7"/>
  <c r="R14" i="7"/>
  <c r="AH14" i="7" s="1"/>
  <c r="AI14" i="7" s="1"/>
  <c r="AC13" i="7"/>
  <c r="Y13" i="7"/>
  <c r="U13" i="7"/>
  <c r="AA12" i="7"/>
  <c r="W12" i="7"/>
  <c r="R12" i="7"/>
  <c r="AH12" i="7" s="1"/>
  <c r="AI12" i="7" s="1"/>
  <c r="Z11" i="7"/>
  <c r="R11" i="7"/>
  <c r="AH11" i="7" s="1"/>
  <c r="AI11" i="7" s="1"/>
  <c r="Y10" i="7"/>
  <c r="R10" i="7"/>
  <c r="AH10" i="7" s="1"/>
  <c r="AI10" i="7" s="1"/>
  <c r="X9" i="7"/>
  <c r="W8" i="7"/>
  <c r="X7" i="7"/>
  <c r="Y6" i="7"/>
  <c r="AH91" i="7"/>
  <c r="AI91" i="7" s="1"/>
  <c r="AC17" i="7"/>
  <c r="U17" i="7"/>
  <c r="W16" i="7"/>
  <c r="S16" i="7"/>
  <c r="AH16" i="7" s="1"/>
  <c r="AI16" i="7" s="1"/>
  <c r="AC15" i="7"/>
  <c r="Y15" i="7"/>
  <c r="U15" i="7"/>
  <c r="Y14" i="7"/>
  <c r="W14" i="7"/>
  <c r="U14" i="7"/>
  <c r="S14" i="7"/>
  <c r="AA13" i="7"/>
  <c r="W13" i="7"/>
  <c r="R13" i="7"/>
  <c r="AB12" i="7"/>
  <c r="AB11" i="7"/>
  <c r="S11" i="7"/>
  <c r="Z10" i="7"/>
  <c r="Y9" i="7"/>
  <c r="Z6" i="7"/>
  <c r="R6" i="7"/>
  <c r="AZ31" i="7"/>
  <c r="AZ30" i="7"/>
  <c r="AZ29" i="7"/>
  <c r="AZ28" i="7"/>
  <c r="AZ27" i="7"/>
  <c r="AZ26" i="7"/>
  <c r="AZ25" i="7"/>
  <c r="AZ24" i="7"/>
  <c r="AZ23" i="7"/>
  <c r="AZ22" i="7"/>
  <c r="AZ21" i="7"/>
  <c r="AB17" i="7"/>
  <c r="X17" i="7"/>
  <c r="V17" i="7"/>
  <c r="R17" i="7"/>
  <c r="AH17" i="7" s="1"/>
  <c r="AI17" i="7" s="1"/>
  <c r="AA16" i="7"/>
  <c r="Y16" i="7"/>
  <c r="AB13" i="7"/>
  <c r="Z13" i="7"/>
  <c r="X13" i="7"/>
  <c r="V13" i="7"/>
  <c r="T13" i="7"/>
  <c r="S13" i="7"/>
  <c r="AC12" i="7"/>
  <c r="Y12" i="7"/>
  <c r="X12" i="7"/>
  <c r="V12" i="7"/>
  <c r="S12" i="7"/>
  <c r="Y11" i="7"/>
  <c r="V11" i="7"/>
  <c r="AC10" i="7"/>
  <c r="X10" i="7"/>
  <c r="T10" i="7"/>
  <c r="AA9" i="7"/>
  <c r="V9" i="7"/>
  <c r="S9" i="7"/>
  <c r="AH9" i="7" s="1"/>
  <c r="AI9" i="7" s="1"/>
  <c r="AC8" i="7"/>
  <c r="Z8" i="7"/>
  <c r="U8" i="7"/>
  <c r="R8" i="7"/>
  <c r="AH8" i="7" s="1"/>
  <c r="AI8" i="7" s="1"/>
  <c r="AB7" i="7"/>
  <c r="Y7" i="7"/>
  <c r="U7" i="7"/>
  <c r="R7" i="7"/>
  <c r="AH7" i="7" s="1"/>
  <c r="AI7" i="7" s="1"/>
  <c r="AC6" i="7"/>
  <c r="X6" i="7"/>
  <c r="U6" i="7"/>
  <c r="AU505" i="7"/>
  <c r="AT505" i="7"/>
  <c r="E505" i="3"/>
  <c r="F505" i="3"/>
  <c r="G505" i="3"/>
  <c r="AU504" i="7"/>
  <c r="AT504" i="7"/>
  <c r="E504" i="3"/>
  <c r="F504" i="3"/>
  <c r="G504" i="3"/>
  <c r="AT503" i="7"/>
  <c r="AU503" i="7"/>
  <c r="AT502" i="7"/>
  <c r="AU502" i="7"/>
  <c r="AT501" i="7"/>
  <c r="AU501" i="7"/>
  <c r="AT500" i="7"/>
  <c r="AU500" i="7"/>
  <c r="AU499" i="7"/>
  <c r="AT499" i="7"/>
  <c r="E499" i="3"/>
  <c r="F499" i="3"/>
  <c r="G499" i="3"/>
  <c r="AT498" i="7"/>
  <c r="AU498" i="7"/>
  <c r="AT497" i="7"/>
  <c r="AU497" i="7"/>
  <c r="E497" i="3"/>
  <c r="F497" i="3"/>
  <c r="G497" i="3"/>
  <c r="AT496" i="7"/>
  <c r="AU496" i="7"/>
  <c r="AT495" i="7"/>
  <c r="AU495" i="7"/>
  <c r="E495" i="3"/>
  <c r="F495" i="3"/>
  <c r="G495" i="3"/>
  <c r="AU494" i="7"/>
  <c r="AT494" i="7"/>
  <c r="AU493" i="7"/>
  <c r="AT493" i="7"/>
  <c r="E493" i="3"/>
  <c r="F493" i="3"/>
  <c r="G493" i="3"/>
  <c r="AT492" i="7"/>
  <c r="AU492" i="7"/>
  <c r="E492" i="3"/>
  <c r="F492" i="3"/>
  <c r="G492" i="3"/>
  <c r="AU491" i="7"/>
  <c r="AT491" i="7"/>
  <c r="AT490" i="7"/>
  <c r="AU490" i="7"/>
  <c r="AT489" i="7"/>
  <c r="AU489" i="7"/>
  <c r="AU488" i="7"/>
  <c r="AT488" i="7"/>
  <c r="AU487" i="7"/>
  <c r="AT487" i="7"/>
  <c r="AU486" i="7"/>
  <c r="AT486" i="7"/>
  <c r="E486" i="3"/>
  <c r="F486" i="3"/>
  <c r="G486" i="3"/>
  <c r="AU485" i="7"/>
  <c r="AT485" i="7"/>
  <c r="AT484" i="7"/>
  <c r="AU484" i="7"/>
  <c r="E484" i="3"/>
  <c r="F484" i="3"/>
  <c r="G484" i="3"/>
  <c r="AU483" i="7"/>
  <c r="AT483" i="7"/>
  <c r="AT482" i="7"/>
  <c r="AU482" i="7"/>
  <c r="AU481" i="7"/>
  <c r="AT481" i="7"/>
  <c r="AU480" i="7"/>
  <c r="AT480" i="7"/>
  <c r="E480" i="3"/>
  <c r="F480" i="3"/>
  <c r="G480" i="3"/>
  <c r="AT479" i="7"/>
  <c r="AU479" i="7"/>
  <c r="AT478" i="7"/>
  <c r="AU478" i="7"/>
  <c r="AT477" i="7"/>
  <c r="AU477" i="7"/>
  <c r="E477" i="3"/>
  <c r="F477" i="3"/>
  <c r="G477" i="3"/>
  <c r="AT476" i="7"/>
  <c r="AU476" i="7"/>
  <c r="E476" i="3"/>
  <c r="F476" i="3"/>
  <c r="G476" i="3"/>
  <c r="AT475" i="7"/>
  <c r="AU475" i="7"/>
  <c r="E475" i="3"/>
  <c r="F475" i="3"/>
  <c r="G475" i="3"/>
  <c r="AT474" i="7"/>
  <c r="AU474" i="7"/>
  <c r="AT473" i="7"/>
  <c r="AU473" i="7"/>
  <c r="E473" i="3"/>
  <c r="F473" i="3"/>
  <c r="G473" i="3"/>
  <c r="AU472" i="7"/>
  <c r="AT472" i="7"/>
  <c r="AT471" i="7"/>
  <c r="AU471" i="7"/>
  <c r="AT470" i="7"/>
  <c r="AU470" i="7"/>
  <c r="AT469" i="7"/>
  <c r="AU469" i="7"/>
  <c r="AT468" i="7"/>
  <c r="AU468" i="7"/>
  <c r="E468" i="3"/>
  <c r="F468" i="3"/>
  <c r="G468" i="3"/>
  <c r="AT467" i="7"/>
  <c r="AU467" i="7"/>
  <c r="AT466" i="7"/>
  <c r="AU466" i="7"/>
  <c r="AT465" i="7"/>
  <c r="AU465" i="7"/>
  <c r="E465" i="3"/>
  <c r="F465" i="3"/>
  <c r="G465" i="3"/>
  <c r="AT464" i="7"/>
  <c r="AU464" i="7"/>
  <c r="E464" i="3"/>
  <c r="F464" i="3"/>
  <c r="G464" i="3"/>
  <c r="AT463" i="7"/>
  <c r="AU463" i="7"/>
  <c r="E463" i="3"/>
  <c r="F463" i="3"/>
  <c r="G463" i="3"/>
  <c r="AT462" i="7"/>
  <c r="AU462" i="7"/>
  <c r="E462" i="3"/>
  <c r="F462" i="3"/>
  <c r="G462" i="3"/>
  <c r="AU461" i="7"/>
  <c r="AT461" i="7"/>
  <c r="E461" i="3"/>
  <c r="F461" i="3"/>
  <c r="G461" i="3"/>
  <c r="AT460" i="7"/>
  <c r="AU460" i="7"/>
  <c r="AT459" i="7"/>
  <c r="AU459" i="7"/>
  <c r="AU458" i="7"/>
  <c r="AT458" i="7"/>
  <c r="E458" i="3"/>
  <c r="F458" i="3"/>
  <c r="G458" i="3"/>
  <c r="AT457" i="7"/>
  <c r="AU457" i="7"/>
  <c r="AU456" i="7"/>
  <c r="AT456" i="7"/>
  <c r="AT455" i="7"/>
  <c r="AU455" i="7"/>
  <c r="AT454" i="7"/>
  <c r="AU454" i="7"/>
  <c r="AU453" i="7"/>
  <c r="AT453" i="7"/>
  <c r="E453" i="3"/>
  <c r="F453" i="3"/>
  <c r="G453" i="3"/>
  <c r="AU452" i="7"/>
  <c r="AT452" i="7"/>
  <c r="E452" i="3"/>
  <c r="F452" i="3"/>
  <c r="G452" i="3"/>
  <c r="AT451" i="7"/>
  <c r="AU451" i="7"/>
  <c r="E451" i="3"/>
  <c r="F451" i="3"/>
  <c r="G451" i="3"/>
  <c r="AU450" i="7"/>
  <c r="AT450" i="7"/>
  <c r="E450" i="3"/>
  <c r="F450" i="3"/>
  <c r="G450" i="3"/>
  <c r="AT449" i="7"/>
  <c r="AU449" i="7"/>
  <c r="E449" i="3"/>
  <c r="F449" i="3"/>
  <c r="G449" i="3"/>
  <c r="AU448" i="7"/>
  <c r="AT448" i="7"/>
  <c r="E448" i="3"/>
  <c r="F448" i="3"/>
  <c r="G448" i="3"/>
  <c r="AU447" i="7"/>
  <c r="AT447" i="7"/>
  <c r="E447" i="3"/>
  <c r="F447" i="3"/>
  <c r="G447" i="3"/>
  <c r="AU446" i="7"/>
  <c r="AT446" i="7"/>
  <c r="E446" i="3"/>
  <c r="F446" i="3"/>
  <c r="G446" i="3"/>
  <c r="AU445" i="7"/>
  <c r="AT445" i="7"/>
  <c r="E445" i="3"/>
  <c r="F445" i="3"/>
  <c r="G445" i="3"/>
  <c r="AU444" i="7"/>
  <c r="AT444" i="7"/>
  <c r="E444" i="3"/>
  <c r="F444" i="3"/>
  <c r="G444" i="3"/>
  <c r="AT443" i="7"/>
  <c r="AU443" i="7"/>
  <c r="E443" i="3"/>
  <c r="F443" i="3"/>
  <c r="G443" i="3"/>
  <c r="AU442" i="7"/>
  <c r="AT442" i="7"/>
  <c r="E442" i="3"/>
  <c r="F442" i="3"/>
  <c r="G442" i="3"/>
  <c r="AT441" i="7"/>
  <c r="AU441" i="7"/>
  <c r="E441" i="3"/>
  <c r="F441" i="3"/>
  <c r="G441" i="3"/>
  <c r="AU440" i="7"/>
  <c r="AT440" i="7"/>
  <c r="E440" i="3"/>
  <c r="F440" i="3"/>
  <c r="G440" i="3"/>
  <c r="AU439" i="7"/>
  <c r="AT439" i="7"/>
  <c r="E439" i="3"/>
  <c r="F439" i="3"/>
  <c r="G439" i="3"/>
  <c r="AT438" i="7"/>
  <c r="AU438" i="7"/>
  <c r="E438" i="3"/>
  <c r="F438" i="3"/>
  <c r="G438" i="3"/>
  <c r="AT437" i="7"/>
  <c r="AU437" i="7"/>
  <c r="E437" i="3"/>
  <c r="F437" i="3"/>
  <c r="G437" i="3"/>
  <c r="AU436" i="7"/>
  <c r="AT436" i="7"/>
  <c r="E436" i="3"/>
  <c r="F436" i="3"/>
  <c r="G436" i="3"/>
  <c r="AT435" i="7"/>
  <c r="AU435" i="7"/>
  <c r="E435" i="3"/>
  <c r="F435" i="3"/>
  <c r="G435" i="3"/>
  <c r="AT434" i="7"/>
  <c r="AU434" i="7"/>
  <c r="E434" i="3"/>
  <c r="F434" i="3"/>
  <c r="G434" i="3"/>
  <c r="AU433" i="7"/>
  <c r="AT433" i="7"/>
  <c r="E433" i="3"/>
  <c r="F433" i="3"/>
  <c r="G433" i="3"/>
  <c r="AT432" i="7"/>
  <c r="AU432" i="7"/>
  <c r="E432" i="3"/>
  <c r="F432" i="3"/>
  <c r="G432" i="3"/>
  <c r="AU431" i="7"/>
  <c r="AT431" i="7"/>
  <c r="E431" i="3"/>
  <c r="F431" i="3"/>
  <c r="G431" i="3"/>
  <c r="AU430" i="7"/>
  <c r="AT430" i="7"/>
  <c r="E430" i="3"/>
  <c r="F430" i="3"/>
  <c r="G430" i="3"/>
  <c r="AU429" i="7"/>
  <c r="AT429" i="7"/>
  <c r="E429" i="3"/>
  <c r="F429" i="3"/>
  <c r="G429" i="3"/>
  <c r="AU428" i="7"/>
  <c r="AT428" i="7"/>
  <c r="E428" i="3"/>
  <c r="F428" i="3"/>
  <c r="G428" i="3"/>
  <c r="AT427" i="7"/>
  <c r="AU427" i="7"/>
  <c r="E427" i="3"/>
  <c r="F427" i="3"/>
  <c r="G427" i="3"/>
  <c r="AT426" i="7"/>
  <c r="AU426" i="7"/>
  <c r="E426" i="3"/>
  <c r="F426" i="3"/>
  <c r="G426" i="3"/>
  <c r="AT425" i="7"/>
  <c r="AU425" i="7"/>
  <c r="E425" i="3"/>
  <c r="F425" i="3"/>
  <c r="G425" i="3"/>
  <c r="AT424" i="7"/>
  <c r="AU424" i="7"/>
  <c r="E424" i="3"/>
  <c r="F424" i="3"/>
  <c r="G424" i="3"/>
  <c r="AT423" i="7"/>
  <c r="AU423" i="7"/>
  <c r="E423" i="3"/>
  <c r="F423" i="3"/>
  <c r="G423" i="3"/>
  <c r="AT422" i="7"/>
  <c r="AU422" i="7"/>
  <c r="E422" i="3"/>
  <c r="F422" i="3"/>
  <c r="G422" i="3"/>
  <c r="AT421" i="7"/>
  <c r="AU421" i="7"/>
  <c r="E421" i="3"/>
  <c r="F421" i="3"/>
  <c r="G421" i="3"/>
  <c r="AT420" i="7"/>
  <c r="AU420" i="7"/>
  <c r="E420" i="3"/>
  <c r="F420" i="3"/>
  <c r="G420" i="3"/>
  <c r="AT419" i="7"/>
  <c r="AU419" i="7"/>
  <c r="E419" i="3"/>
  <c r="F419" i="3"/>
  <c r="G419" i="3"/>
  <c r="AT418" i="7"/>
  <c r="AU418" i="7"/>
  <c r="E418" i="3"/>
  <c r="F418" i="3"/>
  <c r="G418" i="3"/>
  <c r="AT417" i="7"/>
  <c r="AU417" i="7"/>
  <c r="E417" i="3"/>
  <c r="F417" i="3"/>
  <c r="G417" i="3"/>
  <c r="AT416" i="7"/>
  <c r="AU416" i="7"/>
  <c r="E416" i="3"/>
  <c r="F416" i="3"/>
  <c r="G416" i="3"/>
  <c r="AT415" i="7"/>
  <c r="AU415" i="7"/>
  <c r="E415" i="3"/>
  <c r="F415" i="3"/>
  <c r="G415" i="3"/>
  <c r="AT414" i="7"/>
  <c r="AU414" i="7"/>
  <c r="E414" i="3"/>
  <c r="F414" i="3"/>
  <c r="G414" i="3"/>
  <c r="AT413" i="7"/>
  <c r="AU413" i="7"/>
  <c r="E413" i="3"/>
  <c r="F413" i="3"/>
  <c r="G413" i="3"/>
  <c r="AT412" i="7"/>
  <c r="AU412" i="7"/>
  <c r="E412" i="3"/>
  <c r="F412" i="3"/>
  <c r="G412" i="3"/>
  <c r="AT411" i="7"/>
  <c r="AU411" i="7"/>
  <c r="E411" i="3"/>
  <c r="F411" i="3"/>
  <c r="G411" i="3"/>
  <c r="AT410" i="7"/>
  <c r="AU410" i="7"/>
  <c r="E410" i="3"/>
  <c r="F410" i="3"/>
  <c r="G410" i="3"/>
  <c r="AT409" i="7"/>
  <c r="AU409" i="7"/>
  <c r="E409" i="3"/>
  <c r="F409" i="3"/>
  <c r="G409" i="3"/>
  <c r="AT408" i="7"/>
  <c r="AU408" i="7"/>
  <c r="E408" i="3"/>
  <c r="F408" i="3"/>
  <c r="G408" i="3"/>
  <c r="AT407" i="7"/>
  <c r="AU407" i="7"/>
  <c r="E407" i="3"/>
  <c r="F407" i="3"/>
  <c r="G407" i="3"/>
  <c r="AT406" i="7"/>
  <c r="AU406" i="7"/>
  <c r="E406" i="3"/>
  <c r="F406" i="3"/>
  <c r="G406" i="3"/>
  <c r="AT405" i="7"/>
  <c r="AU405" i="7"/>
  <c r="E405" i="3"/>
  <c r="F405" i="3"/>
  <c r="G405" i="3"/>
  <c r="AT404" i="7"/>
  <c r="AU404" i="7"/>
  <c r="E404" i="3"/>
  <c r="F404" i="3"/>
  <c r="G404" i="3"/>
  <c r="AT403" i="7"/>
  <c r="AU403" i="7"/>
  <c r="AT402" i="7"/>
  <c r="AU402" i="7"/>
  <c r="AT401" i="7"/>
  <c r="AU401" i="7"/>
  <c r="E401" i="3"/>
  <c r="F401" i="3"/>
  <c r="G401" i="3"/>
  <c r="AT400" i="7"/>
  <c r="AU400" i="7"/>
  <c r="E400" i="3"/>
  <c r="F400" i="3"/>
  <c r="G400" i="3"/>
  <c r="AT399" i="7"/>
  <c r="AU399" i="7"/>
  <c r="E399" i="3"/>
  <c r="F399" i="3"/>
  <c r="G399" i="3"/>
  <c r="AT398" i="7"/>
  <c r="AU398" i="7"/>
  <c r="E398" i="3"/>
  <c r="F398" i="3"/>
  <c r="G398" i="3"/>
  <c r="AT397" i="7"/>
  <c r="AU397" i="7"/>
  <c r="E397" i="3"/>
  <c r="F397" i="3"/>
  <c r="G397" i="3"/>
  <c r="AT396" i="7"/>
  <c r="AU396" i="7"/>
  <c r="E396" i="3"/>
  <c r="F396" i="3"/>
  <c r="G396" i="3"/>
  <c r="AT395" i="7"/>
  <c r="AU395" i="7"/>
  <c r="E395" i="3"/>
  <c r="F395" i="3"/>
  <c r="G395" i="3"/>
  <c r="AT394" i="7"/>
  <c r="AU394" i="7"/>
  <c r="E394" i="3"/>
  <c r="F394" i="3"/>
  <c r="G394" i="3"/>
  <c r="AT393" i="7"/>
  <c r="AU393" i="7"/>
  <c r="E393" i="3"/>
  <c r="F393" i="3"/>
  <c r="G393" i="3"/>
  <c r="AT392" i="7"/>
  <c r="AU392" i="7"/>
  <c r="E392" i="3"/>
  <c r="F392" i="3"/>
  <c r="G392" i="3"/>
  <c r="AT391" i="7"/>
  <c r="AU391" i="7"/>
  <c r="E391" i="3"/>
  <c r="F391" i="3"/>
  <c r="G391" i="3"/>
  <c r="AT390" i="7"/>
  <c r="AU390" i="7"/>
  <c r="E390" i="3"/>
  <c r="F390" i="3"/>
  <c r="G390" i="3"/>
  <c r="AT389" i="7"/>
  <c r="AU389" i="7"/>
  <c r="E389" i="3"/>
  <c r="F389" i="3"/>
  <c r="G389" i="3"/>
  <c r="AT388" i="7"/>
  <c r="AU388" i="7"/>
  <c r="E388" i="3"/>
  <c r="F388" i="3"/>
  <c r="G388" i="3"/>
  <c r="AT387" i="7"/>
  <c r="AU387" i="7"/>
  <c r="E387" i="3"/>
  <c r="F387" i="3"/>
  <c r="G387" i="3"/>
  <c r="AT386" i="7"/>
  <c r="AU386" i="7"/>
  <c r="E386" i="3"/>
  <c r="F386" i="3"/>
  <c r="G386" i="3"/>
  <c r="AT385" i="7"/>
  <c r="AU385" i="7"/>
  <c r="F385" i="3"/>
  <c r="E385" i="3"/>
  <c r="G385" i="3"/>
  <c r="AT384" i="7"/>
  <c r="AU384" i="7"/>
  <c r="AT383" i="7"/>
  <c r="AU383" i="7"/>
  <c r="E383" i="3"/>
  <c r="F383" i="3"/>
  <c r="G383" i="3"/>
  <c r="AT382" i="7"/>
  <c r="AU382" i="7"/>
  <c r="E382" i="3"/>
  <c r="F382" i="3"/>
  <c r="G382" i="3"/>
  <c r="AT381" i="7"/>
  <c r="AU381" i="7"/>
  <c r="E381" i="3"/>
  <c r="F381" i="3"/>
  <c r="G381" i="3"/>
  <c r="AT380" i="7"/>
  <c r="AU380" i="7"/>
  <c r="G380" i="3"/>
  <c r="E380" i="3"/>
  <c r="F380" i="3"/>
  <c r="AT379" i="7"/>
  <c r="AU379" i="7"/>
  <c r="E379" i="3"/>
  <c r="G379" i="3"/>
  <c r="F379" i="3"/>
  <c r="AT378" i="7"/>
  <c r="AU378" i="7"/>
  <c r="E378" i="3"/>
  <c r="F378" i="3"/>
  <c r="G378" i="3"/>
  <c r="AT377" i="7"/>
  <c r="AU377" i="7"/>
  <c r="F377" i="3"/>
  <c r="E377" i="3"/>
  <c r="G377" i="3"/>
  <c r="AT376" i="7"/>
  <c r="AU376" i="7"/>
  <c r="G376" i="3"/>
  <c r="E376" i="3"/>
  <c r="F376" i="3"/>
  <c r="AT375" i="7"/>
  <c r="AU375" i="7"/>
  <c r="G375" i="3"/>
  <c r="E375" i="3"/>
  <c r="F375" i="3"/>
  <c r="AT374" i="7"/>
  <c r="AU374" i="7"/>
  <c r="AT373" i="7"/>
  <c r="AU373" i="7"/>
  <c r="AT372" i="7"/>
  <c r="AU372" i="7"/>
  <c r="F372" i="3"/>
  <c r="E372" i="3"/>
  <c r="G372" i="3"/>
  <c r="AT371" i="7"/>
  <c r="AU371" i="7"/>
  <c r="F371" i="3"/>
  <c r="E371" i="3"/>
  <c r="G371" i="3"/>
  <c r="AT370" i="7"/>
  <c r="AU370" i="7"/>
  <c r="F370" i="3"/>
  <c r="E370" i="3"/>
  <c r="G370" i="3"/>
  <c r="AT369" i="7"/>
  <c r="AU369" i="7"/>
  <c r="G369" i="3"/>
  <c r="E369" i="3"/>
  <c r="F369" i="3"/>
  <c r="AT368" i="7"/>
  <c r="AU368" i="7"/>
  <c r="F368" i="3"/>
  <c r="E368" i="3"/>
  <c r="G368" i="3"/>
  <c r="AT367" i="7"/>
  <c r="AU367" i="7"/>
  <c r="AT366" i="7"/>
  <c r="AU366" i="7"/>
  <c r="E366" i="3"/>
  <c r="F366" i="3"/>
  <c r="G366" i="3"/>
  <c r="AT365" i="7"/>
  <c r="AU365" i="7"/>
  <c r="F365" i="3"/>
  <c r="E365" i="3"/>
  <c r="G365" i="3"/>
  <c r="AT364" i="7"/>
  <c r="AU364" i="7"/>
  <c r="AT363" i="7"/>
  <c r="AU363" i="7"/>
  <c r="G363" i="3"/>
  <c r="E363" i="3"/>
  <c r="F363" i="3"/>
  <c r="AT362" i="7"/>
  <c r="AU362" i="7"/>
  <c r="F362" i="3"/>
  <c r="E362" i="3"/>
  <c r="G362" i="3"/>
  <c r="AT361" i="7"/>
  <c r="AU361" i="7"/>
  <c r="E361" i="3"/>
  <c r="F361" i="3"/>
  <c r="G361" i="3"/>
  <c r="AT360" i="7"/>
  <c r="AU360" i="7"/>
  <c r="AT359" i="7"/>
  <c r="AU359" i="7"/>
  <c r="F359" i="3"/>
  <c r="E359" i="3"/>
  <c r="G359" i="3"/>
  <c r="AT358" i="7"/>
  <c r="AU358" i="7"/>
  <c r="AT357" i="7"/>
  <c r="AU357" i="7"/>
  <c r="F357" i="3"/>
  <c r="E357" i="3"/>
  <c r="G357" i="3"/>
  <c r="AT356" i="7"/>
  <c r="AU356" i="7"/>
  <c r="AT355" i="7"/>
  <c r="AU355" i="7"/>
  <c r="F355" i="3"/>
  <c r="E355" i="3"/>
  <c r="G355" i="3"/>
  <c r="AT354" i="7"/>
  <c r="AU354" i="7"/>
  <c r="E354" i="3"/>
  <c r="F354" i="3"/>
  <c r="G354" i="3"/>
  <c r="AT353" i="7"/>
  <c r="AU353" i="7"/>
  <c r="G353" i="3"/>
  <c r="E353" i="3"/>
  <c r="F353" i="3"/>
  <c r="AT352" i="7"/>
  <c r="AU352" i="7"/>
  <c r="F352" i="3"/>
  <c r="E352" i="3"/>
  <c r="G352" i="3"/>
  <c r="AT351" i="7"/>
  <c r="AU351" i="7"/>
  <c r="AT350" i="7"/>
  <c r="AU350" i="7"/>
  <c r="AT349" i="7"/>
  <c r="AU349" i="7"/>
  <c r="E349" i="3"/>
  <c r="F349" i="3"/>
  <c r="G349" i="3"/>
  <c r="AT348" i="7"/>
  <c r="AU348" i="7"/>
  <c r="F348" i="3"/>
  <c r="E348" i="3"/>
  <c r="G348" i="3"/>
  <c r="AT347" i="7"/>
  <c r="AU347" i="7"/>
  <c r="F347" i="3"/>
  <c r="G347" i="3"/>
  <c r="E347" i="3"/>
  <c r="AT346" i="7"/>
  <c r="AU346" i="7"/>
  <c r="F346" i="3"/>
  <c r="E346" i="3"/>
  <c r="G346" i="3"/>
  <c r="AT345" i="7"/>
  <c r="AU345" i="7"/>
  <c r="F345" i="3"/>
  <c r="E345" i="3"/>
  <c r="G345" i="3"/>
  <c r="AT344" i="7"/>
  <c r="AU344" i="7"/>
  <c r="F344" i="3"/>
  <c r="G344" i="3"/>
  <c r="E344" i="3"/>
  <c r="AT343" i="7"/>
  <c r="AU343" i="7"/>
  <c r="F343" i="3"/>
  <c r="E343" i="3"/>
  <c r="G343" i="3"/>
  <c r="AT342" i="7"/>
  <c r="AU342" i="7"/>
  <c r="F342" i="3"/>
  <c r="E342" i="3"/>
  <c r="G342" i="3"/>
  <c r="AT341" i="7"/>
  <c r="AU341" i="7"/>
  <c r="F341" i="3"/>
  <c r="E341" i="3"/>
  <c r="G341" i="3"/>
  <c r="AT340" i="7"/>
  <c r="AU340" i="7"/>
  <c r="G340" i="3"/>
  <c r="F340" i="3"/>
  <c r="E340" i="3"/>
  <c r="AT339" i="7"/>
  <c r="AU339" i="7"/>
  <c r="G339" i="3"/>
  <c r="E339" i="3"/>
  <c r="F339" i="3"/>
  <c r="AT338" i="7"/>
  <c r="AU338" i="7"/>
  <c r="G338" i="3"/>
  <c r="E338" i="3"/>
  <c r="F338" i="3"/>
  <c r="AT337" i="7"/>
  <c r="AU337" i="7"/>
  <c r="G337" i="3"/>
  <c r="E337" i="3"/>
  <c r="F337" i="3"/>
  <c r="AT336" i="7"/>
  <c r="AU336" i="7"/>
  <c r="F336" i="3"/>
  <c r="E336" i="3"/>
  <c r="G336" i="3"/>
  <c r="AT335" i="7"/>
  <c r="AU335" i="7"/>
  <c r="F335" i="3"/>
  <c r="E335" i="3"/>
  <c r="G335" i="3"/>
  <c r="AT334" i="7"/>
  <c r="AU334" i="7"/>
  <c r="F334" i="3"/>
  <c r="E334" i="3"/>
  <c r="G334" i="3"/>
  <c r="AT333" i="7"/>
  <c r="AU333" i="7"/>
  <c r="AT332" i="7"/>
  <c r="AU332" i="7"/>
  <c r="F332" i="3"/>
  <c r="E332" i="3"/>
  <c r="G332" i="3"/>
  <c r="AT331" i="7"/>
  <c r="AU331" i="7"/>
  <c r="AT330" i="7"/>
  <c r="AU330" i="7"/>
  <c r="AT329" i="7"/>
  <c r="AU329" i="7"/>
  <c r="AT328" i="7"/>
  <c r="AU328" i="7"/>
  <c r="AT327" i="7"/>
  <c r="AU327" i="7"/>
  <c r="AT326" i="7"/>
  <c r="AU326" i="7"/>
  <c r="AT325" i="7"/>
  <c r="AU325" i="7"/>
  <c r="AT324" i="7"/>
  <c r="AU324" i="7"/>
  <c r="AT323" i="7"/>
  <c r="AU323" i="7"/>
  <c r="AT322" i="7"/>
  <c r="AU322" i="7"/>
  <c r="AT321" i="7"/>
  <c r="AU321" i="7"/>
  <c r="AT320" i="7"/>
  <c r="AU320" i="7"/>
  <c r="AT319" i="7"/>
  <c r="AU319" i="7"/>
  <c r="F319" i="3"/>
  <c r="E319" i="3"/>
  <c r="G319" i="3"/>
  <c r="AT318" i="7"/>
  <c r="AU318" i="7"/>
  <c r="F318" i="3"/>
  <c r="E318" i="3"/>
  <c r="G318" i="3"/>
  <c r="AT317" i="7"/>
  <c r="AU317" i="7"/>
  <c r="AT316" i="7"/>
  <c r="AU316" i="7"/>
  <c r="AT315" i="7"/>
  <c r="AU315" i="7"/>
  <c r="AT314" i="7"/>
  <c r="AU314" i="7"/>
  <c r="AT313" i="7"/>
  <c r="AU313" i="7"/>
  <c r="F313" i="3"/>
  <c r="E313" i="3"/>
  <c r="G313" i="3"/>
  <c r="AT312" i="7"/>
  <c r="AU312" i="7"/>
  <c r="AT311" i="7"/>
  <c r="AU311" i="7"/>
  <c r="G311" i="3"/>
  <c r="E311" i="3"/>
  <c r="F311" i="3"/>
  <c r="AT310" i="7"/>
  <c r="AU310" i="7"/>
  <c r="E310" i="3"/>
  <c r="F310" i="3"/>
  <c r="G310" i="3"/>
  <c r="AT309" i="7"/>
  <c r="AU309" i="7"/>
  <c r="F309" i="3"/>
  <c r="E309" i="3"/>
  <c r="G309" i="3"/>
  <c r="AT308" i="7"/>
  <c r="AU308" i="7"/>
  <c r="E308" i="3"/>
  <c r="G308" i="3"/>
  <c r="F308" i="3"/>
  <c r="AT307" i="7"/>
  <c r="AU307" i="7"/>
  <c r="AT306" i="7"/>
  <c r="AU306" i="7"/>
  <c r="F306" i="3"/>
  <c r="E306" i="3"/>
  <c r="G306" i="3"/>
  <c r="AT305" i="7"/>
  <c r="AU305" i="7"/>
  <c r="F305" i="3"/>
  <c r="E305" i="3"/>
  <c r="G305" i="3"/>
  <c r="AT304" i="7"/>
  <c r="AU304" i="7"/>
  <c r="AT303" i="7"/>
  <c r="AU303" i="7"/>
  <c r="AT302" i="7"/>
  <c r="AU302" i="7"/>
  <c r="AT301" i="7"/>
  <c r="AU301" i="7"/>
  <c r="F301" i="3"/>
  <c r="E301" i="3"/>
  <c r="G301" i="3"/>
  <c r="AT300" i="7"/>
  <c r="AU300" i="7"/>
  <c r="AT299" i="7"/>
  <c r="AU299" i="7"/>
  <c r="AT298" i="7"/>
  <c r="AU298" i="7"/>
  <c r="E298" i="3"/>
  <c r="G298" i="3"/>
  <c r="F298" i="3"/>
  <c r="AT297" i="7"/>
  <c r="AU297" i="7"/>
  <c r="E297" i="3"/>
  <c r="F297" i="3"/>
  <c r="G297" i="3"/>
  <c r="AT296" i="7"/>
  <c r="AU296" i="7"/>
  <c r="E296" i="3"/>
  <c r="G296" i="3"/>
  <c r="F296" i="3"/>
  <c r="AT295" i="7"/>
  <c r="AU295" i="7"/>
  <c r="E295" i="3"/>
  <c r="F295" i="3"/>
  <c r="G295" i="3"/>
  <c r="AT294" i="7"/>
  <c r="AU294" i="7"/>
  <c r="G294" i="3"/>
  <c r="F294" i="3"/>
  <c r="E294" i="3"/>
  <c r="AT293" i="7"/>
  <c r="AU293" i="7"/>
  <c r="G293" i="3"/>
  <c r="E293" i="3"/>
  <c r="F293" i="3"/>
  <c r="AT292" i="7"/>
  <c r="AU292" i="7"/>
  <c r="G292" i="3"/>
  <c r="F292" i="3"/>
  <c r="E292" i="3"/>
  <c r="AT291" i="7"/>
  <c r="AU291" i="7"/>
  <c r="G291" i="3"/>
  <c r="E291" i="3"/>
  <c r="F291" i="3"/>
  <c r="AT290" i="7"/>
  <c r="AU290" i="7"/>
  <c r="E290" i="3"/>
  <c r="G290" i="3"/>
  <c r="F290" i="3"/>
  <c r="AT289" i="7"/>
  <c r="AU289" i="7"/>
  <c r="F289" i="3"/>
  <c r="E289" i="3"/>
  <c r="G289" i="3"/>
  <c r="AT288" i="7"/>
  <c r="AU288" i="7"/>
  <c r="G288" i="3"/>
  <c r="F288" i="3"/>
  <c r="E288" i="3"/>
  <c r="AT287" i="7"/>
  <c r="AU287" i="7"/>
  <c r="G287" i="3"/>
  <c r="E287" i="3"/>
  <c r="F287" i="3"/>
  <c r="AT286" i="7"/>
  <c r="AU286" i="7"/>
  <c r="F286" i="3"/>
  <c r="G286" i="3"/>
  <c r="E286" i="3"/>
  <c r="AT285" i="7"/>
  <c r="AU285" i="7"/>
  <c r="G285" i="3"/>
  <c r="E285" i="3"/>
  <c r="F285" i="3"/>
  <c r="AT284" i="7"/>
  <c r="AU284" i="7"/>
  <c r="F284" i="3"/>
  <c r="E284" i="3"/>
  <c r="G284" i="3"/>
  <c r="AT283" i="7"/>
  <c r="AU283" i="7"/>
  <c r="G283" i="3"/>
  <c r="F283" i="3"/>
  <c r="E283" i="3"/>
  <c r="AT282" i="7"/>
  <c r="AU282" i="7"/>
  <c r="G282" i="3"/>
  <c r="E282" i="3"/>
  <c r="F282" i="3"/>
  <c r="AT281" i="7"/>
  <c r="AU281" i="7"/>
  <c r="G281" i="3"/>
  <c r="E281" i="3"/>
  <c r="F281" i="3"/>
  <c r="AT280" i="7"/>
  <c r="AU280" i="7"/>
  <c r="F280" i="3"/>
  <c r="E280" i="3"/>
  <c r="G280" i="3"/>
  <c r="AU279" i="7"/>
  <c r="AT279" i="7"/>
  <c r="E279" i="3"/>
  <c r="G279" i="3"/>
  <c r="F279" i="3"/>
  <c r="AT278" i="7"/>
  <c r="AU278" i="7"/>
  <c r="G278" i="3"/>
  <c r="F278" i="3"/>
  <c r="E278" i="3"/>
  <c r="AT277" i="7"/>
  <c r="AU277" i="7"/>
  <c r="F277" i="3"/>
  <c r="E277" i="3"/>
  <c r="G277" i="3"/>
  <c r="AU276" i="7"/>
  <c r="AT276" i="7"/>
  <c r="F276" i="3"/>
  <c r="E276" i="3"/>
  <c r="G276" i="3"/>
  <c r="AU275" i="7"/>
  <c r="AT275" i="7"/>
  <c r="F275" i="3"/>
  <c r="E275" i="3"/>
  <c r="G275" i="3"/>
  <c r="AU274" i="7"/>
  <c r="AT274" i="7"/>
  <c r="F274" i="3"/>
  <c r="E274" i="3"/>
  <c r="G274" i="3"/>
  <c r="AT273" i="7"/>
  <c r="AU273" i="7"/>
  <c r="F273" i="3"/>
  <c r="E273" i="3"/>
  <c r="G273" i="3"/>
  <c r="AT272" i="7"/>
  <c r="AU272" i="7"/>
  <c r="F272" i="3"/>
  <c r="E272" i="3"/>
  <c r="G272" i="3"/>
  <c r="AT271" i="7"/>
  <c r="AU271" i="7"/>
  <c r="E271" i="3"/>
  <c r="G271" i="3"/>
  <c r="F271" i="3"/>
  <c r="AT270" i="7"/>
  <c r="AU270" i="7"/>
  <c r="F270" i="3"/>
  <c r="E270" i="3"/>
  <c r="G270" i="3"/>
  <c r="AT269" i="7"/>
  <c r="AU269" i="7"/>
  <c r="F269" i="3"/>
  <c r="E269" i="3"/>
  <c r="G269" i="3"/>
  <c r="AT268" i="7"/>
  <c r="AU268" i="7"/>
  <c r="F268" i="3"/>
  <c r="E268" i="3"/>
  <c r="G268" i="3"/>
  <c r="AT267" i="7"/>
  <c r="AU267" i="7"/>
  <c r="E267" i="3"/>
  <c r="G267" i="3"/>
  <c r="F267" i="3"/>
  <c r="AT266" i="7"/>
  <c r="AU266" i="7"/>
  <c r="F266" i="3"/>
  <c r="E266" i="3"/>
  <c r="G266" i="3"/>
  <c r="AT265" i="7"/>
  <c r="AU265" i="7"/>
  <c r="G265" i="3"/>
  <c r="E265" i="3"/>
  <c r="F265" i="3"/>
  <c r="AT264" i="7"/>
  <c r="AU264" i="7"/>
  <c r="E264" i="3"/>
  <c r="G264" i="3"/>
  <c r="F264" i="3"/>
  <c r="AT263" i="7"/>
  <c r="AU263" i="7"/>
  <c r="F263" i="3"/>
  <c r="E263" i="3"/>
  <c r="G263" i="3"/>
  <c r="AT262" i="7"/>
  <c r="AU262" i="7"/>
  <c r="F262" i="3"/>
  <c r="G262" i="3"/>
  <c r="E262" i="3"/>
  <c r="AT261" i="7"/>
  <c r="AU261" i="7"/>
  <c r="F261" i="3"/>
  <c r="E261" i="3"/>
  <c r="G261" i="3"/>
  <c r="AT260" i="7"/>
  <c r="AU260" i="7"/>
  <c r="F260" i="3"/>
  <c r="E260" i="3"/>
  <c r="G260" i="3"/>
  <c r="AT259" i="7"/>
  <c r="AU259" i="7"/>
  <c r="F259" i="3"/>
  <c r="E259" i="3"/>
  <c r="G259" i="3"/>
  <c r="AT258" i="7"/>
  <c r="AU258" i="7"/>
  <c r="G258" i="3"/>
  <c r="F258" i="3"/>
  <c r="E258" i="3"/>
  <c r="AT257" i="7"/>
  <c r="AU257" i="7"/>
  <c r="G257" i="3"/>
  <c r="E257" i="3"/>
  <c r="F257" i="3"/>
  <c r="AT256" i="7"/>
  <c r="AU256" i="7"/>
  <c r="F256" i="3"/>
  <c r="E256" i="3"/>
  <c r="G256" i="3"/>
  <c r="AT255" i="7"/>
  <c r="AU255" i="7"/>
  <c r="E255" i="3"/>
  <c r="F255" i="3"/>
  <c r="G255" i="3"/>
  <c r="AT254" i="7"/>
  <c r="AU254" i="7"/>
  <c r="F254" i="3"/>
  <c r="E254" i="3"/>
  <c r="G254" i="3"/>
  <c r="AT253" i="7"/>
  <c r="AU253" i="7"/>
  <c r="G253" i="3"/>
  <c r="F253" i="3"/>
  <c r="E253" i="3"/>
  <c r="AT252" i="7"/>
  <c r="AU252" i="7"/>
  <c r="F252" i="3"/>
  <c r="E252" i="3"/>
  <c r="G252" i="3"/>
  <c r="AT251" i="7"/>
  <c r="AU251" i="7"/>
  <c r="F251" i="3"/>
  <c r="E251" i="3"/>
  <c r="G251" i="3"/>
  <c r="AT250" i="7"/>
  <c r="AU250" i="7"/>
  <c r="G250" i="3"/>
  <c r="E250" i="3"/>
  <c r="F250" i="3"/>
  <c r="AT249" i="7"/>
  <c r="AU249" i="7"/>
  <c r="F249" i="3"/>
  <c r="E249" i="3"/>
  <c r="G249" i="3"/>
  <c r="AT248" i="7"/>
  <c r="AU248" i="7"/>
  <c r="AT247" i="7"/>
  <c r="AU247" i="7"/>
  <c r="F247" i="3"/>
  <c r="E247" i="3"/>
  <c r="G247" i="3"/>
  <c r="AT246" i="7"/>
  <c r="AU246" i="7"/>
  <c r="F246" i="3"/>
  <c r="E246" i="3"/>
  <c r="G246" i="3"/>
  <c r="AT245" i="7"/>
  <c r="AU245" i="7"/>
  <c r="E245" i="3"/>
  <c r="G245" i="3"/>
  <c r="F245" i="3"/>
  <c r="AT244" i="7"/>
  <c r="AU244" i="7"/>
  <c r="E244" i="3"/>
  <c r="F244" i="3"/>
  <c r="G244" i="3"/>
  <c r="AT243" i="7"/>
  <c r="AU243" i="7"/>
  <c r="E243" i="3"/>
  <c r="G243" i="3"/>
  <c r="F243" i="3"/>
  <c r="AT242" i="7"/>
  <c r="AU242" i="7"/>
  <c r="F242" i="3"/>
  <c r="E242" i="3"/>
  <c r="G242" i="3"/>
  <c r="AT241" i="7"/>
  <c r="AU241" i="7"/>
  <c r="E241" i="3"/>
  <c r="G241" i="3"/>
  <c r="F241" i="3"/>
  <c r="AT240" i="7"/>
  <c r="AU240" i="7"/>
  <c r="F240" i="3"/>
  <c r="E240" i="3"/>
  <c r="G240" i="3"/>
  <c r="AT239" i="7"/>
  <c r="AU239" i="7"/>
  <c r="F239" i="3"/>
  <c r="E239" i="3"/>
  <c r="G239" i="3"/>
  <c r="AT238" i="7"/>
  <c r="AU238" i="7"/>
  <c r="F238" i="3"/>
  <c r="E238" i="3"/>
  <c r="G238" i="3"/>
  <c r="AT237" i="7"/>
  <c r="AU237" i="7"/>
  <c r="F237" i="3"/>
  <c r="E237" i="3"/>
  <c r="G237" i="3"/>
  <c r="AT236" i="7"/>
  <c r="AU236" i="7"/>
  <c r="F236" i="3"/>
  <c r="E236" i="3"/>
  <c r="G236" i="3"/>
  <c r="AT235" i="7"/>
  <c r="AU235" i="7"/>
  <c r="E235" i="3"/>
  <c r="G235" i="3"/>
  <c r="F235" i="3"/>
  <c r="AT234" i="7"/>
  <c r="AU234" i="7"/>
  <c r="F234" i="3"/>
  <c r="E234" i="3"/>
  <c r="G234" i="3"/>
  <c r="AT233" i="7"/>
  <c r="AU233" i="7"/>
  <c r="F233" i="3"/>
  <c r="E233" i="3"/>
  <c r="G233" i="3"/>
  <c r="AT232" i="7"/>
  <c r="AU232" i="7"/>
  <c r="F232" i="3"/>
  <c r="E232" i="3"/>
  <c r="G232" i="3"/>
  <c r="AT231" i="7"/>
  <c r="AU231" i="7"/>
  <c r="E231" i="3"/>
  <c r="F231" i="3"/>
  <c r="G231" i="3"/>
  <c r="AT230" i="7"/>
  <c r="AU230" i="7"/>
  <c r="F230" i="3"/>
  <c r="E230" i="3"/>
  <c r="G230" i="3"/>
  <c r="AT229" i="7"/>
  <c r="AU229" i="7"/>
  <c r="F229" i="3"/>
  <c r="E229" i="3"/>
  <c r="G229" i="3"/>
  <c r="AT228" i="7"/>
  <c r="AU228" i="7"/>
  <c r="F228" i="3"/>
  <c r="E228" i="3"/>
  <c r="G228" i="3"/>
  <c r="AT227" i="7"/>
  <c r="AU227" i="7"/>
  <c r="F227" i="3"/>
  <c r="E227" i="3"/>
  <c r="G227" i="3"/>
  <c r="AT226" i="7"/>
  <c r="AU226" i="7"/>
  <c r="E226" i="3"/>
  <c r="F226" i="3"/>
  <c r="G226" i="3"/>
  <c r="AT225" i="7"/>
  <c r="AU225" i="7"/>
  <c r="E225" i="3"/>
  <c r="F225" i="3"/>
  <c r="G225" i="3"/>
  <c r="AT224" i="7"/>
  <c r="AU224" i="7"/>
  <c r="G224" i="3"/>
  <c r="E224" i="3"/>
  <c r="F224" i="3"/>
  <c r="AT223" i="7"/>
  <c r="AU223" i="7"/>
  <c r="F223" i="3"/>
  <c r="E223" i="3"/>
  <c r="G223" i="3"/>
  <c r="AT222" i="7"/>
  <c r="AU222" i="7"/>
  <c r="F222" i="3"/>
  <c r="E222" i="3"/>
  <c r="G222" i="3"/>
  <c r="AT221" i="7"/>
  <c r="AU221" i="7"/>
  <c r="G221" i="3"/>
  <c r="F221" i="3"/>
  <c r="E221" i="3"/>
  <c r="AT220" i="7"/>
  <c r="AU220" i="7"/>
  <c r="E220" i="3"/>
  <c r="G220" i="3"/>
  <c r="F220" i="3"/>
  <c r="AT219" i="7"/>
  <c r="AU219" i="7"/>
  <c r="E219" i="3"/>
  <c r="F219" i="3"/>
  <c r="G219" i="3"/>
  <c r="AT218" i="7"/>
  <c r="AU218" i="7"/>
  <c r="F218" i="3"/>
  <c r="E218" i="3"/>
  <c r="G218" i="3"/>
  <c r="AT217" i="7"/>
  <c r="AU217" i="7"/>
  <c r="E217" i="3"/>
  <c r="F217" i="3"/>
  <c r="G217" i="3"/>
  <c r="AT216" i="7"/>
  <c r="AU216" i="7"/>
  <c r="F216" i="3"/>
  <c r="G216" i="3"/>
  <c r="E216" i="3"/>
  <c r="AT215" i="7"/>
  <c r="AU215" i="7"/>
  <c r="G215" i="3"/>
  <c r="E215" i="3"/>
  <c r="F215" i="3"/>
  <c r="AT214" i="7"/>
  <c r="AU214" i="7"/>
  <c r="E214" i="3"/>
  <c r="G214" i="3"/>
  <c r="F214" i="3"/>
  <c r="AT213" i="7"/>
  <c r="AU213" i="7"/>
  <c r="F213" i="3"/>
  <c r="E213" i="3"/>
  <c r="G213" i="3"/>
  <c r="AT212" i="7"/>
  <c r="AU212" i="7"/>
  <c r="E212" i="3"/>
  <c r="G212" i="3"/>
  <c r="F212" i="3"/>
  <c r="AT211" i="7"/>
  <c r="AU211" i="7"/>
  <c r="E211" i="3"/>
  <c r="F211" i="3"/>
  <c r="G211" i="3"/>
  <c r="AT210" i="7"/>
  <c r="AU210" i="7"/>
  <c r="F210" i="3"/>
  <c r="G210" i="3"/>
  <c r="E210" i="3"/>
  <c r="AT209" i="7"/>
  <c r="AU209" i="7"/>
  <c r="G209" i="3"/>
  <c r="E209" i="3"/>
  <c r="F209" i="3"/>
  <c r="AT208" i="7"/>
  <c r="AU208" i="7"/>
  <c r="G208" i="3"/>
  <c r="E208" i="3"/>
  <c r="F208" i="3"/>
  <c r="AT207" i="7"/>
  <c r="AU207" i="7"/>
  <c r="F207" i="3"/>
  <c r="E207" i="3"/>
  <c r="G207" i="3"/>
  <c r="AU206" i="7"/>
  <c r="AT206" i="7"/>
  <c r="E206" i="3"/>
  <c r="F206" i="3"/>
  <c r="G206" i="3"/>
  <c r="AT205" i="7"/>
  <c r="AU205" i="7"/>
  <c r="G205" i="3"/>
  <c r="E205" i="3"/>
  <c r="F205" i="3"/>
  <c r="AT204" i="7"/>
  <c r="AU204" i="7"/>
  <c r="E204" i="3"/>
  <c r="G204" i="3"/>
  <c r="F204" i="3"/>
  <c r="AU203" i="7"/>
  <c r="AT203" i="7"/>
  <c r="F203" i="3"/>
  <c r="G203" i="3"/>
  <c r="E203" i="3"/>
  <c r="AT202" i="7"/>
  <c r="AU202" i="7"/>
  <c r="G202" i="3"/>
  <c r="E202" i="3"/>
  <c r="F202" i="3"/>
  <c r="AT201" i="7"/>
  <c r="AU201" i="7"/>
  <c r="G201" i="3"/>
  <c r="E201" i="3"/>
  <c r="F201" i="3"/>
  <c r="AT200" i="7"/>
  <c r="AU200" i="7"/>
  <c r="F200" i="3"/>
  <c r="E200" i="3"/>
  <c r="G200" i="3"/>
  <c r="AT199" i="7"/>
  <c r="AU199" i="7"/>
  <c r="F199" i="3"/>
  <c r="E199" i="3"/>
  <c r="G199" i="3"/>
  <c r="AT198" i="7"/>
  <c r="AU198" i="7"/>
  <c r="F198" i="3"/>
  <c r="E198" i="3"/>
  <c r="G198" i="3"/>
  <c r="AT197" i="7"/>
  <c r="AU197" i="7"/>
  <c r="AT196" i="7"/>
  <c r="AU196" i="7"/>
  <c r="AT195" i="7"/>
  <c r="AU195" i="7"/>
  <c r="F195" i="3"/>
  <c r="E195" i="3"/>
  <c r="G195" i="3"/>
  <c r="AT194" i="7"/>
  <c r="AU194" i="7"/>
  <c r="G194" i="3"/>
  <c r="F194" i="3"/>
  <c r="E194" i="3"/>
  <c r="AT193" i="7"/>
  <c r="AU193" i="7"/>
  <c r="F193" i="3"/>
  <c r="E193" i="3"/>
  <c r="G193" i="3"/>
  <c r="AT192" i="7"/>
  <c r="AU192" i="7"/>
  <c r="E192" i="3"/>
  <c r="F192" i="3"/>
  <c r="G192" i="3"/>
  <c r="AT191" i="7"/>
  <c r="AU191" i="7"/>
  <c r="F191" i="3"/>
  <c r="E191" i="3"/>
  <c r="G191" i="3"/>
  <c r="AT190" i="7"/>
  <c r="AU190" i="7"/>
  <c r="F190" i="3"/>
  <c r="G190" i="3"/>
  <c r="E190" i="3"/>
  <c r="AT189" i="7"/>
  <c r="AU189" i="7"/>
  <c r="G189" i="3"/>
  <c r="E189" i="3"/>
  <c r="F189" i="3"/>
  <c r="AT188" i="7"/>
  <c r="AU188" i="7"/>
  <c r="F188" i="3"/>
  <c r="E188" i="3"/>
  <c r="G188" i="3"/>
  <c r="AT187" i="7"/>
  <c r="AU187" i="7"/>
  <c r="E187" i="3"/>
  <c r="F187" i="3"/>
  <c r="G187" i="3"/>
  <c r="AT186" i="7"/>
  <c r="AU186" i="7"/>
  <c r="F186" i="3"/>
  <c r="E186" i="3"/>
  <c r="G186" i="3"/>
  <c r="AT185" i="7"/>
  <c r="AU185" i="7"/>
  <c r="F185" i="3"/>
  <c r="E185" i="3"/>
  <c r="G185" i="3"/>
  <c r="AT184" i="7"/>
  <c r="AU184" i="7"/>
  <c r="F184" i="3"/>
  <c r="G184" i="3"/>
  <c r="E184" i="3"/>
  <c r="AT183" i="7"/>
  <c r="AU183" i="7"/>
  <c r="E183" i="3"/>
  <c r="G183" i="3"/>
  <c r="F183" i="3"/>
  <c r="AT182" i="7"/>
  <c r="AU182" i="7"/>
  <c r="F182" i="3"/>
  <c r="E182" i="3"/>
  <c r="G182" i="3"/>
  <c r="AT181" i="7"/>
  <c r="AU181" i="7"/>
  <c r="F181" i="3"/>
  <c r="E181" i="3"/>
  <c r="G181" i="3"/>
  <c r="AT180" i="7"/>
  <c r="AU180" i="7"/>
  <c r="G180" i="3"/>
  <c r="E180" i="3"/>
  <c r="F180" i="3"/>
  <c r="AT179" i="7"/>
  <c r="AU179" i="7"/>
  <c r="G179" i="3"/>
  <c r="F179" i="3"/>
  <c r="E179" i="3"/>
  <c r="AT178" i="7"/>
  <c r="AU178" i="7"/>
  <c r="E178" i="3"/>
  <c r="G178" i="3"/>
  <c r="F178" i="3"/>
  <c r="AT177" i="7"/>
  <c r="AU177" i="7"/>
  <c r="E177" i="3"/>
  <c r="F177" i="3"/>
  <c r="G177" i="3"/>
  <c r="AT176" i="7"/>
  <c r="AU176" i="7"/>
  <c r="F176" i="3"/>
  <c r="E176" i="3"/>
  <c r="G176" i="3"/>
  <c r="AT175" i="7"/>
  <c r="AU175" i="7"/>
  <c r="F175" i="3"/>
  <c r="E175" i="3"/>
  <c r="G175" i="3"/>
  <c r="AT174" i="7"/>
  <c r="AU174" i="7"/>
  <c r="E174" i="3"/>
  <c r="F174" i="3"/>
  <c r="G174" i="3"/>
  <c r="AT173" i="7"/>
  <c r="AU173" i="7"/>
  <c r="F173" i="3"/>
  <c r="E173" i="3"/>
  <c r="G173" i="3"/>
  <c r="AT172" i="7"/>
  <c r="AU172" i="7"/>
  <c r="F172" i="3"/>
  <c r="E172" i="3"/>
  <c r="G172" i="3"/>
  <c r="AT171" i="7"/>
  <c r="AU171" i="7"/>
  <c r="G171" i="3"/>
  <c r="E171" i="3"/>
  <c r="F171" i="3"/>
  <c r="AT170" i="7"/>
  <c r="AU170" i="7"/>
  <c r="F170" i="3"/>
  <c r="E170" i="3"/>
  <c r="G170" i="3"/>
  <c r="AT169" i="7"/>
  <c r="AU169" i="7"/>
  <c r="F169" i="3"/>
  <c r="E169" i="3"/>
  <c r="G169" i="3"/>
  <c r="AT168" i="7"/>
  <c r="AU168" i="7"/>
  <c r="E168" i="3"/>
  <c r="G168" i="3"/>
  <c r="F168" i="3"/>
  <c r="AT167" i="7"/>
  <c r="AU167" i="7"/>
  <c r="F167" i="3"/>
  <c r="E167" i="3"/>
  <c r="G167" i="3"/>
  <c r="AT166" i="7"/>
  <c r="AU166" i="7"/>
  <c r="F166" i="3"/>
  <c r="E166" i="3"/>
  <c r="G166" i="3"/>
  <c r="AT165" i="7"/>
  <c r="AU165" i="7"/>
  <c r="F165" i="3"/>
  <c r="E165" i="3"/>
  <c r="G165" i="3"/>
  <c r="AT164" i="7"/>
  <c r="AU164" i="7"/>
  <c r="G164" i="3"/>
  <c r="F164" i="3"/>
  <c r="E164" i="3"/>
  <c r="AT163" i="7"/>
  <c r="AU163" i="7"/>
  <c r="E163" i="3"/>
  <c r="G163" i="3"/>
  <c r="F163" i="3"/>
  <c r="AT162" i="7"/>
  <c r="AU162" i="7"/>
  <c r="E162" i="3"/>
  <c r="F162" i="3"/>
  <c r="G162" i="3"/>
  <c r="AT161" i="7"/>
  <c r="AU161" i="7"/>
  <c r="G161" i="3"/>
  <c r="E161" i="3"/>
  <c r="F161" i="3"/>
  <c r="AT160" i="7"/>
  <c r="AU160" i="7"/>
  <c r="E160" i="3"/>
  <c r="G160" i="3"/>
  <c r="F160" i="3"/>
  <c r="AT159" i="7"/>
  <c r="AU159" i="7"/>
  <c r="F159" i="3"/>
  <c r="E159" i="3"/>
  <c r="G159" i="3"/>
  <c r="AT158" i="7"/>
  <c r="AU158" i="7"/>
  <c r="G158" i="3"/>
  <c r="F158" i="3"/>
  <c r="E158" i="3"/>
  <c r="AT157" i="7"/>
  <c r="AU157" i="7"/>
  <c r="G157" i="3"/>
  <c r="E157" i="3"/>
  <c r="F157" i="3"/>
  <c r="AT156" i="7"/>
  <c r="AU156" i="7"/>
  <c r="G156" i="3"/>
  <c r="F156" i="3"/>
  <c r="E156" i="3"/>
  <c r="AT155" i="7"/>
  <c r="AU155" i="7"/>
  <c r="E155" i="3"/>
  <c r="G155" i="3"/>
  <c r="F155" i="3"/>
  <c r="AT154" i="7"/>
  <c r="AU154" i="7"/>
  <c r="E154" i="3"/>
  <c r="G154" i="3"/>
  <c r="F154" i="3"/>
  <c r="AT153" i="7"/>
  <c r="AU153" i="7"/>
  <c r="F153" i="3"/>
  <c r="E153" i="3"/>
  <c r="G153" i="3"/>
  <c r="AT152" i="7"/>
  <c r="AU152" i="7"/>
  <c r="F152" i="3"/>
  <c r="E152" i="3"/>
  <c r="G152" i="3"/>
  <c r="AT151" i="7"/>
  <c r="AU151" i="7"/>
  <c r="F151" i="3"/>
  <c r="G151" i="3"/>
  <c r="E151" i="3"/>
  <c r="AT150" i="7"/>
  <c r="AU150" i="7"/>
  <c r="G150" i="3"/>
  <c r="E150" i="3"/>
  <c r="F150" i="3"/>
  <c r="AT149" i="7"/>
  <c r="AU149" i="7"/>
  <c r="F149" i="3"/>
  <c r="E149" i="3"/>
  <c r="G149" i="3"/>
  <c r="AT148" i="7"/>
  <c r="AU148" i="7"/>
  <c r="AT147" i="7"/>
  <c r="AU147" i="7"/>
  <c r="F147" i="3"/>
  <c r="E147" i="3"/>
  <c r="G147" i="3"/>
  <c r="AT146" i="7"/>
  <c r="AU146" i="7"/>
  <c r="AT145" i="7"/>
  <c r="AU145" i="7"/>
  <c r="F145" i="3"/>
  <c r="E145" i="3"/>
  <c r="G145" i="3"/>
  <c r="AT144" i="7"/>
  <c r="AU144" i="7"/>
  <c r="E144" i="3"/>
  <c r="G144" i="3"/>
  <c r="F144" i="3"/>
  <c r="AT143" i="7"/>
  <c r="AU143" i="7"/>
  <c r="F143" i="3"/>
  <c r="E143" i="3"/>
  <c r="G143" i="3"/>
  <c r="AT142" i="7"/>
  <c r="AU142" i="7"/>
  <c r="F142" i="3"/>
  <c r="G142" i="3"/>
  <c r="E142" i="3"/>
  <c r="AT141" i="7"/>
  <c r="AU141" i="7"/>
  <c r="F141" i="3"/>
  <c r="E141" i="3"/>
  <c r="G141" i="3"/>
  <c r="AT140" i="7"/>
  <c r="AU140" i="7"/>
  <c r="F140" i="3"/>
  <c r="E140" i="3"/>
  <c r="G140" i="3"/>
  <c r="AT139" i="7"/>
  <c r="AU139" i="7"/>
  <c r="F139" i="3"/>
  <c r="E139" i="3"/>
  <c r="G139" i="3"/>
  <c r="AT138" i="7"/>
  <c r="AU138" i="7"/>
  <c r="F138" i="3"/>
  <c r="E138" i="3"/>
  <c r="G138" i="3"/>
  <c r="AT137" i="7"/>
  <c r="AU137" i="7"/>
  <c r="G137" i="3"/>
  <c r="F137" i="3"/>
  <c r="E137" i="3"/>
  <c r="AT136" i="7"/>
  <c r="AU136" i="7"/>
  <c r="E136" i="3"/>
  <c r="G136" i="3"/>
  <c r="F136" i="3"/>
  <c r="AT135" i="7"/>
  <c r="AU135" i="7"/>
  <c r="E135" i="3"/>
  <c r="F135" i="3"/>
  <c r="G135" i="3"/>
  <c r="AT134" i="7"/>
  <c r="AU134" i="7"/>
  <c r="F134" i="3"/>
  <c r="E134" i="3"/>
  <c r="G134" i="3"/>
  <c r="AT133" i="7"/>
  <c r="AU133" i="7"/>
  <c r="F133" i="3"/>
  <c r="E133" i="3"/>
  <c r="G133" i="3"/>
  <c r="AU132" i="7"/>
  <c r="AT132" i="7"/>
  <c r="G132" i="3"/>
  <c r="E132" i="3"/>
  <c r="F132" i="3"/>
  <c r="AT131" i="7"/>
  <c r="AU131" i="7"/>
  <c r="F131" i="3"/>
  <c r="E131" i="3"/>
  <c r="G131" i="3"/>
  <c r="AT130" i="7"/>
  <c r="AU130" i="7"/>
  <c r="F130" i="3"/>
  <c r="E130" i="3"/>
  <c r="G130" i="3"/>
  <c r="AT129" i="7"/>
  <c r="AU129" i="7"/>
  <c r="F129" i="3"/>
  <c r="E129" i="3"/>
  <c r="G129" i="3"/>
  <c r="AT128" i="7"/>
  <c r="AU128" i="7"/>
  <c r="E128" i="3"/>
  <c r="F128" i="3"/>
  <c r="G128" i="3"/>
  <c r="AT127" i="7"/>
  <c r="AU127" i="7"/>
  <c r="F127" i="3"/>
  <c r="E127" i="3"/>
  <c r="G127" i="3"/>
  <c r="AT126" i="7"/>
  <c r="AU126" i="7"/>
  <c r="AT125" i="7"/>
  <c r="AU125" i="7"/>
  <c r="AT124" i="7"/>
  <c r="AU124" i="7"/>
  <c r="AT123" i="7"/>
  <c r="AU123" i="7"/>
  <c r="AT122" i="7"/>
  <c r="AU122" i="7"/>
  <c r="AT121" i="7"/>
  <c r="AU121" i="7"/>
  <c r="AT120" i="7"/>
  <c r="AU120" i="7"/>
  <c r="AT119" i="7"/>
  <c r="AU119" i="7"/>
  <c r="AT118" i="7"/>
  <c r="AU118" i="7"/>
  <c r="AT117" i="7"/>
  <c r="AU117" i="7"/>
  <c r="F117" i="3"/>
  <c r="E117" i="3"/>
  <c r="G117" i="3"/>
  <c r="AT116" i="7"/>
  <c r="AU116" i="7"/>
  <c r="E116" i="3"/>
  <c r="G116" i="3"/>
  <c r="F116" i="3"/>
  <c r="AT115" i="7"/>
  <c r="AU115" i="7"/>
  <c r="AT114" i="7"/>
  <c r="AU114" i="7"/>
  <c r="AT113" i="7"/>
  <c r="AU113" i="7"/>
  <c r="AT112" i="7"/>
  <c r="AU112" i="7"/>
  <c r="AT111" i="7"/>
  <c r="AU111" i="7"/>
  <c r="F111" i="3"/>
  <c r="E111" i="3"/>
  <c r="G111" i="3"/>
  <c r="AT110" i="7"/>
  <c r="AU110" i="7"/>
  <c r="G110" i="3"/>
  <c r="F110" i="3"/>
  <c r="E110" i="3"/>
  <c r="AT109" i="7"/>
  <c r="AU109" i="7"/>
  <c r="E109" i="3"/>
  <c r="G109" i="3"/>
  <c r="F109" i="3"/>
  <c r="AT108" i="7"/>
  <c r="AU108" i="7"/>
  <c r="F108" i="3"/>
  <c r="E108" i="3"/>
  <c r="G108" i="3"/>
  <c r="AT107" i="7"/>
  <c r="AU107" i="7"/>
  <c r="AT106" i="7"/>
  <c r="AU106" i="7"/>
  <c r="AT105" i="7"/>
  <c r="AU105" i="7"/>
  <c r="AT104" i="7"/>
  <c r="AU104" i="7"/>
  <c r="AT103" i="7"/>
  <c r="AU103" i="7"/>
  <c r="F103" i="3"/>
  <c r="E103" i="3"/>
  <c r="G103" i="3"/>
  <c r="AT102" i="7"/>
  <c r="AU102" i="7"/>
  <c r="AT101" i="7"/>
  <c r="AU101" i="7"/>
  <c r="E101" i="3"/>
  <c r="G101" i="3"/>
  <c r="F101" i="3"/>
  <c r="AT100" i="7"/>
  <c r="AU100" i="7"/>
  <c r="F100" i="3"/>
  <c r="E100" i="3"/>
  <c r="G100" i="3"/>
  <c r="AT99" i="7"/>
  <c r="AU99" i="7"/>
  <c r="E99" i="3"/>
  <c r="G99" i="3"/>
  <c r="F99" i="3"/>
  <c r="AT98" i="7"/>
  <c r="AU98" i="7"/>
  <c r="AT97" i="7"/>
  <c r="AU97" i="7"/>
  <c r="AT96" i="7"/>
  <c r="AU96" i="7"/>
  <c r="AT95" i="7"/>
  <c r="AU95" i="7"/>
  <c r="G95" i="3"/>
  <c r="E95" i="3"/>
  <c r="F95" i="3"/>
  <c r="AT94" i="7"/>
  <c r="AU94" i="7"/>
  <c r="AT93" i="7"/>
  <c r="AU93" i="7"/>
  <c r="F93" i="3"/>
  <c r="G93" i="3"/>
  <c r="E93" i="3"/>
  <c r="AT92" i="7"/>
  <c r="AU92" i="7"/>
  <c r="G92" i="3"/>
  <c r="E92" i="3"/>
  <c r="F92" i="3"/>
  <c r="AT91" i="7"/>
  <c r="AU91" i="7"/>
  <c r="AT90" i="7"/>
  <c r="AU90" i="7"/>
  <c r="F90" i="3"/>
  <c r="G90" i="3"/>
  <c r="E90" i="3"/>
  <c r="AT89" i="7"/>
  <c r="AU89" i="7"/>
  <c r="F89" i="3"/>
  <c r="E89" i="3"/>
  <c r="G89" i="3"/>
  <c r="AT88" i="7"/>
  <c r="AU88" i="7"/>
  <c r="F88" i="3"/>
  <c r="G88" i="3"/>
  <c r="E88" i="3"/>
  <c r="AT87" i="7"/>
  <c r="AU87" i="7"/>
  <c r="G87" i="3"/>
  <c r="F87" i="3"/>
  <c r="E87" i="3"/>
  <c r="AT86" i="7"/>
  <c r="AU86" i="7"/>
  <c r="AT85" i="7"/>
  <c r="AU85" i="7"/>
  <c r="F85" i="3"/>
  <c r="G85" i="3"/>
  <c r="E85" i="3"/>
  <c r="AT84" i="7"/>
  <c r="AU84" i="7"/>
  <c r="F84" i="3"/>
  <c r="E84" i="3"/>
  <c r="G84" i="3"/>
  <c r="AT83" i="7"/>
  <c r="AU83" i="7"/>
  <c r="F83" i="3"/>
  <c r="E83" i="3"/>
  <c r="G83" i="3"/>
  <c r="AT82" i="7"/>
  <c r="AU82" i="7"/>
  <c r="F82" i="3"/>
  <c r="G82" i="3"/>
  <c r="E82" i="3"/>
  <c r="AT81" i="7"/>
  <c r="AU81" i="7"/>
  <c r="F81" i="3"/>
  <c r="E81" i="3"/>
  <c r="G81" i="3"/>
  <c r="AT80" i="7"/>
  <c r="AU80" i="7"/>
  <c r="F80" i="3"/>
  <c r="E80" i="3"/>
  <c r="G80" i="3"/>
  <c r="AT79" i="7"/>
  <c r="AU79" i="7"/>
  <c r="G79" i="3"/>
  <c r="F79" i="3"/>
  <c r="E79" i="3"/>
  <c r="AT78" i="7"/>
  <c r="AU78" i="7"/>
  <c r="F78" i="3"/>
  <c r="E78" i="3"/>
  <c r="G78" i="3"/>
  <c r="AT77" i="7"/>
  <c r="AU77" i="7"/>
  <c r="F77" i="3"/>
  <c r="E77" i="3"/>
  <c r="G77" i="3"/>
  <c r="AT76" i="7"/>
  <c r="AU76" i="7"/>
  <c r="F76" i="3"/>
  <c r="E76" i="3"/>
  <c r="G76" i="3"/>
  <c r="AT75" i="7"/>
  <c r="AU75" i="7"/>
  <c r="G75" i="3"/>
  <c r="F75" i="3"/>
  <c r="E75" i="3"/>
  <c r="AT74" i="7"/>
  <c r="AU74" i="7"/>
  <c r="F74" i="3"/>
  <c r="E74" i="3"/>
  <c r="G74" i="3"/>
  <c r="AT73" i="7"/>
  <c r="AU73" i="7"/>
  <c r="E73" i="3"/>
  <c r="F73" i="3"/>
  <c r="G73" i="3"/>
  <c r="AT72" i="7"/>
  <c r="AU72" i="7"/>
  <c r="F72" i="3"/>
  <c r="E72" i="3"/>
  <c r="G72" i="3"/>
  <c r="AT71" i="7"/>
  <c r="AU71" i="7"/>
  <c r="E71" i="3"/>
  <c r="F71" i="3"/>
  <c r="G71" i="3"/>
  <c r="AT70" i="7"/>
  <c r="AU70" i="7"/>
  <c r="F70" i="3"/>
  <c r="E70" i="3"/>
  <c r="G70" i="3"/>
  <c r="AT69" i="7"/>
  <c r="AU69" i="7"/>
  <c r="F69" i="3"/>
  <c r="E69" i="3"/>
  <c r="G69" i="3"/>
  <c r="AT68" i="7"/>
  <c r="AU68" i="7"/>
  <c r="F68" i="3"/>
  <c r="G68" i="3"/>
  <c r="E68" i="3"/>
  <c r="AT67" i="7"/>
  <c r="AU67" i="7"/>
  <c r="G67" i="3"/>
  <c r="F67" i="3"/>
  <c r="E67" i="3"/>
  <c r="AT66" i="7"/>
  <c r="AU66" i="7"/>
  <c r="E66" i="3"/>
  <c r="G66" i="3"/>
  <c r="F66" i="3"/>
  <c r="AT65" i="7"/>
  <c r="AU65" i="7"/>
  <c r="E65" i="3"/>
  <c r="G65" i="3"/>
  <c r="F65" i="3"/>
  <c r="AT64" i="7"/>
  <c r="AU64" i="7"/>
  <c r="E64" i="3"/>
  <c r="F64" i="3"/>
  <c r="G64" i="3"/>
  <c r="AT63" i="7"/>
  <c r="AU63" i="7"/>
  <c r="E63" i="3"/>
  <c r="G63" i="3"/>
  <c r="F63" i="3"/>
  <c r="AT62" i="7"/>
  <c r="AU62" i="7"/>
  <c r="E62" i="3"/>
  <c r="G62" i="3"/>
  <c r="F62" i="3"/>
  <c r="AU61" i="7"/>
  <c r="AT61" i="7"/>
  <c r="F61" i="3"/>
  <c r="E61" i="3"/>
  <c r="G61" i="3"/>
  <c r="AT60" i="7"/>
  <c r="AU60" i="7"/>
  <c r="G60" i="3"/>
  <c r="F60" i="3"/>
  <c r="E60" i="3"/>
  <c r="AT59" i="7"/>
  <c r="AU59" i="7"/>
  <c r="F59" i="3"/>
  <c r="G59" i="3"/>
  <c r="E59" i="3"/>
  <c r="AT58" i="7"/>
  <c r="AU58" i="7"/>
  <c r="F58" i="3"/>
  <c r="E58" i="3"/>
  <c r="G58" i="3"/>
  <c r="AT57" i="7"/>
  <c r="AU57" i="7"/>
  <c r="F57" i="3"/>
  <c r="E57" i="3"/>
  <c r="G57" i="3"/>
  <c r="AT56" i="7"/>
  <c r="AU56" i="7"/>
  <c r="E56" i="3"/>
  <c r="G56" i="3"/>
  <c r="F56" i="3"/>
  <c r="AT55" i="7"/>
  <c r="AU55" i="7"/>
  <c r="E55" i="3"/>
  <c r="G55" i="3"/>
  <c r="F55" i="3"/>
  <c r="AT54" i="7"/>
  <c r="AU54" i="7"/>
  <c r="G54" i="3"/>
  <c r="E54" i="3"/>
  <c r="F54" i="3"/>
  <c r="AT53" i="7"/>
  <c r="AU53" i="7"/>
  <c r="F53" i="3"/>
  <c r="E53" i="3"/>
  <c r="G53" i="3"/>
  <c r="AT52" i="7"/>
  <c r="AU52" i="7"/>
  <c r="E52" i="3"/>
  <c r="F52" i="3"/>
  <c r="G52" i="3"/>
  <c r="AT51" i="7"/>
  <c r="AU51" i="7"/>
  <c r="E51" i="3"/>
  <c r="F51" i="3"/>
  <c r="G51" i="3"/>
  <c r="AT50" i="7"/>
  <c r="AU50" i="7"/>
  <c r="E50" i="3"/>
  <c r="F50" i="3"/>
  <c r="G50" i="3"/>
  <c r="AT49" i="7"/>
  <c r="AU49" i="7"/>
  <c r="F49" i="3"/>
  <c r="E49" i="3"/>
  <c r="G49" i="3"/>
  <c r="AT48" i="7"/>
  <c r="AU48" i="7"/>
  <c r="G48" i="3"/>
  <c r="E48" i="3"/>
  <c r="F48" i="3"/>
  <c r="AT47" i="7"/>
  <c r="AU47" i="7"/>
  <c r="F47" i="3"/>
  <c r="E47" i="3"/>
  <c r="G47" i="3"/>
  <c r="AT46" i="7"/>
  <c r="AU46" i="7"/>
  <c r="E46" i="3"/>
  <c r="F46" i="3"/>
  <c r="G46" i="3"/>
  <c r="AT45" i="7"/>
  <c r="AU45" i="7"/>
  <c r="AT44" i="7"/>
  <c r="AU44" i="7"/>
  <c r="E44" i="3"/>
  <c r="F44" i="3"/>
  <c r="G44" i="3"/>
  <c r="AT43" i="7"/>
  <c r="AU43" i="7"/>
  <c r="AT42" i="7"/>
  <c r="AU42" i="7"/>
  <c r="E42" i="3"/>
  <c r="F42" i="3"/>
  <c r="G42" i="3"/>
  <c r="AT41" i="7"/>
  <c r="AU41" i="7"/>
  <c r="E41" i="3"/>
  <c r="F41" i="3"/>
  <c r="G41" i="3"/>
  <c r="AT40" i="7"/>
  <c r="AU40" i="7"/>
  <c r="E40" i="3"/>
  <c r="G40" i="3"/>
  <c r="F40" i="3"/>
  <c r="AT39" i="7"/>
  <c r="AU39" i="7"/>
  <c r="F39" i="3"/>
  <c r="E39" i="3"/>
  <c r="G39" i="3"/>
  <c r="AT38" i="7"/>
  <c r="AU38" i="7"/>
  <c r="E38" i="3"/>
  <c r="G38" i="3"/>
  <c r="F38" i="3"/>
  <c r="AT37" i="7"/>
  <c r="AU37" i="7"/>
  <c r="E37" i="3"/>
  <c r="G37" i="3"/>
  <c r="F37" i="3"/>
  <c r="AT36" i="7"/>
  <c r="AU36" i="7"/>
  <c r="E36" i="3"/>
  <c r="G36" i="3"/>
  <c r="F36" i="3"/>
  <c r="AT35" i="7"/>
  <c r="AU35" i="7"/>
  <c r="E35" i="3"/>
  <c r="G35" i="3"/>
  <c r="F35" i="3"/>
  <c r="AT34" i="7"/>
  <c r="AU34" i="7"/>
  <c r="E34" i="3"/>
  <c r="F34" i="3"/>
  <c r="G34" i="3"/>
  <c r="AT33" i="7"/>
  <c r="AU33" i="7"/>
  <c r="E33" i="3"/>
  <c r="G33" i="3"/>
  <c r="F33" i="3"/>
  <c r="AT32" i="7"/>
  <c r="AU32" i="7"/>
  <c r="G32" i="3"/>
  <c r="E32" i="3"/>
  <c r="F32" i="3"/>
  <c r="AT31" i="7"/>
  <c r="AU31" i="7"/>
  <c r="E31" i="3"/>
  <c r="G31" i="3"/>
  <c r="F31" i="3"/>
  <c r="AT30" i="7"/>
  <c r="AU30" i="7"/>
  <c r="E30" i="3"/>
  <c r="G30" i="3"/>
  <c r="F30" i="3"/>
  <c r="AT29" i="7"/>
  <c r="AU29" i="7"/>
  <c r="F29" i="3"/>
  <c r="G29" i="3"/>
  <c r="E29" i="3"/>
  <c r="AT28" i="7"/>
  <c r="AU28" i="7"/>
  <c r="E28" i="3"/>
  <c r="F28" i="3"/>
  <c r="G28" i="3"/>
  <c r="AT27" i="7"/>
  <c r="AU27" i="7"/>
  <c r="E27" i="3"/>
  <c r="F27" i="3"/>
  <c r="G27" i="3"/>
  <c r="AT26" i="7"/>
  <c r="AU26" i="7"/>
  <c r="E26" i="3"/>
  <c r="F26" i="3"/>
  <c r="G26" i="3"/>
  <c r="AT25" i="7"/>
  <c r="AU25" i="7"/>
  <c r="F25" i="3"/>
  <c r="G25" i="3"/>
  <c r="E25" i="3"/>
  <c r="AT24" i="7"/>
  <c r="AU24" i="7"/>
  <c r="G24" i="3"/>
  <c r="E24" i="3"/>
  <c r="F24" i="3"/>
  <c r="AT23" i="7"/>
  <c r="AU23" i="7"/>
  <c r="F23" i="3"/>
  <c r="E23" i="3"/>
  <c r="G23" i="3"/>
  <c r="AT22" i="7"/>
  <c r="AU22" i="7"/>
  <c r="E22" i="3"/>
  <c r="G22" i="3"/>
  <c r="F22" i="3"/>
  <c r="AT21" i="7"/>
  <c r="AU21" i="7"/>
  <c r="F21" i="3"/>
  <c r="E21" i="3"/>
  <c r="G21" i="3"/>
  <c r="AT20" i="7"/>
  <c r="AU20" i="7"/>
  <c r="F20" i="3"/>
  <c r="G20" i="3"/>
  <c r="E20" i="3"/>
  <c r="AT19" i="7"/>
  <c r="AU19" i="7"/>
  <c r="F19" i="3"/>
  <c r="E19" i="3"/>
  <c r="G19" i="3"/>
  <c r="AT18" i="7"/>
  <c r="AU18" i="7"/>
  <c r="E18" i="3"/>
  <c r="G18" i="3"/>
  <c r="F18" i="3"/>
  <c r="AP9" i="7"/>
  <c r="AQ9" i="7" s="1"/>
  <c r="AR9" i="7" s="1"/>
  <c r="AS9" i="7" s="1"/>
  <c r="AP14" i="7"/>
  <c r="AQ14" i="7" s="1"/>
  <c r="AR14" i="7" s="1"/>
  <c r="AS14" i="7" s="1"/>
  <c r="AP7" i="7"/>
  <c r="AQ7" i="7" s="1"/>
  <c r="AR7" i="7" s="1"/>
  <c r="AS7" i="7" s="1"/>
  <c r="AP8" i="7"/>
  <c r="AQ8" i="7" s="1"/>
  <c r="AR8" i="7" s="1"/>
  <c r="AS8" i="7" s="1"/>
  <c r="AP16" i="7"/>
  <c r="AQ16" i="7" s="1"/>
  <c r="AR16" i="7" s="1"/>
  <c r="AS16" i="7" s="1"/>
  <c r="AP10" i="7"/>
  <c r="AQ10" i="7" s="1"/>
  <c r="AR10" i="7" s="1"/>
  <c r="AS10" i="7" s="1"/>
  <c r="AP11" i="7"/>
  <c r="AQ11" i="7" s="1"/>
  <c r="AR11" i="7" s="1"/>
  <c r="AS11" i="7" s="1"/>
  <c r="AP12" i="7"/>
  <c r="AQ12" i="7" s="1"/>
  <c r="AR12" i="7" s="1"/>
  <c r="AS12" i="7" s="1"/>
  <c r="AP13" i="7"/>
  <c r="AQ13" i="7" s="1"/>
  <c r="AR13" i="7" s="1"/>
  <c r="AS13" i="7" s="1"/>
  <c r="AP17" i="7"/>
  <c r="AQ17" i="7" s="1"/>
  <c r="AR17" i="7" s="1"/>
  <c r="AS17" i="7" s="1"/>
  <c r="AP15" i="7"/>
  <c r="AQ15" i="7" s="1"/>
  <c r="AR15" i="7" s="1"/>
  <c r="AS15" i="7" s="1"/>
  <c r="G44" i="6"/>
  <c r="F44" i="6"/>
  <c r="E44" i="6"/>
  <c r="D44" i="6"/>
  <c r="C44" i="6"/>
  <c r="G25" i="6"/>
  <c r="F25" i="6"/>
  <c r="E25" i="6"/>
  <c r="D25" i="6"/>
  <c r="C25" i="6"/>
  <c r="G6" i="6"/>
  <c r="F6" i="6"/>
  <c r="E6" i="6"/>
  <c r="D6" i="6"/>
  <c r="C6" i="6"/>
  <c r="AP6" i="7"/>
  <c r="AQ6" i="7" s="1"/>
  <c r="AR6" i="7" s="1"/>
  <c r="AH454" i="7"/>
  <c r="AI454" i="7" s="1"/>
  <c r="AH384" i="7"/>
  <c r="AI384" i="7" s="1"/>
  <c r="AH374" i="7"/>
  <c r="AI374" i="7" s="1"/>
  <c r="AH373" i="7"/>
  <c r="AI373" i="7" s="1"/>
  <c r="AH367" i="7"/>
  <c r="AI367" i="7" s="1"/>
  <c r="AH364" i="7"/>
  <c r="AI364" i="7" s="1"/>
  <c r="AH360" i="7"/>
  <c r="AI360" i="7" s="1"/>
  <c r="AH358" i="7"/>
  <c r="AI358" i="7" s="1"/>
  <c r="AH356" i="7"/>
  <c r="AI356" i="7" s="1"/>
  <c r="AH498" i="7"/>
  <c r="AI498" i="7" s="1"/>
  <c r="AH494" i="7"/>
  <c r="AI494" i="7" s="1"/>
  <c r="AH481" i="7"/>
  <c r="AI481" i="7" s="1"/>
  <c r="AH479" i="7"/>
  <c r="AI479" i="7" s="1"/>
  <c r="AH469" i="7"/>
  <c r="AI469" i="7" s="1"/>
  <c r="AH466" i="7"/>
  <c r="AI466" i="7" s="1"/>
  <c r="AH403" i="7"/>
  <c r="AI403" i="7" s="1"/>
  <c r="AH459" i="7"/>
  <c r="AI459" i="7" s="1"/>
  <c r="AH456" i="7"/>
  <c r="AI456" i="7" s="1"/>
  <c r="AH351" i="7"/>
  <c r="AI351" i="7" s="1"/>
  <c r="AH483" i="7"/>
  <c r="AI483" i="7" s="1"/>
  <c r="AH470" i="7"/>
  <c r="AI470" i="7" s="1"/>
  <c r="AH467" i="7"/>
  <c r="AI467" i="7" s="1"/>
  <c r="AH300" i="7"/>
  <c r="AI300" i="7" s="1"/>
  <c r="AH503" i="7"/>
  <c r="AI503" i="7" s="1"/>
  <c r="AH501" i="7"/>
  <c r="AI501" i="7" s="1"/>
  <c r="AH490" i="7"/>
  <c r="AI490" i="7" s="1"/>
  <c r="AH489" i="7"/>
  <c r="AI489" i="7" s="1"/>
  <c r="AH488" i="7"/>
  <c r="AI488" i="7" s="1"/>
  <c r="AH474" i="7"/>
  <c r="AI474" i="7" s="1"/>
  <c r="AH197" i="7"/>
  <c r="AI197" i="7" s="1"/>
  <c r="AH120" i="7"/>
  <c r="AI120" i="7" s="1"/>
  <c r="AH119" i="7"/>
  <c r="AI119" i="7" s="1"/>
  <c r="AH114" i="7"/>
  <c r="AI114" i="7" s="1"/>
  <c r="AH107" i="7"/>
  <c r="AI107" i="7" s="1"/>
  <c r="AH106" i="7"/>
  <c r="AI106" i="7" s="1"/>
  <c r="AH105" i="7"/>
  <c r="AI105" i="7" s="1"/>
  <c r="AH104" i="7"/>
  <c r="AI104" i="7" s="1"/>
  <c r="AH98" i="7"/>
  <c r="AI98" i="7" s="1"/>
  <c r="AH97" i="7"/>
  <c r="AI97" i="7" s="1"/>
  <c r="AH96" i="7"/>
  <c r="AI96" i="7" s="1"/>
  <c r="AH502" i="7"/>
  <c r="AI502" i="7" s="1"/>
  <c r="AH500" i="7"/>
  <c r="AI500" i="7" s="1"/>
  <c r="AH482" i="7"/>
  <c r="AI482" i="7" s="1"/>
  <c r="AH478" i="7"/>
  <c r="AI478" i="7" s="1"/>
  <c r="AH146" i="7"/>
  <c r="AI146" i="7" s="1"/>
  <c r="AH491" i="7"/>
  <c r="AI491" i="7" s="1"/>
  <c r="AH472" i="7"/>
  <c r="AI472" i="7" s="1"/>
  <c r="AH471" i="7"/>
  <c r="AI471" i="7" s="1"/>
  <c r="AH94" i="7"/>
  <c r="AI94" i="7" s="1"/>
  <c r="AH496" i="7"/>
  <c r="AI496" i="7" s="1"/>
  <c r="AH487" i="7"/>
  <c r="AI487" i="7" s="1"/>
  <c r="AH43" i="7"/>
  <c r="AI43" i="7" s="1"/>
  <c r="AH485" i="7"/>
  <c r="AI485" i="7" s="1"/>
  <c r="AH460" i="7"/>
  <c r="AI460" i="7" s="1"/>
  <c r="AH457" i="7"/>
  <c r="AI457" i="7" s="1"/>
  <c r="AH455" i="7"/>
  <c r="AI455" i="7" s="1"/>
  <c r="AH13" i="7" l="1"/>
  <c r="AI13" i="7" s="1"/>
  <c r="AH15" i="7"/>
  <c r="AI15" i="7" s="1"/>
  <c r="G45" i="3"/>
  <c r="E45" i="3"/>
  <c r="F45" i="3"/>
  <c r="F331" i="3"/>
  <c r="G331" i="3"/>
  <c r="E331" i="3"/>
  <c r="G325" i="3"/>
  <c r="E325" i="3"/>
  <c r="F325" i="3"/>
  <c r="E321" i="3"/>
  <c r="G321" i="3"/>
  <c r="F321" i="3"/>
  <c r="F320" i="3"/>
  <c r="E320" i="3"/>
  <c r="G320" i="3"/>
  <c r="F316" i="3"/>
  <c r="E316" i="3"/>
  <c r="G316" i="3"/>
  <c r="G315" i="3"/>
  <c r="F315" i="3"/>
  <c r="E315" i="3"/>
  <c r="G314" i="3"/>
  <c r="E314" i="3"/>
  <c r="F314" i="3"/>
  <c r="E304" i="3"/>
  <c r="G304" i="3"/>
  <c r="F304" i="3"/>
  <c r="F303" i="3"/>
  <c r="G303" i="3"/>
  <c r="E303" i="3"/>
  <c r="F302" i="3"/>
  <c r="E302" i="3"/>
  <c r="G302" i="3"/>
  <c r="F126" i="3"/>
  <c r="E126" i="3"/>
  <c r="G126" i="3"/>
  <c r="E123" i="3"/>
  <c r="G123" i="3"/>
  <c r="F123" i="3"/>
  <c r="E122" i="3"/>
  <c r="G122" i="3"/>
  <c r="F122" i="3"/>
  <c r="E402" i="3"/>
  <c r="G402" i="3"/>
  <c r="F402" i="3"/>
  <c r="F333" i="3"/>
  <c r="E333" i="3"/>
  <c r="G333" i="3"/>
  <c r="G330" i="3"/>
  <c r="E330" i="3"/>
  <c r="F330" i="3"/>
  <c r="F329" i="3"/>
  <c r="G329" i="3"/>
  <c r="E329" i="3"/>
  <c r="G328" i="3"/>
  <c r="E328" i="3"/>
  <c r="F328" i="3"/>
  <c r="G327" i="3"/>
  <c r="F327" i="3"/>
  <c r="E327" i="3"/>
  <c r="G326" i="3"/>
  <c r="E326" i="3"/>
  <c r="F326" i="3"/>
  <c r="E324" i="3"/>
  <c r="F324" i="3"/>
  <c r="G324" i="3"/>
  <c r="F323" i="3"/>
  <c r="E323" i="3"/>
  <c r="G323" i="3"/>
  <c r="G322" i="3"/>
  <c r="F322" i="3"/>
  <c r="E322" i="3"/>
  <c r="G317" i="3"/>
  <c r="E317" i="3"/>
  <c r="F317" i="3"/>
  <c r="G312" i="3"/>
  <c r="E312" i="3"/>
  <c r="F312" i="3"/>
  <c r="F307" i="3"/>
  <c r="G307" i="3"/>
  <c r="E307" i="3"/>
  <c r="F148" i="3"/>
  <c r="G148" i="3"/>
  <c r="E148" i="3"/>
  <c r="F121" i="3"/>
  <c r="G121" i="3"/>
  <c r="E121" i="3"/>
  <c r="G350" i="3"/>
  <c r="E350" i="3"/>
  <c r="F350" i="3"/>
  <c r="E299" i="3"/>
  <c r="F299" i="3"/>
  <c r="G299" i="3"/>
  <c r="E196" i="3"/>
  <c r="F196" i="3"/>
  <c r="G196" i="3"/>
  <c r="F125" i="3"/>
  <c r="E125" i="3"/>
  <c r="G125" i="3"/>
  <c r="F124" i="3"/>
  <c r="G124" i="3"/>
  <c r="E124" i="3"/>
  <c r="G118" i="3"/>
  <c r="E118" i="3"/>
  <c r="F118" i="3"/>
  <c r="E115" i="3"/>
  <c r="G115" i="3"/>
  <c r="F115" i="3"/>
  <c r="F113" i="3"/>
  <c r="G113" i="3"/>
  <c r="E113" i="3"/>
  <c r="G248" i="3"/>
  <c r="E248" i="3"/>
  <c r="F248" i="3"/>
  <c r="F112" i="3"/>
  <c r="E112" i="3"/>
  <c r="G112" i="3"/>
  <c r="E102" i="3"/>
  <c r="F102" i="3"/>
  <c r="G102" i="3"/>
  <c r="E86" i="3"/>
  <c r="F86" i="3"/>
  <c r="G86" i="3"/>
  <c r="G91" i="3"/>
  <c r="E91" i="3"/>
  <c r="F91" i="3"/>
  <c r="AH6" i="7"/>
  <c r="AI6" i="7" s="1"/>
  <c r="AK2" i="7"/>
  <c r="B3" i="6"/>
  <c r="E18" i="2"/>
  <c r="F17" i="3"/>
  <c r="E17" i="3"/>
  <c r="G17" i="3"/>
  <c r="H17" i="3"/>
  <c r="AT9" i="7"/>
  <c r="AU9" i="7" s="1"/>
  <c r="AT14" i="7"/>
  <c r="AU14" i="7" s="1"/>
  <c r="AT7" i="7"/>
  <c r="AU7" i="7"/>
  <c r="AT8" i="7"/>
  <c r="AU8" i="7"/>
  <c r="AT16" i="7"/>
  <c r="AU16" i="7"/>
  <c r="AT10" i="7"/>
  <c r="AU10" i="7" s="1"/>
  <c r="AT11" i="7"/>
  <c r="AU11" i="7" s="1"/>
  <c r="AT12" i="7"/>
  <c r="AU12" i="7"/>
  <c r="AT13" i="7"/>
  <c r="AU13" i="7"/>
  <c r="AT17" i="7"/>
  <c r="AU17" i="7" s="1"/>
  <c r="AT15" i="7"/>
  <c r="AU15" i="7"/>
  <c r="G7" i="6"/>
  <c r="G8" i="6"/>
  <c r="G27" i="6" s="1"/>
  <c r="G9" i="6"/>
  <c r="G28" i="6" s="1"/>
  <c r="G10" i="6"/>
  <c r="G29" i="6" s="1"/>
  <c r="G11" i="6"/>
  <c r="G30" i="6" s="1"/>
  <c r="G12" i="6"/>
  <c r="G31" i="6" s="1"/>
  <c r="G13" i="6"/>
  <c r="G32" i="6" s="1"/>
  <c r="G14" i="6"/>
  <c r="G33" i="6" s="1"/>
  <c r="G15" i="6"/>
  <c r="G34" i="6" s="1"/>
  <c r="G16" i="6"/>
  <c r="G35" i="6" s="1"/>
  <c r="G17" i="6"/>
  <c r="G36" i="6" s="1"/>
  <c r="G18" i="6"/>
  <c r="G37" i="6" s="1"/>
  <c r="G19" i="6"/>
  <c r="G38" i="6" s="1"/>
  <c r="G20" i="6"/>
  <c r="G39" i="6" s="1"/>
  <c r="G21" i="6"/>
  <c r="G40" i="6" s="1"/>
  <c r="F7" i="6"/>
  <c r="F8" i="6"/>
  <c r="F27" i="6" s="1"/>
  <c r="F9" i="6"/>
  <c r="F28" i="6" s="1"/>
  <c r="F10" i="6"/>
  <c r="F29" i="6" s="1"/>
  <c r="F11" i="6"/>
  <c r="F30" i="6" s="1"/>
  <c r="F12" i="6"/>
  <c r="F31" i="6" s="1"/>
  <c r="F13" i="6"/>
  <c r="F32" i="6" s="1"/>
  <c r="F14" i="6"/>
  <c r="F33" i="6" s="1"/>
  <c r="F15" i="6"/>
  <c r="F34" i="6" s="1"/>
  <c r="F16" i="6"/>
  <c r="F35" i="6" s="1"/>
  <c r="F17" i="6"/>
  <c r="F36" i="6" s="1"/>
  <c r="F18" i="6"/>
  <c r="F37" i="6" s="1"/>
  <c r="F19" i="6"/>
  <c r="F38" i="6" s="1"/>
  <c r="F20" i="6"/>
  <c r="F39" i="6" s="1"/>
  <c r="F21" i="6"/>
  <c r="F40" i="6" s="1"/>
  <c r="E7" i="6"/>
  <c r="E8" i="6"/>
  <c r="E27" i="6" s="1"/>
  <c r="E9" i="6"/>
  <c r="E28" i="6" s="1"/>
  <c r="E10" i="6"/>
  <c r="E29" i="6" s="1"/>
  <c r="E11" i="6"/>
  <c r="E30" i="6" s="1"/>
  <c r="E12" i="6"/>
  <c r="E31" i="6" s="1"/>
  <c r="E13" i="6"/>
  <c r="E32" i="6" s="1"/>
  <c r="E14" i="6"/>
  <c r="E33" i="6" s="1"/>
  <c r="E15" i="6"/>
  <c r="E34" i="6" s="1"/>
  <c r="E16" i="6"/>
  <c r="E35" i="6" s="1"/>
  <c r="E17" i="6"/>
  <c r="E36" i="6" s="1"/>
  <c r="E18" i="6"/>
  <c r="E37" i="6" s="1"/>
  <c r="E19" i="6"/>
  <c r="E38" i="6" s="1"/>
  <c r="E20" i="6"/>
  <c r="E39" i="6" s="1"/>
  <c r="E21" i="6"/>
  <c r="E40" i="6" s="1"/>
  <c r="D7" i="6"/>
  <c r="D8" i="6"/>
  <c r="D27" i="6" s="1"/>
  <c r="D9" i="6"/>
  <c r="D28" i="6" s="1"/>
  <c r="D10" i="6"/>
  <c r="D29" i="6" s="1"/>
  <c r="D11" i="6"/>
  <c r="D30" i="6" s="1"/>
  <c r="D12" i="6"/>
  <c r="D31" i="6" s="1"/>
  <c r="D13" i="6"/>
  <c r="D32" i="6" s="1"/>
  <c r="D14" i="6"/>
  <c r="D33" i="6" s="1"/>
  <c r="D15" i="6"/>
  <c r="D34" i="6" s="1"/>
  <c r="D16" i="6"/>
  <c r="D35" i="6" s="1"/>
  <c r="D17" i="6"/>
  <c r="D36" i="6" s="1"/>
  <c r="D18" i="6"/>
  <c r="D37" i="6" s="1"/>
  <c r="D19" i="6"/>
  <c r="D38" i="6" s="1"/>
  <c r="D20" i="6"/>
  <c r="D39" i="6" s="1"/>
  <c r="D21" i="6"/>
  <c r="D40" i="6" s="1"/>
  <c r="C7" i="6"/>
  <c r="C8" i="6"/>
  <c r="C27" i="6" s="1"/>
  <c r="C9" i="6"/>
  <c r="C28" i="6" s="1"/>
  <c r="C10" i="6"/>
  <c r="C29" i="6" s="1"/>
  <c r="C11" i="6"/>
  <c r="C30" i="6" s="1"/>
  <c r="C12" i="6"/>
  <c r="C31" i="6" s="1"/>
  <c r="C13" i="6"/>
  <c r="C32" i="6" s="1"/>
  <c r="C14" i="6"/>
  <c r="C33" i="6" s="1"/>
  <c r="C15" i="6"/>
  <c r="C34" i="6" s="1"/>
  <c r="C16" i="6"/>
  <c r="C35" i="6" s="1"/>
  <c r="C17" i="6"/>
  <c r="C36" i="6" s="1"/>
  <c r="C18" i="6"/>
  <c r="C37" i="6" s="1"/>
  <c r="C19" i="6"/>
  <c r="C38" i="6" s="1"/>
  <c r="C20" i="6"/>
  <c r="C39" i="6" s="1"/>
  <c r="C21" i="6"/>
  <c r="C40" i="6" s="1"/>
  <c r="AS6" i="7"/>
  <c r="AV2" i="7"/>
  <c r="G454" i="3"/>
  <c r="F454" i="3"/>
  <c r="E454" i="3"/>
  <c r="F384" i="3"/>
  <c r="E384" i="3"/>
  <c r="G384" i="3"/>
  <c r="F374" i="3"/>
  <c r="G374" i="3"/>
  <c r="E374" i="3"/>
  <c r="F373" i="3"/>
  <c r="G373" i="3"/>
  <c r="E373" i="3"/>
  <c r="G367" i="3"/>
  <c r="E367" i="3"/>
  <c r="F367" i="3"/>
  <c r="G364" i="3"/>
  <c r="E364" i="3"/>
  <c r="F364" i="3"/>
  <c r="E360" i="3"/>
  <c r="G360" i="3"/>
  <c r="F360" i="3"/>
  <c r="G358" i="3"/>
  <c r="E358" i="3"/>
  <c r="F358" i="3"/>
  <c r="E356" i="3"/>
  <c r="F356" i="3"/>
  <c r="G356" i="3"/>
  <c r="F8" i="3"/>
  <c r="H8" i="3" s="1"/>
  <c r="G8" i="3"/>
  <c r="E8" i="3"/>
  <c r="G498" i="3"/>
  <c r="F498" i="3"/>
  <c r="E498" i="3"/>
  <c r="G494" i="3"/>
  <c r="F494" i="3"/>
  <c r="E494" i="3"/>
  <c r="G481" i="3"/>
  <c r="F481" i="3"/>
  <c r="E481" i="3"/>
  <c r="G479" i="3"/>
  <c r="F479" i="3"/>
  <c r="E479" i="3"/>
  <c r="G469" i="3"/>
  <c r="F469" i="3"/>
  <c r="E469" i="3"/>
  <c r="G466" i="3"/>
  <c r="F466" i="3"/>
  <c r="E466" i="3"/>
  <c r="G403" i="3"/>
  <c r="F403" i="3"/>
  <c r="E403" i="3"/>
  <c r="G459" i="3"/>
  <c r="F459" i="3"/>
  <c r="E459" i="3"/>
  <c r="G456" i="3"/>
  <c r="F456" i="3"/>
  <c r="E456" i="3"/>
  <c r="F351" i="3"/>
  <c r="E351" i="3"/>
  <c r="G351" i="3"/>
  <c r="G483" i="3"/>
  <c r="F483" i="3"/>
  <c r="E483" i="3"/>
  <c r="G470" i="3"/>
  <c r="F470" i="3"/>
  <c r="E470" i="3"/>
  <c r="G467" i="3"/>
  <c r="F467" i="3"/>
  <c r="E467" i="3"/>
  <c r="G300" i="3"/>
  <c r="E300" i="3"/>
  <c r="F300" i="3"/>
  <c r="F9" i="3"/>
  <c r="H9" i="3" s="1"/>
  <c r="G9" i="3"/>
  <c r="E9" i="3"/>
  <c r="G503" i="3"/>
  <c r="F503" i="3"/>
  <c r="E503" i="3"/>
  <c r="G501" i="3"/>
  <c r="F501" i="3"/>
  <c r="E501" i="3"/>
  <c r="G490" i="3"/>
  <c r="F490" i="3"/>
  <c r="E490" i="3"/>
  <c r="G489" i="3"/>
  <c r="F489" i="3"/>
  <c r="E489" i="3"/>
  <c r="G488" i="3"/>
  <c r="F488" i="3"/>
  <c r="E488" i="3"/>
  <c r="G474" i="3"/>
  <c r="F474" i="3"/>
  <c r="E474" i="3"/>
  <c r="G197" i="3"/>
  <c r="E197" i="3"/>
  <c r="F197" i="3"/>
  <c r="G120" i="3"/>
  <c r="E120" i="3"/>
  <c r="F120" i="3"/>
  <c r="G119" i="3"/>
  <c r="E119" i="3"/>
  <c r="F119" i="3"/>
  <c r="G114" i="3"/>
  <c r="E114" i="3"/>
  <c r="F114" i="3"/>
  <c r="G107" i="3"/>
  <c r="E107" i="3"/>
  <c r="F107" i="3"/>
  <c r="E106" i="3"/>
  <c r="G106" i="3"/>
  <c r="F106" i="3"/>
  <c r="F105" i="3"/>
  <c r="G105" i="3"/>
  <c r="E105" i="3"/>
  <c r="G104" i="3"/>
  <c r="E104" i="3"/>
  <c r="F104" i="3"/>
  <c r="G98" i="3"/>
  <c r="E98" i="3"/>
  <c r="F98" i="3"/>
  <c r="G97" i="3"/>
  <c r="E97" i="3"/>
  <c r="F97" i="3"/>
  <c r="E96" i="3"/>
  <c r="F96" i="3"/>
  <c r="G96" i="3"/>
  <c r="G502" i="3"/>
  <c r="F502" i="3"/>
  <c r="E502" i="3"/>
  <c r="G500" i="3"/>
  <c r="F500" i="3"/>
  <c r="E500" i="3"/>
  <c r="G482" i="3"/>
  <c r="F482" i="3"/>
  <c r="E482" i="3"/>
  <c r="G478" i="3"/>
  <c r="F478" i="3"/>
  <c r="E478" i="3"/>
  <c r="E146" i="3"/>
  <c r="F146" i="3"/>
  <c r="G146" i="3"/>
  <c r="G491" i="3"/>
  <c r="F491" i="3"/>
  <c r="E491" i="3"/>
  <c r="G472" i="3"/>
  <c r="F472" i="3"/>
  <c r="E472" i="3"/>
  <c r="G471" i="3"/>
  <c r="F471" i="3"/>
  <c r="E471" i="3"/>
  <c r="G94" i="3"/>
  <c r="E94" i="3"/>
  <c r="F94" i="3"/>
  <c r="E12" i="3"/>
  <c r="G12" i="3"/>
  <c r="F12" i="3"/>
  <c r="H12" i="3" s="1"/>
  <c r="G11" i="3"/>
  <c r="F11" i="3"/>
  <c r="H11" i="3"/>
  <c r="E11" i="3"/>
  <c r="G10" i="3"/>
  <c r="F10" i="3"/>
  <c r="H10" i="3" s="1"/>
  <c r="E10" i="3"/>
  <c r="F6" i="3"/>
  <c r="G6" i="3"/>
  <c r="H6" i="3"/>
  <c r="E6" i="3"/>
  <c r="G496" i="3"/>
  <c r="F496" i="3"/>
  <c r="E496" i="3"/>
  <c r="G487" i="3"/>
  <c r="F487" i="3"/>
  <c r="E487" i="3"/>
  <c r="F43" i="3"/>
  <c r="G43" i="3"/>
  <c r="E43" i="3"/>
  <c r="G16" i="3"/>
  <c r="E16" i="3"/>
  <c r="F16" i="3"/>
  <c r="H16" i="3" s="1"/>
  <c r="G14" i="3"/>
  <c r="F14" i="3"/>
  <c r="H14" i="3"/>
  <c r="E14" i="3"/>
  <c r="F7" i="3"/>
  <c r="G7" i="3"/>
  <c r="H7" i="3" s="1"/>
  <c r="E7" i="3"/>
  <c r="G485" i="3"/>
  <c r="F485" i="3"/>
  <c r="E485" i="3"/>
  <c r="G460" i="3"/>
  <c r="F460" i="3"/>
  <c r="E460" i="3"/>
  <c r="G457" i="3"/>
  <c r="F457" i="3"/>
  <c r="E457" i="3"/>
  <c r="G455" i="3"/>
  <c r="F455" i="3"/>
  <c r="E455" i="3"/>
  <c r="E13" i="3" l="1"/>
  <c r="G13" i="3"/>
  <c r="F13" i="3"/>
  <c r="H13" i="3" s="1"/>
  <c r="G15" i="3"/>
  <c r="E15" i="3"/>
  <c r="F15" i="3"/>
  <c r="H15" i="3" s="1"/>
  <c r="AK140" i="7"/>
  <c r="AL140" i="7" s="1"/>
  <c r="AK7" i="7"/>
  <c r="AL7" i="7" s="1"/>
  <c r="AK8" i="7"/>
  <c r="AL8" i="7" s="1"/>
  <c r="AK9" i="7"/>
  <c r="AL9" i="7" s="1"/>
  <c r="AK10" i="7"/>
  <c r="AL10" i="7" s="1"/>
  <c r="AK11" i="7"/>
  <c r="AL11" i="7" s="1"/>
  <c r="AK12" i="7"/>
  <c r="AL12" i="7" s="1"/>
  <c r="AK13" i="7"/>
  <c r="AL13" i="7" s="1"/>
  <c r="AK14" i="7"/>
  <c r="AL14" i="7" s="1"/>
  <c r="AK15" i="7"/>
  <c r="AL15" i="7" s="1"/>
  <c r="AK16" i="7"/>
  <c r="AL16" i="7" s="1"/>
  <c r="AK17" i="7"/>
  <c r="AL17" i="7" s="1"/>
  <c r="AK18" i="7"/>
  <c r="AL18" i="7" s="1"/>
  <c r="AK19" i="7"/>
  <c r="AL19" i="7" s="1"/>
  <c r="AK20" i="7"/>
  <c r="AL20" i="7" s="1"/>
  <c r="AK21" i="7"/>
  <c r="AL21" i="7" s="1"/>
  <c r="AK22" i="7"/>
  <c r="AL22" i="7" s="1"/>
  <c r="AK23" i="7"/>
  <c r="AL23" i="7" s="1"/>
  <c r="AK24" i="7"/>
  <c r="AL24" i="7" s="1"/>
  <c r="AK25" i="7"/>
  <c r="AL25" i="7" s="1"/>
  <c r="AK26" i="7"/>
  <c r="AL26" i="7" s="1"/>
  <c r="AK27" i="7"/>
  <c r="AL27" i="7" s="1"/>
  <c r="AK28" i="7"/>
  <c r="AL28" i="7" s="1"/>
  <c r="AK29" i="7"/>
  <c r="AL29" i="7" s="1"/>
  <c r="AK30" i="7"/>
  <c r="AL30" i="7" s="1"/>
  <c r="AK31" i="7"/>
  <c r="AL31" i="7" s="1"/>
  <c r="AK32" i="7"/>
  <c r="AL32" i="7" s="1"/>
  <c r="AK33" i="7"/>
  <c r="AL33" i="7" s="1"/>
  <c r="AK34" i="7"/>
  <c r="AL34" i="7" s="1"/>
  <c r="AK35" i="7"/>
  <c r="AL35" i="7" s="1"/>
  <c r="AK36" i="7"/>
  <c r="AL36" i="7" s="1"/>
  <c r="AK37" i="7"/>
  <c r="AL37" i="7" s="1"/>
  <c r="AK38" i="7"/>
  <c r="AL38" i="7" s="1"/>
  <c r="AK39" i="7"/>
  <c r="AL39" i="7" s="1"/>
  <c r="AK40" i="7"/>
  <c r="AL40" i="7" s="1"/>
  <c r="AK41" i="7"/>
  <c r="AL41" i="7" s="1"/>
  <c r="AK42" i="7"/>
  <c r="AL42" i="7" s="1"/>
  <c r="AK43" i="7"/>
  <c r="AL43" i="7" s="1"/>
  <c r="AK44" i="7"/>
  <c r="AL44" i="7" s="1"/>
  <c r="AK45" i="7"/>
  <c r="AL45" i="7" s="1"/>
  <c r="AK46" i="7"/>
  <c r="AL46" i="7" s="1"/>
  <c r="AK47" i="7"/>
  <c r="AL47" i="7" s="1"/>
  <c r="AK48" i="7"/>
  <c r="AL48" i="7" s="1"/>
  <c r="AK49" i="7"/>
  <c r="AL49" i="7" s="1"/>
  <c r="AK50" i="7"/>
  <c r="AL50" i="7" s="1"/>
  <c r="AK51" i="7"/>
  <c r="AL51" i="7" s="1"/>
  <c r="AK52" i="7"/>
  <c r="AL52" i="7" s="1"/>
  <c r="AK53" i="7"/>
  <c r="AL53" i="7" s="1"/>
  <c r="AK54" i="7"/>
  <c r="AL54" i="7" s="1"/>
  <c r="AK55" i="7"/>
  <c r="AL55" i="7" s="1"/>
  <c r="AK56" i="7"/>
  <c r="AL56" i="7" s="1"/>
  <c r="AK57" i="7"/>
  <c r="AL57" i="7" s="1"/>
  <c r="AK58" i="7"/>
  <c r="AL58" i="7" s="1"/>
  <c r="AK59" i="7"/>
  <c r="AL59" i="7" s="1"/>
  <c r="AK60" i="7"/>
  <c r="AL60" i="7" s="1"/>
  <c r="AK62" i="7"/>
  <c r="AL62" i="7" s="1"/>
  <c r="AK63" i="7"/>
  <c r="AL63" i="7" s="1"/>
  <c r="AK64" i="7"/>
  <c r="AL64" i="7" s="1"/>
  <c r="AK65" i="7"/>
  <c r="AL65" i="7" s="1"/>
  <c r="AK66" i="7"/>
  <c r="AL66" i="7" s="1"/>
  <c r="AK67" i="7"/>
  <c r="AL67" i="7" s="1"/>
  <c r="AK68" i="7"/>
  <c r="AL68" i="7" s="1"/>
  <c r="AK69" i="7"/>
  <c r="AL69" i="7" s="1"/>
  <c r="AK70" i="7"/>
  <c r="AL70" i="7" s="1"/>
  <c r="AK71" i="7"/>
  <c r="AL71" i="7" s="1"/>
  <c r="AK72" i="7"/>
  <c r="AL72" i="7" s="1"/>
  <c r="AK73" i="7"/>
  <c r="AL73" i="7" s="1"/>
  <c r="AK74" i="7"/>
  <c r="AL74" i="7" s="1"/>
  <c r="AK75" i="7"/>
  <c r="AL75" i="7" s="1"/>
  <c r="AK76" i="7"/>
  <c r="AL76" i="7" s="1"/>
  <c r="AK77" i="7"/>
  <c r="AL77" i="7" s="1"/>
  <c r="AK78" i="7"/>
  <c r="AL78" i="7" s="1"/>
  <c r="AK79" i="7"/>
  <c r="AL79" i="7" s="1"/>
  <c r="AK80" i="7"/>
  <c r="AL80" i="7" s="1"/>
  <c r="AK81" i="7"/>
  <c r="AL81" i="7" s="1"/>
  <c r="AK82" i="7"/>
  <c r="AL82" i="7" s="1"/>
  <c r="AK83" i="7"/>
  <c r="AL83" i="7" s="1"/>
  <c r="AK84" i="7"/>
  <c r="AL84" i="7" s="1"/>
  <c r="AK85" i="7"/>
  <c r="AL85" i="7" s="1"/>
  <c r="AK86" i="7"/>
  <c r="AL86" i="7" s="1"/>
  <c r="AK87" i="7"/>
  <c r="AL87" i="7" s="1"/>
  <c r="AK88" i="7"/>
  <c r="AL88" i="7" s="1"/>
  <c r="AK89" i="7"/>
  <c r="AL89" i="7" s="1"/>
  <c r="AK90" i="7"/>
  <c r="AL90" i="7" s="1"/>
  <c r="AK91" i="7"/>
  <c r="AL91" i="7" s="1"/>
  <c r="AK92" i="7"/>
  <c r="AL92" i="7" s="1"/>
  <c r="AK259" i="7"/>
  <c r="AL259" i="7" s="1"/>
  <c r="AK262" i="7"/>
  <c r="AL262" i="7" s="1"/>
  <c r="AK265" i="7"/>
  <c r="AL265" i="7" s="1"/>
  <c r="AK269" i="7"/>
  <c r="AL269" i="7" s="1"/>
  <c r="AK271" i="7"/>
  <c r="AL271" i="7" s="1"/>
  <c r="AK281" i="7"/>
  <c r="AL281" i="7" s="1"/>
  <c r="AK285" i="7"/>
  <c r="AL285" i="7" s="1"/>
  <c r="AK289" i="7"/>
  <c r="AL289" i="7" s="1"/>
  <c r="AK291" i="7"/>
  <c r="AL291" i="7" s="1"/>
  <c r="AK295" i="7"/>
  <c r="AL295" i="7" s="1"/>
  <c r="AK298" i="7"/>
  <c r="AL298" i="7" s="1"/>
  <c r="AK302" i="7"/>
  <c r="AL302" i="7" s="1"/>
  <c r="AK304" i="7"/>
  <c r="AL304" i="7" s="1"/>
  <c r="AK132" i="7"/>
  <c r="AL132" i="7" s="1"/>
  <c r="AK205" i="7"/>
  <c r="AL205" i="7" s="1"/>
  <c r="AK277" i="7"/>
  <c r="AL277" i="7" s="1"/>
  <c r="A3" i="5"/>
  <c r="AK93" i="7"/>
  <c r="AL93" i="7" s="1"/>
  <c r="AK94" i="7"/>
  <c r="AL94" i="7" s="1"/>
  <c r="AK95" i="7"/>
  <c r="AL95" i="7" s="1"/>
  <c r="AK96" i="7"/>
  <c r="AL96" i="7" s="1"/>
  <c r="AK97" i="7"/>
  <c r="AL97" i="7" s="1"/>
  <c r="AK98" i="7"/>
  <c r="AL98" i="7" s="1"/>
  <c r="AK99" i="7"/>
  <c r="AL99" i="7" s="1"/>
  <c r="AK100" i="7"/>
  <c r="AL100" i="7" s="1"/>
  <c r="AK101" i="7"/>
  <c r="AL101" i="7" s="1"/>
  <c r="AK102" i="7"/>
  <c r="AL102" i="7" s="1"/>
  <c r="AK103" i="7"/>
  <c r="AL103" i="7" s="1"/>
  <c r="AK104" i="7"/>
  <c r="AL104" i="7" s="1"/>
  <c r="AK105" i="7"/>
  <c r="AL105" i="7" s="1"/>
  <c r="AK106" i="7"/>
  <c r="AL106" i="7" s="1"/>
  <c r="AK107" i="7"/>
  <c r="AL107" i="7" s="1"/>
  <c r="AK108" i="7"/>
  <c r="AL108" i="7" s="1"/>
  <c r="AK109" i="7"/>
  <c r="AL109" i="7" s="1"/>
  <c r="AK110" i="7"/>
  <c r="AL110" i="7" s="1"/>
  <c r="AK111" i="7"/>
  <c r="AL111" i="7" s="1"/>
  <c r="AK112" i="7"/>
  <c r="AL112" i="7" s="1"/>
  <c r="AK113" i="7"/>
  <c r="AL113" i="7" s="1"/>
  <c r="AK114" i="7"/>
  <c r="AL114" i="7" s="1"/>
  <c r="AK115" i="7"/>
  <c r="AL115" i="7" s="1"/>
  <c r="AK116" i="7"/>
  <c r="AL116" i="7" s="1"/>
  <c r="AK117" i="7"/>
  <c r="AL117" i="7" s="1"/>
  <c r="AK118" i="7"/>
  <c r="AL118" i="7" s="1"/>
  <c r="AK119" i="7"/>
  <c r="AL119" i="7" s="1"/>
  <c r="AK120" i="7"/>
  <c r="AL120" i="7" s="1"/>
  <c r="AK121" i="7"/>
  <c r="AL121" i="7" s="1"/>
  <c r="AK122" i="7"/>
  <c r="AL122" i="7" s="1"/>
  <c r="AK123" i="7"/>
  <c r="AL123" i="7" s="1"/>
  <c r="AK124" i="7"/>
  <c r="AL124" i="7" s="1"/>
  <c r="AK125" i="7"/>
  <c r="AL125" i="7" s="1"/>
  <c r="AK126" i="7"/>
  <c r="AL126" i="7" s="1"/>
  <c r="AK127" i="7"/>
  <c r="AL127" i="7" s="1"/>
  <c r="AK128" i="7"/>
  <c r="AL128" i="7" s="1"/>
  <c r="AK129" i="7"/>
  <c r="AL129" i="7" s="1"/>
  <c r="AK130" i="7"/>
  <c r="AL130" i="7" s="1"/>
  <c r="AK131" i="7"/>
  <c r="AL131" i="7" s="1"/>
  <c r="AK61" i="7"/>
  <c r="AL61" i="7" s="1"/>
  <c r="AK133" i="7"/>
  <c r="AL133" i="7" s="1"/>
  <c r="AK134" i="7"/>
  <c r="AL134" i="7" s="1"/>
  <c r="AK135" i="7"/>
  <c r="AL135" i="7" s="1"/>
  <c r="AK136" i="7"/>
  <c r="AL136" i="7" s="1"/>
  <c r="AK137" i="7"/>
  <c r="AL137" i="7" s="1"/>
  <c r="AK138" i="7"/>
  <c r="AL138" i="7" s="1"/>
  <c r="AK139" i="7"/>
  <c r="AL139" i="7" s="1"/>
  <c r="AK6" i="7"/>
  <c r="AL6" i="7" s="1"/>
  <c r="AK141" i="7"/>
  <c r="AL141" i="7" s="1"/>
  <c r="AK142" i="7"/>
  <c r="AL142" i="7" s="1"/>
  <c r="AK143" i="7"/>
  <c r="AL143" i="7" s="1"/>
  <c r="AK144" i="7"/>
  <c r="AL144" i="7" s="1"/>
  <c r="AK145" i="7"/>
  <c r="AL145" i="7" s="1"/>
  <c r="AK146" i="7"/>
  <c r="AL146" i="7" s="1"/>
  <c r="AK147" i="7"/>
  <c r="AL147" i="7" s="1"/>
  <c r="AK148" i="7"/>
  <c r="AL148" i="7" s="1"/>
  <c r="AK190" i="7"/>
  <c r="AL190" i="7" s="1"/>
  <c r="AK192" i="7"/>
  <c r="AL192" i="7" s="1"/>
  <c r="AK195" i="7"/>
  <c r="AL195" i="7" s="1"/>
  <c r="AK198" i="7"/>
  <c r="AL198" i="7" s="1"/>
  <c r="AK200" i="7"/>
  <c r="AL200" i="7" s="1"/>
  <c r="AK202" i="7"/>
  <c r="AL202" i="7" s="1"/>
  <c r="AK207" i="7"/>
  <c r="AL207" i="7" s="1"/>
  <c r="AK209" i="7"/>
  <c r="AL209" i="7" s="1"/>
  <c r="AK211" i="7"/>
  <c r="AL211" i="7" s="1"/>
  <c r="AK213" i="7"/>
  <c r="AL213" i="7" s="1"/>
  <c r="AK215" i="7"/>
  <c r="AL215" i="7" s="1"/>
  <c r="AK216" i="7"/>
  <c r="AL216" i="7" s="1"/>
  <c r="AK218" i="7"/>
  <c r="AL218" i="7" s="1"/>
  <c r="AK220" i="7"/>
  <c r="AL220" i="7" s="1"/>
  <c r="AK222" i="7"/>
  <c r="AL222" i="7" s="1"/>
  <c r="AK224" i="7"/>
  <c r="AL224" i="7" s="1"/>
  <c r="AK226" i="7"/>
  <c r="AL226" i="7" s="1"/>
  <c r="AK228" i="7"/>
  <c r="AL228" i="7" s="1"/>
  <c r="AK229" i="7"/>
  <c r="AL229" i="7" s="1"/>
  <c r="AK231" i="7"/>
  <c r="AL231" i="7" s="1"/>
  <c r="AK233" i="7"/>
  <c r="AL233" i="7" s="1"/>
  <c r="AK235" i="7"/>
  <c r="AL235" i="7" s="1"/>
  <c r="AK237" i="7"/>
  <c r="AL237" i="7" s="1"/>
  <c r="AK238" i="7"/>
  <c r="AL238" i="7" s="1"/>
  <c r="AK240" i="7"/>
  <c r="AL240" i="7" s="1"/>
  <c r="AK242" i="7"/>
  <c r="AL242" i="7" s="1"/>
  <c r="AK244" i="7"/>
  <c r="AL244" i="7" s="1"/>
  <c r="AK246" i="7"/>
  <c r="AL246" i="7" s="1"/>
  <c r="AK248" i="7"/>
  <c r="AL248" i="7" s="1"/>
  <c r="AK250" i="7"/>
  <c r="AL250" i="7" s="1"/>
  <c r="AK255" i="7"/>
  <c r="AL255" i="7" s="1"/>
  <c r="AK257" i="7"/>
  <c r="AL257" i="7" s="1"/>
  <c r="AK261" i="7"/>
  <c r="AL261" i="7" s="1"/>
  <c r="AK263" i="7"/>
  <c r="AL263" i="7" s="1"/>
  <c r="AK267" i="7"/>
  <c r="AL267" i="7" s="1"/>
  <c r="AK270" i="7"/>
  <c r="AL270" i="7" s="1"/>
  <c r="AK272" i="7"/>
  <c r="AL272" i="7" s="1"/>
  <c r="AK280" i="7"/>
  <c r="AL280" i="7" s="1"/>
  <c r="AK282" i="7"/>
  <c r="AL282" i="7" s="1"/>
  <c r="AK284" i="7"/>
  <c r="AL284" i="7" s="1"/>
  <c r="AK286" i="7"/>
  <c r="AL286" i="7" s="1"/>
  <c r="AK288" i="7"/>
  <c r="AL288" i="7" s="1"/>
  <c r="AK292" i="7"/>
  <c r="AL292" i="7" s="1"/>
  <c r="AK294" i="7"/>
  <c r="AL294" i="7" s="1"/>
  <c r="AK297" i="7"/>
  <c r="AL297" i="7" s="1"/>
  <c r="AK300" i="7"/>
  <c r="AL300" i="7" s="1"/>
  <c r="AK303" i="7"/>
  <c r="AL303" i="7" s="1"/>
  <c r="AK305" i="7"/>
  <c r="AL305" i="7" s="1"/>
  <c r="AK203" i="7"/>
  <c r="AL203" i="7" s="1"/>
  <c r="AK275" i="7"/>
  <c r="AL275" i="7" s="1"/>
  <c r="AK204" i="7"/>
  <c r="AL204" i="7" s="1"/>
  <c r="AK274" i="7"/>
  <c r="AL274" i="7" s="1"/>
  <c r="AK279" i="7"/>
  <c r="AL279" i="7" s="1"/>
  <c r="AK149" i="7"/>
  <c r="AL149" i="7" s="1"/>
  <c r="AK150" i="7"/>
  <c r="AL150" i="7" s="1"/>
  <c r="AK151" i="7"/>
  <c r="AL151" i="7" s="1"/>
  <c r="AK152" i="7"/>
  <c r="AL152" i="7" s="1"/>
  <c r="AK153" i="7"/>
  <c r="AL153" i="7" s="1"/>
  <c r="AK154" i="7"/>
  <c r="AL154" i="7" s="1"/>
  <c r="AK155" i="7"/>
  <c r="AL155" i="7" s="1"/>
  <c r="AK156" i="7"/>
  <c r="AL156" i="7" s="1"/>
  <c r="AK157" i="7"/>
  <c r="AL157" i="7" s="1"/>
  <c r="AK158" i="7"/>
  <c r="AL158" i="7" s="1"/>
  <c r="AK159" i="7"/>
  <c r="AL159" i="7" s="1"/>
  <c r="AK160" i="7"/>
  <c r="AL160" i="7" s="1"/>
  <c r="AK161" i="7"/>
  <c r="AL161" i="7" s="1"/>
  <c r="AK162" i="7"/>
  <c r="AL162" i="7" s="1"/>
  <c r="AK163" i="7"/>
  <c r="AL163" i="7" s="1"/>
  <c r="AK164" i="7"/>
  <c r="AL164" i="7" s="1"/>
  <c r="AK165" i="7"/>
  <c r="AL165" i="7" s="1"/>
  <c r="AK166" i="7"/>
  <c r="AL166" i="7" s="1"/>
  <c r="AK167" i="7"/>
  <c r="AL167" i="7" s="1"/>
  <c r="AK168" i="7"/>
  <c r="AL168" i="7" s="1"/>
  <c r="AK169" i="7"/>
  <c r="AL169" i="7" s="1"/>
  <c r="AK170" i="7"/>
  <c r="AL170" i="7" s="1"/>
  <c r="AK171" i="7"/>
  <c r="AL171" i="7" s="1"/>
  <c r="AK172" i="7"/>
  <c r="AL172" i="7" s="1"/>
  <c r="AK173" i="7"/>
  <c r="AL173" i="7" s="1"/>
  <c r="AK174" i="7"/>
  <c r="AL174" i="7" s="1"/>
  <c r="AK175" i="7"/>
  <c r="AL175" i="7" s="1"/>
  <c r="AK176" i="7"/>
  <c r="AL176" i="7" s="1"/>
  <c r="AK177" i="7"/>
  <c r="AL177" i="7" s="1"/>
  <c r="AK178" i="7"/>
  <c r="AL178" i="7" s="1"/>
  <c r="AK179" i="7"/>
  <c r="AL179" i="7" s="1"/>
  <c r="AK180" i="7"/>
  <c r="AL180" i="7" s="1"/>
  <c r="AK181" i="7"/>
  <c r="AL181" i="7" s="1"/>
  <c r="AK182" i="7"/>
  <c r="AL182" i="7" s="1"/>
  <c r="AK183" i="7"/>
  <c r="AL183" i="7" s="1"/>
  <c r="AK184" i="7"/>
  <c r="AL184" i="7" s="1"/>
  <c r="AK185" i="7"/>
  <c r="AL185" i="7" s="1"/>
  <c r="AK186" i="7"/>
  <c r="AL186" i="7" s="1"/>
  <c r="AK187" i="7"/>
  <c r="AL187" i="7" s="1"/>
  <c r="AK188" i="7"/>
  <c r="AL188" i="7" s="1"/>
  <c r="AK189" i="7"/>
  <c r="AL189" i="7" s="1"/>
  <c r="AK191" i="7"/>
  <c r="AL191" i="7" s="1"/>
  <c r="AK193" i="7"/>
  <c r="AL193" i="7" s="1"/>
  <c r="AK194" i="7"/>
  <c r="AL194" i="7" s="1"/>
  <c r="AK196" i="7"/>
  <c r="AL196" i="7" s="1"/>
  <c r="AK197" i="7"/>
  <c r="AL197" i="7" s="1"/>
  <c r="AK199" i="7"/>
  <c r="AL199" i="7" s="1"/>
  <c r="AK201" i="7"/>
  <c r="AL201" i="7" s="1"/>
  <c r="AK208" i="7"/>
  <c r="AL208" i="7" s="1"/>
  <c r="AK210" i="7"/>
  <c r="AL210" i="7" s="1"/>
  <c r="AK212" i="7"/>
  <c r="AL212" i="7" s="1"/>
  <c r="AK214" i="7"/>
  <c r="AL214" i="7" s="1"/>
  <c r="AK217" i="7"/>
  <c r="AL217" i="7" s="1"/>
  <c r="AK219" i="7"/>
  <c r="AL219" i="7" s="1"/>
  <c r="AK221" i="7"/>
  <c r="AL221" i="7" s="1"/>
  <c r="AK223" i="7"/>
  <c r="AL223" i="7" s="1"/>
  <c r="AK225" i="7"/>
  <c r="AL225" i="7" s="1"/>
  <c r="AK227" i="7"/>
  <c r="AL227" i="7" s="1"/>
  <c r="AK230" i="7"/>
  <c r="AL230" i="7" s="1"/>
  <c r="AK232" i="7"/>
  <c r="AL232" i="7" s="1"/>
  <c r="AK234" i="7"/>
  <c r="AL234" i="7" s="1"/>
  <c r="AK236" i="7"/>
  <c r="AL236" i="7" s="1"/>
  <c r="AK239" i="7"/>
  <c r="AL239" i="7" s="1"/>
  <c r="AK241" i="7"/>
  <c r="AL241" i="7" s="1"/>
  <c r="AK243" i="7"/>
  <c r="AL243" i="7" s="1"/>
  <c r="AK245" i="7"/>
  <c r="AL245" i="7" s="1"/>
  <c r="AK247" i="7"/>
  <c r="AL247" i="7" s="1"/>
  <c r="AK249" i="7"/>
  <c r="AL249" i="7" s="1"/>
  <c r="AK251" i="7"/>
  <c r="AL251" i="7" s="1"/>
  <c r="AK252" i="7"/>
  <c r="AL252" i="7" s="1"/>
  <c r="AK253" i="7"/>
  <c r="AL253" i="7" s="1"/>
  <c r="AK254" i="7"/>
  <c r="AL254" i="7" s="1"/>
  <c r="AK256" i="7"/>
  <c r="AL256" i="7" s="1"/>
  <c r="AK258" i="7"/>
  <c r="AL258" i="7" s="1"/>
  <c r="AK260" i="7"/>
  <c r="AL260" i="7" s="1"/>
  <c r="AK264" i="7"/>
  <c r="AL264" i="7" s="1"/>
  <c r="AK266" i="7"/>
  <c r="AL266" i="7" s="1"/>
  <c r="AK268" i="7"/>
  <c r="AL268" i="7" s="1"/>
  <c r="AK273" i="7"/>
  <c r="AL273" i="7" s="1"/>
  <c r="AK283" i="7"/>
  <c r="AL283" i="7" s="1"/>
  <c r="AK287" i="7"/>
  <c r="AL287" i="7" s="1"/>
  <c r="AK290" i="7"/>
  <c r="AL290" i="7" s="1"/>
  <c r="AK293" i="7"/>
  <c r="AL293" i="7" s="1"/>
  <c r="AK296" i="7"/>
  <c r="AL296" i="7" s="1"/>
  <c r="AK299" i="7"/>
  <c r="AL299" i="7" s="1"/>
  <c r="AK301" i="7"/>
  <c r="AL301" i="7" s="1"/>
  <c r="AK276" i="7"/>
  <c r="AL276" i="7" s="1"/>
  <c r="AK278" i="7"/>
  <c r="AL278" i="7" s="1"/>
  <c r="AK206" i="7"/>
  <c r="AL206" i="7" s="1"/>
  <c r="AM6" i="7"/>
  <c r="AN6" i="7"/>
  <c r="AM98" i="7"/>
  <c r="AN98" i="7"/>
  <c r="AM99" i="7"/>
  <c r="AN99" i="7"/>
  <c r="AM100" i="7"/>
  <c r="AN100" i="7"/>
  <c r="AM101" i="7"/>
  <c r="AN101" i="7"/>
  <c r="AM102" i="7"/>
  <c r="AN102" i="7"/>
  <c r="AM103" i="7"/>
  <c r="AN103" i="7"/>
  <c r="AM104" i="7"/>
  <c r="AN104" i="7"/>
  <c r="AM105" i="7"/>
  <c r="AN105" i="7"/>
  <c r="AM106" i="7"/>
  <c r="AN106" i="7"/>
  <c r="AM107" i="7"/>
  <c r="AN107" i="7"/>
  <c r="AM108" i="7"/>
  <c r="AN108" i="7"/>
  <c r="AM109" i="7"/>
  <c r="AN109" i="7"/>
  <c r="AM110" i="7"/>
  <c r="AN110" i="7"/>
  <c r="AM111" i="7"/>
  <c r="AN111" i="7"/>
  <c r="AM112" i="7"/>
  <c r="AN112" i="7"/>
  <c r="AM113" i="7"/>
  <c r="AN113" i="7"/>
  <c r="AM114" i="7"/>
  <c r="AN114" i="7"/>
  <c r="AM115" i="7"/>
  <c r="AN115" i="7"/>
  <c r="AM116" i="7"/>
  <c r="AN116" i="7"/>
  <c r="AM117" i="7"/>
  <c r="AN117" i="7"/>
  <c r="AM118" i="7"/>
  <c r="AN118" i="7"/>
  <c r="AM119" i="7"/>
  <c r="AN119" i="7"/>
  <c r="AM120" i="7"/>
  <c r="AN120" i="7"/>
  <c r="AM121" i="7"/>
  <c r="AN121" i="7"/>
  <c r="AM122" i="7"/>
  <c r="AN122" i="7"/>
  <c r="AM123" i="7"/>
  <c r="AN123" i="7"/>
  <c r="AM124" i="7"/>
  <c r="AN124" i="7"/>
  <c r="AM125" i="7"/>
  <c r="AN125" i="7"/>
  <c r="AM126" i="7"/>
  <c r="AN126" i="7"/>
  <c r="AM127" i="7"/>
  <c r="AN127" i="7"/>
  <c r="AM128" i="7"/>
  <c r="AN128" i="7"/>
  <c r="AM129" i="7"/>
  <c r="AN129" i="7"/>
  <c r="AM130" i="7"/>
  <c r="AN130" i="7"/>
  <c r="AM131" i="7"/>
  <c r="AN131" i="7"/>
  <c r="AN61" i="7"/>
  <c r="AM61" i="7"/>
  <c r="AM133" i="7"/>
  <c r="AN133" i="7"/>
  <c r="AM134" i="7"/>
  <c r="AN134" i="7"/>
  <c r="AM135" i="7"/>
  <c r="AN135" i="7"/>
  <c r="AM136" i="7"/>
  <c r="AN136" i="7"/>
  <c r="AM137" i="7"/>
  <c r="AN137" i="7"/>
  <c r="AM138" i="7"/>
  <c r="AN138" i="7"/>
  <c r="AM139" i="7"/>
  <c r="AN139" i="7"/>
  <c r="G22" i="6"/>
  <c r="G45" i="6" s="1"/>
  <c r="G47" i="6" s="1"/>
  <c r="G26" i="6"/>
  <c r="G41" i="6" s="1"/>
  <c r="F22" i="6"/>
  <c r="F45" i="6" s="1"/>
  <c r="F47" i="6" s="1"/>
  <c r="F26" i="6"/>
  <c r="F41" i="6" s="1"/>
  <c r="E22" i="6"/>
  <c r="E45" i="6" s="1"/>
  <c r="E47" i="6" s="1"/>
  <c r="E26" i="6"/>
  <c r="E41" i="6" s="1"/>
  <c r="D22" i="6"/>
  <c r="D45" i="6" s="1"/>
  <c r="D47" i="6" s="1"/>
  <c r="D26" i="6"/>
  <c r="D41" i="6" s="1"/>
  <c r="C22" i="6"/>
  <c r="C45" i="6" s="1"/>
  <c r="C47" i="6" s="1"/>
  <c r="C26" i="6"/>
  <c r="C41" i="6" s="1"/>
  <c r="AT6" i="7"/>
  <c r="AU6" i="7"/>
  <c r="AV6" i="7"/>
  <c r="AW6" i="7" s="1"/>
  <c r="AV7" i="7"/>
  <c r="AW7" i="7" s="1"/>
  <c r="AV8" i="7"/>
  <c r="AW8" i="7" s="1"/>
  <c r="AV9" i="7"/>
  <c r="AW9" i="7" s="1"/>
  <c r="AV10" i="7"/>
  <c r="AW10" i="7" s="1"/>
  <c r="AV11" i="7"/>
  <c r="AW11" i="7" s="1"/>
  <c r="AV12" i="7"/>
  <c r="AW12" i="7" s="1"/>
  <c r="AV13" i="7"/>
  <c r="AW13" i="7" s="1"/>
  <c r="AV14" i="7"/>
  <c r="AW14" i="7" s="1"/>
  <c r="AV15" i="7"/>
  <c r="AW15" i="7" s="1"/>
  <c r="AV16" i="7"/>
  <c r="AW16" i="7" s="1"/>
  <c r="AV17" i="7"/>
  <c r="AW17" i="7" s="1"/>
  <c r="AV18" i="7"/>
  <c r="AW18" i="7" s="1"/>
  <c r="AV19" i="7"/>
  <c r="AW19" i="7" s="1"/>
  <c r="AV20" i="7"/>
  <c r="AW20" i="7" s="1"/>
  <c r="AV21" i="7"/>
  <c r="AW21" i="7" s="1"/>
  <c r="AV22" i="7"/>
  <c r="AW22" i="7" s="1"/>
  <c r="AV23" i="7"/>
  <c r="AW23" i="7" s="1"/>
  <c r="AV24" i="7"/>
  <c r="AW24" i="7" s="1"/>
  <c r="AV25" i="7"/>
  <c r="AW25" i="7" s="1"/>
  <c r="AV26" i="7"/>
  <c r="AW26" i="7" s="1"/>
  <c r="AV27" i="7"/>
  <c r="AW27" i="7" s="1"/>
  <c r="AV28" i="7"/>
  <c r="AW28" i="7" s="1"/>
  <c r="AV29" i="7"/>
  <c r="AW29" i="7" s="1"/>
  <c r="AV30" i="7"/>
  <c r="AW30" i="7" s="1"/>
  <c r="AV31" i="7"/>
  <c r="AW31" i="7" s="1"/>
  <c r="AV32" i="7"/>
  <c r="AW32" i="7" s="1"/>
  <c r="AV33" i="7"/>
  <c r="AW33" i="7" s="1"/>
  <c r="AV34" i="7"/>
  <c r="AW34" i="7" s="1"/>
  <c r="AV35" i="7"/>
  <c r="AW35" i="7" s="1"/>
  <c r="AV36" i="7"/>
  <c r="AW36" i="7" s="1"/>
  <c r="AV37" i="7"/>
  <c r="AW37" i="7" s="1"/>
  <c r="AV38" i="7"/>
  <c r="AW38" i="7" s="1"/>
  <c r="AV39" i="7"/>
  <c r="AW39" i="7" s="1"/>
  <c r="AV40" i="7"/>
  <c r="AW40" i="7" s="1"/>
  <c r="AV41" i="7"/>
  <c r="AW41" i="7" s="1"/>
  <c r="AV42" i="7"/>
  <c r="AW42" i="7" s="1"/>
  <c r="AV43" i="7"/>
  <c r="AW43" i="7" s="1"/>
  <c r="AV44" i="7"/>
  <c r="AW44" i="7" s="1"/>
  <c r="AV45" i="7"/>
  <c r="AW45" i="7" s="1"/>
  <c r="AV46" i="7"/>
  <c r="AW46" i="7" s="1"/>
  <c r="AV47" i="7"/>
  <c r="AW47" i="7" s="1"/>
  <c r="AV48" i="7"/>
  <c r="AW48" i="7" s="1"/>
  <c r="AV49" i="7"/>
  <c r="AW49" i="7" s="1"/>
  <c r="AV50" i="7"/>
  <c r="AW50" i="7" s="1"/>
  <c r="AV51" i="7"/>
  <c r="AW51" i="7" s="1"/>
  <c r="AV52" i="7"/>
  <c r="AW52" i="7" s="1"/>
  <c r="AV53" i="7"/>
  <c r="AW53" i="7" s="1"/>
  <c r="AV54" i="7"/>
  <c r="AW54" i="7" s="1"/>
  <c r="AV55" i="7"/>
  <c r="AW55" i="7" s="1"/>
  <c r="AV56" i="7"/>
  <c r="AW56" i="7" s="1"/>
  <c r="AV57" i="7"/>
  <c r="AW57" i="7" s="1"/>
  <c r="AV58" i="7"/>
  <c r="AW58" i="7" s="1"/>
  <c r="AV59" i="7"/>
  <c r="AW59" i="7" s="1"/>
  <c r="AV60" i="7"/>
  <c r="AW60" i="7" s="1"/>
  <c r="AV62" i="7"/>
  <c r="AW62" i="7" s="1"/>
  <c r="AV63" i="7"/>
  <c r="AW63" i="7" s="1"/>
  <c r="AV64" i="7"/>
  <c r="AW64" i="7" s="1"/>
  <c r="AV65" i="7"/>
  <c r="AW65" i="7" s="1"/>
  <c r="AV66" i="7"/>
  <c r="AW66" i="7" s="1"/>
  <c r="AV67" i="7"/>
  <c r="AW67" i="7" s="1"/>
  <c r="AV68" i="7"/>
  <c r="AW68" i="7" s="1"/>
  <c r="AV69" i="7"/>
  <c r="AW69" i="7" s="1"/>
  <c r="AV70" i="7"/>
  <c r="AW70" i="7" s="1"/>
  <c r="AV71" i="7"/>
  <c r="AW71" i="7" s="1"/>
  <c r="AV72" i="7"/>
  <c r="AW72" i="7" s="1"/>
  <c r="AV73" i="7"/>
  <c r="AW73" i="7" s="1"/>
  <c r="AV74" i="7"/>
  <c r="AW74" i="7" s="1"/>
  <c r="AV75" i="7"/>
  <c r="AW75" i="7" s="1"/>
  <c r="AV76" i="7"/>
  <c r="AW76" i="7" s="1"/>
  <c r="AV77" i="7"/>
  <c r="AW77" i="7" s="1"/>
  <c r="AV78" i="7"/>
  <c r="AW78" i="7" s="1"/>
  <c r="AV79" i="7"/>
  <c r="AW79" i="7" s="1"/>
  <c r="AV80" i="7"/>
  <c r="AW80" i="7" s="1"/>
  <c r="AV81" i="7"/>
  <c r="AW81" i="7" s="1"/>
  <c r="AV82" i="7"/>
  <c r="AW82" i="7" s="1"/>
  <c r="AV83" i="7"/>
  <c r="AW83" i="7" s="1"/>
  <c r="AV84" i="7"/>
  <c r="AW84" i="7" s="1"/>
  <c r="AV85" i="7"/>
  <c r="AW85" i="7" s="1"/>
  <c r="AV86" i="7"/>
  <c r="AW86" i="7" s="1"/>
  <c r="AV87" i="7"/>
  <c r="AW87" i="7" s="1"/>
  <c r="AV88" i="7"/>
  <c r="AW88" i="7" s="1"/>
  <c r="AV89" i="7"/>
  <c r="AW89" i="7" s="1"/>
  <c r="AV90" i="7"/>
  <c r="AW90" i="7" s="1"/>
  <c r="AV91" i="7"/>
  <c r="AW91" i="7" s="1"/>
  <c r="AV92" i="7"/>
  <c r="AW92" i="7" s="1"/>
  <c r="AV93" i="7"/>
  <c r="AW93" i="7" s="1"/>
  <c r="AV94" i="7"/>
  <c r="AW94" i="7" s="1"/>
  <c r="AV95" i="7"/>
  <c r="AW95" i="7" s="1"/>
  <c r="AV96" i="7"/>
  <c r="AW96" i="7" s="1"/>
  <c r="AV97" i="7"/>
  <c r="AW97" i="7" s="1"/>
  <c r="AV98" i="7"/>
  <c r="AW98" i="7" s="1"/>
  <c r="AV99" i="7"/>
  <c r="AW99" i="7" s="1"/>
  <c r="AV100" i="7"/>
  <c r="AW100" i="7" s="1"/>
  <c r="AV101" i="7"/>
  <c r="AW101" i="7" s="1"/>
  <c r="AV102" i="7"/>
  <c r="AW102" i="7" s="1"/>
  <c r="AV103" i="7"/>
  <c r="AW103" i="7" s="1"/>
  <c r="AV104" i="7"/>
  <c r="AW104" i="7" s="1"/>
  <c r="AV105" i="7"/>
  <c r="AW105" i="7" s="1"/>
  <c r="AV106" i="7"/>
  <c r="AW106" i="7" s="1"/>
  <c r="AV107" i="7"/>
  <c r="AW107" i="7" s="1"/>
  <c r="AV108" i="7"/>
  <c r="AW108" i="7" s="1"/>
  <c r="AV109" i="7"/>
  <c r="AW109" i="7" s="1"/>
  <c r="AV110" i="7"/>
  <c r="AW110" i="7" s="1"/>
  <c r="AV111" i="7"/>
  <c r="AW111" i="7" s="1"/>
  <c r="AV112" i="7"/>
  <c r="AW112" i="7" s="1"/>
  <c r="AV113" i="7"/>
  <c r="AW113" i="7" s="1"/>
  <c r="AV114" i="7"/>
  <c r="AW114" i="7" s="1"/>
  <c r="AV115" i="7"/>
  <c r="AW115" i="7" s="1"/>
  <c r="AV116" i="7"/>
  <c r="AW116" i="7" s="1"/>
  <c r="AV117" i="7"/>
  <c r="AW117" i="7" s="1"/>
  <c r="AV118" i="7"/>
  <c r="AW118" i="7" s="1"/>
  <c r="AV119" i="7"/>
  <c r="AW119" i="7" s="1"/>
  <c r="AV120" i="7"/>
  <c r="AW120" i="7" s="1"/>
  <c r="AV121" i="7"/>
  <c r="AW121" i="7" s="1"/>
  <c r="AV122" i="7"/>
  <c r="AW122" i="7" s="1"/>
  <c r="AV123" i="7"/>
  <c r="AW123" i="7" s="1"/>
  <c r="AV124" i="7"/>
  <c r="AW124" i="7" s="1"/>
  <c r="AV125" i="7"/>
  <c r="AW125" i="7" s="1"/>
  <c r="AV126" i="7"/>
  <c r="AW126" i="7" s="1"/>
  <c r="AV127" i="7"/>
  <c r="AW127" i="7" s="1"/>
  <c r="AV128" i="7"/>
  <c r="AW128" i="7" s="1"/>
  <c r="AV129" i="7"/>
  <c r="AW129" i="7" s="1"/>
  <c r="AV130" i="7"/>
  <c r="AW130" i="7" s="1"/>
  <c r="AV131" i="7"/>
  <c r="AW131" i="7" s="1"/>
  <c r="AV132" i="7"/>
  <c r="AW132" i="7" s="1"/>
  <c r="AV133" i="7"/>
  <c r="AW133" i="7" s="1"/>
  <c r="AV134" i="7"/>
  <c r="AW134" i="7" s="1"/>
  <c r="AV135" i="7"/>
  <c r="AW135" i="7" s="1"/>
  <c r="AV136" i="7"/>
  <c r="AW136" i="7" s="1"/>
  <c r="AV137" i="7"/>
  <c r="AW137" i="7" s="1"/>
  <c r="AV138" i="7"/>
  <c r="AW138" i="7" s="1"/>
  <c r="AV139" i="7"/>
  <c r="AW139" i="7" s="1"/>
  <c r="AV140" i="7"/>
  <c r="AW140" i="7" s="1"/>
  <c r="AV141" i="7"/>
  <c r="AW141" i="7" s="1"/>
  <c r="AV142" i="7"/>
  <c r="AW142" i="7" s="1"/>
  <c r="AV143" i="7"/>
  <c r="AW143" i="7" s="1"/>
  <c r="AV144" i="7"/>
  <c r="AW144" i="7" s="1"/>
  <c r="AV145" i="7"/>
  <c r="AW145" i="7" s="1"/>
  <c r="AV146" i="7"/>
  <c r="AW146" i="7" s="1"/>
  <c r="AV147" i="7"/>
  <c r="AW147" i="7" s="1"/>
  <c r="AV148" i="7"/>
  <c r="AW148" i="7" s="1"/>
  <c r="AV149" i="7"/>
  <c r="AW149" i="7" s="1"/>
  <c r="AV150" i="7"/>
  <c r="AW150" i="7" s="1"/>
  <c r="AV151" i="7"/>
  <c r="AW151" i="7" s="1"/>
  <c r="AV152" i="7"/>
  <c r="AW152" i="7" s="1"/>
  <c r="AV153" i="7"/>
  <c r="AW153" i="7" s="1"/>
  <c r="AV154" i="7"/>
  <c r="AW154" i="7" s="1"/>
  <c r="AV155" i="7"/>
  <c r="AW155" i="7" s="1"/>
  <c r="AV156" i="7"/>
  <c r="AW156" i="7" s="1"/>
  <c r="AV157" i="7"/>
  <c r="AW157" i="7" s="1"/>
  <c r="AV158" i="7"/>
  <c r="AW158" i="7" s="1"/>
  <c r="AV159" i="7"/>
  <c r="AW159" i="7" s="1"/>
  <c r="AV160" i="7"/>
  <c r="AW160" i="7" s="1"/>
  <c r="AV161" i="7"/>
  <c r="AW161" i="7" s="1"/>
  <c r="AV162" i="7"/>
  <c r="AW162" i="7" s="1"/>
  <c r="AV163" i="7"/>
  <c r="AW163" i="7" s="1"/>
  <c r="AV164" i="7"/>
  <c r="AW164" i="7" s="1"/>
  <c r="AV165" i="7"/>
  <c r="AW165" i="7" s="1"/>
  <c r="AV166" i="7"/>
  <c r="AW166" i="7" s="1"/>
  <c r="AV167" i="7"/>
  <c r="AW167" i="7" s="1"/>
  <c r="AV168" i="7"/>
  <c r="AW168" i="7" s="1"/>
  <c r="AV169" i="7"/>
  <c r="AW169" i="7" s="1"/>
  <c r="AV170" i="7"/>
  <c r="AW170" i="7" s="1"/>
  <c r="AV171" i="7"/>
  <c r="AW171" i="7" s="1"/>
  <c r="AV172" i="7"/>
  <c r="AW172" i="7" s="1"/>
  <c r="AV173" i="7"/>
  <c r="AW173" i="7" s="1"/>
  <c r="AV174" i="7"/>
  <c r="AW174" i="7" s="1"/>
  <c r="AV175" i="7"/>
  <c r="AW175" i="7" s="1"/>
  <c r="AV176" i="7"/>
  <c r="AW176" i="7" s="1"/>
  <c r="AV177" i="7"/>
  <c r="AW177" i="7" s="1"/>
  <c r="AV178" i="7"/>
  <c r="AW178" i="7" s="1"/>
  <c r="AV179" i="7"/>
  <c r="AW179" i="7" s="1"/>
  <c r="AV180" i="7"/>
  <c r="AW180" i="7" s="1"/>
  <c r="AV181" i="7"/>
  <c r="AW181" i="7" s="1"/>
  <c r="AV182" i="7"/>
  <c r="AW182" i="7" s="1"/>
  <c r="AV183" i="7"/>
  <c r="AW183" i="7" s="1"/>
  <c r="AV184" i="7"/>
  <c r="AW184" i="7" s="1"/>
  <c r="AV185" i="7"/>
  <c r="AW185" i="7" s="1"/>
  <c r="AV186" i="7"/>
  <c r="AW186" i="7" s="1"/>
  <c r="AV187" i="7"/>
  <c r="AW187" i="7" s="1"/>
  <c r="AV188" i="7"/>
  <c r="AW188" i="7" s="1"/>
  <c r="AV189" i="7"/>
  <c r="AW189" i="7" s="1"/>
  <c r="AV190" i="7"/>
  <c r="AW190" i="7" s="1"/>
  <c r="AV191" i="7"/>
  <c r="AW191" i="7" s="1"/>
  <c r="AV192" i="7"/>
  <c r="AW192" i="7" s="1"/>
  <c r="AV193" i="7"/>
  <c r="AW193" i="7" s="1"/>
  <c r="AV194" i="7"/>
  <c r="AW194" i="7" s="1"/>
  <c r="AV195" i="7"/>
  <c r="AW195" i="7" s="1"/>
  <c r="AV196" i="7"/>
  <c r="AW196" i="7" s="1"/>
  <c r="AV197" i="7"/>
  <c r="AW197" i="7" s="1"/>
  <c r="AV198" i="7"/>
  <c r="AW198" i="7" s="1"/>
  <c r="AV199" i="7"/>
  <c r="AW199" i="7" s="1"/>
  <c r="AV200" i="7"/>
  <c r="AW200" i="7" s="1"/>
  <c r="AV201" i="7"/>
  <c r="AW201" i="7" s="1"/>
  <c r="AV202" i="7"/>
  <c r="AW202" i="7" s="1"/>
  <c r="AV207" i="7"/>
  <c r="AW207" i="7" s="1"/>
  <c r="AV208" i="7"/>
  <c r="AW208" i="7" s="1"/>
  <c r="AV209" i="7"/>
  <c r="AW209" i="7" s="1"/>
  <c r="AV210" i="7"/>
  <c r="AW210" i="7" s="1"/>
  <c r="AV211" i="7"/>
  <c r="AW211" i="7" s="1"/>
  <c r="AV212" i="7"/>
  <c r="AW212" i="7" s="1"/>
  <c r="AV213" i="7"/>
  <c r="AW213" i="7" s="1"/>
  <c r="AV214" i="7"/>
  <c r="AW214" i="7" s="1"/>
  <c r="AV215" i="7"/>
  <c r="AW215" i="7" s="1"/>
  <c r="AV216" i="7"/>
  <c r="AW216" i="7" s="1"/>
  <c r="AV217" i="7"/>
  <c r="AW217" i="7" s="1"/>
  <c r="AV218" i="7"/>
  <c r="AW218" i="7" s="1"/>
  <c r="AV219" i="7"/>
  <c r="AW219" i="7" s="1"/>
  <c r="AV220" i="7"/>
  <c r="AW220" i="7" s="1"/>
  <c r="AV221" i="7"/>
  <c r="AW221" i="7" s="1"/>
  <c r="AV222" i="7"/>
  <c r="AW222" i="7" s="1"/>
  <c r="AV223" i="7"/>
  <c r="AW223" i="7" s="1"/>
  <c r="AV224" i="7"/>
  <c r="AW224" i="7" s="1"/>
  <c r="AV225" i="7"/>
  <c r="AW225" i="7" s="1"/>
  <c r="AV226" i="7"/>
  <c r="AW226" i="7" s="1"/>
  <c r="AV227" i="7"/>
  <c r="AW227" i="7" s="1"/>
  <c r="AV228" i="7"/>
  <c r="AW228" i="7" s="1"/>
  <c r="AV229" i="7"/>
  <c r="AW229" i="7" s="1"/>
  <c r="AV230" i="7"/>
  <c r="AW230" i="7" s="1"/>
  <c r="AV231" i="7"/>
  <c r="AW231" i="7" s="1"/>
  <c r="AV232" i="7"/>
  <c r="AW232" i="7" s="1"/>
  <c r="AV233" i="7"/>
  <c r="AW233" i="7" s="1"/>
  <c r="AV234" i="7"/>
  <c r="AW234" i="7" s="1"/>
  <c r="AV235" i="7"/>
  <c r="AW235" i="7" s="1"/>
  <c r="AV236" i="7"/>
  <c r="AW236" i="7" s="1"/>
  <c r="AV237" i="7"/>
  <c r="AW237" i="7" s="1"/>
  <c r="AV238" i="7"/>
  <c r="AW238" i="7" s="1"/>
  <c r="AV239" i="7"/>
  <c r="AW239" i="7" s="1"/>
  <c r="AV240" i="7"/>
  <c r="AW240" i="7" s="1"/>
  <c r="AV241" i="7"/>
  <c r="AW241" i="7" s="1"/>
  <c r="AV242" i="7"/>
  <c r="AW242" i="7" s="1"/>
  <c r="AV243" i="7"/>
  <c r="AW243" i="7" s="1"/>
  <c r="AV244" i="7"/>
  <c r="AW244" i="7" s="1"/>
  <c r="AV245" i="7"/>
  <c r="AW245" i="7" s="1"/>
  <c r="AV246" i="7"/>
  <c r="AW246" i="7" s="1"/>
  <c r="AV247" i="7"/>
  <c r="AW247" i="7" s="1"/>
  <c r="AV248" i="7"/>
  <c r="AW248" i="7" s="1"/>
  <c r="AV249" i="7"/>
  <c r="AW249" i="7" s="1"/>
  <c r="AV250" i="7"/>
  <c r="AW250" i="7" s="1"/>
  <c r="AV251" i="7"/>
  <c r="AW251" i="7" s="1"/>
  <c r="AV252" i="7"/>
  <c r="AW252" i="7" s="1"/>
  <c r="AV253" i="7"/>
  <c r="AW253" i="7" s="1"/>
  <c r="AV254" i="7"/>
  <c r="AW254" i="7" s="1"/>
  <c r="AV255" i="7"/>
  <c r="AW255" i="7" s="1"/>
  <c r="AV256" i="7"/>
  <c r="AW256" i="7" s="1"/>
  <c r="AV257" i="7"/>
  <c r="AW257" i="7" s="1"/>
  <c r="AV258" i="7"/>
  <c r="AW258" i="7" s="1"/>
  <c r="AV259" i="7"/>
  <c r="AW259" i="7" s="1"/>
  <c r="AV260" i="7"/>
  <c r="AW260" i="7" s="1"/>
  <c r="AV261" i="7"/>
  <c r="AW261" i="7" s="1"/>
  <c r="AV262" i="7"/>
  <c r="AW262" i="7" s="1"/>
  <c r="AV263" i="7"/>
  <c r="AW263" i="7" s="1"/>
  <c r="AV264" i="7"/>
  <c r="AW264" i="7" s="1"/>
  <c r="AV265" i="7"/>
  <c r="AW265" i="7" s="1"/>
  <c r="AV266" i="7"/>
  <c r="AW266" i="7" s="1"/>
  <c r="AV267" i="7"/>
  <c r="AW267" i="7" s="1"/>
  <c r="AV268" i="7"/>
  <c r="AW268" i="7" s="1"/>
  <c r="AV269" i="7"/>
  <c r="AW269" i="7" s="1"/>
  <c r="AV270" i="7"/>
  <c r="AW270" i="7" s="1"/>
  <c r="AV271" i="7"/>
  <c r="AW271" i="7" s="1"/>
  <c r="AV272" i="7"/>
  <c r="AW272" i="7" s="1"/>
  <c r="AV273" i="7"/>
  <c r="AW273" i="7" s="1"/>
  <c r="AV280" i="7"/>
  <c r="AW280" i="7" s="1"/>
  <c r="AV281" i="7"/>
  <c r="AW281" i="7" s="1"/>
  <c r="AV282" i="7"/>
  <c r="AW282" i="7" s="1"/>
  <c r="AV283" i="7"/>
  <c r="AW283" i="7" s="1"/>
  <c r="AV284" i="7"/>
  <c r="AW284" i="7" s="1"/>
  <c r="AV285" i="7"/>
  <c r="AW285" i="7" s="1"/>
  <c r="AV286" i="7"/>
  <c r="AW286" i="7" s="1"/>
  <c r="AV287" i="7"/>
  <c r="AW287" i="7" s="1"/>
  <c r="AV288" i="7"/>
  <c r="AW288" i="7" s="1"/>
  <c r="AV289" i="7"/>
  <c r="AW289" i="7" s="1"/>
  <c r="AV290" i="7"/>
  <c r="AW290" i="7" s="1"/>
  <c r="AV291" i="7"/>
  <c r="AW291" i="7" s="1"/>
  <c r="AV292" i="7"/>
  <c r="AW292" i="7" s="1"/>
  <c r="AV293" i="7"/>
  <c r="AW293" i="7" s="1"/>
  <c r="AV294" i="7"/>
  <c r="AW294" i="7" s="1"/>
  <c r="AV295" i="7"/>
  <c r="AW295" i="7" s="1"/>
  <c r="AV296" i="7"/>
  <c r="AW296" i="7" s="1"/>
  <c r="AV297" i="7"/>
  <c r="AW297" i="7" s="1"/>
  <c r="AV298" i="7"/>
  <c r="AW298" i="7" s="1"/>
  <c r="AV299" i="7"/>
  <c r="AW299" i="7" s="1"/>
  <c r="AV300" i="7"/>
  <c r="AW300" i="7" s="1"/>
  <c r="AV301" i="7"/>
  <c r="AW301" i="7" s="1"/>
  <c r="AV302" i="7"/>
  <c r="AW302" i="7" s="1"/>
  <c r="AV303" i="7"/>
  <c r="AW303" i="7" s="1"/>
  <c r="AV304" i="7"/>
  <c r="AW304" i="7" s="1"/>
  <c r="AV305" i="7"/>
  <c r="AW305" i="7" s="1"/>
  <c r="AV306" i="7"/>
  <c r="AW306" i="7" s="1"/>
  <c r="AV307" i="7"/>
  <c r="AW307" i="7" s="1"/>
  <c r="AV308" i="7"/>
  <c r="AW308" i="7" s="1"/>
  <c r="AV309" i="7"/>
  <c r="AW309" i="7" s="1"/>
  <c r="AV310" i="7"/>
  <c r="AW310" i="7" s="1"/>
  <c r="AV311" i="7"/>
  <c r="AW311" i="7" s="1"/>
  <c r="AV312" i="7"/>
  <c r="AW312" i="7" s="1"/>
  <c r="AV313" i="7"/>
  <c r="AW313" i="7" s="1"/>
  <c r="AV314" i="7"/>
  <c r="AW314" i="7" s="1"/>
  <c r="AV315" i="7"/>
  <c r="AW315" i="7" s="1"/>
  <c r="AV316" i="7"/>
  <c r="AW316" i="7" s="1"/>
  <c r="AV317" i="7"/>
  <c r="AW317" i="7" s="1"/>
  <c r="AV318" i="7"/>
  <c r="AW318" i="7" s="1"/>
  <c r="AV319" i="7"/>
  <c r="AW319" i="7" s="1"/>
  <c r="AV320" i="7"/>
  <c r="AW320" i="7" s="1"/>
  <c r="AV321" i="7"/>
  <c r="AW321" i="7" s="1"/>
  <c r="AV322" i="7"/>
  <c r="AW322" i="7" s="1"/>
  <c r="AV323" i="7"/>
  <c r="AW323" i="7" s="1"/>
  <c r="AV324" i="7"/>
  <c r="AW324" i="7" s="1"/>
  <c r="AV325" i="7"/>
  <c r="AW325" i="7" s="1"/>
  <c r="AV326" i="7"/>
  <c r="AW326" i="7" s="1"/>
  <c r="AV327" i="7"/>
  <c r="AW327" i="7" s="1"/>
  <c r="AV328" i="7"/>
  <c r="AW328" i="7" s="1"/>
  <c r="AV329" i="7"/>
  <c r="AW329" i="7" s="1"/>
  <c r="AV330" i="7"/>
  <c r="AW330" i="7" s="1"/>
  <c r="AV331" i="7"/>
  <c r="AW331" i="7" s="1"/>
  <c r="AV332" i="7"/>
  <c r="AW332" i="7" s="1"/>
  <c r="AV333" i="7"/>
  <c r="AW333" i="7" s="1"/>
  <c r="AV334" i="7"/>
  <c r="AW334" i="7" s="1"/>
  <c r="AV335" i="7"/>
  <c r="AW335" i="7" s="1"/>
  <c r="AV336" i="7"/>
  <c r="AW336" i="7" s="1"/>
  <c r="AV337" i="7"/>
  <c r="AW337" i="7" s="1"/>
  <c r="AV338" i="7"/>
  <c r="AW338" i="7" s="1"/>
  <c r="AV339" i="7"/>
  <c r="AW339" i="7" s="1"/>
  <c r="AV340" i="7"/>
  <c r="AW340" i="7" s="1"/>
  <c r="AV341" i="7"/>
  <c r="AW341" i="7" s="1"/>
  <c r="AV342" i="7"/>
  <c r="AW342" i="7" s="1"/>
  <c r="AV343" i="7"/>
  <c r="AW343" i="7" s="1"/>
  <c r="AV344" i="7"/>
  <c r="AW344" i="7" s="1"/>
  <c r="AV345" i="7"/>
  <c r="AW345" i="7" s="1"/>
  <c r="AV346" i="7"/>
  <c r="AW346" i="7" s="1"/>
  <c r="AV347" i="7"/>
  <c r="AW347" i="7" s="1"/>
  <c r="AV348" i="7"/>
  <c r="AW348" i="7" s="1"/>
  <c r="AV349" i="7"/>
  <c r="AW349" i="7" s="1"/>
  <c r="AV350" i="7"/>
  <c r="AW350" i="7" s="1"/>
  <c r="AV351" i="7"/>
  <c r="AW351" i="7" s="1"/>
  <c r="AV352" i="7"/>
  <c r="AW352" i="7" s="1"/>
  <c r="AV353" i="7"/>
  <c r="AW353" i="7" s="1"/>
  <c r="AV354" i="7"/>
  <c r="AW354" i="7" s="1"/>
  <c r="AV355" i="7"/>
  <c r="AW355" i="7" s="1"/>
  <c r="AV356" i="7"/>
  <c r="AW356" i="7" s="1"/>
  <c r="AV357" i="7"/>
  <c r="AW357" i="7" s="1"/>
  <c r="AV358" i="7"/>
  <c r="AW358" i="7" s="1"/>
  <c r="AV359" i="7"/>
  <c r="AW359" i="7" s="1"/>
  <c r="AV360" i="7"/>
  <c r="AW360" i="7" s="1"/>
  <c r="AV361" i="7"/>
  <c r="AW361" i="7" s="1"/>
  <c r="AV362" i="7"/>
  <c r="AW362" i="7" s="1"/>
  <c r="AV363" i="7"/>
  <c r="AW363" i="7" s="1"/>
  <c r="AV364" i="7"/>
  <c r="AW364" i="7" s="1"/>
  <c r="AV365" i="7"/>
  <c r="AW365" i="7" s="1"/>
  <c r="AV366" i="7"/>
  <c r="AW366" i="7" s="1"/>
  <c r="AV367" i="7"/>
  <c r="AW367" i="7" s="1"/>
  <c r="AV368" i="7"/>
  <c r="AW368" i="7" s="1"/>
  <c r="AV369" i="7"/>
  <c r="AW369" i="7" s="1"/>
  <c r="AV370" i="7"/>
  <c r="AW370" i="7" s="1"/>
  <c r="AV371" i="7"/>
  <c r="AW371" i="7" s="1"/>
  <c r="AV372" i="7"/>
  <c r="AW372" i="7" s="1"/>
  <c r="AV373" i="7"/>
  <c r="AW373" i="7" s="1"/>
  <c r="AV374" i="7"/>
  <c r="AW374" i="7" s="1"/>
  <c r="AV375" i="7"/>
  <c r="AW375" i="7" s="1"/>
  <c r="AV376" i="7"/>
  <c r="AW376" i="7" s="1"/>
  <c r="AV377" i="7"/>
  <c r="AW377" i="7" s="1"/>
  <c r="AV378" i="7"/>
  <c r="AW378" i="7" s="1"/>
  <c r="AV379" i="7"/>
  <c r="AW379" i="7" s="1"/>
  <c r="AV380" i="7"/>
  <c r="AW380" i="7" s="1"/>
  <c r="AV381" i="7"/>
  <c r="AW381" i="7" s="1"/>
  <c r="AV382" i="7"/>
  <c r="AW382" i="7" s="1"/>
  <c r="AV383" i="7"/>
  <c r="AW383" i="7" s="1"/>
  <c r="AV384" i="7"/>
  <c r="AW384" i="7" s="1"/>
  <c r="AV385" i="7"/>
  <c r="AW385" i="7" s="1"/>
  <c r="AV386" i="7"/>
  <c r="AW386" i="7" s="1"/>
  <c r="AV387" i="7"/>
  <c r="AW387" i="7" s="1"/>
  <c r="AV388" i="7"/>
  <c r="AW388" i="7" s="1"/>
  <c r="AV389" i="7"/>
  <c r="AW389" i="7" s="1"/>
  <c r="AV390" i="7"/>
  <c r="AW390" i="7" s="1"/>
  <c r="AV391" i="7"/>
  <c r="AW391" i="7" s="1"/>
  <c r="AV392" i="7"/>
  <c r="AW392" i="7" s="1"/>
  <c r="AV393" i="7"/>
  <c r="AW393" i="7" s="1"/>
  <c r="AV394" i="7"/>
  <c r="AW394" i="7" s="1"/>
  <c r="AV395" i="7"/>
  <c r="AW395" i="7" s="1"/>
  <c r="AV396" i="7"/>
  <c r="AW396" i="7" s="1"/>
  <c r="AV397" i="7"/>
  <c r="AW397" i="7" s="1"/>
  <c r="AV398" i="7"/>
  <c r="AW398" i="7" s="1"/>
  <c r="AV399" i="7"/>
  <c r="AW399" i="7" s="1"/>
  <c r="AV400" i="7"/>
  <c r="AW400" i="7" s="1"/>
  <c r="AV401" i="7"/>
  <c r="AW401" i="7" s="1"/>
  <c r="AV402" i="7"/>
  <c r="AW402" i="7" s="1"/>
  <c r="AV403" i="7"/>
  <c r="AW403" i="7" s="1"/>
  <c r="AV404" i="7"/>
  <c r="AW404" i="7" s="1"/>
  <c r="AV405" i="7"/>
  <c r="AW405" i="7" s="1"/>
  <c r="AV406" i="7"/>
  <c r="AW406" i="7" s="1"/>
  <c r="AV407" i="7"/>
  <c r="AW407" i="7" s="1"/>
  <c r="AV408" i="7"/>
  <c r="AW408" i="7" s="1"/>
  <c r="AV409" i="7"/>
  <c r="AW409" i="7" s="1"/>
  <c r="AV410" i="7"/>
  <c r="AW410" i="7" s="1"/>
  <c r="AV411" i="7"/>
  <c r="AW411" i="7" s="1"/>
  <c r="AV412" i="7"/>
  <c r="AW412" i="7" s="1"/>
  <c r="AV413" i="7"/>
  <c r="AW413" i="7" s="1"/>
  <c r="AV414" i="7"/>
  <c r="AW414" i="7" s="1"/>
  <c r="AV415" i="7"/>
  <c r="AW415" i="7" s="1"/>
  <c r="AV416" i="7"/>
  <c r="AW416" i="7" s="1"/>
  <c r="AV417" i="7"/>
  <c r="AW417" i="7" s="1"/>
  <c r="AV418" i="7"/>
  <c r="AW418" i="7" s="1"/>
  <c r="AV419" i="7"/>
  <c r="AW419" i="7" s="1"/>
  <c r="AV420" i="7"/>
  <c r="AW420" i="7" s="1"/>
  <c r="AV421" i="7"/>
  <c r="AW421" i="7" s="1"/>
  <c r="AV422" i="7"/>
  <c r="AW422" i="7" s="1"/>
  <c r="AV423" i="7"/>
  <c r="AW423" i="7" s="1"/>
  <c r="AV424" i="7"/>
  <c r="AW424" i="7" s="1"/>
  <c r="AV425" i="7"/>
  <c r="AW425" i="7" s="1"/>
  <c r="AV426" i="7"/>
  <c r="AW426" i="7" s="1"/>
  <c r="AV445" i="7"/>
  <c r="AW445" i="7" s="1"/>
  <c r="AV446" i="7"/>
  <c r="AW446" i="7" s="1"/>
  <c r="AV504" i="7"/>
  <c r="AW504" i="7" s="1"/>
  <c r="A3" i="4"/>
  <c r="AV203" i="7"/>
  <c r="AW203" i="7" s="1"/>
  <c r="AV204" i="7"/>
  <c r="AW204" i="7" s="1"/>
  <c r="AV206" i="7"/>
  <c r="AW206" i="7" s="1"/>
  <c r="AV275" i="7"/>
  <c r="AW275" i="7" s="1"/>
  <c r="AV277" i="7"/>
  <c r="AW277" i="7" s="1"/>
  <c r="AV279" i="7"/>
  <c r="AW279" i="7" s="1"/>
  <c r="AV428" i="7"/>
  <c r="AW428" i="7" s="1"/>
  <c r="AV429" i="7"/>
  <c r="AW429" i="7" s="1"/>
  <c r="AV430" i="7"/>
  <c r="AW430" i="7" s="1"/>
  <c r="AV431" i="7"/>
  <c r="AW431" i="7" s="1"/>
  <c r="AV435" i="7"/>
  <c r="AW435" i="7" s="1"/>
  <c r="AV437" i="7"/>
  <c r="AW437" i="7" s="1"/>
  <c r="AV441" i="7"/>
  <c r="AW441" i="7" s="1"/>
  <c r="AV442" i="7"/>
  <c r="AW442" i="7" s="1"/>
  <c r="AV443" i="7"/>
  <c r="AW443" i="7" s="1"/>
  <c r="AV448" i="7"/>
  <c r="AW448" i="7" s="1"/>
  <c r="AV450" i="7"/>
  <c r="AW450" i="7" s="1"/>
  <c r="AV451" i="7"/>
  <c r="AW451" i="7" s="1"/>
  <c r="AV453" i="7"/>
  <c r="AW453" i="7" s="1"/>
  <c r="AV455" i="7"/>
  <c r="AW455" i="7" s="1"/>
  <c r="AV459" i="7"/>
  <c r="AW459" i="7" s="1"/>
  <c r="AV463" i="7"/>
  <c r="AW463" i="7" s="1"/>
  <c r="AV464" i="7"/>
  <c r="AW464" i="7" s="1"/>
  <c r="AV467" i="7"/>
  <c r="AW467" i="7" s="1"/>
  <c r="AV471" i="7"/>
  <c r="AW471" i="7" s="1"/>
  <c r="AV472" i="7"/>
  <c r="AW472" i="7" s="1"/>
  <c r="AV477" i="7"/>
  <c r="AW477" i="7" s="1"/>
  <c r="AV478" i="7"/>
  <c r="AW478" i="7" s="1"/>
  <c r="AV481" i="7"/>
  <c r="AW481" i="7" s="1"/>
  <c r="AV483" i="7"/>
  <c r="AW483" i="7" s="1"/>
  <c r="AV484" i="7"/>
  <c r="AW484" i="7" s="1"/>
  <c r="AV490" i="7"/>
  <c r="AW490" i="7" s="1"/>
  <c r="AV491" i="7"/>
  <c r="AW491" i="7" s="1"/>
  <c r="AV495" i="7"/>
  <c r="AW495" i="7" s="1"/>
  <c r="AV496" i="7"/>
  <c r="AW496" i="7" s="1"/>
  <c r="AV501" i="7"/>
  <c r="AW501" i="7" s="1"/>
  <c r="AV505" i="7"/>
  <c r="AW505" i="7" s="1"/>
  <c r="AV433" i="7"/>
  <c r="AW433" i="7" s="1"/>
  <c r="AV439" i="7"/>
  <c r="AW439" i="7" s="1"/>
  <c r="AV456" i="7"/>
  <c r="AW456" i="7" s="1"/>
  <c r="AV465" i="7"/>
  <c r="AW465" i="7" s="1"/>
  <c r="AV469" i="7"/>
  <c r="AW469" i="7" s="1"/>
  <c r="AV470" i="7"/>
  <c r="AW470" i="7" s="1"/>
  <c r="AV475" i="7"/>
  <c r="AW475" i="7" s="1"/>
  <c r="AV476" i="7"/>
  <c r="AW476" i="7" s="1"/>
  <c r="AV479" i="7"/>
  <c r="AW479" i="7" s="1"/>
  <c r="AV480" i="7"/>
  <c r="AW480" i="7" s="1"/>
  <c r="AV482" i="7"/>
  <c r="AW482" i="7" s="1"/>
  <c r="AV493" i="7"/>
  <c r="AW493" i="7" s="1"/>
  <c r="AV494" i="7"/>
  <c r="AW494" i="7" s="1"/>
  <c r="AV499" i="7"/>
  <c r="AW499" i="7" s="1"/>
  <c r="AV502" i="7"/>
  <c r="AW502" i="7" s="1"/>
  <c r="AV503" i="7"/>
  <c r="AW503" i="7" s="1"/>
  <c r="AV61" i="7"/>
  <c r="AW61" i="7" s="1"/>
  <c r="AV205" i="7"/>
  <c r="AW205" i="7" s="1"/>
  <c r="AV274" i="7"/>
  <c r="AW274" i="7" s="1"/>
  <c r="AV276" i="7"/>
  <c r="AW276" i="7" s="1"/>
  <c r="AV278" i="7"/>
  <c r="AW278" i="7" s="1"/>
  <c r="AV427" i="7"/>
  <c r="AW427" i="7" s="1"/>
  <c r="AV432" i="7"/>
  <c r="AW432" i="7" s="1"/>
  <c r="AV434" i="7"/>
  <c r="AW434" i="7" s="1"/>
  <c r="AV436" i="7"/>
  <c r="AW436" i="7" s="1"/>
  <c r="AV438" i="7"/>
  <c r="AW438" i="7" s="1"/>
  <c r="AV440" i="7"/>
  <c r="AW440" i="7" s="1"/>
  <c r="AV444" i="7"/>
  <c r="AW444" i="7" s="1"/>
  <c r="AV447" i="7"/>
  <c r="AW447" i="7" s="1"/>
  <c r="AV449" i="7"/>
  <c r="AW449" i="7" s="1"/>
  <c r="AV452" i="7"/>
  <c r="AW452" i="7" s="1"/>
  <c r="AV454" i="7"/>
  <c r="AW454" i="7" s="1"/>
  <c r="AV457" i="7"/>
  <c r="AW457" i="7" s="1"/>
  <c r="AV458" i="7"/>
  <c r="AW458" i="7" s="1"/>
  <c r="AV460" i="7"/>
  <c r="AW460" i="7" s="1"/>
  <c r="AV461" i="7"/>
  <c r="AW461" i="7" s="1"/>
  <c r="AV462" i="7"/>
  <c r="AW462" i="7" s="1"/>
  <c r="AV466" i="7"/>
  <c r="AW466" i="7" s="1"/>
  <c r="AV468" i="7"/>
  <c r="AW468" i="7" s="1"/>
  <c r="AV473" i="7"/>
  <c r="AW473" i="7" s="1"/>
  <c r="AV474" i="7"/>
  <c r="AW474" i="7" s="1"/>
  <c r="AV485" i="7"/>
  <c r="AW485" i="7" s="1"/>
  <c r="AV486" i="7"/>
  <c r="AW486" i="7" s="1"/>
  <c r="AV487" i="7"/>
  <c r="AW487" i="7" s="1"/>
  <c r="AV488" i="7"/>
  <c r="AW488" i="7" s="1"/>
  <c r="AV489" i="7"/>
  <c r="AW489" i="7" s="1"/>
  <c r="AV492" i="7"/>
  <c r="AW492" i="7" s="1"/>
  <c r="AV497" i="7"/>
  <c r="AW497" i="7" s="1"/>
  <c r="AV498" i="7"/>
  <c r="AW498" i="7" s="1"/>
  <c r="AV500" i="7"/>
  <c r="AW500" i="7" s="1"/>
  <c r="AN140" i="7" l="1"/>
  <c r="AM140" i="7"/>
  <c r="AN7" i="7"/>
  <c r="AM7" i="7"/>
  <c r="AM8" i="7"/>
  <c r="AN8" i="7"/>
  <c r="AN9" i="7"/>
  <c r="AM9" i="7"/>
  <c r="AM10" i="7"/>
  <c r="AN10" i="7"/>
  <c r="AM11" i="7"/>
  <c r="AN11" i="7"/>
  <c r="AM12" i="7"/>
  <c r="AN12" i="7"/>
  <c r="AM13" i="7"/>
  <c r="AN13" i="7"/>
  <c r="AM14" i="7"/>
  <c r="AN14" i="7"/>
  <c r="AM15" i="7"/>
  <c r="AN15" i="7"/>
  <c r="AM16" i="7"/>
  <c r="AN16" i="7"/>
  <c r="AM17" i="7"/>
  <c r="AN17" i="7"/>
  <c r="AM18" i="7"/>
  <c r="AN18" i="7"/>
  <c r="AN19" i="7"/>
  <c r="AM19" i="7"/>
  <c r="AN20" i="7"/>
  <c r="AM20" i="7"/>
  <c r="AM21" i="7"/>
  <c r="AN21" i="7"/>
  <c r="AM22" i="7"/>
  <c r="AN22" i="7"/>
  <c r="AM23" i="7"/>
  <c r="AN23" i="7"/>
  <c r="AM24" i="7"/>
  <c r="AN24" i="7"/>
  <c r="AM25" i="7"/>
  <c r="AN25" i="7"/>
  <c r="AN26" i="7"/>
  <c r="AM26" i="7"/>
  <c r="AM27" i="7"/>
  <c r="AN27" i="7"/>
  <c r="AM28" i="7"/>
  <c r="AN28" i="7"/>
  <c r="AM29" i="7"/>
  <c r="AN29" i="7"/>
  <c r="AM30" i="7"/>
  <c r="AN30" i="7"/>
  <c r="AM31" i="7"/>
  <c r="AN31" i="7"/>
  <c r="AM32" i="7"/>
  <c r="AN32" i="7"/>
  <c r="AN33" i="7"/>
  <c r="AM33" i="7"/>
  <c r="AM34" i="7"/>
  <c r="AN34" i="7"/>
  <c r="AM35" i="7"/>
  <c r="AN35" i="7"/>
  <c r="AM36" i="7"/>
  <c r="AN36" i="7"/>
  <c r="AM37" i="7"/>
  <c r="AN37" i="7"/>
  <c r="AM38" i="7"/>
  <c r="AN38" i="7"/>
  <c r="AN39" i="7"/>
  <c r="AM39" i="7"/>
  <c r="AN40" i="7"/>
  <c r="AM40" i="7"/>
  <c r="AM41" i="7"/>
  <c r="AN41" i="7"/>
  <c r="AM42" i="7"/>
  <c r="AN42" i="7"/>
  <c r="AM43" i="7"/>
  <c r="AN43" i="7"/>
  <c r="AM44" i="7"/>
  <c r="AN44" i="7"/>
  <c r="AM45" i="7"/>
  <c r="AN45" i="7"/>
  <c r="AM46" i="7"/>
  <c r="AN46" i="7"/>
  <c r="AM47" i="7"/>
  <c r="AN47" i="7"/>
  <c r="AN48" i="7"/>
  <c r="AM48" i="7"/>
  <c r="AN49" i="7"/>
  <c r="AM49" i="7"/>
  <c r="AM50" i="7"/>
  <c r="AN50" i="7"/>
  <c r="AM51" i="7"/>
  <c r="AN51" i="7"/>
  <c r="AM52" i="7"/>
  <c r="AN52" i="7"/>
  <c r="AM53" i="7"/>
  <c r="AN53" i="7"/>
  <c r="AM54" i="7"/>
  <c r="AN54" i="7"/>
  <c r="AM55" i="7"/>
  <c r="AN55" i="7"/>
  <c r="AM56" i="7"/>
  <c r="AN56" i="7"/>
  <c r="AM57" i="7"/>
  <c r="AN57" i="7"/>
  <c r="AM58" i="7"/>
  <c r="AN58" i="7"/>
  <c r="AM59" i="7"/>
  <c r="AN59" i="7"/>
  <c r="AM60" i="7"/>
  <c r="AN60" i="7"/>
  <c r="AM62" i="7"/>
  <c r="AN62" i="7"/>
  <c r="AM63" i="7"/>
  <c r="AN63" i="7"/>
  <c r="AM64" i="7"/>
  <c r="AN64" i="7"/>
  <c r="AM65" i="7"/>
  <c r="AN65" i="7"/>
  <c r="AM66" i="7"/>
  <c r="AN66" i="7"/>
  <c r="AM67" i="7"/>
  <c r="AN67" i="7"/>
  <c r="AM68" i="7"/>
  <c r="AN68" i="7"/>
  <c r="AM69" i="7"/>
  <c r="AN69" i="7"/>
  <c r="AM70" i="7"/>
  <c r="AN70" i="7"/>
  <c r="AM71" i="7"/>
  <c r="AN71" i="7"/>
  <c r="AM72" i="7"/>
  <c r="AN72" i="7"/>
  <c r="AM73" i="7"/>
  <c r="AN73" i="7"/>
  <c r="AM74" i="7"/>
  <c r="AN74" i="7"/>
  <c r="AM75" i="7"/>
  <c r="AN75" i="7"/>
  <c r="AM76" i="7"/>
  <c r="AN76" i="7"/>
  <c r="AM77" i="7"/>
  <c r="AN77" i="7"/>
  <c r="AM78" i="7"/>
  <c r="AN78" i="7"/>
  <c r="AM79" i="7"/>
  <c r="AN79" i="7"/>
  <c r="AM80" i="7"/>
  <c r="AN80" i="7"/>
  <c r="AM81" i="7"/>
  <c r="AN81" i="7"/>
  <c r="AM82" i="7"/>
  <c r="AN82" i="7"/>
  <c r="AM83" i="7"/>
  <c r="AN83" i="7"/>
  <c r="AM84" i="7"/>
  <c r="AN84" i="7"/>
  <c r="AM85" i="7"/>
  <c r="AN85" i="7"/>
  <c r="AM86" i="7"/>
  <c r="AN86" i="7"/>
  <c r="AM87" i="7"/>
  <c r="AN87" i="7"/>
  <c r="AM88" i="7"/>
  <c r="AN88" i="7"/>
  <c r="AM89" i="7"/>
  <c r="AN89" i="7"/>
  <c r="AM90" i="7"/>
  <c r="AN90" i="7"/>
  <c r="AN91" i="7"/>
  <c r="AM91" i="7"/>
  <c r="AM92" i="7"/>
  <c r="AN92" i="7"/>
  <c r="AM259" i="7"/>
  <c r="AN259" i="7"/>
  <c r="AM262" i="7"/>
  <c r="AN262" i="7"/>
  <c r="AM265" i="7"/>
  <c r="AN265" i="7"/>
  <c r="AM269" i="7"/>
  <c r="AN269" i="7"/>
  <c r="AN271" i="7"/>
  <c r="AM271" i="7"/>
  <c r="AN281" i="7"/>
  <c r="AM281" i="7"/>
  <c r="AM285" i="7"/>
  <c r="AN285" i="7"/>
  <c r="AM289" i="7"/>
  <c r="AN289" i="7"/>
  <c r="AM291" i="7"/>
  <c r="AN291" i="7"/>
  <c r="AM295" i="7"/>
  <c r="AN295" i="7"/>
  <c r="AM298" i="7"/>
  <c r="AN298" i="7"/>
  <c r="AM302" i="7"/>
  <c r="AN302" i="7"/>
  <c r="AM304" i="7"/>
  <c r="AN304" i="7"/>
  <c r="AN132" i="7"/>
  <c r="AM132" i="7"/>
  <c r="AN205" i="7"/>
  <c r="AM205" i="7"/>
  <c r="AM277" i="7"/>
  <c r="AN277" i="7"/>
  <c r="AN93" i="7"/>
  <c r="AM93" i="7"/>
  <c r="AN94" i="7"/>
  <c r="AM94" i="7"/>
  <c r="AN95" i="7"/>
  <c r="AM95" i="7"/>
  <c r="AN96" i="7"/>
  <c r="AM96" i="7"/>
  <c r="AM97" i="7"/>
  <c r="AN97" i="7"/>
  <c r="AM141" i="7"/>
  <c r="AN141" i="7"/>
  <c r="AM142" i="7"/>
  <c r="AN142" i="7"/>
  <c r="AN143" i="7"/>
  <c r="AM143" i="7"/>
  <c r="AN144" i="7"/>
  <c r="AM144" i="7"/>
  <c r="AN145" i="7"/>
  <c r="AM145" i="7"/>
  <c r="AN146" i="7"/>
  <c r="AM146" i="7"/>
  <c r="AN147" i="7"/>
  <c r="AM147" i="7"/>
  <c r="AN148" i="7"/>
  <c r="AM148" i="7"/>
  <c r="AM190" i="7"/>
  <c r="AN190" i="7"/>
  <c r="AM192" i="7"/>
  <c r="AN192" i="7"/>
  <c r="AN195" i="7"/>
  <c r="AM195" i="7"/>
  <c r="AN198" i="7"/>
  <c r="AM198" i="7"/>
  <c r="AM200" i="7"/>
  <c r="AN200" i="7"/>
  <c r="AM202" i="7"/>
  <c r="AN202" i="7"/>
  <c r="AM207" i="7"/>
  <c r="AN207" i="7"/>
  <c r="AM209" i="7"/>
  <c r="AN209" i="7"/>
  <c r="AM211" i="7"/>
  <c r="AN211" i="7"/>
  <c r="AM213" i="7"/>
  <c r="AN213" i="7"/>
  <c r="AM215" i="7"/>
  <c r="AN215" i="7"/>
  <c r="AM216" i="7"/>
  <c r="AN216" i="7"/>
  <c r="AM218" i="7"/>
  <c r="AN218" i="7"/>
  <c r="AN220" i="7"/>
  <c r="AM220" i="7"/>
  <c r="AN222" i="7"/>
  <c r="AM222" i="7"/>
  <c r="AM224" i="7"/>
  <c r="AN224" i="7"/>
  <c r="AN226" i="7"/>
  <c r="AM226" i="7"/>
  <c r="AN228" i="7"/>
  <c r="AM228" i="7"/>
  <c r="AN229" i="7"/>
  <c r="AM229" i="7"/>
  <c r="AN231" i="7"/>
  <c r="AM231" i="7"/>
  <c r="AM233" i="7"/>
  <c r="AN233" i="7"/>
  <c r="AM235" i="7"/>
  <c r="AN235" i="7"/>
  <c r="AM237" i="7"/>
  <c r="AN237" i="7"/>
  <c r="AM238" i="7"/>
  <c r="AN238" i="7"/>
  <c r="AM240" i="7"/>
  <c r="AN240" i="7"/>
  <c r="AM242" i="7"/>
  <c r="AN242" i="7"/>
  <c r="AM244" i="7"/>
  <c r="AN244" i="7"/>
  <c r="AM246" i="7"/>
  <c r="AN246" i="7"/>
  <c r="AM248" i="7"/>
  <c r="AN248" i="7"/>
  <c r="AM250" i="7"/>
  <c r="AN250" i="7"/>
  <c r="AM255" i="7"/>
  <c r="AN255" i="7"/>
  <c r="AM257" i="7"/>
  <c r="AN257" i="7"/>
  <c r="AM261" i="7"/>
  <c r="AN261" i="7"/>
  <c r="AN263" i="7"/>
  <c r="AM263" i="7"/>
  <c r="AM267" i="7"/>
  <c r="AN267" i="7"/>
  <c r="AM270" i="7"/>
  <c r="AN270" i="7"/>
  <c r="AN272" i="7"/>
  <c r="AM272" i="7"/>
  <c r="AM280" i="7"/>
  <c r="AN280" i="7"/>
  <c r="AM282" i="7"/>
  <c r="AN282" i="7"/>
  <c r="AN284" i="7"/>
  <c r="AM284" i="7"/>
  <c r="AN286" i="7"/>
  <c r="AM286" i="7"/>
  <c r="AN288" i="7"/>
  <c r="AM288" i="7"/>
  <c r="AN292" i="7"/>
  <c r="AM292" i="7"/>
  <c r="AN294" i="7"/>
  <c r="AM294" i="7"/>
  <c r="AN297" i="7"/>
  <c r="AM297" i="7"/>
  <c r="AM300" i="7"/>
  <c r="AN300" i="7"/>
  <c r="AM303" i="7"/>
  <c r="AN303" i="7"/>
  <c r="AM305" i="7"/>
  <c r="AN305" i="7"/>
  <c r="AM203" i="7"/>
  <c r="AN203" i="7"/>
  <c r="AM275" i="7"/>
  <c r="A275" i="5" s="1"/>
  <c r="AN275" i="7"/>
  <c r="AN204" i="7"/>
  <c r="AM204" i="7"/>
  <c r="AM274" i="7"/>
  <c r="AN274" i="7"/>
  <c r="AM279" i="7"/>
  <c r="AN279" i="7"/>
  <c r="AM149" i="7"/>
  <c r="AN149" i="7"/>
  <c r="AM150" i="7"/>
  <c r="AN150" i="7"/>
  <c r="AM151" i="7"/>
  <c r="AN151" i="7"/>
  <c r="AM152" i="7"/>
  <c r="AN152" i="7"/>
  <c r="AM153" i="7"/>
  <c r="AN153" i="7"/>
  <c r="AN154" i="7"/>
  <c r="AM154" i="7"/>
  <c r="AN155" i="7"/>
  <c r="AM155" i="7"/>
  <c r="AN156" i="7"/>
  <c r="AM156" i="7"/>
  <c r="AN157" i="7"/>
  <c r="AM157" i="7"/>
  <c r="AN158" i="7"/>
  <c r="AM158" i="7"/>
  <c r="AN159" i="7"/>
  <c r="AM159" i="7"/>
  <c r="AM160" i="7"/>
  <c r="AN160" i="7"/>
  <c r="AM161" i="7"/>
  <c r="AN161" i="7"/>
  <c r="AM162" i="7"/>
  <c r="AN162" i="7"/>
  <c r="AN163" i="7"/>
  <c r="AM163" i="7"/>
  <c r="AN164" i="7"/>
  <c r="AM164" i="7"/>
  <c r="AN165" i="7"/>
  <c r="AM165" i="7"/>
  <c r="AN166" i="7"/>
  <c r="AM166" i="7"/>
  <c r="AM167" i="7"/>
  <c r="AN167" i="7"/>
  <c r="AN168" i="7"/>
  <c r="AM168" i="7"/>
  <c r="AN169" i="7"/>
  <c r="AM169" i="7"/>
  <c r="AN170" i="7"/>
  <c r="AM170" i="7"/>
  <c r="AM171" i="7"/>
  <c r="AN171" i="7"/>
  <c r="AM172" i="7"/>
  <c r="AN172" i="7"/>
  <c r="AN173" i="7"/>
  <c r="AM173" i="7"/>
  <c r="AM174" i="7"/>
  <c r="AN174" i="7"/>
  <c r="AM175" i="7"/>
  <c r="AN175" i="7"/>
  <c r="AM176" i="7"/>
  <c r="AN176" i="7"/>
  <c r="AN177" i="7"/>
  <c r="AM177" i="7"/>
  <c r="AM178" i="7"/>
  <c r="AN178" i="7"/>
  <c r="AM179" i="7"/>
  <c r="AN179" i="7"/>
  <c r="AM180" i="7"/>
  <c r="AN180" i="7"/>
  <c r="AN181" i="7"/>
  <c r="AM181" i="7"/>
  <c r="AN182" i="7"/>
  <c r="AM182" i="7"/>
  <c r="AM183" i="7"/>
  <c r="AN183" i="7"/>
  <c r="AN184" i="7"/>
  <c r="AM184" i="7"/>
  <c r="AN185" i="7"/>
  <c r="AM185" i="7"/>
  <c r="AN186" i="7"/>
  <c r="AM186" i="7"/>
  <c r="AM187" i="7"/>
  <c r="AN187" i="7"/>
  <c r="AM188" i="7"/>
  <c r="AN188" i="7"/>
  <c r="AM189" i="7"/>
  <c r="AN189" i="7"/>
  <c r="AM191" i="7"/>
  <c r="AN191" i="7"/>
  <c r="AM193" i="7"/>
  <c r="AN193" i="7"/>
  <c r="AM194" i="7"/>
  <c r="AN194" i="7"/>
  <c r="AM196" i="7"/>
  <c r="AN196" i="7"/>
  <c r="AN197" i="7"/>
  <c r="AM197" i="7"/>
  <c r="AN199" i="7"/>
  <c r="AM199" i="7"/>
  <c r="AN201" i="7"/>
  <c r="AM201" i="7"/>
  <c r="AN208" i="7"/>
  <c r="AM208" i="7"/>
  <c r="AN210" i="7"/>
  <c r="AM210" i="7"/>
  <c r="AN212" i="7"/>
  <c r="AM212" i="7"/>
  <c r="AN214" i="7"/>
  <c r="AM214" i="7"/>
  <c r="AN217" i="7"/>
  <c r="AM217" i="7"/>
  <c r="AN219" i="7"/>
  <c r="AM219" i="7"/>
  <c r="AM221" i="7"/>
  <c r="AN221" i="7"/>
  <c r="AM223" i="7"/>
  <c r="AN223" i="7"/>
  <c r="AM225" i="7"/>
  <c r="AN225" i="7"/>
  <c r="AN227" i="7"/>
  <c r="AM227" i="7"/>
  <c r="AN230" i="7"/>
  <c r="AM230" i="7"/>
  <c r="AN232" i="7"/>
  <c r="AM232" i="7"/>
  <c r="AN234" i="7"/>
  <c r="AM234" i="7"/>
  <c r="AM236" i="7"/>
  <c r="AN236" i="7"/>
  <c r="AM239" i="7"/>
  <c r="AN239" i="7"/>
  <c r="AM241" i="7"/>
  <c r="AN241" i="7"/>
  <c r="AM243" i="7"/>
  <c r="AN243" i="7"/>
  <c r="AM245" i="7"/>
  <c r="AN245" i="7"/>
  <c r="AM247" i="7"/>
  <c r="AN247" i="7"/>
  <c r="AN249" i="7"/>
  <c r="AM249" i="7"/>
  <c r="AM251" i="7"/>
  <c r="AN251" i="7"/>
  <c r="AM252" i="7"/>
  <c r="AN252" i="7"/>
  <c r="AM253" i="7"/>
  <c r="AN253" i="7"/>
  <c r="AM254" i="7"/>
  <c r="AN254" i="7"/>
  <c r="AM256" i="7"/>
  <c r="AN256" i="7"/>
  <c r="AN258" i="7"/>
  <c r="AM258" i="7"/>
  <c r="AN260" i="7"/>
  <c r="AM260" i="7"/>
  <c r="AN264" i="7"/>
  <c r="AM264" i="7"/>
  <c r="AM266" i="7"/>
  <c r="AN266" i="7"/>
  <c r="AM268" i="7"/>
  <c r="AN268" i="7"/>
  <c r="AN273" i="7"/>
  <c r="AM273" i="7"/>
  <c r="AN283" i="7"/>
  <c r="AM283" i="7"/>
  <c r="AN287" i="7"/>
  <c r="AM287" i="7"/>
  <c r="AN290" i="7"/>
  <c r="AM290" i="7"/>
  <c r="AN293" i="7"/>
  <c r="AM293" i="7"/>
  <c r="AN296" i="7"/>
  <c r="AM296" i="7"/>
  <c r="AN299" i="7"/>
  <c r="AM299" i="7"/>
  <c r="AN301" i="7"/>
  <c r="AM301" i="7"/>
  <c r="AM276" i="7"/>
  <c r="AN276" i="7"/>
  <c r="AN278" i="7"/>
  <c r="AM278" i="7"/>
  <c r="AN206" i="7"/>
  <c r="AM206" i="7"/>
  <c r="A6" i="5"/>
  <c r="B6" i="5"/>
  <c r="D6" i="5"/>
  <c r="E6" i="5"/>
  <c r="F6" i="5"/>
  <c r="G6" i="5"/>
  <c r="H6" i="5"/>
  <c r="C6" i="5" s="1"/>
  <c r="I6" i="5"/>
  <c r="J6" i="5"/>
  <c r="K6" i="5"/>
  <c r="L6" i="5"/>
  <c r="M6" i="5"/>
  <c r="N6" i="5"/>
  <c r="O6" i="5"/>
  <c r="P6" i="5"/>
  <c r="A7" i="5"/>
  <c r="B7" i="5"/>
  <c r="D7" i="5"/>
  <c r="E7" i="5"/>
  <c r="F7" i="5"/>
  <c r="G7" i="5"/>
  <c r="H7" i="5"/>
  <c r="C7" i="5" s="1"/>
  <c r="I7" i="5"/>
  <c r="J7" i="5"/>
  <c r="K7" i="5"/>
  <c r="L7" i="5"/>
  <c r="M7" i="5"/>
  <c r="N7" i="5"/>
  <c r="O7" i="5"/>
  <c r="P7" i="5"/>
  <c r="A8" i="5"/>
  <c r="B8" i="5"/>
  <c r="D8" i="5"/>
  <c r="E8" i="5"/>
  <c r="F8" i="5"/>
  <c r="G8" i="5"/>
  <c r="H8" i="5"/>
  <c r="C8" i="5" s="1"/>
  <c r="I8" i="5"/>
  <c r="J8" i="5"/>
  <c r="K8" i="5"/>
  <c r="L8" i="5"/>
  <c r="M8" i="5"/>
  <c r="N8" i="5"/>
  <c r="P8" i="5" s="1"/>
  <c r="O8" i="5"/>
  <c r="A9" i="5"/>
  <c r="B9" i="5"/>
  <c r="D9" i="5"/>
  <c r="E9" i="5"/>
  <c r="F9" i="5"/>
  <c r="G9" i="5"/>
  <c r="H9" i="5"/>
  <c r="C9" i="5" s="1"/>
  <c r="I9" i="5"/>
  <c r="J9" i="5"/>
  <c r="K9" i="5"/>
  <c r="L9" i="5"/>
  <c r="M9" i="5"/>
  <c r="N9" i="5"/>
  <c r="O9" i="5"/>
  <c r="P9" i="5"/>
  <c r="A10" i="5"/>
  <c r="B10" i="5"/>
  <c r="D10" i="5"/>
  <c r="E10" i="5"/>
  <c r="F10" i="5"/>
  <c r="G10" i="5"/>
  <c r="H10" i="5"/>
  <c r="C10" i="5" s="1"/>
  <c r="I10" i="5"/>
  <c r="J10" i="5"/>
  <c r="K10" i="5"/>
  <c r="L10" i="5"/>
  <c r="M10" i="5"/>
  <c r="N10" i="5"/>
  <c r="O10" i="5"/>
  <c r="P10" i="5"/>
  <c r="A11" i="5"/>
  <c r="B11" i="5"/>
  <c r="D11" i="5"/>
  <c r="E11" i="5"/>
  <c r="F11" i="5"/>
  <c r="G11" i="5"/>
  <c r="H11" i="5"/>
  <c r="C11" i="5" s="1"/>
  <c r="I11" i="5"/>
  <c r="J11" i="5"/>
  <c r="K11" i="5"/>
  <c r="L11" i="5"/>
  <c r="M11" i="5"/>
  <c r="N11" i="5"/>
  <c r="O11" i="5"/>
  <c r="P11" i="5"/>
  <c r="A12" i="5"/>
  <c r="B12" i="5"/>
  <c r="D12" i="5"/>
  <c r="E12" i="5"/>
  <c r="F12" i="5"/>
  <c r="G12" i="5"/>
  <c r="H12" i="5"/>
  <c r="C12" i="5" s="1"/>
  <c r="I12" i="5"/>
  <c r="J12" i="5"/>
  <c r="K12" i="5"/>
  <c r="L12" i="5"/>
  <c r="M12" i="5"/>
  <c r="N12" i="5"/>
  <c r="O12" i="5"/>
  <c r="P12" i="5"/>
  <c r="A13" i="5"/>
  <c r="B13" i="5"/>
  <c r="D13" i="5"/>
  <c r="E13" i="5"/>
  <c r="F13" i="5"/>
  <c r="G13" i="5"/>
  <c r="H13" i="5"/>
  <c r="C13" i="5" s="1"/>
  <c r="I13" i="5"/>
  <c r="J13" i="5"/>
  <c r="K13" i="5"/>
  <c r="L13" i="5"/>
  <c r="M13" i="5"/>
  <c r="N13" i="5"/>
  <c r="O13" i="5"/>
  <c r="P13" i="5"/>
  <c r="A14" i="5"/>
  <c r="B14" i="5"/>
  <c r="D14" i="5"/>
  <c r="E14" i="5"/>
  <c r="F14" i="5"/>
  <c r="G14" i="5"/>
  <c r="H14" i="5"/>
  <c r="C14" i="5" s="1"/>
  <c r="I14" i="5"/>
  <c r="J14" i="5"/>
  <c r="K14" i="5"/>
  <c r="L14" i="5"/>
  <c r="M14" i="5"/>
  <c r="N14" i="5"/>
  <c r="O14" i="5"/>
  <c r="A15" i="5"/>
  <c r="B15" i="5"/>
  <c r="D15" i="5"/>
  <c r="E15" i="5"/>
  <c r="F15" i="5"/>
  <c r="G15" i="5"/>
  <c r="H15" i="5"/>
  <c r="C15" i="5" s="1"/>
  <c r="I15" i="5"/>
  <c r="J15" i="5"/>
  <c r="K15" i="5"/>
  <c r="L15" i="5"/>
  <c r="M15" i="5"/>
  <c r="N15" i="5"/>
  <c r="O15" i="5"/>
  <c r="P15" i="5"/>
  <c r="A16" i="5"/>
  <c r="B16" i="5"/>
  <c r="D16" i="5"/>
  <c r="E16" i="5"/>
  <c r="F16" i="5"/>
  <c r="G16" i="5"/>
  <c r="H16" i="5"/>
  <c r="C16" i="5" s="1"/>
  <c r="I16" i="5"/>
  <c r="J16" i="5"/>
  <c r="K16" i="5"/>
  <c r="L16" i="5"/>
  <c r="M16" i="5"/>
  <c r="N16" i="5"/>
  <c r="O16" i="5"/>
  <c r="P16" i="5" s="1"/>
  <c r="A17" i="5"/>
  <c r="B17" i="5"/>
  <c r="C17" i="5"/>
  <c r="D17" i="5"/>
  <c r="E17" i="5"/>
  <c r="F17" i="5"/>
  <c r="G17" i="5"/>
  <c r="H17" i="5"/>
  <c r="I17" i="5"/>
  <c r="J17" i="5"/>
  <c r="K17" i="5"/>
  <c r="L17" i="5"/>
  <c r="M17" i="5"/>
  <c r="N17" i="5"/>
  <c r="O17" i="5"/>
  <c r="P17" i="5"/>
  <c r="A18" i="5"/>
  <c r="B18" i="5"/>
  <c r="C18" i="5"/>
  <c r="D18" i="5"/>
  <c r="E18" i="5"/>
  <c r="F18" i="5"/>
  <c r="G18" i="5"/>
  <c r="H18" i="5"/>
  <c r="I18" i="5"/>
  <c r="J18" i="5"/>
  <c r="K18" i="5"/>
  <c r="L18" i="5"/>
  <c r="M18" i="5"/>
  <c r="N18" i="5"/>
  <c r="O18" i="5"/>
  <c r="P18" i="5"/>
  <c r="A19" i="5"/>
  <c r="B19" i="5"/>
  <c r="C19" i="5"/>
  <c r="D19" i="5"/>
  <c r="E19" i="5"/>
  <c r="F19" i="5"/>
  <c r="G19" i="5"/>
  <c r="H19" i="5"/>
  <c r="I19" i="5"/>
  <c r="J19" i="5"/>
  <c r="K19" i="5"/>
  <c r="L19" i="5"/>
  <c r="M19" i="5"/>
  <c r="N19" i="5"/>
  <c r="O19" i="5"/>
  <c r="P19" i="5"/>
  <c r="A20" i="5"/>
  <c r="B20" i="5"/>
  <c r="C20" i="5"/>
  <c r="D20" i="5"/>
  <c r="E20" i="5"/>
  <c r="F20" i="5"/>
  <c r="G20" i="5"/>
  <c r="H20" i="5"/>
  <c r="I20" i="5"/>
  <c r="J20" i="5"/>
  <c r="K20" i="5"/>
  <c r="L20" i="5"/>
  <c r="M20" i="5"/>
  <c r="N20" i="5"/>
  <c r="O20" i="5"/>
  <c r="P20" i="5"/>
  <c r="A21" i="5"/>
  <c r="B21" i="5"/>
  <c r="C21" i="5"/>
  <c r="D21" i="5"/>
  <c r="E21" i="5"/>
  <c r="F21" i="5"/>
  <c r="G21" i="5"/>
  <c r="H21" i="5"/>
  <c r="I21" i="5"/>
  <c r="J21" i="5"/>
  <c r="K21" i="5"/>
  <c r="L21" i="5"/>
  <c r="M21" i="5"/>
  <c r="N21" i="5"/>
  <c r="O21" i="5"/>
  <c r="P21" i="5"/>
  <c r="A22" i="5"/>
  <c r="B22" i="5"/>
  <c r="C22" i="5"/>
  <c r="D22" i="5"/>
  <c r="E22" i="5"/>
  <c r="F22" i="5"/>
  <c r="G22" i="5"/>
  <c r="H22" i="5"/>
  <c r="I22" i="5"/>
  <c r="J22" i="5"/>
  <c r="K22" i="5"/>
  <c r="L22" i="5"/>
  <c r="M22" i="5"/>
  <c r="N22" i="5"/>
  <c r="O22" i="5"/>
  <c r="P22" i="5"/>
  <c r="A23" i="5"/>
  <c r="B23" i="5"/>
  <c r="C23" i="5"/>
  <c r="D23" i="5"/>
  <c r="E23" i="5"/>
  <c r="F23" i="5"/>
  <c r="G23" i="5"/>
  <c r="H23" i="5"/>
  <c r="I23" i="5"/>
  <c r="J23" i="5"/>
  <c r="K23" i="5"/>
  <c r="L23" i="5"/>
  <c r="M23" i="5"/>
  <c r="N23" i="5"/>
  <c r="O23" i="5"/>
  <c r="P23" i="5"/>
  <c r="A24" i="5"/>
  <c r="B24" i="5"/>
  <c r="C24" i="5"/>
  <c r="D24" i="5"/>
  <c r="E24" i="5"/>
  <c r="F24" i="5"/>
  <c r="G24" i="5"/>
  <c r="H24" i="5"/>
  <c r="I24" i="5"/>
  <c r="J24" i="5"/>
  <c r="K24" i="5"/>
  <c r="L24" i="5"/>
  <c r="M24" i="5"/>
  <c r="N24" i="5"/>
  <c r="O24" i="5"/>
  <c r="P24" i="5"/>
  <c r="A25" i="5"/>
  <c r="B25" i="5"/>
  <c r="C25" i="5"/>
  <c r="D25" i="5"/>
  <c r="E25" i="5"/>
  <c r="F25" i="5"/>
  <c r="G25" i="5"/>
  <c r="H25" i="5"/>
  <c r="I25" i="5"/>
  <c r="J25" i="5"/>
  <c r="K25" i="5"/>
  <c r="L25" i="5"/>
  <c r="M25" i="5"/>
  <c r="A98" i="5"/>
  <c r="B98" i="5"/>
  <c r="C98" i="5"/>
  <c r="D98" i="5"/>
  <c r="E98" i="5"/>
  <c r="F98" i="5"/>
  <c r="G98" i="5"/>
  <c r="H98" i="5"/>
  <c r="I98" i="5"/>
  <c r="J98" i="5"/>
  <c r="K98" i="5"/>
  <c r="L98" i="5"/>
  <c r="M98" i="5"/>
  <c r="N98" i="5"/>
  <c r="O98" i="5"/>
  <c r="P98" i="5"/>
  <c r="A99" i="5"/>
  <c r="B99" i="5"/>
  <c r="C99" i="5"/>
  <c r="D99" i="5"/>
  <c r="E99" i="5"/>
  <c r="F99" i="5"/>
  <c r="G99" i="5"/>
  <c r="H99" i="5"/>
  <c r="I99" i="5"/>
  <c r="J99" i="5"/>
  <c r="K99" i="5"/>
  <c r="L99" i="5"/>
  <c r="M99" i="5"/>
  <c r="N99" i="5"/>
  <c r="O99" i="5"/>
  <c r="P99" i="5"/>
  <c r="A100" i="5"/>
  <c r="B100" i="5"/>
  <c r="C100" i="5"/>
  <c r="D100" i="5"/>
  <c r="E100" i="5"/>
  <c r="F100" i="5"/>
  <c r="G100" i="5"/>
  <c r="H100" i="5"/>
  <c r="I100" i="5"/>
  <c r="J100" i="5"/>
  <c r="K100" i="5"/>
  <c r="L100" i="5"/>
  <c r="M100" i="5"/>
  <c r="N100" i="5"/>
  <c r="O100" i="5"/>
  <c r="P100" i="5"/>
  <c r="A101" i="5"/>
  <c r="B101" i="5"/>
  <c r="C101" i="5"/>
  <c r="D101" i="5"/>
  <c r="E101" i="5"/>
  <c r="F101" i="5"/>
  <c r="G101" i="5"/>
  <c r="H101" i="5"/>
  <c r="I101" i="5"/>
  <c r="J101" i="5"/>
  <c r="K101" i="5"/>
  <c r="L101" i="5"/>
  <c r="M101" i="5"/>
  <c r="N101" i="5"/>
  <c r="O101" i="5"/>
  <c r="P101" i="5"/>
  <c r="A102" i="5"/>
  <c r="B102" i="5"/>
  <c r="C102" i="5"/>
  <c r="D102" i="5"/>
  <c r="E102" i="5"/>
  <c r="F102" i="5"/>
  <c r="G102" i="5"/>
  <c r="H102" i="5"/>
  <c r="I102" i="5"/>
  <c r="J102" i="5"/>
  <c r="K102" i="5"/>
  <c r="L102" i="5"/>
  <c r="M102" i="5"/>
  <c r="N102" i="5"/>
  <c r="O102" i="5"/>
  <c r="P102" i="5"/>
  <c r="A103" i="5"/>
  <c r="B103" i="5"/>
  <c r="C103" i="5"/>
  <c r="D103" i="5"/>
  <c r="E103" i="5"/>
  <c r="F103" i="5"/>
  <c r="G103" i="5"/>
  <c r="H103" i="5"/>
  <c r="I103" i="5"/>
  <c r="J103" i="5"/>
  <c r="K103" i="5"/>
  <c r="L103" i="5"/>
  <c r="M103" i="5"/>
  <c r="N103" i="5"/>
  <c r="O103" i="5"/>
  <c r="P103" i="5"/>
  <c r="A104" i="5"/>
  <c r="B104" i="5"/>
  <c r="C104" i="5"/>
  <c r="D104" i="5"/>
  <c r="E104" i="5"/>
  <c r="F104" i="5"/>
  <c r="G104" i="5"/>
  <c r="H104" i="5"/>
  <c r="I104" i="5"/>
  <c r="J104" i="5"/>
  <c r="K104" i="5"/>
  <c r="L104" i="5"/>
  <c r="M104" i="5"/>
  <c r="N104" i="5"/>
  <c r="O104" i="5"/>
  <c r="P104" i="5"/>
  <c r="A105" i="5"/>
  <c r="B105" i="5"/>
  <c r="C105" i="5"/>
  <c r="D105" i="5"/>
  <c r="E105" i="5"/>
  <c r="F105" i="5"/>
  <c r="G105" i="5"/>
  <c r="H105" i="5"/>
  <c r="I105" i="5"/>
  <c r="J105" i="5"/>
  <c r="K105" i="5"/>
  <c r="L105" i="5"/>
  <c r="M105" i="5"/>
  <c r="N105" i="5"/>
  <c r="O105" i="5"/>
  <c r="P105" i="5"/>
  <c r="A106" i="5"/>
  <c r="B106" i="5"/>
  <c r="C106" i="5"/>
  <c r="D106" i="5"/>
  <c r="E106" i="5"/>
  <c r="F106" i="5"/>
  <c r="G106" i="5"/>
  <c r="H106" i="5"/>
  <c r="I106" i="5"/>
  <c r="J106" i="5"/>
  <c r="K106" i="5"/>
  <c r="L106" i="5"/>
  <c r="M106" i="5"/>
  <c r="N106" i="5"/>
  <c r="O106" i="5"/>
  <c r="P106" i="5"/>
  <c r="A107" i="5"/>
  <c r="B107" i="5"/>
  <c r="C107" i="5"/>
  <c r="D107" i="5"/>
  <c r="E107" i="5"/>
  <c r="F107" i="5"/>
  <c r="G107" i="5"/>
  <c r="H107" i="5"/>
  <c r="I107" i="5"/>
  <c r="J107" i="5"/>
  <c r="K107" i="5"/>
  <c r="L107" i="5"/>
  <c r="M107" i="5"/>
  <c r="N107" i="5"/>
  <c r="O107" i="5"/>
  <c r="P107" i="5"/>
  <c r="A108" i="5"/>
  <c r="B108" i="5"/>
  <c r="C108" i="5"/>
  <c r="D108" i="5"/>
  <c r="E108" i="5"/>
  <c r="F108" i="5"/>
  <c r="G108" i="5"/>
  <c r="H108" i="5"/>
  <c r="I108" i="5"/>
  <c r="J108" i="5"/>
  <c r="K108" i="5"/>
  <c r="L108" i="5"/>
  <c r="M108" i="5"/>
  <c r="N108" i="5"/>
  <c r="O108" i="5"/>
  <c r="P108" i="5"/>
  <c r="A109" i="5"/>
  <c r="B109" i="5"/>
  <c r="C109" i="5"/>
  <c r="D109" i="5"/>
  <c r="E109" i="5"/>
  <c r="F109" i="5"/>
  <c r="G109" i="5"/>
  <c r="H109" i="5"/>
  <c r="I109" i="5"/>
  <c r="J109" i="5"/>
  <c r="K109" i="5"/>
  <c r="L109" i="5"/>
  <c r="M109" i="5"/>
  <c r="N109" i="5"/>
  <c r="O109" i="5"/>
  <c r="P109" i="5"/>
  <c r="A110" i="5"/>
  <c r="B110" i="5"/>
  <c r="C110" i="5"/>
  <c r="D110" i="5"/>
  <c r="E110" i="5"/>
  <c r="F110" i="5"/>
  <c r="G110" i="5"/>
  <c r="H110" i="5"/>
  <c r="I110" i="5"/>
  <c r="J110" i="5"/>
  <c r="K110" i="5"/>
  <c r="L110" i="5"/>
  <c r="M110" i="5"/>
  <c r="N110" i="5"/>
  <c r="O110" i="5"/>
  <c r="P110" i="5"/>
  <c r="A111" i="5"/>
  <c r="B111" i="5"/>
  <c r="C111" i="5"/>
  <c r="D111" i="5"/>
  <c r="E111" i="5"/>
  <c r="F111" i="5"/>
  <c r="G111" i="5"/>
  <c r="H111" i="5"/>
  <c r="I111" i="5"/>
  <c r="J111" i="5"/>
  <c r="K111" i="5"/>
  <c r="L111" i="5"/>
  <c r="M111" i="5"/>
  <c r="N111" i="5"/>
  <c r="O111" i="5"/>
  <c r="P111" i="5"/>
  <c r="A112" i="5"/>
  <c r="B112" i="5"/>
  <c r="C112" i="5"/>
  <c r="D112" i="5"/>
  <c r="E112" i="5"/>
  <c r="F112" i="5"/>
  <c r="G112" i="5"/>
  <c r="H112" i="5"/>
  <c r="I112" i="5"/>
  <c r="J112" i="5"/>
  <c r="K112" i="5"/>
  <c r="L112" i="5"/>
  <c r="M112" i="5"/>
  <c r="N112" i="5"/>
  <c r="O112" i="5"/>
  <c r="P112" i="5"/>
  <c r="A113" i="5"/>
  <c r="B113" i="5"/>
  <c r="C113" i="5"/>
  <c r="D113" i="5"/>
  <c r="E113" i="5"/>
  <c r="F113" i="5"/>
  <c r="G113" i="5"/>
  <c r="H113" i="5"/>
  <c r="I113" i="5"/>
  <c r="J113" i="5"/>
  <c r="K113" i="5"/>
  <c r="L113" i="5"/>
  <c r="M113" i="5"/>
  <c r="N113" i="5"/>
  <c r="O113" i="5"/>
  <c r="P113" i="5"/>
  <c r="A114" i="5"/>
  <c r="B114" i="5"/>
  <c r="C114" i="5"/>
  <c r="D114" i="5"/>
  <c r="E114" i="5"/>
  <c r="F114" i="5"/>
  <c r="G114" i="5"/>
  <c r="H114" i="5"/>
  <c r="I114" i="5"/>
  <c r="J114" i="5"/>
  <c r="K114" i="5"/>
  <c r="L114" i="5"/>
  <c r="M114" i="5"/>
  <c r="N114" i="5"/>
  <c r="O114" i="5"/>
  <c r="P114" i="5"/>
  <c r="A115" i="5"/>
  <c r="B115" i="5"/>
  <c r="C115" i="5"/>
  <c r="D115" i="5"/>
  <c r="E115" i="5"/>
  <c r="F115" i="5"/>
  <c r="G115" i="5"/>
  <c r="H115" i="5"/>
  <c r="I115" i="5"/>
  <c r="J115" i="5"/>
  <c r="K115" i="5"/>
  <c r="L115" i="5"/>
  <c r="M115" i="5"/>
  <c r="N115" i="5"/>
  <c r="O115" i="5"/>
  <c r="P115" i="5"/>
  <c r="A116" i="5"/>
  <c r="B116" i="5"/>
  <c r="C116" i="5"/>
  <c r="D116" i="5"/>
  <c r="E116" i="5"/>
  <c r="F116" i="5"/>
  <c r="G116" i="5"/>
  <c r="H116" i="5"/>
  <c r="I116" i="5"/>
  <c r="J116" i="5"/>
  <c r="K116" i="5"/>
  <c r="L116" i="5"/>
  <c r="M116" i="5"/>
  <c r="N116" i="5"/>
  <c r="O116" i="5"/>
  <c r="P116" i="5"/>
  <c r="A117" i="5"/>
  <c r="B117" i="5"/>
  <c r="C117" i="5"/>
  <c r="D117" i="5"/>
  <c r="E117" i="5"/>
  <c r="F117" i="5"/>
  <c r="G117" i="5"/>
  <c r="H117" i="5"/>
  <c r="I117" i="5"/>
  <c r="J117" i="5"/>
  <c r="K117" i="5"/>
  <c r="L117" i="5"/>
  <c r="M117" i="5"/>
  <c r="N117" i="5"/>
  <c r="O117" i="5"/>
  <c r="P117" i="5"/>
  <c r="A118" i="5"/>
  <c r="B118" i="5"/>
  <c r="C118" i="5"/>
  <c r="D118" i="5"/>
  <c r="E118" i="5"/>
  <c r="F118" i="5"/>
  <c r="G118" i="5"/>
  <c r="H118" i="5"/>
  <c r="I118" i="5"/>
  <c r="J118" i="5"/>
  <c r="K118" i="5"/>
  <c r="L118" i="5"/>
  <c r="M118" i="5"/>
  <c r="N118" i="5"/>
  <c r="O118" i="5"/>
  <c r="P118" i="5"/>
  <c r="A119" i="5"/>
  <c r="B119" i="5"/>
  <c r="C119" i="5"/>
  <c r="D119" i="5"/>
  <c r="E119" i="5"/>
  <c r="F119" i="5"/>
  <c r="G119" i="5"/>
  <c r="H119" i="5"/>
  <c r="I119" i="5"/>
  <c r="J119" i="5"/>
  <c r="K119" i="5"/>
  <c r="L119" i="5"/>
  <c r="M119" i="5"/>
  <c r="N119" i="5"/>
  <c r="O119" i="5"/>
  <c r="P119" i="5"/>
  <c r="A120" i="5"/>
  <c r="B120" i="5"/>
  <c r="C120" i="5"/>
  <c r="D120" i="5"/>
  <c r="E120" i="5"/>
  <c r="F120" i="5"/>
  <c r="G120" i="5"/>
  <c r="H120" i="5"/>
  <c r="I120" i="5"/>
  <c r="J120" i="5"/>
  <c r="K120" i="5"/>
  <c r="L120" i="5"/>
  <c r="M120" i="5"/>
  <c r="N120" i="5"/>
  <c r="O120" i="5"/>
  <c r="P120" i="5"/>
  <c r="A121" i="5"/>
  <c r="B121" i="5"/>
  <c r="C121" i="5"/>
  <c r="D121" i="5"/>
  <c r="E121" i="5"/>
  <c r="F121" i="5"/>
  <c r="G121" i="5"/>
  <c r="H121" i="5"/>
  <c r="I121" i="5"/>
  <c r="J121" i="5"/>
  <c r="K121" i="5"/>
  <c r="L121" i="5"/>
  <c r="M121" i="5"/>
  <c r="N121" i="5"/>
  <c r="O121" i="5"/>
  <c r="P121" i="5"/>
  <c r="A122" i="5"/>
  <c r="B122" i="5"/>
  <c r="C122" i="5"/>
  <c r="D122" i="5"/>
  <c r="E122" i="5"/>
  <c r="F122" i="5"/>
  <c r="G122" i="5"/>
  <c r="H122" i="5"/>
  <c r="I122" i="5"/>
  <c r="J122" i="5"/>
  <c r="K122" i="5"/>
  <c r="L122" i="5"/>
  <c r="M122" i="5"/>
  <c r="N122" i="5"/>
  <c r="O122" i="5"/>
  <c r="P122" i="5"/>
  <c r="A123" i="5"/>
  <c r="B123" i="5"/>
  <c r="C123" i="5"/>
  <c r="D123" i="5"/>
  <c r="E123" i="5"/>
  <c r="F123" i="5"/>
  <c r="G123" i="5"/>
  <c r="H123" i="5"/>
  <c r="I123" i="5"/>
  <c r="J123" i="5"/>
  <c r="K123" i="5"/>
  <c r="L123" i="5"/>
  <c r="M123" i="5"/>
  <c r="N123" i="5"/>
  <c r="O123" i="5"/>
  <c r="P123" i="5"/>
  <c r="A124" i="5"/>
  <c r="B124" i="5"/>
  <c r="C124" i="5"/>
  <c r="D124" i="5"/>
  <c r="E124" i="5"/>
  <c r="F124" i="5"/>
  <c r="G124" i="5"/>
  <c r="H124" i="5"/>
  <c r="I124" i="5"/>
  <c r="J124" i="5"/>
  <c r="K124" i="5"/>
  <c r="L124" i="5"/>
  <c r="M124" i="5"/>
  <c r="N124" i="5"/>
  <c r="O124" i="5"/>
  <c r="P124" i="5"/>
  <c r="A125" i="5"/>
  <c r="B125" i="5"/>
  <c r="C125" i="5"/>
  <c r="D125" i="5"/>
  <c r="E125" i="5"/>
  <c r="F125" i="5"/>
  <c r="G125" i="5"/>
  <c r="H125" i="5"/>
  <c r="I125" i="5"/>
  <c r="J125" i="5"/>
  <c r="K125" i="5"/>
  <c r="L125" i="5"/>
  <c r="M125" i="5"/>
  <c r="N125" i="5"/>
  <c r="O125" i="5"/>
  <c r="P125" i="5"/>
  <c r="A126" i="5"/>
  <c r="B126" i="5"/>
  <c r="C126" i="5"/>
  <c r="D126" i="5"/>
  <c r="E126" i="5"/>
  <c r="F126" i="5"/>
  <c r="G126" i="5"/>
  <c r="H126" i="5"/>
  <c r="I126" i="5"/>
  <c r="J126" i="5"/>
  <c r="K126" i="5"/>
  <c r="L126" i="5"/>
  <c r="M126" i="5"/>
  <c r="N126" i="5"/>
  <c r="O126" i="5"/>
  <c r="P126" i="5"/>
  <c r="A127" i="5"/>
  <c r="B127" i="5"/>
  <c r="C127" i="5"/>
  <c r="D127" i="5"/>
  <c r="E127" i="5"/>
  <c r="F127" i="5"/>
  <c r="G127" i="5"/>
  <c r="H127" i="5"/>
  <c r="I127" i="5"/>
  <c r="J127" i="5"/>
  <c r="K127" i="5"/>
  <c r="L127" i="5"/>
  <c r="M127" i="5"/>
  <c r="N127" i="5"/>
  <c r="O127" i="5"/>
  <c r="P127" i="5"/>
  <c r="A128" i="5"/>
  <c r="B128" i="5"/>
  <c r="C128" i="5"/>
  <c r="D128" i="5"/>
  <c r="E128" i="5"/>
  <c r="F128" i="5"/>
  <c r="G128" i="5"/>
  <c r="H128" i="5"/>
  <c r="I128" i="5"/>
  <c r="J128" i="5"/>
  <c r="K128" i="5"/>
  <c r="L128" i="5"/>
  <c r="M128" i="5"/>
  <c r="N128" i="5"/>
  <c r="O128" i="5"/>
  <c r="P128" i="5"/>
  <c r="A129" i="5"/>
  <c r="B129" i="5"/>
  <c r="C129" i="5"/>
  <c r="D129" i="5"/>
  <c r="E129" i="5"/>
  <c r="F129" i="5"/>
  <c r="G129" i="5"/>
  <c r="H129" i="5"/>
  <c r="I129" i="5"/>
  <c r="J129" i="5"/>
  <c r="K129" i="5"/>
  <c r="L129" i="5"/>
  <c r="M129" i="5"/>
  <c r="N129" i="5"/>
  <c r="O129" i="5"/>
  <c r="P129" i="5"/>
  <c r="A130" i="5"/>
  <c r="B130" i="5"/>
  <c r="C130" i="5"/>
  <c r="D130" i="5"/>
  <c r="E130" i="5"/>
  <c r="F130" i="5"/>
  <c r="G130" i="5"/>
  <c r="H130" i="5"/>
  <c r="I130" i="5"/>
  <c r="J130" i="5"/>
  <c r="K130" i="5"/>
  <c r="L130" i="5"/>
  <c r="M130" i="5"/>
  <c r="N130" i="5"/>
  <c r="O130" i="5"/>
  <c r="P130" i="5"/>
  <c r="A131" i="5"/>
  <c r="B131" i="5"/>
  <c r="C131" i="5"/>
  <c r="D131" i="5"/>
  <c r="E131" i="5"/>
  <c r="F131" i="5"/>
  <c r="G131" i="5"/>
  <c r="H131" i="5"/>
  <c r="I131" i="5"/>
  <c r="J131" i="5"/>
  <c r="K131" i="5"/>
  <c r="L131" i="5"/>
  <c r="M131" i="5"/>
  <c r="N131" i="5"/>
  <c r="O131" i="5"/>
  <c r="P131" i="5"/>
  <c r="A61" i="5"/>
  <c r="B61" i="5"/>
  <c r="C61" i="5"/>
  <c r="D61" i="5"/>
  <c r="E61" i="5"/>
  <c r="F61" i="5"/>
  <c r="G61" i="5"/>
  <c r="H61" i="5"/>
  <c r="I61" i="5"/>
  <c r="J61" i="5"/>
  <c r="K61" i="5"/>
  <c r="L61" i="5"/>
  <c r="M61" i="5"/>
  <c r="N61" i="5"/>
  <c r="O61" i="5"/>
  <c r="P61" i="5"/>
  <c r="A133" i="5"/>
  <c r="B133" i="5"/>
  <c r="C133" i="5"/>
  <c r="D133" i="5"/>
  <c r="E133" i="5"/>
  <c r="F133" i="5"/>
  <c r="G133" i="5"/>
  <c r="H133" i="5"/>
  <c r="I133" i="5"/>
  <c r="J133" i="5"/>
  <c r="K133" i="5"/>
  <c r="L133" i="5"/>
  <c r="M133" i="5"/>
  <c r="N133" i="5"/>
  <c r="O133" i="5"/>
  <c r="P133" i="5"/>
  <c r="A134" i="5"/>
  <c r="B134" i="5"/>
  <c r="C134" i="5"/>
  <c r="D134" i="5"/>
  <c r="E134" i="5"/>
  <c r="F134" i="5"/>
  <c r="G134" i="5"/>
  <c r="H134" i="5"/>
  <c r="I134" i="5"/>
  <c r="J134" i="5"/>
  <c r="K134" i="5"/>
  <c r="L134" i="5"/>
  <c r="M134" i="5"/>
  <c r="N134" i="5"/>
  <c r="O134" i="5"/>
  <c r="P134" i="5"/>
  <c r="A135" i="5"/>
  <c r="B135" i="5"/>
  <c r="C135" i="5"/>
  <c r="D135" i="5"/>
  <c r="E135" i="5"/>
  <c r="F135" i="5"/>
  <c r="G135" i="5"/>
  <c r="H135" i="5"/>
  <c r="I135" i="5"/>
  <c r="J135" i="5"/>
  <c r="K135" i="5"/>
  <c r="L135" i="5"/>
  <c r="M135" i="5"/>
  <c r="N135" i="5"/>
  <c r="O135" i="5"/>
  <c r="P135" i="5"/>
  <c r="A136" i="5"/>
  <c r="B136" i="5"/>
  <c r="C136" i="5"/>
  <c r="D136" i="5"/>
  <c r="E136" i="5"/>
  <c r="F136" i="5"/>
  <c r="G136" i="5"/>
  <c r="H136" i="5"/>
  <c r="I136" i="5"/>
  <c r="J136" i="5"/>
  <c r="K136" i="5"/>
  <c r="L136" i="5"/>
  <c r="M136" i="5"/>
  <c r="N136" i="5"/>
  <c r="O136" i="5"/>
  <c r="P136" i="5"/>
  <c r="A137" i="5"/>
  <c r="B137" i="5"/>
  <c r="C137" i="5"/>
  <c r="D137" i="5"/>
  <c r="E137" i="5"/>
  <c r="F137" i="5"/>
  <c r="G137" i="5"/>
  <c r="H137" i="5"/>
  <c r="I137" i="5"/>
  <c r="J137" i="5"/>
  <c r="K137" i="5"/>
  <c r="L137" i="5"/>
  <c r="M137" i="5"/>
  <c r="N137" i="5"/>
  <c r="O137" i="5"/>
  <c r="P137" i="5"/>
  <c r="A138" i="5"/>
  <c r="B138" i="5"/>
  <c r="C138" i="5"/>
  <c r="D138" i="5"/>
  <c r="E138" i="5"/>
  <c r="F138" i="5"/>
  <c r="G138" i="5"/>
  <c r="H138" i="5"/>
  <c r="I138" i="5"/>
  <c r="J138" i="5"/>
  <c r="K138" i="5"/>
  <c r="L138" i="5"/>
  <c r="M138" i="5"/>
  <c r="N138" i="5"/>
  <c r="O138" i="5"/>
  <c r="P138" i="5"/>
  <c r="A139" i="5"/>
  <c r="B139" i="5"/>
  <c r="C139" i="5"/>
  <c r="D139" i="5"/>
  <c r="E139" i="5"/>
  <c r="F139" i="5"/>
  <c r="G139" i="5"/>
  <c r="H139" i="5"/>
  <c r="I139" i="5"/>
  <c r="J139" i="5"/>
  <c r="K139" i="5"/>
  <c r="L139" i="5"/>
  <c r="M139" i="5"/>
  <c r="N139" i="5"/>
  <c r="O139" i="5"/>
  <c r="P139" i="5"/>
  <c r="E246" i="5"/>
  <c r="A259" i="5"/>
  <c r="B259" i="5"/>
  <c r="C259" i="5"/>
  <c r="D259" i="5"/>
  <c r="E259" i="5"/>
  <c r="F259" i="5"/>
  <c r="G259" i="5"/>
  <c r="H259" i="5"/>
  <c r="I259" i="5"/>
  <c r="J259" i="5"/>
  <c r="K259" i="5"/>
  <c r="L259" i="5"/>
  <c r="M259" i="5"/>
  <c r="N259" i="5"/>
  <c r="O259" i="5"/>
  <c r="P259" i="5"/>
  <c r="A262" i="5"/>
  <c r="B262" i="5"/>
  <c r="C262" i="5"/>
  <c r="D262" i="5"/>
  <c r="E262" i="5"/>
  <c r="F262" i="5"/>
  <c r="G262" i="5"/>
  <c r="H262" i="5"/>
  <c r="I262" i="5"/>
  <c r="J262" i="5"/>
  <c r="K262" i="5"/>
  <c r="L262" i="5"/>
  <c r="M262" i="5"/>
  <c r="N262" i="5"/>
  <c r="O262" i="5"/>
  <c r="P262" i="5"/>
  <c r="A265" i="5"/>
  <c r="B265" i="5"/>
  <c r="C265" i="5"/>
  <c r="D265" i="5"/>
  <c r="E265" i="5"/>
  <c r="F265" i="5"/>
  <c r="G265" i="5"/>
  <c r="H265" i="5"/>
  <c r="I265" i="5"/>
  <c r="J265" i="5"/>
  <c r="K265" i="5"/>
  <c r="L265" i="5"/>
  <c r="M265" i="5"/>
  <c r="N265" i="5"/>
  <c r="O265" i="5"/>
  <c r="P265" i="5"/>
  <c r="A267" i="5"/>
  <c r="B267" i="5"/>
  <c r="C267" i="5"/>
  <c r="D267" i="5"/>
  <c r="E267" i="5"/>
  <c r="F267" i="5"/>
  <c r="G267" i="5"/>
  <c r="H267" i="5"/>
  <c r="I267" i="5"/>
  <c r="J267" i="5"/>
  <c r="K267" i="5"/>
  <c r="L267" i="5"/>
  <c r="M267" i="5"/>
  <c r="N267" i="5"/>
  <c r="O267" i="5"/>
  <c r="P267" i="5"/>
  <c r="A269" i="5"/>
  <c r="B269" i="5"/>
  <c r="C269" i="5"/>
  <c r="D269" i="5"/>
  <c r="E269" i="5"/>
  <c r="F269" i="5"/>
  <c r="G269" i="5"/>
  <c r="H269" i="5"/>
  <c r="I269" i="5"/>
  <c r="J269" i="5"/>
  <c r="K269" i="5"/>
  <c r="L269" i="5"/>
  <c r="M269" i="5"/>
  <c r="N269" i="5"/>
  <c r="O269" i="5"/>
  <c r="P269" i="5"/>
  <c r="A270" i="5"/>
  <c r="B270" i="5"/>
  <c r="C270" i="5"/>
  <c r="D270" i="5"/>
  <c r="E270" i="5"/>
  <c r="F270" i="5"/>
  <c r="G270" i="5"/>
  <c r="H270" i="5"/>
  <c r="I270" i="5"/>
  <c r="J270" i="5"/>
  <c r="K270" i="5"/>
  <c r="L270" i="5"/>
  <c r="M270" i="5"/>
  <c r="N270" i="5"/>
  <c r="O270" i="5"/>
  <c r="P270" i="5"/>
  <c r="A271" i="5"/>
  <c r="B271" i="5"/>
  <c r="C271" i="5"/>
  <c r="D271" i="5"/>
  <c r="E271" i="5"/>
  <c r="F271" i="5"/>
  <c r="G271" i="5"/>
  <c r="H271" i="5"/>
  <c r="I271" i="5"/>
  <c r="J271" i="5"/>
  <c r="K271" i="5"/>
  <c r="L271" i="5"/>
  <c r="M271" i="5"/>
  <c r="N271" i="5"/>
  <c r="O271" i="5"/>
  <c r="P271" i="5"/>
  <c r="A272" i="5"/>
  <c r="B272" i="5"/>
  <c r="C272" i="5"/>
  <c r="D272" i="5"/>
  <c r="E272" i="5"/>
  <c r="F272" i="5"/>
  <c r="G272" i="5"/>
  <c r="H272" i="5"/>
  <c r="I272" i="5"/>
  <c r="J272" i="5"/>
  <c r="K272" i="5"/>
  <c r="L272" i="5"/>
  <c r="M272" i="5"/>
  <c r="N272" i="5"/>
  <c r="O272" i="5"/>
  <c r="P272" i="5"/>
  <c r="A280" i="5"/>
  <c r="B280" i="5"/>
  <c r="C280" i="5"/>
  <c r="D280" i="5"/>
  <c r="E280" i="5"/>
  <c r="F280" i="5"/>
  <c r="G280" i="5"/>
  <c r="H280" i="5"/>
  <c r="I280" i="5"/>
  <c r="J280" i="5"/>
  <c r="K280" i="5"/>
  <c r="L280" i="5"/>
  <c r="M280" i="5"/>
  <c r="N280" i="5"/>
  <c r="O280" i="5"/>
  <c r="P280" i="5"/>
  <c r="A281" i="5"/>
  <c r="B281" i="5"/>
  <c r="C281" i="5"/>
  <c r="D281" i="5"/>
  <c r="E281" i="5"/>
  <c r="F281" i="5"/>
  <c r="G281" i="5"/>
  <c r="H281" i="5"/>
  <c r="I281" i="5"/>
  <c r="J281" i="5"/>
  <c r="K281" i="5"/>
  <c r="L281" i="5"/>
  <c r="M281" i="5"/>
  <c r="N281" i="5"/>
  <c r="O281" i="5"/>
  <c r="P281" i="5"/>
  <c r="A282" i="5"/>
  <c r="B282" i="5"/>
  <c r="C282" i="5"/>
  <c r="D282" i="5"/>
  <c r="E282" i="5"/>
  <c r="F282" i="5"/>
  <c r="G282" i="5"/>
  <c r="H282" i="5"/>
  <c r="I282" i="5"/>
  <c r="J282" i="5"/>
  <c r="K282" i="5"/>
  <c r="L282" i="5"/>
  <c r="M282" i="5"/>
  <c r="N282" i="5"/>
  <c r="O282" i="5"/>
  <c r="P282" i="5"/>
  <c r="A283" i="5"/>
  <c r="B283" i="5"/>
  <c r="C283" i="5"/>
  <c r="D283" i="5"/>
  <c r="E283" i="5"/>
  <c r="F283" i="5"/>
  <c r="G283" i="5"/>
  <c r="H283" i="5"/>
  <c r="I283" i="5"/>
  <c r="J283" i="5"/>
  <c r="K283" i="5"/>
  <c r="L283" i="5"/>
  <c r="M283" i="5"/>
  <c r="N283" i="5"/>
  <c r="O283" i="5"/>
  <c r="P283" i="5"/>
  <c r="A284" i="5"/>
  <c r="B284" i="5"/>
  <c r="C284" i="5"/>
  <c r="D284" i="5"/>
  <c r="E284" i="5"/>
  <c r="F284" i="5"/>
  <c r="G284" i="5"/>
  <c r="H284" i="5"/>
  <c r="I284" i="5"/>
  <c r="J284" i="5"/>
  <c r="K284" i="5"/>
  <c r="L284" i="5"/>
  <c r="M284" i="5"/>
  <c r="N284" i="5"/>
  <c r="O284" i="5"/>
  <c r="P284" i="5"/>
  <c r="A285" i="5"/>
  <c r="B285" i="5"/>
  <c r="C285" i="5"/>
  <c r="D285" i="5"/>
  <c r="E285" i="5"/>
  <c r="F285" i="5"/>
  <c r="G285" i="5"/>
  <c r="H285" i="5"/>
  <c r="I285" i="5"/>
  <c r="J285" i="5"/>
  <c r="K285" i="5"/>
  <c r="L285" i="5"/>
  <c r="M285" i="5"/>
  <c r="N285" i="5"/>
  <c r="O285" i="5"/>
  <c r="P285" i="5"/>
  <c r="A286" i="5"/>
  <c r="B286" i="5"/>
  <c r="C286" i="5"/>
  <c r="D286" i="5"/>
  <c r="E286" i="5"/>
  <c r="F286" i="5"/>
  <c r="G286" i="5"/>
  <c r="H286" i="5"/>
  <c r="I286" i="5"/>
  <c r="J286" i="5"/>
  <c r="K286" i="5"/>
  <c r="L286" i="5"/>
  <c r="M286" i="5"/>
  <c r="N286" i="5"/>
  <c r="O286" i="5"/>
  <c r="P286" i="5"/>
  <c r="A287" i="5"/>
  <c r="B287" i="5"/>
  <c r="C287" i="5"/>
  <c r="D287" i="5"/>
  <c r="E287" i="5"/>
  <c r="F287" i="5"/>
  <c r="G287" i="5"/>
  <c r="H287" i="5"/>
  <c r="I287" i="5"/>
  <c r="J287" i="5"/>
  <c r="K287" i="5"/>
  <c r="L287" i="5"/>
  <c r="M287" i="5"/>
  <c r="N287" i="5"/>
  <c r="O287" i="5"/>
  <c r="P287" i="5"/>
  <c r="A288" i="5"/>
  <c r="B288" i="5"/>
  <c r="C288" i="5"/>
  <c r="D288" i="5"/>
  <c r="E288" i="5"/>
  <c r="F288" i="5"/>
  <c r="G288" i="5"/>
  <c r="H288" i="5"/>
  <c r="I288" i="5"/>
  <c r="J288" i="5"/>
  <c r="K288" i="5"/>
  <c r="L288" i="5"/>
  <c r="M288" i="5"/>
  <c r="N288" i="5"/>
  <c r="O288" i="5"/>
  <c r="P288" i="5"/>
  <c r="A289" i="5"/>
  <c r="B289" i="5"/>
  <c r="C289" i="5"/>
  <c r="D289" i="5"/>
  <c r="E289" i="5"/>
  <c r="F289" i="5"/>
  <c r="G289" i="5"/>
  <c r="H289" i="5"/>
  <c r="I289" i="5"/>
  <c r="J289" i="5"/>
  <c r="K289" i="5"/>
  <c r="L289" i="5"/>
  <c r="M289" i="5"/>
  <c r="N289" i="5"/>
  <c r="O289" i="5"/>
  <c r="P289" i="5"/>
  <c r="A290" i="5"/>
  <c r="B290" i="5"/>
  <c r="C290" i="5"/>
  <c r="D290" i="5"/>
  <c r="E290" i="5"/>
  <c r="F290" i="5"/>
  <c r="G290" i="5"/>
  <c r="H290" i="5"/>
  <c r="I290" i="5"/>
  <c r="J290" i="5"/>
  <c r="K290" i="5"/>
  <c r="L290" i="5"/>
  <c r="M290" i="5"/>
  <c r="N290" i="5"/>
  <c r="O290" i="5"/>
  <c r="P290" i="5"/>
  <c r="A291" i="5"/>
  <c r="B291" i="5"/>
  <c r="C291" i="5"/>
  <c r="D291" i="5"/>
  <c r="E291" i="5"/>
  <c r="F291" i="5"/>
  <c r="G291" i="5"/>
  <c r="H291" i="5"/>
  <c r="I291" i="5"/>
  <c r="J291" i="5"/>
  <c r="K291" i="5"/>
  <c r="L291" i="5"/>
  <c r="M291" i="5"/>
  <c r="N291" i="5"/>
  <c r="O291" i="5"/>
  <c r="P291" i="5"/>
  <c r="A292" i="5"/>
  <c r="B292" i="5"/>
  <c r="C292" i="5"/>
  <c r="D292" i="5"/>
  <c r="E292" i="5"/>
  <c r="F292" i="5"/>
  <c r="G292" i="5"/>
  <c r="H292" i="5"/>
  <c r="I292" i="5"/>
  <c r="J292" i="5"/>
  <c r="K292" i="5"/>
  <c r="L292" i="5"/>
  <c r="M292" i="5"/>
  <c r="N292" i="5"/>
  <c r="O292" i="5"/>
  <c r="P292" i="5"/>
  <c r="A293" i="5"/>
  <c r="B293" i="5"/>
  <c r="C293" i="5"/>
  <c r="D293" i="5"/>
  <c r="E293" i="5"/>
  <c r="F293" i="5"/>
  <c r="G293" i="5"/>
  <c r="H293" i="5"/>
  <c r="I293" i="5"/>
  <c r="J293" i="5"/>
  <c r="K293" i="5"/>
  <c r="L293" i="5"/>
  <c r="M293" i="5"/>
  <c r="N293" i="5"/>
  <c r="O293" i="5"/>
  <c r="P293" i="5"/>
  <c r="A294" i="5"/>
  <c r="B294" i="5"/>
  <c r="C294" i="5"/>
  <c r="D294" i="5"/>
  <c r="E294" i="5"/>
  <c r="F294" i="5"/>
  <c r="G294" i="5"/>
  <c r="H294" i="5"/>
  <c r="I294" i="5"/>
  <c r="J294" i="5"/>
  <c r="K294" i="5"/>
  <c r="L294" i="5"/>
  <c r="M294" i="5"/>
  <c r="N294" i="5"/>
  <c r="O294" i="5"/>
  <c r="P294" i="5"/>
  <c r="A295" i="5"/>
  <c r="B295" i="5"/>
  <c r="C295" i="5"/>
  <c r="D295" i="5"/>
  <c r="E295" i="5"/>
  <c r="F295" i="5"/>
  <c r="G295" i="5"/>
  <c r="H295" i="5"/>
  <c r="I295" i="5"/>
  <c r="J295" i="5"/>
  <c r="K295" i="5"/>
  <c r="L295" i="5"/>
  <c r="M295" i="5"/>
  <c r="N295" i="5"/>
  <c r="O295" i="5"/>
  <c r="P295" i="5"/>
  <c r="A296" i="5"/>
  <c r="B296" i="5"/>
  <c r="C296" i="5"/>
  <c r="D296" i="5"/>
  <c r="E296" i="5"/>
  <c r="F296" i="5"/>
  <c r="G296" i="5"/>
  <c r="H296" i="5"/>
  <c r="I296" i="5"/>
  <c r="J296" i="5"/>
  <c r="A205" i="5"/>
  <c r="B205" i="5"/>
  <c r="C205" i="5"/>
  <c r="D205" i="5"/>
  <c r="E205" i="5"/>
  <c r="F205" i="5"/>
  <c r="G205" i="5"/>
  <c r="H205" i="5"/>
  <c r="I205" i="5"/>
  <c r="J205" i="5"/>
  <c r="K205" i="5"/>
  <c r="L205" i="5"/>
  <c r="M205" i="5"/>
  <c r="N205" i="5"/>
  <c r="O205" i="5"/>
  <c r="P205" i="5"/>
  <c r="B275" i="5"/>
  <c r="C275" i="5"/>
  <c r="D275" i="5"/>
  <c r="E275" i="5"/>
  <c r="F275" i="5"/>
  <c r="G275" i="5"/>
  <c r="H275" i="5"/>
  <c r="I275" i="5"/>
  <c r="J275" i="5"/>
  <c r="K275" i="5"/>
  <c r="L275" i="5"/>
  <c r="M275" i="5"/>
  <c r="N275" i="5"/>
  <c r="O275" i="5"/>
  <c r="P275" i="5"/>
  <c r="A277" i="5"/>
  <c r="B277" i="5"/>
  <c r="C277" i="5"/>
  <c r="D277" i="5"/>
  <c r="E277" i="5"/>
  <c r="F277" i="5"/>
  <c r="G277" i="5"/>
  <c r="H277" i="5"/>
  <c r="I277" i="5"/>
  <c r="J277" i="5"/>
  <c r="K277" i="5"/>
  <c r="L277" i="5"/>
  <c r="M277" i="5"/>
  <c r="N277" i="5"/>
  <c r="O277" i="5"/>
  <c r="P277" i="5"/>
  <c r="A278" i="5"/>
  <c r="B278" i="5"/>
  <c r="C278" i="5"/>
  <c r="D278" i="5"/>
  <c r="E278" i="5"/>
  <c r="F278" i="5"/>
  <c r="G278" i="5"/>
  <c r="H278" i="5"/>
  <c r="I278" i="5"/>
  <c r="J278" i="5"/>
  <c r="K278" i="5"/>
  <c r="L278" i="5"/>
  <c r="M278" i="5"/>
  <c r="N278" i="5"/>
  <c r="O278" i="5"/>
  <c r="P278" i="5"/>
  <c r="A204" i="5"/>
  <c r="B204" i="5"/>
  <c r="C204" i="5"/>
  <c r="D204" i="5"/>
  <c r="E204" i="5"/>
  <c r="F204" i="5"/>
  <c r="G204" i="5"/>
  <c r="H204" i="5"/>
  <c r="I204" i="5"/>
  <c r="J204" i="5"/>
  <c r="K204" i="5"/>
  <c r="L204" i="5"/>
  <c r="M204" i="5"/>
  <c r="N204" i="5"/>
  <c r="O204" i="5"/>
  <c r="P204" i="5"/>
  <c r="A206" i="5"/>
  <c r="B206" i="5"/>
  <c r="C206" i="5"/>
  <c r="D206" i="5"/>
  <c r="E206" i="5"/>
  <c r="F206" i="5"/>
  <c r="G206" i="5"/>
  <c r="H206" i="5"/>
  <c r="I206" i="5"/>
  <c r="J206" i="5"/>
  <c r="K206" i="5"/>
  <c r="L206" i="5"/>
  <c r="M206" i="5"/>
  <c r="N206" i="5"/>
  <c r="O206" i="5"/>
  <c r="P206" i="5"/>
  <c r="A274" i="5"/>
  <c r="B274" i="5"/>
  <c r="C274" i="5"/>
  <c r="D274" i="5"/>
  <c r="E274" i="5"/>
  <c r="F274" i="5"/>
  <c r="G274" i="5"/>
  <c r="H274" i="5"/>
  <c r="I274" i="5"/>
  <c r="J274" i="5"/>
  <c r="K274" i="5"/>
  <c r="L274" i="5"/>
  <c r="M274" i="5"/>
  <c r="N274" i="5"/>
  <c r="O274" i="5"/>
  <c r="P274" i="5"/>
  <c r="A279" i="5"/>
  <c r="B279" i="5"/>
  <c r="C279" i="5"/>
  <c r="D279" i="5"/>
  <c r="E279" i="5"/>
  <c r="F279" i="5"/>
  <c r="G279" i="5"/>
  <c r="H279" i="5"/>
  <c r="I279" i="5"/>
  <c r="J279" i="5"/>
  <c r="K279" i="5"/>
  <c r="L279" i="5"/>
  <c r="M279" i="5"/>
  <c r="N279" i="5"/>
  <c r="O279" i="5"/>
  <c r="P279" i="5"/>
  <c r="A6" i="4"/>
  <c r="B6" i="4"/>
  <c r="C6" i="4"/>
  <c r="D6" i="4"/>
  <c r="E6" i="4"/>
  <c r="F6" i="4" s="1"/>
  <c r="A7" i="4"/>
  <c r="B7" i="4"/>
  <c r="C7" i="4"/>
  <c r="D7" i="4"/>
  <c r="E7" i="4"/>
  <c r="F7" i="4" s="1"/>
  <c r="A8" i="4"/>
  <c r="B8" i="4"/>
  <c r="C8" i="4"/>
  <c r="D8" i="4"/>
  <c r="E8" i="4"/>
  <c r="F8" i="4" s="1"/>
  <c r="A9" i="4"/>
  <c r="B9" i="4"/>
  <c r="C9" i="4"/>
  <c r="D9" i="4"/>
  <c r="E9" i="4"/>
  <c r="F9" i="4" s="1"/>
  <c r="A10" i="4"/>
  <c r="B10" i="4"/>
  <c r="C10" i="4"/>
  <c r="D10" i="4"/>
  <c r="E10" i="4"/>
  <c r="F10" i="4" s="1"/>
  <c r="A11" i="4"/>
  <c r="B11" i="4"/>
  <c r="C11" i="4"/>
  <c r="D11" i="4"/>
  <c r="E11" i="4"/>
  <c r="F11" i="4" s="1"/>
  <c r="A12" i="4"/>
  <c r="B12" i="4"/>
  <c r="C12" i="4"/>
  <c r="D12" i="4"/>
  <c r="E12" i="4"/>
  <c r="F12" i="4" s="1"/>
  <c r="A13" i="4"/>
  <c r="B13" i="4"/>
  <c r="C13" i="4"/>
  <c r="D13" i="4"/>
  <c r="E13" i="4"/>
  <c r="F13" i="4" s="1"/>
  <c r="A14" i="4"/>
  <c r="B14" i="4"/>
  <c r="C14" i="4"/>
  <c r="D14" i="4"/>
  <c r="E14" i="4"/>
  <c r="F14" i="4" s="1"/>
  <c r="A15" i="4"/>
  <c r="B15" i="4"/>
  <c r="C15" i="4"/>
  <c r="D15" i="4"/>
  <c r="E15" i="4"/>
  <c r="F15" i="4" s="1"/>
  <c r="A16" i="4"/>
  <c r="B16" i="4"/>
  <c r="C16" i="4"/>
  <c r="D16" i="4"/>
  <c r="E16" i="4"/>
  <c r="F16" i="4" s="1"/>
  <c r="A17" i="4"/>
  <c r="B17" i="4"/>
  <c r="C17" i="4"/>
  <c r="D17" i="4"/>
  <c r="E17" i="4"/>
  <c r="F17" i="4"/>
  <c r="A18" i="4"/>
  <c r="B18" i="4"/>
  <c r="C18" i="4"/>
  <c r="D18" i="4"/>
  <c r="E18" i="4"/>
  <c r="F18" i="4"/>
  <c r="A19" i="4"/>
  <c r="B19" i="4"/>
  <c r="C19" i="4"/>
  <c r="D19" i="4"/>
  <c r="E19" i="4"/>
  <c r="F19" i="4"/>
  <c r="A20" i="4"/>
  <c r="B20" i="4"/>
  <c r="C20" i="4"/>
  <c r="D20" i="4"/>
  <c r="E20" i="4"/>
  <c r="F20" i="4"/>
  <c r="A21" i="4"/>
  <c r="B21" i="4"/>
  <c r="C21" i="4"/>
  <c r="D21" i="4"/>
  <c r="E21" i="4"/>
  <c r="F21" i="4"/>
  <c r="A22" i="4"/>
  <c r="B22" i="4"/>
  <c r="C22" i="4"/>
  <c r="D22" i="4"/>
  <c r="E22" i="4"/>
  <c r="F22" i="4"/>
  <c r="A23" i="4"/>
  <c r="B23" i="4"/>
  <c r="C23" i="4"/>
  <c r="D23" i="4"/>
  <c r="E23" i="4"/>
  <c r="F23" i="4"/>
  <c r="A24" i="4"/>
  <c r="B24" i="4"/>
  <c r="C24" i="4"/>
  <c r="D24" i="4"/>
  <c r="E24" i="4"/>
  <c r="F24" i="4"/>
  <c r="A25" i="4"/>
  <c r="B25" i="4"/>
  <c r="C25" i="4"/>
  <c r="D25" i="4"/>
  <c r="E25" i="4"/>
  <c r="F25" i="4"/>
  <c r="A26" i="4"/>
  <c r="B26" i="4"/>
  <c r="C26" i="4"/>
  <c r="D26" i="4"/>
  <c r="E26" i="4"/>
  <c r="F26" i="4"/>
  <c r="A27" i="4"/>
  <c r="B27" i="4"/>
  <c r="C27" i="4"/>
  <c r="D27" i="4"/>
  <c r="E27" i="4"/>
  <c r="F27" i="4"/>
  <c r="A28" i="4"/>
  <c r="B28" i="4"/>
  <c r="C28" i="4"/>
  <c r="D28" i="4"/>
  <c r="E28" i="4"/>
  <c r="F28" i="4"/>
  <c r="A29" i="4"/>
  <c r="B29" i="4"/>
  <c r="C29" i="4"/>
  <c r="D29" i="4"/>
  <c r="E29" i="4"/>
  <c r="F29" i="4"/>
  <c r="A30" i="4"/>
  <c r="B30" i="4"/>
  <c r="C30" i="4"/>
  <c r="D30" i="4"/>
  <c r="E30" i="4"/>
  <c r="F30" i="4"/>
  <c r="A31" i="4"/>
  <c r="B31" i="4"/>
  <c r="C31" i="4"/>
  <c r="D31" i="4"/>
  <c r="E31" i="4"/>
  <c r="F31" i="4"/>
  <c r="A32" i="4"/>
  <c r="B32" i="4"/>
  <c r="C32" i="4"/>
  <c r="D32" i="4"/>
  <c r="E32" i="4"/>
  <c r="F32" i="4"/>
  <c r="A33" i="4"/>
  <c r="B33" i="4"/>
  <c r="C33" i="4"/>
  <c r="D33" i="4"/>
  <c r="E33" i="4"/>
  <c r="F33" i="4"/>
  <c r="A34" i="4"/>
  <c r="B34" i="4"/>
  <c r="C34" i="4"/>
  <c r="D34" i="4"/>
  <c r="E34" i="4"/>
  <c r="F34" i="4"/>
  <c r="A35" i="4"/>
  <c r="B35" i="4"/>
  <c r="C35" i="4"/>
  <c r="D35" i="4"/>
  <c r="E35" i="4"/>
  <c r="F35" i="4"/>
  <c r="A36" i="4"/>
  <c r="B36" i="4"/>
  <c r="C36" i="4"/>
  <c r="D36" i="4"/>
  <c r="E36" i="4"/>
  <c r="F36" i="4"/>
  <c r="A37" i="4"/>
  <c r="B37" i="4"/>
  <c r="C37" i="4"/>
  <c r="D37" i="4"/>
  <c r="E37" i="4"/>
  <c r="F37" i="4"/>
  <c r="A38" i="4"/>
  <c r="B38" i="4"/>
  <c r="C38" i="4"/>
  <c r="D38" i="4"/>
  <c r="E38" i="4"/>
  <c r="F38" i="4"/>
  <c r="A39" i="4"/>
  <c r="B39" i="4"/>
  <c r="C39" i="4"/>
  <c r="D39" i="4"/>
  <c r="E39" i="4"/>
  <c r="F39" i="4"/>
  <c r="A40" i="4"/>
  <c r="B40" i="4"/>
  <c r="C40" i="4"/>
  <c r="D40" i="4"/>
  <c r="E40" i="4"/>
  <c r="F40" i="4"/>
  <c r="A41" i="4"/>
  <c r="B41" i="4"/>
  <c r="C41" i="4"/>
  <c r="D41" i="4"/>
  <c r="E41" i="4"/>
  <c r="F41" i="4"/>
  <c r="A42" i="4"/>
  <c r="B42" i="4"/>
  <c r="C42" i="4"/>
  <c r="D42" i="4"/>
  <c r="E42" i="4"/>
  <c r="F42" i="4"/>
  <c r="A43" i="4"/>
  <c r="B43" i="4"/>
  <c r="C43" i="4"/>
  <c r="D43" i="4"/>
  <c r="E43" i="4"/>
  <c r="F43" i="4"/>
  <c r="A44" i="4"/>
  <c r="B44" i="4"/>
  <c r="C44" i="4"/>
  <c r="D44" i="4"/>
  <c r="E44" i="4"/>
  <c r="F44" i="4"/>
  <c r="A45" i="4"/>
  <c r="B45" i="4"/>
  <c r="C45" i="4"/>
  <c r="D45" i="4"/>
  <c r="E45" i="4"/>
  <c r="F45" i="4"/>
  <c r="A46" i="4"/>
  <c r="B46" i="4"/>
  <c r="C46" i="4"/>
  <c r="D46" i="4"/>
  <c r="E46" i="4"/>
  <c r="F46" i="4"/>
  <c r="A47" i="4"/>
  <c r="B47" i="4"/>
  <c r="C47" i="4"/>
  <c r="D47" i="4"/>
  <c r="E47" i="4"/>
  <c r="F47" i="4"/>
  <c r="A48" i="4"/>
  <c r="B48" i="4"/>
  <c r="C48" i="4"/>
  <c r="D48" i="4"/>
  <c r="E48" i="4"/>
  <c r="F48" i="4"/>
  <c r="A49" i="4"/>
  <c r="B49" i="4"/>
  <c r="C49" i="4"/>
  <c r="D49" i="4"/>
  <c r="E49" i="4"/>
  <c r="F49" i="4"/>
  <c r="A50" i="4"/>
  <c r="B50" i="4"/>
  <c r="C50" i="4"/>
  <c r="D50" i="4"/>
  <c r="E50" i="4"/>
  <c r="F50" i="4"/>
  <c r="A51" i="4"/>
  <c r="B51" i="4"/>
  <c r="C51" i="4"/>
  <c r="D51" i="4"/>
  <c r="E51" i="4"/>
  <c r="F51" i="4"/>
  <c r="A52" i="4"/>
  <c r="B52" i="4"/>
  <c r="C52" i="4"/>
  <c r="D52" i="4"/>
  <c r="E52" i="4"/>
  <c r="F52" i="4"/>
  <c r="A53" i="4"/>
  <c r="B53" i="4"/>
  <c r="C53" i="4"/>
  <c r="D53" i="4"/>
  <c r="E53" i="4"/>
  <c r="F53" i="4"/>
  <c r="A54" i="4"/>
  <c r="B54" i="4"/>
  <c r="C54" i="4"/>
  <c r="D54" i="4"/>
  <c r="E54" i="4"/>
  <c r="F54" i="4"/>
  <c r="A55" i="4"/>
  <c r="B55" i="4"/>
  <c r="C55" i="4"/>
  <c r="D55" i="4"/>
  <c r="E55" i="4"/>
  <c r="F55" i="4"/>
  <c r="A56" i="4"/>
  <c r="B56" i="4"/>
  <c r="C56" i="4"/>
  <c r="D56" i="4"/>
  <c r="E56" i="4"/>
  <c r="F56" i="4"/>
  <c r="A57" i="4"/>
  <c r="B57" i="4"/>
  <c r="C57" i="4"/>
  <c r="D57" i="4"/>
  <c r="E57" i="4"/>
  <c r="F57" i="4"/>
  <c r="A58" i="4"/>
  <c r="B58" i="4"/>
  <c r="C58" i="4"/>
  <c r="D58" i="4"/>
  <c r="E58" i="4"/>
  <c r="F58" i="4"/>
  <c r="A59" i="4"/>
  <c r="B59" i="4"/>
  <c r="C59" i="4"/>
  <c r="D59" i="4"/>
  <c r="E59" i="4"/>
  <c r="F59" i="4"/>
  <c r="A60" i="4"/>
  <c r="B60" i="4"/>
  <c r="C60" i="4"/>
  <c r="D60" i="4"/>
  <c r="E60" i="4"/>
  <c r="F60" i="4"/>
  <c r="A62" i="4"/>
  <c r="B62" i="4"/>
  <c r="C62" i="4"/>
  <c r="D62" i="4"/>
  <c r="E62" i="4"/>
  <c r="F62" i="4"/>
  <c r="A63" i="4"/>
  <c r="B63" i="4"/>
  <c r="C63" i="4"/>
  <c r="D63" i="4"/>
  <c r="E63" i="4"/>
  <c r="F63" i="4"/>
  <c r="A64" i="4"/>
  <c r="B64" i="4"/>
  <c r="C64" i="4"/>
  <c r="D64" i="4"/>
  <c r="E64" i="4"/>
  <c r="F64" i="4"/>
  <c r="A65" i="4"/>
  <c r="B65" i="4"/>
  <c r="C65" i="4"/>
  <c r="D65" i="4"/>
  <c r="E65" i="4"/>
  <c r="F65" i="4"/>
  <c r="A66" i="4"/>
  <c r="B66" i="4"/>
  <c r="C66" i="4"/>
  <c r="D66" i="4"/>
  <c r="E66" i="4"/>
  <c r="F66" i="4"/>
  <c r="A67" i="4"/>
  <c r="B67" i="4"/>
  <c r="C67" i="4"/>
  <c r="D67" i="4"/>
  <c r="E67" i="4"/>
  <c r="F67" i="4"/>
  <c r="A68" i="4"/>
  <c r="B68" i="4"/>
  <c r="C68" i="4"/>
  <c r="D68" i="4"/>
  <c r="E68" i="4"/>
  <c r="F68" i="4"/>
  <c r="A69" i="4"/>
  <c r="B69" i="4"/>
  <c r="C69" i="4"/>
  <c r="D69" i="4"/>
  <c r="E69" i="4"/>
  <c r="F69" i="4"/>
  <c r="A70" i="4"/>
  <c r="B70" i="4"/>
  <c r="C70" i="4"/>
  <c r="D70" i="4"/>
  <c r="E70" i="4"/>
  <c r="F70" i="4"/>
  <c r="A71" i="4"/>
  <c r="B71" i="4"/>
  <c r="C71" i="4"/>
  <c r="D71" i="4"/>
  <c r="E71" i="4"/>
  <c r="F71" i="4"/>
  <c r="A72" i="4"/>
  <c r="B72" i="4"/>
  <c r="C72" i="4"/>
  <c r="D72" i="4"/>
  <c r="E72" i="4"/>
  <c r="F72" i="4"/>
  <c r="A73" i="4"/>
  <c r="B73" i="4"/>
  <c r="C73" i="4"/>
  <c r="D73" i="4"/>
  <c r="E73" i="4"/>
  <c r="F73" i="4"/>
  <c r="A74" i="4"/>
  <c r="B74" i="4"/>
  <c r="C74" i="4"/>
  <c r="D74" i="4"/>
  <c r="E74" i="4"/>
  <c r="F74" i="4"/>
  <c r="A75" i="4"/>
  <c r="B75" i="4"/>
  <c r="C75" i="4"/>
  <c r="D75" i="4"/>
  <c r="E75" i="4"/>
  <c r="F75" i="4"/>
  <c r="A76" i="4"/>
  <c r="B76" i="4"/>
  <c r="C76" i="4"/>
  <c r="D76" i="4"/>
  <c r="E76" i="4"/>
  <c r="F76" i="4"/>
  <c r="A77" i="4"/>
  <c r="B77" i="4"/>
  <c r="C77" i="4"/>
  <c r="D77" i="4"/>
  <c r="E77" i="4"/>
  <c r="F77" i="4"/>
  <c r="A78" i="4"/>
  <c r="B78" i="4"/>
  <c r="C78" i="4"/>
  <c r="D78" i="4"/>
  <c r="E78" i="4"/>
  <c r="F78" i="4"/>
  <c r="A79" i="4"/>
  <c r="B79" i="4"/>
  <c r="C79" i="4"/>
  <c r="D79" i="4"/>
  <c r="E79" i="4"/>
  <c r="F79" i="4"/>
  <c r="A80" i="4"/>
  <c r="B80" i="4"/>
  <c r="C80" i="4"/>
  <c r="D80" i="4"/>
  <c r="E80" i="4"/>
  <c r="F80" i="4"/>
  <c r="A81" i="4"/>
  <c r="B81" i="4"/>
  <c r="C81" i="4"/>
  <c r="D81" i="4"/>
  <c r="E81" i="4"/>
  <c r="F81" i="4"/>
  <c r="A82" i="4"/>
  <c r="B82" i="4"/>
  <c r="C82" i="4"/>
  <c r="D82" i="4"/>
  <c r="E82" i="4"/>
  <c r="F82" i="4"/>
  <c r="A83" i="4"/>
  <c r="B83" i="4"/>
  <c r="C83" i="4"/>
  <c r="D83" i="4"/>
  <c r="E83" i="4"/>
  <c r="F83" i="4"/>
  <c r="A84" i="4"/>
  <c r="B84" i="4"/>
  <c r="C84" i="4"/>
  <c r="D84" i="4"/>
  <c r="E84" i="4"/>
  <c r="F84" i="4"/>
  <c r="A85" i="4"/>
  <c r="B85" i="4"/>
  <c r="C85" i="4"/>
  <c r="D85" i="4"/>
  <c r="E85" i="4"/>
  <c r="F85" i="4"/>
  <c r="A86" i="4"/>
  <c r="B86" i="4"/>
  <c r="C86" i="4"/>
  <c r="D86" i="4"/>
  <c r="E86" i="4"/>
  <c r="F86" i="4"/>
  <c r="A87" i="4"/>
  <c r="B87" i="4"/>
  <c r="C87" i="4"/>
  <c r="D87" i="4"/>
  <c r="E87" i="4"/>
  <c r="F87" i="4"/>
  <c r="A88" i="4"/>
  <c r="B88" i="4"/>
  <c r="C88" i="4"/>
  <c r="D88" i="4"/>
  <c r="E88" i="4"/>
  <c r="F88" i="4"/>
  <c r="A89" i="4"/>
  <c r="B89" i="4"/>
  <c r="C89" i="4"/>
  <c r="D89" i="4"/>
  <c r="E89" i="4"/>
  <c r="F89" i="4"/>
  <c r="A90" i="4"/>
  <c r="B90" i="4"/>
  <c r="C90" i="4"/>
  <c r="D90" i="4"/>
  <c r="E90" i="4"/>
  <c r="F90" i="4"/>
  <c r="A91" i="4"/>
  <c r="B91" i="4"/>
  <c r="C91" i="4"/>
  <c r="D91" i="4"/>
  <c r="E91" i="4"/>
  <c r="F91" i="4"/>
  <c r="A92" i="4"/>
  <c r="B92" i="4"/>
  <c r="C92" i="4"/>
  <c r="D92" i="4"/>
  <c r="E92" i="4"/>
  <c r="F92" i="4"/>
  <c r="A93" i="4"/>
  <c r="B93" i="4"/>
  <c r="C93" i="4"/>
  <c r="D93" i="4"/>
  <c r="E93" i="4"/>
  <c r="F93" i="4"/>
  <c r="A94" i="4"/>
  <c r="B94" i="4"/>
  <c r="C94" i="4"/>
  <c r="D94" i="4"/>
  <c r="E94" i="4"/>
  <c r="F94" i="4"/>
  <c r="A95" i="4"/>
  <c r="B95" i="4"/>
  <c r="C95" i="4"/>
  <c r="D95" i="4"/>
  <c r="E95" i="4"/>
  <c r="F95" i="4"/>
  <c r="A96" i="4"/>
  <c r="B96" i="4"/>
  <c r="C96" i="4"/>
  <c r="D96" i="4"/>
  <c r="E96" i="4"/>
  <c r="F96" i="4"/>
  <c r="A97" i="4"/>
  <c r="B97" i="4"/>
  <c r="C97" i="4"/>
  <c r="D97" i="4"/>
  <c r="E97" i="4"/>
  <c r="F97" i="4"/>
  <c r="A98" i="4"/>
  <c r="B98" i="4"/>
  <c r="C98" i="4"/>
  <c r="D98" i="4"/>
  <c r="E98" i="4"/>
  <c r="F98" i="4"/>
  <c r="A99" i="4"/>
  <c r="B99" i="4"/>
  <c r="C99" i="4"/>
  <c r="D99" i="4"/>
  <c r="E99" i="4"/>
  <c r="F99" i="4"/>
  <c r="A100" i="4"/>
  <c r="B100" i="4"/>
  <c r="C100" i="4"/>
  <c r="D100" i="4"/>
  <c r="E100" i="4"/>
  <c r="F100" i="4"/>
  <c r="A101" i="4"/>
  <c r="B101" i="4"/>
  <c r="C101" i="4"/>
  <c r="D101" i="4"/>
  <c r="E101" i="4"/>
  <c r="F101" i="4"/>
  <c r="A102" i="4"/>
  <c r="B102" i="4"/>
  <c r="C102" i="4"/>
  <c r="D102" i="4"/>
  <c r="E102" i="4"/>
  <c r="F102" i="4"/>
  <c r="A103" i="4"/>
  <c r="B103" i="4"/>
  <c r="C103" i="4"/>
  <c r="D103" i="4"/>
  <c r="E103" i="4"/>
  <c r="F103" i="4"/>
  <c r="A104" i="4"/>
  <c r="B104" i="4"/>
  <c r="C104" i="4"/>
  <c r="D104" i="4"/>
  <c r="E104" i="4"/>
  <c r="F104" i="4"/>
  <c r="A105" i="4"/>
  <c r="B105" i="4"/>
  <c r="C105" i="4"/>
  <c r="D105" i="4"/>
  <c r="E105" i="4"/>
  <c r="F105" i="4"/>
  <c r="A106" i="4"/>
  <c r="B106" i="4"/>
  <c r="C106" i="4"/>
  <c r="D106" i="4"/>
  <c r="E106" i="4"/>
  <c r="F106" i="4"/>
  <c r="A107" i="4"/>
  <c r="B107" i="4"/>
  <c r="C107" i="4"/>
  <c r="D107" i="4"/>
  <c r="E107" i="4"/>
  <c r="F107" i="4"/>
  <c r="A108" i="4"/>
  <c r="B108" i="4"/>
  <c r="C108" i="4"/>
  <c r="D108" i="4"/>
  <c r="E108" i="4"/>
  <c r="F108" i="4"/>
  <c r="A109" i="4"/>
  <c r="B109" i="4"/>
  <c r="C109" i="4"/>
  <c r="D109" i="4"/>
  <c r="E109" i="4"/>
  <c r="F109" i="4"/>
  <c r="A110" i="4"/>
  <c r="B110" i="4"/>
  <c r="C110" i="4"/>
  <c r="D110" i="4"/>
  <c r="E110" i="4"/>
  <c r="F110" i="4"/>
  <c r="A111" i="4"/>
  <c r="B111" i="4"/>
  <c r="C111" i="4"/>
  <c r="D111" i="4"/>
  <c r="E111" i="4"/>
  <c r="F111" i="4"/>
  <c r="A112" i="4"/>
  <c r="B112" i="4"/>
  <c r="C112" i="4"/>
  <c r="D112" i="4"/>
  <c r="E112" i="4"/>
  <c r="F112" i="4"/>
  <c r="A113" i="4"/>
  <c r="B113" i="4"/>
  <c r="C113" i="4"/>
  <c r="D113" i="4"/>
  <c r="E113" i="4"/>
  <c r="F113" i="4"/>
  <c r="A114" i="4"/>
  <c r="B114" i="4"/>
  <c r="C114" i="4"/>
  <c r="D114" i="4"/>
  <c r="E114" i="4"/>
  <c r="F114" i="4"/>
  <c r="A115" i="4"/>
  <c r="B115" i="4"/>
  <c r="C115" i="4"/>
  <c r="D115" i="4"/>
  <c r="E115" i="4"/>
  <c r="F115" i="4"/>
  <c r="A116" i="4"/>
  <c r="B116" i="4"/>
  <c r="C116" i="4"/>
  <c r="D116" i="4"/>
  <c r="E116" i="4"/>
  <c r="F116" i="4"/>
  <c r="A117" i="4"/>
  <c r="B117" i="4"/>
  <c r="C117" i="4"/>
  <c r="D117" i="4"/>
  <c r="E117" i="4"/>
  <c r="F117" i="4"/>
  <c r="A118" i="4"/>
  <c r="B118" i="4"/>
  <c r="C118" i="4"/>
  <c r="D118" i="4"/>
  <c r="E118" i="4"/>
  <c r="F118" i="4"/>
  <c r="A119" i="4"/>
  <c r="B119" i="4"/>
  <c r="C119" i="4"/>
  <c r="D119" i="4"/>
  <c r="E119" i="4"/>
  <c r="F119" i="4"/>
  <c r="A120" i="4"/>
  <c r="B120" i="4"/>
  <c r="C120" i="4"/>
  <c r="D120" i="4"/>
  <c r="E120" i="4"/>
  <c r="F120" i="4"/>
  <c r="A121" i="4"/>
  <c r="B121" i="4"/>
  <c r="C121" i="4"/>
  <c r="D121" i="4"/>
  <c r="E121" i="4"/>
  <c r="F121" i="4"/>
  <c r="A122" i="4"/>
  <c r="B122" i="4"/>
  <c r="C122" i="4"/>
  <c r="D122" i="4"/>
  <c r="E122" i="4"/>
  <c r="F122" i="4"/>
  <c r="A123" i="4"/>
  <c r="B123" i="4"/>
  <c r="C123" i="4"/>
  <c r="D123" i="4"/>
  <c r="E123" i="4"/>
  <c r="F123" i="4"/>
  <c r="A124" i="4"/>
  <c r="B124" i="4"/>
  <c r="C124" i="4"/>
  <c r="D124" i="4"/>
  <c r="E124" i="4"/>
  <c r="F124" i="4"/>
  <c r="A125" i="4"/>
  <c r="B125" i="4"/>
  <c r="C125" i="4"/>
  <c r="D125" i="4"/>
  <c r="E125" i="4"/>
  <c r="F125" i="4"/>
  <c r="A126" i="4"/>
  <c r="B126" i="4"/>
  <c r="C126" i="4"/>
  <c r="D126" i="4"/>
  <c r="E126" i="4"/>
  <c r="F126" i="4"/>
  <c r="A127" i="4"/>
  <c r="B127" i="4"/>
  <c r="C127" i="4"/>
  <c r="D127" i="4"/>
  <c r="E127" i="4"/>
  <c r="F127" i="4"/>
  <c r="A128" i="4"/>
  <c r="B128" i="4"/>
  <c r="C128" i="4"/>
  <c r="D128" i="4"/>
  <c r="E128" i="4"/>
  <c r="F128" i="4"/>
  <c r="A129" i="4"/>
  <c r="B129" i="4"/>
  <c r="C129" i="4"/>
  <c r="D129" i="4"/>
  <c r="E129" i="4"/>
  <c r="F129" i="4"/>
  <c r="A130" i="4"/>
  <c r="B130" i="4"/>
  <c r="C130" i="4"/>
  <c r="D130" i="4"/>
  <c r="E130" i="4"/>
  <c r="F130" i="4"/>
  <c r="A131" i="4"/>
  <c r="B131" i="4"/>
  <c r="C131" i="4"/>
  <c r="D131" i="4"/>
  <c r="E131" i="4"/>
  <c r="F131" i="4"/>
  <c r="A132" i="4"/>
  <c r="B132" i="4"/>
  <c r="C132" i="4"/>
  <c r="D132" i="4"/>
  <c r="E132" i="4"/>
  <c r="F132" i="4"/>
  <c r="A133" i="4"/>
  <c r="B133" i="4"/>
  <c r="C133" i="4"/>
  <c r="D133" i="4"/>
  <c r="E133" i="4"/>
  <c r="F133" i="4"/>
  <c r="A134" i="4"/>
  <c r="B134" i="4"/>
  <c r="C134" i="4"/>
  <c r="D134" i="4"/>
  <c r="E134" i="4"/>
  <c r="F134" i="4"/>
  <c r="A135" i="4"/>
  <c r="B135" i="4"/>
  <c r="C135" i="4"/>
  <c r="D135" i="4"/>
  <c r="E135" i="4"/>
  <c r="F135" i="4"/>
  <c r="A136" i="4"/>
  <c r="B136" i="4"/>
  <c r="C136" i="4"/>
  <c r="D136" i="4"/>
  <c r="E136" i="4"/>
  <c r="F136" i="4"/>
  <c r="A137" i="4"/>
  <c r="B137" i="4"/>
  <c r="C137" i="4"/>
  <c r="D137" i="4"/>
  <c r="E137" i="4"/>
  <c r="F137" i="4"/>
  <c r="A138" i="4"/>
  <c r="B138" i="4"/>
  <c r="C138" i="4"/>
  <c r="D138" i="4"/>
  <c r="E138" i="4"/>
  <c r="F138" i="4"/>
  <c r="A139" i="4"/>
  <c r="B139" i="4"/>
  <c r="C139" i="4"/>
  <c r="D139" i="4"/>
  <c r="E139" i="4"/>
  <c r="F139" i="4"/>
  <c r="A140" i="4"/>
  <c r="B140" i="4"/>
  <c r="C140" i="4"/>
  <c r="D140" i="4"/>
  <c r="E140" i="4"/>
  <c r="F140" i="4"/>
  <c r="A141" i="4"/>
  <c r="B141" i="4"/>
  <c r="C141" i="4"/>
  <c r="D141" i="4"/>
  <c r="E141" i="4"/>
  <c r="F141" i="4"/>
  <c r="A142" i="4"/>
  <c r="B142" i="4"/>
  <c r="C142" i="4"/>
  <c r="D142" i="4"/>
  <c r="E142" i="4"/>
  <c r="F142" i="4"/>
  <c r="A143" i="4"/>
  <c r="B143" i="4"/>
  <c r="C143" i="4"/>
  <c r="D143" i="4"/>
  <c r="E143" i="4"/>
  <c r="F143" i="4"/>
  <c r="A144" i="4"/>
  <c r="B144" i="4"/>
  <c r="C144" i="4"/>
  <c r="D144" i="4"/>
  <c r="E144" i="4"/>
  <c r="F144" i="4"/>
  <c r="A145" i="4"/>
  <c r="B145" i="4"/>
  <c r="C145" i="4"/>
  <c r="D145" i="4"/>
  <c r="E145" i="4"/>
  <c r="F145" i="4"/>
  <c r="A146" i="4"/>
  <c r="B146" i="4"/>
  <c r="C146" i="4"/>
  <c r="D146" i="4"/>
  <c r="E146" i="4"/>
  <c r="F146" i="4"/>
  <c r="A147" i="4"/>
  <c r="B147" i="4"/>
  <c r="C147" i="4"/>
  <c r="D147" i="4"/>
  <c r="E147" i="4"/>
  <c r="F147" i="4"/>
  <c r="A148" i="4"/>
  <c r="B148" i="4"/>
  <c r="C148" i="4"/>
  <c r="D148" i="4"/>
  <c r="E148" i="4"/>
  <c r="F148" i="4"/>
  <c r="A149" i="4"/>
  <c r="B149" i="4"/>
  <c r="C149" i="4"/>
  <c r="D149" i="4"/>
  <c r="E149" i="4"/>
  <c r="F149" i="4"/>
  <c r="A150" i="4"/>
  <c r="B150" i="4"/>
  <c r="C150" i="4"/>
  <c r="D150" i="4"/>
  <c r="E150" i="4"/>
  <c r="F150" i="4"/>
  <c r="A151" i="4"/>
  <c r="B151" i="4"/>
  <c r="C151" i="4"/>
  <c r="D151" i="4"/>
  <c r="E151" i="4"/>
  <c r="F151" i="4"/>
  <c r="A152" i="4"/>
  <c r="B152" i="4"/>
  <c r="C152" i="4"/>
  <c r="D152" i="4"/>
  <c r="E152" i="4"/>
  <c r="F152" i="4"/>
  <c r="A153" i="4"/>
  <c r="B153" i="4"/>
  <c r="C153" i="4"/>
  <c r="D153" i="4"/>
  <c r="E153" i="4"/>
  <c r="F153" i="4"/>
  <c r="A154" i="4"/>
  <c r="B154" i="4"/>
  <c r="C154" i="4"/>
  <c r="D154" i="4"/>
  <c r="E154" i="4"/>
  <c r="F154" i="4"/>
  <c r="A155" i="4"/>
  <c r="B155" i="4"/>
  <c r="C155" i="4"/>
  <c r="D155" i="4"/>
  <c r="E155" i="4"/>
  <c r="F155" i="4"/>
  <c r="A156" i="4"/>
  <c r="B156" i="4"/>
  <c r="C156" i="4"/>
  <c r="D156" i="4"/>
  <c r="E156" i="4"/>
  <c r="F156" i="4"/>
  <c r="A157" i="4"/>
  <c r="B157" i="4"/>
  <c r="C157" i="4"/>
  <c r="D157" i="4"/>
  <c r="E157" i="4"/>
  <c r="F157" i="4"/>
  <c r="A158" i="4"/>
  <c r="B158" i="4"/>
  <c r="C158" i="4"/>
  <c r="D158" i="4"/>
  <c r="E158" i="4"/>
  <c r="F158" i="4"/>
  <c r="A159" i="4"/>
  <c r="B159" i="4"/>
  <c r="C159" i="4"/>
  <c r="D159" i="4"/>
  <c r="E159" i="4"/>
  <c r="F159" i="4"/>
  <c r="A160" i="4"/>
  <c r="B160" i="4"/>
  <c r="C160" i="4"/>
  <c r="D160" i="4"/>
  <c r="E160" i="4"/>
  <c r="F160" i="4"/>
  <c r="A161" i="4"/>
  <c r="B161" i="4"/>
  <c r="C161" i="4"/>
  <c r="D161" i="4"/>
  <c r="E161" i="4"/>
  <c r="F161" i="4"/>
  <c r="A162" i="4"/>
  <c r="B162" i="4"/>
  <c r="C162" i="4"/>
  <c r="D162" i="4"/>
  <c r="E162" i="4"/>
  <c r="F162" i="4"/>
  <c r="A163" i="4"/>
  <c r="B163" i="4"/>
  <c r="C163" i="4"/>
  <c r="D163" i="4"/>
  <c r="E163" i="4"/>
  <c r="F163" i="4"/>
  <c r="A164" i="4"/>
  <c r="B164" i="4"/>
  <c r="C164" i="4"/>
  <c r="D164" i="4"/>
  <c r="E164" i="4"/>
  <c r="F164" i="4"/>
  <c r="A165" i="4"/>
  <c r="B165" i="4"/>
  <c r="C165" i="4"/>
  <c r="D165" i="4"/>
  <c r="E165" i="4"/>
  <c r="F165" i="4"/>
  <c r="A166" i="4"/>
  <c r="B166" i="4"/>
  <c r="C166" i="4"/>
  <c r="D166" i="4"/>
  <c r="E166" i="4"/>
  <c r="F166" i="4"/>
  <c r="A167" i="4"/>
  <c r="B167" i="4"/>
  <c r="C167" i="4"/>
  <c r="D167" i="4"/>
  <c r="E167" i="4"/>
  <c r="F167" i="4"/>
  <c r="A168" i="4"/>
  <c r="B168" i="4"/>
  <c r="C168" i="4"/>
  <c r="D168" i="4"/>
  <c r="E168" i="4"/>
  <c r="F168" i="4"/>
  <c r="A169" i="4"/>
  <c r="B169" i="4"/>
  <c r="C169" i="4"/>
  <c r="D169" i="4"/>
  <c r="E169" i="4"/>
  <c r="F169" i="4"/>
  <c r="A170" i="4"/>
  <c r="B170" i="4"/>
  <c r="C170" i="4"/>
  <c r="D170" i="4"/>
  <c r="E170" i="4"/>
  <c r="F170" i="4"/>
  <c r="A171" i="4"/>
  <c r="B171" i="4"/>
  <c r="C171" i="4"/>
  <c r="D171" i="4"/>
  <c r="E171" i="4"/>
  <c r="F171" i="4"/>
  <c r="A172" i="4"/>
  <c r="B172" i="4"/>
  <c r="C172" i="4"/>
  <c r="D172" i="4"/>
  <c r="E172" i="4"/>
  <c r="F172" i="4"/>
  <c r="A173" i="4"/>
  <c r="B173" i="4"/>
  <c r="C173" i="4"/>
  <c r="D173" i="4"/>
  <c r="E173" i="4"/>
  <c r="F173" i="4"/>
  <c r="A174" i="4"/>
  <c r="B174" i="4"/>
  <c r="C174" i="4"/>
  <c r="D174" i="4"/>
  <c r="E174" i="4"/>
  <c r="F174" i="4"/>
  <c r="A175" i="4"/>
  <c r="B175" i="4"/>
  <c r="C175" i="4"/>
  <c r="D175" i="4"/>
  <c r="E175" i="4"/>
  <c r="F175" i="4"/>
  <c r="A176" i="4"/>
  <c r="B176" i="4"/>
  <c r="C176" i="4"/>
  <c r="D176" i="4"/>
  <c r="E176" i="4"/>
  <c r="F176" i="4"/>
  <c r="A177" i="4"/>
  <c r="B177" i="4"/>
  <c r="C177" i="4"/>
  <c r="D177" i="4"/>
  <c r="E177" i="4"/>
  <c r="F177" i="4"/>
  <c r="A178" i="4"/>
  <c r="B178" i="4"/>
  <c r="C178" i="4"/>
  <c r="D178" i="4"/>
  <c r="E178" i="4"/>
  <c r="F178" i="4"/>
  <c r="A179" i="4"/>
  <c r="B179" i="4"/>
  <c r="C179" i="4"/>
  <c r="D179" i="4"/>
  <c r="E179" i="4"/>
  <c r="F179" i="4"/>
  <c r="A180" i="4"/>
  <c r="B180" i="4"/>
  <c r="C180" i="4"/>
  <c r="D180" i="4"/>
  <c r="E180" i="4"/>
  <c r="F180" i="4"/>
  <c r="A181" i="4"/>
  <c r="B181" i="4"/>
  <c r="C181" i="4"/>
  <c r="D181" i="4"/>
  <c r="E181" i="4"/>
  <c r="F181" i="4"/>
  <c r="A182" i="4"/>
  <c r="B182" i="4"/>
  <c r="C182" i="4"/>
  <c r="D182" i="4"/>
  <c r="E182" i="4"/>
  <c r="F182" i="4"/>
  <c r="A183" i="4"/>
  <c r="B183" i="4"/>
  <c r="C183" i="4"/>
  <c r="D183" i="4"/>
  <c r="E183" i="4"/>
  <c r="F183" i="4"/>
  <c r="A184" i="4"/>
  <c r="B184" i="4"/>
  <c r="C184" i="4"/>
  <c r="D184" i="4"/>
  <c r="E184" i="4"/>
  <c r="F184" i="4"/>
  <c r="A185" i="4"/>
  <c r="B185" i="4"/>
  <c r="C185" i="4"/>
  <c r="D185" i="4"/>
  <c r="E185" i="4"/>
  <c r="F185" i="4"/>
  <c r="A186" i="4"/>
  <c r="B186" i="4"/>
  <c r="C186" i="4"/>
  <c r="D186" i="4"/>
  <c r="E186" i="4"/>
  <c r="F186" i="4"/>
  <c r="A187" i="4"/>
  <c r="B187" i="4"/>
  <c r="C187" i="4"/>
  <c r="D187" i="4"/>
  <c r="E187" i="4"/>
  <c r="F187" i="4"/>
  <c r="A188" i="4"/>
  <c r="B188" i="4"/>
  <c r="C188" i="4"/>
  <c r="D188" i="4"/>
  <c r="E188" i="4"/>
  <c r="F188" i="4"/>
  <c r="A189" i="4"/>
  <c r="B189" i="4"/>
  <c r="C189" i="4"/>
  <c r="D189" i="4"/>
  <c r="E189" i="4"/>
  <c r="F189" i="4"/>
  <c r="A190" i="4"/>
  <c r="B190" i="4"/>
  <c r="C190" i="4"/>
  <c r="D190" i="4"/>
  <c r="E190" i="4"/>
  <c r="F190" i="4"/>
  <c r="A191" i="4"/>
  <c r="B191" i="4"/>
  <c r="C191" i="4"/>
  <c r="D191" i="4"/>
  <c r="E191" i="4"/>
  <c r="F191" i="4"/>
  <c r="A192" i="4"/>
  <c r="B192" i="4"/>
  <c r="C192" i="4"/>
  <c r="D192" i="4"/>
  <c r="E192" i="4"/>
  <c r="F192" i="4"/>
  <c r="B193" i="4"/>
  <c r="D193" i="4"/>
  <c r="F193" i="4"/>
  <c r="A193" i="4"/>
  <c r="C193" i="4"/>
  <c r="E193" i="4"/>
  <c r="B194" i="4"/>
  <c r="D194" i="4"/>
  <c r="F194" i="4"/>
  <c r="A194" i="4"/>
  <c r="C194" i="4"/>
  <c r="E194" i="4"/>
  <c r="B195" i="4"/>
  <c r="D195" i="4"/>
  <c r="F195" i="4"/>
  <c r="A195" i="4"/>
  <c r="C195" i="4"/>
  <c r="E195" i="4"/>
  <c r="B196" i="4"/>
  <c r="D196" i="4"/>
  <c r="F196" i="4"/>
  <c r="A196" i="4"/>
  <c r="C196" i="4"/>
  <c r="E196" i="4"/>
  <c r="A197" i="4"/>
  <c r="C197" i="4"/>
  <c r="E197" i="4"/>
  <c r="B197" i="4"/>
  <c r="D197" i="4"/>
  <c r="F197" i="4"/>
  <c r="A198" i="4"/>
  <c r="C198" i="4"/>
  <c r="E198" i="4"/>
  <c r="B198" i="4"/>
  <c r="D198" i="4"/>
  <c r="F198" i="4"/>
  <c r="B199" i="4"/>
  <c r="D199" i="4"/>
  <c r="F199" i="4"/>
  <c r="A199" i="4"/>
  <c r="C199" i="4"/>
  <c r="E199" i="4"/>
  <c r="B200" i="4"/>
  <c r="E200" i="4"/>
  <c r="A200" i="4"/>
  <c r="C200" i="4"/>
  <c r="D200" i="4"/>
  <c r="F200" i="4"/>
  <c r="A201" i="4"/>
  <c r="C201" i="4"/>
  <c r="E201" i="4"/>
  <c r="B201" i="4"/>
  <c r="D201" i="4"/>
  <c r="F201" i="4"/>
  <c r="B202" i="4"/>
  <c r="D202" i="4"/>
  <c r="F202" i="4"/>
  <c r="A202" i="4"/>
  <c r="C202" i="4"/>
  <c r="E202" i="4"/>
  <c r="B207" i="4"/>
  <c r="D207" i="4"/>
  <c r="F207" i="4"/>
  <c r="A207" i="4"/>
  <c r="C207" i="4"/>
  <c r="E207" i="4"/>
  <c r="B208" i="4"/>
  <c r="E208" i="4"/>
  <c r="A208" i="4"/>
  <c r="C208" i="4"/>
  <c r="D208" i="4"/>
  <c r="F208" i="4"/>
  <c r="A209" i="4"/>
  <c r="C209" i="4"/>
  <c r="E209" i="4"/>
  <c r="B209" i="4"/>
  <c r="D209" i="4"/>
  <c r="F209" i="4"/>
  <c r="A210" i="4"/>
  <c r="C210" i="4"/>
  <c r="E210" i="4"/>
  <c r="B210" i="4"/>
  <c r="D210" i="4"/>
  <c r="F210" i="4"/>
  <c r="A211" i="4"/>
  <c r="C211" i="4"/>
  <c r="E211" i="4"/>
  <c r="B211" i="4"/>
  <c r="D211" i="4"/>
  <c r="F211" i="4"/>
  <c r="A212" i="4"/>
  <c r="C212" i="4"/>
  <c r="E212" i="4"/>
  <c r="B212" i="4"/>
  <c r="D212" i="4"/>
  <c r="F212" i="4"/>
  <c r="A213" i="4"/>
  <c r="C213" i="4"/>
  <c r="D213" i="4"/>
  <c r="F213" i="4"/>
  <c r="B213" i="4"/>
  <c r="E213" i="4"/>
  <c r="B214" i="4"/>
  <c r="D214" i="4"/>
  <c r="F214" i="4"/>
  <c r="A214" i="4"/>
  <c r="C214" i="4"/>
  <c r="E214" i="4"/>
  <c r="C215" i="4"/>
  <c r="E215" i="4"/>
  <c r="A215" i="4"/>
  <c r="B215" i="4"/>
  <c r="D215" i="4"/>
  <c r="F215" i="4"/>
  <c r="A216" i="4"/>
  <c r="B216" i="4"/>
  <c r="E216" i="4"/>
  <c r="C216" i="4"/>
  <c r="D216" i="4"/>
  <c r="F216" i="4"/>
  <c r="B217" i="4"/>
  <c r="E217" i="4"/>
  <c r="A217" i="4"/>
  <c r="C217" i="4"/>
  <c r="D217" i="4"/>
  <c r="F217" i="4"/>
  <c r="B218" i="4"/>
  <c r="E218" i="4"/>
  <c r="A218" i="4"/>
  <c r="C218" i="4"/>
  <c r="D218" i="4"/>
  <c r="F218" i="4"/>
  <c r="A219" i="4"/>
  <c r="C219" i="4"/>
  <c r="E219" i="4"/>
  <c r="B219" i="4"/>
  <c r="D219" i="4"/>
  <c r="F219" i="4"/>
  <c r="A220" i="4"/>
  <c r="C220" i="4"/>
  <c r="E220" i="4"/>
  <c r="B220" i="4"/>
  <c r="D220" i="4"/>
  <c r="F220" i="4"/>
  <c r="B221" i="4"/>
  <c r="F221" i="4"/>
  <c r="A221" i="4"/>
  <c r="C221" i="4"/>
  <c r="D221" i="4"/>
  <c r="E221" i="4"/>
  <c r="B222" i="4"/>
  <c r="D222" i="4"/>
  <c r="F222" i="4"/>
  <c r="A222" i="4"/>
  <c r="C222" i="4"/>
  <c r="E222" i="4"/>
  <c r="C223" i="4"/>
  <c r="F223" i="4"/>
  <c r="A223" i="4"/>
  <c r="B223" i="4"/>
  <c r="D223" i="4"/>
  <c r="E223" i="4"/>
  <c r="B224" i="4"/>
  <c r="D224" i="4"/>
  <c r="E224" i="4"/>
  <c r="A224" i="4"/>
  <c r="C224" i="4"/>
  <c r="F224" i="4"/>
  <c r="A225" i="4"/>
  <c r="C225" i="4"/>
  <c r="F225" i="4"/>
  <c r="B225" i="4"/>
  <c r="D225" i="4"/>
  <c r="E225" i="4"/>
  <c r="B226" i="4"/>
  <c r="D226" i="4"/>
  <c r="F226" i="4"/>
  <c r="A226" i="4"/>
  <c r="C226" i="4"/>
  <c r="E226" i="4"/>
  <c r="A227" i="4"/>
  <c r="C227" i="4"/>
  <c r="E227" i="4"/>
  <c r="B227" i="4"/>
  <c r="D227" i="4"/>
  <c r="F227" i="4"/>
  <c r="A228" i="4"/>
  <c r="D228" i="4"/>
  <c r="F228" i="4"/>
  <c r="B228" i="4"/>
  <c r="C228" i="4"/>
  <c r="E228" i="4"/>
  <c r="B229" i="4"/>
  <c r="F229" i="4"/>
  <c r="A229" i="4"/>
  <c r="C229" i="4"/>
  <c r="D229" i="4"/>
  <c r="E229" i="4"/>
  <c r="B230" i="4"/>
  <c r="D230" i="4"/>
  <c r="F230" i="4"/>
  <c r="A230" i="4"/>
  <c r="C230" i="4"/>
  <c r="E230" i="4"/>
  <c r="C231" i="4"/>
  <c r="E231" i="4"/>
  <c r="A231" i="4"/>
  <c r="B231" i="4"/>
  <c r="D231" i="4"/>
  <c r="F231" i="4"/>
  <c r="A232" i="4"/>
  <c r="D232" i="4"/>
  <c r="F232" i="4"/>
  <c r="B232" i="4"/>
  <c r="C232" i="4"/>
  <c r="E232" i="4"/>
  <c r="B233" i="4"/>
  <c r="E233" i="4"/>
  <c r="A233" i="4"/>
  <c r="C233" i="4"/>
  <c r="D233" i="4"/>
  <c r="F233" i="4"/>
  <c r="A234" i="4"/>
  <c r="E234" i="4"/>
  <c r="B234" i="4"/>
  <c r="C234" i="4"/>
  <c r="D234" i="4"/>
  <c r="F234" i="4"/>
  <c r="A235" i="4"/>
  <c r="C235" i="4"/>
  <c r="F235" i="4"/>
  <c r="B235" i="4"/>
  <c r="D235" i="4"/>
  <c r="E235" i="4"/>
  <c r="B236" i="4"/>
  <c r="D236" i="4"/>
  <c r="E236" i="4"/>
  <c r="A236" i="4"/>
  <c r="C236" i="4"/>
  <c r="F236" i="4"/>
  <c r="A237" i="4"/>
  <c r="C237" i="4"/>
  <c r="E237" i="4"/>
  <c r="B237" i="4"/>
  <c r="D237" i="4"/>
  <c r="F237" i="4"/>
  <c r="A238" i="4"/>
  <c r="C238" i="4"/>
  <c r="E238" i="4"/>
  <c r="B238" i="4"/>
  <c r="D238" i="4"/>
  <c r="F238" i="4"/>
  <c r="A239" i="4"/>
  <c r="C239" i="4"/>
  <c r="E239" i="4"/>
  <c r="B239" i="4"/>
  <c r="D239" i="4"/>
  <c r="F239" i="4"/>
  <c r="A240" i="4"/>
  <c r="C240" i="4"/>
  <c r="D240" i="4"/>
  <c r="F240" i="4"/>
  <c r="B240" i="4"/>
  <c r="E240" i="4"/>
  <c r="B241" i="4"/>
  <c r="E241" i="4"/>
  <c r="A241" i="4"/>
  <c r="C241" i="4"/>
  <c r="D241" i="4"/>
  <c r="F241" i="4"/>
  <c r="A242" i="4"/>
  <c r="D242" i="4"/>
  <c r="F242" i="4"/>
  <c r="B242" i="4"/>
  <c r="C242" i="4"/>
  <c r="E242" i="4"/>
  <c r="B243" i="4"/>
  <c r="E243" i="4"/>
  <c r="A243" i="4"/>
  <c r="C243" i="4"/>
  <c r="D243" i="4"/>
  <c r="F243" i="4"/>
  <c r="A244" i="4"/>
  <c r="C244" i="4"/>
  <c r="F244" i="4"/>
  <c r="B244" i="4"/>
  <c r="D244" i="4"/>
  <c r="E244" i="4"/>
  <c r="B245" i="4"/>
  <c r="F245" i="4"/>
  <c r="A245" i="4"/>
  <c r="C245" i="4"/>
  <c r="D245" i="4"/>
  <c r="E245" i="4"/>
  <c r="C246" i="4"/>
  <c r="F246" i="4"/>
  <c r="A246" i="4"/>
  <c r="B246" i="4"/>
  <c r="D246" i="4"/>
  <c r="E246" i="4"/>
  <c r="C247" i="4"/>
  <c r="F247" i="4"/>
  <c r="A247" i="4"/>
  <c r="B247" i="4"/>
  <c r="D247" i="4"/>
  <c r="E247" i="4"/>
  <c r="B248" i="4"/>
  <c r="D248" i="4"/>
  <c r="F248" i="4"/>
  <c r="A248" i="4"/>
  <c r="C248" i="4"/>
  <c r="E248" i="4"/>
  <c r="B249" i="4"/>
  <c r="C249" i="4"/>
  <c r="E249" i="4"/>
  <c r="A249" i="4"/>
  <c r="D249" i="4"/>
  <c r="F249" i="4"/>
  <c r="A250" i="4"/>
  <c r="C250" i="4"/>
  <c r="D250" i="4"/>
  <c r="F250" i="4"/>
  <c r="B250" i="4"/>
  <c r="E250" i="4"/>
  <c r="A251" i="4"/>
  <c r="B251" i="4"/>
  <c r="C251" i="4"/>
  <c r="D251" i="4"/>
  <c r="E251" i="4"/>
  <c r="F251" i="4"/>
  <c r="A252" i="4"/>
  <c r="B252" i="4"/>
  <c r="D252" i="4"/>
  <c r="F252" i="4"/>
  <c r="C252" i="4"/>
  <c r="E252" i="4"/>
  <c r="B253" i="4"/>
  <c r="C253" i="4"/>
  <c r="D253" i="4"/>
  <c r="F253" i="4"/>
  <c r="A253" i="4"/>
  <c r="E253" i="4"/>
  <c r="B254" i="4"/>
  <c r="D254" i="4"/>
  <c r="F254" i="4"/>
  <c r="A254" i="4"/>
  <c r="C254" i="4"/>
  <c r="E254" i="4"/>
  <c r="B255" i="4"/>
  <c r="D255" i="4"/>
  <c r="F255" i="4"/>
  <c r="A255" i="4"/>
  <c r="C255" i="4"/>
  <c r="E255" i="4"/>
  <c r="B256" i="4"/>
  <c r="D256" i="4"/>
  <c r="F256" i="4"/>
  <c r="A256" i="4"/>
  <c r="C256" i="4"/>
  <c r="E256" i="4"/>
  <c r="A257" i="4"/>
  <c r="C257" i="4"/>
  <c r="E257" i="4"/>
  <c r="B257" i="4"/>
  <c r="D257" i="4"/>
  <c r="F257" i="4"/>
  <c r="A258" i="4"/>
  <c r="C258" i="4"/>
  <c r="E258" i="4"/>
  <c r="B258" i="4"/>
  <c r="D258" i="4"/>
  <c r="F258" i="4"/>
  <c r="A259" i="4"/>
  <c r="C259" i="4"/>
  <c r="E259" i="4"/>
  <c r="B259" i="4"/>
  <c r="D259" i="4"/>
  <c r="F259" i="4"/>
  <c r="A260" i="4"/>
  <c r="B260" i="4"/>
  <c r="C260" i="4"/>
  <c r="D260" i="4"/>
  <c r="F260" i="4"/>
  <c r="E260" i="4"/>
  <c r="B261" i="4"/>
  <c r="D261" i="4"/>
  <c r="F261" i="4"/>
  <c r="A261" i="4"/>
  <c r="C261" i="4"/>
  <c r="E261" i="4"/>
  <c r="D262" i="4"/>
  <c r="A262" i="4"/>
  <c r="B262" i="4"/>
  <c r="C262" i="4"/>
  <c r="E262" i="4"/>
  <c r="F262" i="4"/>
  <c r="A263" i="4"/>
  <c r="C263" i="4"/>
  <c r="F263" i="4"/>
  <c r="B263" i="4"/>
  <c r="D263" i="4"/>
  <c r="E263" i="4"/>
  <c r="F264" i="4"/>
  <c r="A264" i="4"/>
  <c r="B264" i="4"/>
  <c r="C264" i="4"/>
  <c r="D264" i="4"/>
  <c r="E264" i="4"/>
  <c r="B265" i="4"/>
  <c r="F265" i="4"/>
  <c r="A265" i="4"/>
  <c r="C265" i="4"/>
  <c r="D265" i="4"/>
  <c r="E265" i="4"/>
  <c r="A266" i="4"/>
  <c r="C266" i="4"/>
  <c r="E266" i="4"/>
  <c r="B266" i="4"/>
  <c r="D266" i="4"/>
  <c r="F266" i="4"/>
  <c r="A267" i="4"/>
  <c r="C267" i="4"/>
  <c r="E267" i="4"/>
  <c r="B267" i="4"/>
  <c r="D267" i="4"/>
  <c r="F267" i="4"/>
  <c r="A268" i="4"/>
  <c r="C268" i="4"/>
  <c r="F268" i="4"/>
  <c r="B268" i="4"/>
  <c r="D268" i="4"/>
  <c r="E268" i="4"/>
  <c r="B269" i="4"/>
  <c r="D269" i="4"/>
  <c r="F269" i="4"/>
  <c r="A269" i="4"/>
  <c r="C269" i="4"/>
  <c r="E269" i="4"/>
  <c r="B270" i="4"/>
  <c r="D270" i="4"/>
  <c r="F270" i="4"/>
  <c r="A270" i="4"/>
  <c r="C270" i="4"/>
  <c r="E270" i="4"/>
  <c r="B271" i="4"/>
  <c r="D271" i="4"/>
  <c r="F271" i="4"/>
  <c r="A271" i="4"/>
  <c r="C271" i="4"/>
  <c r="E271" i="4"/>
  <c r="B272" i="4"/>
  <c r="D272" i="4"/>
  <c r="F272" i="4"/>
  <c r="A272" i="4"/>
  <c r="C272" i="4"/>
  <c r="E272" i="4"/>
  <c r="B273" i="4"/>
  <c r="D273" i="4"/>
  <c r="F273" i="4"/>
  <c r="A273" i="4"/>
  <c r="C273" i="4"/>
  <c r="E273" i="4"/>
  <c r="A280" i="4"/>
  <c r="B280" i="4"/>
  <c r="E280" i="4"/>
  <c r="C280" i="4"/>
  <c r="D280" i="4"/>
  <c r="F280" i="4"/>
  <c r="B281" i="4"/>
  <c r="E281" i="4"/>
  <c r="A281" i="4"/>
  <c r="C281" i="4"/>
  <c r="D281" i="4"/>
  <c r="F281" i="4"/>
  <c r="A282" i="4"/>
  <c r="D282" i="4"/>
  <c r="F282" i="4"/>
  <c r="B282" i="4"/>
  <c r="C282" i="4"/>
  <c r="E282" i="4"/>
  <c r="E283" i="4"/>
  <c r="A283" i="4"/>
  <c r="B283" i="4"/>
  <c r="C283" i="4"/>
  <c r="D283" i="4"/>
  <c r="F283" i="4"/>
  <c r="A284" i="4"/>
  <c r="D284" i="4"/>
  <c r="F284" i="4"/>
  <c r="B284" i="4"/>
  <c r="C284" i="4"/>
  <c r="E284" i="4"/>
  <c r="B285" i="4"/>
  <c r="D285" i="4"/>
  <c r="E285" i="4"/>
  <c r="A285" i="4"/>
  <c r="C285" i="4"/>
  <c r="F285" i="4"/>
  <c r="A286" i="4"/>
  <c r="C286" i="4"/>
  <c r="E286" i="4"/>
  <c r="B286" i="4"/>
  <c r="D286" i="4"/>
  <c r="F286" i="4"/>
  <c r="A287" i="4"/>
  <c r="C287" i="4"/>
  <c r="D287" i="4"/>
  <c r="F287" i="4"/>
  <c r="B287" i="4"/>
  <c r="E287" i="4"/>
  <c r="B288" i="4"/>
  <c r="D288" i="4"/>
  <c r="F288" i="4"/>
  <c r="A288" i="4"/>
  <c r="C288" i="4"/>
  <c r="E288" i="4"/>
  <c r="B289" i="4"/>
  <c r="E289" i="4"/>
  <c r="A289" i="4"/>
  <c r="C289" i="4"/>
  <c r="D289" i="4"/>
  <c r="F289" i="4"/>
  <c r="B290" i="4"/>
  <c r="D290" i="4"/>
  <c r="F290" i="4"/>
  <c r="A290" i="4"/>
  <c r="C290" i="4"/>
  <c r="E290" i="4"/>
  <c r="B291" i="4"/>
  <c r="D291" i="4"/>
  <c r="F291" i="4"/>
  <c r="A291" i="4"/>
  <c r="C291" i="4"/>
  <c r="E291" i="4"/>
  <c r="B292" i="4"/>
  <c r="D292" i="4"/>
  <c r="F292" i="4"/>
  <c r="A292" i="4"/>
  <c r="C292" i="4"/>
  <c r="E292" i="4"/>
  <c r="B293" i="4"/>
  <c r="E293" i="4"/>
  <c r="A293" i="4"/>
  <c r="C293" i="4"/>
  <c r="D293" i="4"/>
  <c r="F293" i="4"/>
  <c r="A294" i="4"/>
  <c r="C294" i="4"/>
  <c r="D294" i="4"/>
  <c r="F294" i="4"/>
  <c r="B294" i="4"/>
  <c r="E294" i="4"/>
  <c r="B295" i="4"/>
  <c r="D295" i="4"/>
  <c r="F295" i="4"/>
  <c r="A295" i="4"/>
  <c r="C295" i="4"/>
  <c r="E295" i="4"/>
  <c r="A296" i="4"/>
  <c r="C296" i="4"/>
  <c r="D296" i="4"/>
  <c r="F296" i="4"/>
  <c r="B296" i="4"/>
  <c r="E296" i="4"/>
  <c r="B297" i="4"/>
  <c r="D297" i="4"/>
  <c r="F297" i="4"/>
  <c r="A297" i="4"/>
  <c r="C297" i="4"/>
  <c r="E297" i="4"/>
  <c r="B298" i="4"/>
  <c r="D298" i="4"/>
  <c r="F298" i="4"/>
  <c r="A298" i="4"/>
  <c r="C298" i="4"/>
  <c r="E298" i="4"/>
  <c r="B299" i="4"/>
  <c r="D299" i="4"/>
  <c r="E299" i="4"/>
  <c r="A299" i="4"/>
  <c r="C299" i="4"/>
  <c r="F299" i="4"/>
  <c r="A300" i="4"/>
  <c r="B300" i="4"/>
  <c r="E300" i="4"/>
  <c r="C300" i="4"/>
  <c r="D300" i="4"/>
  <c r="F300" i="4"/>
  <c r="A301" i="4"/>
  <c r="E301" i="4"/>
  <c r="B301" i="4"/>
  <c r="C301" i="4"/>
  <c r="D301" i="4"/>
  <c r="F301" i="4"/>
  <c r="B302" i="4"/>
  <c r="D302" i="4"/>
  <c r="F302" i="4"/>
  <c r="A302" i="4"/>
  <c r="C302" i="4"/>
  <c r="E302" i="4"/>
  <c r="B303" i="4"/>
  <c r="D303" i="4"/>
  <c r="F303" i="4"/>
  <c r="A303" i="4"/>
  <c r="C303" i="4"/>
  <c r="E303" i="4"/>
  <c r="B304" i="4"/>
  <c r="E304" i="4"/>
  <c r="A304" i="4"/>
  <c r="C304" i="4"/>
  <c r="D304" i="4"/>
  <c r="F304" i="4"/>
  <c r="A305" i="4"/>
  <c r="C305" i="4"/>
  <c r="D305" i="4"/>
  <c r="F305" i="4"/>
  <c r="B305" i="4"/>
  <c r="E305" i="4"/>
  <c r="A306" i="4"/>
  <c r="C306" i="4"/>
  <c r="E306" i="4"/>
  <c r="B306" i="4"/>
  <c r="D306" i="4"/>
  <c r="F306" i="4"/>
  <c r="A307" i="4"/>
  <c r="C307" i="4"/>
  <c r="E307" i="4"/>
  <c r="B307" i="4"/>
  <c r="D307" i="4"/>
  <c r="F307" i="4"/>
  <c r="A308" i="4"/>
  <c r="C308" i="4"/>
  <c r="E308" i="4"/>
  <c r="B308" i="4"/>
  <c r="D308" i="4"/>
  <c r="F308" i="4"/>
  <c r="A309" i="4"/>
  <c r="D309" i="4"/>
  <c r="F309" i="4"/>
  <c r="B309" i="4"/>
  <c r="C309" i="4"/>
  <c r="E309" i="4"/>
  <c r="A310" i="4"/>
  <c r="C310" i="4"/>
  <c r="E310" i="4"/>
  <c r="B310" i="4"/>
  <c r="D310" i="4"/>
  <c r="F310" i="4"/>
  <c r="B311" i="4"/>
  <c r="D311" i="4"/>
  <c r="F311" i="4"/>
  <c r="A311" i="4"/>
  <c r="C311" i="4"/>
  <c r="E311" i="4"/>
  <c r="B312" i="4"/>
  <c r="D312" i="4"/>
  <c r="F312" i="4"/>
  <c r="A312" i="4"/>
  <c r="C312" i="4"/>
  <c r="E312" i="4"/>
  <c r="B313" i="4"/>
  <c r="D313" i="4"/>
  <c r="F313" i="4"/>
  <c r="A313" i="4"/>
  <c r="C313" i="4"/>
  <c r="E313" i="4"/>
  <c r="B314" i="4"/>
  <c r="D314" i="4"/>
  <c r="F314" i="4"/>
  <c r="A314" i="4"/>
  <c r="C314" i="4"/>
  <c r="E314" i="4"/>
  <c r="B315" i="4"/>
  <c r="D315" i="4"/>
  <c r="F315" i="4"/>
  <c r="A315" i="4"/>
  <c r="C315" i="4"/>
  <c r="E315" i="4"/>
  <c r="B316" i="4"/>
  <c r="D316" i="4"/>
  <c r="F316" i="4"/>
  <c r="A316" i="4"/>
  <c r="C316" i="4"/>
  <c r="E316" i="4"/>
  <c r="A317" i="4"/>
  <c r="C317" i="4"/>
  <c r="F317" i="4"/>
  <c r="B317" i="4"/>
  <c r="D317" i="4"/>
  <c r="E317" i="4"/>
  <c r="A318" i="4"/>
  <c r="C318" i="4"/>
  <c r="E318" i="4"/>
  <c r="B318" i="4"/>
  <c r="D318" i="4"/>
  <c r="F318" i="4"/>
  <c r="A319" i="4"/>
  <c r="C319" i="4"/>
  <c r="E319" i="4"/>
  <c r="B319" i="4"/>
  <c r="D319" i="4"/>
  <c r="F319" i="4"/>
  <c r="A320" i="4"/>
  <c r="D320" i="4"/>
  <c r="F320" i="4"/>
  <c r="B320" i="4"/>
  <c r="C320" i="4"/>
  <c r="E320" i="4"/>
  <c r="A321" i="4"/>
  <c r="B321" i="4"/>
  <c r="D321" i="4"/>
  <c r="F321" i="4"/>
  <c r="C321" i="4"/>
  <c r="E321" i="4"/>
  <c r="A322" i="4"/>
  <c r="C322" i="4"/>
  <c r="E322" i="4"/>
  <c r="B322" i="4"/>
  <c r="D322" i="4"/>
  <c r="F322" i="4"/>
  <c r="A323" i="4"/>
  <c r="C323" i="4"/>
  <c r="E323" i="4"/>
  <c r="B323" i="4"/>
  <c r="D323" i="4"/>
  <c r="F323" i="4"/>
  <c r="A324" i="4"/>
  <c r="D324" i="4"/>
  <c r="F324" i="4"/>
  <c r="B324" i="4"/>
  <c r="C324" i="4"/>
  <c r="E324" i="4"/>
  <c r="B325" i="4"/>
  <c r="D325" i="4"/>
  <c r="F325" i="4"/>
  <c r="A325" i="4"/>
  <c r="C325" i="4"/>
  <c r="E325" i="4"/>
  <c r="B326" i="4"/>
  <c r="D326" i="4"/>
  <c r="F326" i="4"/>
  <c r="A326" i="4"/>
  <c r="C326" i="4"/>
  <c r="E326" i="4"/>
  <c r="A327" i="4"/>
  <c r="C327" i="4"/>
  <c r="E327" i="4"/>
  <c r="B327" i="4"/>
  <c r="D327" i="4"/>
  <c r="F327" i="4"/>
  <c r="A328" i="4"/>
  <c r="C328" i="4"/>
  <c r="E328" i="4"/>
  <c r="B328" i="4"/>
  <c r="D328" i="4"/>
  <c r="F328" i="4"/>
  <c r="A329" i="4"/>
  <c r="C329" i="4"/>
  <c r="F329" i="4"/>
  <c r="B329" i="4"/>
  <c r="D329" i="4"/>
  <c r="E329" i="4"/>
  <c r="C330" i="4"/>
  <c r="E330" i="4"/>
  <c r="A330" i="4"/>
  <c r="B330" i="4"/>
  <c r="D330" i="4"/>
  <c r="F330" i="4"/>
  <c r="A331" i="4"/>
  <c r="C331" i="4"/>
  <c r="D331" i="4"/>
  <c r="E331" i="4"/>
  <c r="B331" i="4"/>
  <c r="F331" i="4"/>
  <c r="A332" i="4"/>
  <c r="C332" i="4"/>
  <c r="E332" i="4"/>
  <c r="B332" i="4"/>
  <c r="D332" i="4"/>
  <c r="F332" i="4"/>
  <c r="A333" i="4"/>
  <c r="C333" i="4"/>
  <c r="D333" i="4"/>
  <c r="F333" i="4"/>
  <c r="B333" i="4"/>
  <c r="E333" i="4"/>
  <c r="A334" i="4"/>
  <c r="C334" i="4"/>
  <c r="F334" i="4"/>
  <c r="B334" i="4"/>
  <c r="D334" i="4"/>
  <c r="E334" i="4"/>
  <c r="B335" i="4"/>
  <c r="D335" i="4"/>
  <c r="F335" i="4"/>
  <c r="A335" i="4"/>
  <c r="C335" i="4"/>
  <c r="E335" i="4"/>
  <c r="B336" i="4"/>
  <c r="D336" i="4"/>
  <c r="E336" i="4"/>
  <c r="A336" i="4"/>
  <c r="C336" i="4"/>
  <c r="F336" i="4"/>
  <c r="A337" i="4"/>
  <c r="E337" i="4"/>
  <c r="B337" i="4"/>
  <c r="C337" i="4"/>
  <c r="D337" i="4"/>
  <c r="F337" i="4"/>
  <c r="A338" i="4"/>
  <c r="C338" i="4"/>
  <c r="D338" i="4"/>
  <c r="F338" i="4"/>
  <c r="B338" i="4"/>
  <c r="E338" i="4"/>
  <c r="C339" i="4"/>
  <c r="E339" i="4"/>
  <c r="A339" i="4"/>
  <c r="B339" i="4"/>
  <c r="D339" i="4"/>
  <c r="F339" i="4"/>
  <c r="A340" i="4"/>
  <c r="B340" i="4"/>
  <c r="D340" i="4"/>
  <c r="F340" i="4"/>
  <c r="C340" i="4"/>
  <c r="E340" i="4"/>
  <c r="B341" i="4"/>
  <c r="D341" i="4"/>
  <c r="F341" i="4"/>
  <c r="A341" i="4"/>
  <c r="C341" i="4"/>
  <c r="E341" i="4"/>
  <c r="B342" i="4"/>
  <c r="E342" i="4"/>
  <c r="A342" i="4"/>
  <c r="C342" i="4"/>
  <c r="D342" i="4"/>
  <c r="F342" i="4"/>
  <c r="A343" i="4"/>
  <c r="F343" i="4"/>
  <c r="B343" i="4"/>
  <c r="C343" i="4"/>
  <c r="D343" i="4"/>
  <c r="E343" i="4"/>
  <c r="C344" i="4"/>
  <c r="E344" i="4"/>
  <c r="A344" i="4"/>
  <c r="B344" i="4"/>
  <c r="D344" i="4"/>
  <c r="F344" i="4"/>
  <c r="B345" i="4"/>
  <c r="D345" i="4"/>
  <c r="F345" i="4"/>
  <c r="A345" i="4"/>
  <c r="C345" i="4"/>
  <c r="E345" i="4"/>
  <c r="A346" i="4"/>
  <c r="B346" i="4"/>
  <c r="C346" i="4"/>
  <c r="E346" i="4"/>
  <c r="F346" i="4"/>
  <c r="D346" i="4"/>
  <c r="A347" i="4"/>
  <c r="B347" i="4"/>
  <c r="C347" i="4"/>
  <c r="D347" i="4"/>
  <c r="E347" i="4"/>
  <c r="F347" i="4"/>
  <c r="A348" i="4"/>
  <c r="B348" i="4"/>
  <c r="C348" i="4"/>
  <c r="D348" i="4"/>
  <c r="E348" i="4"/>
  <c r="F348" i="4"/>
  <c r="A349" i="4"/>
  <c r="B349" i="4"/>
  <c r="C349" i="4"/>
  <c r="D349" i="4"/>
  <c r="E349" i="4"/>
  <c r="F349" i="4"/>
  <c r="A350" i="4"/>
  <c r="B350" i="4"/>
  <c r="C350" i="4"/>
  <c r="D350" i="4"/>
  <c r="E350" i="4"/>
  <c r="F350" i="4"/>
  <c r="A351" i="4"/>
  <c r="B351" i="4"/>
  <c r="C351" i="4"/>
  <c r="D351" i="4"/>
  <c r="E351" i="4"/>
  <c r="F351" i="4"/>
  <c r="A352" i="4"/>
  <c r="B352" i="4"/>
  <c r="C352" i="4"/>
  <c r="D352" i="4"/>
  <c r="E352" i="4"/>
  <c r="F352" i="4"/>
  <c r="A353" i="4"/>
  <c r="B353" i="4"/>
  <c r="C353" i="4"/>
  <c r="D353" i="4"/>
  <c r="E353" i="4"/>
  <c r="F353" i="4"/>
  <c r="A354" i="4"/>
  <c r="B354" i="4"/>
  <c r="C354" i="4"/>
  <c r="D354" i="4"/>
  <c r="E354" i="4"/>
  <c r="F354" i="4"/>
  <c r="A355" i="4"/>
  <c r="B355" i="4"/>
  <c r="C355" i="4"/>
  <c r="D355" i="4"/>
  <c r="E355" i="4"/>
  <c r="F355" i="4"/>
  <c r="A356" i="4"/>
  <c r="B356" i="4"/>
  <c r="C356" i="4"/>
  <c r="D356" i="4"/>
  <c r="E356" i="4"/>
  <c r="F356" i="4"/>
  <c r="A357" i="4"/>
  <c r="B357" i="4"/>
  <c r="C357" i="4"/>
  <c r="D357" i="4"/>
  <c r="E357" i="4"/>
  <c r="F357" i="4"/>
  <c r="A358" i="4"/>
  <c r="B358" i="4"/>
  <c r="C358" i="4"/>
  <c r="D358" i="4"/>
  <c r="E358" i="4"/>
  <c r="F358" i="4"/>
  <c r="A359" i="4"/>
  <c r="B359" i="4"/>
  <c r="C359" i="4"/>
  <c r="D359" i="4"/>
  <c r="E359" i="4"/>
  <c r="F359" i="4"/>
  <c r="A360" i="4"/>
  <c r="B360" i="4"/>
  <c r="C360" i="4"/>
  <c r="D360" i="4"/>
  <c r="E360" i="4"/>
  <c r="F360" i="4"/>
  <c r="A361" i="4"/>
  <c r="B361" i="4"/>
  <c r="C361" i="4"/>
  <c r="D361" i="4"/>
  <c r="E361" i="4"/>
  <c r="F361" i="4"/>
  <c r="A362" i="4"/>
  <c r="B362" i="4"/>
  <c r="C362" i="4"/>
  <c r="D362" i="4"/>
  <c r="E362" i="4"/>
  <c r="F362" i="4"/>
  <c r="A363" i="4"/>
  <c r="B363" i="4"/>
  <c r="C363" i="4"/>
  <c r="D363" i="4"/>
  <c r="E363" i="4"/>
  <c r="F363" i="4"/>
  <c r="A364" i="4"/>
  <c r="B364" i="4"/>
  <c r="C364" i="4"/>
  <c r="D364" i="4"/>
  <c r="E364" i="4"/>
  <c r="F364" i="4"/>
  <c r="A365" i="4"/>
  <c r="B365" i="4"/>
  <c r="C365" i="4"/>
  <c r="D365" i="4"/>
  <c r="E365" i="4"/>
  <c r="F365" i="4"/>
  <c r="A366" i="4"/>
  <c r="B366" i="4"/>
  <c r="C366" i="4"/>
  <c r="D366" i="4"/>
  <c r="E366" i="4"/>
  <c r="F366" i="4"/>
  <c r="A367" i="4"/>
  <c r="B367" i="4"/>
  <c r="C367" i="4"/>
  <c r="D367" i="4"/>
  <c r="E367" i="4"/>
  <c r="F367" i="4"/>
  <c r="A368" i="4"/>
  <c r="B368" i="4"/>
  <c r="C368" i="4"/>
  <c r="D368" i="4"/>
  <c r="E368" i="4"/>
  <c r="F368" i="4"/>
  <c r="A369" i="4"/>
  <c r="B369" i="4"/>
  <c r="C369" i="4"/>
  <c r="D369" i="4"/>
  <c r="E369" i="4"/>
  <c r="F369" i="4"/>
  <c r="A370" i="4"/>
  <c r="B370" i="4"/>
  <c r="C370" i="4"/>
  <c r="D370" i="4"/>
  <c r="E370" i="4"/>
  <c r="F370" i="4"/>
  <c r="A371" i="4"/>
  <c r="B371" i="4"/>
  <c r="C371" i="4"/>
  <c r="D371" i="4"/>
  <c r="E371" i="4"/>
  <c r="F371" i="4"/>
  <c r="A372" i="4"/>
  <c r="B372" i="4"/>
  <c r="C372" i="4"/>
  <c r="D372" i="4"/>
  <c r="E372" i="4"/>
  <c r="F372" i="4"/>
  <c r="A373" i="4"/>
  <c r="B373" i="4"/>
  <c r="C373" i="4"/>
  <c r="D373" i="4"/>
  <c r="E373" i="4"/>
  <c r="F373" i="4"/>
  <c r="A374" i="4"/>
  <c r="B374" i="4"/>
  <c r="C374" i="4"/>
  <c r="D374" i="4"/>
  <c r="E374" i="4"/>
  <c r="F374" i="4"/>
  <c r="A375" i="4"/>
  <c r="B375" i="4"/>
  <c r="C375" i="4"/>
  <c r="D375" i="4"/>
  <c r="E375" i="4"/>
  <c r="F375" i="4"/>
  <c r="A376" i="4"/>
  <c r="B376" i="4"/>
  <c r="C376" i="4"/>
  <c r="D376" i="4"/>
  <c r="E376" i="4"/>
  <c r="F376" i="4"/>
  <c r="A377" i="4"/>
  <c r="B377" i="4"/>
  <c r="C377" i="4"/>
  <c r="D377" i="4"/>
  <c r="E377" i="4"/>
  <c r="F377" i="4"/>
  <c r="A378" i="4"/>
  <c r="B378" i="4"/>
  <c r="C378" i="4"/>
  <c r="D378" i="4"/>
  <c r="E378" i="4"/>
  <c r="F378" i="4"/>
  <c r="A379" i="4"/>
  <c r="B379" i="4"/>
  <c r="C379" i="4"/>
  <c r="D379" i="4"/>
  <c r="E379" i="4"/>
  <c r="F379" i="4"/>
  <c r="A380" i="4"/>
  <c r="B380" i="4"/>
  <c r="C380" i="4"/>
  <c r="D380" i="4"/>
  <c r="E380" i="4"/>
  <c r="F380" i="4"/>
  <c r="A381" i="4"/>
  <c r="B381" i="4"/>
  <c r="C381" i="4"/>
  <c r="D381" i="4"/>
  <c r="E381" i="4"/>
  <c r="F381" i="4"/>
  <c r="A382" i="4"/>
  <c r="B382" i="4"/>
  <c r="C382" i="4"/>
  <c r="D382" i="4"/>
  <c r="E382" i="4"/>
  <c r="F382" i="4"/>
  <c r="A383" i="4"/>
  <c r="B383" i="4"/>
  <c r="C383" i="4"/>
  <c r="D383" i="4"/>
  <c r="E383" i="4"/>
  <c r="F383" i="4"/>
  <c r="A384" i="4"/>
  <c r="B384" i="4"/>
  <c r="C384" i="4"/>
  <c r="D384" i="4"/>
  <c r="E384" i="4"/>
  <c r="F384" i="4"/>
  <c r="A385" i="4"/>
  <c r="B385" i="4"/>
  <c r="C385" i="4"/>
  <c r="D385" i="4"/>
  <c r="E385" i="4"/>
  <c r="F385" i="4"/>
  <c r="A386" i="4"/>
  <c r="B386" i="4"/>
  <c r="C386" i="4"/>
  <c r="D386" i="4"/>
  <c r="E386" i="4"/>
  <c r="F386" i="4"/>
  <c r="A387" i="4"/>
  <c r="B387" i="4"/>
  <c r="C387" i="4"/>
  <c r="D387" i="4"/>
  <c r="E387" i="4"/>
  <c r="F387" i="4"/>
  <c r="A388" i="4"/>
  <c r="B388" i="4"/>
  <c r="C388" i="4"/>
  <c r="D388" i="4"/>
  <c r="E388" i="4"/>
  <c r="F388" i="4"/>
  <c r="A389" i="4"/>
  <c r="B389" i="4"/>
  <c r="C389" i="4"/>
  <c r="D389" i="4"/>
  <c r="E389" i="4"/>
  <c r="F389" i="4"/>
  <c r="A390" i="4"/>
  <c r="B390" i="4"/>
  <c r="C390" i="4"/>
  <c r="D390" i="4"/>
  <c r="E390" i="4"/>
  <c r="F390" i="4"/>
  <c r="A391" i="4"/>
  <c r="B391" i="4"/>
  <c r="C391" i="4"/>
  <c r="D391" i="4"/>
  <c r="E391" i="4"/>
  <c r="F391" i="4"/>
  <c r="A392" i="4"/>
  <c r="B392" i="4"/>
  <c r="C392" i="4"/>
  <c r="D392" i="4"/>
  <c r="E392" i="4"/>
  <c r="F392" i="4"/>
  <c r="A393" i="4"/>
  <c r="B393" i="4"/>
  <c r="C393" i="4"/>
  <c r="D393" i="4"/>
  <c r="E393" i="4"/>
  <c r="F393" i="4"/>
  <c r="A394" i="4"/>
  <c r="B394" i="4"/>
  <c r="C394" i="4"/>
  <c r="D394" i="4"/>
  <c r="E394" i="4"/>
  <c r="F394" i="4"/>
  <c r="A395" i="4"/>
  <c r="B395" i="4"/>
  <c r="C395" i="4"/>
  <c r="D395" i="4"/>
  <c r="E395" i="4"/>
  <c r="F395" i="4"/>
  <c r="A396" i="4"/>
  <c r="B396" i="4"/>
  <c r="C396" i="4"/>
  <c r="D396" i="4"/>
  <c r="E396" i="4"/>
  <c r="F396" i="4"/>
  <c r="A397" i="4"/>
  <c r="B397" i="4"/>
  <c r="C397" i="4"/>
  <c r="D397" i="4"/>
  <c r="E397" i="4"/>
  <c r="F397" i="4"/>
  <c r="A398" i="4"/>
  <c r="B398" i="4"/>
  <c r="C398" i="4"/>
  <c r="D398" i="4"/>
  <c r="E398" i="4"/>
  <c r="F398" i="4"/>
  <c r="A399" i="4"/>
  <c r="B399" i="4"/>
  <c r="C399" i="4"/>
  <c r="D399" i="4"/>
  <c r="E399" i="4"/>
  <c r="F399" i="4"/>
  <c r="A400" i="4"/>
  <c r="B400" i="4"/>
  <c r="C400" i="4"/>
  <c r="D400" i="4"/>
  <c r="E400" i="4"/>
  <c r="F400" i="4"/>
  <c r="A401" i="4"/>
  <c r="B401" i="4"/>
  <c r="C401" i="4"/>
  <c r="D401" i="4"/>
  <c r="E401" i="4"/>
  <c r="F401" i="4"/>
  <c r="A402" i="4"/>
  <c r="B402" i="4"/>
  <c r="C402" i="4"/>
  <c r="D402" i="4"/>
  <c r="E402" i="4"/>
  <c r="F402" i="4"/>
  <c r="A403" i="4"/>
  <c r="B403" i="4"/>
  <c r="C403" i="4"/>
  <c r="D403" i="4"/>
  <c r="E403" i="4"/>
  <c r="F403" i="4"/>
  <c r="A404" i="4"/>
  <c r="B404" i="4"/>
  <c r="C404" i="4"/>
  <c r="D404" i="4"/>
  <c r="E404" i="4"/>
  <c r="F404" i="4"/>
  <c r="A405" i="4"/>
  <c r="B405" i="4"/>
  <c r="C405" i="4"/>
  <c r="D405" i="4"/>
  <c r="E405" i="4"/>
  <c r="F405" i="4"/>
  <c r="A406" i="4"/>
  <c r="B406" i="4"/>
  <c r="C406" i="4"/>
  <c r="D406" i="4"/>
  <c r="E406" i="4"/>
  <c r="F406" i="4"/>
  <c r="A407" i="4"/>
  <c r="B407" i="4"/>
  <c r="C407" i="4"/>
  <c r="D407" i="4"/>
  <c r="E407" i="4"/>
  <c r="F407" i="4"/>
  <c r="A408" i="4"/>
  <c r="B408" i="4"/>
  <c r="C408" i="4"/>
  <c r="D408" i="4"/>
  <c r="E408" i="4"/>
  <c r="F408" i="4"/>
  <c r="A409" i="4"/>
  <c r="B409" i="4"/>
  <c r="C409" i="4"/>
  <c r="D409" i="4"/>
  <c r="E409" i="4"/>
  <c r="F409" i="4"/>
  <c r="A410" i="4"/>
  <c r="B410" i="4"/>
  <c r="C410" i="4"/>
  <c r="D410" i="4"/>
  <c r="E410" i="4"/>
  <c r="F410" i="4"/>
  <c r="A411" i="4"/>
  <c r="B411" i="4"/>
  <c r="C411" i="4"/>
  <c r="D411" i="4"/>
  <c r="E411" i="4"/>
  <c r="F411" i="4"/>
  <c r="A412" i="4"/>
  <c r="B412" i="4"/>
  <c r="C412" i="4"/>
  <c r="D412" i="4"/>
  <c r="E412" i="4"/>
  <c r="F412" i="4"/>
  <c r="A413" i="4"/>
  <c r="B413" i="4"/>
  <c r="C413" i="4"/>
  <c r="D413" i="4"/>
  <c r="E413" i="4"/>
  <c r="F413" i="4"/>
  <c r="A414" i="4"/>
  <c r="B414" i="4"/>
  <c r="C414" i="4"/>
  <c r="D414" i="4"/>
  <c r="E414" i="4"/>
  <c r="F414" i="4"/>
  <c r="A415" i="4"/>
  <c r="B415" i="4"/>
  <c r="C415" i="4"/>
  <c r="D415" i="4"/>
  <c r="E415" i="4"/>
  <c r="F415" i="4"/>
  <c r="A416" i="4"/>
  <c r="B416" i="4"/>
  <c r="C416" i="4"/>
  <c r="D416" i="4"/>
  <c r="E416" i="4"/>
  <c r="F416" i="4"/>
  <c r="A417" i="4"/>
  <c r="B417" i="4"/>
  <c r="C417" i="4"/>
  <c r="D417" i="4"/>
  <c r="E417" i="4"/>
  <c r="F417" i="4"/>
  <c r="A418" i="4"/>
  <c r="B418" i="4"/>
  <c r="C418" i="4"/>
  <c r="D418" i="4"/>
  <c r="E418" i="4"/>
  <c r="F418" i="4"/>
  <c r="A419" i="4"/>
  <c r="B419" i="4"/>
  <c r="C419" i="4"/>
  <c r="D419" i="4"/>
  <c r="E419" i="4"/>
  <c r="F419" i="4"/>
  <c r="A420" i="4"/>
  <c r="B420" i="4"/>
  <c r="C420" i="4"/>
  <c r="D420" i="4"/>
  <c r="E420" i="4"/>
  <c r="F420" i="4"/>
  <c r="A421" i="4"/>
  <c r="B421" i="4"/>
  <c r="C421" i="4"/>
  <c r="D421" i="4"/>
  <c r="E421" i="4"/>
  <c r="F421" i="4"/>
  <c r="A422" i="4"/>
  <c r="B422" i="4"/>
  <c r="C422" i="4"/>
  <c r="D422" i="4"/>
  <c r="E422" i="4"/>
  <c r="F422" i="4"/>
  <c r="A423" i="4"/>
  <c r="B423" i="4"/>
  <c r="C423" i="4"/>
  <c r="D423" i="4"/>
  <c r="E423" i="4"/>
  <c r="F423" i="4"/>
  <c r="A424" i="4"/>
  <c r="B424" i="4"/>
  <c r="C424" i="4"/>
  <c r="D424" i="4"/>
  <c r="E424" i="4"/>
  <c r="F424" i="4"/>
  <c r="A425" i="4"/>
  <c r="B425" i="4"/>
  <c r="C425" i="4"/>
  <c r="D425" i="4"/>
  <c r="E425" i="4"/>
  <c r="F425" i="4"/>
  <c r="A426" i="4"/>
  <c r="B426" i="4"/>
  <c r="C426" i="4"/>
  <c r="D426" i="4"/>
  <c r="E426" i="4"/>
  <c r="F426" i="4"/>
  <c r="A445" i="4"/>
  <c r="B445" i="4"/>
  <c r="C445" i="4"/>
  <c r="D445" i="4"/>
  <c r="E445" i="4"/>
  <c r="F445" i="4"/>
  <c r="A446" i="4"/>
  <c r="B446" i="4"/>
  <c r="C446" i="4"/>
  <c r="D446" i="4"/>
  <c r="E446" i="4"/>
  <c r="F446" i="4"/>
  <c r="A504" i="4"/>
  <c r="B504" i="4"/>
  <c r="C504" i="4"/>
  <c r="D504" i="4"/>
  <c r="E504" i="4"/>
  <c r="F504" i="4"/>
  <c r="C203" i="4"/>
  <c r="F203" i="4"/>
  <c r="A203" i="4"/>
  <c r="B203" i="4"/>
  <c r="D203" i="4"/>
  <c r="E203" i="4"/>
  <c r="B204" i="4"/>
  <c r="E204" i="4"/>
  <c r="A204" i="4"/>
  <c r="C204" i="4"/>
  <c r="D204" i="4"/>
  <c r="F204" i="4"/>
  <c r="A206" i="4"/>
  <c r="C206" i="4"/>
  <c r="F206" i="4"/>
  <c r="B206" i="4"/>
  <c r="D206" i="4"/>
  <c r="E206" i="4"/>
  <c r="A275" i="4"/>
  <c r="C275" i="4"/>
  <c r="D275" i="4"/>
  <c r="F275" i="4"/>
  <c r="B275" i="4"/>
  <c r="E275" i="4"/>
  <c r="A277" i="4"/>
  <c r="C277" i="4"/>
  <c r="E277" i="4"/>
  <c r="B277" i="4"/>
  <c r="D277" i="4"/>
  <c r="F277" i="4"/>
  <c r="A279" i="4"/>
  <c r="C279" i="4"/>
  <c r="E279" i="4"/>
  <c r="B279" i="4"/>
  <c r="D279" i="4"/>
  <c r="F279" i="4"/>
  <c r="A428" i="4"/>
  <c r="B428" i="4"/>
  <c r="C428" i="4"/>
  <c r="D428" i="4"/>
  <c r="E428" i="4"/>
  <c r="F428" i="4"/>
  <c r="A429" i="4"/>
  <c r="B429" i="4"/>
  <c r="C429" i="4"/>
  <c r="D429" i="4"/>
  <c r="E429" i="4"/>
  <c r="F429" i="4"/>
  <c r="A430" i="4"/>
  <c r="B430" i="4"/>
  <c r="C430" i="4"/>
  <c r="D430" i="4"/>
  <c r="E430" i="4"/>
  <c r="F430" i="4"/>
  <c r="A431" i="4"/>
  <c r="B431" i="4"/>
  <c r="C431" i="4"/>
  <c r="D431" i="4"/>
  <c r="E431" i="4"/>
  <c r="F431" i="4"/>
  <c r="A435" i="4"/>
  <c r="B435" i="4"/>
  <c r="C435" i="4"/>
  <c r="D435" i="4"/>
  <c r="E435" i="4"/>
  <c r="F435" i="4"/>
  <c r="A437" i="4"/>
  <c r="B437" i="4"/>
  <c r="C437" i="4"/>
  <c r="D437" i="4"/>
  <c r="E437" i="4"/>
  <c r="F437" i="4"/>
  <c r="A441" i="4"/>
  <c r="B441" i="4"/>
  <c r="C441" i="4"/>
  <c r="D441" i="4"/>
  <c r="E441" i="4"/>
  <c r="F441" i="4"/>
  <c r="A442" i="4"/>
  <c r="B442" i="4"/>
  <c r="C442" i="4"/>
  <c r="D442" i="4"/>
  <c r="E442" i="4"/>
  <c r="F442" i="4"/>
  <c r="A443" i="4"/>
  <c r="B443" i="4"/>
  <c r="C443" i="4"/>
  <c r="D443" i="4"/>
  <c r="E443" i="4"/>
  <c r="F443" i="4"/>
  <c r="A448" i="4"/>
  <c r="B448" i="4"/>
  <c r="C448" i="4"/>
  <c r="D448" i="4"/>
  <c r="E448" i="4"/>
  <c r="F448" i="4"/>
  <c r="A450" i="4"/>
  <c r="B450" i="4"/>
  <c r="C450" i="4"/>
  <c r="D450" i="4"/>
  <c r="E450" i="4"/>
  <c r="F450" i="4"/>
  <c r="A451" i="4"/>
  <c r="B451" i="4"/>
  <c r="C451" i="4"/>
  <c r="D451" i="4"/>
  <c r="E451" i="4"/>
  <c r="F451" i="4"/>
  <c r="A453" i="4"/>
  <c r="B453" i="4"/>
  <c r="C453" i="4"/>
  <c r="D453" i="4"/>
  <c r="E453" i="4"/>
  <c r="F453" i="4"/>
  <c r="A455" i="4"/>
  <c r="B455" i="4"/>
  <c r="C455" i="4"/>
  <c r="D455" i="4"/>
  <c r="E455" i="4"/>
  <c r="F455" i="4"/>
  <c r="A459" i="4"/>
  <c r="B459" i="4"/>
  <c r="C459" i="4"/>
  <c r="D459" i="4"/>
  <c r="E459" i="4"/>
  <c r="F459" i="4"/>
  <c r="A463" i="4"/>
  <c r="B463" i="4"/>
  <c r="C463" i="4"/>
  <c r="D463" i="4"/>
  <c r="E463" i="4"/>
  <c r="F463" i="4"/>
  <c r="A464" i="4"/>
  <c r="B464" i="4"/>
  <c r="C464" i="4"/>
  <c r="D464" i="4"/>
  <c r="E464" i="4"/>
  <c r="F464" i="4"/>
  <c r="A467" i="4"/>
  <c r="B467" i="4"/>
  <c r="C467" i="4"/>
  <c r="D467" i="4"/>
  <c r="E467" i="4"/>
  <c r="F467" i="4"/>
  <c r="A471" i="4"/>
  <c r="B471" i="4"/>
  <c r="C471" i="4"/>
  <c r="D471" i="4"/>
  <c r="E471" i="4"/>
  <c r="F471" i="4"/>
  <c r="A472" i="4"/>
  <c r="B472" i="4"/>
  <c r="C472" i="4"/>
  <c r="D472" i="4"/>
  <c r="E472" i="4"/>
  <c r="F472" i="4"/>
  <c r="A477" i="4"/>
  <c r="B477" i="4"/>
  <c r="C477" i="4"/>
  <c r="D477" i="4"/>
  <c r="E477" i="4"/>
  <c r="F477" i="4"/>
  <c r="A478" i="4"/>
  <c r="B478" i="4"/>
  <c r="C478" i="4"/>
  <c r="D478" i="4"/>
  <c r="E478" i="4"/>
  <c r="F478" i="4"/>
  <c r="A481" i="4"/>
  <c r="B481" i="4"/>
  <c r="C481" i="4"/>
  <c r="D481" i="4"/>
  <c r="E481" i="4"/>
  <c r="F481" i="4"/>
  <c r="A483" i="4"/>
  <c r="B483" i="4"/>
  <c r="C483" i="4"/>
  <c r="D483" i="4"/>
  <c r="E483" i="4"/>
  <c r="F483" i="4"/>
  <c r="A484" i="4"/>
  <c r="B484" i="4"/>
  <c r="C484" i="4"/>
  <c r="D484" i="4"/>
  <c r="E484" i="4"/>
  <c r="F484" i="4"/>
  <c r="A490" i="4"/>
  <c r="B490" i="4"/>
  <c r="C490" i="4"/>
  <c r="D490" i="4"/>
  <c r="E490" i="4"/>
  <c r="F490" i="4"/>
  <c r="A491" i="4"/>
  <c r="B491" i="4"/>
  <c r="C491" i="4"/>
  <c r="D491" i="4"/>
  <c r="E491" i="4"/>
  <c r="F491" i="4"/>
  <c r="A495" i="4"/>
  <c r="B495" i="4"/>
  <c r="C495" i="4"/>
  <c r="D495" i="4"/>
  <c r="E495" i="4"/>
  <c r="F495" i="4"/>
  <c r="A496" i="4"/>
  <c r="B496" i="4"/>
  <c r="C496" i="4"/>
  <c r="D496" i="4"/>
  <c r="E496" i="4"/>
  <c r="F496" i="4"/>
  <c r="A501" i="4"/>
  <c r="B501" i="4"/>
  <c r="C501" i="4"/>
  <c r="D501" i="4"/>
  <c r="E501" i="4"/>
  <c r="F501" i="4"/>
  <c r="A505" i="4"/>
  <c r="B505" i="4"/>
  <c r="C505" i="4"/>
  <c r="D505" i="4"/>
  <c r="E505" i="4"/>
  <c r="F505" i="4"/>
  <c r="A433" i="4"/>
  <c r="B433" i="4"/>
  <c r="C433" i="4"/>
  <c r="D433" i="4"/>
  <c r="E433" i="4"/>
  <c r="F433" i="4"/>
  <c r="A439" i="4"/>
  <c r="B439" i="4"/>
  <c r="C439" i="4"/>
  <c r="D439" i="4"/>
  <c r="E439" i="4"/>
  <c r="F439" i="4"/>
  <c r="A456" i="4"/>
  <c r="B456" i="4"/>
  <c r="C456" i="4"/>
  <c r="D456" i="4"/>
  <c r="E456" i="4"/>
  <c r="F456" i="4"/>
  <c r="A465" i="4"/>
  <c r="B465" i="4"/>
  <c r="C465" i="4"/>
  <c r="D465" i="4"/>
  <c r="E465" i="4"/>
  <c r="F465" i="4"/>
  <c r="A469" i="4"/>
  <c r="B469" i="4"/>
  <c r="C469" i="4"/>
  <c r="D469" i="4"/>
  <c r="E469" i="4"/>
  <c r="F469" i="4"/>
  <c r="A470" i="4"/>
  <c r="B470" i="4"/>
  <c r="C470" i="4"/>
  <c r="D470" i="4"/>
  <c r="E470" i="4"/>
  <c r="F470" i="4"/>
  <c r="A475" i="4"/>
  <c r="B475" i="4"/>
  <c r="C475" i="4"/>
  <c r="D475" i="4"/>
  <c r="E475" i="4"/>
  <c r="F475" i="4"/>
  <c r="A476" i="4"/>
  <c r="B476" i="4"/>
  <c r="C476" i="4"/>
  <c r="D476" i="4"/>
  <c r="E476" i="4"/>
  <c r="F476" i="4"/>
  <c r="A479" i="4"/>
  <c r="B479" i="4"/>
  <c r="C479" i="4"/>
  <c r="D479" i="4"/>
  <c r="E479" i="4"/>
  <c r="F479" i="4"/>
  <c r="A480" i="4"/>
  <c r="B480" i="4"/>
  <c r="C480" i="4"/>
  <c r="D480" i="4"/>
  <c r="E480" i="4"/>
  <c r="F480" i="4"/>
  <c r="A482" i="4"/>
  <c r="B482" i="4"/>
  <c r="C482" i="4"/>
  <c r="D482" i="4"/>
  <c r="E482" i="4"/>
  <c r="F482" i="4"/>
  <c r="A493" i="4"/>
  <c r="B493" i="4"/>
  <c r="C493" i="4"/>
  <c r="D493" i="4"/>
  <c r="E493" i="4"/>
  <c r="F493" i="4"/>
  <c r="A494" i="4"/>
  <c r="B494" i="4"/>
  <c r="C494" i="4"/>
  <c r="D494" i="4"/>
  <c r="E494" i="4"/>
  <c r="F494" i="4"/>
  <c r="A499" i="4"/>
  <c r="B499" i="4"/>
  <c r="C499" i="4"/>
  <c r="D499" i="4"/>
  <c r="E499" i="4"/>
  <c r="F499" i="4"/>
  <c r="A502" i="4"/>
  <c r="B502" i="4"/>
  <c r="C502" i="4"/>
  <c r="D502" i="4"/>
  <c r="E502" i="4"/>
  <c r="F502" i="4"/>
  <c r="A503" i="4"/>
  <c r="B503" i="4"/>
  <c r="C503" i="4"/>
  <c r="D503" i="4"/>
  <c r="E503" i="4"/>
  <c r="F503" i="4"/>
  <c r="A61" i="4"/>
  <c r="B61" i="4"/>
  <c r="C61" i="4"/>
  <c r="D61" i="4"/>
  <c r="E61" i="4"/>
  <c r="F61" i="4"/>
  <c r="B205" i="4"/>
  <c r="F205" i="4"/>
  <c r="A205" i="4"/>
  <c r="C205" i="4"/>
  <c r="D205" i="4"/>
  <c r="E205" i="4"/>
  <c r="B274" i="4"/>
  <c r="C274" i="4"/>
  <c r="E274" i="4"/>
  <c r="A274" i="4"/>
  <c r="D274" i="4"/>
  <c r="F274" i="4"/>
  <c r="A276" i="4"/>
  <c r="C276" i="4"/>
  <c r="E276" i="4"/>
  <c r="B276" i="4"/>
  <c r="D276" i="4"/>
  <c r="F276" i="4"/>
  <c r="A278" i="4"/>
  <c r="C278" i="4"/>
  <c r="E278" i="4"/>
  <c r="B278" i="4"/>
  <c r="D278" i="4"/>
  <c r="F278" i="4"/>
  <c r="A427" i="4"/>
  <c r="B427" i="4"/>
  <c r="C427" i="4"/>
  <c r="D427" i="4"/>
  <c r="E427" i="4"/>
  <c r="F427" i="4"/>
  <c r="A432" i="4"/>
  <c r="B432" i="4"/>
  <c r="C432" i="4"/>
  <c r="D432" i="4"/>
  <c r="E432" i="4"/>
  <c r="F432" i="4"/>
  <c r="A434" i="4"/>
  <c r="B434" i="4"/>
  <c r="C434" i="4"/>
  <c r="D434" i="4"/>
  <c r="E434" i="4"/>
  <c r="F434" i="4"/>
  <c r="A436" i="4"/>
  <c r="B436" i="4"/>
  <c r="C436" i="4"/>
  <c r="D436" i="4"/>
  <c r="E436" i="4"/>
  <c r="F436" i="4"/>
  <c r="A438" i="4"/>
  <c r="B438" i="4"/>
  <c r="C438" i="4"/>
  <c r="D438" i="4"/>
  <c r="E438" i="4"/>
  <c r="F438" i="4"/>
  <c r="A440" i="4"/>
  <c r="B440" i="4"/>
  <c r="C440" i="4"/>
  <c r="D440" i="4"/>
  <c r="E440" i="4"/>
  <c r="F440" i="4"/>
  <c r="A444" i="4"/>
  <c r="B444" i="4"/>
  <c r="C444" i="4"/>
  <c r="D444" i="4"/>
  <c r="E444" i="4"/>
  <c r="F444" i="4"/>
  <c r="A447" i="4"/>
  <c r="B447" i="4"/>
  <c r="C447" i="4"/>
  <c r="D447" i="4"/>
  <c r="E447" i="4"/>
  <c r="F447" i="4"/>
  <c r="A449" i="4"/>
  <c r="B449" i="4"/>
  <c r="C449" i="4"/>
  <c r="D449" i="4"/>
  <c r="E449" i="4"/>
  <c r="F449" i="4"/>
  <c r="A452" i="4"/>
  <c r="B452" i="4"/>
  <c r="C452" i="4"/>
  <c r="D452" i="4"/>
  <c r="E452" i="4"/>
  <c r="F452" i="4"/>
  <c r="A454" i="4"/>
  <c r="B454" i="4"/>
  <c r="C454" i="4"/>
  <c r="D454" i="4"/>
  <c r="E454" i="4"/>
  <c r="F454" i="4"/>
  <c r="A457" i="4"/>
  <c r="B457" i="4"/>
  <c r="C457" i="4"/>
  <c r="D457" i="4"/>
  <c r="E457" i="4"/>
  <c r="F457" i="4"/>
  <c r="A458" i="4"/>
  <c r="B458" i="4"/>
  <c r="C458" i="4"/>
  <c r="D458" i="4"/>
  <c r="E458" i="4"/>
  <c r="F458" i="4"/>
  <c r="A460" i="4"/>
  <c r="B460" i="4"/>
  <c r="C460" i="4"/>
  <c r="D460" i="4"/>
  <c r="E460" i="4"/>
  <c r="F460" i="4"/>
  <c r="A461" i="4"/>
  <c r="B461" i="4"/>
  <c r="C461" i="4"/>
  <c r="D461" i="4"/>
  <c r="E461" i="4"/>
  <c r="F461" i="4"/>
  <c r="A462" i="4"/>
  <c r="B462" i="4"/>
  <c r="C462" i="4"/>
  <c r="D462" i="4"/>
  <c r="E462" i="4"/>
  <c r="F462" i="4"/>
  <c r="A466" i="4"/>
  <c r="B466" i="4"/>
  <c r="C466" i="4"/>
  <c r="D466" i="4"/>
  <c r="E466" i="4"/>
  <c r="F466" i="4"/>
  <c r="A468" i="4"/>
  <c r="B468" i="4"/>
  <c r="C468" i="4"/>
  <c r="D468" i="4"/>
  <c r="E468" i="4"/>
  <c r="F468" i="4"/>
  <c r="A473" i="4"/>
  <c r="B473" i="4"/>
  <c r="C473" i="4"/>
  <c r="D473" i="4"/>
  <c r="E473" i="4"/>
  <c r="F473" i="4"/>
  <c r="A474" i="4"/>
  <c r="B474" i="4"/>
  <c r="C474" i="4"/>
  <c r="D474" i="4"/>
  <c r="E474" i="4"/>
  <c r="F474" i="4"/>
  <c r="A485" i="4"/>
  <c r="B485" i="4"/>
  <c r="C485" i="4"/>
  <c r="D485" i="4"/>
  <c r="E485" i="4"/>
  <c r="F485" i="4"/>
  <c r="A486" i="4"/>
  <c r="B486" i="4"/>
  <c r="C486" i="4"/>
  <c r="D486" i="4"/>
  <c r="E486" i="4"/>
  <c r="F486" i="4"/>
  <c r="A487" i="4"/>
  <c r="B487" i="4"/>
  <c r="C487" i="4"/>
  <c r="D487" i="4"/>
  <c r="E487" i="4"/>
  <c r="F487" i="4"/>
  <c r="A488" i="4"/>
  <c r="B488" i="4"/>
  <c r="C488" i="4"/>
  <c r="D488" i="4"/>
  <c r="E488" i="4"/>
  <c r="F488" i="4"/>
  <c r="A489" i="4"/>
  <c r="B489" i="4"/>
  <c r="C489" i="4"/>
  <c r="D489" i="4"/>
  <c r="E489" i="4"/>
  <c r="F489" i="4"/>
  <c r="A492" i="4"/>
  <c r="B492" i="4"/>
  <c r="C492" i="4"/>
  <c r="D492" i="4"/>
  <c r="E492" i="4"/>
  <c r="F492" i="4"/>
  <c r="A497" i="4"/>
  <c r="B497" i="4"/>
  <c r="C497" i="4"/>
  <c r="D497" i="4"/>
  <c r="E497" i="4"/>
  <c r="F497" i="4"/>
  <c r="A498" i="4"/>
  <c r="B498" i="4"/>
  <c r="C498" i="4"/>
  <c r="D498" i="4"/>
  <c r="E498" i="4"/>
  <c r="F498" i="4"/>
  <c r="A500" i="4"/>
  <c r="B500" i="4"/>
  <c r="C500" i="4"/>
  <c r="D500" i="4"/>
  <c r="E500" i="4"/>
  <c r="F500" i="4"/>
  <c r="P14" i="5" l="1"/>
  <c r="B140" i="5"/>
  <c r="C140" i="5"/>
  <c r="D140" i="5"/>
  <c r="E140" i="5"/>
  <c r="F140" i="5"/>
  <c r="G140" i="5"/>
  <c r="H140" i="5"/>
  <c r="I140" i="5"/>
  <c r="J140" i="5"/>
  <c r="K140" i="5"/>
  <c r="L140" i="5"/>
  <c r="M140" i="5"/>
  <c r="N140" i="5"/>
  <c r="O140" i="5"/>
  <c r="P140" i="5"/>
  <c r="A140" i="5"/>
  <c r="O25" i="5"/>
  <c r="N25" i="5"/>
  <c r="P25" i="5"/>
  <c r="O26" i="5"/>
  <c r="L26" i="5"/>
  <c r="K26" i="5"/>
  <c r="J26" i="5"/>
  <c r="I26" i="5"/>
  <c r="H26" i="5"/>
  <c r="G26" i="5"/>
  <c r="F26" i="5"/>
  <c r="P26" i="5"/>
  <c r="M26" i="5"/>
  <c r="N26" i="5"/>
  <c r="E26" i="5"/>
  <c r="D26" i="5"/>
  <c r="C26" i="5"/>
  <c r="B26" i="5"/>
  <c r="A26" i="5"/>
  <c r="A27" i="5"/>
  <c r="P27" i="5"/>
  <c r="O27" i="5"/>
  <c r="N27" i="5"/>
  <c r="M27" i="5"/>
  <c r="L27" i="5"/>
  <c r="K27" i="5"/>
  <c r="J27" i="5"/>
  <c r="B27" i="5"/>
  <c r="C27" i="5"/>
  <c r="I27" i="5"/>
  <c r="H27" i="5"/>
  <c r="G27" i="5"/>
  <c r="F27" i="5"/>
  <c r="E27" i="5"/>
  <c r="D27" i="5"/>
  <c r="B28" i="5"/>
  <c r="P28" i="5"/>
  <c r="O28" i="5"/>
  <c r="N28" i="5"/>
  <c r="M28" i="5"/>
  <c r="L28" i="5"/>
  <c r="K28" i="5"/>
  <c r="D28" i="5"/>
  <c r="C28" i="5"/>
  <c r="A28" i="5"/>
  <c r="J28" i="5"/>
  <c r="I28" i="5"/>
  <c r="H28" i="5"/>
  <c r="G28" i="5"/>
  <c r="F28" i="5"/>
  <c r="E28" i="5"/>
  <c r="B29" i="5"/>
  <c r="C29" i="5"/>
  <c r="O29" i="5"/>
  <c r="N29" i="5"/>
  <c r="M29" i="5"/>
  <c r="L29" i="5"/>
  <c r="K29" i="5"/>
  <c r="J29" i="5"/>
  <c r="I29" i="5"/>
  <c r="A29" i="5"/>
  <c r="H29" i="5"/>
  <c r="G29" i="5"/>
  <c r="F29" i="5"/>
  <c r="E29" i="5"/>
  <c r="D29" i="5"/>
  <c r="P29" i="5"/>
  <c r="P30" i="5"/>
  <c r="O30" i="5"/>
  <c r="N30" i="5"/>
  <c r="M30" i="5"/>
  <c r="L30" i="5"/>
  <c r="K30" i="5"/>
  <c r="J30" i="5"/>
  <c r="I30" i="5"/>
  <c r="A30" i="5"/>
  <c r="H30" i="5"/>
  <c r="G30" i="5"/>
  <c r="F30" i="5"/>
  <c r="E30" i="5"/>
  <c r="D30" i="5"/>
  <c r="C30" i="5"/>
  <c r="B30" i="5"/>
  <c r="I31" i="5"/>
  <c r="P31" i="5"/>
  <c r="A31" i="5"/>
  <c r="B31" i="5"/>
  <c r="C31" i="5"/>
  <c r="D31" i="5"/>
  <c r="E31" i="5"/>
  <c r="F31" i="5"/>
  <c r="G31" i="5"/>
  <c r="H31" i="5"/>
  <c r="J31" i="5"/>
  <c r="K31" i="5"/>
  <c r="L31" i="5"/>
  <c r="M31" i="5"/>
  <c r="N31" i="5"/>
  <c r="O31" i="5"/>
  <c r="B32" i="5"/>
  <c r="P32" i="5"/>
  <c r="O32" i="5"/>
  <c r="N32" i="5"/>
  <c r="M32" i="5"/>
  <c r="L32" i="5"/>
  <c r="K32" i="5"/>
  <c r="J32" i="5"/>
  <c r="I32" i="5"/>
  <c r="H32" i="5"/>
  <c r="G32" i="5"/>
  <c r="F32" i="5"/>
  <c r="E32" i="5"/>
  <c r="D32" i="5"/>
  <c r="C32" i="5"/>
  <c r="A32" i="5"/>
  <c r="I33" i="5"/>
  <c r="J33" i="5"/>
  <c r="H33" i="5"/>
  <c r="A33" i="5"/>
  <c r="B33" i="5"/>
  <c r="C33" i="5"/>
  <c r="D33" i="5"/>
  <c r="E33" i="5"/>
  <c r="F33" i="5"/>
  <c r="G33" i="5"/>
  <c r="K33" i="5"/>
  <c r="L33" i="5"/>
  <c r="M33" i="5"/>
  <c r="N33" i="5"/>
  <c r="O33" i="5"/>
  <c r="P33" i="5"/>
  <c r="A34" i="5"/>
  <c r="C34" i="5"/>
  <c r="O34" i="5"/>
  <c r="N34" i="5"/>
  <c r="M34" i="5"/>
  <c r="L34" i="5"/>
  <c r="K34" i="5"/>
  <c r="J34" i="5"/>
  <c r="I34" i="5"/>
  <c r="H34" i="5"/>
  <c r="G34" i="5"/>
  <c r="F34" i="5"/>
  <c r="E34" i="5"/>
  <c r="D34" i="5"/>
  <c r="B34" i="5"/>
  <c r="P34" i="5"/>
  <c r="P35" i="5"/>
  <c r="O35" i="5"/>
  <c r="N35" i="5"/>
  <c r="M35" i="5"/>
  <c r="L35" i="5"/>
  <c r="K35" i="5"/>
  <c r="J35" i="5"/>
  <c r="I35" i="5"/>
  <c r="A35" i="5"/>
  <c r="H35" i="5"/>
  <c r="G35" i="5"/>
  <c r="F35" i="5"/>
  <c r="E35" i="5"/>
  <c r="D35" i="5"/>
  <c r="C35" i="5"/>
  <c r="B35" i="5"/>
  <c r="I36" i="5"/>
  <c r="P36" i="5"/>
  <c r="A36" i="5"/>
  <c r="B36" i="5"/>
  <c r="C36" i="5"/>
  <c r="D36" i="5"/>
  <c r="E36" i="5"/>
  <c r="F36" i="5"/>
  <c r="G36" i="5"/>
  <c r="H36" i="5"/>
  <c r="J36" i="5"/>
  <c r="K36" i="5"/>
  <c r="L36" i="5"/>
  <c r="M36" i="5"/>
  <c r="N36" i="5"/>
  <c r="O36" i="5"/>
  <c r="B37" i="5"/>
  <c r="P37" i="5"/>
  <c r="O37" i="5"/>
  <c r="N37" i="5"/>
  <c r="M37" i="5"/>
  <c r="L37" i="5"/>
  <c r="K37" i="5"/>
  <c r="J37" i="5"/>
  <c r="I37" i="5"/>
  <c r="H37" i="5"/>
  <c r="G37" i="5"/>
  <c r="F37" i="5"/>
  <c r="E37" i="5"/>
  <c r="D37" i="5"/>
  <c r="C37" i="5"/>
  <c r="A37" i="5"/>
  <c r="H38" i="5"/>
  <c r="I38" i="5"/>
  <c r="G38" i="5"/>
  <c r="A38" i="5"/>
  <c r="B38" i="5"/>
  <c r="C38" i="5"/>
  <c r="D38" i="5"/>
  <c r="E38" i="5"/>
  <c r="F38" i="5"/>
  <c r="J38" i="5"/>
  <c r="K38" i="5"/>
  <c r="L38" i="5"/>
  <c r="M38" i="5"/>
  <c r="N38" i="5"/>
  <c r="O38" i="5"/>
  <c r="P38" i="5"/>
  <c r="A39" i="5"/>
  <c r="P39" i="5"/>
  <c r="O39" i="5"/>
  <c r="N39" i="5"/>
  <c r="M39" i="5"/>
  <c r="L39" i="5"/>
  <c r="K39" i="5"/>
  <c r="B39" i="5"/>
  <c r="C39" i="5"/>
  <c r="J39" i="5"/>
  <c r="I39" i="5"/>
  <c r="H39" i="5"/>
  <c r="G39" i="5"/>
  <c r="F39" i="5"/>
  <c r="E39" i="5"/>
  <c r="D39" i="5"/>
  <c r="B40" i="5"/>
  <c r="C40" i="5"/>
  <c r="O40" i="5"/>
  <c r="N40" i="5"/>
  <c r="M40" i="5"/>
  <c r="L40" i="5"/>
  <c r="K40" i="5"/>
  <c r="J40" i="5"/>
  <c r="I40" i="5"/>
  <c r="A40" i="5"/>
  <c r="H40" i="5"/>
  <c r="G40" i="5"/>
  <c r="F40" i="5"/>
  <c r="E40" i="5"/>
  <c r="D40" i="5"/>
  <c r="P40" i="5"/>
  <c r="P41" i="5"/>
  <c r="O41" i="5"/>
  <c r="N41" i="5"/>
  <c r="M41" i="5"/>
  <c r="L41" i="5"/>
  <c r="K41" i="5"/>
  <c r="J41" i="5"/>
  <c r="I41" i="5"/>
  <c r="A41" i="5"/>
  <c r="H41" i="5"/>
  <c r="G41" i="5"/>
  <c r="F41" i="5"/>
  <c r="E41" i="5"/>
  <c r="D41" i="5"/>
  <c r="C41" i="5"/>
  <c r="B41" i="5"/>
  <c r="I42" i="5"/>
  <c r="P42" i="5"/>
  <c r="A42" i="5"/>
  <c r="B42" i="5"/>
  <c r="C42" i="5"/>
  <c r="D42" i="5"/>
  <c r="E42" i="5"/>
  <c r="F42" i="5"/>
  <c r="G42" i="5"/>
  <c r="H42" i="5"/>
  <c r="J42" i="5"/>
  <c r="K42" i="5"/>
  <c r="L42" i="5"/>
  <c r="M42" i="5"/>
  <c r="N42" i="5"/>
  <c r="O42" i="5"/>
  <c r="B43" i="5"/>
  <c r="P43" i="5"/>
  <c r="O43" i="5"/>
  <c r="N43" i="5"/>
  <c r="M43" i="5"/>
  <c r="L43" i="5"/>
  <c r="K43" i="5"/>
  <c r="J43" i="5"/>
  <c r="I43" i="5"/>
  <c r="H43" i="5"/>
  <c r="G43" i="5"/>
  <c r="F43" i="5"/>
  <c r="E43" i="5"/>
  <c r="D43" i="5"/>
  <c r="C43" i="5"/>
  <c r="A43" i="5"/>
  <c r="I44" i="5"/>
  <c r="J44" i="5"/>
  <c r="H44" i="5"/>
  <c r="A44" i="5"/>
  <c r="B44" i="5"/>
  <c r="C44" i="5"/>
  <c r="D44" i="5"/>
  <c r="E44" i="5"/>
  <c r="F44" i="5"/>
  <c r="G44" i="5"/>
  <c r="K44" i="5"/>
  <c r="L44" i="5"/>
  <c r="M44" i="5"/>
  <c r="N44" i="5"/>
  <c r="O44" i="5"/>
  <c r="P44" i="5"/>
  <c r="A45" i="5"/>
  <c r="C45" i="5"/>
  <c r="O45" i="5"/>
  <c r="N45" i="5"/>
  <c r="M45" i="5"/>
  <c r="L45" i="5"/>
  <c r="K45" i="5"/>
  <c r="J45" i="5"/>
  <c r="I45" i="5"/>
  <c r="H45" i="5"/>
  <c r="G45" i="5"/>
  <c r="F45" i="5"/>
  <c r="E45" i="5"/>
  <c r="D45" i="5"/>
  <c r="B45" i="5"/>
  <c r="P45" i="5"/>
  <c r="P46" i="5"/>
  <c r="O46" i="5"/>
  <c r="N46" i="5"/>
  <c r="M46" i="5"/>
  <c r="L46" i="5"/>
  <c r="K46" i="5"/>
  <c r="J46" i="5"/>
  <c r="I46" i="5"/>
  <c r="A46" i="5"/>
  <c r="H46" i="5"/>
  <c r="G46" i="5"/>
  <c r="F46" i="5"/>
  <c r="E46" i="5"/>
  <c r="D46" i="5"/>
  <c r="C46" i="5"/>
  <c r="B46" i="5"/>
  <c r="I47" i="5"/>
  <c r="P47" i="5"/>
  <c r="A47" i="5"/>
  <c r="B47" i="5"/>
  <c r="C47" i="5"/>
  <c r="D47" i="5"/>
  <c r="E47" i="5"/>
  <c r="F47" i="5"/>
  <c r="G47" i="5"/>
  <c r="H47" i="5"/>
  <c r="J47" i="5"/>
  <c r="K47" i="5"/>
  <c r="L47" i="5"/>
  <c r="M47" i="5"/>
  <c r="N47" i="5"/>
  <c r="O47" i="5"/>
  <c r="B48" i="5"/>
  <c r="P48" i="5"/>
  <c r="O48" i="5"/>
  <c r="N48" i="5"/>
  <c r="M48" i="5"/>
  <c r="L48" i="5"/>
  <c r="K48" i="5"/>
  <c r="J48" i="5"/>
  <c r="I48" i="5"/>
  <c r="H48" i="5"/>
  <c r="G48" i="5"/>
  <c r="F48" i="5"/>
  <c r="E48" i="5"/>
  <c r="D48" i="5"/>
  <c r="C48" i="5"/>
  <c r="A48" i="5"/>
  <c r="P49" i="5"/>
  <c r="G49" i="5"/>
  <c r="F49" i="5"/>
  <c r="A49" i="5"/>
  <c r="B49" i="5"/>
  <c r="C49" i="5"/>
  <c r="D49" i="5"/>
  <c r="E49" i="5"/>
  <c r="I49" i="5"/>
  <c r="J49" i="5"/>
  <c r="K49" i="5"/>
  <c r="L49" i="5"/>
  <c r="M49" i="5"/>
  <c r="N49" i="5"/>
  <c r="O49" i="5"/>
  <c r="H49" i="5"/>
  <c r="B50" i="5"/>
  <c r="P50" i="5"/>
  <c r="O50" i="5"/>
  <c r="N50" i="5"/>
  <c r="M50" i="5"/>
  <c r="L50" i="5"/>
  <c r="K50" i="5"/>
  <c r="A50" i="5"/>
  <c r="C50" i="5"/>
  <c r="J50" i="5"/>
  <c r="I50" i="5"/>
  <c r="H50" i="5"/>
  <c r="G50" i="5"/>
  <c r="F50" i="5"/>
  <c r="E50" i="5"/>
  <c r="D50" i="5"/>
  <c r="B51" i="5"/>
  <c r="P51" i="5"/>
  <c r="O51" i="5"/>
  <c r="N51" i="5"/>
  <c r="M51" i="5"/>
  <c r="L51" i="5"/>
  <c r="K51" i="5"/>
  <c r="D51" i="5"/>
  <c r="C51" i="5"/>
  <c r="J51" i="5"/>
  <c r="I51" i="5"/>
  <c r="A51" i="5"/>
  <c r="H51" i="5"/>
  <c r="G51" i="5"/>
  <c r="F51" i="5"/>
  <c r="E51" i="5"/>
  <c r="B52" i="5"/>
  <c r="C52" i="5"/>
  <c r="O52" i="5"/>
  <c r="N52" i="5"/>
  <c r="M52" i="5"/>
  <c r="L52" i="5"/>
  <c r="K52" i="5"/>
  <c r="J52" i="5"/>
  <c r="I52" i="5"/>
  <c r="A52" i="5"/>
  <c r="H52" i="5"/>
  <c r="G52" i="5"/>
  <c r="F52" i="5"/>
  <c r="E52" i="5"/>
  <c r="D52" i="5"/>
  <c r="P52" i="5"/>
  <c r="P53" i="5"/>
  <c r="O53" i="5"/>
  <c r="N53" i="5"/>
  <c r="M53" i="5"/>
  <c r="L53" i="5"/>
  <c r="K53" i="5"/>
  <c r="J53" i="5"/>
  <c r="I53" i="5"/>
  <c r="A53" i="5"/>
  <c r="H53" i="5"/>
  <c r="G53" i="5"/>
  <c r="F53" i="5"/>
  <c r="E53" i="5"/>
  <c r="D53" i="5"/>
  <c r="C53" i="5"/>
  <c r="B53" i="5"/>
  <c r="I54" i="5"/>
  <c r="P54" i="5"/>
  <c r="A54" i="5"/>
  <c r="B54" i="5"/>
  <c r="C54" i="5"/>
  <c r="D54" i="5"/>
  <c r="E54" i="5"/>
  <c r="F54" i="5"/>
  <c r="G54" i="5"/>
  <c r="H54" i="5"/>
  <c r="J54" i="5"/>
  <c r="K54" i="5"/>
  <c r="L54" i="5"/>
  <c r="M54" i="5"/>
  <c r="N54" i="5"/>
  <c r="O54" i="5"/>
  <c r="B55" i="5"/>
  <c r="P55" i="5"/>
  <c r="O55" i="5"/>
  <c r="N55" i="5"/>
  <c r="M55" i="5"/>
  <c r="L55" i="5"/>
  <c r="K55" i="5"/>
  <c r="J55" i="5"/>
  <c r="I55" i="5"/>
  <c r="H55" i="5"/>
  <c r="G55" i="5"/>
  <c r="F55" i="5"/>
  <c r="E55" i="5"/>
  <c r="D55" i="5"/>
  <c r="C55" i="5"/>
  <c r="A55" i="5"/>
  <c r="I56" i="5"/>
  <c r="J56" i="5"/>
  <c r="H56" i="5"/>
  <c r="A56" i="5"/>
  <c r="B56" i="5"/>
  <c r="C56" i="5"/>
  <c r="D56" i="5"/>
  <c r="E56" i="5"/>
  <c r="F56" i="5"/>
  <c r="G56" i="5"/>
  <c r="K56" i="5"/>
  <c r="L56" i="5"/>
  <c r="M56" i="5"/>
  <c r="N56" i="5"/>
  <c r="O56" i="5"/>
  <c r="P56" i="5"/>
  <c r="A57" i="5"/>
  <c r="C57" i="5"/>
  <c r="O57" i="5"/>
  <c r="N57" i="5"/>
  <c r="M57" i="5"/>
  <c r="L57" i="5"/>
  <c r="K57" i="5"/>
  <c r="J57" i="5"/>
  <c r="I57" i="5"/>
  <c r="H57" i="5"/>
  <c r="G57" i="5"/>
  <c r="F57" i="5"/>
  <c r="E57" i="5"/>
  <c r="D57" i="5"/>
  <c r="B57" i="5"/>
  <c r="P57" i="5"/>
  <c r="P58" i="5"/>
  <c r="O58" i="5"/>
  <c r="N58" i="5"/>
  <c r="M58" i="5"/>
  <c r="L58" i="5"/>
  <c r="K58" i="5"/>
  <c r="J58" i="5"/>
  <c r="I58" i="5"/>
  <c r="A58" i="5"/>
  <c r="H58" i="5"/>
  <c r="G58" i="5"/>
  <c r="F58" i="5"/>
  <c r="E58" i="5"/>
  <c r="D58" i="5"/>
  <c r="C58" i="5"/>
  <c r="B58" i="5"/>
  <c r="I59" i="5"/>
  <c r="P59" i="5"/>
  <c r="A59" i="5"/>
  <c r="B59" i="5"/>
  <c r="C59" i="5"/>
  <c r="D59" i="5"/>
  <c r="E59" i="5"/>
  <c r="F59" i="5"/>
  <c r="G59" i="5"/>
  <c r="H59" i="5"/>
  <c r="J59" i="5"/>
  <c r="K59" i="5"/>
  <c r="L59" i="5"/>
  <c r="M59" i="5"/>
  <c r="N59" i="5"/>
  <c r="O59" i="5"/>
  <c r="B60" i="5"/>
  <c r="P60" i="5"/>
  <c r="O60" i="5"/>
  <c r="N60" i="5"/>
  <c r="M60" i="5"/>
  <c r="L60" i="5"/>
  <c r="K60" i="5"/>
  <c r="J60" i="5"/>
  <c r="I60" i="5"/>
  <c r="H60" i="5"/>
  <c r="G60" i="5"/>
  <c r="F60" i="5"/>
  <c r="E60" i="5"/>
  <c r="D60" i="5"/>
  <c r="C60" i="5"/>
  <c r="A60" i="5"/>
  <c r="I62" i="5"/>
  <c r="J62" i="5"/>
  <c r="H62" i="5"/>
  <c r="A62" i="5"/>
  <c r="B62" i="5"/>
  <c r="C62" i="5"/>
  <c r="D62" i="5"/>
  <c r="E62" i="5"/>
  <c r="F62" i="5"/>
  <c r="G62" i="5"/>
  <c r="K62" i="5"/>
  <c r="L62" i="5"/>
  <c r="M62" i="5"/>
  <c r="N62" i="5"/>
  <c r="O62" i="5"/>
  <c r="P62" i="5"/>
  <c r="A63" i="5"/>
  <c r="P63" i="5"/>
  <c r="O63" i="5"/>
  <c r="N63" i="5"/>
  <c r="M63" i="5"/>
  <c r="L63" i="5"/>
  <c r="K63" i="5"/>
  <c r="B63" i="5"/>
  <c r="C63" i="5"/>
  <c r="J63" i="5"/>
  <c r="I63" i="5"/>
  <c r="H63" i="5"/>
  <c r="G63" i="5"/>
  <c r="F63" i="5"/>
  <c r="E63" i="5"/>
  <c r="D63" i="5"/>
  <c r="B64" i="5"/>
  <c r="C64" i="5"/>
  <c r="O64" i="5"/>
  <c r="N64" i="5"/>
  <c r="M64" i="5"/>
  <c r="L64" i="5"/>
  <c r="K64" i="5"/>
  <c r="J64" i="5"/>
  <c r="I64" i="5"/>
  <c r="A64" i="5"/>
  <c r="H64" i="5"/>
  <c r="G64" i="5"/>
  <c r="F64" i="5"/>
  <c r="E64" i="5"/>
  <c r="D64" i="5"/>
  <c r="P64" i="5"/>
  <c r="P65" i="5"/>
  <c r="O65" i="5"/>
  <c r="N65" i="5"/>
  <c r="M65" i="5"/>
  <c r="L65" i="5"/>
  <c r="K65" i="5"/>
  <c r="J65" i="5"/>
  <c r="I65" i="5"/>
  <c r="A65" i="5"/>
  <c r="H65" i="5"/>
  <c r="G65" i="5"/>
  <c r="F65" i="5"/>
  <c r="E65" i="5"/>
  <c r="D65" i="5"/>
  <c r="C65" i="5"/>
  <c r="B65" i="5"/>
  <c r="I66" i="5"/>
  <c r="P66" i="5"/>
  <c r="A66" i="5"/>
  <c r="B66" i="5"/>
  <c r="C66" i="5"/>
  <c r="D66" i="5"/>
  <c r="E66" i="5"/>
  <c r="F66" i="5"/>
  <c r="G66" i="5"/>
  <c r="H66" i="5"/>
  <c r="J66" i="5"/>
  <c r="K66" i="5"/>
  <c r="L66" i="5"/>
  <c r="M66" i="5"/>
  <c r="N66" i="5"/>
  <c r="O66" i="5"/>
  <c r="B67" i="5"/>
  <c r="P67" i="5"/>
  <c r="O67" i="5"/>
  <c r="N67" i="5"/>
  <c r="M67" i="5"/>
  <c r="L67" i="5"/>
  <c r="K67" i="5"/>
  <c r="J67" i="5"/>
  <c r="I67" i="5"/>
  <c r="H67" i="5"/>
  <c r="G67" i="5"/>
  <c r="F67" i="5"/>
  <c r="E67" i="5"/>
  <c r="D67" i="5"/>
  <c r="C67" i="5"/>
  <c r="A67" i="5"/>
  <c r="I68" i="5"/>
  <c r="J68" i="5"/>
  <c r="H68" i="5"/>
  <c r="A68" i="5"/>
  <c r="B68" i="5"/>
  <c r="C68" i="5"/>
  <c r="D68" i="5"/>
  <c r="E68" i="5"/>
  <c r="F68" i="5"/>
  <c r="G68" i="5"/>
  <c r="K68" i="5"/>
  <c r="L68" i="5"/>
  <c r="M68" i="5"/>
  <c r="N68" i="5"/>
  <c r="O68" i="5"/>
  <c r="P68" i="5"/>
  <c r="A69" i="5"/>
  <c r="C69" i="5"/>
  <c r="O69" i="5"/>
  <c r="N69" i="5"/>
  <c r="M69" i="5"/>
  <c r="L69" i="5"/>
  <c r="K69" i="5"/>
  <c r="J69" i="5"/>
  <c r="I69" i="5"/>
  <c r="H69" i="5"/>
  <c r="G69" i="5"/>
  <c r="F69" i="5"/>
  <c r="E69" i="5"/>
  <c r="D69" i="5"/>
  <c r="B69" i="5"/>
  <c r="P69" i="5"/>
  <c r="P70" i="5"/>
  <c r="O70" i="5"/>
  <c r="N70" i="5"/>
  <c r="M70" i="5"/>
  <c r="L70" i="5"/>
  <c r="K70" i="5"/>
  <c r="J70" i="5"/>
  <c r="I70" i="5"/>
  <c r="A70" i="5"/>
  <c r="H70" i="5"/>
  <c r="G70" i="5"/>
  <c r="F70" i="5"/>
  <c r="E70" i="5"/>
  <c r="D70" i="5"/>
  <c r="C70" i="5"/>
  <c r="B70" i="5"/>
  <c r="I71" i="5"/>
  <c r="P71" i="5"/>
  <c r="A71" i="5"/>
  <c r="B71" i="5"/>
  <c r="C71" i="5"/>
  <c r="D71" i="5"/>
  <c r="E71" i="5"/>
  <c r="F71" i="5"/>
  <c r="G71" i="5"/>
  <c r="H71" i="5"/>
  <c r="J71" i="5"/>
  <c r="K71" i="5"/>
  <c r="L71" i="5"/>
  <c r="M71" i="5"/>
  <c r="N71" i="5"/>
  <c r="O71" i="5"/>
  <c r="B72" i="5"/>
  <c r="P72" i="5"/>
  <c r="O72" i="5"/>
  <c r="N72" i="5"/>
  <c r="M72" i="5"/>
  <c r="L72" i="5"/>
  <c r="K72" i="5"/>
  <c r="J72" i="5"/>
  <c r="I72" i="5"/>
  <c r="H72" i="5"/>
  <c r="G72" i="5"/>
  <c r="F72" i="5"/>
  <c r="E72" i="5"/>
  <c r="D72" i="5"/>
  <c r="C72" i="5"/>
  <c r="A72" i="5"/>
  <c r="P73" i="5"/>
  <c r="A73" i="5"/>
  <c r="O73" i="5"/>
  <c r="N73" i="5"/>
  <c r="M73" i="5"/>
  <c r="L73" i="5"/>
  <c r="K73" i="5"/>
  <c r="J73" i="5"/>
  <c r="I73" i="5"/>
  <c r="H73" i="5"/>
  <c r="G73" i="5"/>
  <c r="F73" i="5"/>
  <c r="E73" i="5"/>
  <c r="D73" i="5"/>
  <c r="C73" i="5"/>
  <c r="B73" i="5"/>
  <c r="A74" i="5"/>
  <c r="E74" i="5"/>
  <c r="P74" i="5"/>
  <c r="O74" i="5"/>
  <c r="N74" i="5"/>
  <c r="M74" i="5"/>
  <c r="L74" i="5"/>
  <c r="D74" i="5"/>
  <c r="B74" i="5"/>
  <c r="C74" i="5"/>
  <c r="K74" i="5"/>
  <c r="J74" i="5"/>
  <c r="I74" i="5"/>
  <c r="H74" i="5"/>
  <c r="G74" i="5"/>
  <c r="F74" i="5"/>
  <c r="A75" i="5"/>
  <c r="E75" i="5"/>
  <c r="P75" i="5"/>
  <c r="O75" i="5"/>
  <c r="N75" i="5"/>
  <c r="M75" i="5"/>
  <c r="L75" i="5"/>
  <c r="D75" i="5"/>
  <c r="B75" i="5"/>
  <c r="C75" i="5"/>
  <c r="K75" i="5"/>
  <c r="J75" i="5"/>
  <c r="I75" i="5"/>
  <c r="H75" i="5"/>
  <c r="G75" i="5"/>
  <c r="F75" i="5"/>
  <c r="A76" i="5"/>
  <c r="C76" i="5"/>
  <c r="P76" i="5"/>
  <c r="O76" i="5"/>
  <c r="N76" i="5"/>
  <c r="M76" i="5"/>
  <c r="L76" i="5"/>
  <c r="K76" i="5"/>
  <c r="B76" i="5"/>
  <c r="J76" i="5"/>
  <c r="I76" i="5"/>
  <c r="H76" i="5"/>
  <c r="G76" i="5"/>
  <c r="F76" i="5"/>
  <c r="E76" i="5"/>
  <c r="D76" i="5"/>
  <c r="B77" i="5"/>
  <c r="P77" i="5"/>
  <c r="O77" i="5"/>
  <c r="N77" i="5"/>
  <c r="M77" i="5"/>
  <c r="L77" i="5"/>
  <c r="K77" i="5"/>
  <c r="J77" i="5"/>
  <c r="I77" i="5"/>
  <c r="H77" i="5"/>
  <c r="G77" i="5"/>
  <c r="F77" i="5"/>
  <c r="E77" i="5"/>
  <c r="D77" i="5"/>
  <c r="C77" i="5"/>
  <c r="A77" i="5"/>
  <c r="I78" i="5"/>
  <c r="P78" i="5"/>
  <c r="A78" i="5"/>
  <c r="B78" i="5"/>
  <c r="C78" i="5"/>
  <c r="D78" i="5"/>
  <c r="E78" i="5"/>
  <c r="F78" i="5"/>
  <c r="G78" i="5"/>
  <c r="H78" i="5"/>
  <c r="J78" i="5"/>
  <c r="K78" i="5"/>
  <c r="L78" i="5"/>
  <c r="M78" i="5"/>
  <c r="N78" i="5"/>
  <c r="O78" i="5"/>
  <c r="B79" i="5"/>
  <c r="P79" i="5"/>
  <c r="O79" i="5"/>
  <c r="N79" i="5"/>
  <c r="M79" i="5"/>
  <c r="L79" i="5"/>
  <c r="K79" i="5"/>
  <c r="J79" i="5"/>
  <c r="I79" i="5"/>
  <c r="H79" i="5"/>
  <c r="G79" i="5"/>
  <c r="F79" i="5"/>
  <c r="E79" i="5"/>
  <c r="D79" i="5"/>
  <c r="C79" i="5"/>
  <c r="A79" i="5"/>
  <c r="I80" i="5"/>
  <c r="J80" i="5"/>
  <c r="H80" i="5"/>
  <c r="A80" i="5"/>
  <c r="B80" i="5"/>
  <c r="C80" i="5"/>
  <c r="D80" i="5"/>
  <c r="E80" i="5"/>
  <c r="F80" i="5"/>
  <c r="G80" i="5"/>
  <c r="K80" i="5"/>
  <c r="L80" i="5"/>
  <c r="M80" i="5"/>
  <c r="N80" i="5"/>
  <c r="O80" i="5"/>
  <c r="P80" i="5"/>
  <c r="A81" i="5"/>
  <c r="C81" i="5"/>
  <c r="O81" i="5"/>
  <c r="N81" i="5"/>
  <c r="M81" i="5"/>
  <c r="L81" i="5"/>
  <c r="K81" i="5"/>
  <c r="J81" i="5"/>
  <c r="I81" i="5"/>
  <c r="H81" i="5"/>
  <c r="G81" i="5"/>
  <c r="F81" i="5"/>
  <c r="E81" i="5"/>
  <c r="D81" i="5"/>
  <c r="B81" i="5"/>
  <c r="P81" i="5"/>
  <c r="P82" i="5"/>
  <c r="O82" i="5"/>
  <c r="N82" i="5"/>
  <c r="M82" i="5"/>
  <c r="L82" i="5"/>
  <c r="K82" i="5"/>
  <c r="J82" i="5"/>
  <c r="I82" i="5"/>
  <c r="A82" i="5"/>
  <c r="H82" i="5"/>
  <c r="G82" i="5"/>
  <c r="F82" i="5"/>
  <c r="E82" i="5"/>
  <c r="D82" i="5"/>
  <c r="C82" i="5"/>
  <c r="B82" i="5"/>
  <c r="I83" i="5"/>
  <c r="P83" i="5"/>
  <c r="A83" i="5"/>
  <c r="B83" i="5"/>
  <c r="C83" i="5"/>
  <c r="D83" i="5"/>
  <c r="E83" i="5"/>
  <c r="F83" i="5"/>
  <c r="G83" i="5"/>
  <c r="H83" i="5"/>
  <c r="J83" i="5"/>
  <c r="K83" i="5"/>
  <c r="L83" i="5"/>
  <c r="M83" i="5"/>
  <c r="N83" i="5"/>
  <c r="O83" i="5"/>
  <c r="B84" i="5"/>
  <c r="P84" i="5"/>
  <c r="O84" i="5"/>
  <c r="N84" i="5"/>
  <c r="M84" i="5"/>
  <c r="L84" i="5"/>
  <c r="K84" i="5"/>
  <c r="J84" i="5"/>
  <c r="I84" i="5"/>
  <c r="H84" i="5"/>
  <c r="G84" i="5"/>
  <c r="F84" i="5"/>
  <c r="E84" i="5"/>
  <c r="D84" i="5"/>
  <c r="C84" i="5"/>
  <c r="A84" i="5"/>
  <c r="I85" i="5"/>
  <c r="J85" i="5"/>
  <c r="H85" i="5"/>
  <c r="A85" i="5"/>
  <c r="B85" i="5"/>
  <c r="C85" i="5"/>
  <c r="D85" i="5"/>
  <c r="E85" i="5"/>
  <c r="F85" i="5"/>
  <c r="G85" i="5"/>
  <c r="K85" i="5"/>
  <c r="L85" i="5"/>
  <c r="M85" i="5"/>
  <c r="N85" i="5"/>
  <c r="O85" i="5"/>
  <c r="P85" i="5"/>
  <c r="A86" i="5"/>
  <c r="P86" i="5"/>
  <c r="O86" i="5"/>
  <c r="N86" i="5"/>
  <c r="M86" i="5"/>
  <c r="L86" i="5"/>
  <c r="K86" i="5"/>
  <c r="B86" i="5"/>
  <c r="C86" i="5"/>
  <c r="J86" i="5"/>
  <c r="I86" i="5"/>
  <c r="H86" i="5"/>
  <c r="G86" i="5"/>
  <c r="F86" i="5"/>
  <c r="E86" i="5"/>
  <c r="D86" i="5"/>
  <c r="B87" i="5"/>
  <c r="C87" i="5"/>
  <c r="O87" i="5"/>
  <c r="N87" i="5"/>
  <c r="M87" i="5"/>
  <c r="L87" i="5"/>
  <c r="K87" i="5"/>
  <c r="J87" i="5"/>
  <c r="I87" i="5"/>
  <c r="A87" i="5"/>
  <c r="H87" i="5"/>
  <c r="G87" i="5"/>
  <c r="F87" i="5"/>
  <c r="E87" i="5"/>
  <c r="D87" i="5"/>
  <c r="P87" i="5"/>
  <c r="P88" i="5"/>
  <c r="O88" i="5"/>
  <c r="N88" i="5"/>
  <c r="M88" i="5"/>
  <c r="L88" i="5"/>
  <c r="K88" i="5"/>
  <c r="J88" i="5"/>
  <c r="I88" i="5"/>
  <c r="A88" i="5"/>
  <c r="H88" i="5"/>
  <c r="G88" i="5"/>
  <c r="F88" i="5"/>
  <c r="E88" i="5"/>
  <c r="D88" i="5"/>
  <c r="C88" i="5"/>
  <c r="B88" i="5"/>
  <c r="I89" i="5"/>
  <c r="P89" i="5"/>
  <c r="A89" i="5"/>
  <c r="B89" i="5"/>
  <c r="C89" i="5"/>
  <c r="D89" i="5"/>
  <c r="E89" i="5"/>
  <c r="F89" i="5"/>
  <c r="G89" i="5"/>
  <c r="H89" i="5"/>
  <c r="J89" i="5"/>
  <c r="K89" i="5"/>
  <c r="L89" i="5"/>
  <c r="M89" i="5"/>
  <c r="N89" i="5"/>
  <c r="O89" i="5"/>
  <c r="B90" i="5"/>
  <c r="P90" i="5"/>
  <c r="O90" i="5"/>
  <c r="N90" i="5"/>
  <c r="M90" i="5"/>
  <c r="L90" i="5"/>
  <c r="K90" i="5"/>
  <c r="J90" i="5"/>
  <c r="I90" i="5"/>
  <c r="H90" i="5"/>
  <c r="G90" i="5"/>
  <c r="F90" i="5"/>
  <c r="E90" i="5"/>
  <c r="D90" i="5"/>
  <c r="C90" i="5"/>
  <c r="A90" i="5"/>
  <c r="I91" i="5"/>
  <c r="P91" i="5"/>
  <c r="H91" i="5"/>
  <c r="A91" i="5"/>
  <c r="B91" i="5"/>
  <c r="C91" i="5"/>
  <c r="D91" i="5"/>
  <c r="E91" i="5"/>
  <c r="F91" i="5"/>
  <c r="G91" i="5"/>
  <c r="K91" i="5"/>
  <c r="L91" i="5"/>
  <c r="M91" i="5"/>
  <c r="N91" i="5"/>
  <c r="O91" i="5"/>
  <c r="J91" i="5"/>
  <c r="A92" i="5"/>
  <c r="P92" i="5"/>
  <c r="C92" i="5"/>
  <c r="B92" i="5"/>
  <c r="D92" i="5"/>
  <c r="E92" i="5"/>
  <c r="F92" i="5"/>
  <c r="G92" i="5"/>
  <c r="H92" i="5"/>
  <c r="I92" i="5"/>
  <c r="J92" i="5"/>
  <c r="K92" i="5"/>
  <c r="L92" i="5"/>
  <c r="M92" i="5"/>
  <c r="N92" i="5"/>
  <c r="O92" i="5"/>
  <c r="P298" i="5"/>
  <c r="B298" i="5"/>
  <c r="C298" i="5"/>
  <c r="D298" i="5"/>
  <c r="E298" i="5"/>
  <c r="F298" i="5"/>
  <c r="G298" i="5"/>
  <c r="H298" i="5"/>
  <c r="A298" i="5"/>
  <c r="I298" i="5"/>
  <c r="J298" i="5"/>
  <c r="K298" i="5"/>
  <c r="L298" i="5"/>
  <c r="M298" i="5"/>
  <c r="N298" i="5"/>
  <c r="O298" i="5"/>
  <c r="I302" i="5"/>
  <c r="A302" i="5"/>
  <c r="B302" i="5"/>
  <c r="C302" i="5"/>
  <c r="D302" i="5"/>
  <c r="E302" i="5"/>
  <c r="F302" i="5"/>
  <c r="G302" i="5"/>
  <c r="H302" i="5"/>
  <c r="J302" i="5"/>
  <c r="K302" i="5"/>
  <c r="L302" i="5"/>
  <c r="M302" i="5"/>
  <c r="N302" i="5"/>
  <c r="O302" i="5"/>
  <c r="P302" i="5"/>
  <c r="A304" i="5"/>
  <c r="B304" i="5"/>
  <c r="C304" i="5"/>
  <c r="D304" i="5"/>
  <c r="E304" i="5"/>
  <c r="F304" i="5"/>
  <c r="G304" i="5"/>
  <c r="H304" i="5"/>
  <c r="I304" i="5"/>
  <c r="J304" i="5"/>
  <c r="K304" i="5"/>
  <c r="L304" i="5"/>
  <c r="M304" i="5"/>
  <c r="N304" i="5"/>
  <c r="O304" i="5"/>
  <c r="P304" i="5"/>
  <c r="O132" i="5"/>
  <c r="B132" i="5"/>
  <c r="L132" i="5"/>
  <c r="K132" i="5"/>
  <c r="J132" i="5"/>
  <c r="I132" i="5"/>
  <c r="H132" i="5"/>
  <c r="N132" i="5"/>
  <c r="G132" i="5"/>
  <c r="M132" i="5"/>
  <c r="F132" i="5"/>
  <c r="E132" i="5"/>
  <c r="D132" i="5"/>
  <c r="C132" i="5"/>
  <c r="A132" i="5"/>
  <c r="P132" i="5"/>
  <c r="A93" i="5"/>
  <c r="B93" i="5"/>
  <c r="C93" i="5"/>
  <c r="D93" i="5"/>
  <c r="E93" i="5"/>
  <c r="F93" i="5"/>
  <c r="G93" i="5"/>
  <c r="H93" i="5"/>
  <c r="I93" i="5"/>
  <c r="J93" i="5"/>
  <c r="K93" i="5"/>
  <c r="L93" i="5"/>
  <c r="M93" i="5"/>
  <c r="N93" i="5"/>
  <c r="O93" i="5"/>
  <c r="P93" i="5"/>
  <c r="A94" i="5"/>
  <c r="P94" i="5"/>
  <c r="O94" i="5"/>
  <c r="N94" i="5"/>
  <c r="M94" i="5"/>
  <c r="L94" i="5"/>
  <c r="K94" i="5"/>
  <c r="J94" i="5"/>
  <c r="I94" i="5"/>
  <c r="H94" i="5"/>
  <c r="G94" i="5"/>
  <c r="F94" i="5"/>
  <c r="E94" i="5"/>
  <c r="D94" i="5"/>
  <c r="C94" i="5"/>
  <c r="B94" i="5"/>
  <c r="O95" i="5"/>
  <c r="B95" i="5"/>
  <c r="C95" i="5"/>
  <c r="D95" i="5"/>
  <c r="E95" i="5"/>
  <c r="F95" i="5"/>
  <c r="G95" i="5"/>
  <c r="H95" i="5"/>
  <c r="P95" i="5"/>
  <c r="I95" i="5"/>
  <c r="J95" i="5"/>
  <c r="K95" i="5"/>
  <c r="L95" i="5"/>
  <c r="M95" i="5"/>
  <c r="N95" i="5"/>
  <c r="A95" i="5"/>
  <c r="I96" i="5"/>
  <c r="B96" i="5"/>
  <c r="C96" i="5"/>
  <c r="D96" i="5"/>
  <c r="E96" i="5"/>
  <c r="F96" i="5"/>
  <c r="G96" i="5"/>
  <c r="H96" i="5"/>
  <c r="J96" i="5"/>
  <c r="K96" i="5"/>
  <c r="L96" i="5"/>
  <c r="M96" i="5"/>
  <c r="N96" i="5"/>
  <c r="O96" i="5"/>
  <c r="P96" i="5"/>
  <c r="A96" i="5"/>
  <c r="I97" i="5"/>
  <c r="C97" i="5"/>
  <c r="H97" i="5"/>
  <c r="J97" i="5"/>
  <c r="E97" i="5"/>
  <c r="F97" i="5"/>
  <c r="G97" i="5"/>
  <c r="A97" i="5"/>
  <c r="K97" i="5"/>
  <c r="L97" i="5"/>
  <c r="M97" i="5"/>
  <c r="N97" i="5"/>
  <c r="O97" i="5"/>
  <c r="P97" i="5"/>
  <c r="B97" i="5"/>
  <c r="D97" i="5"/>
  <c r="L141" i="5"/>
  <c r="E141" i="5"/>
  <c r="O141" i="5"/>
  <c r="N141" i="5"/>
  <c r="M141" i="5"/>
  <c r="K141" i="5"/>
  <c r="J141" i="5"/>
  <c r="I141" i="5"/>
  <c r="H141" i="5"/>
  <c r="A141" i="5"/>
  <c r="B141" i="5"/>
  <c r="C141" i="5"/>
  <c r="D141" i="5"/>
  <c r="G141" i="5"/>
  <c r="F141" i="5"/>
  <c r="P141" i="5"/>
  <c r="E142" i="5"/>
  <c r="F142" i="5"/>
  <c r="A142" i="5"/>
  <c r="B142" i="5"/>
  <c r="C142" i="5"/>
  <c r="G142" i="5"/>
  <c r="H142" i="5"/>
  <c r="I142" i="5"/>
  <c r="J142" i="5"/>
  <c r="K142" i="5"/>
  <c r="L142" i="5"/>
  <c r="M142" i="5"/>
  <c r="N142" i="5"/>
  <c r="O142" i="5"/>
  <c r="P142" i="5"/>
  <c r="D142" i="5"/>
  <c r="D143" i="5"/>
  <c r="C143" i="5"/>
  <c r="L143" i="5"/>
  <c r="J143" i="5"/>
  <c r="B143" i="5"/>
  <c r="A143" i="5"/>
  <c r="E143" i="5"/>
  <c r="F143" i="5"/>
  <c r="G143" i="5"/>
  <c r="H143" i="5"/>
  <c r="I143" i="5"/>
  <c r="K143" i="5"/>
  <c r="M143" i="5"/>
  <c r="N143" i="5"/>
  <c r="O143" i="5"/>
  <c r="P143" i="5"/>
  <c r="A144" i="5"/>
  <c r="B144" i="5"/>
  <c r="C144" i="5"/>
  <c r="D144" i="5"/>
  <c r="E144" i="5"/>
  <c r="F144" i="5"/>
  <c r="G144" i="5"/>
  <c r="H144" i="5"/>
  <c r="I144" i="5"/>
  <c r="J144" i="5"/>
  <c r="K144" i="5"/>
  <c r="L144" i="5"/>
  <c r="M144" i="5"/>
  <c r="N144" i="5"/>
  <c r="O144" i="5"/>
  <c r="P144" i="5"/>
  <c r="P145" i="5"/>
  <c r="B145" i="5"/>
  <c r="A145" i="5"/>
  <c r="C145" i="5"/>
  <c r="D145" i="5"/>
  <c r="E145" i="5"/>
  <c r="F145" i="5"/>
  <c r="G145" i="5"/>
  <c r="H145" i="5"/>
  <c r="I145" i="5"/>
  <c r="J145" i="5"/>
  <c r="K145" i="5"/>
  <c r="L145" i="5"/>
  <c r="M145" i="5"/>
  <c r="N145" i="5"/>
  <c r="O145" i="5"/>
  <c r="B146" i="5"/>
  <c r="A146" i="5"/>
  <c r="E146" i="5"/>
  <c r="F146" i="5"/>
  <c r="G146" i="5"/>
  <c r="H146" i="5"/>
  <c r="I146" i="5"/>
  <c r="J146" i="5"/>
  <c r="K146" i="5"/>
  <c r="D146" i="5"/>
  <c r="L146" i="5"/>
  <c r="C146" i="5"/>
  <c r="M146" i="5"/>
  <c r="N146" i="5"/>
  <c r="O146" i="5"/>
  <c r="P146" i="5"/>
  <c r="C147" i="5"/>
  <c r="B147" i="5"/>
  <c r="P147" i="5"/>
  <c r="O147" i="5"/>
  <c r="N147" i="5"/>
  <c r="M147" i="5"/>
  <c r="L147" i="5"/>
  <c r="K147" i="5"/>
  <c r="J147" i="5"/>
  <c r="A147" i="5"/>
  <c r="I147" i="5"/>
  <c r="H147" i="5"/>
  <c r="G147" i="5"/>
  <c r="F147" i="5"/>
  <c r="E147" i="5"/>
  <c r="D147" i="5"/>
  <c r="H148" i="5"/>
  <c r="I148" i="5"/>
  <c r="G148" i="5"/>
  <c r="J148" i="5"/>
  <c r="K148" i="5"/>
  <c r="L148" i="5"/>
  <c r="M148" i="5"/>
  <c r="N148" i="5"/>
  <c r="O148" i="5"/>
  <c r="P148" i="5"/>
  <c r="A148" i="5"/>
  <c r="B148" i="5"/>
  <c r="C148" i="5"/>
  <c r="D148" i="5"/>
  <c r="E148" i="5"/>
  <c r="F148" i="5"/>
  <c r="A190" i="5"/>
  <c r="B190" i="5"/>
  <c r="C190" i="5"/>
  <c r="D190" i="5"/>
  <c r="E190" i="5"/>
  <c r="F190" i="5"/>
  <c r="G190" i="5"/>
  <c r="H190" i="5"/>
  <c r="P190" i="5"/>
  <c r="I190" i="5"/>
  <c r="J190" i="5"/>
  <c r="K190" i="5"/>
  <c r="L190" i="5"/>
  <c r="M190" i="5"/>
  <c r="N190" i="5"/>
  <c r="O190" i="5"/>
  <c r="A192" i="5"/>
  <c r="P192" i="5"/>
  <c r="B192" i="5"/>
  <c r="C192" i="5"/>
  <c r="D192" i="5"/>
  <c r="E192" i="5"/>
  <c r="F192" i="5"/>
  <c r="G192" i="5"/>
  <c r="H192" i="5"/>
  <c r="I192" i="5"/>
  <c r="J192" i="5"/>
  <c r="K192" i="5"/>
  <c r="L192" i="5"/>
  <c r="M192" i="5"/>
  <c r="N192" i="5"/>
  <c r="O192" i="5"/>
  <c r="P195" i="5"/>
  <c r="A195" i="5"/>
  <c r="B195" i="5"/>
  <c r="C195" i="5"/>
  <c r="D195" i="5"/>
  <c r="E195" i="5"/>
  <c r="F195" i="5"/>
  <c r="G195" i="5"/>
  <c r="H195" i="5"/>
  <c r="I195" i="5"/>
  <c r="J195" i="5"/>
  <c r="K195" i="5"/>
  <c r="L195" i="5"/>
  <c r="M195" i="5"/>
  <c r="N195" i="5"/>
  <c r="O195" i="5"/>
  <c r="P198" i="5"/>
  <c r="A198" i="5"/>
  <c r="B198" i="5"/>
  <c r="C198" i="5"/>
  <c r="D198" i="5"/>
  <c r="E198" i="5"/>
  <c r="F198" i="5"/>
  <c r="G198" i="5"/>
  <c r="H198" i="5"/>
  <c r="O198" i="5"/>
  <c r="N198" i="5"/>
  <c r="M198" i="5"/>
  <c r="L198" i="5"/>
  <c r="K198" i="5"/>
  <c r="J198" i="5"/>
  <c r="I198" i="5"/>
  <c r="H200" i="5"/>
  <c r="I200" i="5"/>
  <c r="J200" i="5"/>
  <c r="K200" i="5"/>
  <c r="L200" i="5"/>
  <c r="M200" i="5"/>
  <c r="N200" i="5"/>
  <c r="O200" i="5"/>
  <c r="G200" i="5"/>
  <c r="F200" i="5"/>
  <c r="E200" i="5"/>
  <c r="D200" i="5"/>
  <c r="C200" i="5"/>
  <c r="B200" i="5"/>
  <c r="A200" i="5"/>
  <c r="P200" i="5"/>
  <c r="H202" i="5"/>
  <c r="A202" i="5"/>
  <c r="B202" i="5"/>
  <c r="C202" i="5"/>
  <c r="D202" i="5"/>
  <c r="E202" i="5"/>
  <c r="F202" i="5"/>
  <c r="G202" i="5"/>
  <c r="I202" i="5"/>
  <c r="J202" i="5"/>
  <c r="K202" i="5"/>
  <c r="L202" i="5"/>
  <c r="M202" i="5"/>
  <c r="N202" i="5"/>
  <c r="O202" i="5"/>
  <c r="P202" i="5"/>
  <c r="A207" i="5"/>
  <c r="B207" i="5"/>
  <c r="C207" i="5"/>
  <c r="D207" i="5"/>
  <c r="E207" i="5"/>
  <c r="F207" i="5"/>
  <c r="G207" i="5"/>
  <c r="H207" i="5"/>
  <c r="I207" i="5"/>
  <c r="J207" i="5"/>
  <c r="K207" i="5"/>
  <c r="L207" i="5"/>
  <c r="M207" i="5"/>
  <c r="N207" i="5"/>
  <c r="O207" i="5"/>
  <c r="P207" i="5"/>
  <c r="I209" i="5"/>
  <c r="B209" i="5"/>
  <c r="C209" i="5"/>
  <c r="D209" i="5"/>
  <c r="E209" i="5"/>
  <c r="F209" i="5"/>
  <c r="G209" i="5"/>
  <c r="H209" i="5"/>
  <c r="A209" i="5"/>
  <c r="J209" i="5"/>
  <c r="K209" i="5"/>
  <c r="L209" i="5"/>
  <c r="M209" i="5"/>
  <c r="N209" i="5"/>
  <c r="O209" i="5"/>
  <c r="P209" i="5"/>
  <c r="D211" i="5"/>
  <c r="A211" i="5"/>
  <c r="B211" i="5"/>
  <c r="P211" i="5"/>
  <c r="O211" i="5"/>
  <c r="N211" i="5"/>
  <c r="M211" i="5"/>
  <c r="L211" i="5"/>
  <c r="C211" i="5"/>
  <c r="K211" i="5"/>
  <c r="J211" i="5"/>
  <c r="I211" i="5"/>
  <c r="H211" i="5"/>
  <c r="G211" i="5"/>
  <c r="F211" i="5"/>
  <c r="E211" i="5"/>
  <c r="P213" i="5"/>
  <c r="O213" i="5"/>
  <c r="N213" i="5"/>
  <c r="M213" i="5"/>
  <c r="L213" i="5"/>
  <c r="K213" i="5"/>
  <c r="J213" i="5"/>
  <c r="I213" i="5"/>
  <c r="G213" i="5"/>
  <c r="F213" i="5"/>
  <c r="E213" i="5"/>
  <c r="D213" i="5"/>
  <c r="C213" i="5"/>
  <c r="B213" i="5"/>
  <c r="A213" i="5"/>
  <c r="H213" i="5"/>
  <c r="N215" i="5"/>
  <c r="B215" i="5"/>
  <c r="A215" i="5"/>
  <c r="P215" i="5"/>
  <c r="M215" i="5"/>
  <c r="L215" i="5"/>
  <c r="K215" i="5"/>
  <c r="J215" i="5"/>
  <c r="I215" i="5"/>
  <c r="H215" i="5"/>
  <c r="G215" i="5"/>
  <c r="F215" i="5"/>
  <c r="E215" i="5"/>
  <c r="D215" i="5"/>
  <c r="C215" i="5"/>
  <c r="O215" i="5"/>
  <c r="A216" i="5"/>
  <c r="B216" i="5"/>
  <c r="C216" i="5"/>
  <c r="D216" i="5"/>
  <c r="E216" i="5"/>
  <c r="F216" i="5"/>
  <c r="G216" i="5"/>
  <c r="H216" i="5"/>
  <c r="I216" i="5"/>
  <c r="J216" i="5"/>
  <c r="K216" i="5"/>
  <c r="L216" i="5"/>
  <c r="M216" i="5"/>
  <c r="N216" i="5"/>
  <c r="O216" i="5"/>
  <c r="P216" i="5"/>
  <c r="N218" i="5"/>
  <c r="A218" i="5"/>
  <c r="O218" i="5"/>
  <c r="P218" i="5"/>
  <c r="B218" i="5"/>
  <c r="C218" i="5"/>
  <c r="D218" i="5"/>
  <c r="E218" i="5"/>
  <c r="F218" i="5"/>
  <c r="G218" i="5"/>
  <c r="H218" i="5"/>
  <c r="I218" i="5"/>
  <c r="J218" i="5"/>
  <c r="K218" i="5"/>
  <c r="L218" i="5"/>
  <c r="M218" i="5"/>
  <c r="N220" i="5"/>
  <c r="O220" i="5"/>
  <c r="P220" i="5"/>
  <c r="A220" i="5"/>
  <c r="B220" i="5"/>
  <c r="C220" i="5"/>
  <c r="D220" i="5"/>
  <c r="E220" i="5"/>
  <c r="F220" i="5"/>
  <c r="G220" i="5"/>
  <c r="H220" i="5"/>
  <c r="I220" i="5"/>
  <c r="J220" i="5"/>
  <c r="K220" i="5"/>
  <c r="L220" i="5"/>
  <c r="M220" i="5"/>
  <c r="N222" i="5"/>
  <c r="O222" i="5"/>
  <c r="P222" i="5"/>
  <c r="A222" i="5"/>
  <c r="B222" i="5"/>
  <c r="C222" i="5"/>
  <c r="D222" i="5"/>
  <c r="E222" i="5"/>
  <c r="F222" i="5"/>
  <c r="G222" i="5"/>
  <c r="H222" i="5"/>
  <c r="I222" i="5"/>
  <c r="J222" i="5"/>
  <c r="K222" i="5"/>
  <c r="L222" i="5"/>
  <c r="M222" i="5"/>
  <c r="N224" i="5"/>
  <c r="O224" i="5"/>
  <c r="M224" i="5"/>
  <c r="A224" i="5"/>
  <c r="B224" i="5"/>
  <c r="C224" i="5"/>
  <c r="D224" i="5"/>
  <c r="E224" i="5"/>
  <c r="F224" i="5"/>
  <c r="G224" i="5"/>
  <c r="H224" i="5"/>
  <c r="I224" i="5"/>
  <c r="J224" i="5"/>
  <c r="K224" i="5"/>
  <c r="L224" i="5"/>
  <c r="P224" i="5"/>
  <c r="N226" i="5"/>
  <c r="O226" i="5"/>
  <c r="P226" i="5"/>
  <c r="A226" i="5"/>
  <c r="B226" i="5"/>
  <c r="C226" i="5"/>
  <c r="D226" i="5"/>
  <c r="E226" i="5"/>
  <c r="F226" i="5"/>
  <c r="G226" i="5"/>
  <c r="H226" i="5"/>
  <c r="I226" i="5"/>
  <c r="J226" i="5"/>
  <c r="K226" i="5"/>
  <c r="L226" i="5"/>
  <c r="M226" i="5"/>
  <c r="N228" i="5"/>
  <c r="O228" i="5"/>
  <c r="P228" i="5"/>
  <c r="A228" i="5"/>
  <c r="B228" i="5"/>
  <c r="C228" i="5"/>
  <c r="D228" i="5"/>
  <c r="E228" i="5"/>
  <c r="F228" i="5"/>
  <c r="G228" i="5"/>
  <c r="H228" i="5"/>
  <c r="I228" i="5"/>
  <c r="J228" i="5"/>
  <c r="K228" i="5"/>
  <c r="L228" i="5"/>
  <c r="M228" i="5"/>
  <c r="O229" i="5"/>
  <c r="N229" i="5"/>
  <c r="M229" i="5"/>
  <c r="A229" i="5"/>
  <c r="B229" i="5"/>
  <c r="C229" i="5"/>
  <c r="D229" i="5"/>
  <c r="E229" i="5"/>
  <c r="F229" i="5"/>
  <c r="G229" i="5"/>
  <c r="H229" i="5"/>
  <c r="I229" i="5"/>
  <c r="J229" i="5"/>
  <c r="K229" i="5"/>
  <c r="L229" i="5"/>
  <c r="P229" i="5"/>
  <c r="O231" i="5"/>
  <c r="N231" i="5"/>
  <c r="M231" i="5"/>
  <c r="L231" i="5"/>
  <c r="K231" i="5"/>
  <c r="J231" i="5"/>
  <c r="I231" i="5"/>
  <c r="H231" i="5"/>
  <c r="G231" i="5"/>
  <c r="F231" i="5"/>
  <c r="E231" i="5"/>
  <c r="D231" i="5"/>
  <c r="C231" i="5"/>
  <c r="B231" i="5"/>
  <c r="A231" i="5"/>
  <c r="P231" i="5"/>
  <c r="A233" i="5"/>
  <c r="O233" i="5"/>
  <c r="P233" i="5"/>
  <c r="B233" i="5"/>
  <c r="C233" i="5"/>
  <c r="D233" i="5"/>
  <c r="E233" i="5"/>
  <c r="F233" i="5"/>
  <c r="G233" i="5"/>
  <c r="H233" i="5"/>
  <c r="I233" i="5"/>
  <c r="J233" i="5"/>
  <c r="K233" i="5"/>
  <c r="L233" i="5"/>
  <c r="M233" i="5"/>
  <c r="N233" i="5"/>
  <c r="N235" i="5"/>
  <c r="O235" i="5"/>
  <c r="M235" i="5"/>
  <c r="L235" i="5"/>
  <c r="K235" i="5"/>
  <c r="J235" i="5"/>
  <c r="I235" i="5"/>
  <c r="H235" i="5"/>
  <c r="G235" i="5"/>
  <c r="F235" i="5"/>
  <c r="E235" i="5"/>
  <c r="D235" i="5"/>
  <c r="C235" i="5"/>
  <c r="B235" i="5"/>
  <c r="A235" i="5"/>
  <c r="P235" i="5"/>
  <c r="E237" i="5"/>
  <c r="A237" i="5"/>
  <c r="G237" i="5"/>
  <c r="H237" i="5"/>
  <c r="I237" i="5"/>
  <c r="J237" i="5"/>
  <c r="K237" i="5"/>
  <c r="L237" i="5"/>
  <c r="M237" i="5"/>
  <c r="N237" i="5"/>
  <c r="O237" i="5"/>
  <c r="P237" i="5"/>
  <c r="B237" i="5"/>
  <c r="C237" i="5"/>
  <c r="D237" i="5"/>
  <c r="F237" i="5"/>
  <c r="F238" i="5"/>
  <c r="E238" i="5"/>
  <c r="G238" i="5"/>
  <c r="D238" i="5"/>
  <c r="L238" i="5"/>
  <c r="M238" i="5"/>
  <c r="N238" i="5"/>
  <c r="H238" i="5"/>
  <c r="P238" i="5"/>
  <c r="I238" i="5"/>
  <c r="J238" i="5"/>
  <c r="K238" i="5"/>
  <c r="A238" i="5"/>
  <c r="B238" i="5"/>
  <c r="C238" i="5"/>
  <c r="O238" i="5"/>
  <c r="D240" i="5"/>
  <c r="F240" i="5"/>
  <c r="C240" i="5"/>
  <c r="B240" i="5"/>
  <c r="A240" i="5"/>
  <c r="G240" i="5"/>
  <c r="H240" i="5"/>
  <c r="I240" i="5"/>
  <c r="J240" i="5"/>
  <c r="K240" i="5"/>
  <c r="L240" i="5"/>
  <c r="M240" i="5"/>
  <c r="N240" i="5"/>
  <c r="O240" i="5"/>
  <c r="P240" i="5"/>
  <c r="E240" i="5"/>
  <c r="H242" i="5"/>
  <c r="E242" i="5"/>
  <c r="I242" i="5"/>
  <c r="J242" i="5"/>
  <c r="K242" i="5"/>
  <c r="L242" i="5"/>
  <c r="M242" i="5"/>
  <c r="N242" i="5"/>
  <c r="O242" i="5"/>
  <c r="P242" i="5"/>
  <c r="G242" i="5"/>
  <c r="F242" i="5"/>
  <c r="A242" i="5"/>
  <c r="B242" i="5"/>
  <c r="C242" i="5"/>
  <c r="D242" i="5"/>
  <c r="N244" i="5"/>
  <c r="F244" i="5"/>
  <c r="A244" i="5"/>
  <c r="B244" i="5"/>
  <c r="C244" i="5"/>
  <c r="D244" i="5"/>
  <c r="P244" i="5"/>
  <c r="O244" i="5"/>
  <c r="E244" i="5"/>
  <c r="M244" i="5"/>
  <c r="L244" i="5"/>
  <c r="K244" i="5"/>
  <c r="J244" i="5"/>
  <c r="I244" i="5"/>
  <c r="H244" i="5"/>
  <c r="G244" i="5"/>
  <c r="N246" i="5"/>
  <c r="M246" i="5"/>
  <c r="A246" i="5"/>
  <c r="B246" i="5"/>
  <c r="C246" i="5"/>
  <c r="D246" i="5"/>
  <c r="L246" i="5"/>
  <c r="K246" i="5"/>
  <c r="J246" i="5"/>
  <c r="I246" i="5"/>
  <c r="H246" i="5"/>
  <c r="G246" i="5"/>
  <c r="F246" i="5"/>
  <c r="P246" i="5"/>
  <c r="O246" i="5"/>
  <c r="L248" i="5"/>
  <c r="O248" i="5"/>
  <c r="P248" i="5"/>
  <c r="J248" i="5"/>
  <c r="A248" i="5"/>
  <c r="B248" i="5"/>
  <c r="C248" i="5"/>
  <c r="D248" i="5"/>
  <c r="E248" i="5"/>
  <c r="F248" i="5"/>
  <c r="G248" i="5"/>
  <c r="H248" i="5"/>
  <c r="I248" i="5"/>
  <c r="K248" i="5"/>
  <c r="M248" i="5"/>
  <c r="N248" i="5"/>
  <c r="M250" i="5"/>
  <c r="L250" i="5"/>
  <c r="J250" i="5"/>
  <c r="A250" i="5"/>
  <c r="B250" i="5"/>
  <c r="C250" i="5"/>
  <c r="D250" i="5"/>
  <c r="E250" i="5"/>
  <c r="F250" i="5"/>
  <c r="G250" i="5"/>
  <c r="H250" i="5"/>
  <c r="I250" i="5"/>
  <c r="N250" i="5"/>
  <c r="O250" i="5"/>
  <c r="P250" i="5"/>
  <c r="K250" i="5"/>
  <c r="B255" i="5"/>
  <c r="C255" i="5"/>
  <c r="D255" i="5"/>
  <c r="E255" i="5"/>
  <c r="F255" i="5"/>
  <c r="G255" i="5"/>
  <c r="H255" i="5"/>
  <c r="I255" i="5"/>
  <c r="J255" i="5"/>
  <c r="A255" i="5"/>
  <c r="L255" i="5"/>
  <c r="M255" i="5"/>
  <c r="N255" i="5"/>
  <c r="O255" i="5"/>
  <c r="P255" i="5"/>
  <c r="K255" i="5"/>
  <c r="L257" i="5"/>
  <c r="B257" i="5"/>
  <c r="C257" i="5"/>
  <c r="D257" i="5"/>
  <c r="E257" i="5"/>
  <c r="F257" i="5"/>
  <c r="G257" i="5"/>
  <c r="H257" i="5"/>
  <c r="A257" i="5"/>
  <c r="I257" i="5"/>
  <c r="J257" i="5"/>
  <c r="K257" i="5"/>
  <c r="P257" i="5"/>
  <c r="O257" i="5"/>
  <c r="N257" i="5"/>
  <c r="M257" i="5"/>
  <c r="D261" i="5"/>
  <c r="A261" i="5"/>
  <c r="B261" i="5"/>
  <c r="C261" i="5"/>
  <c r="E261" i="5"/>
  <c r="F261" i="5"/>
  <c r="G261" i="5"/>
  <c r="H261" i="5"/>
  <c r="I261" i="5"/>
  <c r="J261" i="5"/>
  <c r="K261" i="5"/>
  <c r="M261" i="5"/>
  <c r="N261" i="5"/>
  <c r="O261" i="5"/>
  <c r="P261" i="5"/>
  <c r="L261" i="5"/>
  <c r="A263" i="5"/>
  <c r="C263" i="5"/>
  <c r="D263" i="5"/>
  <c r="E263" i="5"/>
  <c r="F263" i="5"/>
  <c r="G263" i="5"/>
  <c r="H263" i="5"/>
  <c r="I263" i="5"/>
  <c r="J263" i="5"/>
  <c r="K263" i="5"/>
  <c r="L263" i="5"/>
  <c r="M263" i="5"/>
  <c r="N263" i="5"/>
  <c r="O263" i="5"/>
  <c r="P263" i="5"/>
  <c r="B263" i="5"/>
  <c r="A297" i="5"/>
  <c r="M297" i="5"/>
  <c r="B297" i="5"/>
  <c r="C297" i="5"/>
  <c r="D297" i="5"/>
  <c r="E297" i="5"/>
  <c r="F297" i="5"/>
  <c r="G297" i="5"/>
  <c r="H297" i="5"/>
  <c r="I297" i="5"/>
  <c r="J297" i="5"/>
  <c r="K297" i="5"/>
  <c r="L297" i="5"/>
  <c r="P297" i="5"/>
  <c r="O297" i="5"/>
  <c r="N297" i="5"/>
  <c r="B300" i="5"/>
  <c r="M300" i="5"/>
  <c r="O300" i="5"/>
  <c r="D300" i="5"/>
  <c r="E300" i="5"/>
  <c r="F300" i="5"/>
  <c r="G300" i="5"/>
  <c r="H300" i="5"/>
  <c r="I300" i="5"/>
  <c r="J300" i="5"/>
  <c r="K300" i="5"/>
  <c r="L300" i="5"/>
  <c r="P300" i="5"/>
  <c r="C300" i="5"/>
  <c r="A300" i="5"/>
  <c r="N300" i="5"/>
  <c r="L303" i="5"/>
  <c r="E303" i="5"/>
  <c r="F303" i="5"/>
  <c r="G303" i="5"/>
  <c r="H303" i="5"/>
  <c r="I303" i="5"/>
  <c r="J303" i="5"/>
  <c r="K303" i="5"/>
  <c r="C303" i="5"/>
  <c r="M303" i="5"/>
  <c r="N303" i="5"/>
  <c r="O303" i="5"/>
  <c r="P303" i="5"/>
  <c r="A303" i="5"/>
  <c r="B303" i="5"/>
  <c r="D303" i="5"/>
  <c r="C305" i="5"/>
  <c r="E305" i="5"/>
  <c r="F305" i="5"/>
  <c r="G305" i="5"/>
  <c r="H305" i="5"/>
  <c r="I305" i="5"/>
  <c r="J305" i="5"/>
  <c r="K305" i="5"/>
  <c r="L305" i="5"/>
  <c r="M305" i="5"/>
  <c r="N305" i="5"/>
  <c r="O305" i="5"/>
  <c r="P305" i="5"/>
  <c r="B305" i="5"/>
  <c r="A305" i="5"/>
  <c r="D305" i="5"/>
  <c r="C203" i="5"/>
  <c r="B203" i="5"/>
  <c r="A203" i="5"/>
  <c r="P203" i="5"/>
  <c r="O203" i="5"/>
  <c r="N203" i="5"/>
  <c r="M203" i="5"/>
  <c r="L203" i="5"/>
  <c r="K203" i="5"/>
  <c r="J203" i="5"/>
  <c r="I203" i="5"/>
  <c r="H203" i="5"/>
  <c r="G203" i="5"/>
  <c r="F203" i="5"/>
  <c r="E203" i="5"/>
  <c r="D203" i="5"/>
  <c r="P149" i="5"/>
  <c r="A149" i="5"/>
  <c r="B149" i="5"/>
  <c r="C149" i="5"/>
  <c r="D149" i="5"/>
  <c r="E149" i="5"/>
  <c r="F149" i="5"/>
  <c r="G149" i="5"/>
  <c r="H149" i="5"/>
  <c r="I149" i="5"/>
  <c r="J149" i="5"/>
  <c r="K149" i="5"/>
  <c r="L149" i="5"/>
  <c r="M149" i="5"/>
  <c r="N149" i="5"/>
  <c r="O149" i="5"/>
  <c r="P150" i="5"/>
  <c r="A150" i="5"/>
  <c r="O150" i="5"/>
  <c r="N150" i="5"/>
  <c r="M150" i="5"/>
  <c r="L150" i="5"/>
  <c r="K150" i="5"/>
  <c r="J150" i="5"/>
  <c r="I150" i="5"/>
  <c r="H150" i="5"/>
  <c r="G150" i="5"/>
  <c r="F150" i="5"/>
  <c r="E150" i="5"/>
  <c r="D150" i="5"/>
  <c r="C150" i="5"/>
  <c r="B150" i="5"/>
  <c r="P151" i="5"/>
  <c r="B151" i="5"/>
  <c r="C151" i="5"/>
  <c r="D151" i="5"/>
  <c r="E151" i="5"/>
  <c r="F151" i="5"/>
  <c r="G151" i="5"/>
  <c r="H151" i="5"/>
  <c r="A151" i="5"/>
  <c r="I151" i="5"/>
  <c r="J151" i="5"/>
  <c r="K151" i="5"/>
  <c r="L151" i="5"/>
  <c r="M151" i="5"/>
  <c r="N151" i="5"/>
  <c r="O151" i="5"/>
  <c r="H152" i="5"/>
  <c r="A152" i="5"/>
  <c r="B152" i="5"/>
  <c r="C152" i="5"/>
  <c r="D152" i="5"/>
  <c r="E152" i="5"/>
  <c r="F152" i="5"/>
  <c r="G152" i="5"/>
  <c r="I152" i="5"/>
  <c r="J152" i="5"/>
  <c r="K152" i="5"/>
  <c r="L152" i="5"/>
  <c r="M152" i="5"/>
  <c r="N152" i="5"/>
  <c r="O152" i="5"/>
  <c r="P152" i="5"/>
  <c r="A153" i="5"/>
  <c r="B153" i="5"/>
  <c r="P153" i="5"/>
  <c r="O153" i="5"/>
  <c r="N153" i="5"/>
  <c r="M153" i="5"/>
  <c r="L153" i="5"/>
  <c r="K153" i="5"/>
  <c r="J153" i="5"/>
  <c r="I153" i="5"/>
  <c r="H153" i="5"/>
  <c r="G153" i="5"/>
  <c r="F153" i="5"/>
  <c r="E153" i="5"/>
  <c r="D153" i="5"/>
  <c r="C153" i="5"/>
  <c r="P154" i="5"/>
  <c r="A154" i="5"/>
  <c r="N154" i="5"/>
  <c r="M154" i="5"/>
  <c r="L154" i="5"/>
  <c r="K154" i="5"/>
  <c r="J154" i="5"/>
  <c r="I154" i="5"/>
  <c r="H154" i="5"/>
  <c r="G154" i="5"/>
  <c r="F154" i="5"/>
  <c r="E154" i="5"/>
  <c r="D154" i="5"/>
  <c r="C154" i="5"/>
  <c r="B154" i="5"/>
  <c r="O154" i="5"/>
  <c r="P155" i="5"/>
  <c r="N155" i="5"/>
  <c r="M155" i="5"/>
  <c r="L155" i="5"/>
  <c r="K155" i="5"/>
  <c r="O155" i="5"/>
  <c r="J155" i="5"/>
  <c r="I155" i="5"/>
  <c r="H155" i="5"/>
  <c r="G155" i="5"/>
  <c r="F155" i="5"/>
  <c r="E155" i="5"/>
  <c r="D155" i="5"/>
  <c r="C155" i="5"/>
  <c r="B155" i="5"/>
  <c r="A155" i="5"/>
  <c r="A156" i="5"/>
  <c r="N156" i="5"/>
  <c r="O156" i="5"/>
  <c r="P156" i="5"/>
  <c r="L156" i="5"/>
  <c r="K156" i="5"/>
  <c r="J156" i="5"/>
  <c r="I156" i="5"/>
  <c r="H156" i="5"/>
  <c r="G156" i="5"/>
  <c r="F156" i="5"/>
  <c r="E156" i="5"/>
  <c r="D156" i="5"/>
  <c r="C156" i="5"/>
  <c r="B156" i="5"/>
  <c r="M156" i="5"/>
  <c r="P157" i="5"/>
  <c r="O157" i="5"/>
  <c r="M157" i="5"/>
  <c r="L157" i="5"/>
  <c r="K157" i="5"/>
  <c r="J157" i="5"/>
  <c r="I157" i="5"/>
  <c r="H157" i="5"/>
  <c r="G157" i="5"/>
  <c r="F157" i="5"/>
  <c r="E157" i="5"/>
  <c r="D157" i="5"/>
  <c r="N157" i="5"/>
  <c r="C157" i="5"/>
  <c r="B157" i="5"/>
  <c r="A157" i="5"/>
  <c r="B158" i="5"/>
  <c r="A158" i="5"/>
  <c r="P158" i="5"/>
  <c r="O158" i="5"/>
  <c r="C158" i="5"/>
  <c r="D158" i="5"/>
  <c r="E158" i="5"/>
  <c r="F158" i="5"/>
  <c r="G158" i="5"/>
  <c r="H158" i="5"/>
  <c r="I158" i="5"/>
  <c r="J158" i="5"/>
  <c r="K158" i="5"/>
  <c r="L158" i="5"/>
  <c r="M158" i="5"/>
  <c r="N158" i="5"/>
  <c r="G159" i="5"/>
  <c r="A159" i="5"/>
  <c r="B159" i="5"/>
  <c r="C159" i="5"/>
  <c r="D159" i="5"/>
  <c r="E159" i="5"/>
  <c r="F159" i="5"/>
  <c r="H159" i="5"/>
  <c r="I159" i="5"/>
  <c r="J159" i="5"/>
  <c r="K159" i="5"/>
  <c r="L159" i="5"/>
  <c r="M159" i="5"/>
  <c r="N159" i="5"/>
  <c r="O159" i="5"/>
  <c r="P159" i="5"/>
  <c r="I160" i="5"/>
  <c r="B160" i="5"/>
  <c r="C160" i="5"/>
  <c r="D160" i="5"/>
  <c r="E160" i="5"/>
  <c r="F160" i="5"/>
  <c r="G160" i="5"/>
  <c r="H160" i="5"/>
  <c r="A160" i="5"/>
  <c r="J160" i="5"/>
  <c r="K160" i="5"/>
  <c r="L160" i="5"/>
  <c r="M160" i="5"/>
  <c r="N160" i="5"/>
  <c r="O160" i="5"/>
  <c r="P160" i="5"/>
  <c r="K161" i="5"/>
  <c r="J161" i="5"/>
  <c r="I161" i="5"/>
  <c r="H161" i="5"/>
  <c r="G161" i="5"/>
  <c r="F161" i="5"/>
  <c r="E161" i="5"/>
  <c r="D161" i="5"/>
  <c r="C161" i="5"/>
  <c r="B161" i="5"/>
  <c r="A161" i="5"/>
  <c r="L161" i="5"/>
  <c r="M161" i="5"/>
  <c r="P161" i="5"/>
  <c r="N161" i="5"/>
  <c r="O161" i="5"/>
  <c r="B162" i="5"/>
  <c r="F162" i="5"/>
  <c r="C162" i="5"/>
  <c r="E162" i="5"/>
  <c r="A162" i="5"/>
  <c r="P162" i="5"/>
  <c r="O162" i="5"/>
  <c r="N162" i="5"/>
  <c r="M162" i="5"/>
  <c r="L162" i="5"/>
  <c r="K162" i="5"/>
  <c r="J162" i="5"/>
  <c r="I162" i="5"/>
  <c r="H162" i="5"/>
  <c r="G162" i="5"/>
  <c r="D162" i="5"/>
  <c r="F163" i="5"/>
  <c r="G163" i="5"/>
  <c r="H163" i="5"/>
  <c r="I163" i="5"/>
  <c r="J163" i="5"/>
  <c r="K163" i="5"/>
  <c r="L163" i="5"/>
  <c r="M163" i="5"/>
  <c r="N163" i="5"/>
  <c r="O163" i="5"/>
  <c r="P163" i="5"/>
  <c r="A163" i="5"/>
  <c r="B163" i="5"/>
  <c r="C163" i="5"/>
  <c r="D163" i="5"/>
  <c r="E163" i="5"/>
  <c r="E164" i="5"/>
  <c r="H164" i="5"/>
  <c r="F164" i="5"/>
  <c r="G164" i="5"/>
  <c r="B164" i="5"/>
  <c r="A164" i="5"/>
  <c r="P164" i="5"/>
  <c r="O164" i="5"/>
  <c r="D164" i="5"/>
  <c r="N164" i="5"/>
  <c r="M164" i="5"/>
  <c r="L164" i="5"/>
  <c r="K164" i="5"/>
  <c r="J164" i="5"/>
  <c r="I164" i="5"/>
  <c r="C164" i="5"/>
  <c r="E165" i="5"/>
  <c r="F165" i="5"/>
  <c r="G165" i="5"/>
  <c r="H165" i="5"/>
  <c r="I165" i="5"/>
  <c r="J165" i="5"/>
  <c r="K165" i="5"/>
  <c r="M165" i="5"/>
  <c r="L165" i="5"/>
  <c r="N165" i="5"/>
  <c r="A165" i="5"/>
  <c r="B165" i="5"/>
  <c r="O165" i="5"/>
  <c r="C165" i="5"/>
  <c r="P165" i="5"/>
  <c r="D165" i="5"/>
  <c r="L166" i="5"/>
  <c r="P166" i="5"/>
  <c r="O166" i="5"/>
  <c r="N166" i="5"/>
  <c r="M166" i="5"/>
  <c r="K166" i="5"/>
  <c r="J166" i="5"/>
  <c r="I166" i="5"/>
  <c r="H166" i="5"/>
  <c r="G166" i="5"/>
  <c r="F166" i="5"/>
  <c r="E166" i="5"/>
  <c r="D166" i="5"/>
  <c r="A166" i="5"/>
  <c r="B166" i="5"/>
  <c r="C166" i="5"/>
  <c r="C167" i="5"/>
  <c r="P167" i="5"/>
  <c r="B167" i="5"/>
  <c r="A167" i="5"/>
  <c r="D167" i="5"/>
  <c r="E167" i="5"/>
  <c r="F167" i="5"/>
  <c r="G167" i="5"/>
  <c r="H167" i="5"/>
  <c r="I167" i="5"/>
  <c r="J167" i="5"/>
  <c r="K167" i="5"/>
  <c r="L167" i="5"/>
  <c r="M167" i="5"/>
  <c r="N167" i="5"/>
  <c r="O167" i="5"/>
  <c r="D168" i="5"/>
  <c r="P168" i="5"/>
  <c r="O168" i="5"/>
  <c r="N168" i="5"/>
  <c r="M168" i="5"/>
  <c r="L168" i="5"/>
  <c r="K168" i="5"/>
  <c r="J168" i="5"/>
  <c r="I168" i="5"/>
  <c r="H168" i="5"/>
  <c r="G168" i="5"/>
  <c r="F168" i="5"/>
  <c r="E168" i="5"/>
  <c r="B168" i="5"/>
  <c r="A168" i="5"/>
  <c r="C168" i="5"/>
  <c r="B169" i="5"/>
  <c r="P169" i="5"/>
  <c r="O169" i="5"/>
  <c r="N169" i="5"/>
  <c r="M169" i="5"/>
  <c r="L169" i="5"/>
  <c r="K169" i="5"/>
  <c r="J169" i="5"/>
  <c r="I169" i="5"/>
  <c r="H169" i="5"/>
  <c r="G169" i="5"/>
  <c r="F169" i="5"/>
  <c r="E169" i="5"/>
  <c r="A169" i="5"/>
  <c r="C169" i="5"/>
  <c r="D169" i="5"/>
  <c r="P170" i="5"/>
  <c r="O170" i="5"/>
  <c r="K170" i="5"/>
  <c r="J170" i="5"/>
  <c r="I170" i="5"/>
  <c r="H170" i="5"/>
  <c r="G170" i="5"/>
  <c r="F170" i="5"/>
  <c r="E170" i="5"/>
  <c r="D170" i="5"/>
  <c r="C170" i="5"/>
  <c r="B170" i="5"/>
  <c r="A170" i="5"/>
  <c r="L170" i="5"/>
  <c r="M170" i="5"/>
  <c r="N170" i="5"/>
  <c r="P171" i="5"/>
  <c r="A171" i="5"/>
  <c r="B171" i="5"/>
  <c r="C171" i="5"/>
  <c r="D171" i="5"/>
  <c r="E171" i="5"/>
  <c r="F171" i="5"/>
  <c r="G171" i="5"/>
  <c r="H171" i="5"/>
  <c r="I171" i="5"/>
  <c r="J171" i="5"/>
  <c r="K171" i="5"/>
  <c r="L171" i="5"/>
  <c r="M171" i="5"/>
  <c r="N171" i="5"/>
  <c r="O171" i="5"/>
  <c r="L172" i="5"/>
  <c r="A172" i="5"/>
  <c r="B172" i="5"/>
  <c r="C172" i="5"/>
  <c r="D172" i="5"/>
  <c r="E172" i="5"/>
  <c r="F172" i="5"/>
  <c r="G172" i="5"/>
  <c r="H172" i="5"/>
  <c r="I172" i="5"/>
  <c r="J172" i="5"/>
  <c r="M172" i="5"/>
  <c r="N172" i="5"/>
  <c r="O172" i="5"/>
  <c r="P172" i="5"/>
  <c r="K172" i="5"/>
  <c r="D173" i="5"/>
  <c r="P173" i="5"/>
  <c r="I173" i="5"/>
  <c r="H173" i="5"/>
  <c r="G173" i="5"/>
  <c r="F173" i="5"/>
  <c r="E173" i="5"/>
  <c r="L173" i="5"/>
  <c r="C173" i="5"/>
  <c r="B173" i="5"/>
  <c r="A173" i="5"/>
  <c r="M173" i="5"/>
  <c r="K173" i="5"/>
  <c r="N173" i="5"/>
  <c r="O173" i="5"/>
  <c r="J173" i="5"/>
  <c r="A174" i="5"/>
  <c r="C174" i="5"/>
  <c r="D174" i="5"/>
  <c r="E174" i="5"/>
  <c r="F174" i="5"/>
  <c r="G174" i="5"/>
  <c r="H174" i="5"/>
  <c r="I174" i="5"/>
  <c r="J174" i="5"/>
  <c r="K174" i="5"/>
  <c r="L174" i="5"/>
  <c r="M174" i="5"/>
  <c r="N174" i="5"/>
  <c r="O174" i="5"/>
  <c r="P174" i="5"/>
  <c r="B174" i="5"/>
  <c r="K175" i="5"/>
  <c r="C175" i="5"/>
  <c r="D175" i="5"/>
  <c r="E175" i="5"/>
  <c r="F175" i="5"/>
  <c r="G175" i="5"/>
  <c r="H175" i="5"/>
  <c r="B175" i="5"/>
  <c r="A175" i="5"/>
  <c r="I175" i="5"/>
  <c r="J175" i="5"/>
  <c r="P175" i="5"/>
  <c r="O175" i="5"/>
  <c r="N175" i="5"/>
  <c r="M175" i="5"/>
  <c r="L175" i="5"/>
  <c r="D176" i="5"/>
  <c r="A176" i="5"/>
  <c r="B176" i="5"/>
  <c r="E176" i="5"/>
  <c r="F176" i="5"/>
  <c r="G176" i="5"/>
  <c r="H176" i="5"/>
  <c r="I176" i="5"/>
  <c r="J176" i="5"/>
  <c r="K176" i="5"/>
  <c r="L176" i="5"/>
  <c r="M176" i="5"/>
  <c r="N176" i="5"/>
  <c r="O176" i="5"/>
  <c r="P176" i="5"/>
  <c r="C176" i="5"/>
  <c r="B177" i="5"/>
  <c r="C177" i="5"/>
  <c r="D177" i="5"/>
  <c r="E177" i="5"/>
  <c r="F177" i="5"/>
  <c r="G177" i="5"/>
  <c r="H177" i="5"/>
  <c r="I177" i="5"/>
  <c r="J177" i="5"/>
  <c r="K177" i="5"/>
  <c r="P177" i="5"/>
  <c r="O177" i="5"/>
  <c r="N177" i="5"/>
  <c r="M177" i="5"/>
  <c r="L177" i="5"/>
  <c r="A177" i="5"/>
  <c r="A178" i="5"/>
  <c r="C178" i="5"/>
  <c r="D178" i="5"/>
  <c r="E178" i="5"/>
  <c r="F178" i="5"/>
  <c r="G178" i="5"/>
  <c r="H178" i="5"/>
  <c r="I178" i="5"/>
  <c r="B178" i="5"/>
  <c r="J178" i="5"/>
  <c r="K178" i="5"/>
  <c r="L178" i="5"/>
  <c r="M178" i="5"/>
  <c r="N178" i="5"/>
  <c r="O178" i="5"/>
  <c r="P178" i="5"/>
  <c r="L179" i="5"/>
  <c r="K179" i="5"/>
  <c r="J179" i="5"/>
  <c r="I179" i="5"/>
  <c r="H179" i="5"/>
  <c r="G179" i="5"/>
  <c r="F179" i="5"/>
  <c r="E179" i="5"/>
  <c r="D179" i="5"/>
  <c r="C179" i="5"/>
  <c r="B179" i="5"/>
  <c r="A179" i="5"/>
  <c r="M179" i="5"/>
  <c r="N179" i="5"/>
  <c r="O179" i="5"/>
  <c r="P179" i="5"/>
  <c r="A180" i="5"/>
  <c r="B180" i="5"/>
  <c r="C180" i="5"/>
  <c r="E180" i="5"/>
  <c r="F180" i="5"/>
  <c r="G180" i="5"/>
  <c r="H180" i="5"/>
  <c r="I180" i="5"/>
  <c r="J180" i="5"/>
  <c r="K180" i="5"/>
  <c r="L180" i="5"/>
  <c r="M180" i="5"/>
  <c r="N180" i="5"/>
  <c r="O180" i="5"/>
  <c r="P180" i="5"/>
  <c r="D180" i="5"/>
  <c r="P181" i="5"/>
  <c r="O181" i="5"/>
  <c r="A181" i="5"/>
  <c r="B181" i="5"/>
  <c r="C181" i="5"/>
  <c r="D181" i="5"/>
  <c r="E181" i="5"/>
  <c r="F181" i="5"/>
  <c r="G181" i="5"/>
  <c r="H181" i="5"/>
  <c r="I181" i="5"/>
  <c r="J181" i="5"/>
  <c r="K181" i="5"/>
  <c r="L181" i="5"/>
  <c r="M181" i="5"/>
  <c r="N181" i="5"/>
  <c r="A182" i="5"/>
  <c r="L182" i="5"/>
  <c r="B182" i="5"/>
  <c r="C182" i="5"/>
  <c r="D182" i="5"/>
  <c r="E182" i="5"/>
  <c r="F182" i="5"/>
  <c r="G182" i="5"/>
  <c r="H182" i="5"/>
  <c r="I182" i="5"/>
  <c r="J182" i="5"/>
  <c r="K182" i="5"/>
  <c r="P182" i="5"/>
  <c r="O182" i="5"/>
  <c r="N182" i="5"/>
  <c r="M182" i="5"/>
  <c r="K183" i="5"/>
  <c r="A183" i="5"/>
  <c r="B183" i="5"/>
  <c r="C183" i="5"/>
  <c r="D183" i="5"/>
  <c r="E183" i="5"/>
  <c r="F183" i="5"/>
  <c r="G183" i="5"/>
  <c r="H183" i="5"/>
  <c r="I183" i="5"/>
  <c r="J183" i="5"/>
  <c r="L183" i="5"/>
  <c r="M183" i="5"/>
  <c r="N183" i="5"/>
  <c r="O183" i="5"/>
  <c r="P183" i="5"/>
  <c r="B184" i="5"/>
  <c r="L184" i="5"/>
  <c r="C184" i="5"/>
  <c r="D184" i="5"/>
  <c r="E184" i="5"/>
  <c r="F184" i="5"/>
  <c r="G184" i="5"/>
  <c r="H184" i="5"/>
  <c r="I184" i="5"/>
  <c r="J184" i="5"/>
  <c r="K184" i="5"/>
  <c r="A184" i="5"/>
  <c r="P184" i="5"/>
  <c r="O184" i="5"/>
  <c r="N184" i="5"/>
  <c r="M184" i="5"/>
  <c r="B185" i="5"/>
  <c r="K185" i="5"/>
  <c r="J185" i="5"/>
  <c r="I185" i="5"/>
  <c r="H185" i="5"/>
  <c r="G185" i="5"/>
  <c r="F185" i="5"/>
  <c r="E185" i="5"/>
  <c r="D185" i="5"/>
  <c r="C185" i="5"/>
  <c r="L185" i="5"/>
  <c r="M185" i="5"/>
  <c r="N185" i="5"/>
  <c r="O185" i="5"/>
  <c r="P185" i="5"/>
  <c r="A185" i="5"/>
  <c r="P186" i="5"/>
  <c r="L186" i="5"/>
  <c r="O186" i="5"/>
  <c r="N186" i="5"/>
  <c r="M186" i="5"/>
  <c r="A186" i="5"/>
  <c r="B186" i="5"/>
  <c r="C186" i="5"/>
  <c r="D186" i="5"/>
  <c r="E186" i="5"/>
  <c r="F186" i="5"/>
  <c r="G186" i="5"/>
  <c r="H186" i="5"/>
  <c r="I186" i="5"/>
  <c r="J186" i="5"/>
  <c r="K186" i="5"/>
  <c r="N187" i="5"/>
  <c r="A187" i="5"/>
  <c r="M187" i="5"/>
  <c r="L187" i="5"/>
  <c r="K187" i="5"/>
  <c r="J187" i="5"/>
  <c r="I187" i="5"/>
  <c r="H187" i="5"/>
  <c r="O187" i="5"/>
  <c r="G187" i="5"/>
  <c r="F187" i="5"/>
  <c r="E187" i="5"/>
  <c r="D187" i="5"/>
  <c r="C187" i="5"/>
  <c r="B187" i="5"/>
  <c r="P187" i="5"/>
  <c r="P188" i="5"/>
  <c r="A188" i="5"/>
  <c r="B188" i="5"/>
  <c r="C188" i="5"/>
  <c r="D188" i="5"/>
  <c r="E188" i="5"/>
  <c r="F188" i="5"/>
  <c r="G188" i="5"/>
  <c r="H188" i="5"/>
  <c r="J188" i="5"/>
  <c r="K188" i="5"/>
  <c r="L188" i="5"/>
  <c r="M188" i="5"/>
  <c r="N188" i="5"/>
  <c r="O188" i="5"/>
  <c r="I188" i="5"/>
  <c r="B189" i="5"/>
  <c r="A189" i="5"/>
  <c r="O189" i="5"/>
  <c r="N189" i="5"/>
  <c r="M189" i="5"/>
  <c r="L189" i="5"/>
  <c r="K189" i="5"/>
  <c r="J189" i="5"/>
  <c r="I189" i="5"/>
  <c r="H189" i="5"/>
  <c r="G189" i="5"/>
  <c r="F189" i="5"/>
  <c r="E189" i="5"/>
  <c r="D189" i="5"/>
  <c r="C189" i="5"/>
  <c r="P189" i="5"/>
  <c r="B191" i="5"/>
  <c r="C191" i="5"/>
  <c r="D191" i="5"/>
  <c r="E191" i="5"/>
  <c r="F191" i="5"/>
  <c r="G191" i="5"/>
  <c r="H191" i="5"/>
  <c r="I191" i="5"/>
  <c r="P191" i="5"/>
  <c r="J191" i="5"/>
  <c r="K191" i="5"/>
  <c r="L191" i="5"/>
  <c r="M191" i="5"/>
  <c r="N191" i="5"/>
  <c r="O191" i="5"/>
  <c r="A191" i="5"/>
  <c r="I193" i="5"/>
  <c r="P193" i="5"/>
  <c r="O193" i="5"/>
  <c r="N193" i="5"/>
  <c r="M193" i="5"/>
  <c r="L193" i="5"/>
  <c r="K193" i="5"/>
  <c r="J193" i="5"/>
  <c r="H193" i="5"/>
  <c r="G193" i="5"/>
  <c r="F193" i="5"/>
  <c r="E193" i="5"/>
  <c r="D193" i="5"/>
  <c r="C193" i="5"/>
  <c r="B193" i="5"/>
  <c r="A193" i="5"/>
  <c r="H194" i="5"/>
  <c r="J194" i="5"/>
  <c r="I194" i="5"/>
  <c r="C194" i="5"/>
  <c r="L194" i="5"/>
  <c r="M194" i="5"/>
  <c r="N194" i="5"/>
  <c r="O194" i="5"/>
  <c r="P194" i="5"/>
  <c r="D194" i="5"/>
  <c r="E194" i="5"/>
  <c r="F194" i="5"/>
  <c r="G194" i="5"/>
  <c r="B194" i="5"/>
  <c r="K194" i="5"/>
  <c r="A194" i="5"/>
  <c r="N196" i="5"/>
  <c r="F196" i="5"/>
  <c r="H196" i="5"/>
  <c r="I196" i="5"/>
  <c r="J196" i="5"/>
  <c r="K196" i="5"/>
  <c r="L196" i="5"/>
  <c r="M196" i="5"/>
  <c r="E196" i="5"/>
  <c r="O196" i="5"/>
  <c r="G196" i="5"/>
  <c r="D196" i="5"/>
  <c r="C196" i="5"/>
  <c r="B196" i="5"/>
  <c r="A196" i="5"/>
  <c r="P196" i="5"/>
  <c r="A197" i="5"/>
  <c r="C197" i="5"/>
  <c r="D197" i="5"/>
  <c r="E197" i="5"/>
  <c r="F197" i="5"/>
  <c r="G197" i="5"/>
  <c r="I197" i="5"/>
  <c r="J197" i="5"/>
  <c r="K197" i="5"/>
  <c r="L197" i="5"/>
  <c r="M197" i="5"/>
  <c r="N197" i="5"/>
  <c r="O197" i="5"/>
  <c r="P197" i="5"/>
  <c r="B197" i="5"/>
  <c r="H197" i="5"/>
  <c r="I199" i="5"/>
  <c r="J199" i="5"/>
  <c r="A199" i="5"/>
  <c r="D199" i="5"/>
  <c r="E199" i="5"/>
  <c r="F199" i="5"/>
  <c r="G199" i="5"/>
  <c r="H199" i="5"/>
  <c r="C199" i="5"/>
  <c r="P199" i="5"/>
  <c r="O199" i="5"/>
  <c r="N199" i="5"/>
  <c r="M199" i="5"/>
  <c r="L199" i="5"/>
  <c r="K199" i="5"/>
  <c r="B199" i="5"/>
  <c r="A201" i="5"/>
  <c r="B201" i="5"/>
  <c r="C201" i="5"/>
  <c r="D201" i="5"/>
  <c r="N201" i="5"/>
  <c r="O201" i="5"/>
  <c r="L201" i="5"/>
  <c r="K201" i="5"/>
  <c r="J201" i="5"/>
  <c r="I201" i="5"/>
  <c r="H201" i="5"/>
  <c r="G201" i="5"/>
  <c r="F201" i="5"/>
  <c r="E201" i="5"/>
  <c r="P201" i="5"/>
  <c r="M201" i="5"/>
  <c r="E208" i="5"/>
  <c r="M208" i="5"/>
  <c r="D208" i="5"/>
  <c r="C208" i="5"/>
  <c r="B208" i="5"/>
  <c r="A208" i="5"/>
  <c r="F208" i="5"/>
  <c r="G208" i="5"/>
  <c r="H208" i="5"/>
  <c r="P208" i="5"/>
  <c r="O208" i="5"/>
  <c r="N208" i="5"/>
  <c r="I208" i="5"/>
  <c r="J208" i="5"/>
  <c r="K208" i="5"/>
  <c r="L208" i="5"/>
  <c r="D210" i="5"/>
  <c r="H210" i="5"/>
  <c r="I210" i="5"/>
  <c r="J210" i="5"/>
  <c r="P210" i="5"/>
  <c r="A210" i="5"/>
  <c r="B210" i="5"/>
  <c r="C210" i="5"/>
  <c r="O210" i="5"/>
  <c r="K210" i="5"/>
  <c r="L210" i="5"/>
  <c r="M210" i="5"/>
  <c r="N210" i="5"/>
  <c r="G210" i="5"/>
  <c r="F210" i="5"/>
  <c r="E210" i="5"/>
  <c r="B212" i="5"/>
  <c r="P212" i="5"/>
  <c r="C212" i="5"/>
  <c r="D212" i="5"/>
  <c r="E212" i="5"/>
  <c r="F212" i="5"/>
  <c r="G212" i="5"/>
  <c r="H212" i="5"/>
  <c r="I212" i="5"/>
  <c r="J212" i="5"/>
  <c r="K212" i="5"/>
  <c r="L212" i="5"/>
  <c r="M212" i="5"/>
  <c r="N212" i="5"/>
  <c r="O212" i="5"/>
  <c r="A212" i="5"/>
  <c r="O214" i="5"/>
  <c r="P214" i="5"/>
  <c r="A214" i="5"/>
  <c r="N214" i="5"/>
  <c r="M214" i="5"/>
  <c r="L214" i="5"/>
  <c r="K214" i="5"/>
  <c r="J214" i="5"/>
  <c r="I214" i="5"/>
  <c r="H214" i="5"/>
  <c r="G214" i="5"/>
  <c r="F214" i="5"/>
  <c r="E214" i="5"/>
  <c r="D214" i="5"/>
  <c r="C214" i="5"/>
  <c r="B214" i="5"/>
  <c r="A217" i="5"/>
  <c r="P217" i="5"/>
  <c r="O217" i="5"/>
  <c r="N217" i="5"/>
  <c r="M217" i="5"/>
  <c r="L217" i="5"/>
  <c r="K217" i="5"/>
  <c r="J217" i="5"/>
  <c r="I217" i="5"/>
  <c r="H217" i="5"/>
  <c r="G217" i="5"/>
  <c r="F217" i="5"/>
  <c r="E217" i="5"/>
  <c r="D217" i="5"/>
  <c r="C217" i="5"/>
  <c r="B217" i="5"/>
  <c r="O219" i="5"/>
  <c r="P219" i="5"/>
  <c r="M219" i="5"/>
  <c r="L219" i="5"/>
  <c r="K219" i="5"/>
  <c r="J219" i="5"/>
  <c r="I219" i="5"/>
  <c r="H219" i="5"/>
  <c r="G219" i="5"/>
  <c r="F219" i="5"/>
  <c r="E219" i="5"/>
  <c r="D219" i="5"/>
  <c r="C219" i="5"/>
  <c r="B219" i="5"/>
  <c r="A219" i="5"/>
  <c r="N219" i="5"/>
  <c r="L221" i="5"/>
  <c r="P221" i="5"/>
  <c r="O221" i="5"/>
  <c r="B221" i="5"/>
  <c r="C221" i="5"/>
  <c r="D221" i="5"/>
  <c r="E221" i="5"/>
  <c r="F221" i="5"/>
  <c r="G221" i="5"/>
  <c r="H221" i="5"/>
  <c r="I221" i="5"/>
  <c r="J221" i="5"/>
  <c r="K221" i="5"/>
  <c r="N221" i="5"/>
  <c r="M221" i="5"/>
  <c r="A221" i="5"/>
  <c r="D223" i="5"/>
  <c r="N223" i="5"/>
  <c r="C223" i="5"/>
  <c r="B223" i="5"/>
  <c r="A223" i="5"/>
  <c r="E223" i="5"/>
  <c r="F223" i="5"/>
  <c r="G223" i="5"/>
  <c r="P223" i="5"/>
  <c r="H223" i="5"/>
  <c r="I223" i="5"/>
  <c r="J223" i="5"/>
  <c r="K223" i="5"/>
  <c r="L223" i="5"/>
  <c r="M223" i="5"/>
  <c r="O223" i="5"/>
  <c r="A225" i="5"/>
  <c r="P225" i="5"/>
  <c r="O225" i="5"/>
  <c r="N225" i="5"/>
  <c r="M225" i="5"/>
  <c r="L225" i="5"/>
  <c r="K225" i="5"/>
  <c r="J225" i="5"/>
  <c r="I225" i="5"/>
  <c r="G225" i="5"/>
  <c r="F225" i="5"/>
  <c r="E225" i="5"/>
  <c r="D225" i="5"/>
  <c r="C225" i="5"/>
  <c r="B225" i="5"/>
  <c r="H225" i="5"/>
  <c r="B227" i="5"/>
  <c r="P227" i="5"/>
  <c r="A227" i="5"/>
  <c r="C227" i="5"/>
  <c r="D227" i="5"/>
  <c r="E227" i="5"/>
  <c r="F227" i="5"/>
  <c r="G227" i="5"/>
  <c r="H227" i="5"/>
  <c r="I227" i="5"/>
  <c r="J227" i="5"/>
  <c r="K227" i="5"/>
  <c r="L227" i="5"/>
  <c r="M227" i="5"/>
  <c r="N227" i="5"/>
  <c r="O227" i="5"/>
  <c r="A230" i="5"/>
  <c r="P230" i="5"/>
  <c r="O230" i="5"/>
  <c r="N230" i="5"/>
  <c r="M230" i="5"/>
  <c r="L230" i="5"/>
  <c r="K230" i="5"/>
  <c r="J230" i="5"/>
  <c r="I230" i="5"/>
  <c r="H230" i="5"/>
  <c r="G230" i="5"/>
  <c r="F230" i="5"/>
  <c r="E230" i="5"/>
  <c r="D230" i="5"/>
  <c r="C230" i="5"/>
  <c r="B230" i="5"/>
  <c r="D232" i="5"/>
  <c r="P232" i="5"/>
  <c r="O232" i="5"/>
  <c r="N232" i="5"/>
  <c r="M232" i="5"/>
  <c r="L232" i="5"/>
  <c r="K232" i="5"/>
  <c r="J232" i="5"/>
  <c r="I232" i="5"/>
  <c r="H232" i="5"/>
  <c r="G232" i="5"/>
  <c r="F232" i="5"/>
  <c r="E232" i="5"/>
  <c r="B232" i="5"/>
  <c r="C232" i="5"/>
  <c r="A232" i="5"/>
  <c r="N234" i="5"/>
  <c r="M234" i="5"/>
  <c r="L234" i="5"/>
  <c r="K234" i="5"/>
  <c r="J234" i="5"/>
  <c r="I234" i="5"/>
  <c r="H234" i="5"/>
  <c r="G234" i="5"/>
  <c r="F234" i="5"/>
  <c r="E234" i="5"/>
  <c r="O234" i="5"/>
  <c r="D234" i="5"/>
  <c r="B234" i="5"/>
  <c r="C234" i="5"/>
  <c r="P234" i="5"/>
  <c r="A234" i="5"/>
  <c r="E236" i="5"/>
  <c r="C236" i="5"/>
  <c r="F236" i="5"/>
  <c r="G236" i="5"/>
  <c r="H236" i="5"/>
  <c r="I236" i="5"/>
  <c r="J236" i="5"/>
  <c r="K236" i="5"/>
  <c r="L236" i="5"/>
  <c r="M236" i="5"/>
  <c r="N236" i="5"/>
  <c r="O236" i="5"/>
  <c r="P236" i="5"/>
  <c r="D236" i="5"/>
  <c r="A236" i="5"/>
  <c r="B236" i="5"/>
  <c r="A239" i="5"/>
  <c r="N239" i="5"/>
  <c r="O239" i="5"/>
  <c r="P239" i="5"/>
  <c r="M239" i="5"/>
  <c r="L239" i="5"/>
  <c r="K239" i="5"/>
  <c r="J239" i="5"/>
  <c r="I239" i="5"/>
  <c r="H239" i="5"/>
  <c r="G239" i="5"/>
  <c r="F239" i="5"/>
  <c r="E239" i="5"/>
  <c r="D239" i="5"/>
  <c r="C239" i="5"/>
  <c r="B239" i="5"/>
  <c r="K241" i="5"/>
  <c r="A241" i="5"/>
  <c r="C241" i="5"/>
  <c r="D241" i="5"/>
  <c r="E241" i="5"/>
  <c r="F241" i="5"/>
  <c r="G241" i="5"/>
  <c r="H241" i="5"/>
  <c r="I241" i="5"/>
  <c r="J241" i="5"/>
  <c r="L241" i="5"/>
  <c r="M241" i="5"/>
  <c r="N241" i="5"/>
  <c r="O241" i="5"/>
  <c r="P241" i="5"/>
  <c r="B241" i="5"/>
  <c r="C243" i="5"/>
  <c r="A243" i="5"/>
  <c r="D243" i="5"/>
  <c r="E243" i="5"/>
  <c r="F243" i="5"/>
  <c r="G243" i="5"/>
  <c r="H243" i="5"/>
  <c r="I243" i="5"/>
  <c r="J243" i="5"/>
  <c r="K243" i="5"/>
  <c r="L243" i="5"/>
  <c r="M243" i="5"/>
  <c r="N243" i="5"/>
  <c r="O243" i="5"/>
  <c r="P243" i="5"/>
  <c r="B243" i="5"/>
  <c r="B245" i="5"/>
  <c r="A245" i="5"/>
  <c r="C245" i="5"/>
  <c r="D245" i="5"/>
  <c r="E245" i="5"/>
  <c r="F245" i="5"/>
  <c r="G245" i="5"/>
  <c r="H245" i="5"/>
  <c r="I245" i="5"/>
  <c r="J245" i="5"/>
  <c r="K245" i="5"/>
  <c r="O245" i="5"/>
  <c r="N245" i="5"/>
  <c r="M245" i="5"/>
  <c r="L245" i="5"/>
  <c r="P245" i="5"/>
  <c r="L247" i="5"/>
  <c r="K247" i="5"/>
  <c r="B247" i="5"/>
  <c r="C247" i="5"/>
  <c r="D247" i="5"/>
  <c r="E247" i="5"/>
  <c r="J247" i="5"/>
  <c r="I247" i="5"/>
  <c r="H247" i="5"/>
  <c r="G247" i="5"/>
  <c r="F247" i="5"/>
  <c r="M247" i="5"/>
  <c r="N247" i="5"/>
  <c r="O247" i="5"/>
  <c r="P247" i="5"/>
  <c r="A247" i="5"/>
  <c r="B249" i="5"/>
  <c r="L249" i="5"/>
  <c r="P249" i="5"/>
  <c r="O249" i="5"/>
  <c r="N249" i="5"/>
  <c r="M249" i="5"/>
  <c r="C249" i="5"/>
  <c r="D249" i="5"/>
  <c r="E249" i="5"/>
  <c r="F249" i="5"/>
  <c r="A249" i="5"/>
  <c r="G249" i="5"/>
  <c r="H249" i="5"/>
  <c r="I249" i="5"/>
  <c r="J249" i="5"/>
  <c r="K249" i="5"/>
  <c r="P251" i="5"/>
  <c r="G251" i="5"/>
  <c r="H251" i="5"/>
  <c r="I251" i="5"/>
  <c r="J251" i="5"/>
  <c r="K251" i="5"/>
  <c r="L251" i="5"/>
  <c r="M251" i="5"/>
  <c r="N251" i="5"/>
  <c r="O251" i="5"/>
  <c r="A251" i="5"/>
  <c r="F251" i="5"/>
  <c r="E251" i="5"/>
  <c r="D251" i="5"/>
  <c r="C251" i="5"/>
  <c r="B251" i="5"/>
  <c r="A252" i="5"/>
  <c r="G252" i="5"/>
  <c r="B252" i="5"/>
  <c r="C252" i="5"/>
  <c r="D252" i="5"/>
  <c r="E252" i="5"/>
  <c r="F252" i="5"/>
  <c r="P252" i="5"/>
  <c r="O252" i="5"/>
  <c r="N252" i="5"/>
  <c r="M252" i="5"/>
  <c r="L252" i="5"/>
  <c r="K252" i="5"/>
  <c r="J252" i="5"/>
  <c r="I252" i="5"/>
  <c r="H252" i="5"/>
  <c r="B253" i="5"/>
  <c r="A253" i="5"/>
  <c r="F253" i="5"/>
  <c r="E253" i="5"/>
  <c r="D253" i="5"/>
  <c r="C253" i="5"/>
  <c r="G253" i="5"/>
  <c r="H253" i="5"/>
  <c r="I253" i="5"/>
  <c r="J253" i="5"/>
  <c r="K253" i="5"/>
  <c r="P253" i="5"/>
  <c r="O253" i="5"/>
  <c r="N253" i="5"/>
  <c r="M253" i="5"/>
  <c r="L253" i="5"/>
  <c r="L254" i="5"/>
  <c r="A254" i="5"/>
  <c r="C254" i="5"/>
  <c r="D254" i="5"/>
  <c r="E254" i="5"/>
  <c r="F254" i="5"/>
  <c r="G254" i="5"/>
  <c r="H254" i="5"/>
  <c r="I254" i="5"/>
  <c r="J254" i="5"/>
  <c r="K254" i="5"/>
  <c r="M254" i="5"/>
  <c r="N254" i="5"/>
  <c r="O254" i="5"/>
  <c r="P254" i="5"/>
  <c r="B254" i="5"/>
  <c r="C256" i="5"/>
  <c r="A256" i="5"/>
  <c r="D256" i="5"/>
  <c r="E256" i="5"/>
  <c r="F256" i="5"/>
  <c r="G256" i="5"/>
  <c r="H256" i="5"/>
  <c r="I256" i="5"/>
  <c r="J256" i="5"/>
  <c r="K256" i="5"/>
  <c r="L256" i="5"/>
  <c r="M256" i="5"/>
  <c r="N256" i="5"/>
  <c r="O256" i="5"/>
  <c r="P256" i="5"/>
  <c r="B256" i="5"/>
  <c r="B258" i="5"/>
  <c r="C258" i="5"/>
  <c r="D258" i="5"/>
  <c r="E258" i="5"/>
  <c r="F258" i="5"/>
  <c r="G258" i="5"/>
  <c r="H258" i="5"/>
  <c r="I258" i="5"/>
  <c r="J258" i="5"/>
  <c r="K258" i="5"/>
  <c r="L258" i="5"/>
  <c r="M258" i="5"/>
  <c r="N258" i="5"/>
  <c r="O258" i="5"/>
  <c r="P258" i="5"/>
  <c r="A258" i="5"/>
  <c r="J260" i="5"/>
  <c r="C260" i="5"/>
  <c r="D260" i="5"/>
  <c r="E260" i="5"/>
  <c r="F260" i="5"/>
  <c r="G260" i="5"/>
  <c r="H260" i="5"/>
  <c r="I260" i="5"/>
  <c r="B260" i="5"/>
  <c r="K260" i="5"/>
  <c r="L260" i="5"/>
  <c r="M260" i="5"/>
  <c r="N260" i="5"/>
  <c r="O260" i="5"/>
  <c r="A260" i="5"/>
  <c r="P260" i="5"/>
  <c r="A264" i="5"/>
  <c r="C264" i="5"/>
  <c r="D264" i="5"/>
  <c r="E264" i="5"/>
  <c r="F264" i="5"/>
  <c r="G264" i="5"/>
  <c r="H264" i="5"/>
  <c r="I264" i="5"/>
  <c r="J264" i="5"/>
  <c r="K264" i="5"/>
  <c r="L264" i="5"/>
  <c r="M264" i="5"/>
  <c r="N264" i="5"/>
  <c r="O264" i="5"/>
  <c r="P264" i="5"/>
  <c r="B264" i="5"/>
  <c r="B266" i="5"/>
  <c r="C266" i="5"/>
  <c r="P266" i="5"/>
  <c r="O266" i="5"/>
  <c r="N266" i="5"/>
  <c r="M266" i="5"/>
  <c r="L266" i="5"/>
  <c r="K266" i="5"/>
  <c r="J266" i="5"/>
  <c r="I266" i="5"/>
  <c r="H266" i="5"/>
  <c r="G266" i="5"/>
  <c r="F266" i="5"/>
  <c r="E266" i="5"/>
  <c r="D266" i="5"/>
  <c r="A266" i="5"/>
  <c r="P268" i="5"/>
  <c r="A268" i="5"/>
  <c r="B268" i="5"/>
  <c r="O268" i="5"/>
  <c r="N268" i="5"/>
  <c r="M268" i="5"/>
  <c r="L268" i="5"/>
  <c r="K268" i="5"/>
  <c r="J268" i="5"/>
  <c r="C268" i="5"/>
  <c r="D268" i="5"/>
  <c r="E268" i="5"/>
  <c r="F268" i="5"/>
  <c r="G268" i="5"/>
  <c r="H268" i="5"/>
  <c r="I268" i="5"/>
  <c r="O273" i="5"/>
  <c r="K273" i="5"/>
  <c r="J273" i="5"/>
  <c r="H273" i="5"/>
  <c r="G273" i="5"/>
  <c r="E273" i="5"/>
  <c r="B273" i="5"/>
  <c r="N273" i="5"/>
  <c r="L273" i="5"/>
  <c r="I273" i="5"/>
  <c r="F273" i="5"/>
  <c r="D273" i="5"/>
  <c r="C273" i="5"/>
  <c r="A273" i="5"/>
  <c r="M273" i="5"/>
  <c r="P273" i="5"/>
  <c r="P296" i="5"/>
  <c r="N296" i="5"/>
  <c r="O296" i="5"/>
  <c r="K296" i="5"/>
  <c r="L296" i="5"/>
  <c r="M296" i="5"/>
  <c r="B299" i="5"/>
  <c r="N299" i="5"/>
  <c r="C299" i="5"/>
  <c r="D299" i="5"/>
  <c r="E299" i="5"/>
  <c r="F299" i="5"/>
  <c r="G299" i="5"/>
  <c r="H299" i="5"/>
  <c r="I299" i="5"/>
  <c r="J299" i="5"/>
  <c r="K299" i="5"/>
  <c r="L299" i="5"/>
  <c r="M299" i="5"/>
  <c r="P299" i="5"/>
  <c r="O299" i="5"/>
  <c r="A299" i="5"/>
  <c r="A301" i="5"/>
  <c r="B301" i="5"/>
  <c r="C301" i="5"/>
  <c r="D301" i="5"/>
  <c r="E301" i="5"/>
  <c r="F301" i="5"/>
  <c r="G301" i="5"/>
  <c r="H301" i="5"/>
  <c r="I301" i="5"/>
  <c r="J301" i="5"/>
  <c r="K301" i="5"/>
  <c r="M301" i="5"/>
  <c r="N301" i="5"/>
  <c r="O301" i="5"/>
  <c r="P301" i="5"/>
  <c r="L301" i="5"/>
  <c r="P276" i="5"/>
  <c r="G276" i="5"/>
  <c r="O276" i="5"/>
  <c r="N276" i="5"/>
  <c r="M276" i="5"/>
  <c r="L276" i="5"/>
  <c r="K276" i="5"/>
  <c r="J276" i="5"/>
  <c r="I276" i="5"/>
  <c r="H276" i="5"/>
  <c r="A276" i="5"/>
  <c r="B276" i="5"/>
  <c r="C276" i="5"/>
  <c r="D276" i="5"/>
  <c r="E276" i="5"/>
  <c r="F276" i="5"/>
</calcChain>
</file>

<file path=xl/sharedStrings.xml><?xml version="1.0" encoding="utf-8"?>
<sst xmlns="http://schemas.openxmlformats.org/spreadsheetml/2006/main" count="252" uniqueCount="161">
  <si>
    <t>Service Award Program Calendar</t>
  </si>
  <si>
    <t>From Awards.com. Works in Excel and Google Sheets.</t>
  </si>
  <si>
    <t>Use it in 5 steps</t>
  </si>
  <si>
    <t>1. Setup</t>
  </si>
  <si>
    <t>Replace Your Company Name with yours. Pick the milestones you recognize. For each one, enter the award SKU, name and price, and the words to engrave. Check the lead-time numbers.</t>
  </si>
  <si>
    <t>2. Roster</t>
  </si>
  <si>
    <t>Enter each employee's name and hire date. Next milestone, anniversary date and order-by date fill in on their own. Once you place an order, enter that milestone in the Already ordered through column and the award leaves the Order Calendar and shows as ordered on the Anniversary Calendar.</t>
  </si>
  <si>
    <t>3. Anniversary Calendar</t>
  </si>
  <si>
    <t>Every anniversary for every employee in the next 12 months, soonest first. Milestone years show when to order the award. The years between get a shout-out on the day, in wording you set on Setup.</t>
  </si>
  <si>
    <t>4. Order Calendar</t>
  </si>
  <si>
    <t>Awards only. Everything to order in the next 12 months, soonest first, with the engraving lines written out and ready to send.</t>
  </si>
  <si>
    <t>5. Budget</t>
  </si>
  <si>
    <t>Milestone anniversaries times award cost, by year, for 5 years. Use it when next year's budget gets set. Shout-outs cost nothing here unless you enter a cost on the Budget tab.</t>
  </si>
  <si>
    <t>Clear the sample data</t>
  </si>
  <si>
    <t>Roster</t>
  </si>
  <si>
    <t>The Sample Person rows are made up. Select cells A6 to D17 on the Roster tab and press Delete. Leave columns E to H alone.</t>
  </si>
  <si>
    <t>Setup</t>
  </si>
  <si>
    <t>The SKUs and prices are one real product line, the Astoria VividPrint Award, read from awards.com on November 3, 2026. Prices and availability change, so confirm them before you budget or order.</t>
  </si>
  <si>
    <t>Which cells to edit</t>
  </si>
  <si>
    <t>Cream cell, blue text</t>
  </si>
  <si>
    <t>Yours to change.</t>
  </si>
  <si>
    <t>White cell, black text</t>
  </si>
  <si>
    <t>Calculated. Don't type here.</t>
  </si>
  <si>
    <t>Order-by dates</t>
  </si>
  <si>
    <t>What they include</t>
  </si>
  <si>
    <t>Awards.com proof, your own sign-off, production and transit, counted in business days back from the anniversary. The busy-season extra applies when the anniversary or the order-by date falls in November or December. All of it is editable on Setup.</t>
  </si>
  <si>
    <t>When the date has passed</t>
  </si>
  <si>
    <t>A milestone up to 30 days old stays on the Order Calendar as PAST DUE so nobody gets skipped. Change the 30 on Setup.</t>
  </si>
  <si>
    <t>Leap-day hire dates</t>
  </si>
  <si>
    <t>A February 29 hire date falls on February 28 in a non-leap year.</t>
  </si>
  <si>
    <t>Budget limits</t>
  </si>
  <si>
    <t>This counts today's roster, with no new hires or departures, for each full calendar year, including anniversaries already past. Tax, shipping and any bonus or gift card given with an award are not included, so add those to your budget. Awards.com ships free on orders over $500 to the contiguous US and Canada.</t>
  </si>
  <si>
    <t>Get a quote</t>
  </si>
  <si>
    <t>Optional</t>
  </si>
  <si>
    <t>Send your Order Calendar to contactus@awards.com or call 1-800-4-AWARDS (1-800-429-2737). Tell us your dates and we'll quote the whole list. You don't need to send us anything to use this template, and you can clear names on the Roster first.</t>
  </si>
  <si>
    <t>Google Sheets</t>
  </si>
  <si>
    <t>To open it there</t>
  </si>
  <si>
    <t>In Google Sheets choose File, then Open, then Upload, and pick this file. It becomes your own copy. If today's date looks wrong, change the time zone under File, then Settings.</t>
  </si>
  <si>
    <t>Your milestones, your awards, your lead time. Cream cells are yours to edit.</t>
  </si>
  <si>
    <t>Your Program</t>
  </si>
  <si>
    <t>Company name</t>
  </si>
  <si>
    <t>Your Company Name</t>
  </si>
  <si>
    <t>Fills in wherever an engraving line says {company}.</t>
  </si>
  <si>
    <t>Calendar starts</t>
  </si>
  <si>
    <t>Reads today's date. Type a date over it to plan from another day.</t>
  </si>
  <si>
    <t>Catch-up window (days)</t>
  </si>
  <si>
    <t>A milestone this many calendar days old still shows as PAST DUE instead of being skipped.</t>
  </si>
  <si>
    <t>Shout-out wording</t>
  </si>
  <si>
    <t>Give {name} a shout-out on this date for {years} {yearword} with {company}.</t>
  </si>
  <si>
    <t>Lead Time, in Business Days</t>
  </si>
  <si>
    <t>Awards.com proof</t>
  </si>
  <si>
    <t>Proof within 2 business days. Source: Awards.com, awards.com/articles/award-engraving-lead-times, checked November 3, 2026.</t>
  </si>
  <si>
    <t>Your sign-off</t>
  </si>
  <si>
    <t>Awards.com default. Count everyone who has to approve the proof, and their calendars, then change it to fit.</t>
  </si>
  <si>
    <t>Production</t>
  </si>
  <si>
    <t>Stock awards: 5 to 7 business days after proof approval; 7 used here. Same source. Some unique or made-to-order pieces have their own production times, which are shown on the product page.</t>
  </si>
  <si>
    <t>Transit</t>
  </si>
  <si>
    <t>Awards.com default. Transit depends on destination, so ask for yours when you order. Same source.</t>
  </si>
  <si>
    <t>Standard lead time</t>
  </si>
  <si>
    <t>15 business days is 3 weeks, the same order-ahead time the source gives for one decoration method.</t>
  </si>
  <si>
    <t>Busy-season extra</t>
  </si>
  <si>
    <t>Added when the anniversary or the order-by date falls in the months below. Awards.com default, set so a mid-December date means ordering in early November, as the source advises.</t>
  </si>
  <si>
    <t>Busy season, first month</t>
  </si>
  <si>
    <t>Month number: 11 is November. A season can run across New Year, such as 11 to 1.</t>
  </si>
  <si>
    <t>Busy season, last month</t>
  </si>
  <si>
    <t>Your Milestones and Awards</t>
  </si>
  <si>
    <t>Use it? (Yes or No)</t>
  </si>
  <si>
    <t>Years of service</t>
  </si>
  <si>
    <t>Award SKU</t>
  </si>
  <si>
    <t>Award name</t>
  </si>
  <si>
    <t>Unit price ($)</t>
  </si>
  <si>
    <t>Extra business days</t>
  </si>
  <si>
    <t>Engraving line 1</t>
  </si>
  <si>
    <t>Engraving line 2</t>
  </si>
  <si>
    <t>Engraving line 3</t>
  </si>
  <si>
    <t>Engraving line 4</t>
  </si>
  <si>
    <t>Yes</t>
  </si>
  <si>
    <t>AWDV428-01</t>
  </si>
  <si>
    <t>Astoria VividPrint™ Award</t>
  </si>
  <si>
    <t>{company}</t>
  </si>
  <si>
    <t>In Recognition of {years} Year of Service</t>
  </si>
  <si>
    <t>{name}</t>
  </si>
  <si>
    <t>{date}</t>
  </si>
  <si>
    <t>AWDV428-03</t>
  </si>
  <si>
    <t>In Recognition of {years} Years of Service</t>
  </si>
  <si>
    <t>AWDV428-05</t>
  </si>
  <si>
    <t>AWDV428-10</t>
  </si>
  <si>
    <t>AWDV428-15</t>
  </si>
  <si>
    <t>AWDV428-20</t>
  </si>
  <si>
    <t>AWDV428-25</t>
  </si>
  <si>
    <t>AWDV428-30</t>
  </si>
  <si>
    <t>AWDV428-35</t>
  </si>
  <si>
    <t>AWDV428-40</t>
  </si>
  <si>
    <t>AWDV428-45</t>
  </si>
  <si>
    <t>AWDV428-50</t>
  </si>
  <si>
    <t>Years not listed here, or set to No, get a shout-out on the Anniversary Calendar, using the wording above, which can use {name}, {years}, {yearword} and {company}. Engraving lines can use {name}, {years}, {date} (the anniversary) and {company}. Use Extra business days for slower work. The source gives about 4 weeks for color fill or 3D crystal, so enter 5. Custom awards run 2 to 6 weeks after design approval, so ask us. Sample SKUs and prices were read from awards.com on November 3, 2026, for 1 award. Confirm them before you budget or order.</t>
  </si>
  <si>
    <t>Days Your Company or Carrier Is Closed</t>
  </si>
  <si>
    <t>Filled in with major US holidays through 2027. Add your own, and add next year's each year. Weekends are already skipped.</t>
  </si>
  <si>
    <t>Closed day 1</t>
  </si>
  <si>
    <t>Closed day 2</t>
  </si>
  <si>
    <t>Closed day 3</t>
  </si>
  <si>
    <t>Closed day 4</t>
  </si>
  <si>
    <t>Closed day 5</t>
  </si>
  <si>
    <t>Closed day 6</t>
  </si>
  <si>
    <t>Closed day 7</t>
  </si>
  <si>
    <t>Closed day 8</t>
  </si>
  <si>
    <t>Closed day 9</t>
  </si>
  <si>
    <t>Closed day 10</t>
  </si>
  <si>
    <t>Closed day 11</t>
  </si>
  <si>
    <t>Closed day 12</t>
  </si>
  <si>
    <t>Enter columns A to D. Columns E to H calculate. Holds 500 people.</t>
  </si>
  <si>
    <t>Employee name</t>
  </si>
  <si>
    <t>Hire date</t>
  </si>
  <si>
    <t>Location (optional)</t>
  </si>
  <si>
    <t>Already ordered through (years)</t>
  </si>
  <si>
    <t>Next milestone (years)</t>
  </si>
  <si>
    <t>Anniversary date</t>
  </si>
  <si>
    <t>Order by</t>
  </si>
  <si>
    <t>Status</t>
  </si>
  <si>
    <t>Sample Person 01</t>
  </si>
  <si>
    <t>Sample Office A</t>
  </si>
  <si>
    <t>Sample Person 02</t>
  </si>
  <si>
    <t>Sample Person 03</t>
  </si>
  <si>
    <t>Sample Office B</t>
  </si>
  <si>
    <t>Sample Person 04</t>
  </si>
  <si>
    <t>Sample Person 05</t>
  </si>
  <si>
    <t>Sample Person 06</t>
  </si>
  <si>
    <t>Sample Office C</t>
  </si>
  <si>
    <t>Sample Person 07</t>
  </si>
  <si>
    <t>Sample Person 08</t>
  </si>
  <si>
    <t>Sample Person 09</t>
  </si>
  <si>
    <t>Sample Person 10</t>
  </si>
  <si>
    <t>Sample Person 11</t>
  </si>
  <si>
    <t>Sample Person 12</t>
  </si>
  <si>
    <t>Anniversary Calendar</t>
  </si>
  <si>
    <t>Every employee's next anniversary in the 12 months from the Calendar starts date on Setup, soonest first. Overdue awards, and awards to order ahead of a later anniversary, are on the Order Calendar.</t>
  </si>
  <si>
    <t>Employee</t>
  </si>
  <si>
    <t>Location</t>
  </si>
  <si>
    <t>Years</t>
  </si>
  <si>
    <t>Type</t>
  </si>
  <si>
    <t>What to do</t>
  </si>
  <si>
    <t>Order Calendar</t>
  </si>
  <si>
    <t>Awards only. What to order and when, by order-by date, for the 12 months from the Calendar starts date on Setup.</t>
  </si>
  <si>
    <t>Order #</t>
  </si>
  <si>
    <t>Order month</t>
  </si>
  <si>
    <t>Milestone (years)</t>
  </si>
  <si>
    <t>Unit price</t>
  </si>
  <si>
    <t>All engraving lines, ready to send</t>
  </si>
  <si>
    <t>Budget</t>
  </si>
  <si>
    <t>Milestone anniversaries times award cost, by calendar year of the anniversary, from today's roster.</t>
  </si>
  <si>
    <t>Milestone Anniversaries per Year</t>
  </si>
  <si>
    <t>Total</t>
  </si>
  <si>
    <t>Award Cost per Year</t>
  </si>
  <si>
    <t>Other Anniversaries (Optional Cost)</t>
  </si>
  <si>
    <t>Years without a milestone award</t>
  </si>
  <si>
    <t>Shout-outs</t>
  </si>
  <si>
    <t>Cost for each (optional)</t>
  </si>
  <si>
    <t>Optional cost</t>
  </si>
  <si>
    <t>A shout-out costs nothing by default. Enter a cost only if you add a card or gift. The award totals above do not include it.</t>
  </si>
  <si>
    <t>Calculations for the other tabs. Do not edit.</t>
  </si>
  <si>
    <t>Orders in window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</si>
</sst>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 d\,\ yyyy"/>
    <numFmt numFmtId="165" formatCode="\$#,##0.00"/>
    <numFmt numFmtId="167" formatCode="#,##0;\-#,##0;&quot;-&quot;"/>
    <numFmt numFmtId="168" formatCode="\$#,##0.00;\-\$#,##0.00;&quot;-&quot;"/>
  </numFmts>
  <fonts count="11" x14ac:knownFonts="1">
    <font>
      <sz val="11"/>
      <color theme="1"/>
      <name val="Calibri"/>
      <family val="2"/>
      <scheme val="minor"/>
    </font>
    <font>
      <b/>
      <sz val="16"/>
      <color rgb="FF0E2D54"/>
      <name val="Arial"/>
      <family val="2"/>
    </font>
    <font>
      <sz val="10"/>
      <color rgb="FF666666"/>
      <name val="Arial"/>
      <family val="2"/>
    </font>
    <font>
      <b/>
      <sz val="12"/>
      <color rgb="FF0E2D54"/>
      <name val="Arial"/>
      <family val="2"/>
    </font>
    <font>
      <b/>
      <sz val="10"/>
      <color rgb="FF222222"/>
      <name val="Arial"/>
      <family val="2"/>
    </font>
    <font>
      <sz val="10"/>
      <color rgb="FF222222"/>
      <name val="Arial"/>
      <family val="2"/>
    </font>
    <font>
      <b/>
      <sz val="10"/>
      <color rgb="FF0000FF"/>
      <name val="Arial"/>
      <family val="2"/>
    </font>
    <font>
      <sz val="10"/>
      <color rgb="FF0000FF"/>
      <name val="Arial"/>
      <family val="2"/>
    </font>
    <font>
      <b/>
      <sz val="10"/>
      <color rgb="FFB00020"/>
      <name val="Arial"/>
      <family val="2"/>
    </font>
    <font>
      <b/>
      <sz val="10"/>
      <color rgb="FFFFFFFF"/>
      <name val="Arial"/>
      <family val="2"/>
    </font>
    <font>
      <b/>
      <sz val="10"/>
      <color rgb="FF0E2D54"/>
      <name val="Arial"/>
      <family val="2"/>
    </font>
  </fonts>
  <fills count="4">
    <fill>
      <patternFill patternType="none"/>
    </fill>
    <fill>
      <patternFill patternType="gray125"/>
    </fill>
    <fill>
      <patternFill patternType="solid">
        <fgColor rgb="FFF4F1EA"/>
      </patternFill>
    </fill>
    <fill>
      <patternFill patternType="solid">
        <fgColor rgb="FF0E2D54"/>
      </patternFill>
    </fill>
  </fills>
  <borders count="3">
    <border>
      <left/>
      <right/>
      <top/>
      <bottom/>
      <diagonal/>
    </border>
    <border>
      <left/>
      <right/>
      <top/>
      <bottom style="medium">
        <color rgb="FFC9A86A"/>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6">
    <xf numFmtId="0" fontId="0" fillId="0" borderId="0" xfId="0"/>
    <xf numFmtId="0" fontId="1" fillId="0" borderId="0" xfId="0" applyFont="1"/>
    <xf numFmtId="0" fontId="2" fillId="0" borderId="1" xfId="0" applyFont="1" applyBorder="1"/>
    <xf numFmtId="0" fontId="0" fillId="0" borderId="1" xfId="0" applyBorder="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6" fillId="2" borderId="0" xfId="0" applyFont="1" applyFill="1" applyAlignment="1">
      <alignment vertical="top" wrapText="1"/>
    </xf>
    <xf numFmtId="0" fontId="4" fillId="0" borderId="0" xfId="0" applyFont="1"/>
    <xf numFmtId="0" fontId="7" fillId="2" borderId="2" xfId="0" applyFont="1" applyFill="1" applyBorder="1"/>
    <xf numFmtId="0" fontId="2" fillId="0" borderId="0" xfId="0" applyFont="1"/>
    <xf numFmtId="164" fontId="7" fillId="2" borderId="2" xfId="0" applyNumberFormat="1" applyFont="1" applyFill="1" applyBorder="1"/>
    <xf numFmtId="1" fontId="7" fillId="2" borderId="2" xfId="0" applyNumberFormat="1" applyFont="1" applyFill="1" applyBorder="1"/>
    <xf numFmtId="1" fontId="4" fillId="0" borderId="2" xfId="0" applyNumberFormat="1" applyFont="1" applyBorder="1"/>
    <xf numFmtId="0" fontId="8" fillId="0" borderId="0" xfId="0" applyFont="1"/>
    <xf numFmtId="0" fontId="9" fillId="3" borderId="2" xfId="0" applyFont="1" applyFill="1" applyBorder="1" applyAlignment="1">
      <alignment vertical="center" wrapText="1"/>
    </xf>
    <xf numFmtId="165" fontId="7" fillId="2" borderId="2" xfId="0" applyNumberFormat="1" applyFont="1" applyFill="1" applyBorder="1"/>
    <xf numFmtId="0" fontId="5" fillId="0" borderId="0" xfId="0" applyFont="1"/>
    <xf numFmtId="0" fontId="10" fillId="0" borderId="0" xfId="0" applyFont="1"/>
    <xf numFmtId="1" fontId="5" fillId="0" borderId="2" xfId="0" applyNumberFormat="1" applyFont="1" applyBorder="1"/>
    <xf numFmtId="164" fontId="5" fillId="0" borderId="2" xfId="0" applyNumberFormat="1" applyFont="1" applyBorder="1"/>
    <xf numFmtId="0" fontId="5" fillId="0" borderId="2" xfId="0" applyFont="1" applyBorder="1"/>
    <xf numFmtId="0" fontId="5" fillId="0" borderId="2" xfId="0" applyFont="1" applyBorder="1" applyAlignment="1">
      <alignment vertical="top" wrapText="1"/>
    </xf>
    <xf numFmtId="165" fontId="5" fillId="0" borderId="2" xfId="0" applyNumberFormat="1" applyFont="1" applyBorder="1"/>
    <xf numFmtId="1" fontId="9" fillId="3" borderId="2" xfId="0" applyNumberFormat="1" applyFont="1" applyFill="1" applyBorder="1" applyAlignment="1">
      <alignment horizontal="right"/>
    </xf>
    <xf numFmtId="1" fontId="5" fillId="0" borderId="2" xfId="0" applyNumberFormat="1" applyFont="1" applyBorder="1" applyAlignment="1">
      <alignment horizontal="left"/>
    </xf>
    <xf numFmtId="167" fontId="5" fillId="0" borderId="2" xfId="0" applyNumberFormat="1" applyFont="1" applyBorder="1"/>
    <xf numFmtId="0" fontId="4" fillId="0" borderId="2" xfId="0" applyFont="1" applyBorder="1"/>
    <xf numFmtId="167" fontId="4" fillId="2" borderId="2" xfId="0" applyNumberFormat="1" applyFont="1" applyFill="1" applyBorder="1"/>
    <xf numFmtId="168" fontId="5" fillId="0" borderId="2" xfId="0" applyNumberFormat="1" applyFont="1" applyBorder="1"/>
    <xf numFmtId="168" fontId="4" fillId="2" borderId="2" xfId="0" applyNumberFormat="1" applyFont="1" applyFill="1" applyBorder="1"/>
    <xf numFmtId="168" fontId="7" fillId="2" borderId="2" xfId="0" applyNumberFormat="1" applyFont="1" applyFill="1" applyBorder="1"/>
    <xf numFmtId="164" fontId="0" fillId="0" borderId="0" xfId="0" applyNumberFormat="1"/>
    <xf numFmtId="0" fontId="7" fillId="2" borderId="2" xfId="0" applyFont="1" applyFill="1" applyBorder="1"/>
    <xf numFmtId="0" fontId="0" fillId="0" borderId="0" xfId="0"/>
    <xf numFmtId="0" fontId="10" fillId="0" borderId="0" xfId="0" applyFont="1" applyAlignment="1">
      <alignment vertical="top" wrapText="1"/>
    </xf>
  </cellXfs>
  <cellStyles count="1">
    <cellStyle name="Normal" xfId="0" builtinId="0"/>
  </cellStyles>
  <dxfs count="3">
    <dxf>
      <font>
        <b/>
        <color rgb="FFB00020"/>
      </font>
    </dxf>
    <dxf>
      <font>
        <b/>
        <color rgb="FFB00020"/>
      </font>
    </dxf>
    <dxf>
      <font>
        <b/>
        <color rgb="FFB0002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9A86A"/>
    <pageSetUpPr fitToPage="1"/>
  </sheetPr>
  <dimension ref="B1:C30"/>
  <sheetViews>
    <sheetView showGridLines="0" tabSelected="1" workbookViewId="0"/>
  </sheetViews>
  <sheetFormatPr baseColWidth="10" defaultColWidth="8.83203125" defaultRowHeight="15" x14ac:dyDescent="0.2"/>
  <cols>
    <col min="1" max="1" width="2" customWidth="1"/>
    <col min="2" max="2" width="26" customWidth="1"/>
    <col min="3" max="3" width="88" customWidth="1"/>
  </cols>
  <sheetData>
    <row r="1" spans="2:3" ht="26" customHeight="1" x14ac:dyDescent="0.2">
      <c r="B1" s="1" t="s">
        <v>0</v>
      </c>
    </row>
    <row r="2" spans="2:3" x14ac:dyDescent="0.2">
      <c r="B2" s="2" t="s">
        <v>1</v>
      </c>
      <c r="C2" s="3"/>
    </row>
    <row r="5" spans="2:3" ht="16" x14ac:dyDescent="0.2">
      <c r="B5" s="4" t="s">
        <v>2</v>
      </c>
    </row>
    <row r="6" spans="2:3" ht="30" customHeight="1" x14ac:dyDescent="0.2">
      <c r="B6" s="5" t="s">
        <v>3</v>
      </c>
      <c r="C6" s="6" t="s">
        <v>4</v>
      </c>
    </row>
    <row r="7" spans="2:3" ht="60" customHeight="1" x14ac:dyDescent="0.2">
      <c r="B7" s="5" t="s">
        <v>5</v>
      </c>
      <c r="C7" s="6" t="s">
        <v>6</v>
      </c>
    </row>
    <row r="8" spans="2:3" ht="45" customHeight="1" x14ac:dyDescent="0.2">
      <c r="B8" s="5" t="s">
        <v>7</v>
      </c>
      <c r="C8" s="6" t="s">
        <v>8</v>
      </c>
    </row>
    <row r="9" spans="2:3" ht="30" customHeight="1" x14ac:dyDescent="0.2">
      <c r="B9" s="5" t="s">
        <v>9</v>
      </c>
      <c r="C9" s="6" t="s">
        <v>10</v>
      </c>
    </row>
    <row r="10" spans="2:3" ht="30" customHeight="1" x14ac:dyDescent="0.2">
      <c r="B10" s="5" t="s">
        <v>11</v>
      </c>
      <c r="C10" s="6" t="s">
        <v>12</v>
      </c>
    </row>
    <row r="12" spans="2:3" ht="16" x14ac:dyDescent="0.2">
      <c r="B12" s="4" t="s">
        <v>13</v>
      </c>
    </row>
    <row r="13" spans="2:3" ht="30" customHeight="1" x14ac:dyDescent="0.2">
      <c r="B13" s="5" t="s">
        <v>14</v>
      </c>
      <c r="C13" s="6" t="s">
        <v>15</v>
      </c>
    </row>
    <row r="14" spans="2:3" ht="45" customHeight="1" x14ac:dyDescent="0.2">
      <c r="B14" s="5" t="s">
        <v>16</v>
      </c>
      <c r="C14" s="6" t="s">
        <v>17</v>
      </c>
    </row>
    <row r="16" spans="2:3" ht="16" x14ac:dyDescent="0.2">
      <c r="B16" s="4" t="s">
        <v>18</v>
      </c>
    </row>
    <row r="17" spans="2:3" ht="15" customHeight="1" x14ac:dyDescent="0.2">
      <c r="B17" s="7" t="s">
        <v>19</v>
      </c>
      <c r="C17" s="6" t="s">
        <v>20</v>
      </c>
    </row>
    <row r="18" spans="2:3" ht="15" customHeight="1" x14ac:dyDescent="0.2">
      <c r="B18" s="5" t="s">
        <v>21</v>
      </c>
      <c r="C18" s="6" t="s">
        <v>22</v>
      </c>
    </row>
    <row r="20" spans="2:3" ht="16" x14ac:dyDescent="0.2">
      <c r="B20" s="4" t="s">
        <v>23</v>
      </c>
    </row>
    <row r="21" spans="2:3" ht="45" customHeight="1" x14ac:dyDescent="0.2">
      <c r="B21" s="5" t="s">
        <v>24</v>
      </c>
      <c r="C21" s="6" t="s">
        <v>25</v>
      </c>
    </row>
    <row r="22" spans="2:3" ht="30" customHeight="1" x14ac:dyDescent="0.2">
      <c r="B22" s="5" t="s">
        <v>26</v>
      </c>
      <c r="C22" s="6" t="s">
        <v>27</v>
      </c>
    </row>
    <row r="23" spans="2:3" ht="15" customHeight="1" x14ac:dyDescent="0.2">
      <c r="B23" s="5" t="s">
        <v>28</v>
      </c>
      <c r="C23" s="6" t="s">
        <v>29</v>
      </c>
    </row>
    <row r="24" spans="2:3" ht="60" customHeight="1" x14ac:dyDescent="0.2">
      <c r="B24" s="5" t="s">
        <v>30</v>
      </c>
      <c r="C24" s="6" t="s">
        <v>31</v>
      </c>
    </row>
    <row r="26" spans="2:3" ht="16" x14ac:dyDescent="0.2">
      <c r="B26" s="4" t="s">
        <v>32</v>
      </c>
    </row>
    <row r="27" spans="2:3" ht="45" customHeight="1" x14ac:dyDescent="0.2">
      <c r="B27" s="5" t="s">
        <v>33</v>
      </c>
      <c r="C27" s="6" t="s">
        <v>34</v>
      </c>
    </row>
    <row r="29" spans="2:3" ht="16" x14ac:dyDescent="0.2">
      <c r="B29" s="4" t="s">
        <v>35</v>
      </c>
    </row>
    <row r="30" spans="2:3" ht="30" customHeight="1" x14ac:dyDescent="0.2">
      <c r="B30" s="5" t="s">
        <v>36</v>
      </c>
      <c r="C30" s="6" t="s">
        <v>37</v>
      </c>
    </row>
  </sheetData>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E2D54"/>
    <pageSetUpPr fitToPage="1"/>
  </sheetPr>
  <dimension ref="B1:L50"/>
  <sheetViews>
    <sheetView showGridLines="0" workbookViewId="0">
      <pane ySplit="2" topLeftCell="A3" activePane="bottomLeft" state="frozen"/>
      <selection pane="bottomLeft"/>
    </sheetView>
  </sheetViews>
  <sheetFormatPr baseColWidth="10" defaultColWidth="8.83203125" defaultRowHeight="15" x14ac:dyDescent="0.2"/>
  <cols>
    <col min="1" max="1" width="2" customWidth="1"/>
    <col min="2" max="2" width="24" customWidth="1"/>
    <col min="3" max="4" width="14" customWidth="1"/>
    <col min="5" max="5" width="26" customWidth="1"/>
    <col min="6" max="7" width="10" customWidth="1"/>
    <col min="8" max="8" width="26" customWidth="1"/>
    <col min="9" max="9" width="36" customWidth="1"/>
    <col min="10" max="11" width="18" customWidth="1"/>
  </cols>
  <sheetData>
    <row r="1" spans="2:12" ht="26" customHeight="1" x14ac:dyDescent="0.2">
      <c r="B1" s="1" t="s">
        <v>16</v>
      </c>
    </row>
    <row r="2" spans="2:12" x14ac:dyDescent="0.2">
      <c r="B2" s="2" t="s">
        <v>38</v>
      </c>
      <c r="C2" s="3"/>
      <c r="D2" s="3"/>
      <c r="E2" s="3"/>
      <c r="F2" s="3"/>
      <c r="G2" s="3"/>
      <c r="H2" s="3"/>
      <c r="I2" s="3"/>
      <c r="J2" s="3"/>
      <c r="K2" s="3"/>
      <c r="L2" s="3"/>
    </row>
    <row r="3" spans="2:12" ht="16" x14ac:dyDescent="0.2">
      <c r="B3" s="4" t="s">
        <v>39</v>
      </c>
    </row>
    <row r="4" spans="2:12" x14ac:dyDescent="0.2">
      <c r="B4" s="8" t="s">
        <v>40</v>
      </c>
      <c r="C4" s="9" t="s">
        <v>41</v>
      </c>
      <c r="D4" s="10" t="s">
        <v>42</v>
      </c>
    </row>
    <row r="5" spans="2:12" x14ac:dyDescent="0.2">
      <c r="B5" s="8" t="s">
        <v>43</v>
      </c>
      <c r="C5" s="11">
        <f ca="1">TODAY()</f>
        <v>46329</v>
      </c>
      <c r="D5" s="10" t="s">
        <v>44</v>
      </c>
    </row>
    <row r="6" spans="2:12" x14ac:dyDescent="0.2">
      <c r="B6" s="8" t="s">
        <v>45</v>
      </c>
      <c r="C6" s="12">
        <v>30</v>
      </c>
      <c r="D6" s="10" t="s">
        <v>46</v>
      </c>
    </row>
    <row r="7" spans="2:12" x14ac:dyDescent="0.2">
      <c r="B7" s="8" t="s">
        <v>47</v>
      </c>
      <c r="C7" s="33" t="s">
        <v>48</v>
      </c>
      <c r="D7" s="34"/>
      <c r="E7" s="34"/>
      <c r="F7" s="34"/>
      <c r="G7" s="34"/>
      <c r="H7" s="34"/>
      <c r="I7" s="34"/>
      <c r="J7" s="34"/>
      <c r="K7" s="34"/>
    </row>
    <row r="8" spans="2:12" ht="16" x14ac:dyDescent="0.2">
      <c r="B8" s="4" t="s">
        <v>49</v>
      </c>
    </row>
    <row r="9" spans="2:12" x14ac:dyDescent="0.2">
      <c r="B9" s="8" t="s">
        <v>50</v>
      </c>
      <c r="C9" s="12">
        <v>2</v>
      </c>
      <c r="D9" s="10" t="s">
        <v>51</v>
      </c>
    </row>
    <row r="10" spans="2:12" x14ac:dyDescent="0.2">
      <c r="B10" s="8" t="s">
        <v>52</v>
      </c>
      <c r="C10" s="12">
        <v>2</v>
      </c>
      <c r="D10" s="10" t="s">
        <v>53</v>
      </c>
    </row>
    <row r="11" spans="2:12" x14ac:dyDescent="0.2">
      <c r="B11" s="8" t="s">
        <v>54</v>
      </c>
      <c r="C11" s="12">
        <v>7</v>
      </c>
      <c r="D11" s="10" t="s">
        <v>55</v>
      </c>
    </row>
    <row r="12" spans="2:12" x14ac:dyDescent="0.2">
      <c r="B12" s="8" t="s">
        <v>56</v>
      </c>
      <c r="C12" s="12">
        <v>4</v>
      </c>
      <c r="D12" s="10" t="s">
        <v>57</v>
      </c>
    </row>
    <row r="13" spans="2:12" x14ac:dyDescent="0.2">
      <c r="B13" s="8" t="s">
        <v>58</v>
      </c>
      <c r="C13" s="13">
        <f>SUM(C9:C12)</f>
        <v>15</v>
      </c>
      <c r="D13" s="10" t="s">
        <v>59</v>
      </c>
    </row>
    <row r="14" spans="2:12" x14ac:dyDescent="0.2">
      <c r="B14" s="8" t="s">
        <v>60</v>
      </c>
      <c r="C14" s="12">
        <v>10</v>
      </c>
      <c r="D14" s="10" t="s">
        <v>61</v>
      </c>
    </row>
    <row r="15" spans="2:12" x14ac:dyDescent="0.2">
      <c r="B15" s="8" t="s">
        <v>62</v>
      </c>
      <c r="C15" s="12">
        <v>11</v>
      </c>
      <c r="D15" s="10" t="s">
        <v>63</v>
      </c>
    </row>
    <row r="16" spans="2:12" x14ac:dyDescent="0.2">
      <c r="B16" s="8" t="s">
        <v>64</v>
      </c>
      <c r="C16" s="12">
        <v>12</v>
      </c>
    </row>
    <row r="18" spans="2:11" ht="16" x14ac:dyDescent="0.2">
      <c r="B18" s="4" t="s">
        <v>65</v>
      </c>
      <c r="E18" s="14" t="str">
        <f>IF(COUNTIF(Calc!$AZ$20:$AZ$34,"&gt;1")&gt;0,"Two rows use the same years. Turn one off, or awards count twice.","")</f>
        <v/>
      </c>
    </row>
    <row r="19" spans="2:11" ht="42" customHeight="1" x14ac:dyDescent="0.2">
      <c r="B19" s="15" t="s">
        <v>66</v>
      </c>
      <c r="C19" s="15" t="s">
        <v>67</v>
      </c>
      <c r="D19" s="15" t="s">
        <v>68</v>
      </c>
      <c r="E19" s="15" t="s">
        <v>69</v>
      </c>
      <c r="F19" s="15" t="s">
        <v>70</v>
      </c>
      <c r="G19" s="15" t="s">
        <v>71</v>
      </c>
      <c r="H19" s="15" t="s">
        <v>72</v>
      </c>
      <c r="I19" s="15" t="s">
        <v>73</v>
      </c>
      <c r="J19" s="15" t="s">
        <v>74</v>
      </c>
      <c r="K19" s="15" t="s">
        <v>75</v>
      </c>
    </row>
    <row r="20" spans="2:11" x14ac:dyDescent="0.2">
      <c r="B20" s="9" t="s">
        <v>76</v>
      </c>
      <c r="C20" s="12">
        <v>1</v>
      </c>
      <c r="D20" s="9" t="s">
        <v>77</v>
      </c>
      <c r="E20" s="9" t="s">
        <v>78</v>
      </c>
      <c r="F20" s="16">
        <v>37.5</v>
      </c>
      <c r="G20" s="12">
        <v>0</v>
      </c>
      <c r="H20" s="9" t="s">
        <v>79</v>
      </c>
      <c r="I20" s="9" t="s">
        <v>80</v>
      </c>
      <c r="J20" s="9" t="s">
        <v>81</v>
      </c>
      <c r="K20" s="9" t="s">
        <v>82</v>
      </c>
    </row>
    <row r="21" spans="2:11" x14ac:dyDescent="0.2">
      <c r="B21" s="9" t="s">
        <v>76</v>
      </c>
      <c r="C21" s="12">
        <v>3</v>
      </c>
      <c r="D21" s="9" t="s">
        <v>83</v>
      </c>
      <c r="E21" s="9" t="s">
        <v>78</v>
      </c>
      <c r="F21" s="16">
        <v>40.5</v>
      </c>
      <c r="G21" s="12">
        <v>0</v>
      </c>
      <c r="H21" s="9" t="s">
        <v>79</v>
      </c>
      <c r="I21" s="9" t="s">
        <v>84</v>
      </c>
      <c r="J21" s="9" t="s">
        <v>81</v>
      </c>
      <c r="K21" s="9" t="s">
        <v>82</v>
      </c>
    </row>
    <row r="22" spans="2:11" x14ac:dyDescent="0.2">
      <c r="B22" s="9" t="s">
        <v>76</v>
      </c>
      <c r="C22" s="12">
        <v>5</v>
      </c>
      <c r="D22" s="9" t="s">
        <v>85</v>
      </c>
      <c r="E22" s="9" t="s">
        <v>78</v>
      </c>
      <c r="F22" s="16">
        <v>40.5</v>
      </c>
      <c r="G22" s="12">
        <v>0</v>
      </c>
      <c r="H22" s="9" t="s">
        <v>79</v>
      </c>
      <c r="I22" s="9" t="s">
        <v>84</v>
      </c>
      <c r="J22" s="9" t="s">
        <v>81</v>
      </c>
      <c r="K22" s="9" t="s">
        <v>82</v>
      </c>
    </row>
    <row r="23" spans="2:11" x14ac:dyDescent="0.2">
      <c r="B23" s="9" t="s">
        <v>76</v>
      </c>
      <c r="C23" s="12">
        <v>10</v>
      </c>
      <c r="D23" s="9" t="s">
        <v>86</v>
      </c>
      <c r="E23" s="9" t="s">
        <v>78</v>
      </c>
      <c r="F23" s="16">
        <v>48.5</v>
      </c>
      <c r="G23" s="12">
        <v>0</v>
      </c>
      <c r="H23" s="9" t="s">
        <v>79</v>
      </c>
      <c r="I23" s="9" t="s">
        <v>84</v>
      </c>
      <c r="J23" s="9" t="s">
        <v>81</v>
      </c>
      <c r="K23" s="9" t="s">
        <v>82</v>
      </c>
    </row>
    <row r="24" spans="2:11" x14ac:dyDescent="0.2">
      <c r="B24" s="9" t="s">
        <v>76</v>
      </c>
      <c r="C24" s="12">
        <v>15</v>
      </c>
      <c r="D24" s="9" t="s">
        <v>87</v>
      </c>
      <c r="E24" s="9" t="s">
        <v>78</v>
      </c>
      <c r="F24" s="16">
        <v>48.5</v>
      </c>
      <c r="G24" s="12">
        <v>0</v>
      </c>
      <c r="H24" s="9" t="s">
        <v>79</v>
      </c>
      <c r="I24" s="9" t="s">
        <v>84</v>
      </c>
      <c r="J24" s="9" t="s">
        <v>81</v>
      </c>
      <c r="K24" s="9" t="s">
        <v>82</v>
      </c>
    </row>
    <row r="25" spans="2:11" x14ac:dyDescent="0.2">
      <c r="B25" s="9" t="s">
        <v>76</v>
      </c>
      <c r="C25" s="12">
        <v>20</v>
      </c>
      <c r="D25" s="9" t="s">
        <v>88</v>
      </c>
      <c r="E25" s="9" t="s">
        <v>78</v>
      </c>
      <c r="F25" s="16">
        <v>55.5</v>
      </c>
      <c r="G25" s="12">
        <v>0</v>
      </c>
      <c r="H25" s="9" t="s">
        <v>79</v>
      </c>
      <c r="I25" s="9" t="s">
        <v>84</v>
      </c>
      <c r="J25" s="9" t="s">
        <v>81</v>
      </c>
      <c r="K25" s="9" t="s">
        <v>82</v>
      </c>
    </row>
    <row r="26" spans="2:11" x14ac:dyDescent="0.2">
      <c r="B26" s="9" t="s">
        <v>76</v>
      </c>
      <c r="C26" s="12">
        <v>25</v>
      </c>
      <c r="D26" s="9" t="s">
        <v>89</v>
      </c>
      <c r="E26" s="9" t="s">
        <v>78</v>
      </c>
      <c r="F26" s="16">
        <v>55.5</v>
      </c>
      <c r="G26" s="12">
        <v>0</v>
      </c>
      <c r="H26" s="9" t="s">
        <v>79</v>
      </c>
      <c r="I26" s="9" t="s">
        <v>84</v>
      </c>
      <c r="J26" s="9" t="s">
        <v>81</v>
      </c>
      <c r="K26" s="9" t="s">
        <v>82</v>
      </c>
    </row>
    <row r="27" spans="2:11" x14ac:dyDescent="0.2">
      <c r="B27" s="9" t="s">
        <v>76</v>
      </c>
      <c r="C27" s="12">
        <v>30</v>
      </c>
      <c r="D27" s="9" t="s">
        <v>90</v>
      </c>
      <c r="E27" s="9" t="s">
        <v>78</v>
      </c>
      <c r="F27" s="16">
        <v>55.5</v>
      </c>
      <c r="G27" s="12">
        <v>0</v>
      </c>
      <c r="H27" s="9" t="s">
        <v>79</v>
      </c>
      <c r="I27" s="9" t="s">
        <v>84</v>
      </c>
      <c r="J27" s="9" t="s">
        <v>81</v>
      </c>
      <c r="K27" s="9" t="s">
        <v>82</v>
      </c>
    </row>
    <row r="28" spans="2:11" x14ac:dyDescent="0.2">
      <c r="B28" s="9" t="s">
        <v>76</v>
      </c>
      <c r="C28" s="12">
        <v>35</v>
      </c>
      <c r="D28" s="9" t="s">
        <v>91</v>
      </c>
      <c r="E28" s="9" t="s">
        <v>78</v>
      </c>
      <c r="F28" s="16">
        <v>55.5</v>
      </c>
      <c r="G28" s="12">
        <v>0</v>
      </c>
      <c r="H28" s="9" t="s">
        <v>79</v>
      </c>
      <c r="I28" s="9" t="s">
        <v>84</v>
      </c>
      <c r="J28" s="9" t="s">
        <v>81</v>
      </c>
      <c r="K28" s="9" t="s">
        <v>82</v>
      </c>
    </row>
    <row r="29" spans="2:11" x14ac:dyDescent="0.2">
      <c r="B29" s="9" t="s">
        <v>76</v>
      </c>
      <c r="C29" s="12">
        <v>40</v>
      </c>
      <c r="D29" s="9" t="s">
        <v>92</v>
      </c>
      <c r="E29" s="9" t="s">
        <v>78</v>
      </c>
      <c r="F29" s="16">
        <v>55.5</v>
      </c>
      <c r="G29" s="12">
        <v>0</v>
      </c>
      <c r="H29" s="9" t="s">
        <v>79</v>
      </c>
      <c r="I29" s="9" t="s">
        <v>84</v>
      </c>
      <c r="J29" s="9" t="s">
        <v>81</v>
      </c>
      <c r="K29" s="9" t="s">
        <v>82</v>
      </c>
    </row>
    <row r="30" spans="2:11" x14ac:dyDescent="0.2">
      <c r="B30" s="9" t="s">
        <v>76</v>
      </c>
      <c r="C30" s="12">
        <v>45</v>
      </c>
      <c r="D30" s="9" t="s">
        <v>93</v>
      </c>
      <c r="E30" s="9" t="s">
        <v>78</v>
      </c>
      <c r="F30" s="16">
        <v>55.5</v>
      </c>
      <c r="G30" s="12">
        <v>0</v>
      </c>
      <c r="H30" s="9" t="s">
        <v>79</v>
      </c>
      <c r="I30" s="9" t="s">
        <v>84</v>
      </c>
      <c r="J30" s="9" t="s">
        <v>81</v>
      </c>
      <c r="K30" s="9" t="s">
        <v>82</v>
      </c>
    </row>
    <row r="31" spans="2:11" x14ac:dyDescent="0.2">
      <c r="B31" s="9" t="s">
        <v>76</v>
      </c>
      <c r="C31" s="12">
        <v>50</v>
      </c>
      <c r="D31" s="9" t="s">
        <v>94</v>
      </c>
      <c r="E31" s="9" t="s">
        <v>78</v>
      </c>
      <c r="F31" s="16">
        <v>55.5</v>
      </c>
      <c r="G31" s="12">
        <v>0</v>
      </c>
      <c r="H31" s="9" t="s">
        <v>79</v>
      </c>
      <c r="I31" s="9" t="s">
        <v>84</v>
      </c>
      <c r="J31" s="9" t="s">
        <v>81</v>
      </c>
      <c r="K31" s="9" t="s">
        <v>82</v>
      </c>
    </row>
    <row r="32" spans="2:11" x14ac:dyDescent="0.2">
      <c r="B32" s="9"/>
      <c r="C32" s="12"/>
      <c r="D32" s="9"/>
      <c r="E32" s="9"/>
      <c r="F32" s="16"/>
      <c r="G32" s="12"/>
      <c r="H32" s="9"/>
      <c r="I32" s="9"/>
      <c r="J32" s="9"/>
      <c r="K32" s="9"/>
    </row>
    <row r="33" spans="2:11" x14ac:dyDescent="0.2">
      <c r="B33" s="9"/>
      <c r="C33" s="12"/>
      <c r="D33" s="9"/>
      <c r="E33" s="9"/>
      <c r="F33" s="16"/>
      <c r="G33" s="12"/>
      <c r="H33" s="9"/>
      <c r="I33" s="9"/>
      <c r="J33" s="9"/>
      <c r="K33" s="9"/>
    </row>
    <row r="34" spans="2:11" x14ac:dyDescent="0.2">
      <c r="B34" s="9"/>
      <c r="C34" s="12"/>
      <c r="D34" s="9"/>
      <c r="E34" s="9"/>
      <c r="F34" s="16"/>
      <c r="G34" s="12"/>
      <c r="H34" s="9"/>
      <c r="I34" s="9"/>
      <c r="J34" s="9"/>
      <c r="K34" s="9"/>
    </row>
    <row r="35" spans="2:11" x14ac:dyDescent="0.2">
      <c r="B35" s="10" t="s">
        <v>95</v>
      </c>
    </row>
    <row r="37" spans="2:11" ht="16" x14ac:dyDescent="0.2">
      <c r="B37" s="4" t="s">
        <v>96</v>
      </c>
    </row>
    <row r="38" spans="2:11" x14ac:dyDescent="0.2">
      <c r="B38" s="10" t="s">
        <v>97</v>
      </c>
    </row>
    <row r="39" spans="2:11" x14ac:dyDescent="0.2">
      <c r="B39" s="17" t="s">
        <v>98</v>
      </c>
      <c r="C39" s="11">
        <v>46352</v>
      </c>
    </row>
    <row r="40" spans="2:11" x14ac:dyDescent="0.2">
      <c r="B40" s="17" t="s">
        <v>99</v>
      </c>
      <c r="C40" s="11">
        <v>46381</v>
      </c>
    </row>
    <row r="41" spans="2:11" x14ac:dyDescent="0.2">
      <c r="B41" s="17" t="s">
        <v>100</v>
      </c>
      <c r="C41" s="11">
        <v>46388</v>
      </c>
    </row>
    <row r="42" spans="2:11" x14ac:dyDescent="0.2">
      <c r="B42" s="17" t="s">
        <v>101</v>
      </c>
      <c r="C42" s="11">
        <v>46538</v>
      </c>
    </row>
    <row r="43" spans="2:11" x14ac:dyDescent="0.2">
      <c r="B43" s="17" t="s">
        <v>102</v>
      </c>
      <c r="C43" s="11">
        <v>46573</v>
      </c>
    </row>
    <row r="44" spans="2:11" x14ac:dyDescent="0.2">
      <c r="B44" s="17" t="s">
        <v>103</v>
      </c>
      <c r="C44" s="11">
        <v>46636</v>
      </c>
    </row>
    <row r="45" spans="2:11" x14ac:dyDescent="0.2">
      <c r="B45" s="17" t="s">
        <v>104</v>
      </c>
      <c r="C45" s="11">
        <v>46716</v>
      </c>
    </row>
    <row r="46" spans="2:11" x14ac:dyDescent="0.2">
      <c r="B46" s="17" t="s">
        <v>105</v>
      </c>
      <c r="C46" s="11">
        <v>46745</v>
      </c>
    </row>
    <row r="47" spans="2:11" x14ac:dyDescent="0.2">
      <c r="B47" s="17" t="s">
        <v>106</v>
      </c>
      <c r="C47" s="11">
        <v>46752</v>
      </c>
    </row>
    <row r="48" spans="2:11" x14ac:dyDescent="0.2">
      <c r="B48" s="17" t="s">
        <v>107</v>
      </c>
      <c r="C48" s="11"/>
    </row>
    <row r="49" spans="2:3" x14ac:dyDescent="0.2">
      <c r="B49" s="17" t="s">
        <v>108</v>
      </c>
      <c r="C49" s="11"/>
    </row>
    <row r="50" spans="2:3" x14ac:dyDescent="0.2">
      <c r="B50" s="17" t="s">
        <v>109</v>
      </c>
      <c r="C50" s="11"/>
    </row>
  </sheetData>
  <mergeCells count="1">
    <mergeCell ref="C7:K7"/>
  </mergeCells>
  <dataValidations count="6">
    <dataValidation type="list" allowBlank="1" showErrorMessage="1" errorTitle="Yes or No" error="Choose Yes or No." sqref="B20:B34" xr:uid="{00000000-0002-0000-0100-000000000000}">
      <formula1>"Yes,No"</formula1>
    </dataValidation>
    <dataValidation type="whole" allowBlank="1" showErrorMessage="1" errorTitle="Whole number" error="Enter a whole number from 0 to 100." sqref="C6 C9:C12 C14 G20:G34" xr:uid="{00000000-0002-0000-0100-000001000000}">
      <formula1>0</formula1>
      <formula2>100</formula2>
    </dataValidation>
    <dataValidation type="whole" allowBlank="1" showErrorMessage="1" errorTitle="Years" error="Enter a whole number of years, from 1 to 100." sqref="C20:C34" xr:uid="{00000000-0002-0000-0100-000002000000}">
      <formula1>1</formula1>
      <formula2>100</formula2>
    </dataValidation>
    <dataValidation type="whole" showErrorMessage="1" errorTitle="Month" error="Enter a month number from 1 to 12." sqref="C15:C16" xr:uid="{00000000-0002-0000-0100-000003000000}">
      <formula1>1</formula1>
      <formula2>12</formula2>
    </dataValidation>
    <dataValidation type="decimal" operator="greaterThanOrEqual" allowBlank="1" showErrorMessage="1" errorTitle="Price" error="Enter the price as a number." sqref="F20:F34" xr:uid="{00000000-0002-0000-0100-000004000000}">
      <formula1>0</formula1>
    </dataValidation>
    <dataValidation type="date" operator="greaterThan" allowBlank="1" showErrorMessage="1" errorTitle="Date" error="Enter a date, such as 11/25/2027." sqref="C39:C50" xr:uid="{00000000-0002-0000-0100-000005000000}">
      <formula1>1</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E2D54"/>
    <pageSetUpPr fitToPage="1"/>
  </sheetPr>
  <dimension ref="A1:H505"/>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26" customWidth="1"/>
    <col min="2" max="2" width="14" customWidth="1"/>
    <col min="3" max="3" width="20" customWidth="1"/>
    <col min="4" max="5" width="12" customWidth="1"/>
    <col min="6" max="7" width="15" customWidth="1"/>
    <col min="8" max="8" width="42" customWidth="1"/>
  </cols>
  <sheetData>
    <row r="1" spans="1:8" ht="26" customHeight="1" x14ac:dyDescent="0.2">
      <c r="A1" s="1" t="s">
        <v>14</v>
      </c>
      <c r="B1" s="1"/>
    </row>
    <row r="2" spans="1:8" x14ac:dyDescent="0.2">
      <c r="A2" s="10" t="s">
        <v>110</v>
      </c>
      <c r="B2" s="2"/>
      <c r="C2" s="3"/>
      <c r="D2" s="3"/>
      <c r="E2" s="3"/>
      <c r="F2" s="3"/>
      <c r="G2" s="3"/>
      <c r="H2" s="3"/>
    </row>
    <row r="3" spans="1:8" x14ac:dyDescent="0.2">
      <c r="A3" s="18" t="str">
        <f>IF(COUNT(B6:B505)=0,"Add names and hire dates below to fill the calendar.",COUNT(B6:B505)&amp;IF(COUNT(B6:B505)=1," person"," people")&amp;" with a hire date.")</f>
        <v>12 people with a hire date.</v>
      </c>
    </row>
    <row r="5" spans="1:8" ht="30" customHeight="1" x14ac:dyDescent="0.2">
      <c r="A5" s="15" t="s">
        <v>111</v>
      </c>
      <c r="B5" s="15" t="s">
        <v>112</v>
      </c>
      <c r="C5" s="15" t="s">
        <v>113</v>
      </c>
      <c r="D5" s="15" t="s">
        <v>114</v>
      </c>
      <c r="E5" s="15" t="s">
        <v>115</v>
      </c>
      <c r="F5" s="15" t="s">
        <v>116</v>
      </c>
      <c r="G5" s="15" t="s">
        <v>117</v>
      </c>
      <c r="H5" s="15" t="s">
        <v>118</v>
      </c>
    </row>
    <row r="6" spans="1:8" x14ac:dyDescent="0.2">
      <c r="A6" s="9" t="s">
        <v>119</v>
      </c>
      <c r="B6" s="11">
        <v>45981</v>
      </c>
      <c r="C6" s="9" t="s">
        <v>120</v>
      </c>
      <c r="D6" s="12"/>
      <c r="E6" s="19">
        <f ca="1">IF(Calc!$AI6="","",INDEX(Setup!$C$20:$C$34,Calc!$AI6))</f>
        <v>1</v>
      </c>
      <c r="F6" s="20">
        <f ca="1">IF(Calc!$AI6="","",INDEX(Calc!$B6:$P6,1,Calc!$AI6))</f>
        <v>46346</v>
      </c>
      <c r="G6" s="20">
        <f ca="1">IF(Calc!$AI6="","",INT(Calc!$AH6))</f>
        <v>46311</v>
      </c>
      <c r="H6" s="21" t="str">
        <f ca="1">IF(AND(A6="",B6=""),"",IF(NOT(ISNUMBER(B6)),"Check hire date: not a date",IF(Calc!$AI6="","No milestones left to order",IF(F6&lt;Setup!$C$5,"PAST DUE: milestone date has passed",IF(G6&lt;Setup!$C$5,"LATE: order today, ask about rush",IF(G6&lt;Setup!$C$5+14,"Order within 2 weeks","Scheduled"))))))</f>
        <v>LATE: order today, ask about rush</v>
      </c>
    </row>
    <row r="7" spans="1:8" x14ac:dyDescent="0.2">
      <c r="A7" s="9" t="s">
        <v>121</v>
      </c>
      <c r="B7" s="11">
        <v>45275</v>
      </c>
      <c r="C7" s="9" t="s">
        <v>120</v>
      </c>
      <c r="D7" s="12"/>
      <c r="E7" s="19">
        <f ca="1">IF(Calc!$AI7="","",INDEX(Setup!$C$20:$C$34,Calc!$AI7))</f>
        <v>3</v>
      </c>
      <c r="F7" s="20">
        <f ca="1">IF(Calc!$AI7="","",INDEX(Calc!$B7:$P7,1,Calc!$AI7))</f>
        <v>46371</v>
      </c>
      <c r="G7" s="20">
        <f ca="1">IF(Calc!$AI7="","",INT(Calc!$AH7))</f>
        <v>46335</v>
      </c>
      <c r="H7" s="21" t="str">
        <f ca="1">IF(AND(A7="",B7=""),"",IF(NOT(ISNUMBER(B7)),"Check hire date: not a date",IF(Calc!$AI7="","No milestones left to order",IF(F7&lt;Setup!$C$5,"PAST DUE: milestone date has passed",IF(G7&lt;Setup!$C$5,"LATE: order today, ask about rush",IF(G7&lt;Setup!$C$5+14,"Order within 2 weeks","Scheduled"))))))</f>
        <v>Order within 2 weeks</v>
      </c>
    </row>
    <row r="8" spans="1:8" x14ac:dyDescent="0.2">
      <c r="A8" s="9" t="s">
        <v>122</v>
      </c>
      <c r="B8" s="11">
        <v>44579</v>
      </c>
      <c r="C8" s="9" t="s">
        <v>123</v>
      </c>
      <c r="D8" s="12"/>
      <c r="E8" s="19">
        <f ca="1">IF(Calc!$AI8="","",INDEX(Setup!$C$20:$C$34,Calc!$AI8))</f>
        <v>5</v>
      </c>
      <c r="F8" s="20">
        <f ca="1">IF(Calc!$AI8="","",INDEX(Calc!$B8:$P8,1,Calc!$AI8))</f>
        <v>46405</v>
      </c>
      <c r="G8" s="20">
        <f ca="1">IF(Calc!$AI8="","",INT(Calc!$AH8))</f>
        <v>46366</v>
      </c>
      <c r="H8" s="21" t="str">
        <f ca="1">IF(AND(A8="",B8=""),"",IF(NOT(ISNUMBER(B8)),"Check hire date: not a date",IF(Calc!$AI8="","No milestones left to order",IF(F8&lt;Setup!$C$5,"PAST DUE: milestone date has passed",IF(G8&lt;Setup!$C$5,"LATE: order today, ask about rush",IF(G8&lt;Setup!$C$5+14,"Order within 2 weeks","Scheduled"))))))</f>
        <v>Scheduled</v>
      </c>
    </row>
    <row r="9" spans="1:8" x14ac:dyDescent="0.2">
      <c r="A9" s="9" t="s">
        <v>124</v>
      </c>
      <c r="B9" s="11">
        <v>42801</v>
      </c>
      <c r="C9" s="9" t="s">
        <v>123</v>
      </c>
      <c r="D9" s="12"/>
      <c r="E9" s="19">
        <f ca="1">IF(Calc!$AI9="","",INDEX(Setup!$C$20:$C$34,Calc!$AI9))</f>
        <v>10</v>
      </c>
      <c r="F9" s="20">
        <f ca="1">IF(Calc!$AI9="","",INDEX(Calc!$B9:$P9,1,Calc!$AI9))</f>
        <v>46453</v>
      </c>
      <c r="G9" s="20">
        <f ca="1">IF(Calc!$AI9="","",INT(Calc!$AH9))</f>
        <v>46433</v>
      </c>
      <c r="H9" s="21" t="str">
        <f ca="1">IF(AND(A9="",B9=""),"",IF(NOT(ISNUMBER(B9)),"Check hire date: not a date",IF(Calc!$AI9="","No milestones left to order",IF(F9&lt;Setup!$C$5,"PAST DUE: milestone date has passed",IF(G9&lt;Setup!$C$5,"LATE: order today, ask about rush",IF(G9&lt;Setup!$C$5+14,"Order within 2 weeks","Scheduled"))))))</f>
        <v>Scheduled</v>
      </c>
    </row>
    <row r="10" spans="1:8" x14ac:dyDescent="0.2">
      <c r="A10" s="9" t="s">
        <v>125</v>
      </c>
      <c r="B10" s="11">
        <v>41061</v>
      </c>
      <c r="C10" s="9" t="s">
        <v>120</v>
      </c>
      <c r="D10" s="12"/>
      <c r="E10" s="19">
        <f ca="1">IF(Calc!$AI10="","",INDEX(Setup!$C$20:$C$34,Calc!$AI10))</f>
        <v>15</v>
      </c>
      <c r="F10" s="20">
        <f ca="1">IF(Calc!$AI10="","",INDEX(Calc!$B10:$P10,1,Calc!$AI10))</f>
        <v>46539</v>
      </c>
      <c r="G10" s="20">
        <f ca="1">IF(Calc!$AI10="","",INT(Calc!$AH10))</f>
        <v>46517</v>
      </c>
      <c r="H10" s="21" t="str">
        <f ca="1">IF(AND(A10="",B10=""),"",IF(NOT(ISNUMBER(B10)),"Check hire date: not a date",IF(Calc!$AI10="","No milestones left to order",IF(F10&lt;Setup!$C$5,"PAST DUE: milestone date has passed",IF(G10&lt;Setup!$C$5,"LATE: order today, ask about rush",IF(G10&lt;Setup!$C$5+14,"Order within 2 weeks","Scheduled"))))))</f>
        <v>Scheduled</v>
      </c>
    </row>
    <row r="11" spans="1:8" x14ac:dyDescent="0.2">
      <c r="A11" s="9" t="s">
        <v>126</v>
      </c>
      <c r="B11" s="11">
        <v>45351</v>
      </c>
      <c r="C11" s="9" t="s">
        <v>127</v>
      </c>
      <c r="D11" s="12"/>
      <c r="E11" s="19">
        <f ca="1">IF(Calc!$AI11="","",INDEX(Setup!$C$20:$C$34,Calc!$AI11))</f>
        <v>3</v>
      </c>
      <c r="F11" s="20">
        <f ca="1">IF(Calc!$AI11="","",INDEX(Calc!$B11:$P11,1,Calc!$AI11))</f>
        <v>46446</v>
      </c>
      <c r="G11" s="20">
        <f ca="1">IF(Calc!$AI11="","",INT(Calc!$AH11))</f>
        <v>46426</v>
      </c>
      <c r="H11" s="21" t="str">
        <f ca="1">IF(AND(A11="",B11=""),"",IF(NOT(ISNUMBER(B11)),"Check hire date: not a date",IF(Calc!$AI11="","No milestones left to order",IF(F11&lt;Setup!$C$5,"PAST DUE: milestone date has passed",IF(G11&lt;Setup!$C$5,"LATE: order today, ask about rush",IF(G11&lt;Setup!$C$5+14,"Order within 2 weeks","Scheduled"))))))</f>
        <v>Scheduled</v>
      </c>
    </row>
    <row r="12" spans="1:8" x14ac:dyDescent="0.2">
      <c r="A12" s="9" t="s">
        <v>128</v>
      </c>
      <c r="B12" s="11">
        <v>39184</v>
      </c>
      <c r="C12" s="9" t="s">
        <v>120</v>
      </c>
      <c r="D12" s="12"/>
      <c r="E12" s="19">
        <f ca="1">IF(Calc!$AI12="","",INDEX(Setup!$C$20:$C$34,Calc!$AI12))</f>
        <v>20</v>
      </c>
      <c r="F12" s="20">
        <f ca="1">IF(Calc!$AI12="","",INDEX(Calc!$B12:$P12,1,Calc!$AI12))</f>
        <v>46489</v>
      </c>
      <c r="G12" s="20">
        <f ca="1">IF(Calc!$AI12="","",INT(Calc!$AH12))</f>
        <v>46468</v>
      </c>
      <c r="H12" s="21" t="str">
        <f ca="1">IF(AND(A12="",B12=""),"",IF(NOT(ISNUMBER(B12)),"Check hire date: not a date",IF(Calc!$AI12="","No milestones left to order",IF(F12&lt;Setup!$C$5,"PAST DUE: milestone date has passed",IF(G12&lt;Setup!$C$5,"LATE: order today, ask about rush",IF(G12&lt;Setup!$C$5+14,"Order within 2 weeks","Scheduled"))))))</f>
        <v>Scheduled</v>
      </c>
    </row>
    <row r="13" spans="1:8" x14ac:dyDescent="0.2">
      <c r="A13" s="9" t="s">
        <v>129</v>
      </c>
      <c r="B13" s="11">
        <v>37488</v>
      </c>
      <c r="C13" s="9" t="s">
        <v>127</v>
      </c>
      <c r="D13" s="12"/>
      <c r="E13" s="19">
        <f ca="1">IF(Calc!$AI13="","",INDEX(Setup!$C$20:$C$34,Calc!$AI13))</f>
        <v>25</v>
      </c>
      <c r="F13" s="20">
        <f ca="1">IF(Calc!$AI13="","",INDEX(Calc!$B13:$P13,1,Calc!$AI13))</f>
        <v>46619</v>
      </c>
      <c r="G13" s="20">
        <f ca="1">IF(Calc!$AI13="","",INT(Calc!$AH13))</f>
        <v>46598</v>
      </c>
      <c r="H13" s="21" t="str">
        <f ca="1">IF(AND(A13="",B13=""),"",IF(NOT(ISNUMBER(B13)),"Check hire date: not a date",IF(Calc!$AI13="","No milestones left to order",IF(F13&lt;Setup!$C$5,"PAST DUE: milestone date has passed",IF(G13&lt;Setup!$C$5,"LATE: order today, ask about rush",IF(G13&lt;Setup!$C$5+14,"Order within 2 weeks","Scheduled"))))))</f>
        <v>Scheduled</v>
      </c>
    </row>
    <row r="14" spans="1:8" x14ac:dyDescent="0.2">
      <c r="A14" s="9" t="s">
        <v>130</v>
      </c>
      <c r="B14" s="11">
        <v>35682</v>
      </c>
      <c r="C14" s="9" t="s">
        <v>123</v>
      </c>
      <c r="D14" s="12"/>
      <c r="E14" s="19">
        <f ca="1">IF(Calc!$AI14="","",INDEX(Setup!$C$20:$C$34,Calc!$AI14))</f>
        <v>30</v>
      </c>
      <c r="F14" s="20">
        <f ca="1">IF(Calc!$AI14="","",INDEX(Calc!$B14:$P14,1,Calc!$AI14))</f>
        <v>46639</v>
      </c>
      <c r="G14" s="20">
        <f ca="1">IF(Calc!$AI14="","",INT(Calc!$AH14))</f>
        <v>46617</v>
      </c>
      <c r="H14" s="21" t="str">
        <f ca="1">IF(AND(A14="",B14=""),"",IF(NOT(ISNUMBER(B14)),"Check hire date: not a date",IF(Calc!$AI14="","No milestones left to order",IF(F14&lt;Setup!$C$5,"PAST DUE: milestone date has passed",IF(G14&lt;Setup!$C$5,"LATE: order today, ask about rush",IF(G14&lt;Setup!$C$5+14,"Order within 2 weeks","Scheduled"))))))</f>
        <v>Scheduled</v>
      </c>
    </row>
    <row r="15" spans="1:8" x14ac:dyDescent="0.2">
      <c r="A15" s="9" t="s">
        <v>131</v>
      </c>
      <c r="B15" s="11">
        <v>44489</v>
      </c>
      <c r="C15" s="9" t="s">
        <v>120</v>
      </c>
      <c r="D15" s="12"/>
      <c r="E15" s="19">
        <f ca="1">IF(Calc!$AI15="","",INDEX(Setup!$C$20:$C$34,Calc!$AI15))</f>
        <v>5</v>
      </c>
      <c r="F15" s="20">
        <f ca="1">IF(Calc!$AI15="","",INDEX(Calc!$B15:$P15,1,Calc!$AI15))</f>
        <v>46315</v>
      </c>
      <c r="G15" s="20">
        <f ca="1">IF(Calc!$AI15="","",INT(Calc!$AH15))</f>
        <v>46294</v>
      </c>
      <c r="H15" s="21" t="str">
        <f ca="1">IF(AND(A15="",B15=""),"",IF(NOT(ISNUMBER(B15)),"Check hire date: not a date",IF(Calc!$AI15="","No milestones left to order",IF(F15&lt;Setup!$C$5,"PAST DUE: milestone date has passed",IF(G15&lt;Setup!$C$5,"LATE: order today, ask about rush",IF(G15&lt;Setup!$C$5+14,"Order within 2 weeks","Scheduled"))))))</f>
        <v>PAST DUE: milestone date has passed</v>
      </c>
    </row>
    <row r="16" spans="1:8" x14ac:dyDescent="0.2">
      <c r="A16" s="9" t="s">
        <v>132</v>
      </c>
      <c r="B16" s="11">
        <v>45782</v>
      </c>
      <c r="C16" s="9" t="s">
        <v>123</v>
      </c>
      <c r="D16" s="12"/>
      <c r="E16" s="19">
        <f ca="1">IF(Calc!$AI16="","",INDEX(Setup!$C$20:$C$34,Calc!$AI16))</f>
        <v>3</v>
      </c>
      <c r="F16" s="20">
        <f ca="1">IF(Calc!$AI16="","",INDEX(Calc!$B16:$P16,1,Calc!$AI16))</f>
        <v>46878</v>
      </c>
      <c r="G16" s="20">
        <f ca="1">IF(Calc!$AI16="","",INT(Calc!$AH16))</f>
        <v>46857</v>
      </c>
      <c r="H16" s="21" t="str">
        <f ca="1">IF(AND(A16="",B16=""),"",IF(NOT(ISNUMBER(B16)),"Check hire date: not a date",IF(Calc!$AI16="","No milestones left to order",IF(F16&lt;Setup!$C$5,"PAST DUE: milestone date has passed",IF(G16&lt;Setup!$C$5,"LATE: order today, ask about rush",IF(G16&lt;Setup!$C$5+14,"Order within 2 weeks","Scheduled"))))))</f>
        <v>Scheduled</v>
      </c>
    </row>
    <row r="17" spans="1:8" x14ac:dyDescent="0.2">
      <c r="A17" s="9" t="s">
        <v>133</v>
      </c>
      <c r="B17" s="11">
        <v>46034</v>
      </c>
      <c r="C17" s="9" t="s">
        <v>127</v>
      </c>
      <c r="D17" s="12"/>
      <c r="E17" s="19">
        <f ca="1">IF(Calc!$AI17="","",INDEX(Setup!$C$20:$C$34,Calc!$AI17))</f>
        <v>1</v>
      </c>
      <c r="F17" s="20">
        <f ca="1">IF(Calc!$AI17="","",INDEX(Calc!$B17:$P17,1,Calc!$AI17))</f>
        <v>46399</v>
      </c>
      <c r="G17" s="20">
        <f ca="1">IF(Calc!$AI17="","",INT(Calc!$AH17))</f>
        <v>46360</v>
      </c>
      <c r="H17" s="21" t="str">
        <f ca="1">IF(AND(A17="",B17=""),"",IF(NOT(ISNUMBER(B17)),"Check hire date: not a date",IF(Calc!$AI17="","No milestones left to order",IF(F17&lt;Setup!$C$5,"PAST DUE: milestone date has passed",IF(G17&lt;Setup!$C$5,"LATE: order today, ask about rush",IF(G17&lt;Setup!$C$5+14,"Order within 2 weeks","Scheduled"))))))</f>
        <v>Scheduled</v>
      </c>
    </row>
    <row r="18" spans="1:8" x14ac:dyDescent="0.2">
      <c r="A18" s="9"/>
      <c r="B18" s="11"/>
      <c r="C18" s="9"/>
      <c r="D18" s="12"/>
      <c r="E18" s="19" t="str">
        <f>IF(Calc!$AI18="","",INDEX(Setup!$C$20:$C$34,Calc!$AI18))</f>
        <v/>
      </c>
      <c r="F18" s="20" t="str">
        <f>IF(Calc!$AI18="","",INDEX(Calc!$B18:$P18,1,Calc!$AI18))</f>
        <v/>
      </c>
      <c r="G18" s="20" t="str">
        <f>IF(Calc!$AI18="","",INT(Calc!$AH18))</f>
        <v/>
      </c>
      <c r="H18" s="21" t="str">
        <f>IF(AND(A18="",B18=""),"",IF(NOT(ISNUMBER(B18)),"Check hire date: not a date",IF(Calc!$AI18="","No milestones left to order",IF(F18&lt;Setup!$C$5,"PAST DUE: milestone date has passed",IF(G18&lt;Setup!$C$5,"LATE: order today, ask about rush",IF(G18&lt;Setup!$C$5+14,"Order within 2 weeks","Scheduled"))))))</f>
        <v/>
      </c>
    </row>
    <row r="19" spans="1:8" x14ac:dyDescent="0.2">
      <c r="A19" s="9"/>
      <c r="B19" s="11"/>
      <c r="C19" s="9"/>
      <c r="D19" s="12"/>
      <c r="E19" s="19" t="str">
        <f>IF(Calc!$AI19="","",INDEX(Setup!$C$20:$C$34,Calc!$AI19))</f>
        <v/>
      </c>
      <c r="F19" s="20" t="str">
        <f>IF(Calc!$AI19="","",INDEX(Calc!$B19:$P19,1,Calc!$AI19))</f>
        <v/>
      </c>
      <c r="G19" s="20" t="str">
        <f>IF(Calc!$AI19="","",INT(Calc!$AH19))</f>
        <v/>
      </c>
      <c r="H19" s="21" t="str">
        <f>IF(AND(A19="",B19=""),"",IF(NOT(ISNUMBER(B19)),"Check hire date: not a date",IF(Calc!$AI19="","No milestones left to order",IF(F19&lt;Setup!$C$5,"PAST DUE: milestone date has passed",IF(G19&lt;Setup!$C$5,"LATE: order today, ask about rush",IF(G19&lt;Setup!$C$5+14,"Order within 2 weeks","Scheduled"))))))</f>
        <v/>
      </c>
    </row>
    <row r="20" spans="1:8" x14ac:dyDescent="0.2">
      <c r="A20" s="9"/>
      <c r="B20" s="11"/>
      <c r="C20" s="9"/>
      <c r="D20" s="12"/>
      <c r="E20" s="19" t="str">
        <f>IF(Calc!$AI20="","",INDEX(Setup!$C$20:$C$34,Calc!$AI20))</f>
        <v/>
      </c>
      <c r="F20" s="20" t="str">
        <f>IF(Calc!$AI20="","",INDEX(Calc!$B20:$P20,1,Calc!$AI20))</f>
        <v/>
      </c>
      <c r="G20" s="20" t="str">
        <f>IF(Calc!$AI20="","",INT(Calc!$AH20))</f>
        <v/>
      </c>
      <c r="H20" s="21" t="str">
        <f>IF(AND(A20="",B20=""),"",IF(NOT(ISNUMBER(B20)),"Check hire date: not a date",IF(Calc!$AI20="","No milestones left to order",IF(F20&lt;Setup!$C$5,"PAST DUE: milestone date has passed",IF(G20&lt;Setup!$C$5,"LATE: order today, ask about rush",IF(G20&lt;Setup!$C$5+14,"Order within 2 weeks","Scheduled"))))))</f>
        <v/>
      </c>
    </row>
    <row r="21" spans="1:8" x14ac:dyDescent="0.2">
      <c r="A21" s="9"/>
      <c r="B21" s="11"/>
      <c r="C21" s="9"/>
      <c r="D21" s="12"/>
      <c r="E21" s="19" t="str">
        <f>IF(Calc!$AI21="","",INDEX(Setup!$C$20:$C$34,Calc!$AI21))</f>
        <v/>
      </c>
      <c r="F21" s="20" t="str">
        <f>IF(Calc!$AI21="","",INDEX(Calc!$B21:$P21,1,Calc!$AI21))</f>
        <v/>
      </c>
      <c r="G21" s="20" t="str">
        <f>IF(Calc!$AI21="","",INT(Calc!$AH21))</f>
        <v/>
      </c>
      <c r="H21" s="21" t="str">
        <f>IF(AND(A21="",B21=""),"",IF(NOT(ISNUMBER(B21)),"Check hire date: not a date",IF(Calc!$AI21="","No milestones left to order",IF(F21&lt;Setup!$C$5,"PAST DUE: milestone date has passed",IF(G21&lt;Setup!$C$5,"LATE: order today, ask about rush",IF(G21&lt;Setup!$C$5+14,"Order within 2 weeks","Scheduled"))))))</f>
        <v/>
      </c>
    </row>
    <row r="22" spans="1:8" x14ac:dyDescent="0.2">
      <c r="A22" s="9"/>
      <c r="B22" s="11"/>
      <c r="C22" s="9"/>
      <c r="D22" s="12"/>
      <c r="E22" s="19" t="str">
        <f>IF(Calc!$AI22="","",INDEX(Setup!$C$20:$C$34,Calc!$AI22))</f>
        <v/>
      </c>
      <c r="F22" s="20" t="str">
        <f>IF(Calc!$AI22="","",INDEX(Calc!$B22:$P22,1,Calc!$AI22))</f>
        <v/>
      </c>
      <c r="G22" s="20" t="str">
        <f>IF(Calc!$AI22="","",INT(Calc!$AH22))</f>
        <v/>
      </c>
      <c r="H22" s="21" t="str">
        <f>IF(AND(A22="",B22=""),"",IF(NOT(ISNUMBER(B22)),"Check hire date: not a date",IF(Calc!$AI22="","No milestones left to order",IF(F22&lt;Setup!$C$5,"PAST DUE: milestone date has passed",IF(G22&lt;Setup!$C$5,"LATE: order today, ask about rush",IF(G22&lt;Setup!$C$5+14,"Order within 2 weeks","Scheduled"))))))</f>
        <v/>
      </c>
    </row>
    <row r="23" spans="1:8" x14ac:dyDescent="0.2">
      <c r="A23" s="9"/>
      <c r="B23" s="11"/>
      <c r="C23" s="9"/>
      <c r="D23" s="12"/>
      <c r="E23" s="19" t="str">
        <f>IF(Calc!$AI23="","",INDEX(Setup!$C$20:$C$34,Calc!$AI23))</f>
        <v/>
      </c>
      <c r="F23" s="20" t="str">
        <f>IF(Calc!$AI23="","",INDEX(Calc!$B23:$P23,1,Calc!$AI23))</f>
        <v/>
      </c>
      <c r="G23" s="20" t="str">
        <f>IF(Calc!$AI23="","",INT(Calc!$AH23))</f>
        <v/>
      </c>
      <c r="H23" s="21" t="str">
        <f>IF(AND(A23="",B23=""),"",IF(NOT(ISNUMBER(B23)),"Check hire date: not a date",IF(Calc!$AI23="","No milestones left to order",IF(F23&lt;Setup!$C$5,"PAST DUE: milestone date has passed",IF(G23&lt;Setup!$C$5,"LATE: order today, ask about rush",IF(G23&lt;Setup!$C$5+14,"Order within 2 weeks","Scheduled"))))))</f>
        <v/>
      </c>
    </row>
    <row r="24" spans="1:8" x14ac:dyDescent="0.2">
      <c r="A24" s="9"/>
      <c r="B24" s="11"/>
      <c r="C24" s="9"/>
      <c r="D24" s="12"/>
      <c r="E24" s="19" t="str">
        <f>IF(Calc!$AI24="","",INDEX(Setup!$C$20:$C$34,Calc!$AI24))</f>
        <v/>
      </c>
      <c r="F24" s="20" t="str">
        <f>IF(Calc!$AI24="","",INDEX(Calc!$B24:$P24,1,Calc!$AI24))</f>
        <v/>
      </c>
      <c r="G24" s="20" t="str">
        <f>IF(Calc!$AI24="","",INT(Calc!$AH24))</f>
        <v/>
      </c>
      <c r="H24" s="21" t="str">
        <f>IF(AND(A24="",B24=""),"",IF(NOT(ISNUMBER(B24)),"Check hire date: not a date",IF(Calc!$AI24="","No milestones left to order",IF(F24&lt;Setup!$C$5,"PAST DUE: milestone date has passed",IF(G24&lt;Setup!$C$5,"LATE: order today, ask about rush",IF(G24&lt;Setup!$C$5+14,"Order within 2 weeks","Scheduled"))))))</f>
        <v/>
      </c>
    </row>
    <row r="25" spans="1:8" x14ac:dyDescent="0.2">
      <c r="A25" s="9"/>
      <c r="B25" s="11"/>
      <c r="C25" s="9"/>
      <c r="D25" s="12"/>
      <c r="E25" s="19" t="str">
        <f>IF(Calc!$AI25="","",INDEX(Setup!$C$20:$C$34,Calc!$AI25))</f>
        <v/>
      </c>
      <c r="F25" s="20" t="str">
        <f>IF(Calc!$AI25="","",INDEX(Calc!$B25:$P25,1,Calc!$AI25))</f>
        <v/>
      </c>
      <c r="G25" s="20" t="str">
        <f>IF(Calc!$AI25="","",INT(Calc!$AH25))</f>
        <v/>
      </c>
      <c r="H25" s="21" t="str">
        <f>IF(AND(A25="",B25=""),"",IF(NOT(ISNUMBER(B25)),"Check hire date: not a date",IF(Calc!$AI25="","No milestones left to order",IF(F25&lt;Setup!$C$5,"PAST DUE: milestone date has passed",IF(G25&lt;Setup!$C$5,"LATE: order today, ask about rush",IF(G25&lt;Setup!$C$5+14,"Order within 2 weeks","Scheduled"))))))</f>
        <v/>
      </c>
    </row>
    <row r="26" spans="1:8" x14ac:dyDescent="0.2">
      <c r="A26" s="9"/>
      <c r="B26" s="11"/>
      <c r="C26" s="9"/>
      <c r="D26" s="12"/>
      <c r="E26" s="19" t="str">
        <f>IF(Calc!$AI26="","",INDEX(Setup!$C$20:$C$34,Calc!$AI26))</f>
        <v/>
      </c>
      <c r="F26" s="20" t="str">
        <f>IF(Calc!$AI26="","",INDEX(Calc!$B26:$P26,1,Calc!$AI26))</f>
        <v/>
      </c>
      <c r="G26" s="20" t="str">
        <f>IF(Calc!$AI26="","",INT(Calc!$AH26))</f>
        <v/>
      </c>
      <c r="H26" s="21" t="str">
        <f>IF(AND(A26="",B26=""),"",IF(NOT(ISNUMBER(B26)),"Check hire date: not a date",IF(Calc!$AI26="","No milestones left to order",IF(F26&lt;Setup!$C$5,"PAST DUE: milestone date has passed",IF(G26&lt;Setup!$C$5,"LATE: order today, ask about rush",IF(G26&lt;Setup!$C$5+14,"Order within 2 weeks","Scheduled"))))))</f>
        <v/>
      </c>
    </row>
    <row r="27" spans="1:8" x14ac:dyDescent="0.2">
      <c r="A27" s="9"/>
      <c r="B27" s="11"/>
      <c r="C27" s="9"/>
      <c r="D27" s="12"/>
      <c r="E27" s="19" t="str">
        <f>IF(Calc!$AI27="","",INDEX(Setup!$C$20:$C$34,Calc!$AI27))</f>
        <v/>
      </c>
      <c r="F27" s="20" t="str">
        <f>IF(Calc!$AI27="","",INDEX(Calc!$B27:$P27,1,Calc!$AI27))</f>
        <v/>
      </c>
      <c r="G27" s="20" t="str">
        <f>IF(Calc!$AI27="","",INT(Calc!$AH27))</f>
        <v/>
      </c>
      <c r="H27" s="21" t="str">
        <f>IF(AND(A27="",B27=""),"",IF(NOT(ISNUMBER(B27)),"Check hire date: not a date",IF(Calc!$AI27="","No milestones left to order",IF(F27&lt;Setup!$C$5,"PAST DUE: milestone date has passed",IF(G27&lt;Setup!$C$5,"LATE: order today, ask about rush",IF(G27&lt;Setup!$C$5+14,"Order within 2 weeks","Scheduled"))))))</f>
        <v/>
      </c>
    </row>
    <row r="28" spans="1:8" x14ac:dyDescent="0.2">
      <c r="A28" s="9"/>
      <c r="B28" s="11"/>
      <c r="C28" s="9"/>
      <c r="D28" s="12"/>
      <c r="E28" s="19" t="str">
        <f>IF(Calc!$AI28="","",INDEX(Setup!$C$20:$C$34,Calc!$AI28))</f>
        <v/>
      </c>
      <c r="F28" s="20" t="str">
        <f>IF(Calc!$AI28="","",INDEX(Calc!$B28:$P28,1,Calc!$AI28))</f>
        <v/>
      </c>
      <c r="G28" s="20" t="str">
        <f>IF(Calc!$AI28="","",INT(Calc!$AH28))</f>
        <v/>
      </c>
      <c r="H28" s="21" t="str">
        <f>IF(AND(A28="",B28=""),"",IF(NOT(ISNUMBER(B28)),"Check hire date: not a date",IF(Calc!$AI28="","No milestones left to order",IF(F28&lt;Setup!$C$5,"PAST DUE: milestone date has passed",IF(G28&lt;Setup!$C$5,"LATE: order today, ask about rush",IF(G28&lt;Setup!$C$5+14,"Order within 2 weeks","Scheduled"))))))</f>
        <v/>
      </c>
    </row>
    <row r="29" spans="1:8" x14ac:dyDescent="0.2">
      <c r="A29" s="9"/>
      <c r="B29" s="11"/>
      <c r="C29" s="9"/>
      <c r="D29" s="12"/>
      <c r="E29" s="19" t="str">
        <f>IF(Calc!$AI29="","",INDEX(Setup!$C$20:$C$34,Calc!$AI29))</f>
        <v/>
      </c>
      <c r="F29" s="20" t="str">
        <f>IF(Calc!$AI29="","",INDEX(Calc!$B29:$P29,1,Calc!$AI29))</f>
        <v/>
      </c>
      <c r="G29" s="20" t="str">
        <f>IF(Calc!$AI29="","",INT(Calc!$AH29))</f>
        <v/>
      </c>
      <c r="H29" s="21" t="str">
        <f>IF(AND(A29="",B29=""),"",IF(NOT(ISNUMBER(B29)),"Check hire date: not a date",IF(Calc!$AI29="","No milestones left to order",IF(F29&lt;Setup!$C$5,"PAST DUE: milestone date has passed",IF(G29&lt;Setup!$C$5,"LATE: order today, ask about rush",IF(G29&lt;Setup!$C$5+14,"Order within 2 weeks","Scheduled"))))))</f>
        <v/>
      </c>
    </row>
    <row r="30" spans="1:8" x14ac:dyDescent="0.2">
      <c r="A30" s="9"/>
      <c r="B30" s="11"/>
      <c r="C30" s="9"/>
      <c r="D30" s="12"/>
      <c r="E30" s="19" t="str">
        <f>IF(Calc!$AI30="","",INDEX(Setup!$C$20:$C$34,Calc!$AI30))</f>
        <v/>
      </c>
      <c r="F30" s="20" t="str">
        <f>IF(Calc!$AI30="","",INDEX(Calc!$B30:$P30,1,Calc!$AI30))</f>
        <v/>
      </c>
      <c r="G30" s="20" t="str">
        <f>IF(Calc!$AI30="","",INT(Calc!$AH30))</f>
        <v/>
      </c>
      <c r="H30" s="21" t="str">
        <f>IF(AND(A30="",B30=""),"",IF(NOT(ISNUMBER(B30)),"Check hire date: not a date",IF(Calc!$AI30="","No milestones left to order",IF(F30&lt;Setup!$C$5,"PAST DUE: milestone date has passed",IF(G30&lt;Setup!$C$5,"LATE: order today, ask about rush",IF(G30&lt;Setup!$C$5+14,"Order within 2 weeks","Scheduled"))))))</f>
        <v/>
      </c>
    </row>
    <row r="31" spans="1:8" x14ac:dyDescent="0.2">
      <c r="A31" s="9"/>
      <c r="B31" s="11"/>
      <c r="C31" s="9"/>
      <c r="D31" s="12"/>
      <c r="E31" s="19" t="str">
        <f>IF(Calc!$AI31="","",INDEX(Setup!$C$20:$C$34,Calc!$AI31))</f>
        <v/>
      </c>
      <c r="F31" s="20" t="str">
        <f>IF(Calc!$AI31="","",INDEX(Calc!$B31:$P31,1,Calc!$AI31))</f>
        <v/>
      </c>
      <c r="G31" s="20" t="str">
        <f>IF(Calc!$AI31="","",INT(Calc!$AH31))</f>
        <v/>
      </c>
      <c r="H31" s="21" t="str">
        <f>IF(AND(A31="",B31=""),"",IF(NOT(ISNUMBER(B31)),"Check hire date: not a date",IF(Calc!$AI31="","No milestones left to order",IF(F31&lt;Setup!$C$5,"PAST DUE: milestone date has passed",IF(G31&lt;Setup!$C$5,"LATE: order today, ask about rush",IF(G31&lt;Setup!$C$5+14,"Order within 2 weeks","Scheduled"))))))</f>
        <v/>
      </c>
    </row>
    <row r="32" spans="1:8" x14ac:dyDescent="0.2">
      <c r="A32" s="9"/>
      <c r="B32" s="11"/>
      <c r="C32" s="9"/>
      <c r="D32" s="12"/>
      <c r="E32" s="19" t="str">
        <f>IF(Calc!$AI32="","",INDEX(Setup!$C$20:$C$34,Calc!$AI32))</f>
        <v/>
      </c>
      <c r="F32" s="20" t="str">
        <f>IF(Calc!$AI32="","",INDEX(Calc!$B32:$P32,1,Calc!$AI32))</f>
        <v/>
      </c>
      <c r="G32" s="20" t="str">
        <f>IF(Calc!$AI32="","",INT(Calc!$AH32))</f>
        <v/>
      </c>
      <c r="H32" s="21" t="str">
        <f>IF(AND(A32="",B32=""),"",IF(NOT(ISNUMBER(B32)),"Check hire date: not a date",IF(Calc!$AI32="","No milestones left to order",IF(F32&lt;Setup!$C$5,"PAST DUE: milestone date has passed",IF(G32&lt;Setup!$C$5,"LATE: order today, ask about rush",IF(G32&lt;Setup!$C$5+14,"Order within 2 weeks","Scheduled"))))))</f>
        <v/>
      </c>
    </row>
    <row r="33" spans="1:8" x14ac:dyDescent="0.2">
      <c r="A33" s="9"/>
      <c r="B33" s="11"/>
      <c r="C33" s="9"/>
      <c r="D33" s="12"/>
      <c r="E33" s="19" t="str">
        <f>IF(Calc!$AI33="","",INDEX(Setup!$C$20:$C$34,Calc!$AI33))</f>
        <v/>
      </c>
      <c r="F33" s="20" t="str">
        <f>IF(Calc!$AI33="","",INDEX(Calc!$B33:$P33,1,Calc!$AI33))</f>
        <v/>
      </c>
      <c r="G33" s="20" t="str">
        <f>IF(Calc!$AI33="","",INT(Calc!$AH33))</f>
        <v/>
      </c>
      <c r="H33" s="21" t="str">
        <f>IF(AND(A33="",B33=""),"",IF(NOT(ISNUMBER(B33)),"Check hire date: not a date",IF(Calc!$AI33="","No milestones left to order",IF(F33&lt;Setup!$C$5,"PAST DUE: milestone date has passed",IF(G33&lt;Setup!$C$5,"LATE: order today, ask about rush",IF(G33&lt;Setup!$C$5+14,"Order within 2 weeks","Scheduled"))))))</f>
        <v/>
      </c>
    </row>
    <row r="34" spans="1:8" x14ac:dyDescent="0.2">
      <c r="A34" s="9"/>
      <c r="B34" s="11"/>
      <c r="C34" s="9"/>
      <c r="D34" s="12"/>
      <c r="E34" s="19" t="str">
        <f>IF(Calc!$AI34="","",INDEX(Setup!$C$20:$C$34,Calc!$AI34))</f>
        <v/>
      </c>
      <c r="F34" s="20" t="str">
        <f>IF(Calc!$AI34="","",INDEX(Calc!$B34:$P34,1,Calc!$AI34))</f>
        <v/>
      </c>
      <c r="G34" s="20" t="str">
        <f>IF(Calc!$AI34="","",INT(Calc!$AH34))</f>
        <v/>
      </c>
      <c r="H34" s="21" t="str">
        <f>IF(AND(A34="",B34=""),"",IF(NOT(ISNUMBER(B34)),"Check hire date: not a date",IF(Calc!$AI34="","No milestones left to order",IF(F34&lt;Setup!$C$5,"PAST DUE: milestone date has passed",IF(G34&lt;Setup!$C$5,"LATE: order today, ask about rush",IF(G34&lt;Setup!$C$5+14,"Order within 2 weeks","Scheduled"))))))</f>
        <v/>
      </c>
    </row>
    <row r="35" spans="1:8" x14ac:dyDescent="0.2">
      <c r="A35" s="9"/>
      <c r="B35" s="11"/>
      <c r="C35" s="9"/>
      <c r="D35" s="12"/>
      <c r="E35" s="19" t="str">
        <f>IF(Calc!$AI35="","",INDEX(Setup!$C$20:$C$34,Calc!$AI35))</f>
        <v/>
      </c>
      <c r="F35" s="20" t="str">
        <f>IF(Calc!$AI35="","",INDEX(Calc!$B35:$P35,1,Calc!$AI35))</f>
        <v/>
      </c>
      <c r="G35" s="20" t="str">
        <f>IF(Calc!$AI35="","",INT(Calc!$AH35))</f>
        <v/>
      </c>
      <c r="H35" s="21" t="str">
        <f>IF(AND(A35="",B35=""),"",IF(NOT(ISNUMBER(B35)),"Check hire date: not a date",IF(Calc!$AI35="","No milestones left to order",IF(F35&lt;Setup!$C$5,"PAST DUE: milestone date has passed",IF(G35&lt;Setup!$C$5,"LATE: order today, ask about rush",IF(G35&lt;Setup!$C$5+14,"Order within 2 weeks","Scheduled"))))))</f>
        <v/>
      </c>
    </row>
    <row r="36" spans="1:8" x14ac:dyDescent="0.2">
      <c r="A36" s="9"/>
      <c r="B36" s="11"/>
      <c r="C36" s="9"/>
      <c r="D36" s="12"/>
      <c r="E36" s="19" t="str">
        <f>IF(Calc!$AI36="","",INDEX(Setup!$C$20:$C$34,Calc!$AI36))</f>
        <v/>
      </c>
      <c r="F36" s="20" t="str">
        <f>IF(Calc!$AI36="","",INDEX(Calc!$B36:$P36,1,Calc!$AI36))</f>
        <v/>
      </c>
      <c r="G36" s="20" t="str">
        <f>IF(Calc!$AI36="","",INT(Calc!$AH36))</f>
        <v/>
      </c>
      <c r="H36" s="21" t="str">
        <f>IF(AND(A36="",B36=""),"",IF(NOT(ISNUMBER(B36)),"Check hire date: not a date",IF(Calc!$AI36="","No milestones left to order",IF(F36&lt;Setup!$C$5,"PAST DUE: milestone date has passed",IF(G36&lt;Setup!$C$5,"LATE: order today, ask about rush",IF(G36&lt;Setup!$C$5+14,"Order within 2 weeks","Scheduled"))))))</f>
        <v/>
      </c>
    </row>
    <row r="37" spans="1:8" x14ac:dyDescent="0.2">
      <c r="A37" s="9"/>
      <c r="B37" s="11"/>
      <c r="C37" s="9"/>
      <c r="D37" s="12"/>
      <c r="E37" s="19" t="str">
        <f>IF(Calc!$AI37="","",INDEX(Setup!$C$20:$C$34,Calc!$AI37))</f>
        <v/>
      </c>
      <c r="F37" s="20" t="str">
        <f>IF(Calc!$AI37="","",INDEX(Calc!$B37:$P37,1,Calc!$AI37))</f>
        <v/>
      </c>
      <c r="G37" s="20" t="str">
        <f>IF(Calc!$AI37="","",INT(Calc!$AH37))</f>
        <v/>
      </c>
      <c r="H37" s="21" t="str">
        <f>IF(AND(A37="",B37=""),"",IF(NOT(ISNUMBER(B37)),"Check hire date: not a date",IF(Calc!$AI37="","No milestones left to order",IF(F37&lt;Setup!$C$5,"PAST DUE: milestone date has passed",IF(G37&lt;Setup!$C$5,"LATE: order today, ask about rush",IF(G37&lt;Setup!$C$5+14,"Order within 2 weeks","Scheduled"))))))</f>
        <v/>
      </c>
    </row>
    <row r="38" spans="1:8" x14ac:dyDescent="0.2">
      <c r="A38" s="9"/>
      <c r="B38" s="11"/>
      <c r="C38" s="9"/>
      <c r="D38" s="12"/>
      <c r="E38" s="19" t="str">
        <f>IF(Calc!$AI38="","",INDEX(Setup!$C$20:$C$34,Calc!$AI38))</f>
        <v/>
      </c>
      <c r="F38" s="20" t="str">
        <f>IF(Calc!$AI38="","",INDEX(Calc!$B38:$P38,1,Calc!$AI38))</f>
        <v/>
      </c>
      <c r="G38" s="20" t="str">
        <f>IF(Calc!$AI38="","",INT(Calc!$AH38))</f>
        <v/>
      </c>
      <c r="H38" s="21" t="str">
        <f>IF(AND(A38="",B38=""),"",IF(NOT(ISNUMBER(B38)),"Check hire date: not a date",IF(Calc!$AI38="","No milestones left to order",IF(F38&lt;Setup!$C$5,"PAST DUE: milestone date has passed",IF(G38&lt;Setup!$C$5,"LATE: order today, ask about rush",IF(G38&lt;Setup!$C$5+14,"Order within 2 weeks","Scheduled"))))))</f>
        <v/>
      </c>
    </row>
    <row r="39" spans="1:8" x14ac:dyDescent="0.2">
      <c r="A39" s="9"/>
      <c r="B39" s="11"/>
      <c r="C39" s="9"/>
      <c r="D39" s="12"/>
      <c r="E39" s="19" t="str">
        <f>IF(Calc!$AI39="","",INDEX(Setup!$C$20:$C$34,Calc!$AI39))</f>
        <v/>
      </c>
      <c r="F39" s="20" t="str">
        <f>IF(Calc!$AI39="","",INDEX(Calc!$B39:$P39,1,Calc!$AI39))</f>
        <v/>
      </c>
      <c r="G39" s="20" t="str">
        <f>IF(Calc!$AI39="","",INT(Calc!$AH39))</f>
        <v/>
      </c>
      <c r="H39" s="21" t="str">
        <f>IF(AND(A39="",B39=""),"",IF(NOT(ISNUMBER(B39)),"Check hire date: not a date",IF(Calc!$AI39="","No milestones left to order",IF(F39&lt;Setup!$C$5,"PAST DUE: milestone date has passed",IF(G39&lt;Setup!$C$5,"LATE: order today, ask about rush",IF(G39&lt;Setup!$C$5+14,"Order within 2 weeks","Scheduled"))))))</f>
        <v/>
      </c>
    </row>
    <row r="40" spans="1:8" x14ac:dyDescent="0.2">
      <c r="A40" s="9"/>
      <c r="B40" s="11"/>
      <c r="C40" s="9"/>
      <c r="D40" s="12"/>
      <c r="E40" s="19" t="str">
        <f>IF(Calc!$AI40="","",INDEX(Setup!$C$20:$C$34,Calc!$AI40))</f>
        <v/>
      </c>
      <c r="F40" s="20" t="str">
        <f>IF(Calc!$AI40="","",INDEX(Calc!$B40:$P40,1,Calc!$AI40))</f>
        <v/>
      </c>
      <c r="G40" s="20" t="str">
        <f>IF(Calc!$AI40="","",INT(Calc!$AH40))</f>
        <v/>
      </c>
      <c r="H40" s="21" t="str">
        <f>IF(AND(A40="",B40=""),"",IF(NOT(ISNUMBER(B40)),"Check hire date: not a date",IF(Calc!$AI40="","No milestones left to order",IF(F40&lt;Setup!$C$5,"PAST DUE: milestone date has passed",IF(G40&lt;Setup!$C$5,"LATE: order today, ask about rush",IF(G40&lt;Setup!$C$5+14,"Order within 2 weeks","Scheduled"))))))</f>
        <v/>
      </c>
    </row>
    <row r="41" spans="1:8" x14ac:dyDescent="0.2">
      <c r="A41" s="9"/>
      <c r="B41" s="11"/>
      <c r="C41" s="9"/>
      <c r="D41" s="12"/>
      <c r="E41" s="19" t="str">
        <f>IF(Calc!$AI41="","",INDEX(Setup!$C$20:$C$34,Calc!$AI41))</f>
        <v/>
      </c>
      <c r="F41" s="20" t="str">
        <f>IF(Calc!$AI41="","",INDEX(Calc!$B41:$P41,1,Calc!$AI41))</f>
        <v/>
      </c>
      <c r="G41" s="20" t="str">
        <f>IF(Calc!$AI41="","",INT(Calc!$AH41))</f>
        <v/>
      </c>
      <c r="H41" s="21" t="str">
        <f>IF(AND(A41="",B41=""),"",IF(NOT(ISNUMBER(B41)),"Check hire date: not a date",IF(Calc!$AI41="","No milestones left to order",IF(F41&lt;Setup!$C$5,"PAST DUE: milestone date has passed",IF(G41&lt;Setup!$C$5,"LATE: order today, ask about rush",IF(G41&lt;Setup!$C$5+14,"Order within 2 weeks","Scheduled"))))))</f>
        <v/>
      </c>
    </row>
    <row r="42" spans="1:8" x14ac:dyDescent="0.2">
      <c r="A42" s="9"/>
      <c r="B42" s="11"/>
      <c r="C42" s="9"/>
      <c r="D42" s="12"/>
      <c r="E42" s="19" t="str">
        <f>IF(Calc!$AI42="","",INDEX(Setup!$C$20:$C$34,Calc!$AI42))</f>
        <v/>
      </c>
      <c r="F42" s="20" t="str">
        <f>IF(Calc!$AI42="","",INDEX(Calc!$B42:$P42,1,Calc!$AI42))</f>
        <v/>
      </c>
      <c r="G42" s="20" t="str">
        <f>IF(Calc!$AI42="","",INT(Calc!$AH42))</f>
        <v/>
      </c>
      <c r="H42" s="21" t="str">
        <f>IF(AND(A42="",B42=""),"",IF(NOT(ISNUMBER(B42)),"Check hire date: not a date",IF(Calc!$AI42="","No milestones left to order",IF(F42&lt;Setup!$C$5,"PAST DUE: milestone date has passed",IF(G42&lt;Setup!$C$5,"LATE: order today, ask about rush",IF(G42&lt;Setup!$C$5+14,"Order within 2 weeks","Scheduled"))))))</f>
        <v/>
      </c>
    </row>
    <row r="43" spans="1:8" x14ac:dyDescent="0.2">
      <c r="A43" s="9"/>
      <c r="B43" s="11"/>
      <c r="C43" s="9"/>
      <c r="D43" s="12"/>
      <c r="E43" s="19" t="str">
        <f>IF(Calc!$AI43="","",INDEX(Setup!$C$20:$C$34,Calc!$AI43))</f>
        <v/>
      </c>
      <c r="F43" s="20" t="str">
        <f>IF(Calc!$AI43="","",INDEX(Calc!$B43:$P43,1,Calc!$AI43))</f>
        <v/>
      </c>
      <c r="G43" s="20" t="str">
        <f>IF(Calc!$AI43="","",INT(Calc!$AH43))</f>
        <v/>
      </c>
      <c r="H43" s="21" t="str">
        <f>IF(AND(A43="",B43=""),"",IF(NOT(ISNUMBER(B43)),"Check hire date: not a date",IF(Calc!$AI43="","No milestones left to order",IF(F43&lt;Setup!$C$5,"PAST DUE: milestone date has passed",IF(G43&lt;Setup!$C$5,"LATE: order today, ask about rush",IF(G43&lt;Setup!$C$5+14,"Order within 2 weeks","Scheduled"))))))</f>
        <v/>
      </c>
    </row>
    <row r="44" spans="1:8" x14ac:dyDescent="0.2">
      <c r="A44" s="9"/>
      <c r="B44" s="11"/>
      <c r="C44" s="9"/>
      <c r="D44" s="12"/>
      <c r="E44" s="19" t="str">
        <f>IF(Calc!$AI44="","",INDEX(Setup!$C$20:$C$34,Calc!$AI44))</f>
        <v/>
      </c>
      <c r="F44" s="20" t="str">
        <f>IF(Calc!$AI44="","",INDEX(Calc!$B44:$P44,1,Calc!$AI44))</f>
        <v/>
      </c>
      <c r="G44" s="20" t="str">
        <f>IF(Calc!$AI44="","",INT(Calc!$AH44))</f>
        <v/>
      </c>
      <c r="H44" s="21" t="str">
        <f>IF(AND(A44="",B44=""),"",IF(NOT(ISNUMBER(B44)),"Check hire date: not a date",IF(Calc!$AI44="","No milestones left to order",IF(F44&lt;Setup!$C$5,"PAST DUE: milestone date has passed",IF(G44&lt;Setup!$C$5,"LATE: order today, ask about rush",IF(G44&lt;Setup!$C$5+14,"Order within 2 weeks","Scheduled"))))))</f>
        <v/>
      </c>
    </row>
    <row r="45" spans="1:8" x14ac:dyDescent="0.2">
      <c r="A45" s="9"/>
      <c r="B45" s="11"/>
      <c r="C45" s="9"/>
      <c r="D45" s="12"/>
      <c r="E45" s="19" t="str">
        <f>IF(Calc!$AI45="","",INDEX(Setup!$C$20:$C$34,Calc!$AI45))</f>
        <v/>
      </c>
      <c r="F45" s="20" t="str">
        <f>IF(Calc!$AI45="","",INDEX(Calc!$B45:$P45,1,Calc!$AI45))</f>
        <v/>
      </c>
      <c r="G45" s="20" t="str">
        <f>IF(Calc!$AI45="","",INT(Calc!$AH45))</f>
        <v/>
      </c>
      <c r="H45" s="21" t="str">
        <f>IF(AND(A45="",B45=""),"",IF(NOT(ISNUMBER(B45)),"Check hire date: not a date",IF(Calc!$AI45="","No milestones left to order",IF(F45&lt;Setup!$C$5,"PAST DUE: milestone date has passed",IF(G45&lt;Setup!$C$5,"LATE: order today, ask about rush",IF(G45&lt;Setup!$C$5+14,"Order within 2 weeks","Scheduled"))))))</f>
        <v/>
      </c>
    </row>
    <row r="46" spans="1:8" x14ac:dyDescent="0.2">
      <c r="A46" s="9"/>
      <c r="B46" s="11"/>
      <c r="C46" s="9"/>
      <c r="D46" s="12"/>
      <c r="E46" s="19" t="str">
        <f>IF(Calc!$AI46="","",INDEX(Setup!$C$20:$C$34,Calc!$AI46))</f>
        <v/>
      </c>
      <c r="F46" s="20" t="str">
        <f>IF(Calc!$AI46="","",INDEX(Calc!$B46:$P46,1,Calc!$AI46))</f>
        <v/>
      </c>
      <c r="G46" s="20" t="str">
        <f>IF(Calc!$AI46="","",INT(Calc!$AH46))</f>
        <v/>
      </c>
      <c r="H46" s="21" t="str">
        <f>IF(AND(A46="",B46=""),"",IF(NOT(ISNUMBER(B46)),"Check hire date: not a date",IF(Calc!$AI46="","No milestones left to order",IF(F46&lt;Setup!$C$5,"PAST DUE: milestone date has passed",IF(G46&lt;Setup!$C$5,"LATE: order today, ask about rush",IF(G46&lt;Setup!$C$5+14,"Order within 2 weeks","Scheduled"))))))</f>
        <v/>
      </c>
    </row>
    <row r="47" spans="1:8" x14ac:dyDescent="0.2">
      <c r="A47" s="9"/>
      <c r="B47" s="11"/>
      <c r="C47" s="9"/>
      <c r="D47" s="12"/>
      <c r="E47" s="19" t="str">
        <f>IF(Calc!$AI47="","",INDEX(Setup!$C$20:$C$34,Calc!$AI47))</f>
        <v/>
      </c>
      <c r="F47" s="20" t="str">
        <f>IF(Calc!$AI47="","",INDEX(Calc!$B47:$P47,1,Calc!$AI47))</f>
        <v/>
      </c>
      <c r="G47" s="20" t="str">
        <f>IF(Calc!$AI47="","",INT(Calc!$AH47))</f>
        <v/>
      </c>
      <c r="H47" s="21" t="str">
        <f>IF(AND(A47="",B47=""),"",IF(NOT(ISNUMBER(B47)),"Check hire date: not a date",IF(Calc!$AI47="","No milestones left to order",IF(F47&lt;Setup!$C$5,"PAST DUE: milestone date has passed",IF(G47&lt;Setup!$C$5,"LATE: order today, ask about rush",IF(G47&lt;Setup!$C$5+14,"Order within 2 weeks","Scheduled"))))))</f>
        <v/>
      </c>
    </row>
    <row r="48" spans="1:8" x14ac:dyDescent="0.2">
      <c r="A48" s="9"/>
      <c r="B48" s="11"/>
      <c r="C48" s="9"/>
      <c r="D48" s="12"/>
      <c r="E48" s="19" t="str">
        <f>IF(Calc!$AI48="","",INDEX(Setup!$C$20:$C$34,Calc!$AI48))</f>
        <v/>
      </c>
      <c r="F48" s="20" t="str">
        <f>IF(Calc!$AI48="","",INDEX(Calc!$B48:$P48,1,Calc!$AI48))</f>
        <v/>
      </c>
      <c r="G48" s="20" t="str">
        <f>IF(Calc!$AI48="","",INT(Calc!$AH48))</f>
        <v/>
      </c>
      <c r="H48" s="21" t="str">
        <f>IF(AND(A48="",B48=""),"",IF(NOT(ISNUMBER(B48)),"Check hire date: not a date",IF(Calc!$AI48="","No milestones left to order",IF(F48&lt;Setup!$C$5,"PAST DUE: milestone date has passed",IF(G48&lt;Setup!$C$5,"LATE: order today, ask about rush",IF(G48&lt;Setup!$C$5+14,"Order within 2 weeks","Scheduled"))))))</f>
        <v/>
      </c>
    </row>
    <row r="49" spans="1:8" x14ac:dyDescent="0.2">
      <c r="A49" s="9"/>
      <c r="B49" s="11"/>
      <c r="C49" s="9"/>
      <c r="D49" s="12"/>
      <c r="E49" s="19" t="str">
        <f>IF(Calc!$AI49="","",INDEX(Setup!$C$20:$C$34,Calc!$AI49))</f>
        <v/>
      </c>
      <c r="F49" s="20" t="str">
        <f>IF(Calc!$AI49="","",INDEX(Calc!$B49:$P49,1,Calc!$AI49))</f>
        <v/>
      </c>
      <c r="G49" s="20" t="str">
        <f>IF(Calc!$AI49="","",INT(Calc!$AH49))</f>
        <v/>
      </c>
      <c r="H49" s="21" t="str">
        <f>IF(AND(A49="",B49=""),"",IF(NOT(ISNUMBER(B49)),"Check hire date: not a date",IF(Calc!$AI49="","No milestones left to order",IF(F49&lt;Setup!$C$5,"PAST DUE: milestone date has passed",IF(G49&lt;Setup!$C$5,"LATE: order today, ask about rush",IF(G49&lt;Setup!$C$5+14,"Order within 2 weeks","Scheduled"))))))</f>
        <v/>
      </c>
    </row>
    <row r="50" spans="1:8" x14ac:dyDescent="0.2">
      <c r="A50" s="9"/>
      <c r="B50" s="11"/>
      <c r="C50" s="9"/>
      <c r="D50" s="12"/>
      <c r="E50" s="19" t="str">
        <f>IF(Calc!$AI50="","",INDEX(Setup!$C$20:$C$34,Calc!$AI50))</f>
        <v/>
      </c>
      <c r="F50" s="20" t="str">
        <f>IF(Calc!$AI50="","",INDEX(Calc!$B50:$P50,1,Calc!$AI50))</f>
        <v/>
      </c>
      <c r="G50" s="20" t="str">
        <f>IF(Calc!$AI50="","",INT(Calc!$AH50))</f>
        <v/>
      </c>
      <c r="H50" s="21" t="str">
        <f>IF(AND(A50="",B50=""),"",IF(NOT(ISNUMBER(B50)),"Check hire date: not a date",IF(Calc!$AI50="","No milestones left to order",IF(F50&lt;Setup!$C$5,"PAST DUE: milestone date has passed",IF(G50&lt;Setup!$C$5,"LATE: order today, ask about rush",IF(G50&lt;Setup!$C$5+14,"Order within 2 weeks","Scheduled"))))))</f>
        <v/>
      </c>
    </row>
    <row r="51" spans="1:8" x14ac:dyDescent="0.2">
      <c r="A51" s="9"/>
      <c r="B51" s="11"/>
      <c r="C51" s="9"/>
      <c r="D51" s="12"/>
      <c r="E51" s="19" t="str">
        <f>IF(Calc!$AI51="","",INDEX(Setup!$C$20:$C$34,Calc!$AI51))</f>
        <v/>
      </c>
      <c r="F51" s="20" t="str">
        <f>IF(Calc!$AI51="","",INDEX(Calc!$B51:$P51,1,Calc!$AI51))</f>
        <v/>
      </c>
      <c r="G51" s="20" t="str">
        <f>IF(Calc!$AI51="","",INT(Calc!$AH51))</f>
        <v/>
      </c>
      <c r="H51" s="21" t="str">
        <f>IF(AND(A51="",B51=""),"",IF(NOT(ISNUMBER(B51)),"Check hire date: not a date",IF(Calc!$AI51="","No milestones left to order",IF(F51&lt;Setup!$C$5,"PAST DUE: milestone date has passed",IF(G51&lt;Setup!$C$5,"LATE: order today, ask about rush",IF(G51&lt;Setup!$C$5+14,"Order within 2 weeks","Scheduled"))))))</f>
        <v/>
      </c>
    </row>
    <row r="52" spans="1:8" x14ac:dyDescent="0.2">
      <c r="A52" s="9"/>
      <c r="B52" s="11"/>
      <c r="C52" s="9"/>
      <c r="D52" s="12"/>
      <c r="E52" s="19" t="str">
        <f>IF(Calc!$AI52="","",INDEX(Setup!$C$20:$C$34,Calc!$AI52))</f>
        <v/>
      </c>
      <c r="F52" s="20" t="str">
        <f>IF(Calc!$AI52="","",INDEX(Calc!$B52:$P52,1,Calc!$AI52))</f>
        <v/>
      </c>
      <c r="G52" s="20" t="str">
        <f>IF(Calc!$AI52="","",INT(Calc!$AH52))</f>
        <v/>
      </c>
      <c r="H52" s="21" t="str">
        <f>IF(AND(A52="",B52=""),"",IF(NOT(ISNUMBER(B52)),"Check hire date: not a date",IF(Calc!$AI52="","No milestones left to order",IF(F52&lt;Setup!$C$5,"PAST DUE: milestone date has passed",IF(G52&lt;Setup!$C$5,"LATE: order today, ask about rush",IF(G52&lt;Setup!$C$5+14,"Order within 2 weeks","Scheduled"))))))</f>
        <v/>
      </c>
    </row>
    <row r="53" spans="1:8" x14ac:dyDescent="0.2">
      <c r="A53" s="9"/>
      <c r="B53" s="11"/>
      <c r="C53" s="9"/>
      <c r="D53" s="12"/>
      <c r="E53" s="19" t="str">
        <f>IF(Calc!$AI53="","",INDEX(Setup!$C$20:$C$34,Calc!$AI53))</f>
        <v/>
      </c>
      <c r="F53" s="20" t="str">
        <f>IF(Calc!$AI53="","",INDEX(Calc!$B53:$P53,1,Calc!$AI53))</f>
        <v/>
      </c>
      <c r="G53" s="20" t="str">
        <f>IF(Calc!$AI53="","",INT(Calc!$AH53))</f>
        <v/>
      </c>
      <c r="H53" s="21" t="str">
        <f>IF(AND(A53="",B53=""),"",IF(NOT(ISNUMBER(B53)),"Check hire date: not a date",IF(Calc!$AI53="","No milestones left to order",IF(F53&lt;Setup!$C$5,"PAST DUE: milestone date has passed",IF(G53&lt;Setup!$C$5,"LATE: order today, ask about rush",IF(G53&lt;Setup!$C$5+14,"Order within 2 weeks","Scheduled"))))))</f>
        <v/>
      </c>
    </row>
    <row r="54" spans="1:8" x14ac:dyDescent="0.2">
      <c r="A54" s="9"/>
      <c r="B54" s="11"/>
      <c r="C54" s="9"/>
      <c r="D54" s="12"/>
      <c r="E54" s="19" t="str">
        <f>IF(Calc!$AI54="","",INDEX(Setup!$C$20:$C$34,Calc!$AI54))</f>
        <v/>
      </c>
      <c r="F54" s="20" t="str">
        <f>IF(Calc!$AI54="","",INDEX(Calc!$B54:$P54,1,Calc!$AI54))</f>
        <v/>
      </c>
      <c r="G54" s="20" t="str">
        <f>IF(Calc!$AI54="","",INT(Calc!$AH54))</f>
        <v/>
      </c>
      <c r="H54" s="21" t="str">
        <f>IF(AND(A54="",B54=""),"",IF(NOT(ISNUMBER(B54)),"Check hire date: not a date",IF(Calc!$AI54="","No milestones left to order",IF(F54&lt;Setup!$C$5,"PAST DUE: milestone date has passed",IF(G54&lt;Setup!$C$5,"LATE: order today, ask about rush",IF(G54&lt;Setup!$C$5+14,"Order within 2 weeks","Scheduled"))))))</f>
        <v/>
      </c>
    </row>
    <row r="55" spans="1:8" x14ac:dyDescent="0.2">
      <c r="A55" s="9"/>
      <c r="B55" s="11"/>
      <c r="C55" s="9"/>
      <c r="D55" s="12"/>
      <c r="E55" s="19" t="str">
        <f>IF(Calc!$AI55="","",INDEX(Setup!$C$20:$C$34,Calc!$AI55))</f>
        <v/>
      </c>
      <c r="F55" s="20" t="str">
        <f>IF(Calc!$AI55="","",INDEX(Calc!$B55:$P55,1,Calc!$AI55))</f>
        <v/>
      </c>
      <c r="G55" s="20" t="str">
        <f>IF(Calc!$AI55="","",INT(Calc!$AH55))</f>
        <v/>
      </c>
      <c r="H55" s="21" t="str">
        <f>IF(AND(A55="",B55=""),"",IF(NOT(ISNUMBER(B55)),"Check hire date: not a date",IF(Calc!$AI55="","No milestones left to order",IF(F55&lt;Setup!$C$5,"PAST DUE: milestone date has passed",IF(G55&lt;Setup!$C$5,"LATE: order today, ask about rush",IF(G55&lt;Setup!$C$5+14,"Order within 2 weeks","Scheduled"))))))</f>
        <v/>
      </c>
    </row>
    <row r="56" spans="1:8" x14ac:dyDescent="0.2">
      <c r="A56" s="9"/>
      <c r="B56" s="11"/>
      <c r="C56" s="9"/>
      <c r="D56" s="12"/>
      <c r="E56" s="19" t="str">
        <f>IF(Calc!$AI56="","",INDEX(Setup!$C$20:$C$34,Calc!$AI56))</f>
        <v/>
      </c>
      <c r="F56" s="20" t="str">
        <f>IF(Calc!$AI56="","",INDEX(Calc!$B56:$P56,1,Calc!$AI56))</f>
        <v/>
      </c>
      <c r="G56" s="20" t="str">
        <f>IF(Calc!$AI56="","",INT(Calc!$AH56))</f>
        <v/>
      </c>
      <c r="H56" s="21" t="str">
        <f>IF(AND(A56="",B56=""),"",IF(NOT(ISNUMBER(B56)),"Check hire date: not a date",IF(Calc!$AI56="","No milestones left to order",IF(F56&lt;Setup!$C$5,"PAST DUE: milestone date has passed",IF(G56&lt;Setup!$C$5,"LATE: order today, ask about rush",IF(G56&lt;Setup!$C$5+14,"Order within 2 weeks","Scheduled"))))))</f>
        <v/>
      </c>
    </row>
    <row r="57" spans="1:8" x14ac:dyDescent="0.2">
      <c r="A57" s="9"/>
      <c r="B57" s="11"/>
      <c r="C57" s="9"/>
      <c r="D57" s="12"/>
      <c r="E57" s="19" t="str">
        <f>IF(Calc!$AI57="","",INDEX(Setup!$C$20:$C$34,Calc!$AI57))</f>
        <v/>
      </c>
      <c r="F57" s="20" t="str">
        <f>IF(Calc!$AI57="","",INDEX(Calc!$B57:$P57,1,Calc!$AI57))</f>
        <v/>
      </c>
      <c r="G57" s="20" t="str">
        <f>IF(Calc!$AI57="","",INT(Calc!$AH57))</f>
        <v/>
      </c>
      <c r="H57" s="21" t="str">
        <f>IF(AND(A57="",B57=""),"",IF(NOT(ISNUMBER(B57)),"Check hire date: not a date",IF(Calc!$AI57="","No milestones left to order",IF(F57&lt;Setup!$C$5,"PAST DUE: milestone date has passed",IF(G57&lt;Setup!$C$5,"LATE: order today, ask about rush",IF(G57&lt;Setup!$C$5+14,"Order within 2 weeks","Scheduled"))))))</f>
        <v/>
      </c>
    </row>
    <row r="58" spans="1:8" x14ac:dyDescent="0.2">
      <c r="A58" s="9"/>
      <c r="B58" s="11"/>
      <c r="C58" s="9"/>
      <c r="D58" s="12"/>
      <c r="E58" s="19" t="str">
        <f>IF(Calc!$AI58="","",INDEX(Setup!$C$20:$C$34,Calc!$AI58))</f>
        <v/>
      </c>
      <c r="F58" s="20" t="str">
        <f>IF(Calc!$AI58="","",INDEX(Calc!$B58:$P58,1,Calc!$AI58))</f>
        <v/>
      </c>
      <c r="G58" s="20" t="str">
        <f>IF(Calc!$AI58="","",INT(Calc!$AH58))</f>
        <v/>
      </c>
      <c r="H58" s="21" t="str">
        <f>IF(AND(A58="",B58=""),"",IF(NOT(ISNUMBER(B58)),"Check hire date: not a date",IF(Calc!$AI58="","No milestones left to order",IF(F58&lt;Setup!$C$5,"PAST DUE: milestone date has passed",IF(G58&lt;Setup!$C$5,"LATE: order today, ask about rush",IF(G58&lt;Setup!$C$5+14,"Order within 2 weeks","Scheduled"))))))</f>
        <v/>
      </c>
    </row>
    <row r="59" spans="1:8" x14ac:dyDescent="0.2">
      <c r="A59" s="9"/>
      <c r="B59" s="11"/>
      <c r="C59" s="9"/>
      <c r="D59" s="12"/>
      <c r="E59" s="19" t="str">
        <f>IF(Calc!$AI59="","",INDEX(Setup!$C$20:$C$34,Calc!$AI59))</f>
        <v/>
      </c>
      <c r="F59" s="20" t="str">
        <f>IF(Calc!$AI59="","",INDEX(Calc!$B59:$P59,1,Calc!$AI59))</f>
        <v/>
      </c>
      <c r="G59" s="20" t="str">
        <f>IF(Calc!$AI59="","",INT(Calc!$AH59))</f>
        <v/>
      </c>
      <c r="H59" s="21" t="str">
        <f>IF(AND(A59="",B59=""),"",IF(NOT(ISNUMBER(B59)),"Check hire date: not a date",IF(Calc!$AI59="","No milestones left to order",IF(F59&lt;Setup!$C$5,"PAST DUE: milestone date has passed",IF(G59&lt;Setup!$C$5,"LATE: order today, ask about rush",IF(G59&lt;Setup!$C$5+14,"Order within 2 weeks","Scheduled"))))))</f>
        <v/>
      </c>
    </row>
    <row r="60" spans="1:8" x14ac:dyDescent="0.2">
      <c r="A60" s="9"/>
      <c r="B60" s="11"/>
      <c r="C60" s="9"/>
      <c r="D60" s="12"/>
      <c r="E60" s="19" t="str">
        <f>IF(Calc!$AI60="","",INDEX(Setup!$C$20:$C$34,Calc!$AI60))</f>
        <v/>
      </c>
      <c r="F60" s="20" t="str">
        <f>IF(Calc!$AI60="","",INDEX(Calc!$B60:$P60,1,Calc!$AI60))</f>
        <v/>
      </c>
      <c r="G60" s="20" t="str">
        <f>IF(Calc!$AI60="","",INT(Calc!$AH60))</f>
        <v/>
      </c>
      <c r="H60" s="21" t="str">
        <f>IF(AND(A60="",B60=""),"",IF(NOT(ISNUMBER(B60)),"Check hire date: not a date",IF(Calc!$AI60="","No milestones left to order",IF(F60&lt;Setup!$C$5,"PAST DUE: milestone date has passed",IF(G60&lt;Setup!$C$5,"LATE: order today, ask about rush",IF(G60&lt;Setup!$C$5+14,"Order within 2 weeks","Scheduled"))))))</f>
        <v/>
      </c>
    </row>
    <row r="61" spans="1:8" x14ac:dyDescent="0.2">
      <c r="A61" s="9"/>
      <c r="B61" s="11"/>
      <c r="C61" s="9"/>
      <c r="D61" s="12"/>
      <c r="E61" s="19" t="str">
        <f>IF(Calc!$AI61="","",INDEX(Setup!$C$20:$C$34,Calc!$AI61))</f>
        <v/>
      </c>
      <c r="F61" s="20" t="str">
        <f>IF(Calc!$AI61="","",INDEX(Calc!$B61:$P61,1,Calc!$AI61))</f>
        <v/>
      </c>
      <c r="G61" s="20" t="str">
        <f>IF(Calc!$AI61="","",INT(Calc!$AH61))</f>
        <v/>
      </c>
      <c r="H61" s="21" t="str">
        <f>IF(AND(A61="",B61=""),"",IF(NOT(ISNUMBER(B61)),"Check hire date: not a date",IF(Calc!$AI61="","No milestones left to order",IF(F61&lt;Setup!$C$5,"PAST DUE: milestone date has passed",IF(G61&lt;Setup!$C$5,"LATE: order today, ask about rush",IF(G61&lt;Setup!$C$5+14,"Order within 2 weeks","Scheduled"))))))</f>
        <v/>
      </c>
    </row>
    <row r="62" spans="1:8" x14ac:dyDescent="0.2">
      <c r="A62" s="9"/>
      <c r="B62" s="11"/>
      <c r="C62" s="9"/>
      <c r="D62" s="12"/>
      <c r="E62" s="19" t="str">
        <f>IF(Calc!$AI62="","",INDEX(Setup!$C$20:$C$34,Calc!$AI62))</f>
        <v/>
      </c>
      <c r="F62" s="20" t="str">
        <f>IF(Calc!$AI62="","",INDEX(Calc!$B62:$P62,1,Calc!$AI62))</f>
        <v/>
      </c>
      <c r="G62" s="20" t="str">
        <f>IF(Calc!$AI62="","",INT(Calc!$AH62))</f>
        <v/>
      </c>
      <c r="H62" s="21" t="str">
        <f>IF(AND(A62="",B62=""),"",IF(NOT(ISNUMBER(B62)),"Check hire date: not a date",IF(Calc!$AI62="","No milestones left to order",IF(F62&lt;Setup!$C$5,"PAST DUE: milestone date has passed",IF(G62&lt;Setup!$C$5,"LATE: order today, ask about rush",IF(G62&lt;Setup!$C$5+14,"Order within 2 weeks","Scheduled"))))))</f>
        <v/>
      </c>
    </row>
    <row r="63" spans="1:8" x14ac:dyDescent="0.2">
      <c r="A63" s="9"/>
      <c r="B63" s="11"/>
      <c r="C63" s="9"/>
      <c r="D63" s="12"/>
      <c r="E63" s="19" t="str">
        <f>IF(Calc!$AI63="","",INDEX(Setup!$C$20:$C$34,Calc!$AI63))</f>
        <v/>
      </c>
      <c r="F63" s="20" t="str">
        <f>IF(Calc!$AI63="","",INDEX(Calc!$B63:$P63,1,Calc!$AI63))</f>
        <v/>
      </c>
      <c r="G63" s="20" t="str">
        <f>IF(Calc!$AI63="","",INT(Calc!$AH63))</f>
        <v/>
      </c>
      <c r="H63" s="21" t="str">
        <f>IF(AND(A63="",B63=""),"",IF(NOT(ISNUMBER(B63)),"Check hire date: not a date",IF(Calc!$AI63="","No milestones left to order",IF(F63&lt;Setup!$C$5,"PAST DUE: milestone date has passed",IF(G63&lt;Setup!$C$5,"LATE: order today, ask about rush",IF(G63&lt;Setup!$C$5+14,"Order within 2 weeks","Scheduled"))))))</f>
        <v/>
      </c>
    </row>
    <row r="64" spans="1:8" x14ac:dyDescent="0.2">
      <c r="A64" s="9"/>
      <c r="B64" s="11"/>
      <c r="C64" s="9"/>
      <c r="D64" s="12"/>
      <c r="E64" s="19" t="str">
        <f>IF(Calc!$AI64="","",INDEX(Setup!$C$20:$C$34,Calc!$AI64))</f>
        <v/>
      </c>
      <c r="F64" s="20" t="str">
        <f>IF(Calc!$AI64="","",INDEX(Calc!$B64:$P64,1,Calc!$AI64))</f>
        <v/>
      </c>
      <c r="G64" s="20" t="str">
        <f>IF(Calc!$AI64="","",INT(Calc!$AH64))</f>
        <v/>
      </c>
      <c r="H64" s="21" t="str">
        <f>IF(AND(A64="",B64=""),"",IF(NOT(ISNUMBER(B64)),"Check hire date: not a date",IF(Calc!$AI64="","No milestones left to order",IF(F64&lt;Setup!$C$5,"PAST DUE: milestone date has passed",IF(G64&lt;Setup!$C$5,"LATE: order today, ask about rush",IF(G64&lt;Setup!$C$5+14,"Order within 2 weeks","Scheduled"))))))</f>
        <v/>
      </c>
    </row>
    <row r="65" spans="1:8" x14ac:dyDescent="0.2">
      <c r="A65" s="9"/>
      <c r="B65" s="11"/>
      <c r="C65" s="9"/>
      <c r="D65" s="12"/>
      <c r="E65" s="19" t="str">
        <f>IF(Calc!$AI65="","",INDEX(Setup!$C$20:$C$34,Calc!$AI65))</f>
        <v/>
      </c>
      <c r="F65" s="20" t="str">
        <f>IF(Calc!$AI65="","",INDEX(Calc!$B65:$P65,1,Calc!$AI65))</f>
        <v/>
      </c>
      <c r="G65" s="20" t="str">
        <f>IF(Calc!$AI65="","",INT(Calc!$AH65))</f>
        <v/>
      </c>
      <c r="H65" s="21" t="str">
        <f>IF(AND(A65="",B65=""),"",IF(NOT(ISNUMBER(B65)),"Check hire date: not a date",IF(Calc!$AI65="","No milestones left to order",IF(F65&lt;Setup!$C$5,"PAST DUE: milestone date has passed",IF(G65&lt;Setup!$C$5,"LATE: order today, ask about rush",IF(G65&lt;Setup!$C$5+14,"Order within 2 weeks","Scheduled"))))))</f>
        <v/>
      </c>
    </row>
    <row r="66" spans="1:8" x14ac:dyDescent="0.2">
      <c r="A66" s="9"/>
      <c r="B66" s="11"/>
      <c r="C66" s="9"/>
      <c r="D66" s="12"/>
      <c r="E66" s="19" t="str">
        <f>IF(Calc!$AI66="","",INDEX(Setup!$C$20:$C$34,Calc!$AI66))</f>
        <v/>
      </c>
      <c r="F66" s="20" t="str">
        <f>IF(Calc!$AI66="","",INDEX(Calc!$B66:$P66,1,Calc!$AI66))</f>
        <v/>
      </c>
      <c r="G66" s="20" t="str">
        <f>IF(Calc!$AI66="","",INT(Calc!$AH66))</f>
        <v/>
      </c>
      <c r="H66" s="21" t="str">
        <f>IF(AND(A66="",B66=""),"",IF(NOT(ISNUMBER(B66)),"Check hire date: not a date",IF(Calc!$AI66="","No milestones left to order",IF(F66&lt;Setup!$C$5,"PAST DUE: milestone date has passed",IF(G66&lt;Setup!$C$5,"LATE: order today, ask about rush",IF(G66&lt;Setup!$C$5+14,"Order within 2 weeks","Scheduled"))))))</f>
        <v/>
      </c>
    </row>
    <row r="67" spans="1:8" x14ac:dyDescent="0.2">
      <c r="A67" s="9"/>
      <c r="B67" s="11"/>
      <c r="C67" s="9"/>
      <c r="D67" s="12"/>
      <c r="E67" s="19" t="str">
        <f>IF(Calc!$AI67="","",INDEX(Setup!$C$20:$C$34,Calc!$AI67))</f>
        <v/>
      </c>
      <c r="F67" s="20" t="str">
        <f>IF(Calc!$AI67="","",INDEX(Calc!$B67:$P67,1,Calc!$AI67))</f>
        <v/>
      </c>
      <c r="G67" s="20" t="str">
        <f>IF(Calc!$AI67="","",INT(Calc!$AH67))</f>
        <v/>
      </c>
      <c r="H67" s="21" t="str">
        <f>IF(AND(A67="",B67=""),"",IF(NOT(ISNUMBER(B67)),"Check hire date: not a date",IF(Calc!$AI67="","No milestones left to order",IF(F67&lt;Setup!$C$5,"PAST DUE: milestone date has passed",IF(G67&lt;Setup!$C$5,"LATE: order today, ask about rush",IF(G67&lt;Setup!$C$5+14,"Order within 2 weeks","Scheduled"))))))</f>
        <v/>
      </c>
    </row>
    <row r="68" spans="1:8" x14ac:dyDescent="0.2">
      <c r="A68" s="9"/>
      <c r="B68" s="11"/>
      <c r="C68" s="9"/>
      <c r="D68" s="12"/>
      <c r="E68" s="19" t="str">
        <f>IF(Calc!$AI68="","",INDEX(Setup!$C$20:$C$34,Calc!$AI68))</f>
        <v/>
      </c>
      <c r="F68" s="20" t="str">
        <f>IF(Calc!$AI68="","",INDEX(Calc!$B68:$P68,1,Calc!$AI68))</f>
        <v/>
      </c>
      <c r="G68" s="20" t="str">
        <f>IF(Calc!$AI68="","",INT(Calc!$AH68))</f>
        <v/>
      </c>
      <c r="H68" s="21" t="str">
        <f>IF(AND(A68="",B68=""),"",IF(NOT(ISNUMBER(B68)),"Check hire date: not a date",IF(Calc!$AI68="","No milestones left to order",IF(F68&lt;Setup!$C$5,"PAST DUE: milestone date has passed",IF(G68&lt;Setup!$C$5,"LATE: order today, ask about rush",IF(G68&lt;Setup!$C$5+14,"Order within 2 weeks","Scheduled"))))))</f>
        <v/>
      </c>
    </row>
    <row r="69" spans="1:8" x14ac:dyDescent="0.2">
      <c r="A69" s="9"/>
      <c r="B69" s="11"/>
      <c r="C69" s="9"/>
      <c r="D69" s="12"/>
      <c r="E69" s="19" t="str">
        <f>IF(Calc!$AI69="","",INDEX(Setup!$C$20:$C$34,Calc!$AI69))</f>
        <v/>
      </c>
      <c r="F69" s="20" t="str">
        <f>IF(Calc!$AI69="","",INDEX(Calc!$B69:$P69,1,Calc!$AI69))</f>
        <v/>
      </c>
      <c r="G69" s="20" t="str">
        <f>IF(Calc!$AI69="","",INT(Calc!$AH69))</f>
        <v/>
      </c>
      <c r="H69" s="21" t="str">
        <f>IF(AND(A69="",B69=""),"",IF(NOT(ISNUMBER(B69)),"Check hire date: not a date",IF(Calc!$AI69="","No milestones left to order",IF(F69&lt;Setup!$C$5,"PAST DUE: milestone date has passed",IF(G69&lt;Setup!$C$5,"LATE: order today, ask about rush",IF(G69&lt;Setup!$C$5+14,"Order within 2 weeks","Scheduled"))))))</f>
        <v/>
      </c>
    </row>
    <row r="70" spans="1:8" x14ac:dyDescent="0.2">
      <c r="A70" s="9"/>
      <c r="B70" s="11"/>
      <c r="C70" s="9"/>
      <c r="D70" s="12"/>
      <c r="E70" s="19" t="str">
        <f>IF(Calc!$AI70="","",INDEX(Setup!$C$20:$C$34,Calc!$AI70))</f>
        <v/>
      </c>
      <c r="F70" s="20" t="str">
        <f>IF(Calc!$AI70="","",INDEX(Calc!$B70:$P70,1,Calc!$AI70))</f>
        <v/>
      </c>
      <c r="G70" s="20" t="str">
        <f>IF(Calc!$AI70="","",INT(Calc!$AH70))</f>
        <v/>
      </c>
      <c r="H70" s="21" t="str">
        <f>IF(AND(A70="",B70=""),"",IF(NOT(ISNUMBER(B70)),"Check hire date: not a date",IF(Calc!$AI70="","No milestones left to order",IF(F70&lt;Setup!$C$5,"PAST DUE: milestone date has passed",IF(G70&lt;Setup!$C$5,"LATE: order today, ask about rush",IF(G70&lt;Setup!$C$5+14,"Order within 2 weeks","Scheduled"))))))</f>
        <v/>
      </c>
    </row>
    <row r="71" spans="1:8" x14ac:dyDescent="0.2">
      <c r="A71" s="9"/>
      <c r="B71" s="11"/>
      <c r="C71" s="9"/>
      <c r="D71" s="12"/>
      <c r="E71" s="19" t="str">
        <f>IF(Calc!$AI71="","",INDEX(Setup!$C$20:$C$34,Calc!$AI71))</f>
        <v/>
      </c>
      <c r="F71" s="20" t="str">
        <f>IF(Calc!$AI71="","",INDEX(Calc!$B71:$P71,1,Calc!$AI71))</f>
        <v/>
      </c>
      <c r="G71" s="20" t="str">
        <f>IF(Calc!$AI71="","",INT(Calc!$AH71))</f>
        <v/>
      </c>
      <c r="H71" s="21" t="str">
        <f>IF(AND(A71="",B71=""),"",IF(NOT(ISNUMBER(B71)),"Check hire date: not a date",IF(Calc!$AI71="","No milestones left to order",IF(F71&lt;Setup!$C$5,"PAST DUE: milestone date has passed",IF(G71&lt;Setup!$C$5,"LATE: order today, ask about rush",IF(G71&lt;Setup!$C$5+14,"Order within 2 weeks","Scheduled"))))))</f>
        <v/>
      </c>
    </row>
    <row r="72" spans="1:8" x14ac:dyDescent="0.2">
      <c r="A72" s="9"/>
      <c r="B72" s="11"/>
      <c r="C72" s="9"/>
      <c r="D72" s="12"/>
      <c r="E72" s="19" t="str">
        <f>IF(Calc!$AI72="","",INDEX(Setup!$C$20:$C$34,Calc!$AI72))</f>
        <v/>
      </c>
      <c r="F72" s="20" t="str">
        <f>IF(Calc!$AI72="","",INDEX(Calc!$B72:$P72,1,Calc!$AI72))</f>
        <v/>
      </c>
      <c r="G72" s="20" t="str">
        <f>IF(Calc!$AI72="","",INT(Calc!$AH72))</f>
        <v/>
      </c>
      <c r="H72" s="21" t="str">
        <f>IF(AND(A72="",B72=""),"",IF(NOT(ISNUMBER(B72)),"Check hire date: not a date",IF(Calc!$AI72="","No milestones left to order",IF(F72&lt;Setup!$C$5,"PAST DUE: milestone date has passed",IF(G72&lt;Setup!$C$5,"LATE: order today, ask about rush",IF(G72&lt;Setup!$C$5+14,"Order within 2 weeks","Scheduled"))))))</f>
        <v/>
      </c>
    </row>
    <row r="73" spans="1:8" x14ac:dyDescent="0.2">
      <c r="A73" s="9"/>
      <c r="B73" s="11"/>
      <c r="C73" s="9"/>
      <c r="D73" s="12"/>
      <c r="E73" s="19" t="str">
        <f>IF(Calc!$AI73="","",INDEX(Setup!$C$20:$C$34,Calc!$AI73))</f>
        <v/>
      </c>
      <c r="F73" s="20" t="str">
        <f>IF(Calc!$AI73="","",INDEX(Calc!$B73:$P73,1,Calc!$AI73))</f>
        <v/>
      </c>
      <c r="G73" s="20" t="str">
        <f>IF(Calc!$AI73="","",INT(Calc!$AH73))</f>
        <v/>
      </c>
      <c r="H73" s="21" t="str">
        <f>IF(AND(A73="",B73=""),"",IF(NOT(ISNUMBER(B73)),"Check hire date: not a date",IF(Calc!$AI73="","No milestones left to order",IF(F73&lt;Setup!$C$5,"PAST DUE: milestone date has passed",IF(G73&lt;Setup!$C$5,"LATE: order today, ask about rush",IF(G73&lt;Setup!$C$5+14,"Order within 2 weeks","Scheduled"))))))</f>
        <v/>
      </c>
    </row>
    <row r="74" spans="1:8" x14ac:dyDescent="0.2">
      <c r="A74" s="9"/>
      <c r="B74" s="11"/>
      <c r="C74" s="9"/>
      <c r="D74" s="12"/>
      <c r="E74" s="19" t="str">
        <f>IF(Calc!$AI74="","",INDEX(Setup!$C$20:$C$34,Calc!$AI74))</f>
        <v/>
      </c>
      <c r="F74" s="20" t="str">
        <f>IF(Calc!$AI74="","",INDEX(Calc!$B74:$P74,1,Calc!$AI74))</f>
        <v/>
      </c>
      <c r="G74" s="20" t="str">
        <f>IF(Calc!$AI74="","",INT(Calc!$AH74))</f>
        <v/>
      </c>
      <c r="H74" s="21" t="str">
        <f>IF(AND(A74="",B74=""),"",IF(NOT(ISNUMBER(B74)),"Check hire date: not a date",IF(Calc!$AI74="","No milestones left to order",IF(F74&lt;Setup!$C$5,"PAST DUE: milestone date has passed",IF(G74&lt;Setup!$C$5,"LATE: order today, ask about rush",IF(G74&lt;Setup!$C$5+14,"Order within 2 weeks","Scheduled"))))))</f>
        <v/>
      </c>
    </row>
    <row r="75" spans="1:8" x14ac:dyDescent="0.2">
      <c r="A75" s="9"/>
      <c r="B75" s="11"/>
      <c r="C75" s="9"/>
      <c r="D75" s="12"/>
      <c r="E75" s="19" t="str">
        <f>IF(Calc!$AI75="","",INDEX(Setup!$C$20:$C$34,Calc!$AI75))</f>
        <v/>
      </c>
      <c r="F75" s="20" t="str">
        <f>IF(Calc!$AI75="","",INDEX(Calc!$B75:$P75,1,Calc!$AI75))</f>
        <v/>
      </c>
      <c r="G75" s="20" t="str">
        <f>IF(Calc!$AI75="","",INT(Calc!$AH75))</f>
        <v/>
      </c>
      <c r="H75" s="21" t="str">
        <f>IF(AND(A75="",B75=""),"",IF(NOT(ISNUMBER(B75)),"Check hire date: not a date",IF(Calc!$AI75="","No milestones left to order",IF(F75&lt;Setup!$C$5,"PAST DUE: milestone date has passed",IF(G75&lt;Setup!$C$5,"LATE: order today, ask about rush",IF(G75&lt;Setup!$C$5+14,"Order within 2 weeks","Scheduled"))))))</f>
        <v/>
      </c>
    </row>
    <row r="76" spans="1:8" x14ac:dyDescent="0.2">
      <c r="A76" s="9"/>
      <c r="B76" s="11"/>
      <c r="C76" s="9"/>
      <c r="D76" s="12"/>
      <c r="E76" s="19" t="str">
        <f>IF(Calc!$AI76="","",INDEX(Setup!$C$20:$C$34,Calc!$AI76))</f>
        <v/>
      </c>
      <c r="F76" s="20" t="str">
        <f>IF(Calc!$AI76="","",INDEX(Calc!$B76:$P76,1,Calc!$AI76))</f>
        <v/>
      </c>
      <c r="G76" s="20" t="str">
        <f>IF(Calc!$AI76="","",INT(Calc!$AH76))</f>
        <v/>
      </c>
      <c r="H76" s="21" t="str">
        <f>IF(AND(A76="",B76=""),"",IF(NOT(ISNUMBER(B76)),"Check hire date: not a date",IF(Calc!$AI76="","No milestones left to order",IF(F76&lt;Setup!$C$5,"PAST DUE: milestone date has passed",IF(G76&lt;Setup!$C$5,"LATE: order today, ask about rush",IF(G76&lt;Setup!$C$5+14,"Order within 2 weeks","Scheduled"))))))</f>
        <v/>
      </c>
    </row>
    <row r="77" spans="1:8" x14ac:dyDescent="0.2">
      <c r="A77" s="9"/>
      <c r="B77" s="11"/>
      <c r="C77" s="9"/>
      <c r="D77" s="12"/>
      <c r="E77" s="19" t="str">
        <f>IF(Calc!$AI77="","",INDEX(Setup!$C$20:$C$34,Calc!$AI77))</f>
        <v/>
      </c>
      <c r="F77" s="20" t="str">
        <f>IF(Calc!$AI77="","",INDEX(Calc!$B77:$P77,1,Calc!$AI77))</f>
        <v/>
      </c>
      <c r="G77" s="20" t="str">
        <f>IF(Calc!$AI77="","",INT(Calc!$AH77))</f>
        <v/>
      </c>
      <c r="H77" s="21" t="str">
        <f>IF(AND(A77="",B77=""),"",IF(NOT(ISNUMBER(B77)),"Check hire date: not a date",IF(Calc!$AI77="","No milestones left to order",IF(F77&lt;Setup!$C$5,"PAST DUE: milestone date has passed",IF(G77&lt;Setup!$C$5,"LATE: order today, ask about rush",IF(G77&lt;Setup!$C$5+14,"Order within 2 weeks","Scheduled"))))))</f>
        <v/>
      </c>
    </row>
    <row r="78" spans="1:8" x14ac:dyDescent="0.2">
      <c r="A78" s="9"/>
      <c r="B78" s="11"/>
      <c r="C78" s="9"/>
      <c r="D78" s="12"/>
      <c r="E78" s="19" t="str">
        <f>IF(Calc!$AI78="","",INDEX(Setup!$C$20:$C$34,Calc!$AI78))</f>
        <v/>
      </c>
      <c r="F78" s="20" t="str">
        <f>IF(Calc!$AI78="","",INDEX(Calc!$B78:$P78,1,Calc!$AI78))</f>
        <v/>
      </c>
      <c r="G78" s="20" t="str">
        <f>IF(Calc!$AI78="","",INT(Calc!$AH78))</f>
        <v/>
      </c>
      <c r="H78" s="21" t="str">
        <f>IF(AND(A78="",B78=""),"",IF(NOT(ISNUMBER(B78)),"Check hire date: not a date",IF(Calc!$AI78="","No milestones left to order",IF(F78&lt;Setup!$C$5,"PAST DUE: milestone date has passed",IF(G78&lt;Setup!$C$5,"LATE: order today, ask about rush",IF(G78&lt;Setup!$C$5+14,"Order within 2 weeks","Scheduled"))))))</f>
        <v/>
      </c>
    </row>
    <row r="79" spans="1:8" x14ac:dyDescent="0.2">
      <c r="A79" s="9"/>
      <c r="B79" s="11"/>
      <c r="C79" s="9"/>
      <c r="D79" s="12"/>
      <c r="E79" s="19" t="str">
        <f>IF(Calc!$AI79="","",INDEX(Setup!$C$20:$C$34,Calc!$AI79))</f>
        <v/>
      </c>
      <c r="F79" s="20" t="str">
        <f>IF(Calc!$AI79="","",INDEX(Calc!$B79:$P79,1,Calc!$AI79))</f>
        <v/>
      </c>
      <c r="G79" s="20" t="str">
        <f>IF(Calc!$AI79="","",INT(Calc!$AH79))</f>
        <v/>
      </c>
      <c r="H79" s="21" t="str">
        <f>IF(AND(A79="",B79=""),"",IF(NOT(ISNUMBER(B79)),"Check hire date: not a date",IF(Calc!$AI79="","No milestones left to order",IF(F79&lt;Setup!$C$5,"PAST DUE: milestone date has passed",IF(G79&lt;Setup!$C$5,"LATE: order today, ask about rush",IF(G79&lt;Setup!$C$5+14,"Order within 2 weeks","Scheduled"))))))</f>
        <v/>
      </c>
    </row>
    <row r="80" spans="1:8" x14ac:dyDescent="0.2">
      <c r="A80" s="9"/>
      <c r="B80" s="11"/>
      <c r="C80" s="9"/>
      <c r="D80" s="12"/>
      <c r="E80" s="19" t="str">
        <f>IF(Calc!$AI80="","",INDEX(Setup!$C$20:$C$34,Calc!$AI80))</f>
        <v/>
      </c>
      <c r="F80" s="20" t="str">
        <f>IF(Calc!$AI80="","",INDEX(Calc!$B80:$P80,1,Calc!$AI80))</f>
        <v/>
      </c>
      <c r="G80" s="20" t="str">
        <f>IF(Calc!$AI80="","",INT(Calc!$AH80))</f>
        <v/>
      </c>
      <c r="H80" s="21" t="str">
        <f>IF(AND(A80="",B80=""),"",IF(NOT(ISNUMBER(B80)),"Check hire date: not a date",IF(Calc!$AI80="","No milestones left to order",IF(F80&lt;Setup!$C$5,"PAST DUE: milestone date has passed",IF(G80&lt;Setup!$C$5,"LATE: order today, ask about rush",IF(G80&lt;Setup!$C$5+14,"Order within 2 weeks","Scheduled"))))))</f>
        <v/>
      </c>
    </row>
    <row r="81" spans="1:8" x14ac:dyDescent="0.2">
      <c r="A81" s="9"/>
      <c r="B81" s="11"/>
      <c r="C81" s="9"/>
      <c r="D81" s="12"/>
      <c r="E81" s="19" t="str">
        <f>IF(Calc!$AI81="","",INDEX(Setup!$C$20:$C$34,Calc!$AI81))</f>
        <v/>
      </c>
      <c r="F81" s="20" t="str">
        <f>IF(Calc!$AI81="","",INDEX(Calc!$B81:$P81,1,Calc!$AI81))</f>
        <v/>
      </c>
      <c r="G81" s="20" t="str">
        <f>IF(Calc!$AI81="","",INT(Calc!$AH81))</f>
        <v/>
      </c>
      <c r="H81" s="21" t="str">
        <f>IF(AND(A81="",B81=""),"",IF(NOT(ISNUMBER(B81)),"Check hire date: not a date",IF(Calc!$AI81="","No milestones left to order",IF(F81&lt;Setup!$C$5,"PAST DUE: milestone date has passed",IF(G81&lt;Setup!$C$5,"LATE: order today, ask about rush",IF(G81&lt;Setup!$C$5+14,"Order within 2 weeks","Scheduled"))))))</f>
        <v/>
      </c>
    </row>
    <row r="82" spans="1:8" x14ac:dyDescent="0.2">
      <c r="A82" s="9"/>
      <c r="B82" s="11"/>
      <c r="C82" s="9"/>
      <c r="D82" s="12"/>
      <c r="E82" s="19" t="str">
        <f>IF(Calc!$AI82="","",INDEX(Setup!$C$20:$C$34,Calc!$AI82))</f>
        <v/>
      </c>
      <c r="F82" s="20" t="str">
        <f>IF(Calc!$AI82="","",INDEX(Calc!$B82:$P82,1,Calc!$AI82))</f>
        <v/>
      </c>
      <c r="G82" s="20" t="str">
        <f>IF(Calc!$AI82="","",INT(Calc!$AH82))</f>
        <v/>
      </c>
      <c r="H82" s="21" t="str">
        <f>IF(AND(A82="",B82=""),"",IF(NOT(ISNUMBER(B82)),"Check hire date: not a date",IF(Calc!$AI82="","No milestones left to order",IF(F82&lt;Setup!$C$5,"PAST DUE: milestone date has passed",IF(G82&lt;Setup!$C$5,"LATE: order today, ask about rush",IF(G82&lt;Setup!$C$5+14,"Order within 2 weeks","Scheduled"))))))</f>
        <v/>
      </c>
    </row>
    <row r="83" spans="1:8" x14ac:dyDescent="0.2">
      <c r="A83" s="9"/>
      <c r="B83" s="11"/>
      <c r="C83" s="9"/>
      <c r="D83" s="12"/>
      <c r="E83" s="19" t="str">
        <f>IF(Calc!$AI83="","",INDEX(Setup!$C$20:$C$34,Calc!$AI83))</f>
        <v/>
      </c>
      <c r="F83" s="20" t="str">
        <f>IF(Calc!$AI83="","",INDEX(Calc!$B83:$P83,1,Calc!$AI83))</f>
        <v/>
      </c>
      <c r="G83" s="20" t="str">
        <f>IF(Calc!$AI83="","",INT(Calc!$AH83))</f>
        <v/>
      </c>
      <c r="H83" s="21" t="str">
        <f>IF(AND(A83="",B83=""),"",IF(NOT(ISNUMBER(B83)),"Check hire date: not a date",IF(Calc!$AI83="","No milestones left to order",IF(F83&lt;Setup!$C$5,"PAST DUE: milestone date has passed",IF(G83&lt;Setup!$C$5,"LATE: order today, ask about rush",IF(G83&lt;Setup!$C$5+14,"Order within 2 weeks","Scheduled"))))))</f>
        <v/>
      </c>
    </row>
    <row r="84" spans="1:8" x14ac:dyDescent="0.2">
      <c r="A84" s="9"/>
      <c r="B84" s="11"/>
      <c r="C84" s="9"/>
      <c r="D84" s="12"/>
      <c r="E84" s="19" t="str">
        <f>IF(Calc!$AI84="","",INDEX(Setup!$C$20:$C$34,Calc!$AI84))</f>
        <v/>
      </c>
      <c r="F84" s="20" t="str">
        <f>IF(Calc!$AI84="","",INDEX(Calc!$B84:$P84,1,Calc!$AI84))</f>
        <v/>
      </c>
      <c r="G84" s="20" t="str">
        <f>IF(Calc!$AI84="","",INT(Calc!$AH84))</f>
        <v/>
      </c>
      <c r="H84" s="21" t="str">
        <f>IF(AND(A84="",B84=""),"",IF(NOT(ISNUMBER(B84)),"Check hire date: not a date",IF(Calc!$AI84="","No milestones left to order",IF(F84&lt;Setup!$C$5,"PAST DUE: milestone date has passed",IF(G84&lt;Setup!$C$5,"LATE: order today, ask about rush",IF(G84&lt;Setup!$C$5+14,"Order within 2 weeks","Scheduled"))))))</f>
        <v/>
      </c>
    </row>
    <row r="85" spans="1:8" x14ac:dyDescent="0.2">
      <c r="A85" s="9"/>
      <c r="B85" s="11"/>
      <c r="C85" s="9"/>
      <c r="D85" s="12"/>
      <c r="E85" s="19" t="str">
        <f>IF(Calc!$AI85="","",INDEX(Setup!$C$20:$C$34,Calc!$AI85))</f>
        <v/>
      </c>
      <c r="F85" s="20" t="str">
        <f>IF(Calc!$AI85="","",INDEX(Calc!$B85:$P85,1,Calc!$AI85))</f>
        <v/>
      </c>
      <c r="G85" s="20" t="str">
        <f>IF(Calc!$AI85="","",INT(Calc!$AH85))</f>
        <v/>
      </c>
      <c r="H85" s="21" t="str">
        <f>IF(AND(A85="",B85=""),"",IF(NOT(ISNUMBER(B85)),"Check hire date: not a date",IF(Calc!$AI85="","No milestones left to order",IF(F85&lt;Setup!$C$5,"PAST DUE: milestone date has passed",IF(G85&lt;Setup!$C$5,"LATE: order today, ask about rush",IF(G85&lt;Setup!$C$5+14,"Order within 2 weeks","Scheduled"))))))</f>
        <v/>
      </c>
    </row>
    <row r="86" spans="1:8" x14ac:dyDescent="0.2">
      <c r="A86" s="9"/>
      <c r="B86" s="11"/>
      <c r="C86" s="9"/>
      <c r="D86" s="12"/>
      <c r="E86" s="19" t="str">
        <f>IF(Calc!$AI86="","",INDEX(Setup!$C$20:$C$34,Calc!$AI86))</f>
        <v/>
      </c>
      <c r="F86" s="20" t="str">
        <f>IF(Calc!$AI86="","",INDEX(Calc!$B86:$P86,1,Calc!$AI86))</f>
        <v/>
      </c>
      <c r="G86" s="20" t="str">
        <f>IF(Calc!$AI86="","",INT(Calc!$AH86))</f>
        <v/>
      </c>
      <c r="H86" s="21" t="str">
        <f>IF(AND(A86="",B86=""),"",IF(NOT(ISNUMBER(B86)),"Check hire date: not a date",IF(Calc!$AI86="","No milestones left to order",IF(F86&lt;Setup!$C$5,"PAST DUE: milestone date has passed",IF(G86&lt;Setup!$C$5,"LATE: order today, ask about rush",IF(G86&lt;Setup!$C$5+14,"Order within 2 weeks","Scheduled"))))))</f>
        <v/>
      </c>
    </row>
    <row r="87" spans="1:8" x14ac:dyDescent="0.2">
      <c r="A87" s="9"/>
      <c r="B87" s="11"/>
      <c r="C87" s="9"/>
      <c r="D87" s="12"/>
      <c r="E87" s="19" t="str">
        <f>IF(Calc!$AI87="","",INDEX(Setup!$C$20:$C$34,Calc!$AI87))</f>
        <v/>
      </c>
      <c r="F87" s="20" t="str">
        <f>IF(Calc!$AI87="","",INDEX(Calc!$B87:$P87,1,Calc!$AI87))</f>
        <v/>
      </c>
      <c r="G87" s="20" t="str">
        <f>IF(Calc!$AI87="","",INT(Calc!$AH87))</f>
        <v/>
      </c>
      <c r="H87" s="21" t="str">
        <f>IF(AND(A87="",B87=""),"",IF(NOT(ISNUMBER(B87)),"Check hire date: not a date",IF(Calc!$AI87="","No milestones left to order",IF(F87&lt;Setup!$C$5,"PAST DUE: milestone date has passed",IF(G87&lt;Setup!$C$5,"LATE: order today, ask about rush",IF(G87&lt;Setup!$C$5+14,"Order within 2 weeks","Scheduled"))))))</f>
        <v/>
      </c>
    </row>
    <row r="88" spans="1:8" x14ac:dyDescent="0.2">
      <c r="A88" s="9"/>
      <c r="B88" s="11"/>
      <c r="C88" s="9"/>
      <c r="D88" s="12"/>
      <c r="E88" s="19" t="str">
        <f>IF(Calc!$AI88="","",INDEX(Setup!$C$20:$C$34,Calc!$AI88))</f>
        <v/>
      </c>
      <c r="F88" s="20" t="str">
        <f>IF(Calc!$AI88="","",INDEX(Calc!$B88:$P88,1,Calc!$AI88))</f>
        <v/>
      </c>
      <c r="G88" s="20" t="str">
        <f>IF(Calc!$AI88="","",INT(Calc!$AH88))</f>
        <v/>
      </c>
      <c r="H88" s="21" t="str">
        <f>IF(AND(A88="",B88=""),"",IF(NOT(ISNUMBER(B88)),"Check hire date: not a date",IF(Calc!$AI88="","No milestones left to order",IF(F88&lt;Setup!$C$5,"PAST DUE: milestone date has passed",IF(G88&lt;Setup!$C$5,"LATE: order today, ask about rush",IF(G88&lt;Setup!$C$5+14,"Order within 2 weeks","Scheduled"))))))</f>
        <v/>
      </c>
    </row>
    <row r="89" spans="1:8" x14ac:dyDescent="0.2">
      <c r="A89" s="9"/>
      <c r="B89" s="11"/>
      <c r="C89" s="9"/>
      <c r="D89" s="12"/>
      <c r="E89" s="19" t="str">
        <f>IF(Calc!$AI89="","",INDEX(Setup!$C$20:$C$34,Calc!$AI89))</f>
        <v/>
      </c>
      <c r="F89" s="20" t="str">
        <f>IF(Calc!$AI89="","",INDEX(Calc!$B89:$P89,1,Calc!$AI89))</f>
        <v/>
      </c>
      <c r="G89" s="20" t="str">
        <f>IF(Calc!$AI89="","",INT(Calc!$AH89))</f>
        <v/>
      </c>
      <c r="H89" s="21" t="str">
        <f>IF(AND(A89="",B89=""),"",IF(NOT(ISNUMBER(B89)),"Check hire date: not a date",IF(Calc!$AI89="","No milestones left to order",IF(F89&lt;Setup!$C$5,"PAST DUE: milestone date has passed",IF(G89&lt;Setup!$C$5,"LATE: order today, ask about rush",IF(G89&lt;Setup!$C$5+14,"Order within 2 weeks","Scheduled"))))))</f>
        <v/>
      </c>
    </row>
    <row r="90" spans="1:8" x14ac:dyDescent="0.2">
      <c r="A90" s="9"/>
      <c r="B90" s="11"/>
      <c r="C90" s="9"/>
      <c r="D90" s="12"/>
      <c r="E90" s="19" t="str">
        <f>IF(Calc!$AI90="","",INDEX(Setup!$C$20:$C$34,Calc!$AI90))</f>
        <v/>
      </c>
      <c r="F90" s="20" t="str">
        <f>IF(Calc!$AI90="","",INDEX(Calc!$B90:$P90,1,Calc!$AI90))</f>
        <v/>
      </c>
      <c r="G90" s="20" t="str">
        <f>IF(Calc!$AI90="","",INT(Calc!$AH90))</f>
        <v/>
      </c>
      <c r="H90" s="21" t="str">
        <f>IF(AND(A90="",B90=""),"",IF(NOT(ISNUMBER(B90)),"Check hire date: not a date",IF(Calc!$AI90="","No milestones left to order",IF(F90&lt;Setup!$C$5,"PAST DUE: milestone date has passed",IF(G90&lt;Setup!$C$5,"LATE: order today, ask about rush",IF(G90&lt;Setup!$C$5+14,"Order within 2 weeks","Scheduled"))))))</f>
        <v/>
      </c>
    </row>
    <row r="91" spans="1:8" x14ac:dyDescent="0.2">
      <c r="A91" s="9"/>
      <c r="B91" s="11"/>
      <c r="C91" s="9"/>
      <c r="D91" s="12"/>
      <c r="E91" s="19" t="str">
        <f>IF(Calc!$AI91="","",INDEX(Setup!$C$20:$C$34,Calc!$AI91))</f>
        <v/>
      </c>
      <c r="F91" s="20" t="str">
        <f>IF(Calc!$AI91="","",INDEX(Calc!$B91:$P91,1,Calc!$AI91))</f>
        <v/>
      </c>
      <c r="G91" s="20" t="str">
        <f>IF(Calc!$AI91="","",INT(Calc!$AH91))</f>
        <v/>
      </c>
      <c r="H91" s="21" t="str">
        <f>IF(AND(A91="",B91=""),"",IF(NOT(ISNUMBER(B91)),"Check hire date: not a date",IF(Calc!$AI91="","No milestones left to order",IF(F91&lt;Setup!$C$5,"PAST DUE: milestone date has passed",IF(G91&lt;Setup!$C$5,"LATE: order today, ask about rush",IF(G91&lt;Setup!$C$5+14,"Order within 2 weeks","Scheduled"))))))</f>
        <v/>
      </c>
    </row>
    <row r="92" spans="1:8" x14ac:dyDescent="0.2">
      <c r="A92" s="9"/>
      <c r="B92" s="11"/>
      <c r="C92" s="9"/>
      <c r="D92" s="12"/>
      <c r="E92" s="19" t="str">
        <f>IF(Calc!$AI92="","",INDEX(Setup!$C$20:$C$34,Calc!$AI92))</f>
        <v/>
      </c>
      <c r="F92" s="20" t="str">
        <f>IF(Calc!$AI92="","",INDEX(Calc!$B92:$P92,1,Calc!$AI92))</f>
        <v/>
      </c>
      <c r="G92" s="20" t="str">
        <f>IF(Calc!$AI92="","",INT(Calc!$AH92))</f>
        <v/>
      </c>
      <c r="H92" s="21" t="str">
        <f>IF(AND(A92="",B92=""),"",IF(NOT(ISNUMBER(B92)),"Check hire date: not a date",IF(Calc!$AI92="","No milestones left to order",IF(F92&lt;Setup!$C$5,"PAST DUE: milestone date has passed",IF(G92&lt;Setup!$C$5,"LATE: order today, ask about rush",IF(G92&lt;Setup!$C$5+14,"Order within 2 weeks","Scheduled"))))))</f>
        <v/>
      </c>
    </row>
    <row r="93" spans="1:8" x14ac:dyDescent="0.2">
      <c r="A93" s="9"/>
      <c r="B93" s="11"/>
      <c r="C93" s="9"/>
      <c r="D93" s="12"/>
      <c r="E93" s="19" t="str">
        <f>IF(Calc!$AI93="","",INDEX(Setup!$C$20:$C$34,Calc!$AI93))</f>
        <v/>
      </c>
      <c r="F93" s="20" t="str">
        <f>IF(Calc!$AI93="","",INDEX(Calc!$B93:$P93,1,Calc!$AI93))</f>
        <v/>
      </c>
      <c r="G93" s="20" t="str">
        <f>IF(Calc!$AI93="","",INT(Calc!$AH93))</f>
        <v/>
      </c>
      <c r="H93" s="21" t="str">
        <f>IF(AND(A93="",B93=""),"",IF(NOT(ISNUMBER(B93)),"Check hire date: not a date",IF(Calc!$AI93="","No milestones left to order",IF(F93&lt;Setup!$C$5,"PAST DUE: milestone date has passed",IF(G93&lt;Setup!$C$5,"LATE: order today, ask about rush",IF(G93&lt;Setup!$C$5+14,"Order within 2 weeks","Scheduled"))))))</f>
        <v/>
      </c>
    </row>
    <row r="94" spans="1:8" x14ac:dyDescent="0.2">
      <c r="A94" s="9"/>
      <c r="B94" s="11"/>
      <c r="C94" s="9"/>
      <c r="D94" s="12"/>
      <c r="E94" s="19" t="str">
        <f>IF(Calc!$AI94="","",INDEX(Setup!$C$20:$C$34,Calc!$AI94))</f>
        <v/>
      </c>
      <c r="F94" s="20" t="str">
        <f>IF(Calc!$AI94="","",INDEX(Calc!$B94:$P94,1,Calc!$AI94))</f>
        <v/>
      </c>
      <c r="G94" s="20" t="str">
        <f>IF(Calc!$AI94="","",INT(Calc!$AH94))</f>
        <v/>
      </c>
      <c r="H94" s="21" t="str">
        <f>IF(AND(A94="",B94=""),"",IF(NOT(ISNUMBER(B94)),"Check hire date: not a date",IF(Calc!$AI94="","No milestones left to order",IF(F94&lt;Setup!$C$5,"PAST DUE: milestone date has passed",IF(G94&lt;Setup!$C$5,"LATE: order today, ask about rush",IF(G94&lt;Setup!$C$5+14,"Order within 2 weeks","Scheduled"))))))</f>
        <v/>
      </c>
    </row>
    <row r="95" spans="1:8" x14ac:dyDescent="0.2">
      <c r="A95" s="9"/>
      <c r="B95" s="11"/>
      <c r="C95" s="9"/>
      <c r="D95" s="12"/>
      <c r="E95" s="19" t="str">
        <f>IF(Calc!$AI95="","",INDEX(Setup!$C$20:$C$34,Calc!$AI95))</f>
        <v/>
      </c>
      <c r="F95" s="20" t="str">
        <f>IF(Calc!$AI95="","",INDEX(Calc!$B95:$P95,1,Calc!$AI95))</f>
        <v/>
      </c>
      <c r="G95" s="20" t="str">
        <f>IF(Calc!$AI95="","",INT(Calc!$AH95))</f>
        <v/>
      </c>
      <c r="H95" s="21" t="str">
        <f>IF(AND(A95="",B95=""),"",IF(NOT(ISNUMBER(B95)),"Check hire date: not a date",IF(Calc!$AI95="","No milestones left to order",IF(F95&lt;Setup!$C$5,"PAST DUE: milestone date has passed",IF(G95&lt;Setup!$C$5,"LATE: order today, ask about rush",IF(G95&lt;Setup!$C$5+14,"Order within 2 weeks","Scheduled"))))))</f>
        <v/>
      </c>
    </row>
    <row r="96" spans="1:8" x14ac:dyDescent="0.2">
      <c r="A96" s="9"/>
      <c r="B96" s="11"/>
      <c r="C96" s="9"/>
      <c r="D96" s="12"/>
      <c r="E96" s="19" t="str">
        <f>IF(Calc!$AI96="","",INDEX(Setup!$C$20:$C$34,Calc!$AI96))</f>
        <v/>
      </c>
      <c r="F96" s="20" t="str">
        <f>IF(Calc!$AI96="","",INDEX(Calc!$B96:$P96,1,Calc!$AI96))</f>
        <v/>
      </c>
      <c r="G96" s="20" t="str">
        <f>IF(Calc!$AI96="","",INT(Calc!$AH96))</f>
        <v/>
      </c>
      <c r="H96" s="21" t="str">
        <f>IF(AND(A96="",B96=""),"",IF(NOT(ISNUMBER(B96)),"Check hire date: not a date",IF(Calc!$AI96="","No milestones left to order",IF(F96&lt;Setup!$C$5,"PAST DUE: milestone date has passed",IF(G96&lt;Setup!$C$5,"LATE: order today, ask about rush",IF(G96&lt;Setup!$C$5+14,"Order within 2 weeks","Scheduled"))))))</f>
        <v/>
      </c>
    </row>
    <row r="97" spans="1:8" x14ac:dyDescent="0.2">
      <c r="A97" s="9"/>
      <c r="B97" s="11"/>
      <c r="C97" s="9"/>
      <c r="D97" s="12"/>
      <c r="E97" s="19" t="str">
        <f>IF(Calc!$AI97="","",INDEX(Setup!$C$20:$C$34,Calc!$AI97))</f>
        <v/>
      </c>
      <c r="F97" s="20" t="str">
        <f>IF(Calc!$AI97="","",INDEX(Calc!$B97:$P97,1,Calc!$AI97))</f>
        <v/>
      </c>
      <c r="G97" s="20" t="str">
        <f>IF(Calc!$AI97="","",INT(Calc!$AH97))</f>
        <v/>
      </c>
      <c r="H97" s="21" t="str">
        <f>IF(AND(A97="",B97=""),"",IF(NOT(ISNUMBER(B97)),"Check hire date: not a date",IF(Calc!$AI97="","No milestones left to order",IF(F97&lt;Setup!$C$5,"PAST DUE: milestone date has passed",IF(G97&lt;Setup!$C$5,"LATE: order today, ask about rush",IF(G97&lt;Setup!$C$5+14,"Order within 2 weeks","Scheduled"))))))</f>
        <v/>
      </c>
    </row>
    <row r="98" spans="1:8" x14ac:dyDescent="0.2">
      <c r="A98" s="9"/>
      <c r="B98" s="11"/>
      <c r="C98" s="9"/>
      <c r="D98" s="12"/>
      <c r="E98" s="19" t="str">
        <f>IF(Calc!$AI98="","",INDEX(Setup!$C$20:$C$34,Calc!$AI98))</f>
        <v/>
      </c>
      <c r="F98" s="20" t="str">
        <f>IF(Calc!$AI98="","",INDEX(Calc!$B98:$P98,1,Calc!$AI98))</f>
        <v/>
      </c>
      <c r="G98" s="20" t="str">
        <f>IF(Calc!$AI98="","",INT(Calc!$AH98))</f>
        <v/>
      </c>
      <c r="H98" s="21" t="str">
        <f>IF(AND(A98="",B98=""),"",IF(NOT(ISNUMBER(B98)),"Check hire date: not a date",IF(Calc!$AI98="","No milestones left to order",IF(F98&lt;Setup!$C$5,"PAST DUE: milestone date has passed",IF(G98&lt;Setup!$C$5,"LATE: order today, ask about rush",IF(G98&lt;Setup!$C$5+14,"Order within 2 weeks","Scheduled"))))))</f>
        <v/>
      </c>
    </row>
    <row r="99" spans="1:8" x14ac:dyDescent="0.2">
      <c r="A99" s="9"/>
      <c r="B99" s="11"/>
      <c r="C99" s="9"/>
      <c r="D99" s="12"/>
      <c r="E99" s="19" t="str">
        <f>IF(Calc!$AI99="","",INDEX(Setup!$C$20:$C$34,Calc!$AI99))</f>
        <v/>
      </c>
      <c r="F99" s="20" t="str">
        <f>IF(Calc!$AI99="","",INDEX(Calc!$B99:$P99,1,Calc!$AI99))</f>
        <v/>
      </c>
      <c r="G99" s="20" t="str">
        <f>IF(Calc!$AI99="","",INT(Calc!$AH99))</f>
        <v/>
      </c>
      <c r="H99" s="21" t="str">
        <f>IF(AND(A99="",B99=""),"",IF(NOT(ISNUMBER(B99)),"Check hire date: not a date",IF(Calc!$AI99="","No milestones left to order",IF(F99&lt;Setup!$C$5,"PAST DUE: milestone date has passed",IF(G99&lt;Setup!$C$5,"LATE: order today, ask about rush",IF(G99&lt;Setup!$C$5+14,"Order within 2 weeks","Scheduled"))))))</f>
        <v/>
      </c>
    </row>
    <row r="100" spans="1:8" x14ac:dyDescent="0.2">
      <c r="A100" s="9"/>
      <c r="B100" s="11"/>
      <c r="C100" s="9"/>
      <c r="D100" s="12"/>
      <c r="E100" s="19" t="str">
        <f>IF(Calc!$AI100="","",INDEX(Setup!$C$20:$C$34,Calc!$AI100))</f>
        <v/>
      </c>
      <c r="F100" s="20" t="str">
        <f>IF(Calc!$AI100="","",INDEX(Calc!$B100:$P100,1,Calc!$AI100))</f>
        <v/>
      </c>
      <c r="G100" s="20" t="str">
        <f>IF(Calc!$AI100="","",INT(Calc!$AH100))</f>
        <v/>
      </c>
      <c r="H100" s="21" t="str">
        <f>IF(AND(A100="",B100=""),"",IF(NOT(ISNUMBER(B100)),"Check hire date: not a date",IF(Calc!$AI100="","No milestones left to order",IF(F100&lt;Setup!$C$5,"PAST DUE: milestone date has passed",IF(G100&lt;Setup!$C$5,"LATE: order today, ask about rush",IF(G100&lt;Setup!$C$5+14,"Order within 2 weeks","Scheduled"))))))</f>
        <v/>
      </c>
    </row>
    <row r="101" spans="1:8" x14ac:dyDescent="0.2">
      <c r="A101" s="9"/>
      <c r="B101" s="11"/>
      <c r="C101" s="9"/>
      <c r="D101" s="12"/>
      <c r="E101" s="19" t="str">
        <f>IF(Calc!$AI101="","",INDEX(Setup!$C$20:$C$34,Calc!$AI101))</f>
        <v/>
      </c>
      <c r="F101" s="20" t="str">
        <f>IF(Calc!$AI101="","",INDEX(Calc!$B101:$P101,1,Calc!$AI101))</f>
        <v/>
      </c>
      <c r="G101" s="20" t="str">
        <f>IF(Calc!$AI101="","",INT(Calc!$AH101))</f>
        <v/>
      </c>
      <c r="H101" s="21" t="str">
        <f>IF(AND(A101="",B101=""),"",IF(NOT(ISNUMBER(B101)),"Check hire date: not a date",IF(Calc!$AI101="","No milestones left to order",IF(F101&lt;Setup!$C$5,"PAST DUE: milestone date has passed",IF(G101&lt;Setup!$C$5,"LATE: order today, ask about rush",IF(G101&lt;Setup!$C$5+14,"Order within 2 weeks","Scheduled"))))))</f>
        <v/>
      </c>
    </row>
    <row r="102" spans="1:8" x14ac:dyDescent="0.2">
      <c r="A102" s="9"/>
      <c r="B102" s="11"/>
      <c r="C102" s="9"/>
      <c r="D102" s="12"/>
      <c r="E102" s="19" t="str">
        <f>IF(Calc!$AI102="","",INDEX(Setup!$C$20:$C$34,Calc!$AI102))</f>
        <v/>
      </c>
      <c r="F102" s="20" t="str">
        <f>IF(Calc!$AI102="","",INDEX(Calc!$B102:$P102,1,Calc!$AI102))</f>
        <v/>
      </c>
      <c r="G102" s="20" t="str">
        <f>IF(Calc!$AI102="","",INT(Calc!$AH102))</f>
        <v/>
      </c>
      <c r="H102" s="21" t="str">
        <f>IF(AND(A102="",B102=""),"",IF(NOT(ISNUMBER(B102)),"Check hire date: not a date",IF(Calc!$AI102="","No milestones left to order",IF(F102&lt;Setup!$C$5,"PAST DUE: milestone date has passed",IF(G102&lt;Setup!$C$5,"LATE: order today, ask about rush",IF(G102&lt;Setup!$C$5+14,"Order within 2 weeks","Scheduled"))))))</f>
        <v/>
      </c>
    </row>
    <row r="103" spans="1:8" x14ac:dyDescent="0.2">
      <c r="A103" s="9"/>
      <c r="B103" s="11"/>
      <c r="C103" s="9"/>
      <c r="D103" s="12"/>
      <c r="E103" s="19" t="str">
        <f>IF(Calc!$AI103="","",INDEX(Setup!$C$20:$C$34,Calc!$AI103))</f>
        <v/>
      </c>
      <c r="F103" s="20" t="str">
        <f>IF(Calc!$AI103="","",INDEX(Calc!$B103:$P103,1,Calc!$AI103))</f>
        <v/>
      </c>
      <c r="G103" s="20" t="str">
        <f>IF(Calc!$AI103="","",INT(Calc!$AH103))</f>
        <v/>
      </c>
      <c r="H103" s="21" t="str">
        <f>IF(AND(A103="",B103=""),"",IF(NOT(ISNUMBER(B103)),"Check hire date: not a date",IF(Calc!$AI103="","No milestones left to order",IF(F103&lt;Setup!$C$5,"PAST DUE: milestone date has passed",IF(G103&lt;Setup!$C$5,"LATE: order today, ask about rush",IF(G103&lt;Setup!$C$5+14,"Order within 2 weeks","Scheduled"))))))</f>
        <v/>
      </c>
    </row>
    <row r="104" spans="1:8" x14ac:dyDescent="0.2">
      <c r="A104" s="9"/>
      <c r="B104" s="11"/>
      <c r="C104" s="9"/>
      <c r="D104" s="12"/>
      <c r="E104" s="19" t="str">
        <f>IF(Calc!$AI104="","",INDEX(Setup!$C$20:$C$34,Calc!$AI104))</f>
        <v/>
      </c>
      <c r="F104" s="20" t="str">
        <f>IF(Calc!$AI104="","",INDEX(Calc!$B104:$P104,1,Calc!$AI104))</f>
        <v/>
      </c>
      <c r="G104" s="20" t="str">
        <f>IF(Calc!$AI104="","",INT(Calc!$AH104))</f>
        <v/>
      </c>
      <c r="H104" s="21" t="str">
        <f>IF(AND(A104="",B104=""),"",IF(NOT(ISNUMBER(B104)),"Check hire date: not a date",IF(Calc!$AI104="","No milestones left to order",IF(F104&lt;Setup!$C$5,"PAST DUE: milestone date has passed",IF(G104&lt;Setup!$C$5,"LATE: order today, ask about rush",IF(G104&lt;Setup!$C$5+14,"Order within 2 weeks","Scheduled"))))))</f>
        <v/>
      </c>
    </row>
    <row r="105" spans="1:8" x14ac:dyDescent="0.2">
      <c r="A105" s="9"/>
      <c r="B105" s="11"/>
      <c r="C105" s="9"/>
      <c r="D105" s="12"/>
      <c r="E105" s="19" t="str">
        <f>IF(Calc!$AI105="","",INDEX(Setup!$C$20:$C$34,Calc!$AI105))</f>
        <v/>
      </c>
      <c r="F105" s="20" t="str">
        <f>IF(Calc!$AI105="","",INDEX(Calc!$B105:$P105,1,Calc!$AI105))</f>
        <v/>
      </c>
      <c r="G105" s="20" t="str">
        <f>IF(Calc!$AI105="","",INT(Calc!$AH105))</f>
        <v/>
      </c>
      <c r="H105" s="21" t="str">
        <f>IF(AND(A105="",B105=""),"",IF(NOT(ISNUMBER(B105)),"Check hire date: not a date",IF(Calc!$AI105="","No milestones left to order",IF(F105&lt;Setup!$C$5,"PAST DUE: milestone date has passed",IF(G105&lt;Setup!$C$5,"LATE: order today, ask about rush",IF(G105&lt;Setup!$C$5+14,"Order within 2 weeks","Scheduled"))))))</f>
        <v/>
      </c>
    </row>
    <row r="106" spans="1:8" x14ac:dyDescent="0.2">
      <c r="A106" s="9"/>
      <c r="B106" s="11"/>
      <c r="C106" s="9"/>
      <c r="D106" s="12"/>
      <c r="E106" s="19" t="str">
        <f>IF(Calc!$AI106="","",INDEX(Setup!$C$20:$C$34,Calc!$AI106))</f>
        <v/>
      </c>
      <c r="F106" s="20" t="str">
        <f>IF(Calc!$AI106="","",INDEX(Calc!$B106:$P106,1,Calc!$AI106))</f>
        <v/>
      </c>
      <c r="G106" s="20" t="str">
        <f>IF(Calc!$AI106="","",INT(Calc!$AH106))</f>
        <v/>
      </c>
      <c r="H106" s="21" t="str">
        <f>IF(AND(A106="",B106=""),"",IF(NOT(ISNUMBER(B106)),"Check hire date: not a date",IF(Calc!$AI106="","No milestones left to order",IF(F106&lt;Setup!$C$5,"PAST DUE: milestone date has passed",IF(G106&lt;Setup!$C$5,"LATE: order today, ask about rush",IF(G106&lt;Setup!$C$5+14,"Order within 2 weeks","Scheduled"))))))</f>
        <v/>
      </c>
    </row>
    <row r="107" spans="1:8" x14ac:dyDescent="0.2">
      <c r="A107" s="9"/>
      <c r="B107" s="11"/>
      <c r="C107" s="9"/>
      <c r="D107" s="12"/>
      <c r="E107" s="19" t="str">
        <f>IF(Calc!$AI107="","",INDEX(Setup!$C$20:$C$34,Calc!$AI107))</f>
        <v/>
      </c>
      <c r="F107" s="20" t="str">
        <f>IF(Calc!$AI107="","",INDEX(Calc!$B107:$P107,1,Calc!$AI107))</f>
        <v/>
      </c>
      <c r="G107" s="20" t="str">
        <f>IF(Calc!$AI107="","",INT(Calc!$AH107))</f>
        <v/>
      </c>
      <c r="H107" s="21" t="str">
        <f>IF(AND(A107="",B107=""),"",IF(NOT(ISNUMBER(B107)),"Check hire date: not a date",IF(Calc!$AI107="","No milestones left to order",IF(F107&lt;Setup!$C$5,"PAST DUE: milestone date has passed",IF(G107&lt;Setup!$C$5,"LATE: order today, ask about rush",IF(G107&lt;Setup!$C$5+14,"Order within 2 weeks","Scheduled"))))))</f>
        <v/>
      </c>
    </row>
    <row r="108" spans="1:8" x14ac:dyDescent="0.2">
      <c r="A108" s="9"/>
      <c r="B108" s="11"/>
      <c r="C108" s="9"/>
      <c r="D108" s="12"/>
      <c r="E108" s="19" t="str">
        <f>IF(Calc!$AI108="","",INDEX(Setup!$C$20:$C$34,Calc!$AI108))</f>
        <v/>
      </c>
      <c r="F108" s="20" t="str">
        <f>IF(Calc!$AI108="","",INDEX(Calc!$B108:$P108,1,Calc!$AI108))</f>
        <v/>
      </c>
      <c r="G108" s="20" t="str">
        <f>IF(Calc!$AI108="","",INT(Calc!$AH108))</f>
        <v/>
      </c>
      <c r="H108" s="21" t="str">
        <f>IF(AND(A108="",B108=""),"",IF(NOT(ISNUMBER(B108)),"Check hire date: not a date",IF(Calc!$AI108="","No milestones left to order",IF(F108&lt;Setup!$C$5,"PAST DUE: milestone date has passed",IF(G108&lt;Setup!$C$5,"LATE: order today, ask about rush",IF(G108&lt;Setup!$C$5+14,"Order within 2 weeks","Scheduled"))))))</f>
        <v/>
      </c>
    </row>
    <row r="109" spans="1:8" x14ac:dyDescent="0.2">
      <c r="A109" s="9"/>
      <c r="B109" s="11"/>
      <c r="C109" s="9"/>
      <c r="D109" s="12"/>
      <c r="E109" s="19" t="str">
        <f>IF(Calc!$AI109="","",INDEX(Setup!$C$20:$C$34,Calc!$AI109))</f>
        <v/>
      </c>
      <c r="F109" s="20" t="str">
        <f>IF(Calc!$AI109="","",INDEX(Calc!$B109:$P109,1,Calc!$AI109))</f>
        <v/>
      </c>
      <c r="G109" s="20" t="str">
        <f>IF(Calc!$AI109="","",INT(Calc!$AH109))</f>
        <v/>
      </c>
      <c r="H109" s="21" t="str">
        <f>IF(AND(A109="",B109=""),"",IF(NOT(ISNUMBER(B109)),"Check hire date: not a date",IF(Calc!$AI109="","No milestones left to order",IF(F109&lt;Setup!$C$5,"PAST DUE: milestone date has passed",IF(G109&lt;Setup!$C$5,"LATE: order today, ask about rush",IF(G109&lt;Setup!$C$5+14,"Order within 2 weeks","Scheduled"))))))</f>
        <v/>
      </c>
    </row>
    <row r="110" spans="1:8" x14ac:dyDescent="0.2">
      <c r="A110" s="9"/>
      <c r="B110" s="11"/>
      <c r="C110" s="9"/>
      <c r="D110" s="12"/>
      <c r="E110" s="19" t="str">
        <f>IF(Calc!$AI110="","",INDEX(Setup!$C$20:$C$34,Calc!$AI110))</f>
        <v/>
      </c>
      <c r="F110" s="20" t="str">
        <f>IF(Calc!$AI110="","",INDEX(Calc!$B110:$P110,1,Calc!$AI110))</f>
        <v/>
      </c>
      <c r="G110" s="20" t="str">
        <f>IF(Calc!$AI110="","",INT(Calc!$AH110))</f>
        <v/>
      </c>
      <c r="H110" s="21" t="str">
        <f>IF(AND(A110="",B110=""),"",IF(NOT(ISNUMBER(B110)),"Check hire date: not a date",IF(Calc!$AI110="","No milestones left to order",IF(F110&lt;Setup!$C$5,"PAST DUE: milestone date has passed",IF(G110&lt;Setup!$C$5,"LATE: order today, ask about rush",IF(G110&lt;Setup!$C$5+14,"Order within 2 weeks","Scheduled"))))))</f>
        <v/>
      </c>
    </row>
    <row r="111" spans="1:8" x14ac:dyDescent="0.2">
      <c r="A111" s="9"/>
      <c r="B111" s="11"/>
      <c r="C111" s="9"/>
      <c r="D111" s="12"/>
      <c r="E111" s="19" t="str">
        <f>IF(Calc!$AI111="","",INDEX(Setup!$C$20:$C$34,Calc!$AI111))</f>
        <v/>
      </c>
      <c r="F111" s="20" t="str">
        <f>IF(Calc!$AI111="","",INDEX(Calc!$B111:$P111,1,Calc!$AI111))</f>
        <v/>
      </c>
      <c r="G111" s="20" t="str">
        <f>IF(Calc!$AI111="","",INT(Calc!$AH111))</f>
        <v/>
      </c>
      <c r="H111" s="21" t="str">
        <f>IF(AND(A111="",B111=""),"",IF(NOT(ISNUMBER(B111)),"Check hire date: not a date",IF(Calc!$AI111="","No milestones left to order",IF(F111&lt;Setup!$C$5,"PAST DUE: milestone date has passed",IF(G111&lt;Setup!$C$5,"LATE: order today, ask about rush",IF(G111&lt;Setup!$C$5+14,"Order within 2 weeks","Scheduled"))))))</f>
        <v/>
      </c>
    </row>
    <row r="112" spans="1:8" x14ac:dyDescent="0.2">
      <c r="A112" s="9"/>
      <c r="B112" s="11"/>
      <c r="C112" s="9"/>
      <c r="D112" s="12"/>
      <c r="E112" s="19" t="str">
        <f>IF(Calc!$AI112="","",INDEX(Setup!$C$20:$C$34,Calc!$AI112))</f>
        <v/>
      </c>
      <c r="F112" s="20" t="str">
        <f>IF(Calc!$AI112="","",INDEX(Calc!$B112:$P112,1,Calc!$AI112))</f>
        <v/>
      </c>
      <c r="G112" s="20" t="str">
        <f>IF(Calc!$AI112="","",INT(Calc!$AH112))</f>
        <v/>
      </c>
      <c r="H112" s="21" t="str">
        <f>IF(AND(A112="",B112=""),"",IF(NOT(ISNUMBER(B112)),"Check hire date: not a date",IF(Calc!$AI112="","No milestones left to order",IF(F112&lt;Setup!$C$5,"PAST DUE: milestone date has passed",IF(G112&lt;Setup!$C$5,"LATE: order today, ask about rush",IF(G112&lt;Setup!$C$5+14,"Order within 2 weeks","Scheduled"))))))</f>
        <v/>
      </c>
    </row>
    <row r="113" spans="1:8" x14ac:dyDescent="0.2">
      <c r="A113" s="9"/>
      <c r="B113" s="11"/>
      <c r="C113" s="9"/>
      <c r="D113" s="12"/>
      <c r="E113" s="19" t="str">
        <f>IF(Calc!$AI113="","",INDEX(Setup!$C$20:$C$34,Calc!$AI113))</f>
        <v/>
      </c>
      <c r="F113" s="20" t="str">
        <f>IF(Calc!$AI113="","",INDEX(Calc!$B113:$P113,1,Calc!$AI113))</f>
        <v/>
      </c>
      <c r="G113" s="20" t="str">
        <f>IF(Calc!$AI113="","",INT(Calc!$AH113))</f>
        <v/>
      </c>
      <c r="H113" s="21" t="str">
        <f>IF(AND(A113="",B113=""),"",IF(NOT(ISNUMBER(B113)),"Check hire date: not a date",IF(Calc!$AI113="","No milestones left to order",IF(F113&lt;Setup!$C$5,"PAST DUE: milestone date has passed",IF(G113&lt;Setup!$C$5,"LATE: order today, ask about rush",IF(G113&lt;Setup!$C$5+14,"Order within 2 weeks","Scheduled"))))))</f>
        <v/>
      </c>
    </row>
    <row r="114" spans="1:8" x14ac:dyDescent="0.2">
      <c r="A114" s="9"/>
      <c r="B114" s="11"/>
      <c r="C114" s="9"/>
      <c r="D114" s="12"/>
      <c r="E114" s="19" t="str">
        <f>IF(Calc!$AI114="","",INDEX(Setup!$C$20:$C$34,Calc!$AI114))</f>
        <v/>
      </c>
      <c r="F114" s="20" t="str">
        <f>IF(Calc!$AI114="","",INDEX(Calc!$B114:$P114,1,Calc!$AI114))</f>
        <v/>
      </c>
      <c r="G114" s="20" t="str">
        <f>IF(Calc!$AI114="","",INT(Calc!$AH114))</f>
        <v/>
      </c>
      <c r="H114" s="21" t="str">
        <f>IF(AND(A114="",B114=""),"",IF(NOT(ISNUMBER(B114)),"Check hire date: not a date",IF(Calc!$AI114="","No milestones left to order",IF(F114&lt;Setup!$C$5,"PAST DUE: milestone date has passed",IF(G114&lt;Setup!$C$5,"LATE: order today, ask about rush",IF(G114&lt;Setup!$C$5+14,"Order within 2 weeks","Scheduled"))))))</f>
        <v/>
      </c>
    </row>
    <row r="115" spans="1:8" x14ac:dyDescent="0.2">
      <c r="A115" s="9"/>
      <c r="B115" s="11"/>
      <c r="C115" s="9"/>
      <c r="D115" s="12"/>
      <c r="E115" s="19" t="str">
        <f>IF(Calc!$AI115="","",INDEX(Setup!$C$20:$C$34,Calc!$AI115))</f>
        <v/>
      </c>
      <c r="F115" s="20" t="str">
        <f>IF(Calc!$AI115="","",INDEX(Calc!$B115:$P115,1,Calc!$AI115))</f>
        <v/>
      </c>
      <c r="G115" s="20" t="str">
        <f>IF(Calc!$AI115="","",INT(Calc!$AH115))</f>
        <v/>
      </c>
      <c r="H115" s="21" t="str">
        <f>IF(AND(A115="",B115=""),"",IF(NOT(ISNUMBER(B115)),"Check hire date: not a date",IF(Calc!$AI115="","No milestones left to order",IF(F115&lt;Setup!$C$5,"PAST DUE: milestone date has passed",IF(G115&lt;Setup!$C$5,"LATE: order today, ask about rush",IF(G115&lt;Setup!$C$5+14,"Order within 2 weeks","Scheduled"))))))</f>
        <v/>
      </c>
    </row>
    <row r="116" spans="1:8" x14ac:dyDescent="0.2">
      <c r="A116" s="9"/>
      <c r="B116" s="11"/>
      <c r="C116" s="9"/>
      <c r="D116" s="12"/>
      <c r="E116" s="19" t="str">
        <f>IF(Calc!$AI116="","",INDEX(Setup!$C$20:$C$34,Calc!$AI116))</f>
        <v/>
      </c>
      <c r="F116" s="20" t="str">
        <f>IF(Calc!$AI116="","",INDEX(Calc!$B116:$P116,1,Calc!$AI116))</f>
        <v/>
      </c>
      <c r="G116" s="20" t="str">
        <f>IF(Calc!$AI116="","",INT(Calc!$AH116))</f>
        <v/>
      </c>
      <c r="H116" s="21" t="str">
        <f>IF(AND(A116="",B116=""),"",IF(NOT(ISNUMBER(B116)),"Check hire date: not a date",IF(Calc!$AI116="","No milestones left to order",IF(F116&lt;Setup!$C$5,"PAST DUE: milestone date has passed",IF(G116&lt;Setup!$C$5,"LATE: order today, ask about rush",IF(G116&lt;Setup!$C$5+14,"Order within 2 weeks","Scheduled"))))))</f>
        <v/>
      </c>
    </row>
    <row r="117" spans="1:8" x14ac:dyDescent="0.2">
      <c r="A117" s="9"/>
      <c r="B117" s="11"/>
      <c r="C117" s="9"/>
      <c r="D117" s="12"/>
      <c r="E117" s="19" t="str">
        <f>IF(Calc!$AI117="","",INDEX(Setup!$C$20:$C$34,Calc!$AI117))</f>
        <v/>
      </c>
      <c r="F117" s="20" t="str">
        <f>IF(Calc!$AI117="","",INDEX(Calc!$B117:$P117,1,Calc!$AI117))</f>
        <v/>
      </c>
      <c r="G117" s="20" t="str">
        <f>IF(Calc!$AI117="","",INT(Calc!$AH117))</f>
        <v/>
      </c>
      <c r="H117" s="21" t="str">
        <f>IF(AND(A117="",B117=""),"",IF(NOT(ISNUMBER(B117)),"Check hire date: not a date",IF(Calc!$AI117="","No milestones left to order",IF(F117&lt;Setup!$C$5,"PAST DUE: milestone date has passed",IF(G117&lt;Setup!$C$5,"LATE: order today, ask about rush",IF(G117&lt;Setup!$C$5+14,"Order within 2 weeks","Scheduled"))))))</f>
        <v/>
      </c>
    </row>
    <row r="118" spans="1:8" x14ac:dyDescent="0.2">
      <c r="A118" s="9"/>
      <c r="B118" s="11"/>
      <c r="C118" s="9"/>
      <c r="D118" s="12"/>
      <c r="E118" s="19" t="str">
        <f>IF(Calc!$AI118="","",INDEX(Setup!$C$20:$C$34,Calc!$AI118))</f>
        <v/>
      </c>
      <c r="F118" s="20" t="str">
        <f>IF(Calc!$AI118="","",INDEX(Calc!$B118:$P118,1,Calc!$AI118))</f>
        <v/>
      </c>
      <c r="G118" s="20" t="str">
        <f>IF(Calc!$AI118="","",INT(Calc!$AH118))</f>
        <v/>
      </c>
      <c r="H118" s="21" t="str">
        <f>IF(AND(A118="",B118=""),"",IF(NOT(ISNUMBER(B118)),"Check hire date: not a date",IF(Calc!$AI118="","No milestones left to order",IF(F118&lt;Setup!$C$5,"PAST DUE: milestone date has passed",IF(G118&lt;Setup!$C$5,"LATE: order today, ask about rush",IF(G118&lt;Setup!$C$5+14,"Order within 2 weeks","Scheduled"))))))</f>
        <v/>
      </c>
    </row>
    <row r="119" spans="1:8" x14ac:dyDescent="0.2">
      <c r="A119" s="9"/>
      <c r="B119" s="11"/>
      <c r="C119" s="9"/>
      <c r="D119" s="12"/>
      <c r="E119" s="19" t="str">
        <f>IF(Calc!$AI119="","",INDEX(Setup!$C$20:$C$34,Calc!$AI119))</f>
        <v/>
      </c>
      <c r="F119" s="20" t="str">
        <f>IF(Calc!$AI119="","",INDEX(Calc!$B119:$P119,1,Calc!$AI119))</f>
        <v/>
      </c>
      <c r="G119" s="20" t="str">
        <f>IF(Calc!$AI119="","",INT(Calc!$AH119))</f>
        <v/>
      </c>
      <c r="H119" s="21" t="str">
        <f>IF(AND(A119="",B119=""),"",IF(NOT(ISNUMBER(B119)),"Check hire date: not a date",IF(Calc!$AI119="","No milestones left to order",IF(F119&lt;Setup!$C$5,"PAST DUE: milestone date has passed",IF(G119&lt;Setup!$C$5,"LATE: order today, ask about rush",IF(G119&lt;Setup!$C$5+14,"Order within 2 weeks","Scheduled"))))))</f>
        <v/>
      </c>
    </row>
    <row r="120" spans="1:8" x14ac:dyDescent="0.2">
      <c r="A120" s="9"/>
      <c r="B120" s="11"/>
      <c r="C120" s="9"/>
      <c r="D120" s="12"/>
      <c r="E120" s="19" t="str">
        <f>IF(Calc!$AI120="","",INDEX(Setup!$C$20:$C$34,Calc!$AI120))</f>
        <v/>
      </c>
      <c r="F120" s="20" t="str">
        <f>IF(Calc!$AI120="","",INDEX(Calc!$B120:$P120,1,Calc!$AI120))</f>
        <v/>
      </c>
      <c r="G120" s="20" t="str">
        <f>IF(Calc!$AI120="","",INT(Calc!$AH120))</f>
        <v/>
      </c>
      <c r="H120" s="21" t="str">
        <f>IF(AND(A120="",B120=""),"",IF(NOT(ISNUMBER(B120)),"Check hire date: not a date",IF(Calc!$AI120="","No milestones left to order",IF(F120&lt;Setup!$C$5,"PAST DUE: milestone date has passed",IF(G120&lt;Setup!$C$5,"LATE: order today, ask about rush",IF(G120&lt;Setup!$C$5+14,"Order within 2 weeks","Scheduled"))))))</f>
        <v/>
      </c>
    </row>
    <row r="121" spans="1:8" x14ac:dyDescent="0.2">
      <c r="A121" s="9"/>
      <c r="B121" s="11"/>
      <c r="C121" s="9"/>
      <c r="D121" s="12"/>
      <c r="E121" s="19" t="str">
        <f>IF(Calc!$AI121="","",INDEX(Setup!$C$20:$C$34,Calc!$AI121))</f>
        <v/>
      </c>
      <c r="F121" s="20" t="str">
        <f>IF(Calc!$AI121="","",INDEX(Calc!$B121:$P121,1,Calc!$AI121))</f>
        <v/>
      </c>
      <c r="G121" s="20" t="str">
        <f>IF(Calc!$AI121="","",INT(Calc!$AH121))</f>
        <v/>
      </c>
      <c r="H121" s="21" t="str">
        <f>IF(AND(A121="",B121=""),"",IF(NOT(ISNUMBER(B121)),"Check hire date: not a date",IF(Calc!$AI121="","No milestones left to order",IF(F121&lt;Setup!$C$5,"PAST DUE: milestone date has passed",IF(G121&lt;Setup!$C$5,"LATE: order today, ask about rush",IF(G121&lt;Setup!$C$5+14,"Order within 2 weeks","Scheduled"))))))</f>
        <v/>
      </c>
    </row>
    <row r="122" spans="1:8" x14ac:dyDescent="0.2">
      <c r="A122" s="9"/>
      <c r="B122" s="11"/>
      <c r="C122" s="9"/>
      <c r="D122" s="12"/>
      <c r="E122" s="19" t="str">
        <f>IF(Calc!$AI122="","",INDEX(Setup!$C$20:$C$34,Calc!$AI122))</f>
        <v/>
      </c>
      <c r="F122" s="20" t="str">
        <f>IF(Calc!$AI122="","",INDEX(Calc!$B122:$P122,1,Calc!$AI122))</f>
        <v/>
      </c>
      <c r="G122" s="20" t="str">
        <f>IF(Calc!$AI122="","",INT(Calc!$AH122))</f>
        <v/>
      </c>
      <c r="H122" s="21" t="str">
        <f>IF(AND(A122="",B122=""),"",IF(NOT(ISNUMBER(B122)),"Check hire date: not a date",IF(Calc!$AI122="","No milestones left to order",IF(F122&lt;Setup!$C$5,"PAST DUE: milestone date has passed",IF(G122&lt;Setup!$C$5,"LATE: order today, ask about rush",IF(G122&lt;Setup!$C$5+14,"Order within 2 weeks","Scheduled"))))))</f>
        <v/>
      </c>
    </row>
    <row r="123" spans="1:8" x14ac:dyDescent="0.2">
      <c r="A123" s="9"/>
      <c r="B123" s="11"/>
      <c r="C123" s="9"/>
      <c r="D123" s="12"/>
      <c r="E123" s="19" t="str">
        <f>IF(Calc!$AI123="","",INDEX(Setup!$C$20:$C$34,Calc!$AI123))</f>
        <v/>
      </c>
      <c r="F123" s="20" t="str">
        <f>IF(Calc!$AI123="","",INDEX(Calc!$B123:$P123,1,Calc!$AI123))</f>
        <v/>
      </c>
      <c r="G123" s="20" t="str">
        <f>IF(Calc!$AI123="","",INT(Calc!$AH123))</f>
        <v/>
      </c>
      <c r="H123" s="21" t="str">
        <f>IF(AND(A123="",B123=""),"",IF(NOT(ISNUMBER(B123)),"Check hire date: not a date",IF(Calc!$AI123="","No milestones left to order",IF(F123&lt;Setup!$C$5,"PAST DUE: milestone date has passed",IF(G123&lt;Setup!$C$5,"LATE: order today, ask about rush",IF(G123&lt;Setup!$C$5+14,"Order within 2 weeks","Scheduled"))))))</f>
        <v/>
      </c>
    </row>
    <row r="124" spans="1:8" x14ac:dyDescent="0.2">
      <c r="A124" s="9"/>
      <c r="B124" s="11"/>
      <c r="C124" s="9"/>
      <c r="D124" s="12"/>
      <c r="E124" s="19" t="str">
        <f>IF(Calc!$AI124="","",INDEX(Setup!$C$20:$C$34,Calc!$AI124))</f>
        <v/>
      </c>
      <c r="F124" s="20" t="str">
        <f>IF(Calc!$AI124="","",INDEX(Calc!$B124:$P124,1,Calc!$AI124))</f>
        <v/>
      </c>
      <c r="G124" s="20" t="str">
        <f>IF(Calc!$AI124="","",INT(Calc!$AH124))</f>
        <v/>
      </c>
      <c r="H124" s="21" t="str">
        <f>IF(AND(A124="",B124=""),"",IF(NOT(ISNUMBER(B124)),"Check hire date: not a date",IF(Calc!$AI124="","No milestones left to order",IF(F124&lt;Setup!$C$5,"PAST DUE: milestone date has passed",IF(G124&lt;Setup!$C$5,"LATE: order today, ask about rush",IF(G124&lt;Setup!$C$5+14,"Order within 2 weeks","Scheduled"))))))</f>
        <v/>
      </c>
    </row>
    <row r="125" spans="1:8" x14ac:dyDescent="0.2">
      <c r="A125" s="9"/>
      <c r="B125" s="11"/>
      <c r="C125" s="9"/>
      <c r="D125" s="12"/>
      <c r="E125" s="19" t="str">
        <f>IF(Calc!$AI125="","",INDEX(Setup!$C$20:$C$34,Calc!$AI125))</f>
        <v/>
      </c>
      <c r="F125" s="20" t="str">
        <f>IF(Calc!$AI125="","",INDEX(Calc!$B125:$P125,1,Calc!$AI125))</f>
        <v/>
      </c>
      <c r="G125" s="20" t="str">
        <f>IF(Calc!$AI125="","",INT(Calc!$AH125))</f>
        <v/>
      </c>
      <c r="H125" s="21" t="str">
        <f>IF(AND(A125="",B125=""),"",IF(NOT(ISNUMBER(B125)),"Check hire date: not a date",IF(Calc!$AI125="","No milestones left to order",IF(F125&lt;Setup!$C$5,"PAST DUE: milestone date has passed",IF(G125&lt;Setup!$C$5,"LATE: order today, ask about rush",IF(G125&lt;Setup!$C$5+14,"Order within 2 weeks","Scheduled"))))))</f>
        <v/>
      </c>
    </row>
    <row r="126" spans="1:8" x14ac:dyDescent="0.2">
      <c r="A126" s="9"/>
      <c r="B126" s="11"/>
      <c r="C126" s="9"/>
      <c r="D126" s="12"/>
      <c r="E126" s="19" t="str">
        <f>IF(Calc!$AI126="","",INDEX(Setup!$C$20:$C$34,Calc!$AI126))</f>
        <v/>
      </c>
      <c r="F126" s="20" t="str">
        <f>IF(Calc!$AI126="","",INDEX(Calc!$B126:$P126,1,Calc!$AI126))</f>
        <v/>
      </c>
      <c r="G126" s="20" t="str">
        <f>IF(Calc!$AI126="","",INT(Calc!$AH126))</f>
        <v/>
      </c>
      <c r="H126" s="21" t="str">
        <f>IF(AND(A126="",B126=""),"",IF(NOT(ISNUMBER(B126)),"Check hire date: not a date",IF(Calc!$AI126="","No milestones left to order",IF(F126&lt;Setup!$C$5,"PAST DUE: milestone date has passed",IF(G126&lt;Setup!$C$5,"LATE: order today, ask about rush",IF(G126&lt;Setup!$C$5+14,"Order within 2 weeks","Scheduled"))))))</f>
        <v/>
      </c>
    </row>
    <row r="127" spans="1:8" x14ac:dyDescent="0.2">
      <c r="A127" s="9"/>
      <c r="B127" s="11"/>
      <c r="C127" s="9"/>
      <c r="D127" s="12"/>
      <c r="E127" s="19" t="str">
        <f>IF(Calc!$AI127="","",INDEX(Setup!$C$20:$C$34,Calc!$AI127))</f>
        <v/>
      </c>
      <c r="F127" s="20" t="str">
        <f>IF(Calc!$AI127="","",INDEX(Calc!$B127:$P127,1,Calc!$AI127))</f>
        <v/>
      </c>
      <c r="G127" s="20" t="str">
        <f>IF(Calc!$AI127="","",INT(Calc!$AH127))</f>
        <v/>
      </c>
      <c r="H127" s="21" t="str">
        <f>IF(AND(A127="",B127=""),"",IF(NOT(ISNUMBER(B127)),"Check hire date: not a date",IF(Calc!$AI127="","No milestones left to order",IF(F127&lt;Setup!$C$5,"PAST DUE: milestone date has passed",IF(G127&lt;Setup!$C$5,"LATE: order today, ask about rush",IF(G127&lt;Setup!$C$5+14,"Order within 2 weeks","Scheduled"))))))</f>
        <v/>
      </c>
    </row>
    <row r="128" spans="1:8" x14ac:dyDescent="0.2">
      <c r="A128" s="9"/>
      <c r="B128" s="11"/>
      <c r="C128" s="9"/>
      <c r="D128" s="12"/>
      <c r="E128" s="19" t="str">
        <f>IF(Calc!$AI128="","",INDEX(Setup!$C$20:$C$34,Calc!$AI128))</f>
        <v/>
      </c>
      <c r="F128" s="20" t="str">
        <f>IF(Calc!$AI128="","",INDEX(Calc!$B128:$P128,1,Calc!$AI128))</f>
        <v/>
      </c>
      <c r="G128" s="20" t="str">
        <f>IF(Calc!$AI128="","",INT(Calc!$AH128))</f>
        <v/>
      </c>
      <c r="H128" s="21" t="str">
        <f>IF(AND(A128="",B128=""),"",IF(NOT(ISNUMBER(B128)),"Check hire date: not a date",IF(Calc!$AI128="","No milestones left to order",IF(F128&lt;Setup!$C$5,"PAST DUE: milestone date has passed",IF(G128&lt;Setup!$C$5,"LATE: order today, ask about rush",IF(G128&lt;Setup!$C$5+14,"Order within 2 weeks","Scheduled"))))))</f>
        <v/>
      </c>
    </row>
    <row r="129" spans="1:8" x14ac:dyDescent="0.2">
      <c r="A129" s="9"/>
      <c r="B129" s="11"/>
      <c r="C129" s="9"/>
      <c r="D129" s="12"/>
      <c r="E129" s="19" t="str">
        <f>IF(Calc!$AI129="","",INDEX(Setup!$C$20:$C$34,Calc!$AI129))</f>
        <v/>
      </c>
      <c r="F129" s="20" t="str">
        <f>IF(Calc!$AI129="","",INDEX(Calc!$B129:$P129,1,Calc!$AI129))</f>
        <v/>
      </c>
      <c r="G129" s="20" t="str">
        <f>IF(Calc!$AI129="","",INT(Calc!$AH129))</f>
        <v/>
      </c>
      <c r="H129" s="21" t="str">
        <f>IF(AND(A129="",B129=""),"",IF(NOT(ISNUMBER(B129)),"Check hire date: not a date",IF(Calc!$AI129="","No milestones left to order",IF(F129&lt;Setup!$C$5,"PAST DUE: milestone date has passed",IF(G129&lt;Setup!$C$5,"LATE: order today, ask about rush",IF(G129&lt;Setup!$C$5+14,"Order within 2 weeks","Scheduled"))))))</f>
        <v/>
      </c>
    </row>
    <row r="130" spans="1:8" x14ac:dyDescent="0.2">
      <c r="A130" s="9"/>
      <c r="B130" s="11"/>
      <c r="C130" s="9"/>
      <c r="D130" s="12"/>
      <c r="E130" s="19" t="str">
        <f>IF(Calc!$AI130="","",INDEX(Setup!$C$20:$C$34,Calc!$AI130))</f>
        <v/>
      </c>
      <c r="F130" s="20" t="str">
        <f>IF(Calc!$AI130="","",INDEX(Calc!$B130:$P130,1,Calc!$AI130))</f>
        <v/>
      </c>
      <c r="G130" s="20" t="str">
        <f>IF(Calc!$AI130="","",INT(Calc!$AH130))</f>
        <v/>
      </c>
      <c r="H130" s="21" t="str">
        <f>IF(AND(A130="",B130=""),"",IF(NOT(ISNUMBER(B130)),"Check hire date: not a date",IF(Calc!$AI130="","No milestones left to order",IF(F130&lt;Setup!$C$5,"PAST DUE: milestone date has passed",IF(G130&lt;Setup!$C$5,"LATE: order today, ask about rush",IF(G130&lt;Setup!$C$5+14,"Order within 2 weeks","Scheduled"))))))</f>
        <v/>
      </c>
    </row>
    <row r="131" spans="1:8" x14ac:dyDescent="0.2">
      <c r="A131" s="9"/>
      <c r="B131" s="11"/>
      <c r="C131" s="9"/>
      <c r="D131" s="12"/>
      <c r="E131" s="19" t="str">
        <f>IF(Calc!$AI131="","",INDEX(Setup!$C$20:$C$34,Calc!$AI131))</f>
        <v/>
      </c>
      <c r="F131" s="20" t="str">
        <f>IF(Calc!$AI131="","",INDEX(Calc!$B131:$P131,1,Calc!$AI131))</f>
        <v/>
      </c>
      <c r="G131" s="20" t="str">
        <f>IF(Calc!$AI131="","",INT(Calc!$AH131))</f>
        <v/>
      </c>
      <c r="H131" s="21" t="str">
        <f>IF(AND(A131="",B131=""),"",IF(NOT(ISNUMBER(B131)),"Check hire date: not a date",IF(Calc!$AI131="","No milestones left to order",IF(F131&lt;Setup!$C$5,"PAST DUE: milestone date has passed",IF(G131&lt;Setup!$C$5,"LATE: order today, ask about rush",IF(G131&lt;Setup!$C$5+14,"Order within 2 weeks","Scheduled"))))))</f>
        <v/>
      </c>
    </row>
    <row r="132" spans="1:8" x14ac:dyDescent="0.2">
      <c r="A132" s="9"/>
      <c r="B132" s="11"/>
      <c r="C132" s="9"/>
      <c r="D132" s="12"/>
      <c r="E132" s="19" t="str">
        <f>IF(Calc!$AI132="","",INDEX(Setup!$C$20:$C$34,Calc!$AI132))</f>
        <v/>
      </c>
      <c r="F132" s="20" t="str">
        <f>IF(Calc!$AI132="","",INDEX(Calc!$B132:$P132,1,Calc!$AI132))</f>
        <v/>
      </c>
      <c r="G132" s="20" t="str">
        <f>IF(Calc!$AI132="","",INT(Calc!$AH132))</f>
        <v/>
      </c>
      <c r="H132" s="21" t="str">
        <f>IF(AND(A132="",B132=""),"",IF(NOT(ISNUMBER(B132)),"Check hire date: not a date",IF(Calc!$AI132="","No milestones left to order",IF(F132&lt;Setup!$C$5,"PAST DUE: milestone date has passed",IF(G132&lt;Setup!$C$5,"LATE: order today, ask about rush",IF(G132&lt;Setup!$C$5+14,"Order within 2 weeks","Scheduled"))))))</f>
        <v/>
      </c>
    </row>
    <row r="133" spans="1:8" x14ac:dyDescent="0.2">
      <c r="A133" s="9"/>
      <c r="B133" s="11"/>
      <c r="C133" s="9"/>
      <c r="D133" s="12"/>
      <c r="E133" s="19" t="str">
        <f>IF(Calc!$AI133="","",INDEX(Setup!$C$20:$C$34,Calc!$AI133))</f>
        <v/>
      </c>
      <c r="F133" s="20" t="str">
        <f>IF(Calc!$AI133="","",INDEX(Calc!$B133:$P133,1,Calc!$AI133))</f>
        <v/>
      </c>
      <c r="G133" s="20" t="str">
        <f>IF(Calc!$AI133="","",INT(Calc!$AH133))</f>
        <v/>
      </c>
      <c r="H133" s="21" t="str">
        <f>IF(AND(A133="",B133=""),"",IF(NOT(ISNUMBER(B133)),"Check hire date: not a date",IF(Calc!$AI133="","No milestones left to order",IF(F133&lt;Setup!$C$5,"PAST DUE: milestone date has passed",IF(G133&lt;Setup!$C$5,"LATE: order today, ask about rush",IF(G133&lt;Setup!$C$5+14,"Order within 2 weeks","Scheduled"))))))</f>
        <v/>
      </c>
    </row>
    <row r="134" spans="1:8" x14ac:dyDescent="0.2">
      <c r="A134" s="9"/>
      <c r="B134" s="11"/>
      <c r="C134" s="9"/>
      <c r="D134" s="12"/>
      <c r="E134" s="19" t="str">
        <f>IF(Calc!$AI134="","",INDEX(Setup!$C$20:$C$34,Calc!$AI134))</f>
        <v/>
      </c>
      <c r="F134" s="20" t="str">
        <f>IF(Calc!$AI134="","",INDEX(Calc!$B134:$P134,1,Calc!$AI134))</f>
        <v/>
      </c>
      <c r="G134" s="20" t="str">
        <f>IF(Calc!$AI134="","",INT(Calc!$AH134))</f>
        <v/>
      </c>
      <c r="H134" s="21" t="str">
        <f>IF(AND(A134="",B134=""),"",IF(NOT(ISNUMBER(B134)),"Check hire date: not a date",IF(Calc!$AI134="","No milestones left to order",IF(F134&lt;Setup!$C$5,"PAST DUE: milestone date has passed",IF(G134&lt;Setup!$C$5,"LATE: order today, ask about rush",IF(G134&lt;Setup!$C$5+14,"Order within 2 weeks","Scheduled"))))))</f>
        <v/>
      </c>
    </row>
    <row r="135" spans="1:8" x14ac:dyDescent="0.2">
      <c r="A135" s="9"/>
      <c r="B135" s="11"/>
      <c r="C135" s="9"/>
      <c r="D135" s="12"/>
      <c r="E135" s="19" t="str">
        <f>IF(Calc!$AI135="","",INDEX(Setup!$C$20:$C$34,Calc!$AI135))</f>
        <v/>
      </c>
      <c r="F135" s="20" t="str">
        <f>IF(Calc!$AI135="","",INDEX(Calc!$B135:$P135,1,Calc!$AI135))</f>
        <v/>
      </c>
      <c r="G135" s="20" t="str">
        <f>IF(Calc!$AI135="","",INT(Calc!$AH135))</f>
        <v/>
      </c>
      <c r="H135" s="21" t="str">
        <f>IF(AND(A135="",B135=""),"",IF(NOT(ISNUMBER(B135)),"Check hire date: not a date",IF(Calc!$AI135="","No milestones left to order",IF(F135&lt;Setup!$C$5,"PAST DUE: milestone date has passed",IF(G135&lt;Setup!$C$5,"LATE: order today, ask about rush",IF(G135&lt;Setup!$C$5+14,"Order within 2 weeks","Scheduled"))))))</f>
        <v/>
      </c>
    </row>
    <row r="136" spans="1:8" x14ac:dyDescent="0.2">
      <c r="A136" s="9"/>
      <c r="B136" s="11"/>
      <c r="C136" s="9"/>
      <c r="D136" s="12"/>
      <c r="E136" s="19" t="str">
        <f>IF(Calc!$AI136="","",INDEX(Setup!$C$20:$C$34,Calc!$AI136))</f>
        <v/>
      </c>
      <c r="F136" s="20" t="str">
        <f>IF(Calc!$AI136="","",INDEX(Calc!$B136:$P136,1,Calc!$AI136))</f>
        <v/>
      </c>
      <c r="G136" s="20" t="str">
        <f>IF(Calc!$AI136="","",INT(Calc!$AH136))</f>
        <v/>
      </c>
      <c r="H136" s="21" t="str">
        <f>IF(AND(A136="",B136=""),"",IF(NOT(ISNUMBER(B136)),"Check hire date: not a date",IF(Calc!$AI136="","No milestones left to order",IF(F136&lt;Setup!$C$5,"PAST DUE: milestone date has passed",IF(G136&lt;Setup!$C$5,"LATE: order today, ask about rush",IF(G136&lt;Setup!$C$5+14,"Order within 2 weeks","Scheduled"))))))</f>
        <v/>
      </c>
    </row>
    <row r="137" spans="1:8" x14ac:dyDescent="0.2">
      <c r="A137" s="9"/>
      <c r="B137" s="11"/>
      <c r="C137" s="9"/>
      <c r="D137" s="12"/>
      <c r="E137" s="19" t="str">
        <f>IF(Calc!$AI137="","",INDEX(Setup!$C$20:$C$34,Calc!$AI137))</f>
        <v/>
      </c>
      <c r="F137" s="20" t="str">
        <f>IF(Calc!$AI137="","",INDEX(Calc!$B137:$P137,1,Calc!$AI137))</f>
        <v/>
      </c>
      <c r="G137" s="20" t="str">
        <f>IF(Calc!$AI137="","",INT(Calc!$AH137))</f>
        <v/>
      </c>
      <c r="H137" s="21" t="str">
        <f>IF(AND(A137="",B137=""),"",IF(NOT(ISNUMBER(B137)),"Check hire date: not a date",IF(Calc!$AI137="","No milestones left to order",IF(F137&lt;Setup!$C$5,"PAST DUE: milestone date has passed",IF(G137&lt;Setup!$C$5,"LATE: order today, ask about rush",IF(G137&lt;Setup!$C$5+14,"Order within 2 weeks","Scheduled"))))))</f>
        <v/>
      </c>
    </row>
    <row r="138" spans="1:8" x14ac:dyDescent="0.2">
      <c r="A138" s="9"/>
      <c r="B138" s="11"/>
      <c r="C138" s="9"/>
      <c r="D138" s="12"/>
      <c r="E138" s="19" t="str">
        <f>IF(Calc!$AI138="","",INDEX(Setup!$C$20:$C$34,Calc!$AI138))</f>
        <v/>
      </c>
      <c r="F138" s="20" t="str">
        <f>IF(Calc!$AI138="","",INDEX(Calc!$B138:$P138,1,Calc!$AI138))</f>
        <v/>
      </c>
      <c r="G138" s="20" t="str">
        <f>IF(Calc!$AI138="","",INT(Calc!$AH138))</f>
        <v/>
      </c>
      <c r="H138" s="21" t="str">
        <f>IF(AND(A138="",B138=""),"",IF(NOT(ISNUMBER(B138)),"Check hire date: not a date",IF(Calc!$AI138="","No milestones left to order",IF(F138&lt;Setup!$C$5,"PAST DUE: milestone date has passed",IF(G138&lt;Setup!$C$5,"LATE: order today, ask about rush",IF(G138&lt;Setup!$C$5+14,"Order within 2 weeks","Scheduled"))))))</f>
        <v/>
      </c>
    </row>
    <row r="139" spans="1:8" x14ac:dyDescent="0.2">
      <c r="A139" s="9"/>
      <c r="B139" s="11"/>
      <c r="C139" s="9"/>
      <c r="D139" s="12"/>
      <c r="E139" s="19" t="str">
        <f>IF(Calc!$AI139="","",INDEX(Setup!$C$20:$C$34,Calc!$AI139))</f>
        <v/>
      </c>
      <c r="F139" s="20" t="str">
        <f>IF(Calc!$AI139="","",INDEX(Calc!$B139:$P139,1,Calc!$AI139))</f>
        <v/>
      </c>
      <c r="G139" s="20" t="str">
        <f>IF(Calc!$AI139="","",INT(Calc!$AH139))</f>
        <v/>
      </c>
      <c r="H139" s="21" t="str">
        <f>IF(AND(A139="",B139=""),"",IF(NOT(ISNUMBER(B139)),"Check hire date: not a date",IF(Calc!$AI139="","No milestones left to order",IF(F139&lt;Setup!$C$5,"PAST DUE: milestone date has passed",IF(G139&lt;Setup!$C$5,"LATE: order today, ask about rush",IF(G139&lt;Setup!$C$5+14,"Order within 2 weeks","Scheduled"))))))</f>
        <v/>
      </c>
    </row>
    <row r="140" spans="1:8" x14ac:dyDescent="0.2">
      <c r="A140" s="9"/>
      <c r="B140" s="11"/>
      <c r="C140" s="9"/>
      <c r="D140" s="12"/>
      <c r="E140" s="19" t="str">
        <f>IF(Calc!$AI140="","",INDEX(Setup!$C$20:$C$34,Calc!$AI140))</f>
        <v/>
      </c>
      <c r="F140" s="20" t="str">
        <f>IF(Calc!$AI140="","",INDEX(Calc!$B140:$P140,1,Calc!$AI140))</f>
        <v/>
      </c>
      <c r="G140" s="20" t="str">
        <f>IF(Calc!$AI140="","",INT(Calc!$AH140))</f>
        <v/>
      </c>
      <c r="H140" s="21" t="str">
        <f>IF(AND(A140="",B140=""),"",IF(NOT(ISNUMBER(B140)),"Check hire date: not a date",IF(Calc!$AI140="","No milestones left to order",IF(F140&lt;Setup!$C$5,"PAST DUE: milestone date has passed",IF(G140&lt;Setup!$C$5,"LATE: order today, ask about rush",IF(G140&lt;Setup!$C$5+14,"Order within 2 weeks","Scheduled"))))))</f>
        <v/>
      </c>
    </row>
    <row r="141" spans="1:8" x14ac:dyDescent="0.2">
      <c r="A141" s="9"/>
      <c r="B141" s="11"/>
      <c r="C141" s="9"/>
      <c r="D141" s="12"/>
      <c r="E141" s="19" t="str">
        <f>IF(Calc!$AI141="","",INDEX(Setup!$C$20:$C$34,Calc!$AI141))</f>
        <v/>
      </c>
      <c r="F141" s="20" t="str">
        <f>IF(Calc!$AI141="","",INDEX(Calc!$B141:$P141,1,Calc!$AI141))</f>
        <v/>
      </c>
      <c r="G141" s="20" t="str">
        <f>IF(Calc!$AI141="","",INT(Calc!$AH141))</f>
        <v/>
      </c>
      <c r="H141" s="21" t="str">
        <f>IF(AND(A141="",B141=""),"",IF(NOT(ISNUMBER(B141)),"Check hire date: not a date",IF(Calc!$AI141="","No milestones left to order",IF(F141&lt;Setup!$C$5,"PAST DUE: milestone date has passed",IF(G141&lt;Setup!$C$5,"LATE: order today, ask about rush",IF(G141&lt;Setup!$C$5+14,"Order within 2 weeks","Scheduled"))))))</f>
        <v/>
      </c>
    </row>
    <row r="142" spans="1:8" x14ac:dyDescent="0.2">
      <c r="A142" s="9"/>
      <c r="B142" s="11"/>
      <c r="C142" s="9"/>
      <c r="D142" s="12"/>
      <c r="E142" s="19" t="str">
        <f>IF(Calc!$AI142="","",INDEX(Setup!$C$20:$C$34,Calc!$AI142))</f>
        <v/>
      </c>
      <c r="F142" s="20" t="str">
        <f>IF(Calc!$AI142="","",INDEX(Calc!$B142:$P142,1,Calc!$AI142))</f>
        <v/>
      </c>
      <c r="G142" s="20" t="str">
        <f>IF(Calc!$AI142="","",INT(Calc!$AH142))</f>
        <v/>
      </c>
      <c r="H142" s="21" t="str">
        <f>IF(AND(A142="",B142=""),"",IF(NOT(ISNUMBER(B142)),"Check hire date: not a date",IF(Calc!$AI142="","No milestones left to order",IF(F142&lt;Setup!$C$5,"PAST DUE: milestone date has passed",IF(G142&lt;Setup!$C$5,"LATE: order today, ask about rush",IF(G142&lt;Setup!$C$5+14,"Order within 2 weeks","Scheduled"))))))</f>
        <v/>
      </c>
    </row>
    <row r="143" spans="1:8" x14ac:dyDescent="0.2">
      <c r="A143" s="9"/>
      <c r="B143" s="11"/>
      <c r="C143" s="9"/>
      <c r="D143" s="12"/>
      <c r="E143" s="19" t="str">
        <f>IF(Calc!$AI143="","",INDEX(Setup!$C$20:$C$34,Calc!$AI143))</f>
        <v/>
      </c>
      <c r="F143" s="20" t="str">
        <f>IF(Calc!$AI143="","",INDEX(Calc!$B143:$P143,1,Calc!$AI143))</f>
        <v/>
      </c>
      <c r="G143" s="20" t="str">
        <f>IF(Calc!$AI143="","",INT(Calc!$AH143))</f>
        <v/>
      </c>
      <c r="H143" s="21" t="str">
        <f>IF(AND(A143="",B143=""),"",IF(NOT(ISNUMBER(B143)),"Check hire date: not a date",IF(Calc!$AI143="","No milestones left to order",IF(F143&lt;Setup!$C$5,"PAST DUE: milestone date has passed",IF(G143&lt;Setup!$C$5,"LATE: order today, ask about rush",IF(G143&lt;Setup!$C$5+14,"Order within 2 weeks","Scheduled"))))))</f>
        <v/>
      </c>
    </row>
    <row r="144" spans="1:8" x14ac:dyDescent="0.2">
      <c r="A144" s="9"/>
      <c r="B144" s="11"/>
      <c r="C144" s="9"/>
      <c r="D144" s="12"/>
      <c r="E144" s="19" t="str">
        <f>IF(Calc!$AI144="","",INDEX(Setup!$C$20:$C$34,Calc!$AI144))</f>
        <v/>
      </c>
      <c r="F144" s="20" t="str">
        <f>IF(Calc!$AI144="","",INDEX(Calc!$B144:$P144,1,Calc!$AI144))</f>
        <v/>
      </c>
      <c r="G144" s="20" t="str">
        <f>IF(Calc!$AI144="","",INT(Calc!$AH144))</f>
        <v/>
      </c>
      <c r="H144" s="21" t="str">
        <f>IF(AND(A144="",B144=""),"",IF(NOT(ISNUMBER(B144)),"Check hire date: not a date",IF(Calc!$AI144="","No milestones left to order",IF(F144&lt;Setup!$C$5,"PAST DUE: milestone date has passed",IF(G144&lt;Setup!$C$5,"LATE: order today, ask about rush",IF(G144&lt;Setup!$C$5+14,"Order within 2 weeks","Scheduled"))))))</f>
        <v/>
      </c>
    </row>
    <row r="145" spans="1:8" x14ac:dyDescent="0.2">
      <c r="A145" s="9"/>
      <c r="B145" s="11"/>
      <c r="C145" s="9"/>
      <c r="D145" s="12"/>
      <c r="E145" s="19" t="str">
        <f>IF(Calc!$AI145="","",INDEX(Setup!$C$20:$C$34,Calc!$AI145))</f>
        <v/>
      </c>
      <c r="F145" s="20" t="str">
        <f>IF(Calc!$AI145="","",INDEX(Calc!$B145:$P145,1,Calc!$AI145))</f>
        <v/>
      </c>
      <c r="G145" s="20" t="str">
        <f>IF(Calc!$AI145="","",INT(Calc!$AH145))</f>
        <v/>
      </c>
      <c r="H145" s="21" t="str">
        <f>IF(AND(A145="",B145=""),"",IF(NOT(ISNUMBER(B145)),"Check hire date: not a date",IF(Calc!$AI145="","No milestones left to order",IF(F145&lt;Setup!$C$5,"PAST DUE: milestone date has passed",IF(G145&lt;Setup!$C$5,"LATE: order today, ask about rush",IF(G145&lt;Setup!$C$5+14,"Order within 2 weeks","Scheduled"))))))</f>
        <v/>
      </c>
    </row>
    <row r="146" spans="1:8" x14ac:dyDescent="0.2">
      <c r="A146" s="9"/>
      <c r="B146" s="11"/>
      <c r="C146" s="9"/>
      <c r="D146" s="12"/>
      <c r="E146" s="19" t="str">
        <f>IF(Calc!$AI146="","",INDEX(Setup!$C$20:$C$34,Calc!$AI146))</f>
        <v/>
      </c>
      <c r="F146" s="20" t="str">
        <f>IF(Calc!$AI146="","",INDEX(Calc!$B146:$P146,1,Calc!$AI146))</f>
        <v/>
      </c>
      <c r="G146" s="20" t="str">
        <f>IF(Calc!$AI146="","",INT(Calc!$AH146))</f>
        <v/>
      </c>
      <c r="H146" s="21" t="str">
        <f>IF(AND(A146="",B146=""),"",IF(NOT(ISNUMBER(B146)),"Check hire date: not a date",IF(Calc!$AI146="","No milestones left to order",IF(F146&lt;Setup!$C$5,"PAST DUE: milestone date has passed",IF(G146&lt;Setup!$C$5,"LATE: order today, ask about rush",IF(G146&lt;Setup!$C$5+14,"Order within 2 weeks","Scheduled"))))))</f>
        <v/>
      </c>
    </row>
    <row r="147" spans="1:8" x14ac:dyDescent="0.2">
      <c r="A147" s="9"/>
      <c r="B147" s="11"/>
      <c r="C147" s="9"/>
      <c r="D147" s="12"/>
      <c r="E147" s="19" t="str">
        <f>IF(Calc!$AI147="","",INDEX(Setup!$C$20:$C$34,Calc!$AI147))</f>
        <v/>
      </c>
      <c r="F147" s="20" t="str">
        <f>IF(Calc!$AI147="","",INDEX(Calc!$B147:$P147,1,Calc!$AI147))</f>
        <v/>
      </c>
      <c r="G147" s="20" t="str">
        <f>IF(Calc!$AI147="","",INT(Calc!$AH147))</f>
        <v/>
      </c>
      <c r="H147" s="21" t="str">
        <f>IF(AND(A147="",B147=""),"",IF(NOT(ISNUMBER(B147)),"Check hire date: not a date",IF(Calc!$AI147="","No milestones left to order",IF(F147&lt;Setup!$C$5,"PAST DUE: milestone date has passed",IF(G147&lt;Setup!$C$5,"LATE: order today, ask about rush",IF(G147&lt;Setup!$C$5+14,"Order within 2 weeks","Scheduled"))))))</f>
        <v/>
      </c>
    </row>
    <row r="148" spans="1:8" x14ac:dyDescent="0.2">
      <c r="A148" s="9"/>
      <c r="B148" s="11"/>
      <c r="C148" s="9"/>
      <c r="D148" s="12"/>
      <c r="E148" s="19" t="str">
        <f>IF(Calc!$AI148="","",INDEX(Setup!$C$20:$C$34,Calc!$AI148))</f>
        <v/>
      </c>
      <c r="F148" s="20" t="str">
        <f>IF(Calc!$AI148="","",INDEX(Calc!$B148:$P148,1,Calc!$AI148))</f>
        <v/>
      </c>
      <c r="G148" s="20" t="str">
        <f>IF(Calc!$AI148="","",INT(Calc!$AH148))</f>
        <v/>
      </c>
      <c r="H148" s="21" t="str">
        <f>IF(AND(A148="",B148=""),"",IF(NOT(ISNUMBER(B148)),"Check hire date: not a date",IF(Calc!$AI148="","No milestones left to order",IF(F148&lt;Setup!$C$5,"PAST DUE: milestone date has passed",IF(G148&lt;Setup!$C$5,"LATE: order today, ask about rush",IF(G148&lt;Setup!$C$5+14,"Order within 2 weeks","Scheduled"))))))</f>
        <v/>
      </c>
    </row>
    <row r="149" spans="1:8" x14ac:dyDescent="0.2">
      <c r="A149" s="9"/>
      <c r="B149" s="11"/>
      <c r="C149" s="9"/>
      <c r="D149" s="12"/>
      <c r="E149" s="19" t="str">
        <f>IF(Calc!$AI149="","",INDEX(Setup!$C$20:$C$34,Calc!$AI149))</f>
        <v/>
      </c>
      <c r="F149" s="20" t="str">
        <f>IF(Calc!$AI149="","",INDEX(Calc!$B149:$P149,1,Calc!$AI149))</f>
        <v/>
      </c>
      <c r="G149" s="20" t="str">
        <f>IF(Calc!$AI149="","",INT(Calc!$AH149))</f>
        <v/>
      </c>
      <c r="H149" s="21" t="str">
        <f>IF(AND(A149="",B149=""),"",IF(NOT(ISNUMBER(B149)),"Check hire date: not a date",IF(Calc!$AI149="","No milestones left to order",IF(F149&lt;Setup!$C$5,"PAST DUE: milestone date has passed",IF(G149&lt;Setup!$C$5,"LATE: order today, ask about rush",IF(G149&lt;Setup!$C$5+14,"Order within 2 weeks","Scheduled"))))))</f>
        <v/>
      </c>
    </row>
    <row r="150" spans="1:8" x14ac:dyDescent="0.2">
      <c r="A150" s="9"/>
      <c r="B150" s="11"/>
      <c r="C150" s="9"/>
      <c r="D150" s="12"/>
      <c r="E150" s="19" t="str">
        <f>IF(Calc!$AI150="","",INDEX(Setup!$C$20:$C$34,Calc!$AI150))</f>
        <v/>
      </c>
      <c r="F150" s="20" t="str">
        <f>IF(Calc!$AI150="","",INDEX(Calc!$B150:$P150,1,Calc!$AI150))</f>
        <v/>
      </c>
      <c r="G150" s="20" t="str">
        <f>IF(Calc!$AI150="","",INT(Calc!$AH150))</f>
        <v/>
      </c>
      <c r="H150" s="21" t="str">
        <f>IF(AND(A150="",B150=""),"",IF(NOT(ISNUMBER(B150)),"Check hire date: not a date",IF(Calc!$AI150="","No milestones left to order",IF(F150&lt;Setup!$C$5,"PAST DUE: milestone date has passed",IF(G150&lt;Setup!$C$5,"LATE: order today, ask about rush",IF(G150&lt;Setup!$C$5+14,"Order within 2 weeks","Scheduled"))))))</f>
        <v/>
      </c>
    </row>
    <row r="151" spans="1:8" x14ac:dyDescent="0.2">
      <c r="A151" s="9"/>
      <c r="B151" s="11"/>
      <c r="C151" s="9"/>
      <c r="D151" s="12"/>
      <c r="E151" s="19" t="str">
        <f>IF(Calc!$AI151="","",INDEX(Setup!$C$20:$C$34,Calc!$AI151))</f>
        <v/>
      </c>
      <c r="F151" s="20" t="str">
        <f>IF(Calc!$AI151="","",INDEX(Calc!$B151:$P151,1,Calc!$AI151))</f>
        <v/>
      </c>
      <c r="G151" s="20" t="str">
        <f>IF(Calc!$AI151="","",INT(Calc!$AH151))</f>
        <v/>
      </c>
      <c r="H151" s="21" t="str">
        <f>IF(AND(A151="",B151=""),"",IF(NOT(ISNUMBER(B151)),"Check hire date: not a date",IF(Calc!$AI151="","No milestones left to order",IF(F151&lt;Setup!$C$5,"PAST DUE: milestone date has passed",IF(G151&lt;Setup!$C$5,"LATE: order today, ask about rush",IF(G151&lt;Setup!$C$5+14,"Order within 2 weeks","Scheduled"))))))</f>
        <v/>
      </c>
    </row>
    <row r="152" spans="1:8" x14ac:dyDescent="0.2">
      <c r="A152" s="9"/>
      <c r="B152" s="11"/>
      <c r="C152" s="9"/>
      <c r="D152" s="12"/>
      <c r="E152" s="19" t="str">
        <f>IF(Calc!$AI152="","",INDEX(Setup!$C$20:$C$34,Calc!$AI152))</f>
        <v/>
      </c>
      <c r="F152" s="20" t="str">
        <f>IF(Calc!$AI152="","",INDEX(Calc!$B152:$P152,1,Calc!$AI152))</f>
        <v/>
      </c>
      <c r="G152" s="20" t="str">
        <f>IF(Calc!$AI152="","",INT(Calc!$AH152))</f>
        <v/>
      </c>
      <c r="H152" s="21" t="str">
        <f>IF(AND(A152="",B152=""),"",IF(NOT(ISNUMBER(B152)),"Check hire date: not a date",IF(Calc!$AI152="","No milestones left to order",IF(F152&lt;Setup!$C$5,"PAST DUE: milestone date has passed",IF(G152&lt;Setup!$C$5,"LATE: order today, ask about rush",IF(G152&lt;Setup!$C$5+14,"Order within 2 weeks","Scheduled"))))))</f>
        <v/>
      </c>
    </row>
    <row r="153" spans="1:8" x14ac:dyDescent="0.2">
      <c r="A153" s="9"/>
      <c r="B153" s="11"/>
      <c r="C153" s="9"/>
      <c r="D153" s="12"/>
      <c r="E153" s="19" t="str">
        <f>IF(Calc!$AI153="","",INDEX(Setup!$C$20:$C$34,Calc!$AI153))</f>
        <v/>
      </c>
      <c r="F153" s="20" t="str">
        <f>IF(Calc!$AI153="","",INDEX(Calc!$B153:$P153,1,Calc!$AI153))</f>
        <v/>
      </c>
      <c r="G153" s="20" t="str">
        <f>IF(Calc!$AI153="","",INT(Calc!$AH153))</f>
        <v/>
      </c>
      <c r="H153" s="21" t="str">
        <f>IF(AND(A153="",B153=""),"",IF(NOT(ISNUMBER(B153)),"Check hire date: not a date",IF(Calc!$AI153="","No milestones left to order",IF(F153&lt;Setup!$C$5,"PAST DUE: milestone date has passed",IF(G153&lt;Setup!$C$5,"LATE: order today, ask about rush",IF(G153&lt;Setup!$C$5+14,"Order within 2 weeks","Scheduled"))))))</f>
        <v/>
      </c>
    </row>
    <row r="154" spans="1:8" x14ac:dyDescent="0.2">
      <c r="A154" s="9"/>
      <c r="B154" s="11"/>
      <c r="C154" s="9"/>
      <c r="D154" s="12"/>
      <c r="E154" s="19" t="str">
        <f>IF(Calc!$AI154="","",INDEX(Setup!$C$20:$C$34,Calc!$AI154))</f>
        <v/>
      </c>
      <c r="F154" s="20" t="str">
        <f>IF(Calc!$AI154="","",INDEX(Calc!$B154:$P154,1,Calc!$AI154))</f>
        <v/>
      </c>
      <c r="G154" s="20" t="str">
        <f>IF(Calc!$AI154="","",INT(Calc!$AH154))</f>
        <v/>
      </c>
      <c r="H154" s="21" t="str">
        <f>IF(AND(A154="",B154=""),"",IF(NOT(ISNUMBER(B154)),"Check hire date: not a date",IF(Calc!$AI154="","No milestones left to order",IF(F154&lt;Setup!$C$5,"PAST DUE: milestone date has passed",IF(G154&lt;Setup!$C$5,"LATE: order today, ask about rush",IF(G154&lt;Setup!$C$5+14,"Order within 2 weeks","Scheduled"))))))</f>
        <v/>
      </c>
    </row>
    <row r="155" spans="1:8" x14ac:dyDescent="0.2">
      <c r="A155" s="9"/>
      <c r="B155" s="11"/>
      <c r="C155" s="9"/>
      <c r="D155" s="12"/>
      <c r="E155" s="19" t="str">
        <f>IF(Calc!$AI155="","",INDEX(Setup!$C$20:$C$34,Calc!$AI155))</f>
        <v/>
      </c>
      <c r="F155" s="20" t="str">
        <f>IF(Calc!$AI155="","",INDEX(Calc!$B155:$P155,1,Calc!$AI155))</f>
        <v/>
      </c>
      <c r="G155" s="20" t="str">
        <f>IF(Calc!$AI155="","",INT(Calc!$AH155))</f>
        <v/>
      </c>
      <c r="H155" s="21" t="str">
        <f>IF(AND(A155="",B155=""),"",IF(NOT(ISNUMBER(B155)),"Check hire date: not a date",IF(Calc!$AI155="","No milestones left to order",IF(F155&lt;Setup!$C$5,"PAST DUE: milestone date has passed",IF(G155&lt;Setup!$C$5,"LATE: order today, ask about rush",IF(G155&lt;Setup!$C$5+14,"Order within 2 weeks","Scheduled"))))))</f>
        <v/>
      </c>
    </row>
    <row r="156" spans="1:8" x14ac:dyDescent="0.2">
      <c r="A156" s="9"/>
      <c r="B156" s="11"/>
      <c r="C156" s="9"/>
      <c r="D156" s="12"/>
      <c r="E156" s="19" t="str">
        <f>IF(Calc!$AI156="","",INDEX(Setup!$C$20:$C$34,Calc!$AI156))</f>
        <v/>
      </c>
      <c r="F156" s="20" t="str">
        <f>IF(Calc!$AI156="","",INDEX(Calc!$B156:$P156,1,Calc!$AI156))</f>
        <v/>
      </c>
      <c r="G156" s="20" t="str">
        <f>IF(Calc!$AI156="","",INT(Calc!$AH156))</f>
        <v/>
      </c>
      <c r="H156" s="21" t="str">
        <f>IF(AND(A156="",B156=""),"",IF(NOT(ISNUMBER(B156)),"Check hire date: not a date",IF(Calc!$AI156="","No milestones left to order",IF(F156&lt;Setup!$C$5,"PAST DUE: milestone date has passed",IF(G156&lt;Setup!$C$5,"LATE: order today, ask about rush",IF(G156&lt;Setup!$C$5+14,"Order within 2 weeks","Scheduled"))))))</f>
        <v/>
      </c>
    </row>
    <row r="157" spans="1:8" x14ac:dyDescent="0.2">
      <c r="A157" s="9"/>
      <c r="B157" s="11"/>
      <c r="C157" s="9"/>
      <c r="D157" s="12"/>
      <c r="E157" s="19" t="str">
        <f>IF(Calc!$AI157="","",INDEX(Setup!$C$20:$C$34,Calc!$AI157))</f>
        <v/>
      </c>
      <c r="F157" s="20" t="str">
        <f>IF(Calc!$AI157="","",INDEX(Calc!$B157:$P157,1,Calc!$AI157))</f>
        <v/>
      </c>
      <c r="G157" s="20" t="str">
        <f>IF(Calc!$AI157="","",INT(Calc!$AH157))</f>
        <v/>
      </c>
      <c r="H157" s="21" t="str">
        <f>IF(AND(A157="",B157=""),"",IF(NOT(ISNUMBER(B157)),"Check hire date: not a date",IF(Calc!$AI157="","No milestones left to order",IF(F157&lt;Setup!$C$5,"PAST DUE: milestone date has passed",IF(G157&lt;Setup!$C$5,"LATE: order today, ask about rush",IF(G157&lt;Setup!$C$5+14,"Order within 2 weeks","Scheduled"))))))</f>
        <v/>
      </c>
    </row>
    <row r="158" spans="1:8" x14ac:dyDescent="0.2">
      <c r="A158" s="9"/>
      <c r="B158" s="11"/>
      <c r="C158" s="9"/>
      <c r="D158" s="12"/>
      <c r="E158" s="19" t="str">
        <f>IF(Calc!$AI158="","",INDEX(Setup!$C$20:$C$34,Calc!$AI158))</f>
        <v/>
      </c>
      <c r="F158" s="20" t="str">
        <f>IF(Calc!$AI158="","",INDEX(Calc!$B158:$P158,1,Calc!$AI158))</f>
        <v/>
      </c>
      <c r="G158" s="20" t="str">
        <f>IF(Calc!$AI158="","",INT(Calc!$AH158))</f>
        <v/>
      </c>
      <c r="H158" s="21" t="str">
        <f>IF(AND(A158="",B158=""),"",IF(NOT(ISNUMBER(B158)),"Check hire date: not a date",IF(Calc!$AI158="","No milestones left to order",IF(F158&lt;Setup!$C$5,"PAST DUE: milestone date has passed",IF(G158&lt;Setup!$C$5,"LATE: order today, ask about rush",IF(G158&lt;Setup!$C$5+14,"Order within 2 weeks","Scheduled"))))))</f>
        <v/>
      </c>
    </row>
    <row r="159" spans="1:8" x14ac:dyDescent="0.2">
      <c r="A159" s="9"/>
      <c r="B159" s="11"/>
      <c r="C159" s="9"/>
      <c r="D159" s="12"/>
      <c r="E159" s="19" t="str">
        <f>IF(Calc!$AI159="","",INDEX(Setup!$C$20:$C$34,Calc!$AI159))</f>
        <v/>
      </c>
      <c r="F159" s="20" t="str">
        <f>IF(Calc!$AI159="","",INDEX(Calc!$B159:$P159,1,Calc!$AI159))</f>
        <v/>
      </c>
      <c r="G159" s="20" t="str">
        <f>IF(Calc!$AI159="","",INT(Calc!$AH159))</f>
        <v/>
      </c>
      <c r="H159" s="21" t="str">
        <f>IF(AND(A159="",B159=""),"",IF(NOT(ISNUMBER(B159)),"Check hire date: not a date",IF(Calc!$AI159="","No milestones left to order",IF(F159&lt;Setup!$C$5,"PAST DUE: milestone date has passed",IF(G159&lt;Setup!$C$5,"LATE: order today, ask about rush",IF(G159&lt;Setup!$C$5+14,"Order within 2 weeks","Scheduled"))))))</f>
        <v/>
      </c>
    </row>
    <row r="160" spans="1:8" x14ac:dyDescent="0.2">
      <c r="A160" s="9"/>
      <c r="B160" s="11"/>
      <c r="C160" s="9"/>
      <c r="D160" s="12"/>
      <c r="E160" s="19" t="str">
        <f>IF(Calc!$AI160="","",INDEX(Setup!$C$20:$C$34,Calc!$AI160))</f>
        <v/>
      </c>
      <c r="F160" s="20" t="str">
        <f>IF(Calc!$AI160="","",INDEX(Calc!$B160:$P160,1,Calc!$AI160))</f>
        <v/>
      </c>
      <c r="G160" s="20" t="str">
        <f>IF(Calc!$AI160="","",INT(Calc!$AH160))</f>
        <v/>
      </c>
      <c r="H160" s="21" t="str">
        <f>IF(AND(A160="",B160=""),"",IF(NOT(ISNUMBER(B160)),"Check hire date: not a date",IF(Calc!$AI160="","No milestones left to order",IF(F160&lt;Setup!$C$5,"PAST DUE: milestone date has passed",IF(G160&lt;Setup!$C$5,"LATE: order today, ask about rush",IF(G160&lt;Setup!$C$5+14,"Order within 2 weeks","Scheduled"))))))</f>
        <v/>
      </c>
    </row>
    <row r="161" spans="1:8" x14ac:dyDescent="0.2">
      <c r="A161" s="9"/>
      <c r="B161" s="11"/>
      <c r="C161" s="9"/>
      <c r="D161" s="12"/>
      <c r="E161" s="19" t="str">
        <f>IF(Calc!$AI161="","",INDEX(Setup!$C$20:$C$34,Calc!$AI161))</f>
        <v/>
      </c>
      <c r="F161" s="20" t="str">
        <f>IF(Calc!$AI161="","",INDEX(Calc!$B161:$P161,1,Calc!$AI161))</f>
        <v/>
      </c>
      <c r="G161" s="20" t="str">
        <f>IF(Calc!$AI161="","",INT(Calc!$AH161))</f>
        <v/>
      </c>
      <c r="H161" s="21" t="str">
        <f>IF(AND(A161="",B161=""),"",IF(NOT(ISNUMBER(B161)),"Check hire date: not a date",IF(Calc!$AI161="","No milestones left to order",IF(F161&lt;Setup!$C$5,"PAST DUE: milestone date has passed",IF(G161&lt;Setup!$C$5,"LATE: order today, ask about rush",IF(G161&lt;Setup!$C$5+14,"Order within 2 weeks","Scheduled"))))))</f>
        <v/>
      </c>
    </row>
    <row r="162" spans="1:8" x14ac:dyDescent="0.2">
      <c r="A162" s="9"/>
      <c r="B162" s="11"/>
      <c r="C162" s="9"/>
      <c r="D162" s="12"/>
      <c r="E162" s="19" t="str">
        <f>IF(Calc!$AI162="","",INDEX(Setup!$C$20:$C$34,Calc!$AI162))</f>
        <v/>
      </c>
      <c r="F162" s="20" t="str">
        <f>IF(Calc!$AI162="","",INDEX(Calc!$B162:$P162,1,Calc!$AI162))</f>
        <v/>
      </c>
      <c r="G162" s="20" t="str">
        <f>IF(Calc!$AI162="","",INT(Calc!$AH162))</f>
        <v/>
      </c>
      <c r="H162" s="21" t="str">
        <f>IF(AND(A162="",B162=""),"",IF(NOT(ISNUMBER(B162)),"Check hire date: not a date",IF(Calc!$AI162="","No milestones left to order",IF(F162&lt;Setup!$C$5,"PAST DUE: milestone date has passed",IF(G162&lt;Setup!$C$5,"LATE: order today, ask about rush",IF(G162&lt;Setup!$C$5+14,"Order within 2 weeks","Scheduled"))))))</f>
        <v/>
      </c>
    </row>
    <row r="163" spans="1:8" x14ac:dyDescent="0.2">
      <c r="A163" s="9"/>
      <c r="B163" s="11"/>
      <c r="C163" s="9"/>
      <c r="D163" s="12"/>
      <c r="E163" s="19" t="str">
        <f>IF(Calc!$AI163="","",INDEX(Setup!$C$20:$C$34,Calc!$AI163))</f>
        <v/>
      </c>
      <c r="F163" s="20" t="str">
        <f>IF(Calc!$AI163="","",INDEX(Calc!$B163:$P163,1,Calc!$AI163))</f>
        <v/>
      </c>
      <c r="G163" s="20" t="str">
        <f>IF(Calc!$AI163="","",INT(Calc!$AH163))</f>
        <v/>
      </c>
      <c r="H163" s="21" t="str">
        <f>IF(AND(A163="",B163=""),"",IF(NOT(ISNUMBER(B163)),"Check hire date: not a date",IF(Calc!$AI163="","No milestones left to order",IF(F163&lt;Setup!$C$5,"PAST DUE: milestone date has passed",IF(G163&lt;Setup!$C$5,"LATE: order today, ask about rush",IF(G163&lt;Setup!$C$5+14,"Order within 2 weeks","Scheduled"))))))</f>
        <v/>
      </c>
    </row>
    <row r="164" spans="1:8" x14ac:dyDescent="0.2">
      <c r="A164" s="9"/>
      <c r="B164" s="11"/>
      <c r="C164" s="9"/>
      <c r="D164" s="12"/>
      <c r="E164" s="19" t="str">
        <f>IF(Calc!$AI164="","",INDEX(Setup!$C$20:$C$34,Calc!$AI164))</f>
        <v/>
      </c>
      <c r="F164" s="20" t="str">
        <f>IF(Calc!$AI164="","",INDEX(Calc!$B164:$P164,1,Calc!$AI164))</f>
        <v/>
      </c>
      <c r="G164" s="20" t="str">
        <f>IF(Calc!$AI164="","",INT(Calc!$AH164))</f>
        <v/>
      </c>
      <c r="H164" s="21" t="str">
        <f>IF(AND(A164="",B164=""),"",IF(NOT(ISNUMBER(B164)),"Check hire date: not a date",IF(Calc!$AI164="","No milestones left to order",IF(F164&lt;Setup!$C$5,"PAST DUE: milestone date has passed",IF(G164&lt;Setup!$C$5,"LATE: order today, ask about rush",IF(G164&lt;Setup!$C$5+14,"Order within 2 weeks","Scheduled"))))))</f>
        <v/>
      </c>
    </row>
    <row r="165" spans="1:8" x14ac:dyDescent="0.2">
      <c r="A165" s="9"/>
      <c r="B165" s="11"/>
      <c r="C165" s="9"/>
      <c r="D165" s="12"/>
      <c r="E165" s="19" t="str">
        <f>IF(Calc!$AI165="","",INDEX(Setup!$C$20:$C$34,Calc!$AI165))</f>
        <v/>
      </c>
      <c r="F165" s="20" t="str">
        <f>IF(Calc!$AI165="","",INDEX(Calc!$B165:$P165,1,Calc!$AI165))</f>
        <v/>
      </c>
      <c r="G165" s="20" t="str">
        <f>IF(Calc!$AI165="","",INT(Calc!$AH165))</f>
        <v/>
      </c>
      <c r="H165" s="21" t="str">
        <f>IF(AND(A165="",B165=""),"",IF(NOT(ISNUMBER(B165)),"Check hire date: not a date",IF(Calc!$AI165="","No milestones left to order",IF(F165&lt;Setup!$C$5,"PAST DUE: milestone date has passed",IF(G165&lt;Setup!$C$5,"LATE: order today, ask about rush",IF(G165&lt;Setup!$C$5+14,"Order within 2 weeks","Scheduled"))))))</f>
        <v/>
      </c>
    </row>
    <row r="166" spans="1:8" x14ac:dyDescent="0.2">
      <c r="A166" s="9"/>
      <c r="B166" s="11"/>
      <c r="C166" s="9"/>
      <c r="D166" s="12"/>
      <c r="E166" s="19" t="str">
        <f>IF(Calc!$AI166="","",INDEX(Setup!$C$20:$C$34,Calc!$AI166))</f>
        <v/>
      </c>
      <c r="F166" s="20" t="str">
        <f>IF(Calc!$AI166="","",INDEX(Calc!$B166:$P166,1,Calc!$AI166))</f>
        <v/>
      </c>
      <c r="G166" s="20" t="str">
        <f>IF(Calc!$AI166="","",INT(Calc!$AH166))</f>
        <v/>
      </c>
      <c r="H166" s="21" t="str">
        <f>IF(AND(A166="",B166=""),"",IF(NOT(ISNUMBER(B166)),"Check hire date: not a date",IF(Calc!$AI166="","No milestones left to order",IF(F166&lt;Setup!$C$5,"PAST DUE: milestone date has passed",IF(G166&lt;Setup!$C$5,"LATE: order today, ask about rush",IF(G166&lt;Setup!$C$5+14,"Order within 2 weeks","Scheduled"))))))</f>
        <v/>
      </c>
    </row>
    <row r="167" spans="1:8" x14ac:dyDescent="0.2">
      <c r="A167" s="9"/>
      <c r="B167" s="11"/>
      <c r="C167" s="9"/>
      <c r="D167" s="12"/>
      <c r="E167" s="19" t="str">
        <f>IF(Calc!$AI167="","",INDEX(Setup!$C$20:$C$34,Calc!$AI167))</f>
        <v/>
      </c>
      <c r="F167" s="20" t="str">
        <f>IF(Calc!$AI167="","",INDEX(Calc!$B167:$P167,1,Calc!$AI167))</f>
        <v/>
      </c>
      <c r="G167" s="20" t="str">
        <f>IF(Calc!$AI167="","",INT(Calc!$AH167))</f>
        <v/>
      </c>
      <c r="H167" s="21" t="str">
        <f>IF(AND(A167="",B167=""),"",IF(NOT(ISNUMBER(B167)),"Check hire date: not a date",IF(Calc!$AI167="","No milestones left to order",IF(F167&lt;Setup!$C$5,"PAST DUE: milestone date has passed",IF(G167&lt;Setup!$C$5,"LATE: order today, ask about rush",IF(G167&lt;Setup!$C$5+14,"Order within 2 weeks","Scheduled"))))))</f>
        <v/>
      </c>
    </row>
    <row r="168" spans="1:8" x14ac:dyDescent="0.2">
      <c r="A168" s="9"/>
      <c r="B168" s="11"/>
      <c r="C168" s="9"/>
      <c r="D168" s="12"/>
      <c r="E168" s="19" t="str">
        <f>IF(Calc!$AI168="","",INDEX(Setup!$C$20:$C$34,Calc!$AI168))</f>
        <v/>
      </c>
      <c r="F168" s="20" t="str">
        <f>IF(Calc!$AI168="","",INDEX(Calc!$B168:$P168,1,Calc!$AI168))</f>
        <v/>
      </c>
      <c r="G168" s="20" t="str">
        <f>IF(Calc!$AI168="","",INT(Calc!$AH168))</f>
        <v/>
      </c>
      <c r="H168" s="21" t="str">
        <f>IF(AND(A168="",B168=""),"",IF(NOT(ISNUMBER(B168)),"Check hire date: not a date",IF(Calc!$AI168="","No milestones left to order",IF(F168&lt;Setup!$C$5,"PAST DUE: milestone date has passed",IF(G168&lt;Setup!$C$5,"LATE: order today, ask about rush",IF(G168&lt;Setup!$C$5+14,"Order within 2 weeks","Scheduled"))))))</f>
        <v/>
      </c>
    </row>
    <row r="169" spans="1:8" x14ac:dyDescent="0.2">
      <c r="A169" s="9"/>
      <c r="B169" s="11"/>
      <c r="C169" s="9"/>
      <c r="D169" s="12"/>
      <c r="E169" s="19" t="str">
        <f>IF(Calc!$AI169="","",INDEX(Setup!$C$20:$C$34,Calc!$AI169))</f>
        <v/>
      </c>
      <c r="F169" s="20" t="str">
        <f>IF(Calc!$AI169="","",INDEX(Calc!$B169:$P169,1,Calc!$AI169))</f>
        <v/>
      </c>
      <c r="G169" s="20" t="str">
        <f>IF(Calc!$AI169="","",INT(Calc!$AH169))</f>
        <v/>
      </c>
      <c r="H169" s="21" t="str">
        <f>IF(AND(A169="",B169=""),"",IF(NOT(ISNUMBER(B169)),"Check hire date: not a date",IF(Calc!$AI169="","No milestones left to order",IF(F169&lt;Setup!$C$5,"PAST DUE: milestone date has passed",IF(G169&lt;Setup!$C$5,"LATE: order today, ask about rush",IF(G169&lt;Setup!$C$5+14,"Order within 2 weeks","Scheduled"))))))</f>
        <v/>
      </c>
    </row>
    <row r="170" spans="1:8" x14ac:dyDescent="0.2">
      <c r="A170" s="9"/>
      <c r="B170" s="11"/>
      <c r="C170" s="9"/>
      <c r="D170" s="12"/>
      <c r="E170" s="19" t="str">
        <f>IF(Calc!$AI170="","",INDEX(Setup!$C$20:$C$34,Calc!$AI170))</f>
        <v/>
      </c>
      <c r="F170" s="20" t="str">
        <f>IF(Calc!$AI170="","",INDEX(Calc!$B170:$P170,1,Calc!$AI170))</f>
        <v/>
      </c>
      <c r="G170" s="20" t="str">
        <f>IF(Calc!$AI170="","",INT(Calc!$AH170))</f>
        <v/>
      </c>
      <c r="H170" s="21" t="str">
        <f>IF(AND(A170="",B170=""),"",IF(NOT(ISNUMBER(B170)),"Check hire date: not a date",IF(Calc!$AI170="","No milestones left to order",IF(F170&lt;Setup!$C$5,"PAST DUE: milestone date has passed",IF(G170&lt;Setup!$C$5,"LATE: order today, ask about rush",IF(G170&lt;Setup!$C$5+14,"Order within 2 weeks","Scheduled"))))))</f>
        <v/>
      </c>
    </row>
    <row r="171" spans="1:8" x14ac:dyDescent="0.2">
      <c r="A171" s="9"/>
      <c r="B171" s="11"/>
      <c r="C171" s="9"/>
      <c r="D171" s="12"/>
      <c r="E171" s="19" t="str">
        <f>IF(Calc!$AI171="","",INDEX(Setup!$C$20:$C$34,Calc!$AI171))</f>
        <v/>
      </c>
      <c r="F171" s="20" t="str">
        <f>IF(Calc!$AI171="","",INDEX(Calc!$B171:$P171,1,Calc!$AI171))</f>
        <v/>
      </c>
      <c r="G171" s="20" t="str">
        <f>IF(Calc!$AI171="","",INT(Calc!$AH171))</f>
        <v/>
      </c>
      <c r="H171" s="21" t="str">
        <f>IF(AND(A171="",B171=""),"",IF(NOT(ISNUMBER(B171)),"Check hire date: not a date",IF(Calc!$AI171="","No milestones left to order",IF(F171&lt;Setup!$C$5,"PAST DUE: milestone date has passed",IF(G171&lt;Setup!$C$5,"LATE: order today, ask about rush",IF(G171&lt;Setup!$C$5+14,"Order within 2 weeks","Scheduled"))))))</f>
        <v/>
      </c>
    </row>
    <row r="172" spans="1:8" x14ac:dyDescent="0.2">
      <c r="A172" s="9"/>
      <c r="B172" s="11"/>
      <c r="C172" s="9"/>
      <c r="D172" s="12"/>
      <c r="E172" s="19" t="str">
        <f>IF(Calc!$AI172="","",INDEX(Setup!$C$20:$C$34,Calc!$AI172))</f>
        <v/>
      </c>
      <c r="F172" s="20" t="str">
        <f>IF(Calc!$AI172="","",INDEX(Calc!$B172:$P172,1,Calc!$AI172))</f>
        <v/>
      </c>
      <c r="G172" s="20" t="str">
        <f>IF(Calc!$AI172="","",INT(Calc!$AH172))</f>
        <v/>
      </c>
      <c r="H172" s="21" t="str">
        <f>IF(AND(A172="",B172=""),"",IF(NOT(ISNUMBER(B172)),"Check hire date: not a date",IF(Calc!$AI172="","No milestones left to order",IF(F172&lt;Setup!$C$5,"PAST DUE: milestone date has passed",IF(G172&lt;Setup!$C$5,"LATE: order today, ask about rush",IF(G172&lt;Setup!$C$5+14,"Order within 2 weeks","Scheduled"))))))</f>
        <v/>
      </c>
    </row>
    <row r="173" spans="1:8" x14ac:dyDescent="0.2">
      <c r="A173" s="9"/>
      <c r="B173" s="11"/>
      <c r="C173" s="9"/>
      <c r="D173" s="12"/>
      <c r="E173" s="19" t="str">
        <f>IF(Calc!$AI173="","",INDEX(Setup!$C$20:$C$34,Calc!$AI173))</f>
        <v/>
      </c>
      <c r="F173" s="20" t="str">
        <f>IF(Calc!$AI173="","",INDEX(Calc!$B173:$P173,1,Calc!$AI173))</f>
        <v/>
      </c>
      <c r="G173" s="20" t="str">
        <f>IF(Calc!$AI173="","",INT(Calc!$AH173))</f>
        <v/>
      </c>
      <c r="H173" s="21" t="str">
        <f>IF(AND(A173="",B173=""),"",IF(NOT(ISNUMBER(B173)),"Check hire date: not a date",IF(Calc!$AI173="","No milestones left to order",IF(F173&lt;Setup!$C$5,"PAST DUE: milestone date has passed",IF(G173&lt;Setup!$C$5,"LATE: order today, ask about rush",IF(G173&lt;Setup!$C$5+14,"Order within 2 weeks","Scheduled"))))))</f>
        <v/>
      </c>
    </row>
    <row r="174" spans="1:8" x14ac:dyDescent="0.2">
      <c r="A174" s="9"/>
      <c r="B174" s="11"/>
      <c r="C174" s="9"/>
      <c r="D174" s="12"/>
      <c r="E174" s="19" t="str">
        <f>IF(Calc!$AI174="","",INDEX(Setup!$C$20:$C$34,Calc!$AI174))</f>
        <v/>
      </c>
      <c r="F174" s="20" t="str">
        <f>IF(Calc!$AI174="","",INDEX(Calc!$B174:$P174,1,Calc!$AI174))</f>
        <v/>
      </c>
      <c r="G174" s="20" t="str">
        <f>IF(Calc!$AI174="","",INT(Calc!$AH174))</f>
        <v/>
      </c>
      <c r="H174" s="21" t="str">
        <f>IF(AND(A174="",B174=""),"",IF(NOT(ISNUMBER(B174)),"Check hire date: not a date",IF(Calc!$AI174="","No milestones left to order",IF(F174&lt;Setup!$C$5,"PAST DUE: milestone date has passed",IF(G174&lt;Setup!$C$5,"LATE: order today, ask about rush",IF(G174&lt;Setup!$C$5+14,"Order within 2 weeks","Scheduled"))))))</f>
        <v/>
      </c>
    </row>
    <row r="175" spans="1:8" x14ac:dyDescent="0.2">
      <c r="A175" s="9"/>
      <c r="B175" s="11"/>
      <c r="C175" s="9"/>
      <c r="D175" s="12"/>
      <c r="E175" s="19" t="str">
        <f>IF(Calc!$AI175="","",INDEX(Setup!$C$20:$C$34,Calc!$AI175))</f>
        <v/>
      </c>
      <c r="F175" s="20" t="str">
        <f>IF(Calc!$AI175="","",INDEX(Calc!$B175:$P175,1,Calc!$AI175))</f>
        <v/>
      </c>
      <c r="G175" s="20" t="str">
        <f>IF(Calc!$AI175="","",INT(Calc!$AH175))</f>
        <v/>
      </c>
      <c r="H175" s="21" t="str">
        <f>IF(AND(A175="",B175=""),"",IF(NOT(ISNUMBER(B175)),"Check hire date: not a date",IF(Calc!$AI175="","No milestones left to order",IF(F175&lt;Setup!$C$5,"PAST DUE: milestone date has passed",IF(G175&lt;Setup!$C$5,"LATE: order today, ask about rush",IF(G175&lt;Setup!$C$5+14,"Order within 2 weeks","Scheduled"))))))</f>
        <v/>
      </c>
    </row>
    <row r="176" spans="1:8" x14ac:dyDescent="0.2">
      <c r="A176" s="9"/>
      <c r="B176" s="11"/>
      <c r="C176" s="9"/>
      <c r="D176" s="12"/>
      <c r="E176" s="19" t="str">
        <f>IF(Calc!$AI176="","",INDEX(Setup!$C$20:$C$34,Calc!$AI176))</f>
        <v/>
      </c>
      <c r="F176" s="20" t="str">
        <f>IF(Calc!$AI176="","",INDEX(Calc!$B176:$P176,1,Calc!$AI176))</f>
        <v/>
      </c>
      <c r="G176" s="20" t="str">
        <f>IF(Calc!$AI176="","",INT(Calc!$AH176))</f>
        <v/>
      </c>
      <c r="H176" s="21" t="str">
        <f>IF(AND(A176="",B176=""),"",IF(NOT(ISNUMBER(B176)),"Check hire date: not a date",IF(Calc!$AI176="","No milestones left to order",IF(F176&lt;Setup!$C$5,"PAST DUE: milestone date has passed",IF(G176&lt;Setup!$C$5,"LATE: order today, ask about rush",IF(G176&lt;Setup!$C$5+14,"Order within 2 weeks","Scheduled"))))))</f>
        <v/>
      </c>
    </row>
    <row r="177" spans="1:8" x14ac:dyDescent="0.2">
      <c r="A177" s="9"/>
      <c r="B177" s="11"/>
      <c r="C177" s="9"/>
      <c r="D177" s="12"/>
      <c r="E177" s="19" t="str">
        <f>IF(Calc!$AI177="","",INDEX(Setup!$C$20:$C$34,Calc!$AI177))</f>
        <v/>
      </c>
      <c r="F177" s="20" t="str">
        <f>IF(Calc!$AI177="","",INDEX(Calc!$B177:$P177,1,Calc!$AI177))</f>
        <v/>
      </c>
      <c r="G177" s="20" t="str">
        <f>IF(Calc!$AI177="","",INT(Calc!$AH177))</f>
        <v/>
      </c>
      <c r="H177" s="21" t="str">
        <f>IF(AND(A177="",B177=""),"",IF(NOT(ISNUMBER(B177)),"Check hire date: not a date",IF(Calc!$AI177="","No milestones left to order",IF(F177&lt;Setup!$C$5,"PAST DUE: milestone date has passed",IF(G177&lt;Setup!$C$5,"LATE: order today, ask about rush",IF(G177&lt;Setup!$C$5+14,"Order within 2 weeks","Scheduled"))))))</f>
        <v/>
      </c>
    </row>
    <row r="178" spans="1:8" x14ac:dyDescent="0.2">
      <c r="A178" s="9"/>
      <c r="B178" s="11"/>
      <c r="C178" s="9"/>
      <c r="D178" s="12"/>
      <c r="E178" s="19" t="str">
        <f>IF(Calc!$AI178="","",INDEX(Setup!$C$20:$C$34,Calc!$AI178))</f>
        <v/>
      </c>
      <c r="F178" s="20" t="str">
        <f>IF(Calc!$AI178="","",INDEX(Calc!$B178:$P178,1,Calc!$AI178))</f>
        <v/>
      </c>
      <c r="G178" s="20" t="str">
        <f>IF(Calc!$AI178="","",INT(Calc!$AH178))</f>
        <v/>
      </c>
      <c r="H178" s="21" t="str">
        <f>IF(AND(A178="",B178=""),"",IF(NOT(ISNUMBER(B178)),"Check hire date: not a date",IF(Calc!$AI178="","No milestones left to order",IF(F178&lt;Setup!$C$5,"PAST DUE: milestone date has passed",IF(G178&lt;Setup!$C$5,"LATE: order today, ask about rush",IF(G178&lt;Setup!$C$5+14,"Order within 2 weeks","Scheduled"))))))</f>
        <v/>
      </c>
    </row>
    <row r="179" spans="1:8" x14ac:dyDescent="0.2">
      <c r="A179" s="9"/>
      <c r="B179" s="11"/>
      <c r="C179" s="9"/>
      <c r="D179" s="12"/>
      <c r="E179" s="19" t="str">
        <f>IF(Calc!$AI179="","",INDEX(Setup!$C$20:$C$34,Calc!$AI179))</f>
        <v/>
      </c>
      <c r="F179" s="20" t="str">
        <f>IF(Calc!$AI179="","",INDEX(Calc!$B179:$P179,1,Calc!$AI179))</f>
        <v/>
      </c>
      <c r="G179" s="20" t="str">
        <f>IF(Calc!$AI179="","",INT(Calc!$AH179))</f>
        <v/>
      </c>
      <c r="H179" s="21" t="str">
        <f>IF(AND(A179="",B179=""),"",IF(NOT(ISNUMBER(B179)),"Check hire date: not a date",IF(Calc!$AI179="","No milestones left to order",IF(F179&lt;Setup!$C$5,"PAST DUE: milestone date has passed",IF(G179&lt;Setup!$C$5,"LATE: order today, ask about rush",IF(G179&lt;Setup!$C$5+14,"Order within 2 weeks","Scheduled"))))))</f>
        <v/>
      </c>
    </row>
    <row r="180" spans="1:8" x14ac:dyDescent="0.2">
      <c r="A180" s="9"/>
      <c r="B180" s="11"/>
      <c r="C180" s="9"/>
      <c r="D180" s="12"/>
      <c r="E180" s="19" t="str">
        <f>IF(Calc!$AI180="","",INDEX(Setup!$C$20:$C$34,Calc!$AI180))</f>
        <v/>
      </c>
      <c r="F180" s="20" t="str">
        <f>IF(Calc!$AI180="","",INDEX(Calc!$B180:$P180,1,Calc!$AI180))</f>
        <v/>
      </c>
      <c r="G180" s="20" t="str">
        <f>IF(Calc!$AI180="","",INT(Calc!$AH180))</f>
        <v/>
      </c>
      <c r="H180" s="21" t="str">
        <f>IF(AND(A180="",B180=""),"",IF(NOT(ISNUMBER(B180)),"Check hire date: not a date",IF(Calc!$AI180="","No milestones left to order",IF(F180&lt;Setup!$C$5,"PAST DUE: milestone date has passed",IF(G180&lt;Setup!$C$5,"LATE: order today, ask about rush",IF(G180&lt;Setup!$C$5+14,"Order within 2 weeks","Scheduled"))))))</f>
        <v/>
      </c>
    </row>
    <row r="181" spans="1:8" x14ac:dyDescent="0.2">
      <c r="A181" s="9"/>
      <c r="B181" s="11"/>
      <c r="C181" s="9"/>
      <c r="D181" s="12"/>
      <c r="E181" s="19" t="str">
        <f>IF(Calc!$AI181="","",INDEX(Setup!$C$20:$C$34,Calc!$AI181))</f>
        <v/>
      </c>
      <c r="F181" s="20" t="str">
        <f>IF(Calc!$AI181="","",INDEX(Calc!$B181:$P181,1,Calc!$AI181))</f>
        <v/>
      </c>
      <c r="G181" s="20" t="str">
        <f>IF(Calc!$AI181="","",INT(Calc!$AH181))</f>
        <v/>
      </c>
      <c r="H181" s="21" t="str">
        <f>IF(AND(A181="",B181=""),"",IF(NOT(ISNUMBER(B181)),"Check hire date: not a date",IF(Calc!$AI181="","No milestones left to order",IF(F181&lt;Setup!$C$5,"PAST DUE: milestone date has passed",IF(G181&lt;Setup!$C$5,"LATE: order today, ask about rush",IF(G181&lt;Setup!$C$5+14,"Order within 2 weeks","Scheduled"))))))</f>
        <v/>
      </c>
    </row>
    <row r="182" spans="1:8" x14ac:dyDescent="0.2">
      <c r="A182" s="9"/>
      <c r="B182" s="11"/>
      <c r="C182" s="9"/>
      <c r="D182" s="12"/>
      <c r="E182" s="19" t="str">
        <f>IF(Calc!$AI182="","",INDEX(Setup!$C$20:$C$34,Calc!$AI182))</f>
        <v/>
      </c>
      <c r="F182" s="20" t="str">
        <f>IF(Calc!$AI182="","",INDEX(Calc!$B182:$P182,1,Calc!$AI182))</f>
        <v/>
      </c>
      <c r="G182" s="20" t="str">
        <f>IF(Calc!$AI182="","",INT(Calc!$AH182))</f>
        <v/>
      </c>
      <c r="H182" s="21" t="str">
        <f>IF(AND(A182="",B182=""),"",IF(NOT(ISNUMBER(B182)),"Check hire date: not a date",IF(Calc!$AI182="","No milestones left to order",IF(F182&lt;Setup!$C$5,"PAST DUE: milestone date has passed",IF(G182&lt;Setup!$C$5,"LATE: order today, ask about rush",IF(G182&lt;Setup!$C$5+14,"Order within 2 weeks","Scheduled"))))))</f>
        <v/>
      </c>
    </row>
    <row r="183" spans="1:8" x14ac:dyDescent="0.2">
      <c r="A183" s="9"/>
      <c r="B183" s="11"/>
      <c r="C183" s="9"/>
      <c r="D183" s="12"/>
      <c r="E183" s="19" t="str">
        <f>IF(Calc!$AI183="","",INDEX(Setup!$C$20:$C$34,Calc!$AI183))</f>
        <v/>
      </c>
      <c r="F183" s="20" t="str">
        <f>IF(Calc!$AI183="","",INDEX(Calc!$B183:$P183,1,Calc!$AI183))</f>
        <v/>
      </c>
      <c r="G183" s="20" t="str">
        <f>IF(Calc!$AI183="","",INT(Calc!$AH183))</f>
        <v/>
      </c>
      <c r="H183" s="21" t="str">
        <f>IF(AND(A183="",B183=""),"",IF(NOT(ISNUMBER(B183)),"Check hire date: not a date",IF(Calc!$AI183="","No milestones left to order",IF(F183&lt;Setup!$C$5,"PAST DUE: milestone date has passed",IF(G183&lt;Setup!$C$5,"LATE: order today, ask about rush",IF(G183&lt;Setup!$C$5+14,"Order within 2 weeks","Scheduled"))))))</f>
        <v/>
      </c>
    </row>
    <row r="184" spans="1:8" x14ac:dyDescent="0.2">
      <c r="A184" s="9"/>
      <c r="B184" s="11"/>
      <c r="C184" s="9"/>
      <c r="D184" s="12"/>
      <c r="E184" s="19" t="str">
        <f>IF(Calc!$AI184="","",INDEX(Setup!$C$20:$C$34,Calc!$AI184))</f>
        <v/>
      </c>
      <c r="F184" s="20" t="str">
        <f>IF(Calc!$AI184="","",INDEX(Calc!$B184:$P184,1,Calc!$AI184))</f>
        <v/>
      </c>
      <c r="G184" s="20" t="str">
        <f>IF(Calc!$AI184="","",INT(Calc!$AH184))</f>
        <v/>
      </c>
      <c r="H184" s="21" t="str">
        <f>IF(AND(A184="",B184=""),"",IF(NOT(ISNUMBER(B184)),"Check hire date: not a date",IF(Calc!$AI184="","No milestones left to order",IF(F184&lt;Setup!$C$5,"PAST DUE: milestone date has passed",IF(G184&lt;Setup!$C$5,"LATE: order today, ask about rush",IF(G184&lt;Setup!$C$5+14,"Order within 2 weeks","Scheduled"))))))</f>
        <v/>
      </c>
    </row>
    <row r="185" spans="1:8" x14ac:dyDescent="0.2">
      <c r="A185" s="9"/>
      <c r="B185" s="11"/>
      <c r="C185" s="9"/>
      <c r="D185" s="12"/>
      <c r="E185" s="19" t="str">
        <f>IF(Calc!$AI185="","",INDEX(Setup!$C$20:$C$34,Calc!$AI185))</f>
        <v/>
      </c>
      <c r="F185" s="20" t="str">
        <f>IF(Calc!$AI185="","",INDEX(Calc!$B185:$P185,1,Calc!$AI185))</f>
        <v/>
      </c>
      <c r="G185" s="20" t="str">
        <f>IF(Calc!$AI185="","",INT(Calc!$AH185))</f>
        <v/>
      </c>
      <c r="H185" s="21" t="str">
        <f>IF(AND(A185="",B185=""),"",IF(NOT(ISNUMBER(B185)),"Check hire date: not a date",IF(Calc!$AI185="","No milestones left to order",IF(F185&lt;Setup!$C$5,"PAST DUE: milestone date has passed",IF(G185&lt;Setup!$C$5,"LATE: order today, ask about rush",IF(G185&lt;Setup!$C$5+14,"Order within 2 weeks","Scheduled"))))))</f>
        <v/>
      </c>
    </row>
    <row r="186" spans="1:8" x14ac:dyDescent="0.2">
      <c r="A186" s="9"/>
      <c r="B186" s="11"/>
      <c r="C186" s="9"/>
      <c r="D186" s="12"/>
      <c r="E186" s="19" t="str">
        <f>IF(Calc!$AI186="","",INDEX(Setup!$C$20:$C$34,Calc!$AI186))</f>
        <v/>
      </c>
      <c r="F186" s="20" t="str">
        <f>IF(Calc!$AI186="","",INDEX(Calc!$B186:$P186,1,Calc!$AI186))</f>
        <v/>
      </c>
      <c r="G186" s="20" t="str">
        <f>IF(Calc!$AI186="","",INT(Calc!$AH186))</f>
        <v/>
      </c>
      <c r="H186" s="21" t="str">
        <f>IF(AND(A186="",B186=""),"",IF(NOT(ISNUMBER(B186)),"Check hire date: not a date",IF(Calc!$AI186="","No milestones left to order",IF(F186&lt;Setup!$C$5,"PAST DUE: milestone date has passed",IF(G186&lt;Setup!$C$5,"LATE: order today, ask about rush",IF(G186&lt;Setup!$C$5+14,"Order within 2 weeks","Scheduled"))))))</f>
        <v/>
      </c>
    </row>
    <row r="187" spans="1:8" x14ac:dyDescent="0.2">
      <c r="A187" s="9"/>
      <c r="B187" s="11"/>
      <c r="C187" s="9"/>
      <c r="D187" s="12"/>
      <c r="E187" s="19" t="str">
        <f>IF(Calc!$AI187="","",INDEX(Setup!$C$20:$C$34,Calc!$AI187))</f>
        <v/>
      </c>
      <c r="F187" s="20" t="str">
        <f>IF(Calc!$AI187="","",INDEX(Calc!$B187:$P187,1,Calc!$AI187))</f>
        <v/>
      </c>
      <c r="G187" s="20" t="str">
        <f>IF(Calc!$AI187="","",INT(Calc!$AH187))</f>
        <v/>
      </c>
      <c r="H187" s="21" t="str">
        <f>IF(AND(A187="",B187=""),"",IF(NOT(ISNUMBER(B187)),"Check hire date: not a date",IF(Calc!$AI187="","No milestones left to order",IF(F187&lt;Setup!$C$5,"PAST DUE: milestone date has passed",IF(G187&lt;Setup!$C$5,"LATE: order today, ask about rush",IF(G187&lt;Setup!$C$5+14,"Order within 2 weeks","Scheduled"))))))</f>
        <v/>
      </c>
    </row>
    <row r="188" spans="1:8" x14ac:dyDescent="0.2">
      <c r="A188" s="9"/>
      <c r="B188" s="11"/>
      <c r="C188" s="9"/>
      <c r="D188" s="12"/>
      <c r="E188" s="19" t="str">
        <f>IF(Calc!$AI188="","",INDEX(Setup!$C$20:$C$34,Calc!$AI188))</f>
        <v/>
      </c>
      <c r="F188" s="20" t="str">
        <f>IF(Calc!$AI188="","",INDEX(Calc!$B188:$P188,1,Calc!$AI188))</f>
        <v/>
      </c>
      <c r="G188" s="20" t="str">
        <f>IF(Calc!$AI188="","",INT(Calc!$AH188))</f>
        <v/>
      </c>
      <c r="H188" s="21" t="str">
        <f>IF(AND(A188="",B188=""),"",IF(NOT(ISNUMBER(B188)),"Check hire date: not a date",IF(Calc!$AI188="","No milestones left to order",IF(F188&lt;Setup!$C$5,"PAST DUE: milestone date has passed",IF(G188&lt;Setup!$C$5,"LATE: order today, ask about rush",IF(G188&lt;Setup!$C$5+14,"Order within 2 weeks","Scheduled"))))))</f>
        <v/>
      </c>
    </row>
    <row r="189" spans="1:8" x14ac:dyDescent="0.2">
      <c r="A189" s="9"/>
      <c r="B189" s="11"/>
      <c r="C189" s="9"/>
      <c r="D189" s="12"/>
      <c r="E189" s="19" t="str">
        <f>IF(Calc!$AI189="","",INDEX(Setup!$C$20:$C$34,Calc!$AI189))</f>
        <v/>
      </c>
      <c r="F189" s="20" t="str">
        <f>IF(Calc!$AI189="","",INDEX(Calc!$B189:$P189,1,Calc!$AI189))</f>
        <v/>
      </c>
      <c r="G189" s="20" t="str">
        <f>IF(Calc!$AI189="","",INT(Calc!$AH189))</f>
        <v/>
      </c>
      <c r="H189" s="21" t="str">
        <f>IF(AND(A189="",B189=""),"",IF(NOT(ISNUMBER(B189)),"Check hire date: not a date",IF(Calc!$AI189="","No milestones left to order",IF(F189&lt;Setup!$C$5,"PAST DUE: milestone date has passed",IF(G189&lt;Setup!$C$5,"LATE: order today, ask about rush",IF(G189&lt;Setup!$C$5+14,"Order within 2 weeks","Scheduled"))))))</f>
        <v/>
      </c>
    </row>
    <row r="190" spans="1:8" x14ac:dyDescent="0.2">
      <c r="A190" s="9"/>
      <c r="B190" s="11"/>
      <c r="C190" s="9"/>
      <c r="D190" s="12"/>
      <c r="E190" s="19" t="str">
        <f>IF(Calc!$AI190="","",INDEX(Setup!$C$20:$C$34,Calc!$AI190))</f>
        <v/>
      </c>
      <c r="F190" s="20" t="str">
        <f>IF(Calc!$AI190="","",INDEX(Calc!$B190:$P190,1,Calc!$AI190))</f>
        <v/>
      </c>
      <c r="G190" s="20" t="str">
        <f>IF(Calc!$AI190="","",INT(Calc!$AH190))</f>
        <v/>
      </c>
      <c r="H190" s="21" t="str">
        <f>IF(AND(A190="",B190=""),"",IF(NOT(ISNUMBER(B190)),"Check hire date: not a date",IF(Calc!$AI190="","No milestones left to order",IF(F190&lt;Setup!$C$5,"PAST DUE: milestone date has passed",IF(G190&lt;Setup!$C$5,"LATE: order today, ask about rush",IF(G190&lt;Setup!$C$5+14,"Order within 2 weeks","Scheduled"))))))</f>
        <v/>
      </c>
    </row>
    <row r="191" spans="1:8" x14ac:dyDescent="0.2">
      <c r="A191" s="9"/>
      <c r="B191" s="11"/>
      <c r="C191" s="9"/>
      <c r="D191" s="12"/>
      <c r="E191" s="19" t="str">
        <f>IF(Calc!$AI191="","",INDEX(Setup!$C$20:$C$34,Calc!$AI191))</f>
        <v/>
      </c>
      <c r="F191" s="20" t="str">
        <f>IF(Calc!$AI191="","",INDEX(Calc!$B191:$P191,1,Calc!$AI191))</f>
        <v/>
      </c>
      <c r="G191" s="20" t="str">
        <f>IF(Calc!$AI191="","",INT(Calc!$AH191))</f>
        <v/>
      </c>
      <c r="H191" s="21" t="str">
        <f>IF(AND(A191="",B191=""),"",IF(NOT(ISNUMBER(B191)),"Check hire date: not a date",IF(Calc!$AI191="","No milestones left to order",IF(F191&lt;Setup!$C$5,"PAST DUE: milestone date has passed",IF(G191&lt;Setup!$C$5,"LATE: order today, ask about rush",IF(G191&lt;Setup!$C$5+14,"Order within 2 weeks","Scheduled"))))))</f>
        <v/>
      </c>
    </row>
    <row r="192" spans="1:8" x14ac:dyDescent="0.2">
      <c r="A192" s="9"/>
      <c r="B192" s="11"/>
      <c r="C192" s="9"/>
      <c r="D192" s="12"/>
      <c r="E192" s="19" t="str">
        <f>IF(Calc!$AI192="","",INDEX(Setup!$C$20:$C$34,Calc!$AI192))</f>
        <v/>
      </c>
      <c r="F192" s="20" t="str">
        <f>IF(Calc!$AI192="","",INDEX(Calc!$B192:$P192,1,Calc!$AI192))</f>
        <v/>
      </c>
      <c r="G192" s="20" t="str">
        <f>IF(Calc!$AI192="","",INT(Calc!$AH192))</f>
        <v/>
      </c>
      <c r="H192" s="21" t="str">
        <f>IF(AND(A192="",B192=""),"",IF(NOT(ISNUMBER(B192)),"Check hire date: not a date",IF(Calc!$AI192="","No milestones left to order",IF(F192&lt;Setup!$C$5,"PAST DUE: milestone date has passed",IF(G192&lt;Setup!$C$5,"LATE: order today, ask about rush",IF(G192&lt;Setup!$C$5+14,"Order within 2 weeks","Scheduled"))))))</f>
        <v/>
      </c>
    </row>
    <row r="193" spans="1:8" x14ac:dyDescent="0.2">
      <c r="A193" s="9"/>
      <c r="B193" s="11"/>
      <c r="C193" s="9"/>
      <c r="D193" s="12"/>
      <c r="E193" s="19" t="str">
        <f>IF(Calc!$AI193="","",INDEX(Setup!$C$20:$C$34,Calc!$AI193))</f>
        <v/>
      </c>
      <c r="F193" s="20" t="str">
        <f>IF(Calc!$AI193="","",INDEX(Calc!$B193:$P193,1,Calc!$AI193))</f>
        <v/>
      </c>
      <c r="G193" s="20" t="str">
        <f>IF(Calc!$AI193="","",INT(Calc!$AH193))</f>
        <v/>
      </c>
      <c r="H193" s="21" t="str">
        <f>IF(AND(A193="",B193=""),"",IF(NOT(ISNUMBER(B193)),"Check hire date: not a date",IF(Calc!$AI193="","No milestones left to order",IF(F193&lt;Setup!$C$5,"PAST DUE: milestone date has passed",IF(G193&lt;Setup!$C$5,"LATE: order today, ask about rush",IF(G193&lt;Setup!$C$5+14,"Order within 2 weeks","Scheduled"))))))</f>
        <v/>
      </c>
    </row>
    <row r="194" spans="1:8" x14ac:dyDescent="0.2">
      <c r="A194" s="9"/>
      <c r="B194" s="11"/>
      <c r="C194" s="9"/>
      <c r="D194" s="12"/>
      <c r="E194" s="19" t="str">
        <f>IF(Calc!$AI194="","",INDEX(Setup!$C$20:$C$34,Calc!$AI194))</f>
        <v/>
      </c>
      <c r="F194" s="20" t="str">
        <f>IF(Calc!$AI194="","",INDEX(Calc!$B194:$P194,1,Calc!$AI194))</f>
        <v/>
      </c>
      <c r="G194" s="20" t="str">
        <f>IF(Calc!$AI194="","",INT(Calc!$AH194))</f>
        <v/>
      </c>
      <c r="H194" s="21" t="str">
        <f>IF(AND(A194="",B194=""),"",IF(NOT(ISNUMBER(B194)),"Check hire date: not a date",IF(Calc!$AI194="","No milestones left to order",IF(F194&lt;Setup!$C$5,"PAST DUE: milestone date has passed",IF(G194&lt;Setup!$C$5,"LATE: order today, ask about rush",IF(G194&lt;Setup!$C$5+14,"Order within 2 weeks","Scheduled"))))))</f>
        <v/>
      </c>
    </row>
    <row r="195" spans="1:8" x14ac:dyDescent="0.2">
      <c r="A195" s="9"/>
      <c r="B195" s="11"/>
      <c r="C195" s="9"/>
      <c r="D195" s="12"/>
      <c r="E195" s="19" t="str">
        <f>IF(Calc!$AI195="","",INDEX(Setup!$C$20:$C$34,Calc!$AI195))</f>
        <v/>
      </c>
      <c r="F195" s="20" t="str">
        <f>IF(Calc!$AI195="","",INDEX(Calc!$B195:$P195,1,Calc!$AI195))</f>
        <v/>
      </c>
      <c r="G195" s="20" t="str">
        <f>IF(Calc!$AI195="","",INT(Calc!$AH195))</f>
        <v/>
      </c>
      <c r="H195" s="21" t="str">
        <f>IF(AND(A195="",B195=""),"",IF(NOT(ISNUMBER(B195)),"Check hire date: not a date",IF(Calc!$AI195="","No milestones left to order",IF(F195&lt;Setup!$C$5,"PAST DUE: milestone date has passed",IF(G195&lt;Setup!$C$5,"LATE: order today, ask about rush",IF(G195&lt;Setup!$C$5+14,"Order within 2 weeks","Scheduled"))))))</f>
        <v/>
      </c>
    </row>
    <row r="196" spans="1:8" x14ac:dyDescent="0.2">
      <c r="A196" s="9"/>
      <c r="B196" s="11"/>
      <c r="C196" s="9"/>
      <c r="D196" s="12"/>
      <c r="E196" s="19" t="str">
        <f>IF(Calc!$AI196="","",INDEX(Setup!$C$20:$C$34,Calc!$AI196))</f>
        <v/>
      </c>
      <c r="F196" s="20" t="str">
        <f>IF(Calc!$AI196="","",INDEX(Calc!$B196:$P196,1,Calc!$AI196))</f>
        <v/>
      </c>
      <c r="G196" s="20" t="str">
        <f>IF(Calc!$AI196="","",INT(Calc!$AH196))</f>
        <v/>
      </c>
      <c r="H196" s="21" t="str">
        <f>IF(AND(A196="",B196=""),"",IF(NOT(ISNUMBER(B196)),"Check hire date: not a date",IF(Calc!$AI196="","No milestones left to order",IF(F196&lt;Setup!$C$5,"PAST DUE: milestone date has passed",IF(G196&lt;Setup!$C$5,"LATE: order today, ask about rush",IF(G196&lt;Setup!$C$5+14,"Order within 2 weeks","Scheduled"))))))</f>
        <v/>
      </c>
    </row>
    <row r="197" spans="1:8" x14ac:dyDescent="0.2">
      <c r="A197" s="9"/>
      <c r="B197" s="11"/>
      <c r="C197" s="9"/>
      <c r="D197" s="12"/>
      <c r="E197" s="19" t="str">
        <f>IF(Calc!$AI197="","",INDEX(Setup!$C$20:$C$34,Calc!$AI197))</f>
        <v/>
      </c>
      <c r="F197" s="20" t="str">
        <f>IF(Calc!$AI197="","",INDEX(Calc!$B197:$P197,1,Calc!$AI197))</f>
        <v/>
      </c>
      <c r="G197" s="20" t="str">
        <f>IF(Calc!$AI197="","",INT(Calc!$AH197))</f>
        <v/>
      </c>
      <c r="H197" s="21" t="str">
        <f>IF(AND(A197="",B197=""),"",IF(NOT(ISNUMBER(B197)),"Check hire date: not a date",IF(Calc!$AI197="","No milestones left to order",IF(F197&lt;Setup!$C$5,"PAST DUE: milestone date has passed",IF(G197&lt;Setup!$C$5,"LATE: order today, ask about rush",IF(G197&lt;Setup!$C$5+14,"Order within 2 weeks","Scheduled"))))))</f>
        <v/>
      </c>
    </row>
    <row r="198" spans="1:8" x14ac:dyDescent="0.2">
      <c r="A198" s="9"/>
      <c r="B198" s="11"/>
      <c r="C198" s="9"/>
      <c r="D198" s="12"/>
      <c r="E198" s="19" t="str">
        <f>IF(Calc!$AI198="","",INDEX(Setup!$C$20:$C$34,Calc!$AI198))</f>
        <v/>
      </c>
      <c r="F198" s="20" t="str">
        <f>IF(Calc!$AI198="","",INDEX(Calc!$B198:$P198,1,Calc!$AI198))</f>
        <v/>
      </c>
      <c r="G198" s="20" t="str">
        <f>IF(Calc!$AI198="","",INT(Calc!$AH198))</f>
        <v/>
      </c>
      <c r="H198" s="21" t="str">
        <f>IF(AND(A198="",B198=""),"",IF(NOT(ISNUMBER(B198)),"Check hire date: not a date",IF(Calc!$AI198="","No milestones left to order",IF(F198&lt;Setup!$C$5,"PAST DUE: milestone date has passed",IF(G198&lt;Setup!$C$5,"LATE: order today, ask about rush",IF(G198&lt;Setup!$C$5+14,"Order within 2 weeks","Scheduled"))))))</f>
        <v/>
      </c>
    </row>
    <row r="199" spans="1:8" x14ac:dyDescent="0.2">
      <c r="A199" s="9"/>
      <c r="B199" s="11"/>
      <c r="C199" s="9"/>
      <c r="D199" s="12"/>
      <c r="E199" s="19" t="str">
        <f>IF(Calc!$AI199="","",INDEX(Setup!$C$20:$C$34,Calc!$AI199))</f>
        <v/>
      </c>
      <c r="F199" s="20" t="str">
        <f>IF(Calc!$AI199="","",INDEX(Calc!$B199:$P199,1,Calc!$AI199))</f>
        <v/>
      </c>
      <c r="G199" s="20" t="str">
        <f>IF(Calc!$AI199="","",INT(Calc!$AH199))</f>
        <v/>
      </c>
      <c r="H199" s="21" t="str">
        <f>IF(AND(A199="",B199=""),"",IF(NOT(ISNUMBER(B199)),"Check hire date: not a date",IF(Calc!$AI199="","No milestones left to order",IF(F199&lt;Setup!$C$5,"PAST DUE: milestone date has passed",IF(G199&lt;Setup!$C$5,"LATE: order today, ask about rush",IF(G199&lt;Setup!$C$5+14,"Order within 2 weeks","Scheduled"))))))</f>
        <v/>
      </c>
    </row>
    <row r="200" spans="1:8" x14ac:dyDescent="0.2">
      <c r="A200" s="9"/>
      <c r="B200" s="11"/>
      <c r="C200" s="9"/>
      <c r="D200" s="12"/>
      <c r="E200" s="19" t="str">
        <f>IF(Calc!$AI200="","",INDEX(Setup!$C$20:$C$34,Calc!$AI200))</f>
        <v/>
      </c>
      <c r="F200" s="20" t="str">
        <f>IF(Calc!$AI200="","",INDEX(Calc!$B200:$P200,1,Calc!$AI200))</f>
        <v/>
      </c>
      <c r="G200" s="20" t="str">
        <f>IF(Calc!$AI200="","",INT(Calc!$AH200))</f>
        <v/>
      </c>
      <c r="H200" s="21" t="str">
        <f>IF(AND(A200="",B200=""),"",IF(NOT(ISNUMBER(B200)),"Check hire date: not a date",IF(Calc!$AI200="","No milestones left to order",IF(F200&lt;Setup!$C$5,"PAST DUE: milestone date has passed",IF(G200&lt;Setup!$C$5,"LATE: order today, ask about rush",IF(G200&lt;Setup!$C$5+14,"Order within 2 weeks","Scheduled"))))))</f>
        <v/>
      </c>
    </row>
    <row r="201" spans="1:8" x14ac:dyDescent="0.2">
      <c r="A201" s="9"/>
      <c r="B201" s="11"/>
      <c r="C201" s="9"/>
      <c r="D201" s="12"/>
      <c r="E201" s="19" t="str">
        <f>IF(Calc!$AI201="","",INDEX(Setup!$C$20:$C$34,Calc!$AI201))</f>
        <v/>
      </c>
      <c r="F201" s="20" t="str">
        <f>IF(Calc!$AI201="","",INDEX(Calc!$B201:$P201,1,Calc!$AI201))</f>
        <v/>
      </c>
      <c r="G201" s="20" t="str">
        <f>IF(Calc!$AI201="","",INT(Calc!$AH201))</f>
        <v/>
      </c>
      <c r="H201" s="21" t="str">
        <f>IF(AND(A201="",B201=""),"",IF(NOT(ISNUMBER(B201)),"Check hire date: not a date",IF(Calc!$AI201="","No milestones left to order",IF(F201&lt;Setup!$C$5,"PAST DUE: milestone date has passed",IF(G201&lt;Setup!$C$5,"LATE: order today, ask about rush",IF(G201&lt;Setup!$C$5+14,"Order within 2 weeks","Scheduled"))))))</f>
        <v/>
      </c>
    </row>
    <row r="202" spans="1:8" x14ac:dyDescent="0.2">
      <c r="A202" s="9"/>
      <c r="B202" s="11"/>
      <c r="C202" s="9"/>
      <c r="D202" s="12"/>
      <c r="E202" s="19" t="str">
        <f>IF(Calc!$AI202="","",INDEX(Setup!$C$20:$C$34,Calc!$AI202))</f>
        <v/>
      </c>
      <c r="F202" s="20" t="str">
        <f>IF(Calc!$AI202="","",INDEX(Calc!$B202:$P202,1,Calc!$AI202))</f>
        <v/>
      </c>
      <c r="G202" s="20" t="str">
        <f>IF(Calc!$AI202="","",INT(Calc!$AH202))</f>
        <v/>
      </c>
      <c r="H202" s="21" t="str">
        <f>IF(AND(A202="",B202=""),"",IF(NOT(ISNUMBER(B202)),"Check hire date: not a date",IF(Calc!$AI202="","No milestones left to order",IF(F202&lt;Setup!$C$5,"PAST DUE: milestone date has passed",IF(G202&lt;Setup!$C$5,"LATE: order today, ask about rush",IF(G202&lt;Setup!$C$5+14,"Order within 2 weeks","Scheduled"))))))</f>
        <v/>
      </c>
    </row>
    <row r="203" spans="1:8" x14ac:dyDescent="0.2">
      <c r="A203" s="9"/>
      <c r="B203" s="11"/>
      <c r="C203" s="9"/>
      <c r="D203" s="12"/>
      <c r="E203" s="19" t="str">
        <f>IF(Calc!$AI203="","",INDEX(Setup!$C$20:$C$34,Calc!$AI203))</f>
        <v/>
      </c>
      <c r="F203" s="20" t="str">
        <f>IF(Calc!$AI203="","",INDEX(Calc!$B203:$P203,1,Calc!$AI203))</f>
        <v/>
      </c>
      <c r="G203" s="20" t="str">
        <f>IF(Calc!$AI203="","",INT(Calc!$AH203))</f>
        <v/>
      </c>
      <c r="H203" s="21" t="str">
        <f>IF(AND(A203="",B203=""),"",IF(NOT(ISNUMBER(B203)),"Check hire date: not a date",IF(Calc!$AI203="","No milestones left to order",IF(F203&lt;Setup!$C$5,"PAST DUE: milestone date has passed",IF(G203&lt;Setup!$C$5,"LATE: order today, ask about rush",IF(G203&lt;Setup!$C$5+14,"Order within 2 weeks","Scheduled"))))))</f>
        <v/>
      </c>
    </row>
    <row r="204" spans="1:8" x14ac:dyDescent="0.2">
      <c r="A204" s="9"/>
      <c r="B204" s="11"/>
      <c r="C204" s="9"/>
      <c r="D204" s="12"/>
      <c r="E204" s="19" t="str">
        <f>IF(Calc!$AI204="","",INDEX(Setup!$C$20:$C$34,Calc!$AI204))</f>
        <v/>
      </c>
      <c r="F204" s="20" t="str">
        <f>IF(Calc!$AI204="","",INDEX(Calc!$B204:$P204,1,Calc!$AI204))</f>
        <v/>
      </c>
      <c r="G204" s="20" t="str">
        <f>IF(Calc!$AI204="","",INT(Calc!$AH204))</f>
        <v/>
      </c>
      <c r="H204" s="21" t="str">
        <f>IF(AND(A204="",B204=""),"",IF(NOT(ISNUMBER(B204)),"Check hire date: not a date",IF(Calc!$AI204="","No milestones left to order",IF(F204&lt;Setup!$C$5,"PAST DUE: milestone date has passed",IF(G204&lt;Setup!$C$5,"LATE: order today, ask about rush",IF(G204&lt;Setup!$C$5+14,"Order within 2 weeks","Scheduled"))))))</f>
        <v/>
      </c>
    </row>
    <row r="205" spans="1:8" x14ac:dyDescent="0.2">
      <c r="A205" s="9"/>
      <c r="B205" s="11"/>
      <c r="C205" s="9"/>
      <c r="D205" s="12"/>
      <c r="E205" s="19" t="str">
        <f>IF(Calc!$AI205="","",INDEX(Setup!$C$20:$C$34,Calc!$AI205))</f>
        <v/>
      </c>
      <c r="F205" s="20" t="str">
        <f>IF(Calc!$AI205="","",INDEX(Calc!$B205:$P205,1,Calc!$AI205))</f>
        <v/>
      </c>
      <c r="G205" s="20" t="str">
        <f>IF(Calc!$AI205="","",INT(Calc!$AH205))</f>
        <v/>
      </c>
      <c r="H205" s="21" t="str">
        <f>IF(AND(A205="",B205=""),"",IF(NOT(ISNUMBER(B205)),"Check hire date: not a date",IF(Calc!$AI205="","No milestones left to order",IF(F205&lt;Setup!$C$5,"PAST DUE: milestone date has passed",IF(G205&lt;Setup!$C$5,"LATE: order today, ask about rush",IF(G205&lt;Setup!$C$5+14,"Order within 2 weeks","Scheduled"))))))</f>
        <v/>
      </c>
    </row>
    <row r="206" spans="1:8" x14ac:dyDescent="0.2">
      <c r="A206" s="9"/>
      <c r="B206" s="11"/>
      <c r="C206" s="9"/>
      <c r="D206" s="12"/>
      <c r="E206" s="19" t="str">
        <f>IF(Calc!$AI206="","",INDEX(Setup!$C$20:$C$34,Calc!$AI206))</f>
        <v/>
      </c>
      <c r="F206" s="20" t="str">
        <f>IF(Calc!$AI206="","",INDEX(Calc!$B206:$P206,1,Calc!$AI206))</f>
        <v/>
      </c>
      <c r="G206" s="20" t="str">
        <f>IF(Calc!$AI206="","",INT(Calc!$AH206))</f>
        <v/>
      </c>
      <c r="H206" s="21" t="str">
        <f>IF(AND(A206="",B206=""),"",IF(NOT(ISNUMBER(B206)),"Check hire date: not a date",IF(Calc!$AI206="","No milestones left to order",IF(F206&lt;Setup!$C$5,"PAST DUE: milestone date has passed",IF(G206&lt;Setup!$C$5,"LATE: order today, ask about rush",IF(G206&lt;Setup!$C$5+14,"Order within 2 weeks","Scheduled"))))))</f>
        <v/>
      </c>
    </row>
    <row r="207" spans="1:8" x14ac:dyDescent="0.2">
      <c r="A207" s="9"/>
      <c r="B207" s="11"/>
      <c r="C207" s="9"/>
      <c r="D207" s="12"/>
      <c r="E207" s="19" t="str">
        <f>IF(Calc!$AI207="","",INDEX(Setup!$C$20:$C$34,Calc!$AI207))</f>
        <v/>
      </c>
      <c r="F207" s="20" t="str">
        <f>IF(Calc!$AI207="","",INDEX(Calc!$B207:$P207,1,Calc!$AI207))</f>
        <v/>
      </c>
      <c r="G207" s="20" t="str">
        <f>IF(Calc!$AI207="","",INT(Calc!$AH207))</f>
        <v/>
      </c>
      <c r="H207" s="21" t="str">
        <f>IF(AND(A207="",B207=""),"",IF(NOT(ISNUMBER(B207)),"Check hire date: not a date",IF(Calc!$AI207="","No milestones left to order",IF(F207&lt;Setup!$C$5,"PAST DUE: milestone date has passed",IF(G207&lt;Setup!$C$5,"LATE: order today, ask about rush",IF(G207&lt;Setup!$C$5+14,"Order within 2 weeks","Scheduled"))))))</f>
        <v/>
      </c>
    </row>
    <row r="208" spans="1:8" x14ac:dyDescent="0.2">
      <c r="A208" s="9"/>
      <c r="B208" s="11"/>
      <c r="C208" s="9"/>
      <c r="D208" s="12"/>
      <c r="E208" s="19" t="str">
        <f>IF(Calc!$AI208="","",INDEX(Setup!$C$20:$C$34,Calc!$AI208))</f>
        <v/>
      </c>
      <c r="F208" s="20" t="str">
        <f>IF(Calc!$AI208="","",INDEX(Calc!$B208:$P208,1,Calc!$AI208))</f>
        <v/>
      </c>
      <c r="G208" s="20" t="str">
        <f>IF(Calc!$AI208="","",INT(Calc!$AH208))</f>
        <v/>
      </c>
      <c r="H208" s="21" t="str">
        <f>IF(AND(A208="",B208=""),"",IF(NOT(ISNUMBER(B208)),"Check hire date: not a date",IF(Calc!$AI208="","No milestones left to order",IF(F208&lt;Setup!$C$5,"PAST DUE: milestone date has passed",IF(G208&lt;Setup!$C$5,"LATE: order today, ask about rush",IF(G208&lt;Setup!$C$5+14,"Order within 2 weeks","Scheduled"))))))</f>
        <v/>
      </c>
    </row>
    <row r="209" spans="1:8" x14ac:dyDescent="0.2">
      <c r="A209" s="9"/>
      <c r="B209" s="11"/>
      <c r="C209" s="9"/>
      <c r="D209" s="12"/>
      <c r="E209" s="19" t="str">
        <f>IF(Calc!$AI209="","",INDEX(Setup!$C$20:$C$34,Calc!$AI209))</f>
        <v/>
      </c>
      <c r="F209" s="20" t="str">
        <f>IF(Calc!$AI209="","",INDEX(Calc!$B209:$P209,1,Calc!$AI209))</f>
        <v/>
      </c>
      <c r="G209" s="20" t="str">
        <f>IF(Calc!$AI209="","",INT(Calc!$AH209))</f>
        <v/>
      </c>
      <c r="H209" s="21" t="str">
        <f>IF(AND(A209="",B209=""),"",IF(NOT(ISNUMBER(B209)),"Check hire date: not a date",IF(Calc!$AI209="","No milestones left to order",IF(F209&lt;Setup!$C$5,"PAST DUE: milestone date has passed",IF(G209&lt;Setup!$C$5,"LATE: order today, ask about rush",IF(G209&lt;Setup!$C$5+14,"Order within 2 weeks","Scheduled"))))))</f>
        <v/>
      </c>
    </row>
    <row r="210" spans="1:8" x14ac:dyDescent="0.2">
      <c r="A210" s="9"/>
      <c r="B210" s="11"/>
      <c r="C210" s="9"/>
      <c r="D210" s="12"/>
      <c r="E210" s="19" t="str">
        <f>IF(Calc!$AI210="","",INDEX(Setup!$C$20:$C$34,Calc!$AI210))</f>
        <v/>
      </c>
      <c r="F210" s="20" t="str">
        <f>IF(Calc!$AI210="","",INDEX(Calc!$B210:$P210,1,Calc!$AI210))</f>
        <v/>
      </c>
      <c r="G210" s="20" t="str">
        <f>IF(Calc!$AI210="","",INT(Calc!$AH210))</f>
        <v/>
      </c>
      <c r="H210" s="21" t="str">
        <f>IF(AND(A210="",B210=""),"",IF(NOT(ISNUMBER(B210)),"Check hire date: not a date",IF(Calc!$AI210="","No milestones left to order",IF(F210&lt;Setup!$C$5,"PAST DUE: milestone date has passed",IF(G210&lt;Setup!$C$5,"LATE: order today, ask about rush",IF(G210&lt;Setup!$C$5+14,"Order within 2 weeks","Scheduled"))))))</f>
        <v/>
      </c>
    </row>
    <row r="211" spans="1:8" x14ac:dyDescent="0.2">
      <c r="A211" s="9"/>
      <c r="B211" s="11"/>
      <c r="C211" s="9"/>
      <c r="D211" s="12"/>
      <c r="E211" s="19" t="str">
        <f>IF(Calc!$AI211="","",INDEX(Setup!$C$20:$C$34,Calc!$AI211))</f>
        <v/>
      </c>
      <c r="F211" s="20" t="str">
        <f>IF(Calc!$AI211="","",INDEX(Calc!$B211:$P211,1,Calc!$AI211))</f>
        <v/>
      </c>
      <c r="G211" s="20" t="str">
        <f>IF(Calc!$AI211="","",INT(Calc!$AH211))</f>
        <v/>
      </c>
      <c r="H211" s="21" t="str">
        <f>IF(AND(A211="",B211=""),"",IF(NOT(ISNUMBER(B211)),"Check hire date: not a date",IF(Calc!$AI211="","No milestones left to order",IF(F211&lt;Setup!$C$5,"PAST DUE: milestone date has passed",IF(G211&lt;Setup!$C$5,"LATE: order today, ask about rush",IF(G211&lt;Setup!$C$5+14,"Order within 2 weeks","Scheduled"))))))</f>
        <v/>
      </c>
    </row>
    <row r="212" spans="1:8" x14ac:dyDescent="0.2">
      <c r="A212" s="9"/>
      <c r="B212" s="11"/>
      <c r="C212" s="9"/>
      <c r="D212" s="12"/>
      <c r="E212" s="19" t="str">
        <f>IF(Calc!$AI212="","",INDEX(Setup!$C$20:$C$34,Calc!$AI212))</f>
        <v/>
      </c>
      <c r="F212" s="20" t="str">
        <f>IF(Calc!$AI212="","",INDEX(Calc!$B212:$P212,1,Calc!$AI212))</f>
        <v/>
      </c>
      <c r="G212" s="20" t="str">
        <f>IF(Calc!$AI212="","",INT(Calc!$AH212))</f>
        <v/>
      </c>
      <c r="H212" s="21" t="str">
        <f>IF(AND(A212="",B212=""),"",IF(NOT(ISNUMBER(B212)),"Check hire date: not a date",IF(Calc!$AI212="","No milestones left to order",IF(F212&lt;Setup!$C$5,"PAST DUE: milestone date has passed",IF(G212&lt;Setup!$C$5,"LATE: order today, ask about rush",IF(G212&lt;Setup!$C$5+14,"Order within 2 weeks","Scheduled"))))))</f>
        <v/>
      </c>
    </row>
    <row r="213" spans="1:8" x14ac:dyDescent="0.2">
      <c r="A213" s="9"/>
      <c r="B213" s="11"/>
      <c r="C213" s="9"/>
      <c r="D213" s="12"/>
      <c r="E213" s="19" t="str">
        <f>IF(Calc!$AI213="","",INDEX(Setup!$C$20:$C$34,Calc!$AI213))</f>
        <v/>
      </c>
      <c r="F213" s="20" t="str">
        <f>IF(Calc!$AI213="","",INDEX(Calc!$B213:$P213,1,Calc!$AI213))</f>
        <v/>
      </c>
      <c r="G213" s="20" t="str">
        <f>IF(Calc!$AI213="","",INT(Calc!$AH213))</f>
        <v/>
      </c>
      <c r="H213" s="21" t="str">
        <f>IF(AND(A213="",B213=""),"",IF(NOT(ISNUMBER(B213)),"Check hire date: not a date",IF(Calc!$AI213="","No milestones left to order",IF(F213&lt;Setup!$C$5,"PAST DUE: milestone date has passed",IF(G213&lt;Setup!$C$5,"LATE: order today, ask about rush",IF(G213&lt;Setup!$C$5+14,"Order within 2 weeks","Scheduled"))))))</f>
        <v/>
      </c>
    </row>
    <row r="214" spans="1:8" x14ac:dyDescent="0.2">
      <c r="A214" s="9"/>
      <c r="B214" s="11"/>
      <c r="C214" s="9"/>
      <c r="D214" s="12"/>
      <c r="E214" s="19" t="str">
        <f>IF(Calc!$AI214="","",INDEX(Setup!$C$20:$C$34,Calc!$AI214))</f>
        <v/>
      </c>
      <c r="F214" s="20" t="str">
        <f>IF(Calc!$AI214="","",INDEX(Calc!$B214:$P214,1,Calc!$AI214))</f>
        <v/>
      </c>
      <c r="G214" s="20" t="str">
        <f>IF(Calc!$AI214="","",INT(Calc!$AH214))</f>
        <v/>
      </c>
      <c r="H214" s="21" t="str">
        <f>IF(AND(A214="",B214=""),"",IF(NOT(ISNUMBER(B214)),"Check hire date: not a date",IF(Calc!$AI214="","No milestones left to order",IF(F214&lt;Setup!$C$5,"PAST DUE: milestone date has passed",IF(G214&lt;Setup!$C$5,"LATE: order today, ask about rush",IF(G214&lt;Setup!$C$5+14,"Order within 2 weeks","Scheduled"))))))</f>
        <v/>
      </c>
    </row>
    <row r="215" spans="1:8" x14ac:dyDescent="0.2">
      <c r="A215" s="9"/>
      <c r="B215" s="11"/>
      <c r="C215" s="9"/>
      <c r="D215" s="12"/>
      <c r="E215" s="19" t="str">
        <f>IF(Calc!$AI215="","",INDEX(Setup!$C$20:$C$34,Calc!$AI215))</f>
        <v/>
      </c>
      <c r="F215" s="20" t="str">
        <f>IF(Calc!$AI215="","",INDEX(Calc!$B215:$P215,1,Calc!$AI215))</f>
        <v/>
      </c>
      <c r="G215" s="20" t="str">
        <f>IF(Calc!$AI215="","",INT(Calc!$AH215))</f>
        <v/>
      </c>
      <c r="H215" s="21" t="str">
        <f>IF(AND(A215="",B215=""),"",IF(NOT(ISNUMBER(B215)),"Check hire date: not a date",IF(Calc!$AI215="","No milestones left to order",IF(F215&lt;Setup!$C$5,"PAST DUE: milestone date has passed",IF(G215&lt;Setup!$C$5,"LATE: order today, ask about rush",IF(G215&lt;Setup!$C$5+14,"Order within 2 weeks","Scheduled"))))))</f>
        <v/>
      </c>
    </row>
    <row r="216" spans="1:8" x14ac:dyDescent="0.2">
      <c r="A216" s="9"/>
      <c r="B216" s="11"/>
      <c r="C216" s="9"/>
      <c r="D216" s="12"/>
      <c r="E216" s="19" t="str">
        <f>IF(Calc!$AI216="","",INDEX(Setup!$C$20:$C$34,Calc!$AI216))</f>
        <v/>
      </c>
      <c r="F216" s="20" t="str">
        <f>IF(Calc!$AI216="","",INDEX(Calc!$B216:$P216,1,Calc!$AI216))</f>
        <v/>
      </c>
      <c r="G216" s="20" t="str">
        <f>IF(Calc!$AI216="","",INT(Calc!$AH216))</f>
        <v/>
      </c>
      <c r="H216" s="21" t="str">
        <f>IF(AND(A216="",B216=""),"",IF(NOT(ISNUMBER(B216)),"Check hire date: not a date",IF(Calc!$AI216="","No milestones left to order",IF(F216&lt;Setup!$C$5,"PAST DUE: milestone date has passed",IF(G216&lt;Setup!$C$5,"LATE: order today, ask about rush",IF(G216&lt;Setup!$C$5+14,"Order within 2 weeks","Scheduled"))))))</f>
        <v/>
      </c>
    </row>
    <row r="217" spans="1:8" x14ac:dyDescent="0.2">
      <c r="A217" s="9"/>
      <c r="B217" s="11"/>
      <c r="C217" s="9"/>
      <c r="D217" s="12"/>
      <c r="E217" s="19" t="str">
        <f>IF(Calc!$AI217="","",INDEX(Setup!$C$20:$C$34,Calc!$AI217))</f>
        <v/>
      </c>
      <c r="F217" s="20" t="str">
        <f>IF(Calc!$AI217="","",INDEX(Calc!$B217:$P217,1,Calc!$AI217))</f>
        <v/>
      </c>
      <c r="G217" s="20" t="str">
        <f>IF(Calc!$AI217="","",INT(Calc!$AH217))</f>
        <v/>
      </c>
      <c r="H217" s="21" t="str">
        <f>IF(AND(A217="",B217=""),"",IF(NOT(ISNUMBER(B217)),"Check hire date: not a date",IF(Calc!$AI217="","No milestones left to order",IF(F217&lt;Setup!$C$5,"PAST DUE: milestone date has passed",IF(G217&lt;Setup!$C$5,"LATE: order today, ask about rush",IF(G217&lt;Setup!$C$5+14,"Order within 2 weeks","Scheduled"))))))</f>
        <v/>
      </c>
    </row>
    <row r="218" spans="1:8" x14ac:dyDescent="0.2">
      <c r="A218" s="9"/>
      <c r="B218" s="11"/>
      <c r="C218" s="9"/>
      <c r="D218" s="12"/>
      <c r="E218" s="19" t="str">
        <f>IF(Calc!$AI218="","",INDEX(Setup!$C$20:$C$34,Calc!$AI218))</f>
        <v/>
      </c>
      <c r="F218" s="20" t="str">
        <f>IF(Calc!$AI218="","",INDEX(Calc!$B218:$P218,1,Calc!$AI218))</f>
        <v/>
      </c>
      <c r="G218" s="20" t="str">
        <f>IF(Calc!$AI218="","",INT(Calc!$AH218))</f>
        <v/>
      </c>
      <c r="H218" s="21" t="str">
        <f>IF(AND(A218="",B218=""),"",IF(NOT(ISNUMBER(B218)),"Check hire date: not a date",IF(Calc!$AI218="","No milestones left to order",IF(F218&lt;Setup!$C$5,"PAST DUE: milestone date has passed",IF(G218&lt;Setup!$C$5,"LATE: order today, ask about rush",IF(G218&lt;Setup!$C$5+14,"Order within 2 weeks","Scheduled"))))))</f>
        <v/>
      </c>
    </row>
    <row r="219" spans="1:8" x14ac:dyDescent="0.2">
      <c r="A219" s="9"/>
      <c r="B219" s="11"/>
      <c r="C219" s="9"/>
      <c r="D219" s="12"/>
      <c r="E219" s="19" t="str">
        <f>IF(Calc!$AI219="","",INDEX(Setup!$C$20:$C$34,Calc!$AI219))</f>
        <v/>
      </c>
      <c r="F219" s="20" t="str">
        <f>IF(Calc!$AI219="","",INDEX(Calc!$B219:$P219,1,Calc!$AI219))</f>
        <v/>
      </c>
      <c r="G219" s="20" t="str">
        <f>IF(Calc!$AI219="","",INT(Calc!$AH219))</f>
        <v/>
      </c>
      <c r="H219" s="21" t="str">
        <f>IF(AND(A219="",B219=""),"",IF(NOT(ISNUMBER(B219)),"Check hire date: not a date",IF(Calc!$AI219="","No milestones left to order",IF(F219&lt;Setup!$C$5,"PAST DUE: milestone date has passed",IF(G219&lt;Setup!$C$5,"LATE: order today, ask about rush",IF(G219&lt;Setup!$C$5+14,"Order within 2 weeks","Scheduled"))))))</f>
        <v/>
      </c>
    </row>
    <row r="220" spans="1:8" x14ac:dyDescent="0.2">
      <c r="A220" s="9"/>
      <c r="B220" s="11"/>
      <c r="C220" s="9"/>
      <c r="D220" s="12"/>
      <c r="E220" s="19" t="str">
        <f>IF(Calc!$AI220="","",INDEX(Setup!$C$20:$C$34,Calc!$AI220))</f>
        <v/>
      </c>
      <c r="F220" s="20" t="str">
        <f>IF(Calc!$AI220="","",INDEX(Calc!$B220:$P220,1,Calc!$AI220))</f>
        <v/>
      </c>
      <c r="G220" s="20" t="str">
        <f>IF(Calc!$AI220="","",INT(Calc!$AH220))</f>
        <v/>
      </c>
      <c r="H220" s="21" t="str">
        <f>IF(AND(A220="",B220=""),"",IF(NOT(ISNUMBER(B220)),"Check hire date: not a date",IF(Calc!$AI220="","No milestones left to order",IF(F220&lt;Setup!$C$5,"PAST DUE: milestone date has passed",IF(G220&lt;Setup!$C$5,"LATE: order today, ask about rush",IF(G220&lt;Setup!$C$5+14,"Order within 2 weeks","Scheduled"))))))</f>
        <v/>
      </c>
    </row>
    <row r="221" spans="1:8" x14ac:dyDescent="0.2">
      <c r="A221" s="9"/>
      <c r="B221" s="11"/>
      <c r="C221" s="9"/>
      <c r="D221" s="12"/>
      <c r="E221" s="19" t="str">
        <f>IF(Calc!$AI221="","",INDEX(Setup!$C$20:$C$34,Calc!$AI221))</f>
        <v/>
      </c>
      <c r="F221" s="20" t="str">
        <f>IF(Calc!$AI221="","",INDEX(Calc!$B221:$P221,1,Calc!$AI221))</f>
        <v/>
      </c>
      <c r="G221" s="20" t="str">
        <f>IF(Calc!$AI221="","",INT(Calc!$AH221))</f>
        <v/>
      </c>
      <c r="H221" s="21" t="str">
        <f>IF(AND(A221="",B221=""),"",IF(NOT(ISNUMBER(B221)),"Check hire date: not a date",IF(Calc!$AI221="","No milestones left to order",IF(F221&lt;Setup!$C$5,"PAST DUE: milestone date has passed",IF(G221&lt;Setup!$C$5,"LATE: order today, ask about rush",IF(G221&lt;Setup!$C$5+14,"Order within 2 weeks","Scheduled"))))))</f>
        <v/>
      </c>
    </row>
    <row r="222" spans="1:8" x14ac:dyDescent="0.2">
      <c r="A222" s="9"/>
      <c r="B222" s="11"/>
      <c r="C222" s="9"/>
      <c r="D222" s="12"/>
      <c r="E222" s="19" t="str">
        <f>IF(Calc!$AI222="","",INDEX(Setup!$C$20:$C$34,Calc!$AI222))</f>
        <v/>
      </c>
      <c r="F222" s="20" t="str">
        <f>IF(Calc!$AI222="","",INDEX(Calc!$B222:$P222,1,Calc!$AI222))</f>
        <v/>
      </c>
      <c r="G222" s="20" t="str">
        <f>IF(Calc!$AI222="","",INT(Calc!$AH222))</f>
        <v/>
      </c>
      <c r="H222" s="21" t="str">
        <f>IF(AND(A222="",B222=""),"",IF(NOT(ISNUMBER(B222)),"Check hire date: not a date",IF(Calc!$AI222="","No milestones left to order",IF(F222&lt;Setup!$C$5,"PAST DUE: milestone date has passed",IF(G222&lt;Setup!$C$5,"LATE: order today, ask about rush",IF(G222&lt;Setup!$C$5+14,"Order within 2 weeks","Scheduled"))))))</f>
        <v/>
      </c>
    </row>
    <row r="223" spans="1:8" x14ac:dyDescent="0.2">
      <c r="A223" s="9"/>
      <c r="B223" s="11"/>
      <c r="C223" s="9"/>
      <c r="D223" s="12"/>
      <c r="E223" s="19" t="str">
        <f>IF(Calc!$AI223="","",INDEX(Setup!$C$20:$C$34,Calc!$AI223))</f>
        <v/>
      </c>
      <c r="F223" s="20" t="str">
        <f>IF(Calc!$AI223="","",INDEX(Calc!$B223:$P223,1,Calc!$AI223))</f>
        <v/>
      </c>
      <c r="G223" s="20" t="str">
        <f>IF(Calc!$AI223="","",INT(Calc!$AH223))</f>
        <v/>
      </c>
      <c r="H223" s="21" t="str">
        <f>IF(AND(A223="",B223=""),"",IF(NOT(ISNUMBER(B223)),"Check hire date: not a date",IF(Calc!$AI223="","No milestones left to order",IF(F223&lt;Setup!$C$5,"PAST DUE: milestone date has passed",IF(G223&lt;Setup!$C$5,"LATE: order today, ask about rush",IF(G223&lt;Setup!$C$5+14,"Order within 2 weeks","Scheduled"))))))</f>
        <v/>
      </c>
    </row>
    <row r="224" spans="1:8" x14ac:dyDescent="0.2">
      <c r="A224" s="9"/>
      <c r="B224" s="11"/>
      <c r="C224" s="9"/>
      <c r="D224" s="12"/>
      <c r="E224" s="19" t="str">
        <f>IF(Calc!$AI224="","",INDEX(Setup!$C$20:$C$34,Calc!$AI224))</f>
        <v/>
      </c>
      <c r="F224" s="20" t="str">
        <f>IF(Calc!$AI224="","",INDEX(Calc!$B224:$P224,1,Calc!$AI224))</f>
        <v/>
      </c>
      <c r="G224" s="20" t="str">
        <f>IF(Calc!$AI224="","",INT(Calc!$AH224))</f>
        <v/>
      </c>
      <c r="H224" s="21" t="str">
        <f>IF(AND(A224="",B224=""),"",IF(NOT(ISNUMBER(B224)),"Check hire date: not a date",IF(Calc!$AI224="","No milestones left to order",IF(F224&lt;Setup!$C$5,"PAST DUE: milestone date has passed",IF(G224&lt;Setup!$C$5,"LATE: order today, ask about rush",IF(G224&lt;Setup!$C$5+14,"Order within 2 weeks","Scheduled"))))))</f>
        <v/>
      </c>
    </row>
    <row r="225" spans="1:8" x14ac:dyDescent="0.2">
      <c r="A225" s="9"/>
      <c r="B225" s="11"/>
      <c r="C225" s="9"/>
      <c r="D225" s="12"/>
      <c r="E225" s="19" t="str">
        <f>IF(Calc!$AI225="","",INDEX(Setup!$C$20:$C$34,Calc!$AI225))</f>
        <v/>
      </c>
      <c r="F225" s="20" t="str">
        <f>IF(Calc!$AI225="","",INDEX(Calc!$B225:$P225,1,Calc!$AI225))</f>
        <v/>
      </c>
      <c r="G225" s="20" t="str">
        <f>IF(Calc!$AI225="","",INT(Calc!$AH225))</f>
        <v/>
      </c>
      <c r="H225" s="21" t="str">
        <f>IF(AND(A225="",B225=""),"",IF(NOT(ISNUMBER(B225)),"Check hire date: not a date",IF(Calc!$AI225="","No milestones left to order",IF(F225&lt;Setup!$C$5,"PAST DUE: milestone date has passed",IF(G225&lt;Setup!$C$5,"LATE: order today, ask about rush",IF(G225&lt;Setup!$C$5+14,"Order within 2 weeks","Scheduled"))))))</f>
        <v/>
      </c>
    </row>
    <row r="226" spans="1:8" x14ac:dyDescent="0.2">
      <c r="A226" s="9"/>
      <c r="B226" s="11"/>
      <c r="C226" s="9"/>
      <c r="D226" s="12"/>
      <c r="E226" s="19" t="str">
        <f>IF(Calc!$AI226="","",INDEX(Setup!$C$20:$C$34,Calc!$AI226))</f>
        <v/>
      </c>
      <c r="F226" s="20" t="str">
        <f>IF(Calc!$AI226="","",INDEX(Calc!$B226:$P226,1,Calc!$AI226))</f>
        <v/>
      </c>
      <c r="G226" s="20" t="str">
        <f>IF(Calc!$AI226="","",INT(Calc!$AH226))</f>
        <v/>
      </c>
      <c r="H226" s="21" t="str">
        <f>IF(AND(A226="",B226=""),"",IF(NOT(ISNUMBER(B226)),"Check hire date: not a date",IF(Calc!$AI226="","No milestones left to order",IF(F226&lt;Setup!$C$5,"PAST DUE: milestone date has passed",IF(G226&lt;Setup!$C$5,"LATE: order today, ask about rush",IF(G226&lt;Setup!$C$5+14,"Order within 2 weeks","Scheduled"))))))</f>
        <v/>
      </c>
    </row>
    <row r="227" spans="1:8" x14ac:dyDescent="0.2">
      <c r="A227" s="9"/>
      <c r="B227" s="11"/>
      <c r="C227" s="9"/>
      <c r="D227" s="12"/>
      <c r="E227" s="19" t="str">
        <f>IF(Calc!$AI227="","",INDEX(Setup!$C$20:$C$34,Calc!$AI227))</f>
        <v/>
      </c>
      <c r="F227" s="20" t="str">
        <f>IF(Calc!$AI227="","",INDEX(Calc!$B227:$P227,1,Calc!$AI227))</f>
        <v/>
      </c>
      <c r="G227" s="20" t="str">
        <f>IF(Calc!$AI227="","",INT(Calc!$AH227))</f>
        <v/>
      </c>
      <c r="H227" s="21" t="str">
        <f>IF(AND(A227="",B227=""),"",IF(NOT(ISNUMBER(B227)),"Check hire date: not a date",IF(Calc!$AI227="","No milestones left to order",IF(F227&lt;Setup!$C$5,"PAST DUE: milestone date has passed",IF(G227&lt;Setup!$C$5,"LATE: order today, ask about rush",IF(G227&lt;Setup!$C$5+14,"Order within 2 weeks","Scheduled"))))))</f>
        <v/>
      </c>
    </row>
    <row r="228" spans="1:8" x14ac:dyDescent="0.2">
      <c r="A228" s="9"/>
      <c r="B228" s="11"/>
      <c r="C228" s="9"/>
      <c r="D228" s="12"/>
      <c r="E228" s="19" t="str">
        <f>IF(Calc!$AI228="","",INDEX(Setup!$C$20:$C$34,Calc!$AI228))</f>
        <v/>
      </c>
      <c r="F228" s="20" t="str">
        <f>IF(Calc!$AI228="","",INDEX(Calc!$B228:$P228,1,Calc!$AI228))</f>
        <v/>
      </c>
      <c r="G228" s="20" t="str">
        <f>IF(Calc!$AI228="","",INT(Calc!$AH228))</f>
        <v/>
      </c>
      <c r="H228" s="21" t="str">
        <f>IF(AND(A228="",B228=""),"",IF(NOT(ISNUMBER(B228)),"Check hire date: not a date",IF(Calc!$AI228="","No milestones left to order",IF(F228&lt;Setup!$C$5,"PAST DUE: milestone date has passed",IF(G228&lt;Setup!$C$5,"LATE: order today, ask about rush",IF(G228&lt;Setup!$C$5+14,"Order within 2 weeks","Scheduled"))))))</f>
        <v/>
      </c>
    </row>
    <row r="229" spans="1:8" x14ac:dyDescent="0.2">
      <c r="A229" s="9"/>
      <c r="B229" s="11"/>
      <c r="C229" s="9"/>
      <c r="D229" s="12"/>
      <c r="E229" s="19" t="str">
        <f>IF(Calc!$AI229="","",INDEX(Setup!$C$20:$C$34,Calc!$AI229))</f>
        <v/>
      </c>
      <c r="F229" s="20" t="str">
        <f>IF(Calc!$AI229="","",INDEX(Calc!$B229:$P229,1,Calc!$AI229))</f>
        <v/>
      </c>
      <c r="G229" s="20" t="str">
        <f>IF(Calc!$AI229="","",INT(Calc!$AH229))</f>
        <v/>
      </c>
      <c r="H229" s="21" t="str">
        <f>IF(AND(A229="",B229=""),"",IF(NOT(ISNUMBER(B229)),"Check hire date: not a date",IF(Calc!$AI229="","No milestones left to order",IF(F229&lt;Setup!$C$5,"PAST DUE: milestone date has passed",IF(G229&lt;Setup!$C$5,"LATE: order today, ask about rush",IF(G229&lt;Setup!$C$5+14,"Order within 2 weeks","Scheduled"))))))</f>
        <v/>
      </c>
    </row>
    <row r="230" spans="1:8" x14ac:dyDescent="0.2">
      <c r="A230" s="9"/>
      <c r="B230" s="11"/>
      <c r="C230" s="9"/>
      <c r="D230" s="12"/>
      <c r="E230" s="19" t="str">
        <f>IF(Calc!$AI230="","",INDEX(Setup!$C$20:$C$34,Calc!$AI230))</f>
        <v/>
      </c>
      <c r="F230" s="20" t="str">
        <f>IF(Calc!$AI230="","",INDEX(Calc!$B230:$P230,1,Calc!$AI230))</f>
        <v/>
      </c>
      <c r="G230" s="20" t="str">
        <f>IF(Calc!$AI230="","",INT(Calc!$AH230))</f>
        <v/>
      </c>
      <c r="H230" s="21" t="str">
        <f>IF(AND(A230="",B230=""),"",IF(NOT(ISNUMBER(B230)),"Check hire date: not a date",IF(Calc!$AI230="","No milestones left to order",IF(F230&lt;Setup!$C$5,"PAST DUE: milestone date has passed",IF(G230&lt;Setup!$C$5,"LATE: order today, ask about rush",IF(G230&lt;Setup!$C$5+14,"Order within 2 weeks","Scheduled"))))))</f>
        <v/>
      </c>
    </row>
    <row r="231" spans="1:8" x14ac:dyDescent="0.2">
      <c r="A231" s="9"/>
      <c r="B231" s="11"/>
      <c r="C231" s="9"/>
      <c r="D231" s="12"/>
      <c r="E231" s="19" t="str">
        <f>IF(Calc!$AI231="","",INDEX(Setup!$C$20:$C$34,Calc!$AI231))</f>
        <v/>
      </c>
      <c r="F231" s="20" t="str">
        <f>IF(Calc!$AI231="","",INDEX(Calc!$B231:$P231,1,Calc!$AI231))</f>
        <v/>
      </c>
      <c r="G231" s="20" t="str">
        <f>IF(Calc!$AI231="","",INT(Calc!$AH231))</f>
        <v/>
      </c>
      <c r="H231" s="21" t="str">
        <f>IF(AND(A231="",B231=""),"",IF(NOT(ISNUMBER(B231)),"Check hire date: not a date",IF(Calc!$AI231="","No milestones left to order",IF(F231&lt;Setup!$C$5,"PAST DUE: milestone date has passed",IF(G231&lt;Setup!$C$5,"LATE: order today, ask about rush",IF(G231&lt;Setup!$C$5+14,"Order within 2 weeks","Scheduled"))))))</f>
        <v/>
      </c>
    </row>
    <row r="232" spans="1:8" x14ac:dyDescent="0.2">
      <c r="A232" s="9"/>
      <c r="B232" s="11"/>
      <c r="C232" s="9"/>
      <c r="D232" s="12"/>
      <c r="E232" s="19" t="str">
        <f>IF(Calc!$AI232="","",INDEX(Setup!$C$20:$C$34,Calc!$AI232))</f>
        <v/>
      </c>
      <c r="F232" s="20" t="str">
        <f>IF(Calc!$AI232="","",INDEX(Calc!$B232:$P232,1,Calc!$AI232))</f>
        <v/>
      </c>
      <c r="G232" s="20" t="str">
        <f>IF(Calc!$AI232="","",INT(Calc!$AH232))</f>
        <v/>
      </c>
      <c r="H232" s="21" t="str">
        <f>IF(AND(A232="",B232=""),"",IF(NOT(ISNUMBER(B232)),"Check hire date: not a date",IF(Calc!$AI232="","No milestones left to order",IF(F232&lt;Setup!$C$5,"PAST DUE: milestone date has passed",IF(G232&lt;Setup!$C$5,"LATE: order today, ask about rush",IF(G232&lt;Setup!$C$5+14,"Order within 2 weeks","Scheduled"))))))</f>
        <v/>
      </c>
    </row>
    <row r="233" spans="1:8" x14ac:dyDescent="0.2">
      <c r="A233" s="9"/>
      <c r="B233" s="11"/>
      <c r="C233" s="9"/>
      <c r="D233" s="12"/>
      <c r="E233" s="19" t="str">
        <f>IF(Calc!$AI233="","",INDEX(Setup!$C$20:$C$34,Calc!$AI233))</f>
        <v/>
      </c>
      <c r="F233" s="20" t="str">
        <f>IF(Calc!$AI233="","",INDEX(Calc!$B233:$P233,1,Calc!$AI233))</f>
        <v/>
      </c>
      <c r="G233" s="20" t="str">
        <f>IF(Calc!$AI233="","",INT(Calc!$AH233))</f>
        <v/>
      </c>
      <c r="H233" s="21" t="str">
        <f>IF(AND(A233="",B233=""),"",IF(NOT(ISNUMBER(B233)),"Check hire date: not a date",IF(Calc!$AI233="","No milestones left to order",IF(F233&lt;Setup!$C$5,"PAST DUE: milestone date has passed",IF(G233&lt;Setup!$C$5,"LATE: order today, ask about rush",IF(G233&lt;Setup!$C$5+14,"Order within 2 weeks","Scheduled"))))))</f>
        <v/>
      </c>
    </row>
    <row r="234" spans="1:8" x14ac:dyDescent="0.2">
      <c r="A234" s="9"/>
      <c r="B234" s="11"/>
      <c r="C234" s="9"/>
      <c r="D234" s="12"/>
      <c r="E234" s="19" t="str">
        <f>IF(Calc!$AI234="","",INDEX(Setup!$C$20:$C$34,Calc!$AI234))</f>
        <v/>
      </c>
      <c r="F234" s="20" t="str">
        <f>IF(Calc!$AI234="","",INDEX(Calc!$B234:$P234,1,Calc!$AI234))</f>
        <v/>
      </c>
      <c r="G234" s="20" t="str">
        <f>IF(Calc!$AI234="","",INT(Calc!$AH234))</f>
        <v/>
      </c>
      <c r="H234" s="21" t="str">
        <f>IF(AND(A234="",B234=""),"",IF(NOT(ISNUMBER(B234)),"Check hire date: not a date",IF(Calc!$AI234="","No milestones left to order",IF(F234&lt;Setup!$C$5,"PAST DUE: milestone date has passed",IF(G234&lt;Setup!$C$5,"LATE: order today, ask about rush",IF(G234&lt;Setup!$C$5+14,"Order within 2 weeks","Scheduled"))))))</f>
        <v/>
      </c>
    </row>
    <row r="235" spans="1:8" x14ac:dyDescent="0.2">
      <c r="A235" s="9"/>
      <c r="B235" s="11"/>
      <c r="C235" s="9"/>
      <c r="D235" s="12"/>
      <c r="E235" s="19" t="str">
        <f>IF(Calc!$AI235="","",INDEX(Setup!$C$20:$C$34,Calc!$AI235))</f>
        <v/>
      </c>
      <c r="F235" s="20" t="str">
        <f>IF(Calc!$AI235="","",INDEX(Calc!$B235:$P235,1,Calc!$AI235))</f>
        <v/>
      </c>
      <c r="G235" s="20" t="str">
        <f>IF(Calc!$AI235="","",INT(Calc!$AH235))</f>
        <v/>
      </c>
      <c r="H235" s="21" t="str">
        <f>IF(AND(A235="",B235=""),"",IF(NOT(ISNUMBER(B235)),"Check hire date: not a date",IF(Calc!$AI235="","No milestones left to order",IF(F235&lt;Setup!$C$5,"PAST DUE: milestone date has passed",IF(G235&lt;Setup!$C$5,"LATE: order today, ask about rush",IF(G235&lt;Setup!$C$5+14,"Order within 2 weeks","Scheduled"))))))</f>
        <v/>
      </c>
    </row>
    <row r="236" spans="1:8" x14ac:dyDescent="0.2">
      <c r="A236" s="9"/>
      <c r="B236" s="11"/>
      <c r="C236" s="9"/>
      <c r="D236" s="12"/>
      <c r="E236" s="19" t="str">
        <f>IF(Calc!$AI236="","",INDEX(Setup!$C$20:$C$34,Calc!$AI236))</f>
        <v/>
      </c>
      <c r="F236" s="20" t="str">
        <f>IF(Calc!$AI236="","",INDEX(Calc!$B236:$P236,1,Calc!$AI236))</f>
        <v/>
      </c>
      <c r="G236" s="20" t="str">
        <f>IF(Calc!$AI236="","",INT(Calc!$AH236))</f>
        <v/>
      </c>
      <c r="H236" s="21" t="str">
        <f>IF(AND(A236="",B236=""),"",IF(NOT(ISNUMBER(B236)),"Check hire date: not a date",IF(Calc!$AI236="","No milestones left to order",IF(F236&lt;Setup!$C$5,"PAST DUE: milestone date has passed",IF(G236&lt;Setup!$C$5,"LATE: order today, ask about rush",IF(G236&lt;Setup!$C$5+14,"Order within 2 weeks","Scheduled"))))))</f>
        <v/>
      </c>
    </row>
    <row r="237" spans="1:8" x14ac:dyDescent="0.2">
      <c r="A237" s="9"/>
      <c r="B237" s="11"/>
      <c r="C237" s="9"/>
      <c r="D237" s="12"/>
      <c r="E237" s="19" t="str">
        <f>IF(Calc!$AI237="","",INDEX(Setup!$C$20:$C$34,Calc!$AI237))</f>
        <v/>
      </c>
      <c r="F237" s="20" t="str">
        <f>IF(Calc!$AI237="","",INDEX(Calc!$B237:$P237,1,Calc!$AI237))</f>
        <v/>
      </c>
      <c r="G237" s="20" t="str">
        <f>IF(Calc!$AI237="","",INT(Calc!$AH237))</f>
        <v/>
      </c>
      <c r="H237" s="21" t="str">
        <f>IF(AND(A237="",B237=""),"",IF(NOT(ISNUMBER(B237)),"Check hire date: not a date",IF(Calc!$AI237="","No milestones left to order",IF(F237&lt;Setup!$C$5,"PAST DUE: milestone date has passed",IF(G237&lt;Setup!$C$5,"LATE: order today, ask about rush",IF(G237&lt;Setup!$C$5+14,"Order within 2 weeks","Scheduled"))))))</f>
        <v/>
      </c>
    </row>
    <row r="238" spans="1:8" x14ac:dyDescent="0.2">
      <c r="A238" s="9"/>
      <c r="B238" s="11"/>
      <c r="C238" s="9"/>
      <c r="D238" s="12"/>
      <c r="E238" s="19" t="str">
        <f>IF(Calc!$AI238="","",INDEX(Setup!$C$20:$C$34,Calc!$AI238))</f>
        <v/>
      </c>
      <c r="F238" s="20" t="str">
        <f>IF(Calc!$AI238="","",INDEX(Calc!$B238:$P238,1,Calc!$AI238))</f>
        <v/>
      </c>
      <c r="G238" s="20" t="str">
        <f>IF(Calc!$AI238="","",INT(Calc!$AH238))</f>
        <v/>
      </c>
      <c r="H238" s="21" t="str">
        <f>IF(AND(A238="",B238=""),"",IF(NOT(ISNUMBER(B238)),"Check hire date: not a date",IF(Calc!$AI238="","No milestones left to order",IF(F238&lt;Setup!$C$5,"PAST DUE: milestone date has passed",IF(G238&lt;Setup!$C$5,"LATE: order today, ask about rush",IF(G238&lt;Setup!$C$5+14,"Order within 2 weeks","Scheduled"))))))</f>
        <v/>
      </c>
    </row>
    <row r="239" spans="1:8" x14ac:dyDescent="0.2">
      <c r="A239" s="9"/>
      <c r="B239" s="11"/>
      <c r="C239" s="9"/>
      <c r="D239" s="12"/>
      <c r="E239" s="19" t="str">
        <f>IF(Calc!$AI239="","",INDEX(Setup!$C$20:$C$34,Calc!$AI239))</f>
        <v/>
      </c>
      <c r="F239" s="20" t="str">
        <f>IF(Calc!$AI239="","",INDEX(Calc!$B239:$P239,1,Calc!$AI239))</f>
        <v/>
      </c>
      <c r="G239" s="20" t="str">
        <f>IF(Calc!$AI239="","",INT(Calc!$AH239))</f>
        <v/>
      </c>
      <c r="H239" s="21" t="str">
        <f>IF(AND(A239="",B239=""),"",IF(NOT(ISNUMBER(B239)),"Check hire date: not a date",IF(Calc!$AI239="","No milestones left to order",IF(F239&lt;Setup!$C$5,"PAST DUE: milestone date has passed",IF(G239&lt;Setup!$C$5,"LATE: order today, ask about rush",IF(G239&lt;Setup!$C$5+14,"Order within 2 weeks","Scheduled"))))))</f>
        <v/>
      </c>
    </row>
    <row r="240" spans="1:8" x14ac:dyDescent="0.2">
      <c r="A240" s="9"/>
      <c r="B240" s="11"/>
      <c r="C240" s="9"/>
      <c r="D240" s="12"/>
      <c r="E240" s="19" t="str">
        <f>IF(Calc!$AI240="","",INDEX(Setup!$C$20:$C$34,Calc!$AI240))</f>
        <v/>
      </c>
      <c r="F240" s="20" t="str">
        <f>IF(Calc!$AI240="","",INDEX(Calc!$B240:$P240,1,Calc!$AI240))</f>
        <v/>
      </c>
      <c r="G240" s="20" t="str">
        <f>IF(Calc!$AI240="","",INT(Calc!$AH240))</f>
        <v/>
      </c>
      <c r="H240" s="21" t="str">
        <f>IF(AND(A240="",B240=""),"",IF(NOT(ISNUMBER(B240)),"Check hire date: not a date",IF(Calc!$AI240="","No milestones left to order",IF(F240&lt;Setup!$C$5,"PAST DUE: milestone date has passed",IF(G240&lt;Setup!$C$5,"LATE: order today, ask about rush",IF(G240&lt;Setup!$C$5+14,"Order within 2 weeks","Scheduled"))))))</f>
        <v/>
      </c>
    </row>
    <row r="241" spans="1:8" x14ac:dyDescent="0.2">
      <c r="A241" s="9"/>
      <c r="B241" s="11"/>
      <c r="C241" s="9"/>
      <c r="D241" s="12"/>
      <c r="E241" s="19" t="str">
        <f>IF(Calc!$AI241="","",INDEX(Setup!$C$20:$C$34,Calc!$AI241))</f>
        <v/>
      </c>
      <c r="F241" s="20" t="str">
        <f>IF(Calc!$AI241="","",INDEX(Calc!$B241:$P241,1,Calc!$AI241))</f>
        <v/>
      </c>
      <c r="G241" s="20" t="str">
        <f>IF(Calc!$AI241="","",INT(Calc!$AH241))</f>
        <v/>
      </c>
      <c r="H241" s="21" t="str">
        <f>IF(AND(A241="",B241=""),"",IF(NOT(ISNUMBER(B241)),"Check hire date: not a date",IF(Calc!$AI241="","No milestones left to order",IF(F241&lt;Setup!$C$5,"PAST DUE: milestone date has passed",IF(G241&lt;Setup!$C$5,"LATE: order today, ask about rush",IF(G241&lt;Setup!$C$5+14,"Order within 2 weeks","Scheduled"))))))</f>
        <v/>
      </c>
    </row>
    <row r="242" spans="1:8" x14ac:dyDescent="0.2">
      <c r="A242" s="9"/>
      <c r="B242" s="11"/>
      <c r="C242" s="9"/>
      <c r="D242" s="12"/>
      <c r="E242" s="19" t="str">
        <f>IF(Calc!$AI242="","",INDEX(Setup!$C$20:$C$34,Calc!$AI242))</f>
        <v/>
      </c>
      <c r="F242" s="20" t="str">
        <f>IF(Calc!$AI242="","",INDEX(Calc!$B242:$P242,1,Calc!$AI242))</f>
        <v/>
      </c>
      <c r="G242" s="20" t="str">
        <f>IF(Calc!$AI242="","",INT(Calc!$AH242))</f>
        <v/>
      </c>
      <c r="H242" s="21" t="str">
        <f>IF(AND(A242="",B242=""),"",IF(NOT(ISNUMBER(B242)),"Check hire date: not a date",IF(Calc!$AI242="","No milestones left to order",IF(F242&lt;Setup!$C$5,"PAST DUE: milestone date has passed",IF(G242&lt;Setup!$C$5,"LATE: order today, ask about rush",IF(G242&lt;Setup!$C$5+14,"Order within 2 weeks","Scheduled"))))))</f>
        <v/>
      </c>
    </row>
    <row r="243" spans="1:8" x14ac:dyDescent="0.2">
      <c r="A243" s="9"/>
      <c r="B243" s="11"/>
      <c r="C243" s="9"/>
      <c r="D243" s="12"/>
      <c r="E243" s="19" t="str">
        <f>IF(Calc!$AI243="","",INDEX(Setup!$C$20:$C$34,Calc!$AI243))</f>
        <v/>
      </c>
      <c r="F243" s="20" t="str">
        <f>IF(Calc!$AI243="","",INDEX(Calc!$B243:$P243,1,Calc!$AI243))</f>
        <v/>
      </c>
      <c r="G243" s="20" t="str">
        <f>IF(Calc!$AI243="","",INT(Calc!$AH243))</f>
        <v/>
      </c>
      <c r="H243" s="21" t="str">
        <f>IF(AND(A243="",B243=""),"",IF(NOT(ISNUMBER(B243)),"Check hire date: not a date",IF(Calc!$AI243="","No milestones left to order",IF(F243&lt;Setup!$C$5,"PAST DUE: milestone date has passed",IF(G243&lt;Setup!$C$5,"LATE: order today, ask about rush",IF(G243&lt;Setup!$C$5+14,"Order within 2 weeks","Scheduled"))))))</f>
        <v/>
      </c>
    </row>
    <row r="244" spans="1:8" x14ac:dyDescent="0.2">
      <c r="A244" s="9"/>
      <c r="B244" s="11"/>
      <c r="C244" s="9"/>
      <c r="D244" s="12"/>
      <c r="E244" s="19" t="str">
        <f>IF(Calc!$AI244="","",INDEX(Setup!$C$20:$C$34,Calc!$AI244))</f>
        <v/>
      </c>
      <c r="F244" s="20" t="str">
        <f>IF(Calc!$AI244="","",INDEX(Calc!$B244:$P244,1,Calc!$AI244))</f>
        <v/>
      </c>
      <c r="G244" s="20" t="str">
        <f>IF(Calc!$AI244="","",INT(Calc!$AH244))</f>
        <v/>
      </c>
      <c r="H244" s="21" t="str">
        <f>IF(AND(A244="",B244=""),"",IF(NOT(ISNUMBER(B244)),"Check hire date: not a date",IF(Calc!$AI244="","No milestones left to order",IF(F244&lt;Setup!$C$5,"PAST DUE: milestone date has passed",IF(G244&lt;Setup!$C$5,"LATE: order today, ask about rush",IF(G244&lt;Setup!$C$5+14,"Order within 2 weeks","Scheduled"))))))</f>
        <v/>
      </c>
    </row>
    <row r="245" spans="1:8" x14ac:dyDescent="0.2">
      <c r="A245" s="9"/>
      <c r="B245" s="11"/>
      <c r="C245" s="9"/>
      <c r="D245" s="12"/>
      <c r="E245" s="19" t="str">
        <f>IF(Calc!$AI245="","",INDEX(Setup!$C$20:$C$34,Calc!$AI245))</f>
        <v/>
      </c>
      <c r="F245" s="20" t="str">
        <f>IF(Calc!$AI245="","",INDEX(Calc!$B245:$P245,1,Calc!$AI245))</f>
        <v/>
      </c>
      <c r="G245" s="20" t="str">
        <f>IF(Calc!$AI245="","",INT(Calc!$AH245))</f>
        <v/>
      </c>
      <c r="H245" s="21" t="str">
        <f>IF(AND(A245="",B245=""),"",IF(NOT(ISNUMBER(B245)),"Check hire date: not a date",IF(Calc!$AI245="","No milestones left to order",IF(F245&lt;Setup!$C$5,"PAST DUE: milestone date has passed",IF(G245&lt;Setup!$C$5,"LATE: order today, ask about rush",IF(G245&lt;Setup!$C$5+14,"Order within 2 weeks","Scheduled"))))))</f>
        <v/>
      </c>
    </row>
    <row r="246" spans="1:8" x14ac:dyDescent="0.2">
      <c r="A246" s="9"/>
      <c r="B246" s="11"/>
      <c r="C246" s="9"/>
      <c r="D246" s="12"/>
      <c r="E246" s="19" t="str">
        <f>IF(Calc!$AI246="","",INDEX(Setup!$C$20:$C$34,Calc!$AI246))</f>
        <v/>
      </c>
      <c r="F246" s="20" t="str">
        <f>IF(Calc!$AI246="","",INDEX(Calc!$B246:$P246,1,Calc!$AI246))</f>
        <v/>
      </c>
      <c r="G246" s="20" t="str">
        <f>IF(Calc!$AI246="","",INT(Calc!$AH246))</f>
        <v/>
      </c>
      <c r="H246" s="21" t="str">
        <f>IF(AND(A246="",B246=""),"",IF(NOT(ISNUMBER(B246)),"Check hire date: not a date",IF(Calc!$AI246="","No milestones left to order",IF(F246&lt;Setup!$C$5,"PAST DUE: milestone date has passed",IF(G246&lt;Setup!$C$5,"LATE: order today, ask about rush",IF(G246&lt;Setup!$C$5+14,"Order within 2 weeks","Scheduled"))))))</f>
        <v/>
      </c>
    </row>
    <row r="247" spans="1:8" x14ac:dyDescent="0.2">
      <c r="A247" s="9"/>
      <c r="B247" s="11"/>
      <c r="C247" s="9"/>
      <c r="D247" s="12"/>
      <c r="E247" s="19" t="str">
        <f>IF(Calc!$AI247="","",INDEX(Setup!$C$20:$C$34,Calc!$AI247))</f>
        <v/>
      </c>
      <c r="F247" s="20" t="str">
        <f>IF(Calc!$AI247="","",INDEX(Calc!$B247:$P247,1,Calc!$AI247))</f>
        <v/>
      </c>
      <c r="G247" s="20" t="str">
        <f>IF(Calc!$AI247="","",INT(Calc!$AH247))</f>
        <v/>
      </c>
      <c r="H247" s="21" t="str">
        <f>IF(AND(A247="",B247=""),"",IF(NOT(ISNUMBER(B247)),"Check hire date: not a date",IF(Calc!$AI247="","No milestones left to order",IF(F247&lt;Setup!$C$5,"PAST DUE: milestone date has passed",IF(G247&lt;Setup!$C$5,"LATE: order today, ask about rush",IF(G247&lt;Setup!$C$5+14,"Order within 2 weeks","Scheduled"))))))</f>
        <v/>
      </c>
    </row>
    <row r="248" spans="1:8" x14ac:dyDescent="0.2">
      <c r="A248" s="9"/>
      <c r="B248" s="11"/>
      <c r="C248" s="9"/>
      <c r="D248" s="12"/>
      <c r="E248" s="19" t="str">
        <f>IF(Calc!$AI248="","",INDEX(Setup!$C$20:$C$34,Calc!$AI248))</f>
        <v/>
      </c>
      <c r="F248" s="20" t="str">
        <f>IF(Calc!$AI248="","",INDEX(Calc!$B248:$P248,1,Calc!$AI248))</f>
        <v/>
      </c>
      <c r="G248" s="20" t="str">
        <f>IF(Calc!$AI248="","",INT(Calc!$AH248))</f>
        <v/>
      </c>
      <c r="H248" s="21" t="str">
        <f>IF(AND(A248="",B248=""),"",IF(NOT(ISNUMBER(B248)),"Check hire date: not a date",IF(Calc!$AI248="","No milestones left to order",IF(F248&lt;Setup!$C$5,"PAST DUE: milestone date has passed",IF(G248&lt;Setup!$C$5,"LATE: order today, ask about rush",IF(G248&lt;Setup!$C$5+14,"Order within 2 weeks","Scheduled"))))))</f>
        <v/>
      </c>
    </row>
    <row r="249" spans="1:8" x14ac:dyDescent="0.2">
      <c r="A249" s="9"/>
      <c r="B249" s="11"/>
      <c r="C249" s="9"/>
      <c r="D249" s="12"/>
      <c r="E249" s="19" t="str">
        <f>IF(Calc!$AI249="","",INDEX(Setup!$C$20:$C$34,Calc!$AI249))</f>
        <v/>
      </c>
      <c r="F249" s="20" t="str">
        <f>IF(Calc!$AI249="","",INDEX(Calc!$B249:$P249,1,Calc!$AI249))</f>
        <v/>
      </c>
      <c r="G249" s="20" t="str">
        <f>IF(Calc!$AI249="","",INT(Calc!$AH249))</f>
        <v/>
      </c>
      <c r="H249" s="21" t="str">
        <f>IF(AND(A249="",B249=""),"",IF(NOT(ISNUMBER(B249)),"Check hire date: not a date",IF(Calc!$AI249="","No milestones left to order",IF(F249&lt;Setup!$C$5,"PAST DUE: milestone date has passed",IF(G249&lt;Setup!$C$5,"LATE: order today, ask about rush",IF(G249&lt;Setup!$C$5+14,"Order within 2 weeks","Scheduled"))))))</f>
        <v/>
      </c>
    </row>
    <row r="250" spans="1:8" x14ac:dyDescent="0.2">
      <c r="A250" s="9"/>
      <c r="B250" s="11"/>
      <c r="C250" s="9"/>
      <c r="D250" s="12"/>
      <c r="E250" s="19" t="str">
        <f>IF(Calc!$AI250="","",INDEX(Setup!$C$20:$C$34,Calc!$AI250))</f>
        <v/>
      </c>
      <c r="F250" s="20" t="str">
        <f>IF(Calc!$AI250="","",INDEX(Calc!$B250:$P250,1,Calc!$AI250))</f>
        <v/>
      </c>
      <c r="G250" s="20" t="str">
        <f>IF(Calc!$AI250="","",INT(Calc!$AH250))</f>
        <v/>
      </c>
      <c r="H250" s="21" t="str">
        <f>IF(AND(A250="",B250=""),"",IF(NOT(ISNUMBER(B250)),"Check hire date: not a date",IF(Calc!$AI250="","No milestones left to order",IF(F250&lt;Setup!$C$5,"PAST DUE: milestone date has passed",IF(G250&lt;Setup!$C$5,"LATE: order today, ask about rush",IF(G250&lt;Setup!$C$5+14,"Order within 2 weeks","Scheduled"))))))</f>
        <v/>
      </c>
    </row>
    <row r="251" spans="1:8" x14ac:dyDescent="0.2">
      <c r="A251" s="9"/>
      <c r="B251" s="11"/>
      <c r="C251" s="9"/>
      <c r="D251" s="12"/>
      <c r="E251" s="19" t="str">
        <f>IF(Calc!$AI251="","",INDEX(Setup!$C$20:$C$34,Calc!$AI251))</f>
        <v/>
      </c>
      <c r="F251" s="20" t="str">
        <f>IF(Calc!$AI251="","",INDEX(Calc!$B251:$P251,1,Calc!$AI251))</f>
        <v/>
      </c>
      <c r="G251" s="20" t="str">
        <f>IF(Calc!$AI251="","",INT(Calc!$AH251))</f>
        <v/>
      </c>
      <c r="H251" s="21" t="str">
        <f>IF(AND(A251="",B251=""),"",IF(NOT(ISNUMBER(B251)),"Check hire date: not a date",IF(Calc!$AI251="","No milestones left to order",IF(F251&lt;Setup!$C$5,"PAST DUE: milestone date has passed",IF(G251&lt;Setup!$C$5,"LATE: order today, ask about rush",IF(G251&lt;Setup!$C$5+14,"Order within 2 weeks","Scheduled"))))))</f>
        <v/>
      </c>
    </row>
    <row r="252" spans="1:8" x14ac:dyDescent="0.2">
      <c r="A252" s="9"/>
      <c r="B252" s="11"/>
      <c r="C252" s="9"/>
      <c r="D252" s="12"/>
      <c r="E252" s="19" t="str">
        <f>IF(Calc!$AI252="","",INDEX(Setup!$C$20:$C$34,Calc!$AI252))</f>
        <v/>
      </c>
      <c r="F252" s="20" t="str">
        <f>IF(Calc!$AI252="","",INDEX(Calc!$B252:$P252,1,Calc!$AI252))</f>
        <v/>
      </c>
      <c r="G252" s="20" t="str">
        <f>IF(Calc!$AI252="","",INT(Calc!$AH252))</f>
        <v/>
      </c>
      <c r="H252" s="21" t="str">
        <f>IF(AND(A252="",B252=""),"",IF(NOT(ISNUMBER(B252)),"Check hire date: not a date",IF(Calc!$AI252="","No milestones left to order",IF(F252&lt;Setup!$C$5,"PAST DUE: milestone date has passed",IF(G252&lt;Setup!$C$5,"LATE: order today, ask about rush",IF(G252&lt;Setup!$C$5+14,"Order within 2 weeks","Scheduled"))))))</f>
        <v/>
      </c>
    </row>
    <row r="253" spans="1:8" x14ac:dyDescent="0.2">
      <c r="A253" s="9"/>
      <c r="B253" s="11"/>
      <c r="C253" s="9"/>
      <c r="D253" s="12"/>
      <c r="E253" s="19" t="str">
        <f>IF(Calc!$AI253="","",INDEX(Setup!$C$20:$C$34,Calc!$AI253))</f>
        <v/>
      </c>
      <c r="F253" s="20" t="str">
        <f>IF(Calc!$AI253="","",INDEX(Calc!$B253:$P253,1,Calc!$AI253))</f>
        <v/>
      </c>
      <c r="G253" s="20" t="str">
        <f>IF(Calc!$AI253="","",INT(Calc!$AH253))</f>
        <v/>
      </c>
      <c r="H253" s="21" t="str">
        <f>IF(AND(A253="",B253=""),"",IF(NOT(ISNUMBER(B253)),"Check hire date: not a date",IF(Calc!$AI253="","No milestones left to order",IF(F253&lt;Setup!$C$5,"PAST DUE: milestone date has passed",IF(G253&lt;Setup!$C$5,"LATE: order today, ask about rush",IF(G253&lt;Setup!$C$5+14,"Order within 2 weeks","Scheduled"))))))</f>
        <v/>
      </c>
    </row>
    <row r="254" spans="1:8" x14ac:dyDescent="0.2">
      <c r="A254" s="9"/>
      <c r="B254" s="11"/>
      <c r="C254" s="9"/>
      <c r="D254" s="12"/>
      <c r="E254" s="19" t="str">
        <f>IF(Calc!$AI254="","",INDEX(Setup!$C$20:$C$34,Calc!$AI254))</f>
        <v/>
      </c>
      <c r="F254" s="20" t="str">
        <f>IF(Calc!$AI254="","",INDEX(Calc!$B254:$P254,1,Calc!$AI254))</f>
        <v/>
      </c>
      <c r="G254" s="20" t="str">
        <f>IF(Calc!$AI254="","",INT(Calc!$AH254))</f>
        <v/>
      </c>
      <c r="H254" s="21" t="str">
        <f>IF(AND(A254="",B254=""),"",IF(NOT(ISNUMBER(B254)),"Check hire date: not a date",IF(Calc!$AI254="","No milestones left to order",IF(F254&lt;Setup!$C$5,"PAST DUE: milestone date has passed",IF(G254&lt;Setup!$C$5,"LATE: order today, ask about rush",IF(G254&lt;Setup!$C$5+14,"Order within 2 weeks","Scheduled"))))))</f>
        <v/>
      </c>
    </row>
    <row r="255" spans="1:8" x14ac:dyDescent="0.2">
      <c r="A255" s="9"/>
      <c r="B255" s="11"/>
      <c r="C255" s="9"/>
      <c r="D255" s="12"/>
      <c r="E255" s="19" t="str">
        <f>IF(Calc!$AI255="","",INDEX(Setup!$C$20:$C$34,Calc!$AI255))</f>
        <v/>
      </c>
      <c r="F255" s="20" t="str">
        <f>IF(Calc!$AI255="","",INDEX(Calc!$B255:$P255,1,Calc!$AI255))</f>
        <v/>
      </c>
      <c r="G255" s="20" t="str">
        <f>IF(Calc!$AI255="","",INT(Calc!$AH255))</f>
        <v/>
      </c>
      <c r="H255" s="21" t="str">
        <f>IF(AND(A255="",B255=""),"",IF(NOT(ISNUMBER(B255)),"Check hire date: not a date",IF(Calc!$AI255="","No milestones left to order",IF(F255&lt;Setup!$C$5,"PAST DUE: milestone date has passed",IF(G255&lt;Setup!$C$5,"LATE: order today, ask about rush",IF(G255&lt;Setup!$C$5+14,"Order within 2 weeks","Scheduled"))))))</f>
        <v/>
      </c>
    </row>
    <row r="256" spans="1:8" x14ac:dyDescent="0.2">
      <c r="A256" s="9"/>
      <c r="B256" s="11"/>
      <c r="C256" s="9"/>
      <c r="D256" s="12"/>
      <c r="E256" s="19" t="str">
        <f>IF(Calc!$AI256="","",INDEX(Setup!$C$20:$C$34,Calc!$AI256))</f>
        <v/>
      </c>
      <c r="F256" s="20" t="str">
        <f>IF(Calc!$AI256="","",INDEX(Calc!$B256:$P256,1,Calc!$AI256))</f>
        <v/>
      </c>
      <c r="G256" s="20" t="str">
        <f>IF(Calc!$AI256="","",INT(Calc!$AH256))</f>
        <v/>
      </c>
      <c r="H256" s="21" t="str">
        <f>IF(AND(A256="",B256=""),"",IF(NOT(ISNUMBER(B256)),"Check hire date: not a date",IF(Calc!$AI256="","No milestones left to order",IF(F256&lt;Setup!$C$5,"PAST DUE: milestone date has passed",IF(G256&lt;Setup!$C$5,"LATE: order today, ask about rush",IF(G256&lt;Setup!$C$5+14,"Order within 2 weeks","Scheduled"))))))</f>
        <v/>
      </c>
    </row>
    <row r="257" spans="1:8" x14ac:dyDescent="0.2">
      <c r="A257" s="9"/>
      <c r="B257" s="11"/>
      <c r="C257" s="9"/>
      <c r="D257" s="12"/>
      <c r="E257" s="19" t="str">
        <f>IF(Calc!$AI257="","",INDEX(Setup!$C$20:$C$34,Calc!$AI257))</f>
        <v/>
      </c>
      <c r="F257" s="20" t="str">
        <f>IF(Calc!$AI257="","",INDEX(Calc!$B257:$P257,1,Calc!$AI257))</f>
        <v/>
      </c>
      <c r="G257" s="20" t="str">
        <f>IF(Calc!$AI257="","",INT(Calc!$AH257))</f>
        <v/>
      </c>
      <c r="H257" s="21" t="str">
        <f>IF(AND(A257="",B257=""),"",IF(NOT(ISNUMBER(B257)),"Check hire date: not a date",IF(Calc!$AI257="","No milestones left to order",IF(F257&lt;Setup!$C$5,"PAST DUE: milestone date has passed",IF(G257&lt;Setup!$C$5,"LATE: order today, ask about rush",IF(G257&lt;Setup!$C$5+14,"Order within 2 weeks","Scheduled"))))))</f>
        <v/>
      </c>
    </row>
    <row r="258" spans="1:8" x14ac:dyDescent="0.2">
      <c r="A258" s="9"/>
      <c r="B258" s="11"/>
      <c r="C258" s="9"/>
      <c r="D258" s="12"/>
      <c r="E258" s="19" t="str">
        <f>IF(Calc!$AI258="","",INDEX(Setup!$C$20:$C$34,Calc!$AI258))</f>
        <v/>
      </c>
      <c r="F258" s="20" t="str">
        <f>IF(Calc!$AI258="","",INDEX(Calc!$B258:$P258,1,Calc!$AI258))</f>
        <v/>
      </c>
      <c r="G258" s="20" t="str">
        <f>IF(Calc!$AI258="","",INT(Calc!$AH258))</f>
        <v/>
      </c>
      <c r="H258" s="21" t="str">
        <f>IF(AND(A258="",B258=""),"",IF(NOT(ISNUMBER(B258)),"Check hire date: not a date",IF(Calc!$AI258="","No milestones left to order",IF(F258&lt;Setup!$C$5,"PAST DUE: milestone date has passed",IF(G258&lt;Setup!$C$5,"LATE: order today, ask about rush",IF(G258&lt;Setup!$C$5+14,"Order within 2 weeks","Scheduled"))))))</f>
        <v/>
      </c>
    </row>
    <row r="259" spans="1:8" x14ac:dyDescent="0.2">
      <c r="A259" s="9"/>
      <c r="B259" s="11"/>
      <c r="C259" s="9"/>
      <c r="D259" s="12"/>
      <c r="E259" s="19" t="str">
        <f>IF(Calc!$AI259="","",INDEX(Setup!$C$20:$C$34,Calc!$AI259))</f>
        <v/>
      </c>
      <c r="F259" s="20" t="str">
        <f>IF(Calc!$AI259="","",INDEX(Calc!$B259:$P259,1,Calc!$AI259))</f>
        <v/>
      </c>
      <c r="G259" s="20" t="str">
        <f>IF(Calc!$AI259="","",INT(Calc!$AH259))</f>
        <v/>
      </c>
      <c r="H259" s="21" t="str">
        <f>IF(AND(A259="",B259=""),"",IF(NOT(ISNUMBER(B259)),"Check hire date: not a date",IF(Calc!$AI259="","No milestones left to order",IF(F259&lt;Setup!$C$5,"PAST DUE: milestone date has passed",IF(G259&lt;Setup!$C$5,"LATE: order today, ask about rush",IF(G259&lt;Setup!$C$5+14,"Order within 2 weeks","Scheduled"))))))</f>
        <v/>
      </c>
    </row>
    <row r="260" spans="1:8" x14ac:dyDescent="0.2">
      <c r="A260" s="9"/>
      <c r="B260" s="11"/>
      <c r="C260" s="9"/>
      <c r="D260" s="12"/>
      <c r="E260" s="19" t="str">
        <f>IF(Calc!$AI260="","",INDEX(Setup!$C$20:$C$34,Calc!$AI260))</f>
        <v/>
      </c>
      <c r="F260" s="20" t="str">
        <f>IF(Calc!$AI260="","",INDEX(Calc!$B260:$P260,1,Calc!$AI260))</f>
        <v/>
      </c>
      <c r="G260" s="20" t="str">
        <f>IF(Calc!$AI260="","",INT(Calc!$AH260))</f>
        <v/>
      </c>
      <c r="H260" s="21" t="str">
        <f>IF(AND(A260="",B260=""),"",IF(NOT(ISNUMBER(B260)),"Check hire date: not a date",IF(Calc!$AI260="","No milestones left to order",IF(F260&lt;Setup!$C$5,"PAST DUE: milestone date has passed",IF(G260&lt;Setup!$C$5,"LATE: order today, ask about rush",IF(G260&lt;Setup!$C$5+14,"Order within 2 weeks","Scheduled"))))))</f>
        <v/>
      </c>
    </row>
    <row r="261" spans="1:8" x14ac:dyDescent="0.2">
      <c r="A261" s="9"/>
      <c r="B261" s="11"/>
      <c r="C261" s="9"/>
      <c r="D261" s="12"/>
      <c r="E261" s="19" t="str">
        <f>IF(Calc!$AI261="","",INDEX(Setup!$C$20:$C$34,Calc!$AI261))</f>
        <v/>
      </c>
      <c r="F261" s="20" t="str">
        <f>IF(Calc!$AI261="","",INDEX(Calc!$B261:$P261,1,Calc!$AI261))</f>
        <v/>
      </c>
      <c r="G261" s="20" t="str">
        <f>IF(Calc!$AI261="","",INT(Calc!$AH261))</f>
        <v/>
      </c>
      <c r="H261" s="21" t="str">
        <f>IF(AND(A261="",B261=""),"",IF(NOT(ISNUMBER(B261)),"Check hire date: not a date",IF(Calc!$AI261="","No milestones left to order",IF(F261&lt;Setup!$C$5,"PAST DUE: milestone date has passed",IF(G261&lt;Setup!$C$5,"LATE: order today, ask about rush",IF(G261&lt;Setup!$C$5+14,"Order within 2 weeks","Scheduled"))))))</f>
        <v/>
      </c>
    </row>
    <row r="262" spans="1:8" x14ac:dyDescent="0.2">
      <c r="A262" s="9"/>
      <c r="B262" s="11"/>
      <c r="C262" s="9"/>
      <c r="D262" s="12"/>
      <c r="E262" s="19" t="str">
        <f>IF(Calc!$AI262="","",INDEX(Setup!$C$20:$C$34,Calc!$AI262))</f>
        <v/>
      </c>
      <c r="F262" s="20" t="str">
        <f>IF(Calc!$AI262="","",INDEX(Calc!$B262:$P262,1,Calc!$AI262))</f>
        <v/>
      </c>
      <c r="G262" s="20" t="str">
        <f>IF(Calc!$AI262="","",INT(Calc!$AH262))</f>
        <v/>
      </c>
      <c r="H262" s="21" t="str">
        <f>IF(AND(A262="",B262=""),"",IF(NOT(ISNUMBER(B262)),"Check hire date: not a date",IF(Calc!$AI262="","No milestones left to order",IF(F262&lt;Setup!$C$5,"PAST DUE: milestone date has passed",IF(G262&lt;Setup!$C$5,"LATE: order today, ask about rush",IF(G262&lt;Setup!$C$5+14,"Order within 2 weeks","Scheduled"))))))</f>
        <v/>
      </c>
    </row>
    <row r="263" spans="1:8" x14ac:dyDescent="0.2">
      <c r="A263" s="9"/>
      <c r="B263" s="11"/>
      <c r="C263" s="9"/>
      <c r="D263" s="12"/>
      <c r="E263" s="19" t="str">
        <f>IF(Calc!$AI263="","",INDEX(Setup!$C$20:$C$34,Calc!$AI263))</f>
        <v/>
      </c>
      <c r="F263" s="20" t="str">
        <f>IF(Calc!$AI263="","",INDEX(Calc!$B263:$P263,1,Calc!$AI263))</f>
        <v/>
      </c>
      <c r="G263" s="20" t="str">
        <f>IF(Calc!$AI263="","",INT(Calc!$AH263))</f>
        <v/>
      </c>
      <c r="H263" s="21" t="str">
        <f>IF(AND(A263="",B263=""),"",IF(NOT(ISNUMBER(B263)),"Check hire date: not a date",IF(Calc!$AI263="","No milestones left to order",IF(F263&lt;Setup!$C$5,"PAST DUE: milestone date has passed",IF(G263&lt;Setup!$C$5,"LATE: order today, ask about rush",IF(G263&lt;Setup!$C$5+14,"Order within 2 weeks","Scheduled"))))))</f>
        <v/>
      </c>
    </row>
    <row r="264" spans="1:8" x14ac:dyDescent="0.2">
      <c r="A264" s="9"/>
      <c r="B264" s="11"/>
      <c r="C264" s="9"/>
      <c r="D264" s="12"/>
      <c r="E264" s="19" t="str">
        <f>IF(Calc!$AI264="","",INDEX(Setup!$C$20:$C$34,Calc!$AI264))</f>
        <v/>
      </c>
      <c r="F264" s="20" t="str">
        <f>IF(Calc!$AI264="","",INDEX(Calc!$B264:$P264,1,Calc!$AI264))</f>
        <v/>
      </c>
      <c r="G264" s="20" t="str">
        <f>IF(Calc!$AI264="","",INT(Calc!$AH264))</f>
        <v/>
      </c>
      <c r="H264" s="21" t="str">
        <f>IF(AND(A264="",B264=""),"",IF(NOT(ISNUMBER(B264)),"Check hire date: not a date",IF(Calc!$AI264="","No milestones left to order",IF(F264&lt;Setup!$C$5,"PAST DUE: milestone date has passed",IF(G264&lt;Setup!$C$5,"LATE: order today, ask about rush",IF(G264&lt;Setup!$C$5+14,"Order within 2 weeks","Scheduled"))))))</f>
        <v/>
      </c>
    </row>
    <row r="265" spans="1:8" x14ac:dyDescent="0.2">
      <c r="A265" s="9"/>
      <c r="B265" s="11"/>
      <c r="C265" s="9"/>
      <c r="D265" s="12"/>
      <c r="E265" s="19" t="str">
        <f>IF(Calc!$AI265="","",INDEX(Setup!$C$20:$C$34,Calc!$AI265))</f>
        <v/>
      </c>
      <c r="F265" s="20" t="str">
        <f>IF(Calc!$AI265="","",INDEX(Calc!$B265:$P265,1,Calc!$AI265))</f>
        <v/>
      </c>
      <c r="G265" s="20" t="str">
        <f>IF(Calc!$AI265="","",INT(Calc!$AH265))</f>
        <v/>
      </c>
      <c r="H265" s="21" t="str">
        <f>IF(AND(A265="",B265=""),"",IF(NOT(ISNUMBER(B265)),"Check hire date: not a date",IF(Calc!$AI265="","No milestones left to order",IF(F265&lt;Setup!$C$5,"PAST DUE: milestone date has passed",IF(G265&lt;Setup!$C$5,"LATE: order today, ask about rush",IF(G265&lt;Setup!$C$5+14,"Order within 2 weeks","Scheduled"))))))</f>
        <v/>
      </c>
    </row>
    <row r="266" spans="1:8" x14ac:dyDescent="0.2">
      <c r="A266" s="9"/>
      <c r="B266" s="11"/>
      <c r="C266" s="9"/>
      <c r="D266" s="12"/>
      <c r="E266" s="19" t="str">
        <f>IF(Calc!$AI266="","",INDEX(Setup!$C$20:$C$34,Calc!$AI266))</f>
        <v/>
      </c>
      <c r="F266" s="20" t="str">
        <f>IF(Calc!$AI266="","",INDEX(Calc!$B266:$P266,1,Calc!$AI266))</f>
        <v/>
      </c>
      <c r="G266" s="20" t="str">
        <f>IF(Calc!$AI266="","",INT(Calc!$AH266))</f>
        <v/>
      </c>
      <c r="H266" s="21" t="str">
        <f>IF(AND(A266="",B266=""),"",IF(NOT(ISNUMBER(B266)),"Check hire date: not a date",IF(Calc!$AI266="","No milestones left to order",IF(F266&lt;Setup!$C$5,"PAST DUE: milestone date has passed",IF(G266&lt;Setup!$C$5,"LATE: order today, ask about rush",IF(G266&lt;Setup!$C$5+14,"Order within 2 weeks","Scheduled"))))))</f>
        <v/>
      </c>
    </row>
    <row r="267" spans="1:8" x14ac:dyDescent="0.2">
      <c r="A267" s="9"/>
      <c r="B267" s="11"/>
      <c r="C267" s="9"/>
      <c r="D267" s="12"/>
      <c r="E267" s="19" t="str">
        <f>IF(Calc!$AI267="","",INDEX(Setup!$C$20:$C$34,Calc!$AI267))</f>
        <v/>
      </c>
      <c r="F267" s="20" t="str">
        <f>IF(Calc!$AI267="","",INDEX(Calc!$B267:$P267,1,Calc!$AI267))</f>
        <v/>
      </c>
      <c r="G267" s="20" t="str">
        <f>IF(Calc!$AI267="","",INT(Calc!$AH267))</f>
        <v/>
      </c>
      <c r="H267" s="21" t="str">
        <f>IF(AND(A267="",B267=""),"",IF(NOT(ISNUMBER(B267)),"Check hire date: not a date",IF(Calc!$AI267="","No milestones left to order",IF(F267&lt;Setup!$C$5,"PAST DUE: milestone date has passed",IF(G267&lt;Setup!$C$5,"LATE: order today, ask about rush",IF(G267&lt;Setup!$C$5+14,"Order within 2 weeks","Scheduled"))))))</f>
        <v/>
      </c>
    </row>
    <row r="268" spans="1:8" x14ac:dyDescent="0.2">
      <c r="A268" s="9"/>
      <c r="B268" s="11"/>
      <c r="C268" s="9"/>
      <c r="D268" s="12"/>
      <c r="E268" s="19" t="str">
        <f>IF(Calc!$AI268="","",INDEX(Setup!$C$20:$C$34,Calc!$AI268))</f>
        <v/>
      </c>
      <c r="F268" s="20" t="str">
        <f>IF(Calc!$AI268="","",INDEX(Calc!$B268:$P268,1,Calc!$AI268))</f>
        <v/>
      </c>
      <c r="G268" s="20" t="str">
        <f>IF(Calc!$AI268="","",INT(Calc!$AH268))</f>
        <v/>
      </c>
      <c r="H268" s="21" t="str">
        <f>IF(AND(A268="",B268=""),"",IF(NOT(ISNUMBER(B268)),"Check hire date: not a date",IF(Calc!$AI268="","No milestones left to order",IF(F268&lt;Setup!$C$5,"PAST DUE: milestone date has passed",IF(G268&lt;Setup!$C$5,"LATE: order today, ask about rush",IF(G268&lt;Setup!$C$5+14,"Order within 2 weeks","Scheduled"))))))</f>
        <v/>
      </c>
    </row>
    <row r="269" spans="1:8" x14ac:dyDescent="0.2">
      <c r="A269" s="9"/>
      <c r="B269" s="11"/>
      <c r="C269" s="9"/>
      <c r="D269" s="12"/>
      <c r="E269" s="19" t="str">
        <f>IF(Calc!$AI269="","",INDEX(Setup!$C$20:$C$34,Calc!$AI269))</f>
        <v/>
      </c>
      <c r="F269" s="20" t="str">
        <f>IF(Calc!$AI269="","",INDEX(Calc!$B269:$P269,1,Calc!$AI269))</f>
        <v/>
      </c>
      <c r="G269" s="20" t="str">
        <f>IF(Calc!$AI269="","",INT(Calc!$AH269))</f>
        <v/>
      </c>
      <c r="H269" s="21" t="str">
        <f>IF(AND(A269="",B269=""),"",IF(NOT(ISNUMBER(B269)),"Check hire date: not a date",IF(Calc!$AI269="","No milestones left to order",IF(F269&lt;Setup!$C$5,"PAST DUE: milestone date has passed",IF(G269&lt;Setup!$C$5,"LATE: order today, ask about rush",IF(G269&lt;Setup!$C$5+14,"Order within 2 weeks","Scheduled"))))))</f>
        <v/>
      </c>
    </row>
    <row r="270" spans="1:8" x14ac:dyDescent="0.2">
      <c r="A270" s="9"/>
      <c r="B270" s="11"/>
      <c r="C270" s="9"/>
      <c r="D270" s="12"/>
      <c r="E270" s="19" t="str">
        <f>IF(Calc!$AI270="","",INDEX(Setup!$C$20:$C$34,Calc!$AI270))</f>
        <v/>
      </c>
      <c r="F270" s="20" t="str">
        <f>IF(Calc!$AI270="","",INDEX(Calc!$B270:$P270,1,Calc!$AI270))</f>
        <v/>
      </c>
      <c r="G270" s="20" t="str">
        <f>IF(Calc!$AI270="","",INT(Calc!$AH270))</f>
        <v/>
      </c>
      <c r="H270" s="21" t="str">
        <f>IF(AND(A270="",B270=""),"",IF(NOT(ISNUMBER(B270)),"Check hire date: not a date",IF(Calc!$AI270="","No milestones left to order",IF(F270&lt;Setup!$C$5,"PAST DUE: milestone date has passed",IF(G270&lt;Setup!$C$5,"LATE: order today, ask about rush",IF(G270&lt;Setup!$C$5+14,"Order within 2 weeks","Scheduled"))))))</f>
        <v/>
      </c>
    </row>
    <row r="271" spans="1:8" x14ac:dyDescent="0.2">
      <c r="A271" s="9"/>
      <c r="B271" s="11"/>
      <c r="C271" s="9"/>
      <c r="D271" s="12"/>
      <c r="E271" s="19" t="str">
        <f>IF(Calc!$AI271="","",INDEX(Setup!$C$20:$C$34,Calc!$AI271))</f>
        <v/>
      </c>
      <c r="F271" s="20" t="str">
        <f>IF(Calc!$AI271="","",INDEX(Calc!$B271:$P271,1,Calc!$AI271))</f>
        <v/>
      </c>
      <c r="G271" s="20" t="str">
        <f>IF(Calc!$AI271="","",INT(Calc!$AH271))</f>
        <v/>
      </c>
      <c r="H271" s="21" t="str">
        <f>IF(AND(A271="",B271=""),"",IF(NOT(ISNUMBER(B271)),"Check hire date: not a date",IF(Calc!$AI271="","No milestones left to order",IF(F271&lt;Setup!$C$5,"PAST DUE: milestone date has passed",IF(G271&lt;Setup!$C$5,"LATE: order today, ask about rush",IF(G271&lt;Setup!$C$5+14,"Order within 2 weeks","Scheduled"))))))</f>
        <v/>
      </c>
    </row>
    <row r="272" spans="1:8" x14ac:dyDescent="0.2">
      <c r="A272" s="9"/>
      <c r="B272" s="11"/>
      <c r="C272" s="9"/>
      <c r="D272" s="12"/>
      <c r="E272" s="19" t="str">
        <f>IF(Calc!$AI272="","",INDEX(Setup!$C$20:$C$34,Calc!$AI272))</f>
        <v/>
      </c>
      <c r="F272" s="20" t="str">
        <f>IF(Calc!$AI272="","",INDEX(Calc!$B272:$P272,1,Calc!$AI272))</f>
        <v/>
      </c>
      <c r="G272" s="20" t="str">
        <f>IF(Calc!$AI272="","",INT(Calc!$AH272))</f>
        <v/>
      </c>
      <c r="H272" s="21" t="str">
        <f>IF(AND(A272="",B272=""),"",IF(NOT(ISNUMBER(B272)),"Check hire date: not a date",IF(Calc!$AI272="","No milestones left to order",IF(F272&lt;Setup!$C$5,"PAST DUE: milestone date has passed",IF(G272&lt;Setup!$C$5,"LATE: order today, ask about rush",IF(G272&lt;Setup!$C$5+14,"Order within 2 weeks","Scheduled"))))))</f>
        <v/>
      </c>
    </row>
    <row r="273" spans="1:8" x14ac:dyDescent="0.2">
      <c r="A273" s="9"/>
      <c r="B273" s="11"/>
      <c r="C273" s="9"/>
      <c r="D273" s="12"/>
      <c r="E273" s="19" t="str">
        <f>IF(Calc!$AI273="","",INDEX(Setup!$C$20:$C$34,Calc!$AI273))</f>
        <v/>
      </c>
      <c r="F273" s="20" t="str">
        <f>IF(Calc!$AI273="","",INDEX(Calc!$B273:$P273,1,Calc!$AI273))</f>
        <v/>
      </c>
      <c r="G273" s="20" t="str">
        <f>IF(Calc!$AI273="","",INT(Calc!$AH273))</f>
        <v/>
      </c>
      <c r="H273" s="21" t="str">
        <f>IF(AND(A273="",B273=""),"",IF(NOT(ISNUMBER(B273)),"Check hire date: not a date",IF(Calc!$AI273="","No milestones left to order",IF(F273&lt;Setup!$C$5,"PAST DUE: milestone date has passed",IF(G273&lt;Setup!$C$5,"LATE: order today, ask about rush",IF(G273&lt;Setup!$C$5+14,"Order within 2 weeks","Scheduled"))))))</f>
        <v/>
      </c>
    </row>
    <row r="274" spans="1:8" x14ac:dyDescent="0.2">
      <c r="A274" s="9"/>
      <c r="B274" s="11"/>
      <c r="C274" s="9"/>
      <c r="D274" s="12"/>
      <c r="E274" s="19" t="str">
        <f>IF(Calc!$AI274="","",INDEX(Setup!$C$20:$C$34,Calc!$AI274))</f>
        <v/>
      </c>
      <c r="F274" s="20" t="str">
        <f>IF(Calc!$AI274="","",INDEX(Calc!$B274:$P274,1,Calc!$AI274))</f>
        <v/>
      </c>
      <c r="G274" s="20" t="str">
        <f>IF(Calc!$AI274="","",INT(Calc!$AH274))</f>
        <v/>
      </c>
      <c r="H274" s="21" t="str">
        <f>IF(AND(A274="",B274=""),"",IF(NOT(ISNUMBER(B274)),"Check hire date: not a date",IF(Calc!$AI274="","No milestones left to order",IF(F274&lt;Setup!$C$5,"PAST DUE: milestone date has passed",IF(G274&lt;Setup!$C$5,"LATE: order today, ask about rush",IF(G274&lt;Setup!$C$5+14,"Order within 2 weeks","Scheduled"))))))</f>
        <v/>
      </c>
    </row>
    <row r="275" spans="1:8" x14ac:dyDescent="0.2">
      <c r="A275" s="9"/>
      <c r="B275" s="11"/>
      <c r="C275" s="9"/>
      <c r="D275" s="12"/>
      <c r="E275" s="19" t="str">
        <f>IF(Calc!$AI275="","",INDEX(Setup!$C$20:$C$34,Calc!$AI275))</f>
        <v/>
      </c>
      <c r="F275" s="20" t="str">
        <f>IF(Calc!$AI275="","",INDEX(Calc!$B275:$P275,1,Calc!$AI275))</f>
        <v/>
      </c>
      <c r="G275" s="20" t="str">
        <f>IF(Calc!$AI275="","",INT(Calc!$AH275))</f>
        <v/>
      </c>
      <c r="H275" s="21" t="str">
        <f>IF(AND(A275="",B275=""),"",IF(NOT(ISNUMBER(B275)),"Check hire date: not a date",IF(Calc!$AI275="","No milestones left to order",IF(F275&lt;Setup!$C$5,"PAST DUE: milestone date has passed",IF(G275&lt;Setup!$C$5,"LATE: order today, ask about rush",IF(G275&lt;Setup!$C$5+14,"Order within 2 weeks","Scheduled"))))))</f>
        <v/>
      </c>
    </row>
    <row r="276" spans="1:8" x14ac:dyDescent="0.2">
      <c r="A276" s="9"/>
      <c r="B276" s="11"/>
      <c r="C276" s="9"/>
      <c r="D276" s="12"/>
      <c r="E276" s="19" t="str">
        <f>IF(Calc!$AI276="","",INDEX(Setup!$C$20:$C$34,Calc!$AI276))</f>
        <v/>
      </c>
      <c r="F276" s="20" t="str">
        <f>IF(Calc!$AI276="","",INDEX(Calc!$B276:$P276,1,Calc!$AI276))</f>
        <v/>
      </c>
      <c r="G276" s="20" t="str">
        <f>IF(Calc!$AI276="","",INT(Calc!$AH276))</f>
        <v/>
      </c>
      <c r="H276" s="21" t="str">
        <f>IF(AND(A276="",B276=""),"",IF(NOT(ISNUMBER(B276)),"Check hire date: not a date",IF(Calc!$AI276="","No milestones left to order",IF(F276&lt;Setup!$C$5,"PAST DUE: milestone date has passed",IF(G276&lt;Setup!$C$5,"LATE: order today, ask about rush",IF(G276&lt;Setup!$C$5+14,"Order within 2 weeks","Scheduled"))))))</f>
        <v/>
      </c>
    </row>
    <row r="277" spans="1:8" x14ac:dyDescent="0.2">
      <c r="A277" s="9"/>
      <c r="B277" s="11"/>
      <c r="C277" s="9"/>
      <c r="D277" s="12"/>
      <c r="E277" s="19" t="str">
        <f>IF(Calc!$AI277="","",INDEX(Setup!$C$20:$C$34,Calc!$AI277))</f>
        <v/>
      </c>
      <c r="F277" s="20" t="str">
        <f>IF(Calc!$AI277="","",INDEX(Calc!$B277:$P277,1,Calc!$AI277))</f>
        <v/>
      </c>
      <c r="G277" s="20" t="str">
        <f>IF(Calc!$AI277="","",INT(Calc!$AH277))</f>
        <v/>
      </c>
      <c r="H277" s="21" t="str">
        <f>IF(AND(A277="",B277=""),"",IF(NOT(ISNUMBER(B277)),"Check hire date: not a date",IF(Calc!$AI277="","No milestones left to order",IF(F277&lt;Setup!$C$5,"PAST DUE: milestone date has passed",IF(G277&lt;Setup!$C$5,"LATE: order today, ask about rush",IF(G277&lt;Setup!$C$5+14,"Order within 2 weeks","Scheduled"))))))</f>
        <v/>
      </c>
    </row>
    <row r="278" spans="1:8" x14ac:dyDescent="0.2">
      <c r="A278" s="9"/>
      <c r="B278" s="11"/>
      <c r="C278" s="9"/>
      <c r="D278" s="12"/>
      <c r="E278" s="19" t="str">
        <f>IF(Calc!$AI278="","",INDEX(Setup!$C$20:$C$34,Calc!$AI278))</f>
        <v/>
      </c>
      <c r="F278" s="20" t="str">
        <f>IF(Calc!$AI278="","",INDEX(Calc!$B278:$P278,1,Calc!$AI278))</f>
        <v/>
      </c>
      <c r="G278" s="20" t="str">
        <f>IF(Calc!$AI278="","",INT(Calc!$AH278))</f>
        <v/>
      </c>
      <c r="H278" s="21" t="str">
        <f>IF(AND(A278="",B278=""),"",IF(NOT(ISNUMBER(B278)),"Check hire date: not a date",IF(Calc!$AI278="","No milestones left to order",IF(F278&lt;Setup!$C$5,"PAST DUE: milestone date has passed",IF(G278&lt;Setup!$C$5,"LATE: order today, ask about rush",IF(G278&lt;Setup!$C$5+14,"Order within 2 weeks","Scheduled"))))))</f>
        <v/>
      </c>
    </row>
    <row r="279" spans="1:8" x14ac:dyDescent="0.2">
      <c r="A279" s="9"/>
      <c r="B279" s="11"/>
      <c r="C279" s="9"/>
      <c r="D279" s="12"/>
      <c r="E279" s="19" t="str">
        <f>IF(Calc!$AI279="","",INDEX(Setup!$C$20:$C$34,Calc!$AI279))</f>
        <v/>
      </c>
      <c r="F279" s="20" t="str">
        <f>IF(Calc!$AI279="","",INDEX(Calc!$B279:$P279,1,Calc!$AI279))</f>
        <v/>
      </c>
      <c r="G279" s="20" t="str">
        <f>IF(Calc!$AI279="","",INT(Calc!$AH279))</f>
        <v/>
      </c>
      <c r="H279" s="21" t="str">
        <f>IF(AND(A279="",B279=""),"",IF(NOT(ISNUMBER(B279)),"Check hire date: not a date",IF(Calc!$AI279="","No milestones left to order",IF(F279&lt;Setup!$C$5,"PAST DUE: milestone date has passed",IF(G279&lt;Setup!$C$5,"LATE: order today, ask about rush",IF(G279&lt;Setup!$C$5+14,"Order within 2 weeks","Scheduled"))))))</f>
        <v/>
      </c>
    </row>
    <row r="280" spans="1:8" x14ac:dyDescent="0.2">
      <c r="A280" s="9"/>
      <c r="B280" s="11"/>
      <c r="C280" s="9"/>
      <c r="D280" s="12"/>
      <c r="E280" s="19" t="str">
        <f>IF(Calc!$AI280="","",INDEX(Setup!$C$20:$C$34,Calc!$AI280))</f>
        <v/>
      </c>
      <c r="F280" s="20" t="str">
        <f>IF(Calc!$AI280="","",INDEX(Calc!$B280:$P280,1,Calc!$AI280))</f>
        <v/>
      </c>
      <c r="G280" s="20" t="str">
        <f>IF(Calc!$AI280="","",INT(Calc!$AH280))</f>
        <v/>
      </c>
      <c r="H280" s="21" t="str">
        <f>IF(AND(A280="",B280=""),"",IF(NOT(ISNUMBER(B280)),"Check hire date: not a date",IF(Calc!$AI280="","No milestones left to order",IF(F280&lt;Setup!$C$5,"PAST DUE: milestone date has passed",IF(G280&lt;Setup!$C$5,"LATE: order today, ask about rush",IF(G280&lt;Setup!$C$5+14,"Order within 2 weeks","Scheduled"))))))</f>
        <v/>
      </c>
    </row>
    <row r="281" spans="1:8" x14ac:dyDescent="0.2">
      <c r="A281" s="9"/>
      <c r="B281" s="11"/>
      <c r="C281" s="9"/>
      <c r="D281" s="12"/>
      <c r="E281" s="19" t="str">
        <f>IF(Calc!$AI281="","",INDEX(Setup!$C$20:$C$34,Calc!$AI281))</f>
        <v/>
      </c>
      <c r="F281" s="20" t="str">
        <f>IF(Calc!$AI281="","",INDEX(Calc!$B281:$P281,1,Calc!$AI281))</f>
        <v/>
      </c>
      <c r="G281" s="20" t="str">
        <f>IF(Calc!$AI281="","",INT(Calc!$AH281))</f>
        <v/>
      </c>
      <c r="H281" s="21" t="str">
        <f>IF(AND(A281="",B281=""),"",IF(NOT(ISNUMBER(B281)),"Check hire date: not a date",IF(Calc!$AI281="","No milestones left to order",IF(F281&lt;Setup!$C$5,"PAST DUE: milestone date has passed",IF(G281&lt;Setup!$C$5,"LATE: order today, ask about rush",IF(G281&lt;Setup!$C$5+14,"Order within 2 weeks","Scheduled"))))))</f>
        <v/>
      </c>
    </row>
    <row r="282" spans="1:8" x14ac:dyDescent="0.2">
      <c r="A282" s="9"/>
      <c r="B282" s="11"/>
      <c r="C282" s="9"/>
      <c r="D282" s="12"/>
      <c r="E282" s="19" t="str">
        <f>IF(Calc!$AI282="","",INDEX(Setup!$C$20:$C$34,Calc!$AI282))</f>
        <v/>
      </c>
      <c r="F282" s="20" t="str">
        <f>IF(Calc!$AI282="","",INDEX(Calc!$B282:$P282,1,Calc!$AI282))</f>
        <v/>
      </c>
      <c r="G282" s="20" t="str">
        <f>IF(Calc!$AI282="","",INT(Calc!$AH282))</f>
        <v/>
      </c>
      <c r="H282" s="21" t="str">
        <f>IF(AND(A282="",B282=""),"",IF(NOT(ISNUMBER(B282)),"Check hire date: not a date",IF(Calc!$AI282="","No milestones left to order",IF(F282&lt;Setup!$C$5,"PAST DUE: milestone date has passed",IF(G282&lt;Setup!$C$5,"LATE: order today, ask about rush",IF(G282&lt;Setup!$C$5+14,"Order within 2 weeks","Scheduled"))))))</f>
        <v/>
      </c>
    </row>
    <row r="283" spans="1:8" x14ac:dyDescent="0.2">
      <c r="A283" s="9"/>
      <c r="B283" s="11"/>
      <c r="C283" s="9"/>
      <c r="D283" s="12"/>
      <c r="E283" s="19" t="str">
        <f>IF(Calc!$AI283="","",INDEX(Setup!$C$20:$C$34,Calc!$AI283))</f>
        <v/>
      </c>
      <c r="F283" s="20" t="str">
        <f>IF(Calc!$AI283="","",INDEX(Calc!$B283:$P283,1,Calc!$AI283))</f>
        <v/>
      </c>
      <c r="G283" s="20" t="str">
        <f>IF(Calc!$AI283="","",INT(Calc!$AH283))</f>
        <v/>
      </c>
      <c r="H283" s="21" t="str">
        <f>IF(AND(A283="",B283=""),"",IF(NOT(ISNUMBER(B283)),"Check hire date: not a date",IF(Calc!$AI283="","No milestones left to order",IF(F283&lt;Setup!$C$5,"PAST DUE: milestone date has passed",IF(G283&lt;Setup!$C$5,"LATE: order today, ask about rush",IF(G283&lt;Setup!$C$5+14,"Order within 2 weeks","Scheduled"))))))</f>
        <v/>
      </c>
    </row>
    <row r="284" spans="1:8" x14ac:dyDescent="0.2">
      <c r="A284" s="9"/>
      <c r="B284" s="11"/>
      <c r="C284" s="9"/>
      <c r="D284" s="12"/>
      <c r="E284" s="19" t="str">
        <f>IF(Calc!$AI284="","",INDEX(Setup!$C$20:$C$34,Calc!$AI284))</f>
        <v/>
      </c>
      <c r="F284" s="20" t="str">
        <f>IF(Calc!$AI284="","",INDEX(Calc!$B284:$P284,1,Calc!$AI284))</f>
        <v/>
      </c>
      <c r="G284" s="20" t="str">
        <f>IF(Calc!$AI284="","",INT(Calc!$AH284))</f>
        <v/>
      </c>
      <c r="H284" s="21" t="str">
        <f>IF(AND(A284="",B284=""),"",IF(NOT(ISNUMBER(B284)),"Check hire date: not a date",IF(Calc!$AI284="","No milestones left to order",IF(F284&lt;Setup!$C$5,"PAST DUE: milestone date has passed",IF(G284&lt;Setup!$C$5,"LATE: order today, ask about rush",IF(G284&lt;Setup!$C$5+14,"Order within 2 weeks","Scheduled"))))))</f>
        <v/>
      </c>
    </row>
    <row r="285" spans="1:8" x14ac:dyDescent="0.2">
      <c r="A285" s="9"/>
      <c r="B285" s="11"/>
      <c r="C285" s="9"/>
      <c r="D285" s="12"/>
      <c r="E285" s="19" t="str">
        <f>IF(Calc!$AI285="","",INDEX(Setup!$C$20:$C$34,Calc!$AI285))</f>
        <v/>
      </c>
      <c r="F285" s="20" t="str">
        <f>IF(Calc!$AI285="","",INDEX(Calc!$B285:$P285,1,Calc!$AI285))</f>
        <v/>
      </c>
      <c r="G285" s="20" t="str">
        <f>IF(Calc!$AI285="","",INT(Calc!$AH285))</f>
        <v/>
      </c>
      <c r="H285" s="21" t="str">
        <f>IF(AND(A285="",B285=""),"",IF(NOT(ISNUMBER(B285)),"Check hire date: not a date",IF(Calc!$AI285="","No milestones left to order",IF(F285&lt;Setup!$C$5,"PAST DUE: milestone date has passed",IF(G285&lt;Setup!$C$5,"LATE: order today, ask about rush",IF(G285&lt;Setup!$C$5+14,"Order within 2 weeks","Scheduled"))))))</f>
        <v/>
      </c>
    </row>
    <row r="286" spans="1:8" x14ac:dyDescent="0.2">
      <c r="A286" s="9"/>
      <c r="B286" s="11"/>
      <c r="C286" s="9"/>
      <c r="D286" s="12"/>
      <c r="E286" s="19" t="str">
        <f>IF(Calc!$AI286="","",INDEX(Setup!$C$20:$C$34,Calc!$AI286))</f>
        <v/>
      </c>
      <c r="F286" s="20" t="str">
        <f>IF(Calc!$AI286="","",INDEX(Calc!$B286:$P286,1,Calc!$AI286))</f>
        <v/>
      </c>
      <c r="G286" s="20" t="str">
        <f>IF(Calc!$AI286="","",INT(Calc!$AH286))</f>
        <v/>
      </c>
      <c r="H286" s="21" t="str">
        <f>IF(AND(A286="",B286=""),"",IF(NOT(ISNUMBER(B286)),"Check hire date: not a date",IF(Calc!$AI286="","No milestones left to order",IF(F286&lt;Setup!$C$5,"PAST DUE: milestone date has passed",IF(G286&lt;Setup!$C$5,"LATE: order today, ask about rush",IF(G286&lt;Setup!$C$5+14,"Order within 2 weeks","Scheduled"))))))</f>
        <v/>
      </c>
    </row>
    <row r="287" spans="1:8" x14ac:dyDescent="0.2">
      <c r="A287" s="9"/>
      <c r="B287" s="11"/>
      <c r="C287" s="9"/>
      <c r="D287" s="12"/>
      <c r="E287" s="19" t="str">
        <f>IF(Calc!$AI287="","",INDEX(Setup!$C$20:$C$34,Calc!$AI287))</f>
        <v/>
      </c>
      <c r="F287" s="20" t="str">
        <f>IF(Calc!$AI287="","",INDEX(Calc!$B287:$P287,1,Calc!$AI287))</f>
        <v/>
      </c>
      <c r="G287" s="20" t="str">
        <f>IF(Calc!$AI287="","",INT(Calc!$AH287))</f>
        <v/>
      </c>
      <c r="H287" s="21" t="str">
        <f>IF(AND(A287="",B287=""),"",IF(NOT(ISNUMBER(B287)),"Check hire date: not a date",IF(Calc!$AI287="","No milestones left to order",IF(F287&lt;Setup!$C$5,"PAST DUE: milestone date has passed",IF(G287&lt;Setup!$C$5,"LATE: order today, ask about rush",IF(G287&lt;Setup!$C$5+14,"Order within 2 weeks","Scheduled"))))))</f>
        <v/>
      </c>
    </row>
    <row r="288" spans="1:8" x14ac:dyDescent="0.2">
      <c r="A288" s="9"/>
      <c r="B288" s="11"/>
      <c r="C288" s="9"/>
      <c r="D288" s="12"/>
      <c r="E288" s="19" t="str">
        <f>IF(Calc!$AI288="","",INDEX(Setup!$C$20:$C$34,Calc!$AI288))</f>
        <v/>
      </c>
      <c r="F288" s="20" t="str">
        <f>IF(Calc!$AI288="","",INDEX(Calc!$B288:$P288,1,Calc!$AI288))</f>
        <v/>
      </c>
      <c r="G288" s="20" t="str">
        <f>IF(Calc!$AI288="","",INT(Calc!$AH288))</f>
        <v/>
      </c>
      <c r="H288" s="21" t="str">
        <f>IF(AND(A288="",B288=""),"",IF(NOT(ISNUMBER(B288)),"Check hire date: not a date",IF(Calc!$AI288="","No milestones left to order",IF(F288&lt;Setup!$C$5,"PAST DUE: milestone date has passed",IF(G288&lt;Setup!$C$5,"LATE: order today, ask about rush",IF(G288&lt;Setup!$C$5+14,"Order within 2 weeks","Scheduled"))))))</f>
        <v/>
      </c>
    </row>
    <row r="289" spans="1:8" x14ac:dyDescent="0.2">
      <c r="A289" s="9"/>
      <c r="B289" s="11"/>
      <c r="C289" s="9"/>
      <c r="D289" s="12"/>
      <c r="E289" s="19" t="str">
        <f>IF(Calc!$AI289="","",INDEX(Setup!$C$20:$C$34,Calc!$AI289))</f>
        <v/>
      </c>
      <c r="F289" s="20" t="str">
        <f>IF(Calc!$AI289="","",INDEX(Calc!$B289:$P289,1,Calc!$AI289))</f>
        <v/>
      </c>
      <c r="G289" s="20" t="str">
        <f>IF(Calc!$AI289="","",INT(Calc!$AH289))</f>
        <v/>
      </c>
      <c r="H289" s="21" t="str">
        <f>IF(AND(A289="",B289=""),"",IF(NOT(ISNUMBER(B289)),"Check hire date: not a date",IF(Calc!$AI289="","No milestones left to order",IF(F289&lt;Setup!$C$5,"PAST DUE: milestone date has passed",IF(G289&lt;Setup!$C$5,"LATE: order today, ask about rush",IF(G289&lt;Setup!$C$5+14,"Order within 2 weeks","Scheduled"))))))</f>
        <v/>
      </c>
    </row>
    <row r="290" spans="1:8" x14ac:dyDescent="0.2">
      <c r="A290" s="9"/>
      <c r="B290" s="11"/>
      <c r="C290" s="9"/>
      <c r="D290" s="12"/>
      <c r="E290" s="19" t="str">
        <f>IF(Calc!$AI290="","",INDEX(Setup!$C$20:$C$34,Calc!$AI290))</f>
        <v/>
      </c>
      <c r="F290" s="20" t="str">
        <f>IF(Calc!$AI290="","",INDEX(Calc!$B290:$P290,1,Calc!$AI290))</f>
        <v/>
      </c>
      <c r="G290" s="20" t="str">
        <f>IF(Calc!$AI290="","",INT(Calc!$AH290))</f>
        <v/>
      </c>
      <c r="H290" s="21" t="str">
        <f>IF(AND(A290="",B290=""),"",IF(NOT(ISNUMBER(B290)),"Check hire date: not a date",IF(Calc!$AI290="","No milestones left to order",IF(F290&lt;Setup!$C$5,"PAST DUE: milestone date has passed",IF(G290&lt;Setup!$C$5,"LATE: order today, ask about rush",IF(G290&lt;Setup!$C$5+14,"Order within 2 weeks","Scheduled"))))))</f>
        <v/>
      </c>
    </row>
    <row r="291" spans="1:8" x14ac:dyDescent="0.2">
      <c r="A291" s="9"/>
      <c r="B291" s="11"/>
      <c r="C291" s="9"/>
      <c r="D291" s="12"/>
      <c r="E291" s="19" t="str">
        <f>IF(Calc!$AI291="","",INDEX(Setup!$C$20:$C$34,Calc!$AI291))</f>
        <v/>
      </c>
      <c r="F291" s="20" t="str">
        <f>IF(Calc!$AI291="","",INDEX(Calc!$B291:$P291,1,Calc!$AI291))</f>
        <v/>
      </c>
      <c r="G291" s="20" t="str">
        <f>IF(Calc!$AI291="","",INT(Calc!$AH291))</f>
        <v/>
      </c>
      <c r="H291" s="21" t="str">
        <f>IF(AND(A291="",B291=""),"",IF(NOT(ISNUMBER(B291)),"Check hire date: not a date",IF(Calc!$AI291="","No milestones left to order",IF(F291&lt;Setup!$C$5,"PAST DUE: milestone date has passed",IF(G291&lt;Setup!$C$5,"LATE: order today, ask about rush",IF(G291&lt;Setup!$C$5+14,"Order within 2 weeks","Scheduled"))))))</f>
        <v/>
      </c>
    </row>
    <row r="292" spans="1:8" x14ac:dyDescent="0.2">
      <c r="A292" s="9"/>
      <c r="B292" s="11"/>
      <c r="C292" s="9"/>
      <c r="D292" s="12"/>
      <c r="E292" s="19" t="str">
        <f>IF(Calc!$AI292="","",INDEX(Setup!$C$20:$C$34,Calc!$AI292))</f>
        <v/>
      </c>
      <c r="F292" s="20" t="str">
        <f>IF(Calc!$AI292="","",INDEX(Calc!$B292:$P292,1,Calc!$AI292))</f>
        <v/>
      </c>
      <c r="G292" s="20" t="str">
        <f>IF(Calc!$AI292="","",INT(Calc!$AH292))</f>
        <v/>
      </c>
      <c r="H292" s="21" t="str">
        <f>IF(AND(A292="",B292=""),"",IF(NOT(ISNUMBER(B292)),"Check hire date: not a date",IF(Calc!$AI292="","No milestones left to order",IF(F292&lt;Setup!$C$5,"PAST DUE: milestone date has passed",IF(G292&lt;Setup!$C$5,"LATE: order today, ask about rush",IF(G292&lt;Setup!$C$5+14,"Order within 2 weeks","Scheduled"))))))</f>
        <v/>
      </c>
    </row>
    <row r="293" spans="1:8" x14ac:dyDescent="0.2">
      <c r="A293" s="9"/>
      <c r="B293" s="11"/>
      <c r="C293" s="9"/>
      <c r="D293" s="12"/>
      <c r="E293" s="19" t="str">
        <f>IF(Calc!$AI293="","",INDEX(Setup!$C$20:$C$34,Calc!$AI293))</f>
        <v/>
      </c>
      <c r="F293" s="20" t="str">
        <f>IF(Calc!$AI293="","",INDEX(Calc!$B293:$P293,1,Calc!$AI293))</f>
        <v/>
      </c>
      <c r="G293" s="20" t="str">
        <f>IF(Calc!$AI293="","",INT(Calc!$AH293))</f>
        <v/>
      </c>
      <c r="H293" s="21" t="str">
        <f>IF(AND(A293="",B293=""),"",IF(NOT(ISNUMBER(B293)),"Check hire date: not a date",IF(Calc!$AI293="","No milestones left to order",IF(F293&lt;Setup!$C$5,"PAST DUE: milestone date has passed",IF(G293&lt;Setup!$C$5,"LATE: order today, ask about rush",IF(G293&lt;Setup!$C$5+14,"Order within 2 weeks","Scheduled"))))))</f>
        <v/>
      </c>
    </row>
    <row r="294" spans="1:8" x14ac:dyDescent="0.2">
      <c r="A294" s="9"/>
      <c r="B294" s="11"/>
      <c r="C294" s="9"/>
      <c r="D294" s="12"/>
      <c r="E294" s="19" t="str">
        <f>IF(Calc!$AI294="","",INDEX(Setup!$C$20:$C$34,Calc!$AI294))</f>
        <v/>
      </c>
      <c r="F294" s="20" t="str">
        <f>IF(Calc!$AI294="","",INDEX(Calc!$B294:$P294,1,Calc!$AI294))</f>
        <v/>
      </c>
      <c r="G294" s="20" t="str">
        <f>IF(Calc!$AI294="","",INT(Calc!$AH294))</f>
        <v/>
      </c>
      <c r="H294" s="21" t="str">
        <f>IF(AND(A294="",B294=""),"",IF(NOT(ISNUMBER(B294)),"Check hire date: not a date",IF(Calc!$AI294="","No milestones left to order",IF(F294&lt;Setup!$C$5,"PAST DUE: milestone date has passed",IF(G294&lt;Setup!$C$5,"LATE: order today, ask about rush",IF(G294&lt;Setup!$C$5+14,"Order within 2 weeks","Scheduled"))))))</f>
        <v/>
      </c>
    </row>
    <row r="295" spans="1:8" x14ac:dyDescent="0.2">
      <c r="A295" s="9"/>
      <c r="B295" s="11"/>
      <c r="C295" s="9"/>
      <c r="D295" s="12"/>
      <c r="E295" s="19" t="str">
        <f>IF(Calc!$AI295="","",INDEX(Setup!$C$20:$C$34,Calc!$AI295))</f>
        <v/>
      </c>
      <c r="F295" s="20" t="str">
        <f>IF(Calc!$AI295="","",INDEX(Calc!$B295:$P295,1,Calc!$AI295))</f>
        <v/>
      </c>
      <c r="G295" s="20" t="str">
        <f>IF(Calc!$AI295="","",INT(Calc!$AH295))</f>
        <v/>
      </c>
      <c r="H295" s="21" t="str">
        <f>IF(AND(A295="",B295=""),"",IF(NOT(ISNUMBER(B295)),"Check hire date: not a date",IF(Calc!$AI295="","No milestones left to order",IF(F295&lt;Setup!$C$5,"PAST DUE: milestone date has passed",IF(G295&lt;Setup!$C$5,"LATE: order today, ask about rush",IF(G295&lt;Setup!$C$5+14,"Order within 2 weeks","Scheduled"))))))</f>
        <v/>
      </c>
    </row>
    <row r="296" spans="1:8" x14ac:dyDescent="0.2">
      <c r="A296" s="9"/>
      <c r="B296" s="11"/>
      <c r="C296" s="9"/>
      <c r="D296" s="12"/>
      <c r="E296" s="19" t="str">
        <f>IF(Calc!$AI296="","",INDEX(Setup!$C$20:$C$34,Calc!$AI296))</f>
        <v/>
      </c>
      <c r="F296" s="20" t="str">
        <f>IF(Calc!$AI296="","",INDEX(Calc!$B296:$P296,1,Calc!$AI296))</f>
        <v/>
      </c>
      <c r="G296" s="20" t="str">
        <f>IF(Calc!$AI296="","",INT(Calc!$AH296))</f>
        <v/>
      </c>
      <c r="H296" s="21" t="str">
        <f>IF(AND(A296="",B296=""),"",IF(NOT(ISNUMBER(B296)),"Check hire date: not a date",IF(Calc!$AI296="","No milestones left to order",IF(F296&lt;Setup!$C$5,"PAST DUE: milestone date has passed",IF(G296&lt;Setup!$C$5,"LATE: order today, ask about rush",IF(G296&lt;Setup!$C$5+14,"Order within 2 weeks","Scheduled"))))))</f>
        <v/>
      </c>
    </row>
    <row r="297" spans="1:8" x14ac:dyDescent="0.2">
      <c r="A297" s="9"/>
      <c r="B297" s="11"/>
      <c r="C297" s="9"/>
      <c r="D297" s="12"/>
      <c r="E297" s="19" t="str">
        <f>IF(Calc!$AI297="","",INDEX(Setup!$C$20:$C$34,Calc!$AI297))</f>
        <v/>
      </c>
      <c r="F297" s="20" t="str">
        <f>IF(Calc!$AI297="","",INDEX(Calc!$B297:$P297,1,Calc!$AI297))</f>
        <v/>
      </c>
      <c r="G297" s="20" t="str">
        <f>IF(Calc!$AI297="","",INT(Calc!$AH297))</f>
        <v/>
      </c>
      <c r="H297" s="21" t="str">
        <f>IF(AND(A297="",B297=""),"",IF(NOT(ISNUMBER(B297)),"Check hire date: not a date",IF(Calc!$AI297="","No milestones left to order",IF(F297&lt;Setup!$C$5,"PAST DUE: milestone date has passed",IF(G297&lt;Setup!$C$5,"LATE: order today, ask about rush",IF(G297&lt;Setup!$C$5+14,"Order within 2 weeks","Scheduled"))))))</f>
        <v/>
      </c>
    </row>
    <row r="298" spans="1:8" x14ac:dyDescent="0.2">
      <c r="A298" s="9"/>
      <c r="B298" s="11"/>
      <c r="C298" s="9"/>
      <c r="D298" s="12"/>
      <c r="E298" s="19" t="str">
        <f>IF(Calc!$AI298="","",INDEX(Setup!$C$20:$C$34,Calc!$AI298))</f>
        <v/>
      </c>
      <c r="F298" s="20" t="str">
        <f>IF(Calc!$AI298="","",INDEX(Calc!$B298:$P298,1,Calc!$AI298))</f>
        <v/>
      </c>
      <c r="G298" s="20" t="str">
        <f>IF(Calc!$AI298="","",INT(Calc!$AH298))</f>
        <v/>
      </c>
      <c r="H298" s="21" t="str">
        <f>IF(AND(A298="",B298=""),"",IF(NOT(ISNUMBER(B298)),"Check hire date: not a date",IF(Calc!$AI298="","No milestones left to order",IF(F298&lt;Setup!$C$5,"PAST DUE: milestone date has passed",IF(G298&lt;Setup!$C$5,"LATE: order today, ask about rush",IF(G298&lt;Setup!$C$5+14,"Order within 2 weeks","Scheduled"))))))</f>
        <v/>
      </c>
    </row>
    <row r="299" spans="1:8" x14ac:dyDescent="0.2">
      <c r="A299" s="9"/>
      <c r="B299" s="11"/>
      <c r="C299" s="9"/>
      <c r="D299" s="12"/>
      <c r="E299" s="19" t="str">
        <f>IF(Calc!$AI299="","",INDEX(Setup!$C$20:$C$34,Calc!$AI299))</f>
        <v/>
      </c>
      <c r="F299" s="20" t="str">
        <f>IF(Calc!$AI299="","",INDEX(Calc!$B299:$P299,1,Calc!$AI299))</f>
        <v/>
      </c>
      <c r="G299" s="20" t="str">
        <f>IF(Calc!$AI299="","",INT(Calc!$AH299))</f>
        <v/>
      </c>
      <c r="H299" s="21" t="str">
        <f>IF(AND(A299="",B299=""),"",IF(NOT(ISNUMBER(B299)),"Check hire date: not a date",IF(Calc!$AI299="","No milestones left to order",IF(F299&lt;Setup!$C$5,"PAST DUE: milestone date has passed",IF(G299&lt;Setup!$C$5,"LATE: order today, ask about rush",IF(G299&lt;Setup!$C$5+14,"Order within 2 weeks","Scheduled"))))))</f>
        <v/>
      </c>
    </row>
    <row r="300" spans="1:8" x14ac:dyDescent="0.2">
      <c r="A300" s="9"/>
      <c r="B300" s="11"/>
      <c r="C300" s="9"/>
      <c r="D300" s="12"/>
      <c r="E300" s="19" t="str">
        <f>IF(Calc!$AI300="","",INDEX(Setup!$C$20:$C$34,Calc!$AI300))</f>
        <v/>
      </c>
      <c r="F300" s="20" t="str">
        <f>IF(Calc!$AI300="","",INDEX(Calc!$B300:$P300,1,Calc!$AI300))</f>
        <v/>
      </c>
      <c r="G300" s="20" t="str">
        <f>IF(Calc!$AI300="","",INT(Calc!$AH300))</f>
        <v/>
      </c>
      <c r="H300" s="21" t="str">
        <f>IF(AND(A300="",B300=""),"",IF(NOT(ISNUMBER(B300)),"Check hire date: not a date",IF(Calc!$AI300="","No milestones left to order",IF(F300&lt;Setup!$C$5,"PAST DUE: milestone date has passed",IF(G300&lt;Setup!$C$5,"LATE: order today, ask about rush",IF(G300&lt;Setup!$C$5+14,"Order within 2 weeks","Scheduled"))))))</f>
        <v/>
      </c>
    </row>
    <row r="301" spans="1:8" x14ac:dyDescent="0.2">
      <c r="A301" s="9"/>
      <c r="B301" s="11"/>
      <c r="C301" s="9"/>
      <c r="D301" s="12"/>
      <c r="E301" s="19" t="str">
        <f>IF(Calc!$AI301="","",INDEX(Setup!$C$20:$C$34,Calc!$AI301))</f>
        <v/>
      </c>
      <c r="F301" s="20" t="str">
        <f>IF(Calc!$AI301="","",INDEX(Calc!$B301:$P301,1,Calc!$AI301))</f>
        <v/>
      </c>
      <c r="G301" s="20" t="str">
        <f>IF(Calc!$AI301="","",INT(Calc!$AH301))</f>
        <v/>
      </c>
      <c r="H301" s="21" t="str">
        <f>IF(AND(A301="",B301=""),"",IF(NOT(ISNUMBER(B301)),"Check hire date: not a date",IF(Calc!$AI301="","No milestones left to order",IF(F301&lt;Setup!$C$5,"PAST DUE: milestone date has passed",IF(G301&lt;Setup!$C$5,"LATE: order today, ask about rush",IF(G301&lt;Setup!$C$5+14,"Order within 2 weeks","Scheduled"))))))</f>
        <v/>
      </c>
    </row>
    <row r="302" spans="1:8" x14ac:dyDescent="0.2">
      <c r="A302" s="9"/>
      <c r="B302" s="11"/>
      <c r="C302" s="9"/>
      <c r="D302" s="12"/>
      <c r="E302" s="19" t="str">
        <f>IF(Calc!$AI302="","",INDEX(Setup!$C$20:$C$34,Calc!$AI302))</f>
        <v/>
      </c>
      <c r="F302" s="20" t="str">
        <f>IF(Calc!$AI302="","",INDEX(Calc!$B302:$P302,1,Calc!$AI302))</f>
        <v/>
      </c>
      <c r="G302" s="20" t="str">
        <f>IF(Calc!$AI302="","",INT(Calc!$AH302))</f>
        <v/>
      </c>
      <c r="H302" s="21" t="str">
        <f>IF(AND(A302="",B302=""),"",IF(NOT(ISNUMBER(B302)),"Check hire date: not a date",IF(Calc!$AI302="","No milestones left to order",IF(F302&lt;Setup!$C$5,"PAST DUE: milestone date has passed",IF(G302&lt;Setup!$C$5,"LATE: order today, ask about rush",IF(G302&lt;Setup!$C$5+14,"Order within 2 weeks","Scheduled"))))))</f>
        <v/>
      </c>
    </row>
    <row r="303" spans="1:8" x14ac:dyDescent="0.2">
      <c r="A303" s="9"/>
      <c r="B303" s="11"/>
      <c r="C303" s="9"/>
      <c r="D303" s="12"/>
      <c r="E303" s="19" t="str">
        <f>IF(Calc!$AI303="","",INDEX(Setup!$C$20:$C$34,Calc!$AI303))</f>
        <v/>
      </c>
      <c r="F303" s="20" t="str">
        <f>IF(Calc!$AI303="","",INDEX(Calc!$B303:$P303,1,Calc!$AI303))</f>
        <v/>
      </c>
      <c r="G303" s="20" t="str">
        <f>IF(Calc!$AI303="","",INT(Calc!$AH303))</f>
        <v/>
      </c>
      <c r="H303" s="21" t="str">
        <f>IF(AND(A303="",B303=""),"",IF(NOT(ISNUMBER(B303)),"Check hire date: not a date",IF(Calc!$AI303="","No milestones left to order",IF(F303&lt;Setup!$C$5,"PAST DUE: milestone date has passed",IF(G303&lt;Setup!$C$5,"LATE: order today, ask about rush",IF(G303&lt;Setup!$C$5+14,"Order within 2 weeks","Scheduled"))))))</f>
        <v/>
      </c>
    </row>
    <row r="304" spans="1:8" x14ac:dyDescent="0.2">
      <c r="A304" s="9"/>
      <c r="B304" s="11"/>
      <c r="C304" s="9"/>
      <c r="D304" s="12"/>
      <c r="E304" s="19" t="str">
        <f>IF(Calc!$AI304="","",INDEX(Setup!$C$20:$C$34,Calc!$AI304))</f>
        <v/>
      </c>
      <c r="F304" s="20" t="str">
        <f>IF(Calc!$AI304="","",INDEX(Calc!$B304:$P304,1,Calc!$AI304))</f>
        <v/>
      </c>
      <c r="G304" s="20" t="str">
        <f>IF(Calc!$AI304="","",INT(Calc!$AH304))</f>
        <v/>
      </c>
      <c r="H304" s="21" t="str">
        <f>IF(AND(A304="",B304=""),"",IF(NOT(ISNUMBER(B304)),"Check hire date: not a date",IF(Calc!$AI304="","No milestones left to order",IF(F304&lt;Setup!$C$5,"PAST DUE: milestone date has passed",IF(G304&lt;Setup!$C$5,"LATE: order today, ask about rush",IF(G304&lt;Setup!$C$5+14,"Order within 2 weeks","Scheduled"))))))</f>
        <v/>
      </c>
    </row>
    <row r="305" spans="1:8" x14ac:dyDescent="0.2">
      <c r="A305" s="9"/>
      <c r="B305" s="11"/>
      <c r="C305" s="9"/>
      <c r="D305" s="12"/>
      <c r="E305" s="19" t="str">
        <f>IF(Calc!$AI305="","",INDEX(Setup!$C$20:$C$34,Calc!$AI305))</f>
        <v/>
      </c>
      <c r="F305" s="20" t="str">
        <f>IF(Calc!$AI305="","",INDEX(Calc!$B305:$P305,1,Calc!$AI305))</f>
        <v/>
      </c>
      <c r="G305" s="20" t="str">
        <f>IF(Calc!$AI305="","",INT(Calc!$AH305))</f>
        <v/>
      </c>
      <c r="H305" s="21" t="str">
        <f>IF(AND(A305="",B305=""),"",IF(NOT(ISNUMBER(B305)),"Check hire date: not a date",IF(Calc!$AI305="","No milestones left to order",IF(F305&lt;Setup!$C$5,"PAST DUE: milestone date has passed",IF(G305&lt;Setup!$C$5,"LATE: order today, ask about rush",IF(G305&lt;Setup!$C$5+14,"Order within 2 weeks","Scheduled"))))))</f>
        <v/>
      </c>
    </row>
    <row r="306" spans="1:8" x14ac:dyDescent="0.2">
      <c r="A306" s="9"/>
      <c r="B306" s="11"/>
      <c r="C306" s="9"/>
      <c r="D306" s="12"/>
      <c r="E306" s="19" t="str">
        <f>IF(Calc!$AI306="","",INDEX(Setup!$C$20:$C$34,Calc!$AI306))</f>
        <v/>
      </c>
      <c r="F306" s="20" t="str">
        <f>IF(Calc!$AI306="","",INDEX(Calc!$B306:$P306,1,Calc!$AI306))</f>
        <v/>
      </c>
      <c r="G306" s="20" t="str">
        <f>IF(Calc!$AI306="","",INT(Calc!$AH306))</f>
        <v/>
      </c>
      <c r="H306" s="21" t="str">
        <f>IF(AND(A306="",B306=""),"",IF(NOT(ISNUMBER(B306)),"Check hire date: not a date",IF(Calc!$AI306="","No milestones left to order",IF(F306&lt;Setup!$C$5,"PAST DUE: milestone date has passed",IF(G306&lt;Setup!$C$5,"LATE: order today, ask about rush",IF(G306&lt;Setup!$C$5+14,"Order within 2 weeks","Scheduled"))))))</f>
        <v/>
      </c>
    </row>
    <row r="307" spans="1:8" x14ac:dyDescent="0.2">
      <c r="A307" s="9"/>
      <c r="B307" s="11"/>
      <c r="C307" s="9"/>
      <c r="D307" s="12"/>
      <c r="E307" s="19" t="str">
        <f>IF(Calc!$AI307="","",INDEX(Setup!$C$20:$C$34,Calc!$AI307))</f>
        <v/>
      </c>
      <c r="F307" s="20" t="str">
        <f>IF(Calc!$AI307="","",INDEX(Calc!$B307:$P307,1,Calc!$AI307))</f>
        <v/>
      </c>
      <c r="G307" s="20" t="str">
        <f>IF(Calc!$AI307="","",INT(Calc!$AH307))</f>
        <v/>
      </c>
      <c r="H307" s="21" t="str">
        <f>IF(AND(A307="",B307=""),"",IF(NOT(ISNUMBER(B307)),"Check hire date: not a date",IF(Calc!$AI307="","No milestones left to order",IF(F307&lt;Setup!$C$5,"PAST DUE: milestone date has passed",IF(G307&lt;Setup!$C$5,"LATE: order today, ask about rush",IF(G307&lt;Setup!$C$5+14,"Order within 2 weeks","Scheduled"))))))</f>
        <v/>
      </c>
    </row>
    <row r="308" spans="1:8" x14ac:dyDescent="0.2">
      <c r="A308" s="9"/>
      <c r="B308" s="11"/>
      <c r="C308" s="9"/>
      <c r="D308" s="12"/>
      <c r="E308" s="19" t="str">
        <f>IF(Calc!$AI308="","",INDEX(Setup!$C$20:$C$34,Calc!$AI308))</f>
        <v/>
      </c>
      <c r="F308" s="20" t="str">
        <f>IF(Calc!$AI308="","",INDEX(Calc!$B308:$P308,1,Calc!$AI308))</f>
        <v/>
      </c>
      <c r="G308" s="20" t="str">
        <f>IF(Calc!$AI308="","",INT(Calc!$AH308))</f>
        <v/>
      </c>
      <c r="H308" s="21" t="str">
        <f>IF(AND(A308="",B308=""),"",IF(NOT(ISNUMBER(B308)),"Check hire date: not a date",IF(Calc!$AI308="","No milestones left to order",IF(F308&lt;Setup!$C$5,"PAST DUE: milestone date has passed",IF(G308&lt;Setup!$C$5,"LATE: order today, ask about rush",IF(G308&lt;Setup!$C$5+14,"Order within 2 weeks","Scheduled"))))))</f>
        <v/>
      </c>
    </row>
    <row r="309" spans="1:8" x14ac:dyDescent="0.2">
      <c r="A309" s="9"/>
      <c r="B309" s="11"/>
      <c r="C309" s="9"/>
      <c r="D309" s="12"/>
      <c r="E309" s="19" t="str">
        <f>IF(Calc!$AI309="","",INDEX(Setup!$C$20:$C$34,Calc!$AI309))</f>
        <v/>
      </c>
      <c r="F309" s="20" t="str">
        <f>IF(Calc!$AI309="","",INDEX(Calc!$B309:$P309,1,Calc!$AI309))</f>
        <v/>
      </c>
      <c r="G309" s="20" t="str">
        <f>IF(Calc!$AI309="","",INT(Calc!$AH309))</f>
        <v/>
      </c>
      <c r="H309" s="21" t="str">
        <f>IF(AND(A309="",B309=""),"",IF(NOT(ISNUMBER(B309)),"Check hire date: not a date",IF(Calc!$AI309="","No milestones left to order",IF(F309&lt;Setup!$C$5,"PAST DUE: milestone date has passed",IF(G309&lt;Setup!$C$5,"LATE: order today, ask about rush",IF(G309&lt;Setup!$C$5+14,"Order within 2 weeks","Scheduled"))))))</f>
        <v/>
      </c>
    </row>
    <row r="310" spans="1:8" x14ac:dyDescent="0.2">
      <c r="A310" s="9"/>
      <c r="B310" s="11"/>
      <c r="C310" s="9"/>
      <c r="D310" s="12"/>
      <c r="E310" s="19" t="str">
        <f>IF(Calc!$AI310="","",INDEX(Setup!$C$20:$C$34,Calc!$AI310))</f>
        <v/>
      </c>
      <c r="F310" s="20" t="str">
        <f>IF(Calc!$AI310="","",INDEX(Calc!$B310:$P310,1,Calc!$AI310))</f>
        <v/>
      </c>
      <c r="G310" s="20" t="str">
        <f>IF(Calc!$AI310="","",INT(Calc!$AH310))</f>
        <v/>
      </c>
      <c r="H310" s="21" t="str">
        <f>IF(AND(A310="",B310=""),"",IF(NOT(ISNUMBER(B310)),"Check hire date: not a date",IF(Calc!$AI310="","No milestones left to order",IF(F310&lt;Setup!$C$5,"PAST DUE: milestone date has passed",IF(G310&lt;Setup!$C$5,"LATE: order today, ask about rush",IF(G310&lt;Setup!$C$5+14,"Order within 2 weeks","Scheduled"))))))</f>
        <v/>
      </c>
    </row>
    <row r="311" spans="1:8" x14ac:dyDescent="0.2">
      <c r="A311" s="9"/>
      <c r="B311" s="11"/>
      <c r="C311" s="9"/>
      <c r="D311" s="12"/>
      <c r="E311" s="19" t="str">
        <f>IF(Calc!$AI311="","",INDEX(Setup!$C$20:$C$34,Calc!$AI311))</f>
        <v/>
      </c>
      <c r="F311" s="20" t="str">
        <f>IF(Calc!$AI311="","",INDEX(Calc!$B311:$P311,1,Calc!$AI311))</f>
        <v/>
      </c>
      <c r="G311" s="20" t="str">
        <f>IF(Calc!$AI311="","",INT(Calc!$AH311))</f>
        <v/>
      </c>
      <c r="H311" s="21" t="str">
        <f>IF(AND(A311="",B311=""),"",IF(NOT(ISNUMBER(B311)),"Check hire date: not a date",IF(Calc!$AI311="","No milestones left to order",IF(F311&lt;Setup!$C$5,"PAST DUE: milestone date has passed",IF(G311&lt;Setup!$C$5,"LATE: order today, ask about rush",IF(G311&lt;Setup!$C$5+14,"Order within 2 weeks","Scheduled"))))))</f>
        <v/>
      </c>
    </row>
    <row r="312" spans="1:8" x14ac:dyDescent="0.2">
      <c r="A312" s="9"/>
      <c r="B312" s="11"/>
      <c r="C312" s="9"/>
      <c r="D312" s="12"/>
      <c r="E312" s="19" t="str">
        <f>IF(Calc!$AI312="","",INDEX(Setup!$C$20:$C$34,Calc!$AI312))</f>
        <v/>
      </c>
      <c r="F312" s="20" t="str">
        <f>IF(Calc!$AI312="","",INDEX(Calc!$B312:$P312,1,Calc!$AI312))</f>
        <v/>
      </c>
      <c r="G312" s="20" t="str">
        <f>IF(Calc!$AI312="","",INT(Calc!$AH312))</f>
        <v/>
      </c>
      <c r="H312" s="21" t="str">
        <f>IF(AND(A312="",B312=""),"",IF(NOT(ISNUMBER(B312)),"Check hire date: not a date",IF(Calc!$AI312="","No milestones left to order",IF(F312&lt;Setup!$C$5,"PAST DUE: milestone date has passed",IF(G312&lt;Setup!$C$5,"LATE: order today, ask about rush",IF(G312&lt;Setup!$C$5+14,"Order within 2 weeks","Scheduled"))))))</f>
        <v/>
      </c>
    </row>
    <row r="313" spans="1:8" x14ac:dyDescent="0.2">
      <c r="A313" s="9"/>
      <c r="B313" s="11"/>
      <c r="C313" s="9"/>
      <c r="D313" s="12"/>
      <c r="E313" s="19" t="str">
        <f>IF(Calc!$AI313="","",INDEX(Setup!$C$20:$C$34,Calc!$AI313))</f>
        <v/>
      </c>
      <c r="F313" s="20" t="str">
        <f>IF(Calc!$AI313="","",INDEX(Calc!$B313:$P313,1,Calc!$AI313))</f>
        <v/>
      </c>
      <c r="G313" s="20" t="str">
        <f>IF(Calc!$AI313="","",INT(Calc!$AH313))</f>
        <v/>
      </c>
      <c r="H313" s="21" t="str">
        <f>IF(AND(A313="",B313=""),"",IF(NOT(ISNUMBER(B313)),"Check hire date: not a date",IF(Calc!$AI313="","No milestones left to order",IF(F313&lt;Setup!$C$5,"PAST DUE: milestone date has passed",IF(G313&lt;Setup!$C$5,"LATE: order today, ask about rush",IF(G313&lt;Setup!$C$5+14,"Order within 2 weeks","Scheduled"))))))</f>
        <v/>
      </c>
    </row>
    <row r="314" spans="1:8" x14ac:dyDescent="0.2">
      <c r="A314" s="9"/>
      <c r="B314" s="11"/>
      <c r="C314" s="9"/>
      <c r="D314" s="12"/>
      <c r="E314" s="19" t="str">
        <f>IF(Calc!$AI314="","",INDEX(Setup!$C$20:$C$34,Calc!$AI314))</f>
        <v/>
      </c>
      <c r="F314" s="20" t="str">
        <f>IF(Calc!$AI314="","",INDEX(Calc!$B314:$P314,1,Calc!$AI314))</f>
        <v/>
      </c>
      <c r="G314" s="20" t="str">
        <f>IF(Calc!$AI314="","",INT(Calc!$AH314))</f>
        <v/>
      </c>
      <c r="H314" s="21" t="str">
        <f>IF(AND(A314="",B314=""),"",IF(NOT(ISNUMBER(B314)),"Check hire date: not a date",IF(Calc!$AI314="","No milestones left to order",IF(F314&lt;Setup!$C$5,"PAST DUE: milestone date has passed",IF(G314&lt;Setup!$C$5,"LATE: order today, ask about rush",IF(G314&lt;Setup!$C$5+14,"Order within 2 weeks","Scheduled"))))))</f>
        <v/>
      </c>
    </row>
    <row r="315" spans="1:8" x14ac:dyDescent="0.2">
      <c r="A315" s="9"/>
      <c r="B315" s="11"/>
      <c r="C315" s="9"/>
      <c r="D315" s="12"/>
      <c r="E315" s="19" t="str">
        <f>IF(Calc!$AI315="","",INDEX(Setup!$C$20:$C$34,Calc!$AI315))</f>
        <v/>
      </c>
      <c r="F315" s="20" t="str">
        <f>IF(Calc!$AI315="","",INDEX(Calc!$B315:$P315,1,Calc!$AI315))</f>
        <v/>
      </c>
      <c r="G315" s="20" t="str">
        <f>IF(Calc!$AI315="","",INT(Calc!$AH315))</f>
        <v/>
      </c>
      <c r="H315" s="21" t="str">
        <f>IF(AND(A315="",B315=""),"",IF(NOT(ISNUMBER(B315)),"Check hire date: not a date",IF(Calc!$AI315="","No milestones left to order",IF(F315&lt;Setup!$C$5,"PAST DUE: milestone date has passed",IF(G315&lt;Setup!$C$5,"LATE: order today, ask about rush",IF(G315&lt;Setup!$C$5+14,"Order within 2 weeks","Scheduled"))))))</f>
        <v/>
      </c>
    </row>
    <row r="316" spans="1:8" x14ac:dyDescent="0.2">
      <c r="A316" s="9"/>
      <c r="B316" s="11"/>
      <c r="C316" s="9"/>
      <c r="D316" s="12"/>
      <c r="E316" s="19" t="str">
        <f>IF(Calc!$AI316="","",INDEX(Setup!$C$20:$C$34,Calc!$AI316))</f>
        <v/>
      </c>
      <c r="F316" s="20" t="str">
        <f>IF(Calc!$AI316="","",INDEX(Calc!$B316:$P316,1,Calc!$AI316))</f>
        <v/>
      </c>
      <c r="G316" s="20" t="str">
        <f>IF(Calc!$AI316="","",INT(Calc!$AH316))</f>
        <v/>
      </c>
      <c r="H316" s="21" t="str">
        <f>IF(AND(A316="",B316=""),"",IF(NOT(ISNUMBER(B316)),"Check hire date: not a date",IF(Calc!$AI316="","No milestones left to order",IF(F316&lt;Setup!$C$5,"PAST DUE: milestone date has passed",IF(G316&lt;Setup!$C$5,"LATE: order today, ask about rush",IF(G316&lt;Setup!$C$5+14,"Order within 2 weeks","Scheduled"))))))</f>
        <v/>
      </c>
    </row>
    <row r="317" spans="1:8" x14ac:dyDescent="0.2">
      <c r="A317" s="9"/>
      <c r="B317" s="11"/>
      <c r="C317" s="9"/>
      <c r="D317" s="12"/>
      <c r="E317" s="19" t="str">
        <f>IF(Calc!$AI317="","",INDEX(Setup!$C$20:$C$34,Calc!$AI317))</f>
        <v/>
      </c>
      <c r="F317" s="20" t="str">
        <f>IF(Calc!$AI317="","",INDEX(Calc!$B317:$P317,1,Calc!$AI317))</f>
        <v/>
      </c>
      <c r="G317" s="20" t="str">
        <f>IF(Calc!$AI317="","",INT(Calc!$AH317))</f>
        <v/>
      </c>
      <c r="H317" s="21" t="str">
        <f>IF(AND(A317="",B317=""),"",IF(NOT(ISNUMBER(B317)),"Check hire date: not a date",IF(Calc!$AI317="","No milestones left to order",IF(F317&lt;Setup!$C$5,"PAST DUE: milestone date has passed",IF(G317&lt;Setup!$C$5,"LATE: order today, ask about rush",IF(G317&lt;Setup!$C$5+14,"Order within 2 weeks","Scheduled"))))))</f>
        <v/>
      </c>
    </row>
    <row r="318" spans="1:8" x14ac:dyDescent="0.2">
      <c r="A318" s="9"/>
      <c r="B318" s="11"/>
      <c r="C318" s="9"/>
      <c r="D318" s="12"/>
      <c r="E318" s="19" t="str">
        <f>IF(Calc!$AI318="","",INDEX(Setup!$C$20:$C$34,Calc!$AI318))</f>
        <v/>
      </c>
      <c r="F318" s="20" t="str">
        <f>IF(Calc!$AI318="","",INDEX(Calc!$B318:$P318,1,Calc!$AI318))</f>
        <v/>
      </c>
      <c r="G318" s="20" t="str">
        <f>IF(Calc!$AI318="","",INT(Calc!$AH318))</f>
        <v/>
      </c>
      <c r="H318" s="21" t="str">
        <f>IF(AND(A318="",B318=""),"",IF(NOT(ISNUMBER(B318)),"Check hire date: not a date",IF(Calc!$AI318="","No milestones left to order",IF(F318&lt;Setup!$C$5,"PAST DUE: milestone date has passed",IF(G318&lt;Setup!$C$5,"LATE: order today, ask about rush",IF(G318&lt;Setup!$C$5+14,"Order within 2 weeks","Scheduled"))))))</f>
        <v/>
      </c>
    </row>
    <row r="319" spans="1:8" x14ac:dyDescent="0.2">
      <c r="A319" s="9"/>
      <c r="B319" s="11"/>
      <c r="C319" s="9"/>
      <c r="D319" s="12"/>
      <c r="E319" s="19" t="str">
        <f>IF(Calc!$AI319="","",INDEX(Setup!$C$20:$C$34,Calc!$AI319))</f>
        <v/>
      </c>
      <c r="F319" s="20" t="str">
        <f>IF(Calc!$AI319="","",INDEX(Calc!$B319:$P319,1,Calc!$AI319))</f>
        <v/>
      </c>
      <c r="G319" s="20" t="str">
        <f>IF(Calc!$AI319="","",INT(Calc!$AH319))</f>
        <v/>
      </c>
      <c r="H319" s="21" t="str">
        <f>IF(AND(A319="",B319=""),"",IF(NOT(ISNUMBER(B319)),"Check hire date: not a date",IF(Calc!$AI319="","No milestones left to order",IF(F319&lt;Setup!$C$5,"PAST DUE: milestone date has passed",IF(G319&lt;Setup!$C$5,"LATE: order today, ask about rush",IF(G319&lt;Setup!$C$5+14,"Order within 2 weeks","Scheduled"))))))</f>
        <v/>
      </c>
    </row>
    <row r="320" spans="1:8" x14ac:dyDescent="0.2">
      <c r="A320" s="9"/>
      <c r="B320" s="11"/>
      <c r="C320" s="9"/>
      <c r="D320" s="12"/>
      <c r="E320" s="19" t="str">
        <f>IF(Calc!$AI320="","",INDEX(Setup!$C$20:$C$34,Calc!$AI320))</f>
        <v/>
      </c>
      <c r="F320" s="20" t="str">
        <f>IF(Calc!$AI320="","",INDEX(Calc!$B320:$P320,1,Calc!$AI320))</f>
        <v/>
      </c>
      <c r="G320" s="20" t="str">
        <f>IF(Calc!$AI320="","",INT(Calc!$AH320))</f>
        <v/>
      </c>
      <c r="H320" s="21" t="str">
        <f>IF(AND(A320="",B320=""),"",IF(NOT(ISNUMBER(B320)),"Check hire date: not a date",IF(Calc!$AI320="","No milestones left to order",IF(F320&lt;Setup!$C$5,"PAST DUE: milestone date has passed",IF(G320&lt;Setup!$C$5,"LATE: order today, ask about rush",IF(G320&lt;Setup!$C$5+14,"Order within 2 weeks","Scheduled"))))))</f>
        <v/>
      </c>
    </row>
    <row r="321" spans="1:8" x14ac:dyDescent="0.2">
      <c r="A321" s="9"/>
      <c r="B321" s="11"/>
      <c r="C321" s="9"/>
      <c r="D321" s="12"/>
      <c r="E321" s="19" t="str">
        <f>IF(Calc!$AI321="","",INDEX(Setup!$C$20:$C$34,Calc!$AI321))</f>
        <v/>
      </c>
      <c r="F321" s="20" t="str">
        <f>IF(Calc!$AI321="","",INDEX(Calc!$B321:$P321,1,Calc!$AI321))</f>
        <v/>
      </c>
      <c r="G321" s="20" t="str">
        <f>IF(Calc!$AI321="","",INT(Calc!$AH321))</f>
        <v/>
      </c>
      <c r="H321" s="21" t="str">
        <f>IF(AND(A321="",B321=""),"",IF(NOT(ISNUMBER(B321)),"Check hire date: not a date",IF(Calc!$AI321="","No milestones left to order",IF(F321&lt;Setup!$C$5,"PAST DUE: milestone date has passed",IF(G321&lt;Setup!$C$5,"LATE: order today, ask about rush",IF(G321&lt;Setup!$C$5+14,"Order within 2 weeks","Scheduled"))))))</f>
        <v/>
      </c>
    </row>
    <row r="322" spans="1:8" x14ac:dyDescent="0.2">
      <c r="A322" s="9"/>
      <c r="B322" s="11"/>
      <c r="C322" s="9"/>
      <c r="D322" s="12"/>
      <c r="E322" s="19" t="str">
        <f>IF(Calc!$AI322="","",INDEX(Setup!$C$20:$C$34,Calc!$AI322))</f>
        <v/>
      </c>
      <c r="F322" s="20" t="str">
        <f>IF(Calc!$AI322="","",INDEX(Calc!$B322:$P322,1,Calc!$AI322))</f>
        <v/>
      </c>
      <c r="G322" s="20" t="str">
        <f>IF(Calc!$AI322="","",INT(Calc!$AH322))</f>
        <v/>
      </c>
      <c r="H322" s="21" t="str">
        <f>IF(AND(A322="",B322=""),"",IF(NOT(ISNUMBER(B322)),"Check hire date: not a date",IF(Calc!$AI322="","No milestones left to order",IF(F322&lt;Setup!$C$5,"PAST DUE: milestone date has passed",IF(G322&lt;Setup!$C$5,"LATE: order today, ask about rush",IF(G322&lt;Setup!$C$5+14,"Order within 2 weeks","Scheduled"))))))</f>
        <v/>
      </c>
    </row>
    <row r="323" spans="1:8" x14ac:dyDescent="0.2">
      <c r="A323" s="9"/>
      <c r="B323" s="11"/>
      <c r="C323" s="9"/>
      <c r="D323" s="12"/>
      <c r="E323" s="19" t="str">
        <f>IF(Calc!$AI323="","",INDEX(Setup!$C$20:$C$34,Calc!$AI323))</f>
        <v/>
      </c>
      <c r="F323" s="20" t="str">
        <f>IF(Calc!$AI323="","",INDEX(Calc!$B323:$P323,1,Calc!$AI323))</f>
        <v/>
      </c>
      <c r="G323" s="20" t="str">
        <f>IF(Calc!$AI323="","",INT(Calc!$AH323))</f>
        <v/>
      </c>
      <c r="H323" s="21" t="str">
        <f>IF(AND(A323="",B323=""),"",IF(NOT(ISNUMBER(B323)),"Check hire date: not a date",IF(Calc!$AI323="","No milestones left to order",IF(F323&lt;Setup!$C$5,"PAST DUE: milestone date has passed",IF(G323&lt;Setup!$C$5,"LATE: order today, ask about rush",IF(G323&lt;Setup!$C$5+14,"Order within 2 weeks","Scheduled"))))))</f>
        <v/>
      </c>
    </row>
    <row r="324" spans="1:8" x14ac:dyDescent="0.2">
      <c r="A324" s="9"/>
      <c r="B324" s="11"/>
      <c r="C324" s="9"/>
      <c r="D324" s="12"/>
      <c r="E324" s="19" t="str">
        <f>IF(Calc!$AI324="","",INDEX(Setup!$C$20:$C$34,Calc!$AI324))</f>
        <v/>
      </c>
      <c r="F324" s="20" t="str">
        <f>IF(Calc!$AI324="","",INDEX(Calc!$B324:$P324,1,Calc!$AI324))</f>
        <v/>
      </c>
      <c r="G324" s="20" t="str">
        <f>IF(Calc!$AI324="","",INT(Calc!$AH324))</f>
        <v/>
      </c>
      <c r="H324" s="21" t="str">
        <f>IF(AND(A324="",B324=""),"",IF(NOT(ISNUMBER(B324)),"Check hire date: not a date",IF(Calc!$AI324="","No milestones left to order",IF(F324&lt;Setup!$C$5,"PAST DUE: milestone date has passed",IF(G324&lt;Setup!$C$5,"LATE: order today, ask about rush",IF(G324&lt;Setup!$C$5+14,"Order within 2 weeks","Scheduled"))))))</f>
        <v/>
      </c>
    </row>
    <row r="325" spans="1:8" x14ac:dyDescent="0.2">
      <c r="A325" s="9"/>
      <c r="B325" s="11"/>
      <c r="C325" s="9"/>
      <c r="D325" s="12"/>
      <c r="E325" s="19" t="str">
        <f>IF(Calc!$AI325="","",INDEX(Setup!$C$20:$C$34,Calc!$AI325))</f>
        <v/>
      </c>
      <c r="F325" s="20" t="str">
        <f>IF(Calc!$AI325="","",INDEX(Calc!$B325:$P325,1,Calc!$AI325))</f>
        <v/>
      </c>
      <c r="G325" s="20" t="str">
        <f>IF(Calc!$AI325="","",INT(Calc!$AH325))</f>
        <v/>
      </c>
      <c r="H325" s="21" t="str">
        <f>IF(AND(A325="",B325=""),"",IF(NOT(ISNUMBER(B325)),"Check hire date: not a date",IF(Calc!$AI325="","No milestones left to order",IF(F325&lt;Setup!$C$5,"PAST DUE: milestone date has passed",IF(G325&lt;Setup!$C$5,"LATE: order today, ask about rush",IF(G325&lt;Setup!$C$5+14,"Order within 2 weeks","Scheduled"))))))</f>
        <v/>
      </c>
    </row>
    <row r="326" spans="1:8" x14ac:dyDescent="0.2">
      <c r="A326" s="9"/>
      <c r="B326" s="11"/>
      <c r="C326" s="9"/>
      <c r="D326" s="12"/>
      <c r="E326" s="19" t="str">
        <f>IF(Calc!$AI326="","",INDEX(Setup!$C$20:$C$34,Calc!$AI326))</f>
        <v/>
      </c>
      <c r="F326" s="20" t="str">
        <f>IF(Calc!$AI326="","",INDEX(Calc!$B326:$P326,1,Calc!$AI326))</f>
        <v/>
      </c>
      <c r="G326" s="20" t="str">
        <f>IF(Calc!$AI326="","",INT(Calc!$AH326))</f>
        <v/>
      </c>
      <c r="H326" s="21" t="str">
        <f>IF(AND(A326="",B326=""),"",IF(NOT(ISNUMBER(B326)),"Check hire date: not a date",IF(Calc!$AI326="","No milestones left to order",IF(F326&lt;Setup!$C$5,"PAST DUE: milestone date has passed",IF(G326&lt;Setup!$C$5,"LATE: order today, ask about rush",IF(G326&lt;Setup!$C$5+14,"Order within 2 weeks","Scheduled"))))))</f>
        <v/>
      </c>
    </row>
    <row r="327" spans="1:8" x14ac:dyDescent="0.2">
      <c r="A327" s="9"/>
      <c r="B327" s="11"/>
      <c r="C327" s="9"/>
      <c r="D327" s="12"/>
      <c r="E327" s="19" t="str">
        <f>IF(Calc!$AI327="","",INDEX(Setup!$C$20:$C$34,Calc!$AI327))</f>
        <v/>
      </c>
      <c r="F327" s="20" t="str">
        <f>IF(Calc!$AI327="","",INDEX(Calc!$B327:$P327,1,Calc!$AI327))</f>
        <v/>
      </c>
      <c r="G327" s="20" t="str">
        <f>IF(Calc!$AI327="","",INT(Calc!$AH327))</f>
        <v/>
      </c>
      <c r="H327" s="21" t="str">
        <f>IF(AND(A327="",B327=""),"",IF(NOT(ISNUMBER(B327)),"Check hire date: not a date",IF(Calc!$AI327="","No milestones left to order",IF(F327&lt;Setup!$C$5,"PAST DUE: milestone date has passed",IF(G327&lt;Setup!$C$5,"LATE: order today, ask about rush",IF(G327&lt;Setup!$C$5+14,"Order within 2 weeks","Scheduled"))))))</f>
        <v/>
      </c>
    </row>
    <row r="328" spans="1:8" x14ac:dyDescent="0.2">
      <c r="A328" s="9"/>
      <c r="B328" s="11"/>
      <c r="C328" s="9"/>
      <c r="D328" s="12"/>
      <c r="E328" s="19" t="str">
        <f>IF(Calc!$AI328="","",INDEX(Setup!$C$20:$C$34,Calc!$AI328))</f>
        <v/>
      </c>
      <c r="F328" s="20" t="str">
        <f>IF(Calc!$AI328="","",INDEX(Calc!$B328:$P328,1,Calc!$AI328))</f>
        <v/>
      </c>
      <c r="G328" s="20" t="str">
        <f>IF(Calc!$AI328="","",INT(Calc!$AH328))</f>
        <v/>
      </c>
      <c r="H328" s="21" t="str">
        <f>IF(AND(A328="",B328=""),"",IF(NOT(ISNUMBER(B328)),"Check hire date: not a date",IF(Calc!$AI328="","No milestones left to order",IF(F328&lt;Setup!$C$5,"PAST DUE: milestone date has passed",IF(G328&lt;Setup!$C$5,"LATE: order today, ask about rush",IF(G328&lt;Setup!$C$5+14,"Order within 2 weeks","Scheduled"))))))</f>
        <v/>
      </c>
    </row>
    <row r="329" spans="1:8" x14ac:dyDescent="0.2">
      <c r="A329" s="9"/>
      <c r="B329" s="11"/>
      <c r="C329" s="9"/>
      <c r="D329" s="12"/>
      <c r="E329" s="19" t="str">
        <f>IF(Calc!$AI329="","",INDEX(Setup!$C$20:$C$34,Calc!$AI329))</f>
        <v/>
      </c>
      <c r="F329" s="20" t="str">
        <f>IF(Calc!$AI329="","",INDEX(Calc!$B329:$P329,1,Calc!$AI329))</f>
        <v/>
      </c>
      <c r="G329" s="20" t="str">
        <f>IF(Calc!$AI329="","",INT(Calc!$AH329))</f>
        <v/>
      </c>
      <c r="H329" s="21" t="str">
        <f>IF(AND(A329="",B329=""),"",IF(NOT(ISNUMBER(B329)),"Check hire date: not a date",IF(Calc!$AI329="","No milestones left to order",IF(F329&lt;Setup!$C$5,"PAST DUE: milestone date has passed",IF(G329&lt;Setup!$C$5,"LATE: order today, ask about rush",IF(G329&lt;Setup!$C$5+14,"Order within 2 weeks","Scheduled"))))))</f>
        <v/>
      </c>
    </row>
    <row r="330" spans="1:8" x14ac:dyDescent="0.2">
      <c r="A330" s="9"/>
      <c r="B330" s="11"/>
      <c r="C330" s="9"/>
      <c r="D330" s="12"/>
      <c r="E330" s="19" t="str">
        <f>IF(Calc!$AI330="","",INDEX(Setup!$C$20:$C$34,Calc!$AI330))</f>
        <v/>
      </c>
      <c r="F330" s="20" t="str">
        <f>IF(Calc!$AI330="","",INDEX(Calc!$B330:$P330,1,Calc!$AI330))</f>
        <v/>
      </c>
      <c r="G330" s="20" t="str">
        <f>IF(Calc!$AI330="","",INT(Calc!$AH330))</f>
        <v/>
      </c>
      <c r="H330" s="21" t="str">
        <f>IF(AND(A330="",B330=""),"",IF(NOT(ISNUMBER(B330)),"Check hire date: not a date",IF(Calc!$AI330="","No milestones left to order",IF(F330&lt;Setup!$C$5,"PAST DUE: milestone date has passed",IF(G330&lt;Setup!$C$5,"LATE: order today, ask about rush",IF(G330&lt;Setup!$C$5+14,"Order within 2 weeks","Scheduled"))))))</f>
        <v/>
      </c>
    </row>
    <row r="331" spans="1:8" x14ac:dyDescent="0.2">
      <c r="A331" s="9"/>
      <c r="B331" s="11"/>
      <c r="C331" s="9"/>
      <c r="D331" s="12"/>
      <c r="E331" s="19" t="str">
        <f>IF(Calc!$AI331="","",INDEX(Setup!$C$20:$C$34,Calc!$AI331))</f>
        <v/>
      </c>
      <c r="F331" s="20" t="str">
        <f>IF(Calc!$AI331="","",INDEX(Calc!$B331:$P331,1,Calc!$AI331))</f>
        <v/>
      </c>
      <c r="G331" s="20" t="str">
        <f>IF(Calc!$AI331="","",INT(Calc!$AH331))</f>
        <v/>
      </c>
      <c r="H331" s="21" t="str">
        <f>IF(AND(A331="",B331=""),"",IF(NOT(ISNUMBER(B331)),"Check hire date: not a date",IF(Calc!$AI331="","No milestones left to order",IF(F331&lt;Setup!$C$5,"PAST DUE: milestone date has passed",IF(G331&lt;Setup!$C$5,"LATE: order today, ask about rush",IF(G331&lt;Setup!$C$5+14,"Order within 2 weeks","Scheduled"))))))</f>
        <v/>
      </c>
    </row>
    <row r="332" spans="1:8" x14ac:dyDescent="0.2">
      <c r="A332" s="9"/>
      <c r="B332" s="11"/>
      <c r="C332" s="9"/>
      <c r="D332" s="12"/>
      <c r="E332" s="19" t="str">
        <f>IF(Calc!$AI332="","",INDEX(Setup!$C$20:$C$34,Calc!$AI332))</f>
        <v/>
      </c>
      <c r="F332" s="20" t="str">
        <f>IF(Calc!$AI332="","",INDEX(Calc!$B332:$P332,1,Calc!$AI332))</f>
        <v/>
      </c>
      <c r="G332" s="20" t="str">
        <f>IF(Calc!$AI332="","",INT(Calc!$AH332))</f>
        <v/>
      </c>
      <c r="H332" s="21" t="str">
        <f>IF(AND(A332="",B332=""),"",IF(NOT(ISNUMBER(B332)),"Check hire date: not a date",IF(Calc!$AI332="","No milestones left to order",IF(F332&lt;Setup!$C$5,"PAST DUE: milestone date has passed",IF(G332&lt;Setup!$C$5,"LATE: order today, ask about rush",IF(G332&lt;Setup!$C$5+14,"Order within 2 weeks","Scheduled"))))))</f>
        <v/>
      </c>
    </row>
    <row r="333" spans="1:8" x14ac:dyDescent="0.2">
      <c r="A333" s="9"/>
      <c r="B333" s="11"/>
      <c r="C333" s="9"/>
      <c r="D333" s="12"/>
      <c r="E333" s="19" t="str">
        <f>IF(Calc!$AI333="","",INDEX(Setup!$C$20:$C$34,Calc!$AI333))</f>
        <v/>
      </c>
      <c r="F333" s="20" t="str">
        <f>IF(Calc!$AI333="","",INDEX(Calc!$B333:$P333,1,Calc!$AI333))</f>
        <v/>
      </c>
      <c r="G333" s="20" t="str">
        <f>IF(Calc!$AI333="","",INT(Calc!$AH333))</f>
        <v/>
      </c>
      <c r="H333" s="21" t="str">
        <f>IF(AND(A333="",B333=""),"",IF(NOT(ISNUMBER(B333)),"Check hire date: not a date",IF(Calc!$AI333="","No milestones left to order",IF(F333&lt;Setup!$C$5,"PAST DUE: milestone date has passed",IF(G333&lt;Setup!$C$5,"LATE: order today, ask about rush",IF(G333&lt;Setup!$C$5+14,"Order within 2 weeks","Scheduled"))))))</f>
        <v/>
      </c>
    </row>
    <row r="334" spans="1:8" x14ac:dyDescent="0.2">
      <c r="A334" s="9"/>
      <c r="B334" s="11"/>
      <c r="C334" s="9"/>
      <c r="D334" s="12"/>
      <c r="E334" s="19" t="str">
        <f>IF(Calc!$AI334="","",INDEX(Setup!$C$20:$C$34,Calc!$AI334))</f>
        <v/>
      </c>
      <c r="F334" s="20" t="str">
        <f>IF(Calc!$AI334="","",INDEX(Calc!$B334:$P334,1,Calc!$AI334))</f>
        <v/>
      </c>
      <c r="G334" s="20" t="str">
        <f>IF(Calc!$AI334="","",INT(Calc!$AH334))</f>
        <v/>
      </c>
      <c r="H334" s="21" t="str">
        <f>IF(AND(A334="",B334=""),"",IF(NOT(ISNUMBER(B334)),"Check hire date: not a date",IF(Calc!$AI334="","No milestones left to order",IF(F334&lt;Setup!$C$5,"PAST DUE: milestone date has passed",IF(G334&lt;Setup!$C$5,"LATE: order today, ask about rush",IF(G334&lt;Setup!$C$5+14,"Order within 2 weeks","Scheduled"))))))</f>
        <v/>
      </c>
    </row>
    <row r="335" spans="1:8" x14ac:dyDescent="0.2">
      <c r="A335" s="9"/>
      <c r="B335" s="11"/>
      <c r="C335" s="9"/>
      <c r="D335" s="12"/>
      <c r="E335" s="19" t="str">
        <f>IF(Calc!$AI335="","",INDEX(Setup!$C$20:$C$34,Calc!$AI335))</f>
        <v/>
      </c>
      <c r="F335" s="20" t="str">
        <f>IF(Calc!$AI335="","",INDEX(Calc!$B335:$P335,1,Calc!$AI335))</f>
        <v/>
      </c>
      <c r="G335" s="20" t="str">
        <f>IF(Calc!$AI335="","",INT(Calc!$AH335))</f>
        <v/>
      </c>
      <c r="H335" s="21" t="str">
        <f>IF(AND(A335="",B335=""),"",IF(NOT(ISNUMBER(B335)),"Check hire date: not a date",IF(Calc!$AI335="","No milestones left to order",IF(F335&lt;Setup!$C$5,"PAST DUE: milestone date has passed",IF(G335&lt;Setup!$C$5,"LATE: order today, ask about rush",IF(G335&lt;Setup!$C$5+14,"Order within 2 weeks","Scheduled"))))))</f>
        <v/>
      </c>
    </row>
    <row r="336" spans="1:8" x14ac:dyDescent="0.2">
      <c r="A336" s="9"/>
      <c r="B336" s="11"/>
      <c r="C336" s="9"/>
      <c r="D336" s="12"/>
      <c r="E336" s="19" t="str">
        <f>IF(Calc!$AI336="","",INDEX(Setup!$C$20:$C$34,Calc!$AI336))</f>
        <v/>
      </c>
      <c r="F336" s="20" t="str">
        <f>IF(Calc!$AI336="","",INDEX(Calc!$B336:$P336,1,Calc!$AI336))</f>
        <v/>
      </c>
      <c r="G336" s="20" t="str">
        <f>IF(Calc!$AI336="","",INT(Calc!$AH336))</f>
        <v/>
      </c>
      <c r="H336" s="21" t="str">
        <f>IF(AND(A336="",B336=""),"",IF(NOT(ISNUMBER(B336)),"Check hire date: not a date",IF(Calc!$AI336="","No milestones left to order",IF(F336&lt;Setup!$C$5,"PAST DUE: milestone date has passed",IF(G336&lt;Setup!$C$5,"LATE: order today, ask about rush",IF(G336&lt;Setup!$C$5+14,"Order within 2 weeks","Scheduled"))))))</f>
        <v/>
      </c>
    </row>
    <row r="337" spans="1:8" x14ac:dyDescent="0.2">
      <c r="A337" s="9"/>
      <c r="B337" s="11"/>
      <c r="C337" s="9"/>
      <c r="D337" s="12"/>
      <c r="E337" s="19" t="str">
        <f>IF(Calc!$AI337="","",INDEX(Setup!$C$20:$C$34,Calc!$AI337))</f>
        <v/>
      </c>
      <c r="F337" s="20" t="str">
        <f>IF(Calc!$AI337="","",INDEX(Calc!$B337:$P337,1,Calc!$AI337))</f>
        <v/>
      </c>
      <c r="G337" s="20" t="str">
        <f>IF(Calc!$AI337="","",INT(Calc!$AH337))</f>
        <v/>
      </c>
      <c r="H337" s="21" t="str">
        <f>IF(AND(A337="",B337=""),"",IF(NOT(ISNUMBER(B337)),"Check hire date: not a date",IF(Calc!$AI337="","No milestones left to order",IF(F337&lt;Setup!$C$5,"PAST DUE: milestone date has passed",IF(G337&lt;Setup!$C$5,"LATE: order today, ask about rush",IF(G337&lt;Setup!$C$5+14,"Order within 2 weeks","Scheduled"))))))</f>
        <v/>
      </c>
    </row>
    <row r="338" spans="1:8" x14ac:dyDescent="0.2">
      <c r="A338" s="9"/>
      <c r="B338" s="11"/>
      <c r="C338" s="9"/>
      <c r="D338" s="12"/>
      <c r="E338" s="19" t="str">
        <f>IF(Calc!$AI338="","",INDEX(Setup!$C$20:$C$34,Calc!$AI338))</f>
        <v/>
      </c>
      <c r="F338" s="20" t="str">
        <f>IF(Calc!$AI338="","",INDEX(Calc!$B338:$P338,1,Calc!$AI338))</f>
        <v/>
      </c>
      <c r="G338" s="20" t="str">
        <f>IF(Calc!$AI338="","",INT(Calc!$AH338))</f>
        <v/>
      </c>
      <c r="H338" s="21" t="str">
        <f>IF(AND(A338="",B338=""),"",IF(NOT(ISNUMBER(B338)),"Check hire date: not a date",IF(Calc!$AI338="","No milestones left to order",IF(F338&lt;Setup!$C$5,"PAST DUE: milestone date has passed",IF(G338&lt;Setup!$C$5,"LATE: order today, ask about rush",IF(G338&lt;Setup!$C$5+14,"Order within 2 weeks","Scheduled"))))))</f>
        <v/>
      </c>
    </row>
    <row r="339" spans="1:8" x14ac:dyDescent="0.2">
      <c r="A339" s="9"/>
      <c r="B339" s="11"/>
      <c r="C339" s="9"/>
      <c r="D339" s="12"/>
      <c r="E339" s="19" t="str">
        <f>IF(Calc!$AI339="","",INDEX(Setup!$C$20:$C$34,Calc!$AI339))</f>
        <v/>
      </c>
      <c r="F339" s="20" t="str">
        <f>IF(Calc!$AI339="","",INDEX(Calc!$B339:$P339,1,Calc!$AI339))</f>
        <v/>
      </c>
      <c r="G339" s="20" t="str">
        <f>IF(Calc!$AI339="","",INT(Calc!$AH339))</f>
        <v/>
      </c>
      <c r="H339" s="21" t="str">
        <f>IF(AND(A339="",B339=""),"",IF(NOT(ISNUMBER(B339)),"Check hire date: not a date",IF(Calc!$AI339="","No milestones left to order",IF(F339&lt;Setup!$C$5,"PAST DUE: milestone date has passed",IF(G339&lt;Setup!$C$5,"LATE: order today, ask about rush",IF(G339&lt;Setup!$C$5+14,"Order within 2 weeks","Scheduled"))))))</f>
        <v/>
      </c>
    </row>
    <row r="340" spans="1:8" x14ac:dyDescent="0.2">
      <c r="A340" s="9"/>
      <c r="B340" s="11"/>
      <c r="C340" s="9"/>
      <c r="D340" s="12"/>
      <c r="E340" s="19" t="str">
        <f>IF(Calc!$AI340="","",INDEX(Setup!$C$20:$C$34,Calc!$AI340))</f>
        <v/>
      </c>
      <c r="F340" s="20" t="str">
        <f>IF(Calc!$AI340="","",INDEX(Calc!$B340:$P340,1,Calc!$AI340))</f>
        <v/>
      </c>
      <c r="G340" s="20" t="str">
        <f>IF(Calc!$AI340="","",INT(Calc!$AH340))</f>
        <v/>
      </c>
      <c r="H340" s="21" t="str">
        <f>IF(AND(A340="",B340=""),"",IF(NOT(ISNUMBER(B340)),"Check hire date: not a date",IF(Calc!$AI340="","No milestones left to order",IF(F340&lt;Setup!$C$5,"PAST DUE: milestone date has passed",IF(G340&lt;Setup!$C$5,"LATE: order today, ask about rush",IF(G340&lt;Setup!$C$5+14,"Order within 2 weeks","Scheduled"))))))</f>
        <v/>
      </c>
    </row>
    <row r="341" spans="1:8" x14ac:dyDescent="0.2">
      <c r="A341" s="9"/>
      <c r="B341" s="11"/>
      <c r="C341" s="9"/>
      <c r="D341" s="12"/>
      <c r="E341" s="19" t="str">
        <f>IF(Calc!$AI341="","",INDEX(Setup!$C$20:$C$34,Calc!$AI341))</f>
        <v/>
      </c>
      <c r="F341" s="20" t="str">
        <f>IF(Calc!$AI341="","",INDEX(Calc!$B341:$P341,1,Calc!$AI341))</f>
        <v/>
      </c>
      <c r="G341" s="20" t="str">
        <f>IF(Calc!$AI341="","",INT(Calc!$AH341))</f>
        <v/>
      </c>
      <c r="H341" s="21" t="str">
        <f>IF(AND(A341="",B341=""),"",IF(NOT(ISNUMBER(B341)),"Check hire date: not a date",IF(Calc!$AI341="","No milestones left to order",IF(F341&lt;Setup!$C$5,"PAST DUE: milestone date has passed",IF(G341&lt;Setup!$C$5,"LATE: order today, ask about rush",IF(G341&lt;Setup!$C$5+14,"Order within 2 weeks","Scheduled"))))))</f>
        <v/>
      </c>
    </row>
    <row r="342" spans="1:8" x14ac:dyDescent="0.2">
      <c r="A342" s="9"/>
      <c r="B342" s="11"/>
      <c r="C342" s="9"/>
      <c r="D342" s="12"/>
      <c r="E342" s="19" t="str">
        <f>IF(Calc!$AI342="","",INDEX(Setup!$C$20:$C$34,Calc!$AI342))</f>
        <v/>
      </c>
      <c r="F342" s="20" t="str">
        <f>IF(Calc!$AI342="","",INDEX(Calc!$B342:$P342,1,Calc!$AI342))</f>
        <v/>
      </c>
      <c r="G342" s="20" t="str">
        <f>IF(Calc!$AI342="","",INT(Calc!$AH342))</f>
        <v/>
      </c>
      <c r="H342" s="21" t="str">
        <f>IF(AND(A342="",B342=""),"",IF(NOT(ISNUMBER(B342)),"Check hire date: not a date",IF(Calc!$AI342="","No milestones left to order",IF(F342&lt;Setup!$C$5,"PAST DUE: milestone date has passed",IF(G342&lt;Setup!$C$5,"LATE: order today, ask about rush",IF(G342&lt;Setup!$C$5+14,"Order within 2 weeks","Scheduled"))))))</f>
        <v/>
      </c>
    </row>
    <row r="343" spans="1:8" x14ac:dyDescent="0.2">
      <c r="A343" s="9"/>
      <c r="B343" s="11"/>
      <c r="C343" s="9"/>
      <c r="D343" s="12"/>
      <c r="E343" s="19" t="str">
        <f>IF(Calc!$AI343="","",INDEX(Setup!$C$20:$C$34,Calc!$AI343))</f>
        <v/>
      </c>
      <c r="F343" s="20" t="str">
        <f>IF(Calc!$AI343="","",INDEX(Calc!$B343:$P343,1,Calc!$AI343))</f>
        <v/>
      </c>
      <c r="G343" s="20" t="str">
        <f>IF(Calc!$AI343="","",INT(Calc!$AH343))</f>
        <v/>
      </c>
      <c r="H343" s="21" t="str">
        <f>IF(AND(A343="",B343=""),"",IF(NOT(ISNUMBER(B343)),"Check hire date: not a date",IF(Calc!$AI343="","No milestones left to order",IF(F343&lt;Setup!$C$5,"PAST DUE: milestone date has passed",IF(G343&lt;Setup!$C$5,"LATE: order today, ask about rush",IF(G343&lt;Setup!$C$5+14,"Order within 2 weeks","Scheduled"))))))</f>
        <v/>
      </c>
    </row>
    <row r="344" spans="1:8" x14ac:dyDescent="0.2">
      <c r="A344" s="9"/>
      <c r="B344" s="11"/>
      <c r="C344" s="9"/>
      <c r="D344" s="12"/>
      <c r="E344" s="19" t="str">
        <f>IF(Calc!$AI344="","",INDEX(Setup!$C$20:$C$34,Calc!$AI344))</f>
        <v/>
      </c>
      <c r="F344" s="20" t="str">
        <f>IF(Calc!$AI344="","",INDEX(Calc!$B344:$P344,1,Calc!$AI344))</f>
        <v/>
      </c>
      <c r="G344" s="20" t="str">
        <f>IF(Calc!$AI344="","",INT(Calc!$AH344))</f>
        <v/>
      </c>
      <c r="H344" s="21" t="str">
        <f>IF(AND(A344="",B344=""),"",IF(NOT(ISNUMBER(B344)),"Check hire date: not a date",IF(Calc!$AI344="","No milestones left to order",IF(F344&lt;Setup!$C$5,"PAST DUE: milestone date has passed",IF(G344&lt;Setup!$C$5,"LATE: order today, ask about rush",IF(G344&lt;Setup!$C$5+14,"Order within 2 weeks","Scheduled"))))))</f>
        <v/>
      </c>
    </row>
    <row r="345" spans="1:8" x14ac:dyDescent="0.2">
      <c r="A345" s="9"/>
      <c r="B345" s="11"/>
      <c r="C345" s="9"/>
      <c r="D345" s="12"/>
      <c r="E345" s="19" t="str">
        <f>IF(Calc!$AI345="","",INDEX(Setup!$C$20:$C$34,Calc!$AI345))</f>
        <v/>
      </c>
      <c r="F345" s="20" t="str">
        <f>IF(Calc!$AI345="","",INDEX(Calc!$B345:$P345,1,Calc!$AI345))</f>
        <v/>
      </c>
      <c r="G345" s="20" t="str">
        <f>IF(Calc!$AI345="","",INT(Calc!$AH345))</f>
        <v/>
      </c>
      <c r="H345" s="21" t="str">
        <f>IF(AND(A345="",B345=""),"",IF(NOT(ISNUMBER(B345)),"Check hire date: not a date",IF(Calc!$AI345="","No milestones left to order",IF(F345&lt;Setup!$C$5,"PAST DUE: milestone date has passed",IF(G345&lt;Setup!$C$5,"LATE: order today, ask about rush",IF(G345&lt;Setup!$C$5+14,"Order within 2 weeks","Scheduled"))))))</f>
        <v/>
      </c>
    </row>
    <row r="346" spans="1:8" x14ac:dyDescent="0.2">
      <c r="A346" s="9"/>
      <c r="B346" s="11"/>
      <c r="C346" s="9"/>
      <c r="D346" s="12"/>
      <c r="E346" s="19" t="str">
        <f>IF(Calc!$AI346="","",INDEX(Setup!$C$20:$C$34,Calc!$AI346))</f>
        <v/>
      </c>
      <c r="F346" s="20" t="str">
        <f>IF(Calc!$AI346="","",INDEX(Calc!$B346:$P346,1,Calc!$AI346))</f>
        <v/>
      </c>
      <c r="G346" s="20" t="str">
        <f>IF(Calc!$AI346="","",INT(Calc!$AH346))</f>
        <v/>
      </c>
      <c r="H346" s="21" t="str">
        <f>IF(AND(A346="",B346=""),"",IF(NOT(ISNUMBER(B346)),"Check hire date: not a date",IF(Calc!$AI346="","No milestones left to order",IF(F346&lt;Setup!$C$5,"PAST DUE: milestone date has passed",IF(G346&lt;Setup!$C$5,"LATE: order today, ask about rush",IF(G346&lt;Setup!$C$5+14,"Order within 2 weeks","Scheduled"))))))</f>
        <v/>
      </c>
    </row>
    <row r="347" spans="1:8" x14ac:dyDescent="0.2">
      <c r="A347" s="9"/>
      <c r="B347" s="11"/>
      <c r="C347" s="9"/>
      <c r="D347" s="12"/>
      <c r="E347" s="19" t="str">
        <f>IF(Calc!$AI347="","",INDEX(Setup!$C$20:$C$34,Calc!$AI347))</f>
        <v/>
      </c>
      <c r="F347" s="20" t="str">
        <f>IF(Calc!$AI347="","",INDEX(Calc!$B347:$P347,1,Calc!$AI347))</f>
        <v/>
      </c>
      <c r="G347" s="20" t="str">
        <f>IF(Calc!$AI347="","",INT(Calc!$AH347))</f>
        <v/>
      </c>
      <c r="H347" s="21" t="str">
        <f>IF(AND(A347="",B347=""),"",IF(NOT(ISNUMBER(B347)),"Check hire date: not a date",IF(Calc!$AI347="","No milestones left to order",IF(F347&lt;Setup!$C$5,"PAST DUE: milestone date has passed",IF(G347&lt;Setup!$C$5,"LATE: order today, ask about rush",IF(G347&lt;Setup!$C$5+14,"Order within 2 weeks","Scheduled"))))))</f>
        <v/>
      </c>
    </row>
    <row r="348" spans="1:8" x14ac:dyDescent="0.2">
      <c r="A348" s="9"/>
      <c r="B348" s="11"/>
      <c r="C348" s="9"/>
      <c r="D348" s="12"/>
      <c r="E348" s="19" t="str">
        <f>IF(Calc!$AI348="","",INDEX(Setup!$C$20:$C$34,Calc!$AI348))</f>
        <v/>
      </c>
      <c r="F348" s="20" t="str">
        <f>IF(Calc!$AI348="","",INDEX(Calc!$B348:$P348,1,Calc!$AI348))</f>
        <v/>
      </c>
      <c r="G348" s="20" t="str">
        <f>IF(Calc!$AI348="","",INT(Calc!$AH348))</f>
        <v/>
      </c>
      <c r="H348" s="21" t="str">
        <f>IF(AND(A348="",B348=""),"",IF(NOT(ISNUMBER(B348)),"Check hire date: not a date",IF(Calc!$AI348="","No milestones left to order",IF(F348&lt;Setup!$C$5,"PAST DUE: milestone date has passed",IF(G348&lt;Setup!$C$5,"LATE: order today, ask about rush",IF(G348&lt;Setup!$C$5+14,"Order within 2 weeks","Scheduled"))))))</f>
        <v/>
      </c>
    </row>
    <row r="349" spans="1:8" x14ac:dyDescent="0.2">
      <c r="A349" s="9"/>
      <c r="B349" s="11"/>
      <c r="C349" s="9"/>
      <c r="D349" s="12"/>
      <c r="E349" s="19" t="str">
        <f>IF(Calc!$AI349="","",INDEX(Setup!$C$20:$C$34,Calc!$AI349))</f>
        <v/>
      </c>
      <c r="F349" s="20" t="str">
        <f>IF(Calc!$AI349="","",INDEX(Calc!$B349:$P349,1,Calc!$AI349))</f>
        <v/>
      </c>
      <c r="G349" s="20" t="str">
        <f>IF(Calc!$AI349="","",INT(Calc!$AH349))</f>
        <v/>
      </c>
      <c r="H349" s="21" t="str">
        <f>IF(AND(A349="",B349=""),"",IF(NOT(ISNUMBER(B349)),"Check hire date: not a date",IF(Calc!$AI349="","No milestones left to order",IF(F349&lt;Setup!$C$5,"PAST DUE: milestone date has passed",IF(G349&lt;Setup!$C$5,"LATE: order today, ask about rush",IF(G349&lt;Setup!$C$5+14,"Order within 2 weeks","Scheduled"))))))</f>
        <v/>
      </c>
    </row>
    <row r="350" spans="1:8" x14ac:dyDescent="0.2">
      <c r="A350" s="9"/>
      <c r="B350" s="11"/>
      <c r="C350" s="9"/>
      <c r="D350" s="12"/>
      <c r="E350" s="19" t="str">
        <f>IF(Calc!$AI350="","",INDEX(Setup!$C$20:$C$34,Calc!$AI350))</f>
        <v/>
      </c>
      <c r="F350" s="20" t="str">
        <f>IF(Calc!$AI350="","",INDEX(Calc!$B350:$P350,1,Calc!$AI350))</f>
        <v/>
      </c>
      <c r="G350" s="20" t="str">
        <f>IF(Calc!$AI350="","",INT(Calc!$AH350))</f>
        <v/>
      </c>
      <c r="H350" s="21" t="str">
        <f>IF(AND(A350="",B350=""),"",IF(NOT(ISNUMBER(B350)),"Check hire date: not a date",IF(Calc!$AI350="","No milestones left to order",IF(F350&lt;Setup!$C$5,"PAST DUE: milestone date has passed",IF(G350&lt;Setup!$C$5,"LATE: order today, ask about rush",IF(G350&lt;Setup!$C$5+14,"Order within 2 weeks","Scheduled"))))))</f>
        <v/>
      </c>
    </row>
    <row r="351" spans="1:8" x14ac:dyDescent="0.2">
      <c r="A351" s="9"/>
      <c r="B351" s="11"/>
      <c r="C351" s="9"/>
      <c r="D351" s="12"/>
      <c r="E351" s="19" t="str">
        <f>IF(Calc!$AI351="","",INDEX(Setup!$C$20:$C$34,Calc!$AI351))</f>
        <v/>
      </c>
      <c r="F351" s="20" t="str">
        <f>IF(Calc!$AI351="","",INDEX(Calc!$B351:$P351,1,Calc!$AI351))</f>
        <v/>
      </c>
      <c r="G351" s="20" t="str">
        <f>IF(Calc!$AI351="","",INT(Calc!$AH351))</f>
        <v/>
      </c>
      <c r="H351" s="21" t="str">
        <f>IF(AND(A351="",B351=""),"",IF(NOT(ISNUMBER(B351)),"Check hire date: not a date",IF(Calc!$AI351="","No milestones left to order",IF(F351&lt;Setup!$C$5,"PAST DUE: milestone date has passed",IF(G351&lt;Setup!$C$5,"LATE: order today, ask about rush",IF(G351&lt;Setup!$C$5+14,"Order within 2 weeks","Scheduled"))))))</f>
        <v/>
      </c>
    </row>
    <row r="352" spans="1:8" x14ac:dyDescent="0.2">
      <c r="A352" s="9"/>
      <c r="B352" s="11"/>
      <c r="C352" s="9"/>
      <c r="D352" s="12"/>
      <c r="E352" s="19" t="str">
        <f>IF(Calc!$AI352="","",INDEX(Setup!$C$20:$C$34,Calc!$AI352))</f>
        <v/>
      </c>
      <c r="F352" s="20" t="str">
        <f>IF(Calc!$AI352="","",INDEX(Calc!$B352:$P352,1,Calc!$AI352))</f>
        <v/>
      </c>
      <c r="G352" s="20" t="str">
        <f>IF(Calc!$AI352="","",INT(Calc!$AH352))</f>
        <v/>
      </c>
      <c r="H352" s="21" t="str">
        <f>IF(AND(A352="",B352=""),"",IF(NOT(ISNUMBER(B352)),"Check hire date: not a date",IF(Calc!$AI352="","No milestones left to order",IF(F352&lt;Setup!$C$5,"PAST DUE: milestone date has passed",IF(G352&lt;Setup!$C$5,"LATE: order today, ask about rush",IF(G352&lt;Setup!$C$5+14,"Order within 2 weeks","Scheduled"))))))</f>
        <v/>
      </c>
    </row>
    <row r="353" spans="1:8" x14ac:dyDescent="0.2">
      <c r="A353" s="9"/>
      <c r="B353" s="11"/>
      <c r="C353" s="9"/>
      <c r="D353" s="12"/>
      <c r="E353" s="19" t="str">
        <f>IF(Calc!$AI353="","",INDEX(Setup!$C$20:$C$34,Calc!$AI353))</f>
        <v/>
      </c>
      <c r="F353" s="20" t="str">
        <f>IF(Calc!$AI353="","",INDEX(Calc!$B353:$P353,1,Calc!$AI353))</f>
        <v/>
      </c>
      <c r="G353" s="20" t="str">
        <f>IF(Calc!$AI353="","",INT(Calc!$AH353))</f>
        <v/>
      </c>
      <c r="H353" s="21" t="str">
        <f>IF(AND(A353="",B353=""),"",IF(NOT(ISNUMBER(B353)),"Check hire date: not a date",IF(Calc!$AI353="","No milestones left to order",IF(F353&lt;Setup!$C$5,"PAST DUE: milestone date has passed",IF(G353&lt;Setup!$C$5,"LATE: order today, ask about rush",IF(G353&lt;Setup!$C$5+14,"Order within 2 weeks","Scheduled"))))))</f>
        <v/>
      </c>
    </row>
    <row r="354" spans="1:8" x14ac:dyDescent="0.2">
      <c r="A354" s="9"/>
      <c r="B354" s="11"/>
      <c r="C354" s="9"/>
      <c r="D354" s="12"/>
      <c r="E354" s="19" t="str">
        <f>IF(Calc!$AI354="","",INDEX(Setup!$C$20:$C$34,Calc!$AI354))</f>
        <v/>
      </c>
      <c r="F354" s="20" t="str">
        <f>IF(Calc!$AI354="","",INDEX(Calc!$B354:$P354,1,Calc!$AI354))</f>
        <v/>
      </c>
      <c r="G354" s="20" t="str">
        <f>IF(Calc!$AI354="","",INT(Calc!$AH354))</f>
        <v/>
      </c>
      <c r="H354" s="21" t="str">
        <f>IF(AND(A354="",B354=""),"",IF(NOT(ISNUMBER(B354)),"Check hire date: not a date",IF(Calc!$AI354="","No milestones left to order",IF(F354&lt;Setup!$C$5,"PAST DUE: milestone date has passed",IF(G354&lt;Setup!$C$5,"LATE: order today, ask about rush",IF(G354&lt;Setup!$C$5+14,"Order within 2 weeks","Scheduled"))))))</f>
        <v/>
      </c>
    </row>
    <row r="355" spans="1:8" x14ac:dyDescent="0.2">
      <c r="A355" s="9"/>
      <c r="B355" s="11"/>
      <c r="C355" s="9"/>
      <c r="D355" s="12"/>
      <c r="E355" s="19" t="str">
        <f>IF(Calc!$AI355="","",INDEX(Setup!$C$20:$C$34,Calc!$AI355))</f>
        <v/>
      </c>
      <c r="F355" s="20" t="str">
        <f>IF(Calc!$AI355="","",INDEX(Calc!$B355:$P355,1,Calc!$AI355))</f>
        <v/>
      </c>
      <c r="G355" s="20" t="str">
        <f>IF(Calc!$AI355="","",INT(Calc!$AH355))</f>
        <v/>
      </c>
      <c r="H355" s="21" t="str">
        <f>IF(AND(A355="",B355=""),"",IF(NOT(ISNUMBER(B355)),"Check hire date: not a date",IF(Calc!$AI355="","No milestones left to order",IF(F355&lt;Setup!$C$5,"PAST DUE: milestone date has passed",IF(G355&lt;Setup!$C$5,"LATE: order today, ask about rush",IF(G355&lt;Setup!$C$5+14,"Order within 2 weeks","Scheduled"))))))</f>
        <v/>
      </c>
    </row>
    <row r="356" spans="1:8" x14ac:dyDescent="0.2">
      <c r="A356" s="9"/>
      <c r="B356" s="11"/>
      <c r="C356" s="9"/>
      <c r="D356" s="12"/>
      <c r="E356" s="19" t="str">
        <f>IF(Calc!$AI356="","",INDEX(Setup!$C$20:$C$34,Calc!$AI356))</f>
        <v/>
      </c>
      <c r="F356" s="20" t="str">
        <f>IF(Calc!$AI356="","",INDEX(Calc!$B356:$P356,1,Calc!$AI356))</f>
        <v/>
      </c>
      <c r="G356" s="20" t="str">
        <f>IF(Calc!$AI356="","",INT(Calc!$AH356))</f>
        <v/>
      </c>
      <c r="H356" s="21" t="str">
        <f>IF(AND(A356="",B356=""),"",IF(NOT(ISNUMBER(B356)),"Check hire date: not a date",IF(Calc!$AI356="","No milestones left to order",IF(F356&lt;Setup!$C$5,"PAST DUE: milestone date has passed",IF(G356&lt;Setup!$C$5,"LATE: order today, ask about rush",IF(G356&lt;Setup!$C$5+14,"Order within 2 weeks","Scheduled"))))))</f>
        <v/>
      </c>
    </row>
    <row r="357" spans="1:8" x14ac:dyDescent="0.2">
      <c r="A357" s="9"/>
      <c r="B357" s="11"/>
      <c r="C357" s="9"/>
      <c r="D357" s="12"/>
      <c r="E357" s="19" t="str">
        <f>IF(Calc!$AI357="","",INDEX(Setup!$C$20:$C$34,Calc!$AI357))</f>
        <v/>
      </c>
      <c r="F357" s="20" t="str">
        <f>IF(Calc!$AI357="","",INDEX(Calc!$B357:$P357,1,Calc!$AI357))</f>
        <v/>
      </c>
      <c r="G357" s="20" t="str">
        <f>IF(Calc!$AI357="","",INT(Calc!$AH357))</f>
        <v/>
      </c>
      <c r="H357" s="21" t="str">
        <f>IF(AND(A357="",B357=""),"",IF(NOT(ISNUMBER(B357)),"Check hire date: not a date",IF(Calc!$AI357="","No milestones left to order",IF(F357&lt;Setup!$C$5,"PAST DUE: milestone date has passed",IF(G357&lt;Setup!$C$5,"LATE: order today, ask about rush",IF(G357&lt;Setup!$C$5+14,"Order within 2 weeks","Scheduled"))))))</f>
        <v/>
      </c>
    </row>
    <row r="358" spans="1:8" x14ac:dyDescent="0.2">
      <c r="A358" s="9"/>
      <c r="B358" s="11"/>
      <c r="C358" s="9"/>
      <c r="D358" s="12"/>
      <c r="E358" s="19" t="str">
        <f>IF(Calc!$AI358="","",INDEX(Setup!$C$20:$C$34,Calc!$AI358))</f>
        <v/>
      </c>
      <c r="F358" s="20" t="str">
        <f>IF(Calc!$AI358="","",INDEX(Calc!$B358:$P358,1,Calc!$AI358))</f>
        <v/>
      </c>
      <c r="G358" s="20" t="str">
        <f>IF(Calc!$AI358="","",INT(Calc!$AH358))</f>
        <v/>
      </c>
      <c r="H358" s="21" t="str">
        <f>IF(AND(A358="",B358=""),"",IF(NOT(ISNUMBER(B358)),"Check hire date: not a date",IF(Calc!$AI358="","No milestones left to order",IF(F358&lt;Setup!$C$5,"PAST DUE: milestone date has passed",IF(G358&lt;Setup!$C$5,"LATE: order today, ask about rush",IF(G358&lt;Setup!$C$5+14,"Order within 2 weeks","Scheduled"))))))</f>
        <v/>
      </c>
    </row>
    <row r="359" spans="1:8" x14ac:dyDescent="0.2">
      <c r="A359" s="9"/>
      <c r="B359" s="11"/>
      <c r="C359" s="9"/>
      <c r="D359" s="12"/>
      <c r="E359" s="19" t="str">
        <f>IF(Calc!$AI359="","",INDEX(Setup!$C$20:$C$34,Calc!$AI359))</f>
        <v/>
      </c>
      <c r="F359" s="20" t="str">
        <f>IF(Calc!$AI359="","",INDEX(Calc!$B359:$P359,1,Calc!$AI359))</f>
        <v/>
      </c>
      <c r="G359" s="20" t="str">
        <f>IF(Calc!$AI359="","",INT(Calc!$AH359))</f>
        <v/>
      </c>
      <c r="H359" s="21" t="str">
        <f>IF(AND(A359="",B359=""),"",IF(NOT(ISNUMBER(B359)),"Check hire date: not a date",IF(Calc!$AI359="","No milestones left to order",IF(F359&lt;Setup!$C$5,"PAST DUE: milestone date has passed",IF(G359&lt;Setup!$C$5,"LATE: order today, ask about rush",IF(G359&lt;Setup!$C$5+14,"Order within 2 weeks","Scheduled"))))))</f>
        <v/>
      </c>
    </row>
    <row r="360" spans="1:8" x14ac:dyDescent="0.2">
      <c r="A360" s="9"/>
      <c r="B360" s="11"/>
      <c r="C360" s="9"/>
      <c r="D360" s="12"/>
      <c r="E360" s="19" t="str">
        <f>IF(Calc!$AI360="","",INDEX(Setup!$C$20:$C$34,Calc!$AI360))</f>
        <v/>
      </c>
      <c r="F360" s="20" t="str">
        <f>IF(Calc!$AI360="","",INDEX(Calc!$B360:$P360,1,Calc!$AI360))</f>
        <v/>
      </c>
      <c r="G360" s="20" t="str">
        <f>IF(Calc!$AI360="","",INT(Calc!$AH360))</f>
        <v/>
      </c>
      <c r="H360" s="21" t="str">
        <f>IF(AND(A360="",B360=""),"",IF(NOT(ISNUMBER(B360)),"Check hire date: not a date",IF(Calc!$AI360="","No milestones left to order",IF(F360&lt;Setup!$C$5,"PAST DUE: milestone date has passed",IF(G360&lt;Setup!$C$5,"LATE: order today, ask about rush",IF(G360&lt;Setup!$C$5+14,"Order within 2 weeks","Scheduled"))))))</f>
        <v/>
      </c>
    </row>
    <row r="361" spans="1:8" x14ac:dyDescent="0.2">
      <c r="A361" s="9"/>
      <c r="B361" s="11"/>
      <c r="C361" s="9"/>
      <c r="D361" s="12"/>
      <c r="E361" s="19" t="str">
        <f>IF(Calc!$AI361="","",INDEX(Setup!$C$20:$C$34,Calc!$AI361))</f>
        <v/>
      </c>
      <c r="F361" s="20" t="str">
        <f>IF(Calc!$AI361="","",INDEX(Calc!$B361:$P361,1,Calc!$AI361))</f>
        <v/>
      </c>
      <c r="G361" s="20" t="str">
        <f>IF(Calc!$AI361="","",INT(Calc!$AH361))</f>
        <v/>
      </c>
      <c r="H361" s="21" t="str">
        <f>IF(AND(A361="",B361=""),"",IF(NOT(ISNUMBER(B361)),"Check hire date: not a date",IF(Calc!$AI361="","No milestones left to order",IF(F361&lt;Setup!$C$5,"PAST DUE: milestone date has passed",IF(G361&lt;Setup!$C$5,"LATE: order today, ask about rush",IF(G361&lt;Setup!$C$5+14,"Order within 2 weeks","Scheduled"))))))</f>
        <v/>
      </c>
    </row>
    <row r="362" spans="1:8" x14ac:dyDescent="0.2">
      <c r="A362" s="9"/>
      <c r="B362" s="11"/>
      <c r="C362" s="9"/>
      <c r="D362" s="12"/>
      <c r="E362" s="19" t="str">
        <f>IF(Calc!$AI362="","",INDEX(Setup!$C$20:$C$34,Calc!$AI362))</f>
        <v/>
      </c>
      <c r="F362" s="20" t="str">
        <f>IF(Calc!$AI362="","",INDEX(Calc!$B362:$P362,1,Calc!$AI362))</f>
        <v/>
      </c>
      <c r="G362" s="20" t="str">
        <f>IF(Calc!$AI362="","",INT(Calc!$AH362))</f>
        <v/>
      </c>
      <c r="H362" s="21" t="str">
        <f>IF(AND(A362="",B362=""),"",IF(NOT(ISNUMBER(B362)),"Check hire date: not a date",IF(Calc!$AI362="","No milestones left to order",IF(F362&lt;Setup!$C$5,"PAST DUE: milestone date has passed",IF(G362&lt;Setup!$C$5,"LATE: order today, ask about rush",IF(G362&lt;Setup!$C$5+14,"Order within 2 weeks","Scheduled"))))))</f>
        <v/>
      </c>
    </row>
    <row r="363" spans="1:8" x14ac:dyDescent="0.2">
      <c r="A363" s="9"/>
      <c r="B363" s="11"/>
      <c r="C363" s="9"/>
      <c r="D363" s="12"/>
      <c r="E363" s="19" t="str">
        <f>IF(Calc!$AI363="","",INDEX(Setup!$C$20:$C$34,Calc!$AI363))</f>
        <v/>
      </c>
      <c r="F363" s="20" t="str">
        <f>IF(Calc!$AI363="","",INDEX(Calc!$B363:$P363,1,Calc!$AI363))</f>
        <v/>
      </c>
      <c r="G363" s="20" t="str">
        <f>IF(Calc!$AI363="","",INT(Calc!$AH363))</f>
        <v/>
      </c>
      <c r="H363" s="21" t="str">
        <f>IF(AND(A363="",B363=""),"",IF(NOT(ISNUMBER(B363)),"Check hire date: not a date",IF(Calc!$AI363="","No milestones left to order",IF(F363&lt;Setup!$C$5,"PAST DUE: milestone date has passed",IF(G363&lt;Setup!$C$5,"LATE: order today, ask about rush",IF(G363&lt;Setup!$C$5+14,"Order within 2 weeks","Scheduled"))))))</f>
        <v/>
      </c>
    </row>
    <row r="364" spans="1:8" x14ac:dyDescent="0.2">
      <c r="A364" s="9"/>
      <c r="B364" s="11"/>
      <c r="C364" s="9"/>
      <c r="D364" s="12"/>
      <c r="E364" s="19" t="str">
        <f>IF(Calc!$AI364="","",INDEX(Setup!$C$20:$C$34,Calc!$AI364))</f>
        <v/>
      </c>
      <c r="F364" s="20" t="str">
        <f>IF(Calc!$AI364="","",INDEX(Calc!$B364:$P364,1,Calc!$AI364))</f>
        <v/>
      </c>
      <c r="G364" s="20" t="str">
        <f>IF(Calc!$AI364="","",INT(Calc!$AH364))</f>
        <v/>
      </c>
      <c r="H364" s="21" t="str">
        <f>IF(AND(A364="",B364=""),"",IF(NOT(ISNUMBER(B364)),"Check hire date: not a date",IF(Calc!$AI364="","No milestones left to order",IF(F364&lt;Setup!$C$5,"PAST DUE: milestone date has passed",IF(G364&lt;Setup!$C$5,"LATE: order today, ask about rush",IF(G364&lt;Setup!$C$5+14,"Order within 2 weeks","Scheduled"))))))</f>
        <v/>
      </c>
    </row>
    <row r="365" spans="1:8" x14ac:dyDescent="0.2">
      <c r="A365" s="9"/>
      <c r="B365" s="11"/>
      <c r="C365" s="9"/>
      <c r="D365" s="12"/>
      <c r="E365" s="19" t="str">
        <f>IF(Calc!$AI365="","",INDEX(Setup!$C$20:$C$34,Calc!$AI365))</f>
        <v/>
      </c>
      <c r="F365" s="20" t="str">
        <f>IF(Calc!$AI365="","",INDEX(Calc!$B365:$P365,1,Calc!$AI365))</f>
        <v/>
      </c>
      <c r="G365" s="20" t="str">
        <f>IF(Calc!$AI365="","",INT(Calc!$AH365))</f>
        <v/>
      </c>
      <c r="H365" s="21" t="str">
        <f>IF(AND(A365="",B365=""),"",IF(NOT(ISNUMBER(B365)),"Check hire date: not a date",IF(Calc!$AI365="","No milestones left to order",IF(F365&lt;Setup!$C$5,"PAST DUE: milestone date has passed",IF(G365&lt;Setup!$C$5,"LATE: order today, ask about rush",IF(G365&lt;Setup!$C$5+14,"Order within 2 weeks","Scheduled"))))))</f>
        <v/>
      </c>
    </row>
    <row r="366" spans="1:8" x14ac:dyDescent="0.2">
      <c r="A366" s="9"/>
      <c r="B366" s="11"/>
      <c r="C366" s="9"/>
      <c r="D366" s="12"/>
      <c r="E366" s="19" t="str">
        <f>IF(Calc!$AI366="","",INDEX(Setup!$C$20:$C$34,Calc!$AI366))</f>
        <v/>
      </c>
      <c r="F366" s="20" t="str">
        <f>IF(Calc!$AI366="","",INDEX(Calc!$B366:$P366,1,Calc!$AI366))</f>
        <v/>
      </c>
      <c r="G366" s="20" t="str">
        <f>IF(Calc!$AI366="","",INT(Calc!$AH366))</f>
        <v/>
      </c>
      <c r="H366" s="21" t="str">
        <f>IF(AND(A366="",B366=""),"",IF(NOT(ISNUMBER(B366)),"Check hire date: not a date",IF(Calc!$AI366="","No milestones left to order",IF(F366&lt;Setup!$C$5,"PAST DUE: milestone date has passed",IF(G366&lt;Setup!$C$5,"LATE: order today, ask about rush",IF(G366&lt;Setup!$C$5+14,"Order within 2 weeks","Scheduled"))))))</f>
        <v/>
      </c>
    </row>
    <row r="367" spans="1:8" x14ac:dyDescent="0.2">
      <c r="A367" s="9"/>
      <c r="B367" s="11"/>
      <c r="C367" s="9"/>
      <c r="D367" s="12"/>
      <c r="E367" s="19" t="str">
        <f>IF(Calc!$AI367="","",INDEX(Setup!$C$20:$C$34,Calc!$AI367))</f>
        <v/>
      </c>
      <c r="F367" s="20" t="str">
        <f>IF(Calc!$AI367="","",INDEX(Calc!$B367:$P367,1,Calc!$AI367))</f>
        <v/>
      </c>
      <c r="G367" s="20" t="str">
        <f>IF(Calc!$AI367="","",INT(Calc!$AH367))</f>
        <v/>
      </c>
      <c r="H367" s="21" t="str">
        <f>IF(AND(A367="",B367=""),"",IF(NOT(ISNUMBER(B367)),"Check hire date: not a date",IF(Calc!$AI367="","No milestones left to order",IF(F367&lt;Setup!$C$5,"PAST DUE: milestone date has passed",IF(G367&lt;Setup!$C$5,"LATE: order today, ask about rush",IF(G367&lt;Setup!$C$5+14,"Order within 2 weeks","Scheduled"))))))</f>
        <v/>
      </c>
    </row>
    <row r="368" spans="1:8" x14ac:dyDescent="0.2">
      <c r="A368" s="9"/>
      <c r="B368" s="11"/>
      <c r="C368" s="9"/>
      <c r="D368" s="12"/>
      <c r="E368" s="19" t="str">
        <f>IF(Calc!$AI368="","",INDEX(Setup!$C$20:$C$34,Calc!$AI368))</f>
        <v/>
      </c>
      <c r="F368" s="20" t="str">
        <f>IF(Calc!$AI368="","",INDEX(Calc!$B368:$P368,1,Calc!$AI368))</f>
        <v/>
      </c>
      <c r="G368" s="20" t="str">
        <f>IF(Calc!$AI368="","",INT(Calc!$AH368))</f>
        <v/>
      </c>
      <c r="H368" s="21" t="str">
        <f>IF(AND(A368="",B368=""),"",IF(NOT(ISNUMBER(B368)),"Check hire date: not a date",IF(Calc!$AI368="","No milestones left to order",IF(F368&lt;Setup!$C$5,"PAST DUE: milestone date has passed",IF(G368&lt;Setup!$C$5,"LATE: order today, ask about rush",IF(G368&lt;Setup!$C$5+14,"Order within 2 weeks","Scheduled"))))))</f>
        <v/>
      </c>
    </row>
    <row r="369" spans="1:8" x14ac:dyDescent="0.2">
      <c r="A369" s="9"/>
      <c r="B369" s="11"/>
      <c r="C369" s="9"/>
      <c r="D369" s="12"/>
      <c r="E369" s="19" t="str">
        <f>IF(Calc!$AI369="","",INDEX(Setup!$C$20:$C$34,Calc!$AI369))</f>
        <v/>
      </c>
      <c r="F369" s="20" t="str">
        <f>IF(Calc!$AI369="","",INDEX(Calc!$B369:$P369,1,Calc!$AI369))</f>
        <v/>
      </c>
      <c r="G369" s="20" t="str">
        <f>IF(Calc!$AI369="","",INT(Calc!$AH369))</f>
        <v/>
      </c>
      <c r="H369" s="21" t="str">
        <f>IF(AND(A369="",B369=""),"",IF(NOT(ISNUMBER(B369)),"Check hire date: not a date",IF(Calc!$AI369="","No milestones left to order",IF(F369&lt;Setup!$C$5,"PAST DUE: milestone date has passed",IF(G369&lt;Setup!$C$5,"LATE: order today, ask about rush",IF(G369&lt;Setup!$C$5+14,"Order within 2 weeks","Scheduled"))))))</f>
        <v/>
      </c>
    </row>
    <row r="370" spans="1:8" x14ac:dyDescent="0.2">
      <c r="A370" s="9"/>
      <c r="B370" s="11"/>
      <c r="C370" s="9"/>
      <c r="D370" s="12"/>
      <c r="E370" s="19" t="str">
        <f>IF(Calc!$AI370="","",INDEX(Setup!$C$20:$C$34,Calc!$AI370))</f>
        <v/>
      </c>
      <c r="F370" s="20" t="str">
        <f>IF(Calc!$AI370="","",INDEX(Calc!$B370:$P370,1,Calc!$AI370))</f>
        <v/>
      </c>
      <c r="G370" s="20" t="str">
        <f>IF(Calc!$AI370="","",INT(Calc!$AH370))</f>
        <v/>
      </c>
      <c r="H370" s="21" t="str">
        <f>IF(AND(A370="",B370=""),"",IF(NOT(ISNUMBER(B370)),"Check hire date: not a date",IF(Calc!$AI370="","No milestones left to order",IF(F370&lt;Setup!$C$5,"PAST DUE: milestone date has passed",IF(G370&lt;Setup!$C$5,"LATE: order today, ask about rush",IF(G370&lt;Setup!$C$5+14,"Order within 2 weeks","Scheduled"))))))</f>
        <v/>
      </c>
    </row>
    <row r="371" spans="1:8" x14ac:dyDescent="0.2">
      <c r="A371" s="9"/>
      <c r="B371" s="11"/>
      <c r="C371" s="9"/>
      <c r="D371" s="12"/>
      <c r="E371" s="19" t="str">
        <f>IF(Calc!$AI371="","",INDEX(Setup!$C$20:$C$34,Calc!$AI371))</f>
        <v/>
      </c>
      <c r="F371" s="20" t="str">
        <f>IF(Calc!$AI371="","",INDEX(Calc!$B371:$P371,1,Calc!$AI371))</f>
        <v/>
      </c>
      <c r="G371" s="20" t="str">
        <f>IF(Calc!$AI371="","",INT(Calc!$AH371))</f>
        <v/>
      </c>
      <c r="H371" s="21" t="str">
        <f>IF(AND(A371="",B371=""),"",IF(NOT(ISNUMBER(B371)),"Check hire date: not a date",IF(Calc!$AI371="","No milestones left to order",IF(F371&lt;Setup!$C$5,"PAST DUE: milestone date has passed",IF(G371&lt;Setup!$C$5,"LATE: order today, ask about rush",IF(G371&lt;Setup!$C$5+14,"Order within 2 weeks","Scheduled"))))))</f>
        <v/>
      </c>
    </row>
    <row r="372" spans="1:8" x14ac:dyDescent="0.2">
      <c r="A372" s="9"/>
      <c r="B372" s="11"/>
      <c r="C372" s="9"/>
      <c r="D372" s="12"/>
      <c r="E372" s="19" t="str">
        <f>IF(Calc!$AI372="","",INDEX(Setup!$C$20:$C$34,Calc!$AI372))</f>
        <v/>
      </c>
      <c r="F372" s="20" t="str">
        <f>IF(Calc!$AI372="","",INDEX(Calc!$B372:$P372,1,Calc!$AI372))</f>
        <v/>
      </c>
      <c r="G372" s="20" t="str">
        <f>IF(Calc!$AI372="","",INT(Calc!$AH372))</f>
        <v/>
      </c>
      <c r="H372" s="21" t="str">
        <f>IF(AND(A372="",B372=""),"",IF(NOT(ISNUMBER(B372)),"Check hire date: not a date",IF(Calc!$AI372="","No milestones left to order",IF(F372&lt;Setup!$C$5,"PAST DUE: milestone date has passed",IF(G372&lt;Setup!$C$5,"LATE: order today, ask about rush",IF(G372&lt;Setup!$C$5+14,"Order within 2 weeks","Scheduled"))))))</f>
        <v/>
      </c>
    </row>
    <row r="373" spans="1:8" x14ac:dyDescent="0.2">
      <c r="A373" s="9"/>
      <c r="B373" s="11"/>
      <c r="C373" s="9"/>
      <c r="D373" s="12"/>
      <c r="E373" s="19" t="str">
        <f>IF(Calc!$AI373="","",INDEX(Setup!$C$20:$C$34,Calc!$AI373))</f>
        <v/>
      </c>
      <c r="F373" s="20" t="str">
        <f>IF(Calc!$AI373="","",INDEX(Calc!$B373:$P373,1,Calc!$AI373))</f>
        <v/>
      </c>
      <c r="G373" s="20" t="str">
        <f>IF(Calc!$AI373="","",INT(Calc!$AH373))</f>
        <v/>
      </c>
      <c r="H373" s="21" t="str">
        <f>IF(AND(A373="",B373=""),"",IF(NOT(ISNUMBER(B373)),"Check hire date: not a date",IF(Calc!$AI373="","No milestones left to order",IF(F373&lt;Setup!$C$5,"PAST DUE: milestone date has passed",IF(G373&lt;Setup!$C$5,"LATE: order today, ask about rush",IF(G373&lt;Setup!$C$5+14,"Order within 2 weeks","Scheduled"))))))</f>
        <v/>
      </c>
    </row>
    <row r="374" spans="1:8" x14ac:dyDescent="0.2">
      <c r="A374" s="9"/>
      <c r="B374" s="11"/>
      <c r="C374" s="9"/>
      <c r="D374" s="12"/>
      <c r="E374" s="19" t="str">
        <f>IF(Calc!$AI374="","",INDEX(Setup!$C$20:$C$34,Calc!$AI374))</f>
        <v/>
      </c>
      <c r="F374" s="20" t="str">
        <f>IF(Calc!$AI374="","",INDEX(Calc!$B374:$P374,1,Calc!$AI374))</f>
        <v/>
      </c>
      <c r="G374" s="20" t="str">
        <f>IF(Calc!$AI374="","",INT(Calc!$AH374))</f>
        <v/>
      </c>
      <c r="H374" s="21" t="str">
        <f>IF(AND(A374="",B374=""),"",IF(NOT(ISNUMBER(B374)),"Check hire date: not a date",IF(Calc!$AI374="","No milestones left to order",IF(F374&lt;Setup!$C$5,"PAST DUE: milestone date has passed",IF(G374&lt;Setup!$C$5,"LATE: order today, ask about rush",IF(G374&lt;Setup!$C$5+14,"Order within 2 weeks","Scheduled"))))))</f>
        <v/>
      </c>
    </row>
    <row r="375" spans="1:8" x14ac:dyDescent="0.2">
      <c r="A375" s="9"/>
      <c r="B375" s="11"/>
      <c r="C375" s="9"/>
      <c r="D375" s="12"/>
      <c r="E375" s="19" t="str">
        <f>IF(Calc!$AI375="","",INDEX(Setup!$C$20:$C$34,Calc!$AI375))</f>
        <v/>
      </c>
      <c r="F375" s="20" t="str">
        <f>IF(Calc!$AI375="","",INDEX(Calc!$B375:$P375,1,Calc!$AI375))</f>
        <v/>
      </c>
      <c r="G375" s="20" t="str">
        <f>IF(Calc!$AI375="","",INT(Calc!$AH375))</f>
        <v/>
      </c>
      <c r="H375" s="21" t="str">
        <f>IF(AND(A375="",B375=""),"",IF(NOT(ISNUMBER(B375)),"Check hire date: not a date",IF(Calc!$AI375="","No milestones left to order",IF(F375&lt;Setup!$C$5,"PAST DUE: milestone date has passed",IF(G375&lt;Setup!$C$5,"LATE: order today, ask about rush",IF(G375&lt;Setup!$C$5+14,"Order within 2 weeks","Scheduled"))))))</f>
        <v/>
      </c>
    </row>
    <row r="376" spans="1:8" x14ac:dyDescent="0.2">
      <c r="A376" s="9"/>
      <c r="B376" s="11"/>
      <c r="C376" s="9"/>
      <c r="D376" s="12"/>
      <c r="E376" s="19" t="str">
        <f>IF(Calc!$AI376="","",INDEX(Setup!$C$20:$C$34,Calc!$AI376))</f>
        <v/>
      </c>
      <c r="F376" s="20" t="str">
        <f>IF(Calc!$AI376="","",INDEX(Calc!$B376:$P376,1,Calc!$AI376))</f>
        <v/>
      </c>
      <c r="G376" s="20" t="str">
        <f>IF(Calc!$AI376="","",INT(Calc!$AH376))</f>
        <v/>
      </c>
      <c r="H376" s="21" t="str">
        <f>IF(AND(A376="",B376=""),"",IF(NOT(ISNUMBER(B376)),"Check hire date: not a date",IF(Calc!$AI376="","No milestones left to order",IF(F376&lt;Setup!$C$5,"PAST DUE: milestone date has passed",IF(G376&lt;Setup!$C$5,"LATE: order today, ask about rush",IF(G376&lt;Setup!$C$5+14,"Order within 2 weeks","Scheduled"))))))</f>
        <v/>
      </c>
    </row>
    <row r="377" spans="1:8" x14ac:dyDescent="0.2">
      <c r="A377" s="9"/>
      <c r="B377" s="11"/>
      <c r="C377" s="9"/>
      <c r="D377" s="12"/>
      <c r="E377" s="19" t="str">
        <f>IF(Calc!$AI377="","",INDEX(Setup!$C$20:$C$34,Calc!$AI377))</f>
        <v/>
      </c>
      <c r="F377" s="20" t="str">
        <f>IF(Calc!$AI377="","",INDEX(Calc!$B377:$P377,1,Calc!$AI377))</f>
        <v/>
      </c>
      <c r="G377" s="20" t="str">
        <f>IF(Calc!$AI377="","",INT(Calc!$AH377))</f>
        <v/>
      </c>
      <c r="H377" s="21" t="str">
        <f>IF(AND(A377="",B377=""),"",IF(NOT(ISNUMBER(B377)),"Check hire date: not a date",IF(Calc!$AI377="","No milestones left to order",IF(F377&lt;Setup!$C$5,"PAST DUE: milestone date has passed",IF(G377&lt;Setup!$C$5,"LATE: order today, ask about rush",IF(G377&lt;Setup!$C$5+14,"Order within 2 weeks","Scheduled"))))))</f>
        <v/>
      </c>
    </row>
    <row r="378" spans="1:8" x14ac:dyDescent="0.2">
      <c r="A378" s="9"/>
      <c r="B378" s="11"/>
      <c r="C378" s="9"/>
      <c r="D378" s="12"/>
      <c r="E378" s="19" t="str">
        <f>IF(Calc!$AI378="","",INDEX(Setup!$C$20:$C$34,Calc!$AI378))</f>
        <v/>
      </c>
      <c r="F378" s="20" t="str">
        <f>IF(Calc!$AI378="","",INDEX(Calc!$B378:$P378,1,Calc!$AI378))</f>
        <v/>
      </c>
      <c r="G378" s="20" t="str">
        <f>IF(Calc!$AI378="","",INT(Calc!$AH378))</f>
        <v/>
      </c>
      <c r="H378" s="21" t="str">
        <f>IF(AND(A378="",B378=""),"",IF(NOT(ISNUMBER(B378)),"Check hire date: not a date",IF(Calc!$AI378="","No milestones left to order",IF(F378&lt;Setup!$C$5,"PAST DUE: milestone date has passed",IF(G378&lt;Setup!$C$5,"LATE: order today, ask about rush",IF(G378&lt;Setup!$C$5+14,"Order within 2 weeks","Scheduled"))))))</f>
        <v/>
      </c>
    </row>
    <row r="379" spans="1:8" x14ac:dyDescent="0.2">
      <c r="A379" s="9"/>
      <c r="B379" s="11"/>
      <c r="C379" s="9"/>
      <c r="D379" s="12"/>
      <c r="E379" s="19" t="str">
        <f>IF(Calc!$AI379="","",INDEX(Setup!$C$20:$C$34,Calc!$AI379))</f>
        <v/>
      </c>
      <c r="F379" s="20" t="str">
        <f>IF(Calc!$AI379="","",INDEX(Calc!$B379:$P379,1,Calc!$AI379))</f>
        <v/>
      </c>
      <c r="G379" s="20" t="str">
        <f>IF(Calc!$AI379="","",INT(Calc!$AH379))</f>
        <v/>
      </c>
      <c r="H379" s="21" t="str">
        <f>IF(AND(A379="",B379=""),"",IF(NOT(ISNUMBER(B379)),"Check hire date: not a date",IF(Calc!$AI379="","No milestones left to order",IF(F379&lt;Setup!$C$5,"PAST DUE: milestone date has passed",IF(G379&lt;Setup!$C$5,"LATE: order today, ask about rush",IF(G379&lt;Setup!$C$5+14,"Order within 2 weeks","Scheduled"))))))</f>
        <v/>
      </c>
    </row>
    <row r="380" spans="1:8" x14ac:dyDescent="0.2">
      <c r="A380" s="9"/>
      <c r="B380" s="11"/>
      <c r="C380" s="9"/>
      <c r="D380" s="12"/>
      <c r="E380" s="19" t="str">
        <f>IF(Calc!$AI380="","",INDEX(Setup!$C$20:$C$34,Calc!$AI380))</f>
        <v/>
      </c>
      <c r="F380" s="20" t="str">
        <f>IF(Calc!$AI380="","",INDEX(Calc!$B380:$P380,1,Calc!$AI380))</f>
        <v/>
      </c>
      <c r="G380" s="20" t="str">
        <f>IF(Calc!$AI380="","",INT(Calc!$AH380))</f>
        <v/>
      </c>
      <c r="H380" s="21" t="str">
        <f>IF(AND(A380="",B380=""),"",IF(NOT(ISNUMBER(B380)),"Check hire date: not a date",IF(Calc!$AI380="","No milestones left to order",IF(F380&lt;Setup!$C$5,"PAST DUE: milestone date has passed",IF(G380&lt;Setup!$C$5,"LATE: order today, ask about rush",IF(G380&lt;Setup!$C$5+14,"Order within 2 weeks","Scheduled"))))))</f>
        <v/>
      </c>
    </row>
    <row r="381" spans="1:8" x14ac:dyDescent="0.2">
      <c r="A381" s="9"/>
      <c r="B381" s="11"/>
      <c r="C381" s="9"/>
      <c r="D381" s="12"/>
      <c r="E381" s="19" t="str">
        <f>IF(Calc!$AI381="","",INDEX(Setup!$C$20:$C$34,Calc!$AI381))</f>
        <v/>
      </c>
      <c r="F381" s="20" t="str">
        <f>IF(Calc!$AI381="","",INDEX(Calc!$B381:$P381,1,Calc!$AI381))</f>
        <v/>
      </c>
      <c r="G381" s="20" t="str">
        <f>IF(Calc!$AI381="","",INT(Calc!$AH381))</f>
        <v/>
      </c>
      <c r="H381" s="21" t="str">
        <f>IF(AND(A381="",B381=""),"",IF(NOT(ISNUMBER(B381)),"Check hire date: not a date",IF(Calc!$AI381="","No milestones left to order",IF(F381&lt;Setup!$C$5,"PAST DUE: milestone date has passed",IF(G381&lt;Setup!$C$5,"LATE: order today, ask about rush",IF(G381&lt;Setup!$C$5+14,"Order within 2 weeks","Scheduled"))))))</f>
        <v/>
      </c>
    </row>
    <row r="382" spans="1:8" x14ac:dyDescent="0.2">
      <c r="A382" s="9"/>
      <c r="B382" s="11"/>
      <c r="C382" s="9"/>
      <c r="D382" s="12"/>
      <c r="E382" s="19" t="str">
        <f>IF(Calc!$AI382="","",INDEX(Setup!$C$20:$C$34,Calc!$AI382))</f>
        <v/>
      </c>
      <c r="F382" s="20" t="str">
        <f>IF(Calc!$AI382="","",INDEX(Calc!$B382:$P382,1,Calc!$AI382))</f>
        <v/>
      </c>
      <c r="G382" s="20" t="str">
        <f>IF(Calc!$AI382="","",INT(Calc!$AH382))</f>
        <v/>
      </c>
      <c r="H382" s="21" t="str">
        <f>IF(AND(A382="",B382=""),"",IF(NOT(ISNUMBER(B382)),"Check hire date: not a date",IF(Calc!$AI382="","No milestones left to order",IF(F382&lt;Setup!$C$5,"PAST DUE: milestone date has passed",IF(G382&lt;Setup!$C$5,"LATE: order today, ask about rush",IF(G382&lt;Setup!$C$5+14,"Order within 2 weeks","Scheduled"))))))</f>
        <v/>
      </c>
    </row>
    <row r="383" spans="1:8" x14ac:dyDescent="0.2">
      <c r="A383" s="9"/>
      <c r="B383" s="11"/>
      <c r="C383" s="9"/>
      <c r="D383" s="12"/>
      <c r="E383" s="19" t="str">
        <f>IF(Calc!$AI383="","",INDEX(Setup!$C$20:$C$34,Calc!$AI383))</f>
        <v/>
      </c>
      <c r="F383" s="20" t="str">
        <f>IF(Calc!$AI383="","",INDEX(Calc!$B383:$P383,1,Calc!$AI383))</f>
        <v/>
      </c>
      <c r="G383" s="20" t="str">
        <f>IF(Calc!$AI383="","",INT(Calc!$AH383))</f>
        <v/>
      </c>
      <c r="H383" s="21" t="str">
        <f>IF(AND(A383="",B383=""),"",IF(NOT(ISNUMBER(B383)),"Check hire date: not a date",IF(Calc!$AI383="","No milestones left to order",IF(F383&lt;Setup!$C$5,"PAST DUE: milestone date has passed",IF(G383&lt;Setup!$C$5,"LATE: order today, ask about rush",IF(G383&lt;Setup!$C$5+14,"Order within 2 weeks","Scheduled"))))))</f>
        <v/>
      </c>
    </row>
    <row r="384" spans="1:8" x14ac:dyDescent="0.2">
      <c r="A384" s="9"/>
      <c r="B384" s="11"/>
      <c r="C384" s="9"/>
      <c r="D384" s="12"/>
      <c r="E384" s="19" t="str">
        <f>IF(Calc!$AI384="","",INDEX(Setup!$C$20:$C$34,Calc!$AI384))</f>
        <v/>
      </c>
      <c r="F384" s="20" t="str">
        <f>IF(Calc!$AI384="","",INDEX(Calc!$B384:$P384,1,Calc!$AI384))</f>
        <v/>
      </c>
      <c r="G384" s="20" t="str">
        <f>IF(Calc!$AI384="","",INT(Calc!$AH384))</f>
        <v/>
      </c>
      <c r="H384" s="21" t="str">
        <f>IF(AND(A384="",B384=""),"",IF(NOT(ISNUMBER(B384)),"Check hire date: not a date",IF(Calc!$AI384="","No milestones left to order",IF(F384&lt;Setup!$C$5,"PAST DUE: milestone date has passed",IF(G384&lt;Setup!$C$5,"LATE: order today, ask about rush",IF(G384&lt;Setup!$C$5+14,"Order within 2 weeks","Scheduled"))))))</f>
        <v/>
      </c>
    </row>
    <row r="385" spans="1:8" x14ac:dyDescent="0.2">
      <c r="A385" s="9"/>
      <c r="B385" s="11"/>
      <c r="C385" s="9"/>
      <c r="D385" s="12"/>
      <c r="E385" s="19" t="str">
        <f>IF(Calc!$AI385="","",INDEX(Setup!$C$20:$C$34,Calc!$AI385))</f>
        <v/>
      </c>
      <c r="F385" s="20" t="str">
        <f>IF(Calc!$AI385="","",INDEX(Calc!$B385:$P385,1,Calc!$AI385))</f>
        <v/>
      </c>
      <c r="G385" s="20" t="str">
        <f>IF(Calc!$AI385="","",INT(Calc!$AH385))</f>
        <v/>
      </c>
      <c r="H385" s="21" t="str">
        <f>IF(AND(A385="",B385=""),"",IF(NOT(ISNUMBER(B385)),"Check hire date: not a date",IF(Calc!$AI385="","No milestones left to order",IF(F385&lt;Setup!$C$5,"PAST DUE: milestone date has passed",IF(G385&lt;Setup!$C$5,"LATE: order today, ask about rush",IF(G385&lt;Setup!$C$5+14,"Order within 2 weeks","Scheduled"))))))</f>
        <v/>
      </c>
    </row>
    <row r="386" spans="1:8" x14ac:dyDescent="0.2">
      <c r="A386" s="9"/>
      <c r="B386" s="11"/>
      <c r="C386" s="9"/>
      <c r="D386" s="12"/>
      <c r="E386" s="19" t="str">
        <f>IF(Calc!$AI386="","",INDEX(Setup!$C$20:$C$34,Calc!$AI386))</f>
        <v/>
      </c>
      <c r="F386" s="20" t="str">
        <f>IF(Calc!$AI386="","",INDEX(Calc!$B386:$P386,1,Calc!$AI386))</f>
        <v/>
      </c>
      <c r="G386" s="20" t="str">
        <f>IF(Calc!$AI386="","",INT(Calc!$AH386))</f>
        <v/>
      </c>
      <c r="H386" s="21" t="str">
        <f>IF(AND(A386="",B386=""),"",IF(NOT(ISNUMBER(B386)),"Check hire date: not a date",IF(Calc!$AI386="","No milestones left to order",IF(F386&lt;Setup!$C$5,"PAST DUE: milestone date has passed",IF(G386&lt;Setup!$C$5,"LATE: order today, ask about rush",IF(G386&lt;Setup!$C$5+14,"Order within 2 weeks","Scheduled"))))))</f>
        <v/>
      </c>
    </row>
    <row r="387" spans="1:8" x14ac:dyDescent="0.2">
      <c r="A387" s="9"/>
      <c r="B387" s="11"/>
      <c r="C387" s="9"/>
      <c r="D387" s="12"/>
      <c r="E387" s="19" t="str">
        <f>IF(Calc!$AI387="","",INDEX(Setup!$C$20:$C$34,Calc!$AI387))</f>
        <v/>
      </c>
      <c r="F387" s="20" t="str">
        <f>IF(Calc!$AI387="","",INDEX(Calc!$B387:$P387,1,Calc!$AI387))</f>
        <v/>
      </c>
      <c r="G387" s="20" t="str">
        <f>IF(Calc!$AI387="","",INT(Calc!$AH387))</f>
        <v/>
      </c>
      <c r="H387" s="21" t="str">
        <f>IF(AND(A387="",B387=""),"",IF(NOT(ISNUMBER(B387)),"Check hire date: not a date",IF(Calc!$AI387="","No milestones left to order",IF(F387&lt;Setup!$C$5,"PAST DUE: milestone date has passed",IF(G387&lt;Setup!$C$5,"LATE: order today, ask about rush",IF(G387&lt;Setup!$C$5+14,"Order within 2 weeks","Scheduled"))))))</f>
        <v/>
      </c>
    </row>
    <row r="388" spans="1:8" x14ac:dyDescent="0.2">
      <c r="A388" s="9"/>
      <c r="B388" s="11"/>
      <c r="C388" s="9"/>
      <c r="D388" s="12"/>
      <c r="E388" s="19" t="str">
        <f>IF(Calc!$AI388="","",INDEX(Setup!$C$20:$C$34,Calc!$AI388))</f>
        <v/>
      </c>
      <c r="F388" s="20" t="str">
        <f>IF(Calc!$AI388="","",INDEX(Calc!$B388:$P388,1,Calc!$AI388))</f>
        <v/>
      </c>
      <c r="G388" s="20" t="str">
        <f>IF(Calc!$AI388="","",INT(Calc!$AH388))</f>
        <v/>
      </c>
      <c r="H388" s="21" t="str">
        <f>IF(AND(A388="",B388=""),"",IF(NOT(ISNUMBER(B388)),"Check hire date: not a date",IF(Calc!$AI388="","No milestones left to order",IF(F388&lt;Setup!$C$5,"PAST DUE: milestone date has passed",IF(G388&lt;Setup!$C$5,"LATE: order today, ask about rush",IF(G388&lt;Setup!$C$5+14,"Order within 2 weeks","Scheduled"))))))</f>
        <v/>
      </c>
    </row>
    <row r="389" spans="1:8" x14ac:dyDescent="0.2">
      <c r="A389" s="9"/>
      <c r="B389" s="11"/>
      <c r="C389" s="9"/>
      <c r="D389" s="12"/>
      <c r="E389" s="19" t="str">
        <f>IF(Calc!$AI389="","",INDEX(Setup!$C$20:$C$34,Calc!$AI389))</f>
        <v/>
      </c>
      <c r="F389" s="20" t="str">
        <f>IF(Calc!$AI389="","",INDEX(Calc!$B389:$P389,1,Calc!$AI389))</f>
        <v/>
      </c>
      <c r="G389" s="20" t="str">
        <f>IF(Calc!$AI389="","",INT(Calc!$AH389))</f>
        <v/>
      </c>
      <c r="H389" s="21" t="str">
        <f>IF(AND(A389="",B389=""),"",IF(NOT(ISNUMBER(B389)),"Check hire date: not a date",IF(Calc!$AI389="","No milestones left to order",IF(F389&lt;Setup!$C$5,"PAST DUE: milestone date has passed",IF(G389&lt;Setup!$C$5,"LATE: order today, ask about rush",IF(G389&lt;Setup!$C$5+14,"Order within 2 weeks","Scheduled"))))))</f>
        <v/>
      </c>
    </row>
    <row r="390" spans="1:8" x14ac:dyDescent="0.2">
      <c r="A390" s="9"/>
      <c r="B390" s="11"/>
      <c r="C390" s="9"/>
      <c r="D390" s="12"/>
      <c r="E390" s="19" t="str">
        <f>IF(Calc!$AI390="","",INDEX(Setup!$C$20:$C$34,Calc!$AI390))</f>
        <v/>
      </c>
      <c r="F390" s="20" t="str">
        <f>IF(Calc!$AI390="","",INDEX(Calc!$B390:$P390,1,Calc!$AI390))</f>
        <v/>
      </c>
      <c r="G390" s="20" t="str">
        <f>IF(Calc!$AI390="","",INT(Calc!$AH390))</f>
        <v/>
      </c>
      <c r="H390" s="21" t="str">
        <f>IF(AND(A390="",B390=""),"",IF(NOT(ISNUMBER(B390)),"Check hire date: not a date",IF(Calc!$AI390="","No milestones left to order",IF(F390&lt;Setup!$C$5,"PAST DUE: milestone date has passed",IF(G390&lt;Setup!$C$5,"LATE: order today, ask about rush",IF(G390&lt;Setup!$C$5+14,"Order within 2 weeks","Scheduled"))))))</f>
        <v/>
      </c>
    </row>
    <row r="391" spans="1:8" x14ac:dyDescent="0.2">
      <c r="A391" s="9"/>
      <c r="B391" s="11"/>
      <c r="C391" s="9"/>
      <c r="D391" s="12"/>
      <c r="E391" s="19" t="str">
        <f>IF(Calc!$AI391="","",INDEX(Setup!$C$20:$C$34,Calc!$AI391))</f>
        <v/>
      </c>
      <c r="F391" s="20" t="str">
        <f>IF(Calc!$AI391="","",INDEX(Calc!$B391:$P391,1,Calc!$AI391))</f>
        <v/>
      </c>
      <c r="G391" s="20" t="str">
        <f>IF(Calc!$AI391="","",INT(Calc!$AH391))</f>
        <v/>
      </c>
      <c r="H391" s="21" t="str">
        <f>IF(AND(A391="",B391=""),"",IF(NOT(ISNUMBER(B391)),"Check hire date: not a date",IF(Calc!$AI391="","No milestones left to order",IF(F391&lt;Setup!$C$5,"PAST DUE: milestone date has passed",IF(G391&lt;Setup!$C$5,"LATE: order today, ask about rush",IF(G391&lt;Setup!$C$5+14,"Order within 2 weeks","Scheduled"))))))</f>
        <v/>
      </c>
    </row>
    <row r="392" spans="1:8" x14ac:dyDescent="0.2">
      <c r="A392" s="9"/>
      <c r="B392" s="11"/>
      <c r="C392" s="9"/>
      <c r="D392" s="12"/>
      <c r="E392" s="19" t="str">
        <f>IF(Calc!$AI392="","",INDEX(Setup!$C$20:$C$34,Calc!$AI392))</f>
        <v/>
      </c>
      <c r="F392" s="20" t="str">
        <f>IF(Calc!$AI392="","",INDEX(Calc!$B392:$P392,1,Calc!$AI392))</f>
        <v/>
      </c>
      <c r="G392" s="20" t="str">
        <f>IF(Calc!$AI392="","",INT(Calc!$AH392))</f>
        <v/>
      </c>
      <c r="H392" s="21" t="str">
        <f>IF(AND(A392="",B392=""),"",IF(NOT(ISNUMBER(B392)),"Check hire date: not a date",IF(Calc!$AI392="","No milestones left to order",IF(F392&lt;Setup!$C$5,"PAST DUE: milestone date has passed",IF(G392&lt;Setup!$C$5,"LATE: order today, ask about rush",IF(G392&lt;Setup!$C$5+14,"Order within 2 weeks","Scheduled"))))))</f>
        <v/>
      </c>
    </row>
    <row r="393" spans="1:8" x14ac:dyDescent="0.2">
      <c r="A393" s="9"/>
      <c r="B393" s="11"/>
      <c r="C393" s="9"/>
      <c r="D393" s="12"/>
      <c r="E393" s="19" t="str">
        <f>IF(Calc!$AI393="","",INDEX(Setup!$C$20:$C$34,Calc!$AI393))</f>
        <v/>
      </c>
      <c r="F393" s="20" t="str">
        <f>IF(Calc!$AI393="","",INDEX(Calc!$B393:$P393,1,Calc!$AI393))</f>
        <v/>
      </c>
      <c r="G393" s="20" t="str">
        <f>IF(Calc!$AI393="","",INT(Calc!$AH393))</f>
        <v/>
      </c>
      <c r="H393" s="21" t="str">
        <f>IF(AND(A393="",B393=""),"",IF(NOT(ISNUMBER(B393)),"Check hire date: not a date",IF(Calc!$AI393="","No milestones left to order",IF(F393&lt;Setup!$C$5,"PAST DUE: milestone date has passed",IF(G393&lt;Setup!$C$5,"LATE: order today, ask about rush",IF(G393&lt;Setup!$C$5+14,"Order within 2 weeks","Scheduled"))))))</f>
        <v/>
      </c>
    </row>
    <row r="394" spans="1:8" x14ac:dyDescent="0.2">
      <c r="A394" s="9"/>
      <c r="B394" s="11"/>
      <c r="C394" s="9"/>
      <c r="D394" s="12"/>
      <c r="E394" s="19" t="str">
        <f>IF(Calc!$AI394="","",INDEX(Setup!$C$20:$C$34,Calc!$AI394))</f>
        <v/>
      </c>
      <c r="F394" s="20" t="str">
        <f>IF(Calc!$AI394="","",INDEX(Calc!$B394:$P394,1,Calc!$AI394))</f>
        <v/>
      </c>
      <c r="G394" s="20" t="str">
        <f>IF(Calc!$AI394="","",INT(Calc!$AH394))</f>
        <v/>
      </c>
      <c r="H394" s="21" t="str">
        <f>IF(AND(A394="",B394=""),"",IF(NOT(ISNUMBER(B394)),"Check hire date: not a date",IF(Calc!$AI394="","No milestones left to order",IF(F394&lt;Setup!$C$5,"PAST DUE: milestone date has passed",IF(G394&lt;Setup!$C$5,"LATE: order today, ask about rush",IF(G394&lt;Setup!$C$5+14,"Order within 2 weeks","Scheduled"))))))</f>
        <v/>
      </c>
    </row>
    <row r="395" spans="1:8" x14ac:dyDescent="0.2">
      <c r="A395" s="9"/>
      <c r="B395" s="11"/>
      <c r="C395" s="9"/>
      <c r="D395" s="12"/>
      <c r="E395" s="19" t="str">
        <f>IF(Calc!$AI395="","",INDEX(Setup!$C$20:$C$34,Calc!$AI395))</f>
        <v/>
      </c>
      <c r="F395" s="20" t="str">
        <f>IF(Calc!$AI395="","",INDEX(Calc!$B395:$P395,1,Calc!$AI395))</f>
        <v/>
      </c>
      <c r="G395" s="20" t="str">
        <f>IF(Calc!$AI395="","",INT(Calc!$AH395))</f>
        <v/>
      </c>
      <c r="H395" s="21" t="str">
        <f>IF(AND(A395="",B395=""),"",IF(NOT(ISNUMBER(B395)),"Check hire date: not a date",IF(Calc!$AI395="","No milestones left to order",IF(F395&lt;Setup!$C$5,"PAST DUE: milestone date has passed",IF(G395&lt;Setup!$C$5,"LATE: order today, ask about rush",IF(G395&lt;Setup!$C$5+14,"Order within 2 weeks","Scheduled"))))))</f>
        <v/>
      </c>
    </row>
    <row r="396" spans="1:8" x14ac:dyDescent="0.2">
      <c r="A396" s="9"/>
      <c r="B396" s="11"/>
      <c r="C396" s="9"/>
      <c r="D396" s="12"/>
      <c r="E396" s="19" t="str">
        <f>IF(Calc!$AI396="","",INDEX(Setup!$C$20:$C$34,Calc!$AI396))</f>
        <v/>
      </c>
      <c r="F396" s="20" t="str">
        <f>IF(Calc!$AI396="","",INDEX(Calc!$B396:$P396,1,Calc!$AI396))</f>
        <v/>
      </c>
      <c r="G396" s="20" t="str">
        <f>IF(Calc!$AI396="","",INT(Calc!$AH396))</f>
        <v/>
      </c>
      <c r="H396" s="21" t="str">
        <f>IF(AND(A396="",B396=""),"",IF(NOT(ISNUMBER(B396)),"Check hire date: not a date",IF(Calc!$AI396="","No milestones left to order",IF(F396&lt;Setup!$C$5,"PAST DUE: milestone date has passed",IF(G396&lt;Setup!$C$5,"LATE: order today, ask about rush",IF(G396&lt;Setup!$C$5+14,"Order within 2 weeks","Scheduled"))))))</f>
        <v/>
      </c>
    </row>
    <row r="397" spans="1:8" x14ac:dyDescent="0.2">
      <c r="A397" s="9"/>
      <c r="B397" s="11"/>
      <c r="C397" s="9"/>
      <c r="D397" s="12"/>
      <c r="E397" s="19" t="str">
        <f>IF(Calc!$AI397="","",INDEX(Setup!$C$20:$C$34,Calc!$AI397))</f>
        <v/>
      </c>
      <c r="F397" s="20" t="str">
        <f>IF(Calc!$AI397="","",INDEX(Calc!$B397:$P397,1,Calc!$AI397))</f>
        <v/>
      </c>
      <c r="G397" s="20" t="str">
        <f>IF(Calc!$AI397="","",INT(Calc!$AH397))</f>
        <v/>
      </c>
      <c r="H397" s="21" t="str">
        <f>IF(AND(A397="",B397=""),"",IF(NOT(ISNUMBER(B397)),"Check hire date: not a date",IF(Calc!$AI397="","No milestones left to order",IF(F397&lt;Setup!$C$5,"PAST DUE: milestone date has passed",IF(G397&lt;Setup!$C$5,"LATE: order today, ask about rush",IF(G397&lt;Setup!$C$5+14,"Order within 2 weeks","Scheduled"))))))</f>
        <v/>
      </c>
    </row>
    <row r="398" spans="1:8" x14ac:dyDescent="0.2">
      <c r="A398" s="9"/>
      <c r="B398" s="11"/>
      <c r="C398" s="9"/>
      <c r="D398" s="12"/>
      <c r="E398" s="19" t="str">
        <f>IF(Calc!$AI398="","",INDEX(Setup!$C$20:$C$34,Calc!$AI398))</f>
        <v/>
      </c>
      <c r="F398" s="20" t="str">
        <f>IF(Calc!$AI398="","",INDEX(Calc!$B398:$P398,1,Calc!$AI398))</f>
        <v/>
      </c>
      <c r="G398" s="20" t="str">
        <f>IF(Calc!$AI398="","",INT(Calc!$AH398))</f>
        <v/>
      </c>
      <c r="H398" s="21" t="str">
        <f>IF(AND(A398="",B398=""),"",IF(NOT(ISNUMBER(B398)),"Check hire date: not a date",IF(Calc!$AI398="","No milestones left to order",IF(F398&lt;Setup!$C$5,"PAST DUE: milestone date has passed",IF(G398&lt;Setup!$C$5,"LATE: order today, ask about rush",IF(G398&lt;Setup!$C$5+14,"Order within 2 weeks","Scheduled"))))))</f>
        <v/>
      </c>
    </row>
    <row r="399" spans="1:8" x14ac:dyDescent="0.2">
      <c r="A399" s="9"/>
      <c r="B399" s="11"/>
      <c r="C399" s="9"/>
      <c r="D399" s="12"/>
      <c r="E399" s="19" t="str">
        <f>IF(Calc!$AI399="","",INDEX(Setup!$C$20:$C$34,Calc!$AI399))</f>
        <v/>
      </c>
      <c r="F399" s="20" t="str">
        <f>IF(Calc!$AI399="","",INDEX(Calc!$B399:$P399,1,Calc!$AI399))</f>
        <v/>
      </c>
      <c r="G399" s="20" t="str">
        <f>IF(Calc!$AI399="","",INT(Calc!$AH399))</f>
        <v/>
      </c>
      <c r="H399" s="21" t="str">
        <f>IF(AND(A399="",B399=""),"",IF(NOT(ISNUMBER(B399)),"Check hire date: not a date",IF(Calc!$AI399="","No milestones left to order",IF(F399&lt;Setup!$C$5,"PAST DUE: milestone date has passed",IF(G399&lt;Setup!$C$5,"LATE: order today, ask about rush",IF(G399&lt;Setup!$C$5+14,"Order within 2 weeks","Scheduled"))))))</f>
        <v/>
      </c>
    </row>
    <row r="400" spans="1:8" x14ac:dyDescent="0.2">
      <c r="A400" s="9"/>
      <c r="B400" s="11"/>
      <c r="C400" s="9"/>
      <c r="D400" s="12"/>
      <c r="E400" s="19" t="str">
        <f>IF(Calc!$AI400="","",INDEX(Setup!$C$20:$C$34,Calc!$AI400))</f>
        <v/>
      </c>
      <c r="F400" s="20" t="str">
        <f>IF(Calc!$AI400="","",INDEX(Calc!$B400:$P400,1,Calc!$AI400))</f>
        <v/>
      </c>
      <c r="G400" s="20" t="str">
        <f>IF(Calc!$AI400="","",INT(Calc!$AH400))</f>
        <v/>
      </c>
      <c r="H400" s="21" t="str">
        <f>IF(AND(A400="",B400=""),"",IF(NOT(ISNUMBER(B400)),"Check hire date: not a date",IF(Calc!$AI400="","No milestones left to order",IF(F400&lt;Setup!$C$5,"PAST DUE: milestone date has passed",IF(G400&lt;Setup!$C$5,"LATE: order today, ask about rush",IF(G400&lt;Setup!$C$5+14,"Order within 2 weeks","Scheduled"))))))</f>
        <v/>
      </c>
    </row>
    <row r="401" spans="1:8" x14ac:dyDescent="0.2">
      <c r="A401" s="9"/>
      <c r="B401" s="11"/>
      <c r="C401" s="9"/>
      <c r="D401" s="12"/>
      <c r="E401" s="19" t="str">
        <f>IF(Calc!$AI401="","",INDEX(Setup!$C$20:$C$34,Calc!$AI401))</f>
        <v/>
      </c>
      <c r="F401" s="20" t="str">
        <f>IF(Calc!$AI401="","",INDEX(Calc!$B401:$P401,1,Calc!$AI401))</f>
        <v/>
      </c>
      <c r="G401" s="20" t="str">
        <f>IF(Calc!$AI401="","",INT(Calc!$AH401))</f>
        <v/>
      </c>
      <c r="H401" s="21" t="str">
        <f>IF(AND(A401="",B401=""),"",IF(NOT(ISNUMBER(B401)),"Check hire date: not a date",IF(Calc!$AI401="","No milestones left to order",IF(F401&lt;Setup!$C$5,"PAST DUE: milestone date has passed",IF(G401&lt;Setup!$C$5,"LATE: order today, ask about rush",IF(G401&lt;Setup!$C$5+14,"Order within 2 weeks","Scheduled"))))))</f>
        <v/>
      </c>
    </row>
    <row r="402" spans="1:8" x14ac:dyDescent="0.2">
      <c r="A402" s="9"/>
      <c r="B402" s="11"/>
      <c r="C402" s="9"/>
      <c r="D402" s="12"/>
      <c r="E402" s="19" t="str">
        <f>IF(Calc!$AI402="","",INDEX(Setup!$C$20:$C$34,Calc!$AI402))</f>
        <v/>
      </c>
      <c r="F402" s="20" t="str">
        <f>IF(Calc!$AI402="","",INDEX(Calc!$B402:$P402,1,Calc!$AI402))</f>
        <v/>
      </c>
      <c r="G402" s="20" t="str">
        <f>IF(Calc!$AI402="","",INT(Calc!$AH402))</f>
        <v/>
      </c>
      <c r="H402" s="21" t="str">
        <f>IF(AND(A402="",B402=""),"",IF(NOT(ISNUMBER(B402)),"Check hire date: not a date",IF(Calc!$AI402="","No milestones left to order",IF(F402&lt;Setup!$C$5,"PAST DUE: milestone date has passed",IF(G402&lt;Setup!$C$5,"LATE: order today, ask about rush",IF(G402&lt;Setup!$C$5+14,"Order within 2 weeks","Scheduled"))))))</f>
        <v/>
      </c>
    </row>
    <row r="403" spans="1:8" x14ac:dyDescent="0.2">
      <c r="A403" s="9"/>
      <c r="B403" s="11"/>
      <c r="C403" s="9"/>
      <c r="D403" s="12"/>
      <c r="E403" s="19" t="str">
        <f>IF(Calc!$AI403="","",INDEX(Setup!$C$20:$C$34,Calc!$AI403))</f>
        <v/>
      </c>
      <c r="F403" s="20" t="str">
        <f>IF(Calc!$AI403="","",INDEX(Calc!$B403:$P403,1,Calc!$AI403))</f>
        <v/>
      </c>
      <c r="G403" s="20" t="str">
        <f>IF(Calc!$AI403="","",INT(Calc!$AH403))</f>
        <v/>
      </c>
      <c r="H403" s="21" t="str">
        <f>IF(AND(A403="",B403=""),"",IF(NOT(ISNUMBER(B403)),"Check hire date: not a date",IF(Calc!$AI403="","No milestones left to order",IF(F403&lt;Setup!$C$5,"PAST DUE: milestone date has passed",IF(G403&lt;Setup!$C$5,"LATE: order today, ask about rush",IF(G403&lt;Setup!$C$5+14,"Order within 2 weeks","Scheduled"))))))</f>
        <v/>
      </c>
    </row>
    <row r="404" spans="1:8" x14ac:dyDescent="0.2">
      <c r="A404" s="9"/>
      <c r="B404" s="11"/>
      <c r="C404" s="9"/>
      <c r="D404" s="12"/>
      <c r="E404" s="19" t="str">
        <f>IF(Calc!$AI404="","",INDEX(Setup!$C$20:$C$34,Calc!$AI404))</f>
        <v/>
      </c>
      <c r="F404" s="20" t="str">
        <f>IF(Calc!$AI404="","",INDEX(Calc!$B404:$P404,1,Calc!$AI404))</f>
        <v/>
      </c>
      <c r="G404" s="20" t="str">
        <f>IF(Calc!$AI404="","",INT(Calc!$AH404))</f>
        <v/>
      </c>
      <c r="H404" s="21" t="str">
        <f>IF(AND(A404="",B404=""),"",IF(NOT(ISNUMBER(B404)),"Check hire date: not a date",IF(Calc!$AI404="","No milestones left to order",IF(F404&lt;Setup!$C$5,"PAST DUE: milestone date has passed",IF(G404&lt;Setup!$C$5,"LATE: order today, ask about rush",IF(G404&lt;Setup!$C$5+14,"Order within 2 weeks","Scheduled"))))))</f>
        <v/>
      </c>
    </row>
    <row r="405" spans="1:8" x14ac:dyDescent="0.2">
      <c r="A405" s="9"/>
      <c r="B405" s="11"/>
      <c r="C405" s="9"/>
      <c r="D405" s="12"/>
      <c r="E405" s="19" t="str">
        <f>IF(Calc!$AI405="","",INDEX(Setup!$C$20:$C$34,Calc!$AI405))</f>
        <v/>
      </c>
      <c r="F405" s="20" t="str">
        <f>IF(Calc!$AI405="","",INDEX(Calc!$B405:$P405,1,Calc!$AI405))</f>
        <v/>
      </c>
      <c r="G405" s="20" t="str">
        <f>IF(Calc!$AI405="","",INT(Calc!$AH405))</f>
        <v/>
      </c>
      <c r="H405" s="21" t="str">
        <f>IF(AND(A405="",B405=""),"",IF(NOT(ISNUMBER(B405)),"Check hire date: not a date",IF(Calc!$AI405="","No milestones left to order",IF(F405&lt;Setup!$C$5,"PAST DUE: milestone date has passed",IF(G405&lt;Setup!$C$5,"LATE: order today, ask about rush",IF(G405&lt;Setup!$C$5+14,"Order within 2 weeks","Scheduled"))))))</f>
        <v/>
      </c>
    </row>
    <row r="406" spans="1:8" x14ac:dyDescent="0.2">
      <c r="A406" s="9"/>
      <c r="B406" s="11"/>
      <c r="C406" s="9"/>
      <c r="D406" s="12"/>
      <c r="E406" s="19" t="str">
        <f>IF(Calc!$AI406="","",INDEX(Setup!$C$20:$C$34,Calc!$AI406))</f>
        <v/>
      </c>
      <c r="F406" s="20" t="str">
        <f>IF(Calc!$AI406="","",INDEX(Calc!$B406:$P406,1,Calc!$AI406))</f>
        <v/>
      </c>
      <c r="G406" s="20" t="str">
        <f>IF(Calc!$AI406="","",INT(Calc!$AH406))</f>
        <v/>
      </c>
      <c r="H406" s="21" t="str">
        <f>IF(AND(A406="",B406=""),"",IF(NOT(ISNUMBER(B406)),"Check hire date: not a date",IF(Calc!$AI406="","No milestones left to order",IF(F406&lt;Setup!$C$5,"PAST DUE: milestone date has passed",IF(G406&lt;Setup!$C$5,"LATE: order today, ask about rush",IF(G406&lt;Setup!$C$5+14,"Order within 2 weeks","Scheduled"))))))</f>
        <v/>
      </c>
    </row>
    <row r="407" spans="1:8" x14ac:dyDescent="0.2">
      <c r="A407" s="9"/>
      <c r="B407" s="11"/>
      <c r="C407" s="9"/>
      <c r="D407" s="12"/>
      <c r="E407" s="19" t="str">
        <f>IF(Calc!$AI407="","",INDEX(Setup!$C$20:$C$34,Calc!$AI407))</f>
        <v/>
      </c>
      <c r="F407" s="20" t="str">
        <f>IF(Calc!$AI407="","",INDEX(Calc!$B407:$P407,1,Calc!$AI407))</f>
        <v/>
      </c>
      <c r="G407" s="20" t="str">
        <f>IF(Calc!$AI407="","",INT(Calc!$AH407))</f>
        <v/>
      </c>
      <c r="H407" s="21" t="str">
        <f>IF(AND(A407="",B407=""),"",IF(NOT(ISNUMBER(B407)),"Check hire date: not a date",IF(Calc!$AI407="","No milestones left to order",IF(F407&lt;Setup!$C$5,"PAST DUE: milestone date has passed",IF(G407&lt;Setup!$C$5,"LATE: order today, ask about rush",IF(G407&lt;Setup!$C$5+14,"Order within 2 weeks","Scheduled"))))))</f>
        <v/>
      </c>
    </row>
    <row r="408" spans="1:8" x14ac:dyDescent="0.2">
      <c r="A408" s="9"/>
      <c r="B408" s="11"/>
      <c r="C408" s="9"/>
      <c r="D408" s="12"/>
      <c r="E408" s="19" t="str">
        <f>IF(Calc!$AI408="","",INDEX(Setup!$C$20:$C$34,Calc!$AI408))</f>
        <v/>
      </c>
      <c r="F408" s="20" t="str">
        <f>IF(Calc!$AI408="","",INDEX(Calc!$B408:$P408,1,Calc!$AI408))</f>
        <v/>
      </c>
      <c r="G408" s="20" t="str">
        <f>IF(Calc!$AI408="","",INT(Calc!$AH408))</f>
        <v/>
      </c>
      <c r="H408" s="21" t="str">
        <f>IF(AND(A408="",B408=""),"",IF(NOT(ISNUMBER(B408)),"Check hire date: not a date",IF(Calc!$AI408="","No milestones left to order",IF(F408&lt;Setup!$C$5,"PAST DUE: milestone date has passed",IF(G408&lt;Setup!$C$5,"LATE: order today, ask about rush",IF(G408&lt;Setup!$C$5+14,"Order within 2 weeks","Scheduled"))))))</f>
        <v/>
      </c>
    </row>
    <row r="409" spans="1:8" x14ac:dyDescent="0.2">
      <c r="A409" s="9"/>
      <c r="B409" s="11"/>
      <c r="C409" s="9"/>
      <c r="D409" s="12"/>
      <c r="E409" s="19" t="str">
        <f>IF(Calc!$AI409="","",INDEX(Setup!$C$20:$C$34,Calc!$AI409))</f>
        <v/>
      </c>
      <c r="F409" s="20" t="str">
        <f>IF(Calc!$AI409="","",INDEX(Calc!$B409:$P409,1,Calc!$AI409))</f>
        <v/>
      </c>
      <c r="G409" s="20" t="str">
        <f>IF(Calc!$AI409="","",INT(Calc!$AH409))</f>
        <v/>
      </c>
      <c r="H409" s="21" t="str">
        <f>IF(AND(A409="",B409=""),"",IF(NOT(ISNUMBER(B409)),"Check hire date: not a date",IF(Calc!$AI409="","No milestones left to order",IF(F409&lt;Setup!$C$5,"PAST DUE: milestone date has passed",IF(G409&lt;Setup!$C$5,"LATE: order today, ask about rush",IF(G409&lt;Setup!$C$5+14,"Order within 2 weeks","Scheduled"))))))</f>
        <v/>
      </c>
    </row>
    <row r="410" spans="1:8" x14ac:dyDescent="0.2">
      <c r="A410" s="9"/>
      <c r="B410" s="11"/>
      <c r="C410" s="9"/>
      <c r="D410" s="12"/>
      <c r="E410" s="19" t="str">
        <f>IF(Calc!$AI410="","",INDEX(Setup!$C$20:$C$34,Calc!$AI410))</f>
        <v/>
      </c>
      <c r="F410" s="20" t="str">
        <f>IF(Calc!$AI410="","",INDEX(Calc!$B410:$P410,1,Calc!$AI410))</f>
        <v/>
      </c>
      <c r="G410" s="20" t="str">
        <f>IF(Calc!$AI410="","",INT(Calc!$AH410))</f>
        <v/>
      </c>
      <c r="H410" s="21" t="str">
        <f>IF(AND(A410="",B410=""),"",IF(NOT(ISNUMBER(B410)),"Check hire date: not a date",IF(Calc!$AI410="","No milestones left to order",IF(F410&lt;Setup!$C$5,"PAST DUE: milestone date has passed",IF(G410&lt;Setup!$C$5,"LATE: order today, ask about rush",IF(G410&lt;Setup!$C$5+14,"Order within 2 weeks","Scheduled"))))))</f>
        <v/>
      </c>
    </row>
    <row r="411" spans="1:8" x14ac:dyDescent="0.2">
      <c r="A411" s="9"/>
      <c r="B411" s="11"/>
      <c r="C411" s="9"/>
      <c r="D411" s="12"/>
      <c r="E411" s="19" t="str">
        <f>IF(Calc!$AI411="","",INDEX(Setup!$C$20:$C$34,Calc!$AI411))</f>
        <v/>
      </c>
      <c r="F411" s="20" t="str">
        <f>IF(Calc!$AI411="","",INDEX(Calc!$B411:$P411,1,Calc!$AI411))</f>
        <v/>
      </c>
      <c r="G411" s="20" t="str">
        <f>IF(Calc!$AI411="","",INT(Calc!$AH411))</f>
        <v/>
      </c>
      <c r="H411" s="21" t="str">
        <f>IF(AND(A411="",B411=""),"",IF(NOT(ISNUMBER(B411)),"Check hire date: not a date",IF(Calc!$AI411="","No milestones left to order",IF(F411&lt;Setup!$C$5,"PAST DUE: milestone date has passed",IF(G411&lt;Setup!$C$5,"LATE: order today, ask about rush",IF(G411&lt;Setup!$C$5+14,"Order within 2 weeks","Scheduled"))))))</f>
        <v/>
      </c>
    </row>
    <row r="412" spans="1:8" x14ac:dyDescent="0.2">
      <c r="A412" s="9"/>
      <c r="B412" s="11"/>
      <c r="C412" s="9"/>
      <c r="D412" s="12"/>
      <c r="E412" s="19" t="str">
        <f>IF(Calc!$AI412="","",INDEX(Setup!$C$20:$C$34,Calc!$AI412))</f>
        <v/>
      </c>
      <c r="F412" s="20" t="str">
        <f>IF(Calc!$AI412="","",INDEX(Calc!$B412:$P412,1,Calc!$AI412))</f>
        <v/>
      </c>
      <c r="G412" s="20" t="str">
        <f>IF(Calc!$AI412="","",INT(Calc!$AH412))</f>
        <v/>
      </c>
      <c r="H412" s="21" t="str">
        <f>IF(AND(A412="",B412=""),"",IF(NOT(ISNUMBER(B412)),"Check hire date: not a date",IF(Calc!$AI412="","No milestones left to order",IF(F412&lt;Setup!$C$5,"PAST DUE: milestone date has passed",IF(G412&lt;Setup!$C$5,"LATE: order today, ask about rush",IF(G412&lt;Setup!$C$5+14,"Order within 2 weeks","Scheduled"))))))</f>
        <v/>
      </c>
    </row>
    <row r="413" spans="1:8" x14ac:dyDescent="0.2">
      <c r="A413" s="9"/>
      <c r="B413" s="11"/>
      <c r="C413" s="9"/>
      <c r="D413" s="12"/>
      <c r="E413" s="19" t="str">
        <f>IF(Calc!$AI413="","",INDEX(Setup!$C$20:$C$34,Calc!$AI413))</f>
        <v/>
      </c>
      <c r="F413" s="20" t="str">
        <f>IF(Calc!$AI413="","",INDEX(Calc!$B413:$P413,1,Calc!$AI413))</f>
        <v/>
      </c>
      <c r="G413" s="20" t="str">
        <f>IF(Calc!$AI413="","",INT(Calc!$AH413))</f>
        <v/>
      </c>
      <c r="H413" s="21" t="str">
        <f>IF(AND(A413="",B413=""),"",IF(NOT(ISNUMBER(B413)),"Check hire date: not a date",IF(Calc!$AI413="","No milestones left to order",IF(F413&lt;Setup!$C$5,"PAST DUE: milestone date has passed",IF(G413&lt;Setup!$C$5,"LATE: order today, ask about rush",IF(G413&lt;Setup!$C$5+14,"Order within 2 weeks","Scheduled"))))))</f>
        <v/>
      </c>
    </row>
    <row r="414" spans="1:8" x14ac:dyDescent="0.2">
      <c r="A414" s="9"/>
      <c r="B414" s="11"/>
      <c r="C414" s="9"/>
      <c r="D414" s="12"/>
      <c r="E414" s="19" t="str">
        <f>IF(Calc!$AI414="","",INDEX(Setup!$C$20:$C$34,Calc!$AI414))</f>
        <v/>
      </c>
      <c r="F414" s="20" t="str">
        <f>IF(Calc!$AI414="","",INDEX(Calc!$B414:$P414,1,Calc!$AI414))</f>
        <v/>
      </c>
      <c r="G414" s="20" t="str">
        <f>IF(Calc!$AI414="","",INT(Calc!$AH414))</f>
        <v/>
      </c>
      <c r="H414" s="21" t="str">
        <f>IF(AND(A414="",B414=""),"",IF(NOT(ISNUMBER(B414)),"Check hire date: not a date",IF(Calc!$AI414="","No milestones left to order",IF(F414&lt;Setup!$C$5,"PAST DUE: milestone date has passed",IF(G414&lt;Setup!$C$5,"LATE: order today, ask about rush",IF(G414&lt;Setup!$C$5+14,"Order within 2 weeks","Scheduled"))))))</f>
        <v/>
      </c>
    </row>
    <row r="415" spans="1:8" x14ac:dyDescent="0.2">
      <c r="A415" s="9"/>
      <c r="B415" s="11"/>
      <c r="C415" s="9"/>
      <c r="D415" s="12"/>
      <c r="E415" s="19" t="str">
        <f>IF(Calc!$AI415="","",INDEX(Setup!$C$20:$C$34,Calc!$AI415))</f>
        <v/>
      </c>
      <c r="F415" s="20" t="str">
        <f>IF(Calc!$AI415="","",INDEX(Calc!$B415:$P415,1,Calc!$AI415))</f>
        <v/>
      </c>
      <c r="G415" s="20" t="str">
        <f>IF(Calc!$AI415="","",INT(Calc!$AH415))</f>
        <v/>
      </c>
      <c r="H415" s="21" t="str">
        <f>IF(AND(A415="",B415=""),"",IF(NOT(ISNUMBER(B415)),"Check hire date: not a date",IF(Calc!$AI415="","No milestones left to order",IF(F415&lt;Setup!$C$5,"PAST DUE: milestone date has passed",IF(G415&lt;Setup!$C$5,"LATE: order today, ask about rush",IF(G415&lt;Setup!$C$5+14,"Order within 2 weeks","Scheduled"))))))</f>
        <v/>
      </c>
    </row>
    <row r="416" spans="1:8" x14ac:dyDescent="0.2">
      <c r="A416" s="9"/>
      <c r="B416" s="11"/>
      <c r="C416" s="9"/>
      <c r="D416" s="12"/>
      <c r="E416" s="19" t="str">
        <f>IF(Calc!$AI416="","",INDEX(Setup!$C$20:$C$34,Calc!$AI416))</f>
        <v/>
      </c>
      <c r="F416" s="20" t="str">
        <f>IF(Calc!$AI416="","",INDEX(Calc!$B416:$P416,1,Calc!$AI416))</f>
        <v/>
      </c>
      <c r="G416" s="20" t="str">
        <f>IF(Calc!$AI416="","",INT(Calc!$AH416))</f>
        <v/>
      </c>
      <c r="H416" s="21" t="str">
        <f>IF(AND(A416="",B416=""),"",IF(NOT(ISNUMBER(B416)),"Check hire date: not a date",IF(Calc!$AI416="","No milestones left to order",IF(F416&lt;Setup!$C$5,"PAST DUE: milestone date has passed",IF(G416&lt;Setup!$C$5,"LATE: order today, ask about rush",IF(G416&lt;Setup!$C$5+14,"Order within 2 weeks","Scheduled"))))))</f>
        <v/>
      </c>
    </row>
    <row r="417" spans="1:8" x14ac:dyDescent="0.2">
      <c r="A417" s="9"/>
      <c r="B417" s="11"/>
      <c r="C417" s="9"/>
      <c r="D417" s="12"/>
      <c r="E417" s="19" t="str">
        <f>IF(Calc!$AI417="","",INDEX(Setup!$C$20:$C$34,Calc!$AI417))</f>
        <v/>
      </c>
      <c r="F417" s="20" t="str">
        <f>IF(Calc!$AI417="","",INDEX(Calc!$B417:$P417,1,Calc!$AI417))</f>
        <v/>
      </c>
      <c r="G417" s="20" t="str">
        <f>IF(Calc!$AI417="","",INT(Calc!$AH417))</f>
        <v/>
      </c>
      <c r="H417" s="21" t="str">
        <f>IF(AND(A417="",B417=""),"",IF(NOT(ISNUMBER(B417)),"Check hire date: not a date",IF(Calc!$AI417="","No milestones left to order",IF(F417&lt;Setup!$C$5,"PAST DUE: milestone date has passed",IF(G417&lt;Setup!$C$5,"LATE: order today, ask about rush",IF(G417&lt;Setup!$C$5+14,"Order within 2 weeks","Scheduled"))))))</f>
        <v/>
      </c>
    </row>
    <row r="418" spans="1:8" x14ac:dyDescent="0.2">
      <c r="A418" s="9"/>
      <c r="B418" s="11"/>
      <c r="C418" s="9"/>
      <c r="D418" s="12"/>
      <c r="E418" s="19" t="str">
        <f>IF(Calc!$AI418="","",INDEX(Setup!$C$20:$C$34,Calc!$AI418))</f>
        <v/>
      </c>
      <c r="F418" s="20" t="str">
        <f>IF(Calc!$AI418="","",INDEX(Calc!$B418:$P418,1,Calc!$AI418))</f>
        <v/>
      </c>
      <c r="G418" s="20" t="str">
        <f>IF(Calc!$AI418="","",INT(Calc!$AH418))</f>
        <v/>
      </c>
      <c r="H418" s="21" t="str">
        <f>IF(AND(A418="",B418=""),"",IF(NOT(ISNUMBER(B418)),"Check hire date: not a date",IF(Calc!$AI418="","No milestones left to order",IF(F418&lt;Setup!$C$5,"PAST DUE: milestone date has passed",IF(G418&lt;Setup!$C$5,"LATE: order today, ask about rush",IF(G418&lt;Setup!$C$5+14,"Order within 2 weeks","Scheduled"))))))</f>
        <v/>
      </c>
    </row>
    <row r="419" spans="1:8" x14ac:dyDescent="0.2">
      <c r="A419" s="9"/>
      <c r="B419" s="11"/>
      <c r="C419" s="9"/>
      <c r="D419" s="12"/>
      <c r="E419" s="19" t="str">
        <f>IF(Calc!$AI419="","",INDEX(Setup!$C$20:$C$34,Calc!$AI419))</f>
        <v/>
      </c>
      <c r="F419" s="20" t="str">
        <f>IF(Calc!$AI419="","",INDEX(Calc!$B419:$P419,1,Calc!$AI419))</f>
        <v/>
      </c>
      <c r="G419" s="20" t="str">
        <f>IF(Calc!$AI419="","",INT(Calc!$AH419))</f>
        <v/>
      </c>
      <c r="H419" s="21" t="str">
        <f>IF(AND(A419="",B419=""),"",IF(NOT(ISNUMBER(B419)),"Check hire date: not a date",IF(Calc!$AI419="","No milestones left to order",IF(F419&lt;Setup!$C$5,"PAST DUE: milestone date has passed",IF(G419&lt;Setup!$C$5,"LATE: order today, ask about rush",IF(G419&lt;Setup!$C$5+14,"Order within 2 weeks","Scheduled"))))))</f>
        <v/>
      </c>
    </row>
    <row r="420" spans="1:8" x14ac:dyDescent="0.2">
      <c r="A420" s="9"/>
      <c r="B420" s="11"/>
      <c r="C420" s="9"/>
      <c r="D420" s="12"/>
      <c r="E420" s="19" t="str">
        <f>IF(Calc!$AI420="","",INDEX(Setup!$C$20:$C$34,Calc!$AI420))</f>
        <v/>
      </c>
      <c r="F420" s="20" t="str">
        <f>IF(Calc!$AI420="","",INDEX(Calc!$B420:$P420,1,Calc!$AI420))</f>
        <v/>
      </c>
      <c r="G420" s="20" t="str">
        <f>IF(Calc!$AI420="","",INT(Calc!$AH420))</f>
        <v/>
      </c>
      <c r="H420" s="21" t="str">
        <f>IF(AND(A420="",B420=""),"",IF(NOT(ISNUMBER(B420)),"Check hire date: not a date",IF(Calc!$AI420="","No milestones left to order",IF(F420&lt;Setup!$C$5,"PAST DUE: milestone date has passed",IF(G420&lt;Setup!$C$5,"LATE: order today, ask about rush",IF(G420&lt;Setup!$C$5+14,"Order within 2 weeks","Scheduled"))))))</f>
        <v/>
      </c>
    </row>
    <row r="421" spans="1:8" x14ac:dyDescent="0.2">
      <c r="A421" s="9"/>
      <c r="B421" s="11"/>
      <c r="C421" s="9"/>
      <c r="D421" s="12"/>
      <c r="E421" s="19" t="str">
        <f>IF(Calc!$AI421="","",INDEX(Setup!$C$20:$C$34,Calc!$AI421))</f>
        <v/>
      </c>
      <c r="F421" s="20" t="str">
        <f>IF(Calc!$AI421="","",INDEX(Calc!$B421:$P421,1,Calc!$AI421))</f>
        <v/>
      </c>
      <c r="G421" s="20" t="str">
        <f>IF(Calc!$AI421="","",INT(Calc!$AH421))</f>
        <v/>
      </c>
      <c r="H421" s="21" t="str">
        <f>IF(AND(A421="",B421=""),"",IF(NOT(ISNUMBER(B421)),"Check hire date: not a date",IF(Calc!$AI421="","No milestones left to order",IF(F421&lt;Setup!$C$5,"PAST DUE: milestone date has passed",IF(G421&lt;Setup!$C$5,"LATE: order today, ask about rush",IF(G421&lt;Setup!$C$5+14,"Order within 2 weeks","Scheduled"))))))</f>
        <v/>
      </c>
    </row>
    <row r="422" spans="1:8" x14ac:dyDescent="0.2">
      <c r="A422" s="9"/>
      <c r="B422" s="11"/>
      <c r="C422" s="9"/>
      <c r="D422" s="12"/>
      <c r="E422" s="19" t="str">
        <f>IF(Calc!$AI422="","",INDEX(Setup!$C$20:$C$34,Calc!$AI422))</f>
        <v/>
      </c>
      <c r="F422" s="20" t="str">
        <f>IF(Calc!$AI422="","",INDEX(Calc!$B422:$P422,1,Calc!$AI422))</f>
        <v/>
      </c>
      <c r="G422" s="20" t="str">
        <f>IF(Calc!$AI422="","",INT(Calc!$AH422))</f>
        <v/>
      </c>
      <c r="H422" s="21" t="str">
        <f>IF(AND(A422="",B422=""),"",IF(NOT(ISNUMBER(B422)),"Check hire date: not a date",IF(Calc!$AI422="","No milestones left to order",IF(F422&lt;Setup!$C$5,"PAST DUE: milestone date has passed",IF(G422&lt;Setup!$C$5,"LATE: order today, ask about rush",IF(G422&lt;Setup!$C$5+14,"Order within 2 weeks","Scheduled"))))))</f>
        <v/>
      </c>
    </row>
    <row r="423" spans="1:8" x14ac:dyDescent="0.2">
      <c r="A423" s="9"/>
      <c r="B423" s="11"/>
      <c r="C423" s="9"/>
      <c r="D423" s="12"/>
      <c r="E423" s="19" t="str">
        <f>IF(Calc!$AI423="","",INDEX(Setup!$C$20:$C$34,Calc!$AI423))</f>
        <v/>
      </c>
      <c r="F423" s="20" t="str">
        <f>IF(Calc!$AI423="","",INDEX(Calc!$B423:$P423,1,Calc!$AI423))</f>
        <v/>
      </c>
      <c r="G423" s="20" t="str">
        <f>IF(Calc!$AI423="","",INT(Calc!$AH423))</f>
        <v/>
      </c>
      <c r="H423" s="21" t="str">
        <f>IF(AND(A423="",B423=""),"",IF(NOT(ISNUMBER(B423)),"Check hire date: not a date",IF(Calc!$AI423="","No milestones left to order",IF(F423&lt;Setup!$C$5,"PAST DUE: milestone date has passed",IF(G423&lt;Setup!$C$5,"LATE: order today, ask about rush",IF(G423&lt;Setup!$C$5+14,"Order within 2 weeks","Scheduled"))))))</f>
        <v/>
      </c>
    </row>
    <row r="424" spans="1:8" x14ac:dyDescent="0.2">
      <c r="A424" s="9"/>
      <c r="B424" s="11"/>
      <c r="C424" s="9"/>
      <c r="D424" s="12"/>
      <c r="E424" s="19" t="str">
        <f>IF(Calc!$AI424="","",INDEX(Setup!$C$20:$C$34,Calc!$AI424))</f>
        <v/>
      </c>
      <c r="F424" s="20" t="str">
        <f>IF(Calc!$AI424="","",INDEX(Calc!$B424:$P424,1,Calc!$AI424))</f>
        <v/>
      </c>
      <c r="G424" s="20" t="str">
        <f>IF(Calc!$AI424="","",INT(Calc!$AH424))</f>
        <v/>
      </c>
      <c r="H424" s="21" t="str">
        <f>IF(AND(A424="",B424=""),"",IF(NOT(ISNUMBER(B424)),"Check hire date: not a date",IF(Calc!$AI424="","No milestones left to order",IF(F424&lt;Setup!$C$5,"PAST DUE: milestone date has passed",IF(G424&lt;Setup!$C$5,"LATE: order today, ask about rush",IF(G424&lt;Setup!$C$5+14,"Order within 2 weeks","Scheduled"))))))</f>
        <v/>
      </c>
    </row>
    <row r="425" spans="1:8" x14ac:dyDescent="0.2">
      <c r="A425" s="9"/>
      <c r="B425" s="11"/>
      <c r="C425" s="9"/>
      <c r="D425" s="12"/>
      <c r="E425" s="19" t="str">
        <f>IF(Calc!$AI425="","",INDEX(Setup!$C$20:$C$34,Calc!$AI425))</f>
        <v/>
      </c>
      <c r="F425" s="20" t="str">
        <f>IF(Calc!$AI425="","",INDEX(Calc!$B425:$P425,1,Calc!$AI425))</f>
        <v/>
      </c>
      <c r="G425" s="20" t="str">
        <f>IF(Calc!$AI425="","",INT(Calc!$AH425))</f>
        <v/>
      </c>
      <c r="H425" s="21" t="str">
        <f>IF(AND(A425="",B425=""),"",IF(NOT(ISNUMBER(B425)),"Check hire date: not a date",IF(Calc!$AI425="","No milestones left to order",IF(F425&lt;Setup!$C$5,"PAST DUE: milestone date has passed",IF(G425&lt;Setup!$C$5,"LATE: order today, ask about rush",IF(G425&lt;Setup!$C$5+14,"Order within 2 weeks","Scheduled"))))))</f>
        <v/>
      </c>
    </row>
    <row r="426" spans="1:8" x14ac:dyDescent="0.2">
      <c r="A426" s="9"/>
      <c r="B426" s="11"/>
      <c r="C426" s="9"/>
      <c r="D426" s="12"/>
      <c r="E426" s="19" t="str">
        <f>IF(Calc!$AI426="","",INDEX(Setup!$C$20:$C$34,Calc!$AI426))</f>
        <v/>
      </c>
      <c r="F426" s="20" t="str">
        <f>IF(Calc!$AI426="","",INDEX(Calc!$B426:$P426,1,Calc!$AI426))</f>
        <v/>
      </c>
      <c r="G426" s="20" t="str">
        <f>IF(Calc!$AI426="","",INT(Calc!$AH426))</f>
        <v/>
      </c>
      <c r="H426" s="21" t="str">
        <f>IF(AND(A426="",B426=""),"",IF(NOT(ISNUMBER(B426)),"Check hire date: not a date",IF(Calc!$AI426="","No milestones left to order",IF(F426&lt;Setup!$C$5,"PAST DUE: milestone date has passed",IF(G426&lt;Setup!$C$5,"LATE: order today, ask about rush",IF(G426&lt;Setup!$C$5+14,"Order within 2 weeks","Scheduled"))))))</f>
        <v/>
      </c>
    </row>
    <row r="427" spans="1:8" x14ac:dyDescent="0.2">
      <c r="A427" s="9"/>
      <c r="B427" s="11"/>
      <c r="C427" s="9"/>
      <c r="D427" s="12"/>
      <c r="E427" s="19" t="str">
        <f>IF(Calc!$AI427="","",INDEX(Setup!$C$20:$C$34,Calc!$AI427))</f>
        <v/>
      </c>
      <c r="F427" s="20" t="str">
        <f>IF(Calc!$AI427="","",INDEX(Calc!$B427:$P427,1,Calc!$AI427))</f>
        <v/>
      </c>
      <c r="G427" s="20" t="str">
        <f>IF(Calc!$AI427="","",INT(Calc!$AH427))</f>
        <v/>
      </c>
      <c r="H427" s="21" t="str">
        <f>IF(AND(A427="",B427=""),"",IF(NOT(ISNUMBER(B427)),"Check hire date: not a date",IF(Calc!$AI427="","No milestones left to order",IF(F427&lt;Setup!$C$5,"PAST DUE: milestone date has passed",IF(G427&lt;Setup!$C$5,"LATE: order today, ask about rush",IF(G427&lt;Setup!$C$5+14,"Order within 2 weeks","Scheduled"))))))</f>
        <v/>
      </c>
    </row>
    <row r="428" spans="1:8" x14ac:dyDescent="0.2">
      <c r="A428" s="9"/>
      <c r="B428" s="11"/>
      <c r="C428" s="9"/>
      <c r="D428" s="12"/>
      <c r="E428" s="19" t="str">
        <f>IF(Calc!$AI428="","",INDEX(Setup!$C$20:$C$34,Calc!$AI428))</f>
        <v/>
      </c>
      <c r="F428" s="20" t="str">
        <f>IF(Calc!$AI428="","",INDEX(Calc!$B428:$P428,1,Calc!$AI428))</f>
        <v/>
      </c>
      <c r="G428" s="20" t="str">
        <f>IF(Calc!$AI428="","",INT(Calc!$AH428))</f>
        <v/>
      </c>
      <c r="H428" s="21" t="str">
        <f>IF(AND(A428="",B428=""),"",IF(NOT(ISNUMBER(B428)),"Check hire date: not a date",IF(Calc!$AI428="","No milestones left to order",IF(F428&lt;Setup!$C$5,"PAST DUE: milestone date has passed",IF(G428&lt;Setup!$C$5,"LATE: order today, ask about rush",IF(G428&lt;Setup!$C$5+14,"Order within 2 weeks","Scheduled"))))))</f>
        <v/>
      </c>
    </row>
    <row r="429" spans="1:8" x14ac:dyDescent="0.2">
      <c r="A429" s="9"/>
      <c r="B429" s="11"/>
      <c r="C429" s="9"/>
      <c r="D429" s="12"/>
      <c r="E429" s="19" t="str">
        <f>IF(Calc!$AI429="","",INDEX(Setup!$C$20:$C$34,Calc!$AI429))</f>
        <v/>
      </c>
      <c r="F429" s="20" t="str">
        <f>IF(Calc!$AI429="","",INDEX(Calc!$B429:$P429,1,Calc!$AI429))</f>
        <v/>
      </c>
      <c r="G429" s="20" t="str">
        <f>IF(Calc!$AI429="","",INT(Calc!$AH429))</f>
        <v/>
      </c>
      <c r="H429" s="21" t="str">
        <f>IF(AND(A429="",B429=""),"",IF(NOT(ISNUMBER(B429)),"Check hire date: not a date",IF(Calc!$AI429="","No milestones left to order",IF(F429&lt;Setup!$C$5,"PAST DUE: milestone date has passed",IF(G429&lt;Setup!$C$5,"LATE: order today, ask about rush",IF(G429&lt;Setup!$C$5+14,"Order within 2 weeks","Scheduled"))))))</f>
        <v/>
      </c>
    </row>
    <row r="430" spans="1:8" x14ac:dyDescent="0.2">
      <c r="A430" s="9"/>
      <c r="B430" s="11"/>
      <c r="C430" s="9"/>
      <c r="D430" s="12"/>
      <c r="E430" s="19" t="str">
        <f>IF(Calc!$AI430="","",INDEX(Setup!$C$20:$C$34,Calc!$AI430))</f>
        <v/>
      </c>
      <c r="F430" s="20" t="str">
        <f>IF(Calc!$AI430="","",INDEX(Calc!$B430:$P430,1,Calc!$AI430))</f>
        <v/>
      </c>
      <c r="G430" s="20" t="str">
        <f>IF(Calc!$AI430="","",INT(Calc!$AH430))</f>
        <v/>
      </c>
      <c r="H430" s="21" t="str">
        <f>IF(AND(A430="",B430=""),"",IF(NOT(ISNUMBER(B430)),"Check hire date: not a date",IF(Calc!$AI430="","No milestones left to order",IF(F430&lt;Setup!$C$5,"PAST DUE: milestone date has passed",IF(G430&lt;Setup!$C$5,"LATE: order today, ask about rush",IF(G430&lt;Setup!$C$5+14,"Order within 2 weeks","Scheduled"))))))</f>
        <v/>
      </c>
    </row>
    <row r="431" spans="1:8" x14ac:dyDescent="0.2">
      <c r="A431" s="9"/>
      <c r="B431" s="11"/>
      <c r="C431" s="9"/>
      <c r="D431" s="12"/>
      <c r="E431" s="19" t="str">
        <f>IF(Calc!$AI431="","",INDEX(Setup!$C$20:$C$34,Calc!$AI431))</f>
        <v/>
      </c>
      <c r="F431" s="20" t="str">
        <f>IF(Calc!$AI431="","",INDEX(Calc!$B431:$P431,1,Calc!$AI431))</f>
        <v/>
      </c>
      <c r="G431" s="20" t="str">
        <f>IF(Calc!$AI431="","",INT(Calc!$AH431))</f>
        <v/>
      </c>
      <c r="H431" s="21" t="str">
        <f>IF(AND(A431="",B431=""),"",IF(NOT(ISNUMBER(B431)),"Check hire date: not a date",IF(Calc!$AI431="","No milestones left to order",IF(F431&lt;Setup!$C$5,"PAST DUE: milestone date has passed",IF(G431&lt;Setup!$C$5,"LATE: order today, ask about rush",IF(G431&lt;Setup!$C$5+14,"Order within 2 weeks","Scheduled"))))))</f>
        <v/>
      </c>
    </row>
    <row r="432" spans="1:8" x14ac:dyDescent="0.2">
      <c r="A432" s="9"/>
      <c r="B432" s="11"/>
      <c r="C432" s="9"/>
      <c r="D432" s="12"/>
      <c r="E432" s="19" t="str">
        <f>IF(Calc!$AI432="","",INDEX(Setup!$C$20:$C$34,Calc!$AI432))</f>
        <v/>
      </c>
      <c r="F432" s="20" t="str">
        <f>IF(Calc!$AI432="","",INDEX(Calc!$B432:$P432,1,Calc!$AI432))</f>
        <v/>
      </c>
      <c r="G432" s="20" t="str">
        <f>IF(Calc!$AI432="","",INT(Calc!$AH432))</f>
        <v/>
      </c>
      <c r="H432" s="21" t="str">
        <f>IF(AND(A432="",B432=""),"",IF(NOT(ISNUMBER(B432)),"Check hire date: not a date",IF(Calc!$AI432="","No milestones left to order",IF(F432&lt;Setup!$C$5,"PAST DUE: milestone date has passed",IF(G432&lt;Setup!$C$5,"LATE: order today, ask about rush",IF(G432&lt;Setup!$C$5+14,"Order within 2 weeks","Scheduled"))))))</f>
        <v/>
      </c>
    </row>
    <row r="433" spans="1:8" x14ac:dyDescent="0.2">
      <c r="A433" s="9"/>
      <c r="B433" s="11"/>
      <c r="C433" s="9"/>
      <c r="D433" s="12"/>
      <c r="E433" s="19" t="str">
        <f>IF(Calc!$AI433="","",INDEX(Setup!$C$20:$C$34,Calc!$AI433))</f>
        <v/>
      </c>
      <c r="F433" s="20" t="str">
        <f>IF(Calc!$AI433="","",INDEX(Calc!$B433:$P433,1,Calc!$AI433))</f>
        <v/>
      </c>
      <c r="G433" s="20" t="str">
        <f>IF(Calc!$AI433="","",INT(Calc!$AH433))</f>
        <v/>
      </c>
      <c r="H433" s="21" t="str">
        <f>IF(AND(A433="",B433=""),"",IF(NOT(ISNUMBER(B433)),"Check hire date: not a date",IF(Calc!$AI433="","No milestones left to order",IF(F433&lt;Setup!$C$5,"PAST DUE: milestone date has passed",IF(G433&lt;Setup!$C$5,"LATE: order today, ask about rush",IF(G433&lt;Setup!$C$5+14,"Order within 2 weeks","Scheduled"))))))</f>
        <v/>
      </c>
    </row>
    <row r="434" spans="1:8" x14ac:dyDescent="0.2">
      <c r="A434" s="9"/>
      <c r="B434" s="11"/>
      <c r="C434" s="9"/>
      <c r="D434" s="12"/>
      <c r="E434" s="19" t="str">
        <f>IF(Calc!$AI434="","",INDEX(Setup!$C$20:$C$34,Calc!$AI434))</f>
        <v/>
      </c>
      <c r="F434" s="20" t="str">
        <f>IF(Calc!$AI434="","",INDEX(Calc!$B434:$P434,1,Calc!$AI434))</f>
        <v/>
      </c>
      <c r="G434" s="20" t="str">
        <f>IF(Calc!$AI434="","",INT(Calc!$AH434))</f>
        <v/>
      </c>
      <c r="H434" s="21" t="str">
        <f>IF(AND(A434="",B434=""),"",IF(NOT(ISNUMBER(B434)),"Check hire date: not a date",IF(Calc!$AI434="","No milestones left to order",IF(F434&lt;Setup!$C$5,"PAST DUE: milestone date has passed",IF(G434&lt;Setup!$C$5,"LATE: order today, ask about rush",IF(G434&lt;Setup!$C$5+14,"Order within 2 weeks","Scheduled"))))))</f>
        <v/>
      </c>
    </row>
    <row r="435" spans="1:8" x14ac:dyDescent="0.2">
      <c r="A435" s="9"/>
      <c r="B435" s="11"/>
      <c r="C435" s="9"/>
      <c r="D435" s="12"/>
      <c r="E435" s="19" t="str">
        <f>IF(Calc!$AI435="","",INDEX(Setup!$C$20:$C$34,Calc!$AI435))</f>
        <v/>
      </c>
      <c r="F435" s="20" t="str">
        <f>IF(Calc!$AI435="","",INDEX(Calc!$B435:$P435,1,Calc!$AI435))</f>
        <v/>
      </c>
      <c r="G435" s="20" t="str">
        <f>IF(Calc!$AI435="","",INT(Calc!$AH435))</f>
        <v/>
      </c>
      <c r="H435" s="21" t="str">
        <f>IF(AND(A435="",B435=""),"",IF(NOT(ISNUMBER(B435)),"Check hire date: not a date",IF(Calc!$AI435="","No milestones left to order",IF(F435&lt;Setup!$C$5,"PAST DUE: milestone date has passed",IF(G435&lt;Setup!$C$5,"LATE: order today, ask about rush",IF(G435&lt;Setup!$C$5+14,"Order within 2 weeks","Scheduled"))))))</f>
        <v/>
      </c>
    </row>
    <row r="436" spans="1:8" x14ac:dyDescent="0.2">
      <c r="A436" s="9"/>
      <c r="B436" s="11"/>
      <c r="C436" s="9"/>
      <c r="D436" s="12"/>
      <c r="E436" s="19" t="str">
        <f>IF(Calc!$AI436="","",INDEX(Setup!$C$20:$C$34,Calc!$AI436))</f>
        <v/>
      </c>
      <c r="F436" s="20" t="str">
        <f>IF(Calc!$AI436="","",INDEX(Calc!$B436:$P436,1,Calc!$AI436))</f>
        <v/>
      </c>
      <c r="G436" s="20" t="str">
        <f>IF(Calc!$AI436="","",INT(Calc!$AH436))</f>
        <v/>
      </c>
      <c r="H436" s="21" t="str">
        <f>IF(AND(A436="",B436=""),"",IF(NOT(ISNUMBER(B436)),"Check hire date: not a date",IF(Calc!$AI436="","No milestones left to order",IF(F436&lt;Setup!$C$5,"PAST DUE: milestone date has passed",IF(G436&lt;Setup!$C$5,"LATE: order today, ask about rush",IF(G436&lt;Setup!$C$5+14,"Order within 2 weeks","Scheduled"))))))</f>
        <v/>
      </c>
    </row>
    <row r="437" spans="1:8" x14ac:dyDescent="0.2">
      <c r="A437" s="9"/>
      <c r="B437" s="11"/>
      <c r="C437" s="9"/>
      <c r="D437" s="12"/>
      <c r="E437" s="19" t="str">
        <f>IF(Calc!$AI437="","",INDEX(Setup!$C$20:$C$34,Calc!$AI437))</f>
        <v/>
      </c>
      <c r="F437" s="20" t="str">
        <f>IF(Calc!$AI437="","",INDEX(Calc!$B437:$P437,1,Calc!$AI437))</f>
        <v/>
      </c>
      <c r="G437" s="20" t="str">
        <f>IF(Calc!$AI437="","",INT(Calc!$AH437))</f>
        <v/>
      </c>
      <c r="H437" s="21" t="str">
        <f>IF(AND(A437="",B437=""),"",IF(NOT(ISNUMBER(B437)),"Check hire date: not a date",IF(Calc!$AI437="","No milestones left to order",IF(F437&lt;Setup!$C$5,"PAST DUE: milestone date has passed",IF(G437&lt;Setup!$C$5,"LATE: order today, ask about rush",IF(G437&lt;Setup!$C$5+14,"Order within 2 weeks","Scheduled"))))))</f>
        <v/>
      </c>
    </row>
    <row r="438" spans="1:8" x14ac:dyDescent="0.2">
      <c r="A438" s="9"/>
      <c r="B438" s="11"/>
      <c r="C438" s="9"/>
      <c r="D438" s="12"/>
      <c r="E438" s="19" t="str">
        <f>IF(Calc!$AI438="","",INDEX(Setup!$C$20:$C$34,Calc!$AI438))</f>
        <v/>
      </c>
      <c r="F438" s="20" t="str">
        <f>IF(Calc!$AI438="","",INDEX(Calc!$B438:$P438,1,Calc!$AI438))</f>
        <v/>
      </c>
      <c r="G438" s="20" t="str">
        <f>IF(Calc!$AI438="","",INT(Calc!$AH438))</f>
        <v/>
      </c>
      <c r="H438" s="21" t="str">
        <f>IF(AND(A438="",B438=""),"",IF(NOT(ISNUMBER(B438)),"Check hire date: not a date",IF(Calc!$AI438="","No milestones left to order",IF(F438&lt;Setup!$C$5,"PAST DUE: milestone date has passed",IF(G438&lt;Setup!$C$5,"LATE: order today, ask about rush",IF(G438&lt;Setup!$C$5+14,"Order within 2 weeks","Scheduled"))))))</f>
        <v/>
      </c>
    </row>
    <row r="439" spans="1:8" x14ac:dyDescent="0.2">
      <c r="A439" s="9"/>
      <c r="B439" s="11"/>
      <c r="C439" s="9"/>
      <c r="D439" s="12"/>
      <c r="E439" s="19" t="str">
        <f>IF(Calc!$AI439="","",INDEX(Setup!$C$20:$C$34,Calc!$AI439))</f>
        <v/>
      </c>
      <c r="F439" s="20" t="str">
        <f>IF(Calc!$AI439="","",INDEX(Calc!$B439:$P439,1,Calc!$AI439))</f>
        <v/>
      </c>
      <c r="G439" s="20" t="str">
        <f>IF(Calc!$AI439="","",INT(Calc!$AH439))</f>
        <v/>
      </c>
      <c r="H439" s="21" t="str">
        <f>IF(AND(A439="",B439=""),"",IF(NOT(ISNUMBER(B439)),"Check hire date: not a date",IF(Calc!$AI439="","No milestones left to order",IF(F439&lt;Setup!$C$5,"PAST DUE: milestone date has passed",IF(G439&lt;Setup!$C$5,"LATE: order today, ask about rush",IF(G439&lt;Setup!$C$5+14,"Order within 2 weeks","Scheduled"))))))</f>
        <v/>
      </c>
    </row>
    <row r="440" spans="1:8" x14ac:dyDescent="0.2">
      <c r="A440" s="9"/>
      <c r="B440" s="11"/>
      <c r="C440" s="9"/>
      <c r="D440" s="12"/>
      <c r="E440" s="19" t="str">
        <f>IF(Calc!$AI440="","",INDEX(Setup!$C$20:$C$34,Calc!$AI440))</f>
        <v/>
      </c>
      <c r="F440" s="20" t="str">
        <f>IF(Calc!$AI440="","",INDEX(Calc!$B440:$P440,1,Calc!$AI440))</f>
        <v/>
      </c>
      <c r="G440" s="20" t="str">
        <f>IF(Calc!$AI440="","",INT(Calc!$AH440))</f>
        <v/>
      </c>
      <c r="H440" s="21" t="str">
        <f>IF(AND(A440="",B440=""),"",IF(NOT(ISNUMBER(B440)),"Check hire date: not a date",IF(Calc!$AI440="","No milestones left to order",IF(F440&lt;Setup!$C$5,"PAST DUE: milestone date has passed",IF(G440&lt;Setup!$C$5,"LATE: order today, ask about rush",IF(G440&lt;Setup!$C$5+14,"Order within 2 weeks","Scheduled"))))))</f>
        <v/>
      </c>
    </row>
    <row r="441" spans="1:8" x14ac:dyDescent="0.2">
      <c r="A441" s="9"/>
      <c r="B441" s="11"/>
      <c r="C441" s="9"/>
      <c r="D441" s="12"/>
      <c r="E441" s="19" t="str">
        <f>IF(Calc!$AI441="","",INDEX(Setup!$C$20:$C$34,Calc!$AI441))</f>
        <v/>
      </c>
      <c r="F441" s="20" t="str">
        <f>IF(Calc!$AI441="","",INDEX(Calc!$B441:$P441,1,Calc!$AI441))</f>
        <v/>
      </c>
      <c r="G441" s="20" t="str">
        <f>IF(Calc!$AI441="","",INT(Calc!$AH441))</f>
        <v/>
      </c>
      <c r="H441" s="21" t="str">
        <f>IF(AND(A441="",B441=""),"",IF(NOT(ISNUMBER(B441)),"Check hire date: not a date",IF(Calc!$AI441="","No milestones left to order",IF(F441&lt;Setup!$C$5,"PAST DUE: milestone date has passed",IF(G441&lt;Setup!$C$5,"LATE: order today, ask about rush",IF(G441&lt;Setup!$C$5+14,"Order within 2 weeks","Scheduled"))))))</f>
        <v/>
      </c>
    </row>
    <row r="442" spans="1:8" x14ac:dyDescent="0.2">
      <c r="A442" s="9"/>
      <c r="B442" s="11"/>
      <c r="C442" s="9"/>
      <c r="D442" s="12"/>
      <c r="E442" s="19" t="str">
        <f>IF(Calc!$AI442="","",INDEX(Setup!$C$20:$C$34,Calc!$AI442))</f>
        <v/>
      </c>
      <c r="F442" s="20" t="str">
        <f>IF(Calc!$AI442="","",INDEX(Calc!$B442:$P442,1,Calc!$AI442))</f>
        <v/>
      </c>
      <c r="G442" s="20" t="str">
        <f>IF(Calc!$AI442="","",INT(Calc!$AH442))</f>
        <v/>
      </c>
      <c r="H442" s="21" t="str">
        <f>IF(AND(A442="",B442=""),"",IF(NOT(ISNUMBER(B442)),"Check hire date: not a date",IF(Calc!$AI442="","No milestones left to order",IF(F442&lt;Setup!$C$5,"PAST DUE: milestone date has passed",IF(G442&lt;Setup!$C$5,"LATE: order today, ask about rush",IF(G442&lt;Setup!$C$5+14,"Order within 2 weeks","Scheduled"))))))</f>
        <v/>
      </c>
    </row>
    <row r="443" spans="1:8" x14ac:dyDescent="0.2">
      <c r="A443" s="9"/>
      <c r="B443" s="11"/>
      <c r="C443" s="9"/>
      <c r="D443" s="12"/>
      <c r="E443" s="19" t="str">
        <f>IF(Calc!$AI443="","",INDEX(Setup!$C$20:$C$34,Calc!$AI443))</f>
        <v/>
      </c>
      <c r="F443" s="20" t="str">
        <f>IF(Calc!$AI443="","",INDEX(Calc!$B443:$P443,1,Calc!$AI443))</f>
        <v/>
      </c>
      <c r="G443" s="20" t="str">
        <f>IF(Calc!$AI443="","",INT(Calc!$AH443))</f>
        <v/>
      </c>
      <c r="H443" s="21" t="str">
        <f>IF(AND(A443="",B443=""),"",IF(NOT(ISNUMBER(B443)),"Check hire date: not a date",IF(Calc!$AI443="","No milestones left to order",IF(F443&lt;Setup!$C$5,"PAST DUE: milestone date has passed",IF(G443&lt;Setup!$C$5,"LATE: order today, ask about rush",IF(G443&lt;Setup!$C$5+14,"Order within 2 weeks","Scheduled"))))))</f>
        <v/>
      </c>
    </row>
    <row r="444" spans="1:8" x14ac:dyDescent="0.2">
      <c r="A444" s="9"/>
      <c r="B444" s="11"/>
      <c r="C444" s="9"/>
      <c r="D444" s="12"/>
      <c r="E444" s="19" t="str">
        <f>IF(Calc!$AI444="","",INDEX(Setup!$C$20:$C$34,Calc!$AI444))</f>
        <v/>
      </c>
      <c r="F444" s="20" t="str">
        <f>IF(Calc!$AI444="","",INDEX(Calc!$B444:$P444,1,Calc!$AI444))</f>
        <v/>
      </c>
      <c r="G444" s="20" t="str">
        <f>IF(Calc!$AI444="","",INT(Calc!$AH444))</f>
        <v/>
      </c>
      <c r="H444" s="21" t="str">
        <f>IF(AND(A444="",B444=""),"",IF(NOT(ISNUMBER(B444)),"Check hire date: not a date",IF(Calc!$AI444="","No milestones left to order",IF(F444&lt;Setup!$C$5,"PAST DUE: milestone date has passed",IF(G444&lt;Setup!$C$5,"LATE: order today, ask about rush",IF(G444&lt;Setup!$C$5+14,"Order within 2 weeks","Scheduled"))))))</f>
        <v/>
      </c>
    </row>
    <row r="445" spans="1:8" x14ac:dyDescent="0.2">
      <c r="A445" s="9"/>
      <c r="B445" s="11"/>
      <c r="C445" s="9"/>
      <c r="D445" s="12"/>
      <c r="E445" s="19" t="str">
        <f>IF(Calc!$AI445="","",INDEX(Setup!$C$20:$C$34,Calc!$AI445))</f>
        <v/>
      </c>
      <c r="F445" s="20" t="str">
        <f>IF(Calc!$AI445="","",INDEX(Calc!$B445:$P445,1,Calc!$AI445))</f>
        <v/>
      </c>
      <c r="G445" s="20" t="str">
        <f>IF(Calc!$AI445="","",INT(Calc!$AH445))</f>
        <v/>
      </c>
      <c r="H445" s="21" t="str">
        <f>IF(AND(A445="",B445=""),"",IF(NOT(ISNUMBER(B445)),"Check hire date: not a date",IF(Calc!$AI445="","No milestones left to order",IF(F445&lt;Setup!$C$5,"PAST DUE: milestone date has passed",IF(G445&lt;Setup!$C$5,"LATE: order today, ask about rush",IF(G445&lt;Setup!$C$5+14,"Order within 2 weeks","Scheduled"))))))</f>
        <v/>
      </c>
    </row>
    <row r="446" spans="1:8" x14ac:dyDescent="0.2">
      <c r="A446" s="9"/>
      <c r="B446" s="11"/>
      <c r="C446" s="9"/>
      <c r="D446" s="12"/>
      <c r="E446" s="19" t="str">
        <f>IF(Calc!$AI446="","",INDEX(Setup!$C$20:$C$34,Calc!$AI446))</f>
        <v/>
      </c>
      <c r="F446" s="20" t="str">
        <f>IF(Calc!$AI446="","",INDEX(Calc!$B446:$P446,1,Calc!$AI446))</f>
        <v/>
      </c>
      <c r="G446" s="20" t="str">
        <f>IF(Calc!$AI446="","",INT(Calc!$AH446))</f>
        <v/>
      </c>
      <c r="H446" s="21" t="str">
        <f>IF(AND(A446="",B446=""),"",IF(NOT(ISNUMBER(B446)),"Check hire date: not a date",IF(Calc!$AI446="","No milestones left to order",IF(F446&lt;Setup!$C$5,"PAST DUE: milestone date has passed",IF(G446&lt;Setup!$C$5,"LATE: order today, ask about rush",IF(G446&lt;Setup!$C$5+14,"Order within 2 weeks","Scheduled"))))))</f>
        <v/>
      </c>
    </row>
    <row r="447" spans="1:8" x14ac:dyDescent="0.2">
      <c r="A447" s="9"/>
      <c r="B447" s="11"/>
      <c r="C447" s="9"/>
      <c r="D447" s="12"/>
      <c r="E447" s="19" t="str">
        <f>IF(Calc!$AI447="","",INDEX(Setup!$C$20:$C$34,Calc!$AI447))</f>
        <v/>
      </c>
      <c r="F447" s="20" t="str">
        <f>IF(Calc!$AI447="","",INDEX(Calc!$B447:$P447,1,Calc!$AI447))</f>
        <v/>
      </c>
      <c r="G447" s="20" t="str">
        <f>IF(Calc!$AI447="","",INT(Calc!$AH447))</f>
        <v/>
      </c>
      <c r="H447" s="21" t="str">
        <f>IF(AND(A447="",B447=""),"",IF(NOT(ISNUMBER(B447)),"Check hire date: not a date",IF(Calc!$AI447="","No milestones left to order",IF(F447&lt;Setup!$C$5,"PAST DUE: milestone date has passed",IF(G447&lt;Setup!$C$5,"LATE: order today, ask about rush",IF(G447&lt;Setup!$C$5+14,"Order within 2 weeks","Scheduled"))))))</f>
        <v/>
      </c>
    </row>
    <row r="448" spans="1:8" x14ac:dyDescent="0.2">
      <c r="A448" s="9"/>
      <c r="B448" s="11"/>
      <c r="C448" s="9"/>
      <c r="D448" s="12"/>
      <c r="E448" s="19" t="str">
        <f>IF(Calc!$AI448="","",INDEX(Setup!$C$20:$C$34,Calc!$AI448))</f>
        <v/>
      </c>
      <c r="F448" s="20" t="str">
        <f>IF(Calc!$AI448="","",INDEX(Calc!$B448:$P448,1,Calc!$AI448))</f>
        <v/>
      </c>
      <c r="G448" s="20" t="str">
        <f>IF(Calc!$AI448="","",INT(Calc!$AH448))</f>
        <v/>
      </c>
      <c r="H448" s="21" t="str">
        <f>IF(AND(A448="",B448=""),"",IF(NOT(ISNUMBER(B448)),"Check hire date: not a date",IF(Calc!$AI448="","No milestones left to order",IF(F448&lt;Setup!$C$5,"PAST DUE: milestone date has passed",IF(G448&lt;Setup!$C$5,"LATE: order today, ask about rush",IF(G448&lt;Setup!$C$5+14,"Order within 2 weeks","Scheduled"))))))</f>
        <v/>
      </c>
    </row>
    <row r="449" spans="1:8" x14ac:dyDescent="0.2">
      <c r="A449" s="9"/>
      <c r="B449" s="11"/>
      <c r="C449" s="9"/>
      <c r="D449" s="12"/>
      <c r="E449" s="19" t="str">
        <f>IF(Calc!$AI449="","",INDEX(Setup!$C$20:$C$34,Calc!$AI449))</f>
        <v/>
      </c>
      <c r="F449" s="20" t="str">
        <f>IF(Calc!$AI449="","",INDEX(Calc!$B449:$P449,1,Calc!$AI449))</f>
        <v/>
      </c>
      <c r="G449" s="20" t="str">
        <f>IF(Calc!$AI449="","",INT(Calc!$AH449))</f>
        <v/>
      </c>
      <c r="H449" s="21" t="str">
        <f>IF(AND(A449="",B449=""),"",IF(NOT(ISNUMBER(B449)),"Check hire date: not a date",IF(Calc!$AI449="","No milestones left to order",IF(F449&lt;Setup!$C$5,"PAST DUE: milestone date has passed",IF(G449&lt;Setup!$C$5,"LATE: order today, ask about rush",IF(G449&lt;Setup!$C$5+14,"Order within 2 weeks","Scheduled"))))))</f>
        <v/>
      </c>
    </row>
    <row r="450" spans="1:8" x14ac:dyDescent="0.2">
      <c r="A450" s="9"/>
      <c r="B450" s="11"/>
      <c r="C450" s="9"/>
      <c r="D450" s="12"/>
      <c r="E450" s="19" t="str">
        <f>IF(Calc!$AI450="","",INDEX(Setup!$C$20:$C$34,Calc!$AI450))</f>
        <v/>
      </c>
      <c r="F450" s="20" t="str">
        <f>IF(Calc!$AI450="","",INDEX(Calc!$B450:$P450,1,Calc!$AI450))</f>
        <v/>
      </c>
      <c r="G450" s="20" t="str">
        <f>IF(Calc!$AI450="","",INT(Calc!$AH450))</f>
        <v/>
      </c>
      <c r="H450" s="21" t="str">
        <f>IF(AND(A450="",B450=""),"",IF(NOT(ISNUMBER(B450)),"Check hire date: not a date",IF(Calc!$AI450="","No milestones left to order",IF(F450&lt;Setup!$C$5,"PAST DUE: milestone date has passed",IF(G450&lt;Setup!$C$5,"LATE: order today, ask about rush",IF(G450&lt;Setup!$C$5+14,"Order within 2 weeks","Scheduled"))))))</f>
        <v/>
      </c>
    </row>
    <row r="451" spans="1:8" x14ac:dyDescent="0.2">
      <c r="A451" s="9"/>
      <c r="B451" s="11"/>
      <c r="C451" s="9"/>
      <c r="D451" s="12"/>
      <c r="E451" s="19" t="str">
        <f>IF(Calc!$AI451="","",INDEX(Setup!$C$20:$C$34,Calc!$AI451))</f>
        <v/>
      </c>
      <c r="F451" s="20" t="str">
        <f>IF(Calc!$AI451="","",INDEX(Calc!$B451:$P451,1,Calc!$AI451))</f>
        <v/>
      </c>
      <c r="G451" s="20" t="str">
        <f>IF(Calc!$AI451="","",INT(Calc!$AH451))</f>
        <v/>
      </c>
      <c r="H451" s="21" t="str">
        <f>IF(AND(A451="",B451=""),"",IF(NOT(ISNUMBER(B451)),"Check hire date: not a date",IF(Calc!$AI451="","No milestones left to order",IF(F451&lt;Setup!$C$5,"PAST DUE: milestone date has passed",IF(G451&lt;Setup!$C$5,"LATE: order today, ask about rush",IF(G451&lt;Setup!$C$5+14,"Order within 2 weeks","Scheduled"))))))</f>
        <v/>
      </c>
    </row>
    <row r="452" spans="1:8" x14ac:dyDescent="0.2">
      <c r="A452" s="9"/>
      <c r="B452" s="11"/>
      <c r="C452" s="9"/>
      <c r="D452" s="12"/>
      <c r="E452" s="19" t="str">
        <f>IF(Calc!$AI452="","",INDEX(Setup!$C$20:$C$34,Calc!$AI452))</f>
        <v/>
      </c>
      <c r="F452" s="20" t="str">
        <f>IF(Calc!$AI452="","",INDEX(Calc!$B452:$P452,1,Calc!$AI452))</f>
        <v/>
      </c>
      <c r="G452" s="20" t="str">
        <f>IF(Calc!$AI452="","",INT(Calc!$AH452))</f>
        <v/>
      </c>
      <c r="H452" s="21" t="str">
        <f>IF(AND(A452="",B452=""),"",IF(NOT(ISNUMBER(B452)),"Check hire date: not a date",IF(Calc!$AI452="","No milestones left to order",IF(F452&lt;Setup!$C$5,"PAST DUE: milestone date has passed",IF(G452&lt;Setup!$C$5,"LATE: order today, ask about rush",IF(G452&lt;Setup!$C$5+14,"Order within 2 weeks","Scheduled"))))))</f>
        <v/>
      </c>
    </row>
    <row r="453" spans="1:8" x14ac:dyDescent="0.2">
      <c r="A453" s="9"/>
      <c r="B453" s="11"/>
      <c r="C453" s="9"/>
      <c r="D453" s="12"/>
      <c r="E453" s="19" t="str">
        <f>IF(Calc!$AI453="","",INDEX(Setup!$C$20:$C$34,Calc!$AI453))</f>
        <v/>
      </c>
      <c r="F453" s="20" t="str">
        <f>IF(Calc!$AI453="","",INDEX(Calc!$B453:$P453,1,Calc!$AI453))</f>
        <v/>
      </c>
      <c r="G453" s="20" t="str">
        <f>IF(Calc!$AI453="","",INT(Calc!$AH453))</f>
        <v/>
      </c>
      <c r="H453" s="21" t="str">
        <f>IF(AND(A453="",B453=""),"",IF(NOT(ISNUMBER(B453)),"Check hire date: not a date",IF(Calc!$AI453="","No milestones left to order",IF(F453&lt;Setup!$C$5,"PAST DUE: milestone date has passed",IF(G453&lt;Setup!$C$5,"LATE: order today, ask about rush",IF(G453&lt;Setup!$C$5+14,"Order within 2 weeks","Scheduled"))))))</f>
        <v/>
      </c>
    </row>
    <row r="454" spans="1:8" x14ac:dyDescent="0.2">
      <c r="A454" s="9"/>
      <c r="B454" s="11"/>
      <c r="C454" s="9"/>
      <c r="D454" s="12"/>
      <c r="E454" s="19" t="str">
        <f>IF(Calc!$AI454="","",INDEX(Setup!$C$20:$C$34,Calc!$AI454))</f>
        <v/>
      </c>
      <c r="F454" s="20" t="str">
        <f>IF(Calc!$AI454="","",INDEX(Calc!$B454:$P454,1,Calc!$AI454))</f>
        <v/>
      </c>
      <c r="G454" s="20" t="str">
        <f>IF(Calc!$AI454="","",INT(Calc!$AH454))</f>
        <v/>
      </c>
      <c r="H454" s="21" t="str">
        <f>IF(AND(A454="",B454=""),"",IF(NOT(ISNUMBER(B454)),"Check hire date: not a date",IF(Calc!$AI454="","No milestones left to order",IF(F454&lt;Setup!$C$5,"PAST DUE: milestone date has passed",IF(G454&lt;Setup!$C$5,"LATE: order today, ask about rush",IF(G454&lt;Setup!$C$5+14,"Order within 2 weeks","Scheduled"))))))</f>
        <v/>
      </c>
    </row>
    <row r="455" spans="1:8" x14ac:dyDescent="0.2">
      <c r="A455" s="9"/>
      <c r="B455" s="11"/>
      <c r="C455" s="9"/>
      <c r="D455" s="12"/>
      <c r="E455" s="19" t="str">
        <f>IF(Calc!$AI455="","",INDEX(Setup!$C$20:$C$34,Calc!$AI455))</f>
        <v/>
      </c>
      <c r="F455" s="20" t="str">
        <f>IF(Calc!$AI455="","",INDEX(Calc!$B455:$P455,1,Calc!$AI455))</f>
        <v/>
      </c>
      <c r="G455" s="20" t="str">
        <f>IF(Calc!$AI455="","",INT(Calc!$AH455))</f>
        <v/>
      </c>
      <c r="H455" s="21" t="str">
        <f>IF(AND(A455="",B455=""),"",IF(NOT(ISNUMBER(B455)),"Check hire date: not a date",IF(Calc!$AI455="","No milestones left to order",IF(F455&lt;Setup!$C$5,"PAST DUE: milestone date has passed",IF(G455&lt;Setup!$C$5,"LATE: order today, ask about rush",IF(G455&lt;Setup!$C$5+14,"Order within 2 weeks","Scheduled"))))))</f>
        <v/>
      </c>
    </row>
    <row r="456" spans="1:8" x14ac:dyDescent="0.2">
      <c r="A456" s="9"/>
      <c r="B456" s="11"/>
      <c r="C456" s="9"/>
      <c r="D456" s="12"/>
      <c r="E456" s="19" t="str">
        <f>IF(Calc!$AI456="","",INDEX(Setup!$C$20:$C$34,Calc!$AI456))</f>
        <v/>
      </c>
      <c r="F456" s="20" t="str">
        <f>IF(Calc!$AI456="","",INDEX(Calc!$B456:$P456,1,Calc!$AI456))</f>
        <v/>
      </c>
      <c r="G456" s="20" t="str">
        <f>IF(Calc!$AI456="","",INT(Calc!$AH456))</f>
        <v/>
      </c>
      <c r="H456" s="21" t="str">
        <f>IF(AND(A456="",B456=""),"",IF(NOT(ISNUMBER(B456)),"Check hire date: not a date",IF(Calc!$AI456="","No milestones left to order",IF(F456&lt;Setup!$C$5,"PAST DUE: milestone date has passed",IF(G456&lt;Setup!$C$5,"LATE: order today, ask about rush",IF(G456&lt;Setup!$C$5+14,"Order within 2 weeks","Scheduled"))))))</f>
        <v/>
      </c>
    </row>
    <row r="457" spans="1:8" x14ac:dyDescent="0.2">
      <c r="A457" s="9"/>
      <c r="B457" s="11"/>
      <c r="C457" s="9"/>
      <c r="D457" s="12"/>
      <c r="E457" s="19" t="str">
        <f>IF(Calc!$AI457="","",INDEX(Setup!$C$20:$C$34,Calc!$AI457))</f>
        <v/>
      </c>
      <c r="F457" s="20" t="str">
        <f>IF(Calc!$AI457="","",INDEX(Calc!$B457:$P457,1,Calc!$AI457))</f>
        <v/>
      </c>
      <c r="G457" s="20" t="str">
        <f>IF(Calc!$AI457="","",INT(Calc!$AH457))</f>
        <v/>
      </c>
      <c r="H457" s="21" t="str">
        <f>IF(AND(A457="",B457=""),"",IF(NOT(ISNUMBER(B457)),"Check hire date: not a date",IF(Calc!$AI457="","No milestones left to order",IF(F457&lt;Setup!$C$5,"PAST DUE: milestone date has passed",IF(G457&lt;Setup!$C$5,"LATE: order today, ask about rush",IF(G457&lt;Setup!$C$5+14,"Order within 2 weeks","Scheduled"))))))</f>
        <v/>
      </c>
    </row>
    <row r="458" spans="1:8" x14ac:dyDescent="0.2">
      <c r="A458" s="9"/>
      <c r="B458" s="11"/>
      <c r="C458" s="9"/>
      <c r="D458" s="12"/>
      <c r="E458" s="19" t="str">
        <f>IF(Calc!$AI458="","",INDEX(Setup!$C$20:$C$34,Calc!$AI458))</f>
        <v/>
      </c>
      <c r="F458" s="20" t="str">
        <f>IF(Calc!$AI458="","",INDEX(Calc!$B458:$P458,1,Calc!$AI458))</f>
        <v/>
      </c>
      <c r="G458" s="20" t="str">
        <f>IF(Calc!$AI458="","",INT(Calc!$AH458))</f>
        <v/>
      </c>
      <c r="H458" s="21" t="str">
        <f>IF(AND(A458="",B458=""),"",IF(NOT(ISNUMBER(B458)),"Check hire date: not a date",IF(Calc!$AI458="","No milestones left to order",IF(F458&lt;Setup!$C$5,"PAST DUE: milestone date has passed",IF(G458&lt;Setup!$C$5,"LATE: order today, ask about rush",IF(G458&lt;Setup!$C$5+14,"Order within 2 weeks","Scheduled"))))))</f>
        <v/>
      </c>
    </row>
    <row r="459" spans="1:8" x14ac:dyDescent="0.2">
      <c r="A459" s="9"/>
      <c r="B459" s="11"/>
      <c r="C459" s="9"/>
      <c r="D459" s="12"/>
      <c r="E459" s="19" t="str">
        <f>IF(Calc!$AI459="","",INDEX(Setup!$C$20:$C$34,Calc!$AI459))</f>
        <v/>
      </c>
      <c r="F459" s="20" t="str">
        <f>IF(Calc!$AI459="","",INDEX(Calc!$B459:$P459,1,Calc!$AI459))</f>
        <v/>
      </c>
      <c r="G459" s="20" t="str">
        <f>IF(Calc!$AI459="","",INT(Calc!$AH459))</f>
        <v/>
      </c>
      <c r="H459" s="21" t="str">
        <f>IF(AND(A459="",B459=""),"",IF(NOT(ISNUMBER(B459)),"Check hire date: not a date",IF(Calc!$AI459="","No milestones left to order",IF(F459&lt;Setup!$C$5,"PAST DUE: milestone date has passed",IF(G459&lt;Setup!$C$5,"LATE: order today, ask about rush",IF(G459&lt;Setup!$C$5+14,"Order within 2 weeks","Scheduled"))))))</f>
        <v/>
      </c>
    </row>
    <row r="460" spans="1:8" x14ac:dyDescent="0.2">
      <c r="A460" s="9"/>
      <c r="B460" s="11"/>
      <c r="C460" s="9"/>
      <c r="D460" s="12"/>
      <c r="E460" s="19" t="str">
        <f>IF(Calc!$AI460="","",INDEX(Setup!$C$20:$C$34,Calc!$AI460))</f>
        <v/>
      </c>
      <c r="F460" s="20" t="str">
        <f>IF(Calc!$AI460="","",INDEX(Calc!$B460:$P460,1,Calc!$AI460))</f>
        <v/>
      </c>
      <c r="G460" s="20" t="str">
        <f>IF(Calc!$AI460="","",INT(Calc!$AH460))</f>
        <v/>
      </c>
      <c r="H460" s="21" t="str">
        <f>IF(AND(A460="",B460=""),"",IF(NOT(ISNUMBER(B460)),"Check hire date: not a date",IF(Calc!$AI460="","No milestones left to order",IF(F460&lt;Setup!$C$5,"PAST DUE: milestone date has passed",IF(G460&lt;Setup!$C$5,"LATE: order today, ask about rush",IF(G460&lt;Setup!$C$5+14,"Order within 2 weeks","Scheduled"))))))</f>
        <v/>
      </c>
    </row>
    <row r="461" spans="1:8" x14ac:dyDescent="0.2">
      <c r="A461" s="9"/>
      <c r="B461" s="11"/>
      <c r="C461" s="9"/>
      <c r="D461" s="12"/>
      <c r="E461" s="19" t="str">
        <f>IF(Calc!$AI461="","",INDEX(Setup!$C$20:$C$34,Calc!$AI461))</f>
        <v/>
      </c>
      <c r="F461" s="20" t="str">
        <f>IF(Calc!$AI461="","",INDEX(Calc!$B461:$P461,1,Calc!$AI461))</f>
        <v/>
      </c>
      <c r="G461" s="20" t="str">
        <f>IF(Calc!$AI461="","",INT(Calc!$AH461))</f>
        <v/>
      </c>
      <c r="H461" s="21" t="str">
        <f>IF(AND(A461="",B461=""),"",IF(NOT(ISNUMBER(B461)),"Check hire date: not a date",IF(Calc!$AI461="","No milestones left to order",IF(F461&lt;Setup!$C$5,"PAST DUE: milestone date has passed",IF(G461&lt;Setup!$C$5,"LATE: order today, ask about rush",IF(G461&lt;Setup!$C$5+14,"Order within 2 weeks","Scheduled"))))))</f>
        <v/>
      </c>
    </row>
    <row r="462" spans="1:8" x14ac:dyDescent="0.2">
      <c r="A462" s="9"/>
      <c r="B462" s="11"/>
      <c r="C462" s="9"/>
      <c r="D462" s="12"/>
      <c r="E462" s="19" t="str">
        <f>IF(Calc!$AI462="","",INDEX(Setup!$C$20:$C$34,Calc!$AI462))</f>
        <v/>
      </c>
      <c r="F462" s="20" t="str">
        <f>IF(Calc!$AI462="","",INDEX(Calc!$B462:$P462,1,Calc!$AI462))</f>
        <v/>
      </c>
      <c r="G462" s="20" t="str">
        <f>IF(Calc!$AI462="","",INT(Calc!$AH462))</f>
        <v/>
      </c>
      <c r="H462" s="21" t="str">
        <f>IF(AND(A462="",B462=""),"",IF(NOT(ISNUMBER(B462)),"Check hire date: not a date",IF(Calc!$AI462="","No milestones left to order",IF(F462&lt;Setup!$C$5,"PAST DUE: milestone date has passed",IF(G462&lt;Setup!$C$5,"LATE: order today, ask about rush",IF(G462&lt;Setup!$C$5+14,"Order within 2 weeks","Scheduled"))))))</f>
        <v/>
      </c>
    </row>
    <row r="463" spans="1:8" x14ac:dyDescent="0.2">
      <c r="A463" s="9"/>
      <c r="B463" s="11"/>
      <c r="C463" s="9"/>
      <c r="D463" s="12"/>
      <c r="E463" s="19" t="str">
        <f>IF(Calc!$AI463="","",INDEX(Setup!$C$20:$C$34,Calc!$AI463))</f>
        <v/>
      </c>
      <c r="F463" s="20" t="str">
        <f>IF(Calc!$AI463="","",INDEX(Calc!$B463:$P463,1,Calc!$AI463))</f>
        <v/>
      </c>
      <c r="G463" s="20" t="str">
        <f>IF(Calc!$AI463="","",INT(Calc!$AH463))</f>
        <v/>
      </c>
      <c r="H463" s="21" t="str">
        <f>IF(AND(A463="",B463=""),"",IF(NOT(ISNUMBER(B463)),"Check hire date: not a date",IF(Calc!$AI463="","No milestones left to order",IF(F463&lt;Setup!$C$5,"PAST DUE: milestone date has passed",IF(G463&lt;Setup!$C$5,"LATE: order today, ask about rush",IF(G463&lt;Setup!$C$5+14,"Order within 2 weeks","Scheduled"))))))</f>
        <v/>
      </c>
    </row>
    <row r="464" spans="1:8" x14ac:dyDescent="0.2">
      <c r="A464" s="9"/>
      <c r="B464" s="11"/>
      <c r="C464" s="9"/>
      <c r="D464" s="12"/>
      <c r="E464" s="19" t="str">
        <f>IF(Calc!$AI464="","",INDEX(Setup!$C$20:$C$34,Calc!$AI464))</f>
        <v/>
      </c>
      <c r="F464" s="20" t="str">
        <f>IF(Calc!$AI464="","",INDEX(Calc!$B464:$P464,1,Calc!$AI464))</f>
        <v/>
      </c>
      <c r="G464" s="20" t="str">
        <f>IF(Calc!$AI464="","",INT(Calc!$AH464))</f>
        <v/>
      </c>
      <c r="H464" s="21" t="str">
        <f>IF(AND(A464="",B464=""),"",IF(NOT(ISNUMBER(B464)),"Check hire date: not a date",IF(Calc!$AI464="","No milestones left to order",IF(F464&lt;Setup!$C$5,"PAST DUE: milestone date has passed",IF(G464&lt;Setup!$C$5,"LATE: order today, ask about rush",IF(G464&lt;Setup!$C$5+14,"Order within 2 weeks","Scheduled"))))))</f>
        <v/>
      </c>
    </row>
    <row r="465" spans="1:8" x14ac:dyDescent="0.2">
      <c r="A465" s="9"/>
      <c r="B465" s="11"/>
      <c r="C465" s="9"/>
      <c r="D465" s="12"/>
      <c r="E465" s="19" t="str">
        <f>IF(Calc!$AI465="","",INDEX(Setup!$C$20:$C$34,Calc!$AI465))</f>
        <v/>
      </c>
      <c r="F465" s="20" t="str">
        <f>IF(Calc!$AI465="","",INDEX(Calc!$B465:$P465,1,Calc!$AI465))</f>
        <v/>
      </c>
      <c r="G465" s="20" t="str">
        <f>IF(Calc!$AI465="","",INT(Calc!$AH465))</f>
        <v/>
      </c>
      <c r="H465" s="21" t="str">
        <f>IF(AND(A465="",B465=""),"",IF(NOT(ISNUMBER(B465)),"Check hire date: not a date",IF(Calc!$AI465="","No milestones left to order",IF(F465&lt;Setup!$C$5,"PAST DUE: milestone date has passed",IF(G465&lt;Setup!$C$5,"LATE: order today, ask about rush",IF(G465&lt;Setup!$C$5+14,"Order within 2 weeks","Scheduled"))))))</f>
        <v/>
      </c>
    </row>
    <row r="466" spans="1:8" x14ac:dyDescent="0.2">
      <c r="A466" s="9"/>
      <c r="B466" s="11"/>
      <c r="C466" s="9"/>
      <c r="D466" s="12"/>
      <c r="E466" s="19" t="str">
        <f>IF(Calc!$AI466="","",INDEX(Setup!$C$20:$C$34,Calc!$AI466))</f>
        <v/>
      </c>
      <c r="F466" s="20" t="str">
        <f>IF(Calc!$AI466="","",INDEX(Calc!$B466:$P466,1,Calc!$AI466))</f>
        <v/>
      </c>
      <c r="G466" s="20" t="str">
        <f>IF(Calc!$AI466="","",INT(Calc!$AH466))</f>
        <v/>
      </c>
      <c r="H466" s="21" t="str">
        <f>IF(AND(A466="",B466=""),"",IF(NOT(ISNUMBER(B466)),"Check hire date: not a date",IF(Calc!$AI466="","No milestones left to order",IF(F466&lt;Setup!$C$5,"PAST DUE: milestone date has passed",IF(G466&lt;Setup!$C$5,"LATE: order today, ask about rush",IF(G466&lt;Setup!$C$5+14,"Order within 2 weeks","Scheduled"))))))</f>
        <v/>
      </c>
    </row>
    <row r="467" spans="1:8" x14ac:dyDescent="0.2">
      <c r="A467" s="9"/>
      <c r="B467" s="11"/>
      <c r="C467" s="9"/>
      <c r="D467" s="12"/>
      <c r="E467" s="19" t="str">
        <f>IF(Calc!$AI467="","",INDEX(Setup!$C$20:$C$34,Calc!$AI467))</f>
        <v/>
      </c>
      <c r="F467" s="20" t="str">
        <f>IF(Calc!$AI467="","",INDEX(Calc!$B467:$P467,1,Calc!$AI467))</f>
        <v/>
      </c>
      <c r="G467" s="20" t="str">
        <f>IF(Calc!$AI467="","",INT(Calc!$AH467))</f>
        <v/>
      </c>
      <c r="H467" s="21" t="str">
        <f>IF(AND(A467="",B467=""),"",IF(NOT(ISNUMBER(B467)),"Check hire date: not a date",IF(Calc!$AI467="","No milestones left to order",IF(F467&lt;Setup!$C$5,"PAST DUE: milestone date has passed",IF(G467&lt;Setup!$C$5,"LATE: order today, ask about rush",IF(G467&lt;Setup!$C$5+14,"Order within 2 weeks","Scheduled"))))))</f>
        <v/>
      </c>
    </row>
    <row r="468" spans="1:8" x14ac:dyDescent="0.2">
      <c r="A468" s="9"/>
      <c r="B468" s="11"/>
      <c r="C468" s="9"/>
      <c r="D468" s="12"/>
      <c r="E468" s="19" t="str">
        <f>IF(Calc!$AI468="","",INDEX(Setup!$C$20:$C$34,Calc!$AI468))</f>
        <v/>
      </c>
      <c r="F468" s="20" t="str">
        <f>IF(Calc!$AI468="","",INDEX(Calc!$B468:$P468,1,Calc!$AI468))</f>
        <v/>
      </c>
      <c r="G468" s="20" t="str">
        <f>IF(Calc!$AI468="","",INT(Calc!$AH468))</f>
        <v/>
      </c>
      <c r="H468" s="21" t="str">
        <f>IF(AND(A468="",B468=""),"",IF(NOT(ISNUMBER(B468)),"Check hire date: not a date",IF(Calc!$AI468="","No milestones left to order",IF(F468&lt;Setup!$C$5,"PAST DUE: milestone date has passed",IF(G468&lt;Setup!$C$5,"LATE: order today, ask about rush",IF(G468&lt;Setup!$C$5+14,"Order within 2 weeks","Scheduled"))))))</f>
        <v/>
      </c>
    </row>
    <row r="469" spans="1:8" x14ac:dyDescent="0.2">
      <c r="A469" s="9"/>
      <c r="B469" s="11"/>
      <c r="C469" s="9"/>
      <c r="D469" s="12"/>
      <c r="E469" s="19" t="str">
        <f>IF(Calc!$AI469="","",INDEX(Setup!$C$20:$C$34,Calc!$AI469))</f>
        <v/>
      </c>
      <c r="F469" s="20" t="str">
        <f>IF(Calc!$AI469="","",INDEX(Calc!$B469:$P469,1,Calc!$AI469))</f>
        <v/>
      </c>
      <c r="G469" s="20" t="str">
        <f>IF(Calc!$AI469="","",INT(Calc!$AH469))</f>
        <v/>
      </c>
      <c r="H469" s="21" t="str">
        <f>IF(AND(A469="",B469=""),"",IF(NOT(ISNUMBER(B469)),"Check hire date: not a date",IF(Calc!$AI469="","No milestones left to order",IF(F469&lt;Setup!$C$5,"PAST DUE: milestone date has passed",IF(G469&lt;Setup!$C$5,"LATE: order today, ask about rush",IF(G469&lt;Setup!$C$5+14,"Order within 2 weeks","Scheduled"))))))</f>
        <v/>
      </c>
    </row>
    <row r="470" spans="1:8" x14ac:dyDescent="0.2">
      <c r="A470" s="9"/>
      <c r="B470" s="11"/>
      <c r="C470" s="9"/>
      <c r="D470" s="12"/>
      <c r="E470" s="19" t="str">
        <f>IF(Calc!$AI470="","",INDEX(Setup!$C$20:$C$34,Calc!$AI470))</f>
        <v/>
      </c>
      <c r="F470" s="20" t="str">
        <f>IF(Calc!$AI470="","",INDEX(Calc!$B470:$P470,1,Calc!$AI470))</f>
        <v/>
      </c>
      <c r="G470" s="20" t="str">
        <f>IF(Calc!$AI470="","",INT(Calc!$AH470))</f>
        <v/>
      </c>
      <c r="H470" s="21" t="str">
        <f>IF(AND(A470="",B470=""),"",IF(NOT(ISNUMBER(B470)),"Check hire date: not a date",IF(Calc!$AI470="","No milestones left to order",IF(F470&lt;Setup!$C$5,"PAST DUE: milestone date has passed",IF(G470&lt;Setup!$C$5,"LATE: order today, ask about rush",IF(G470&lt;Setup!$C$5+14,"Order within 2 weeks","Scheduled"))))))</f>
        <v/>
      </c>
    </row>
    <row r="471" spans="1:8" x14ac:dyDescent="0.2">
      <c r="A471" s="9"/>
      <c r="B471" s="11"/>
      <c r="C471" s="9"/>
      <c r="D471" s="12"/>
      <c r="E471" s="19" t="str">
        <f>IF(Calc!$AI471="","",INDEX(Setup!$C$20:$C$34,Calc!$AI471))</f>
        <v/>
      </c>
      <c r="F471" s="20" t="str">
        <f>IF(Calc!$AI471="","",INDEX(Calc!$B471:$P471,1,Calc!$AI471))</f>
        <v/>
      </c>
      <c r="G471" s="20" t="str">
        <f>IF(Calc!$AI471="","",INT(Calc!$AH471))</f>
        <v/>
      </c>
      <c r="H471" s="21" t="str">
        <f>IF(AND(A471="",B471=""),"",IF(NOT(ISNUMBER(B471)),"Check hire date: not a date",IF(Calc!$AI471="","No milestones left to order",IF(F471&lt;Setup!$C$5,"PAST DUE: milestone date has passed",IF(G471&lt;Setup!$C$5,"LATE: order today, ask about rush",IF(G471&lt;Setup!$C$5+14,"Order within 2 weeks","Scheduled"))))))</f>
        <v/>
      </c>
    </row>
    <row r="472" spans="1:8" x14ac:dyDescent="0.2">
      <c r="A472" s="9"/>
      <c r="B472" s="11"/>
      <c r="C472" s="9"/>
      <c r="D472" s="12"/>
      <c r="E472" s="19" t="str">
        <f>IF(Calc!$AI472="","",INDEX(Setup!$C$20:$C$34,Calc!$AI472))</f>
        <v/>
      </c>
      <c r="F472" s="20" t="str">
        <f>IF(Calc!$AI472="","",INDEX(Calc!$B472:$P472,1,Calc!$AI472))</f>
        <v/>
      </c>
      <c r="G472" s="20" t="str">
        <f>IF(Calc!$AI472="","",INT(Calc!$AH472))</f>
        <v/>
      </c>
      <c r="H472" s="21" t="str">
        <f>IF(AND(A472="",B472=""),"",IF(NOT(ISNUMBER(B472)),"Check hire date: not a date",IF(Calc!$AI472="","No milestones left to order",IF(F472&lt;Setup!$C$5,"PAST DUE: milestone date has passed",IF(G472&lt;Setup!$C$5,"LATE: order today, ask about rush",IF(G472&lt;Setup!$C$5+14,"Order within 2 weeks","Scheduled"))))))</f>
        <v/>
      </c>
    </row>
    <row r="473" spans="1:8" x14ac:dyDescent="0.2">
      <c r="A473" s="9"/>
      <c r="B473" s="11"/>
      <c r="C473" s="9"/>
      <c r="D473" s="12"/>
      <c r="E473" s="19" t="str">
        <f>IF(Calc!$AI473="","",INDEX(Setup!$C$20:$C$34,Calc!$AI473))</f>
        <v/>
      </c>
      <c r="F473" s="20" t="str">
        <f>IF(Calc!$AI473="","",INDEX(Calc!$B473:$P473,1,Calc!$AI473))</f>
        <v/>
      </c>
      <c r="G473" s="20" t="str">
        <f>IF(Calc!$AI473="","",INT(Calc!$AH473))</f>
        <v/>
      </c>
      <c r="H473" s="21" t="str">
        <f>IF(AND(A473="",B473=""),"",IF(NOT(ISNUMBER(B473)),"Check hire date: not a date",IF(Calc!$AI473="","No milestones left to order",IF(F473&lt;Setup!$C$5,"PAST DUE: milestone date has passed",IF(G473&lt;Setup!$C$5,"LATE: order today, ask about rush",IF(G473&lt;Setup!$C$5+14,"Order within 2 weeks","Scheduled"))))))</f>
        <v/>
      </c>
    </row>
    <row r="474" spans="1:8" x14ac:dyDescent="0.2">
      <c r="A474" s="9"/>
      <c r="B474" s="11"/>
      <c r="C474" s="9"/>
      <c r="D474" s="12"/>
      <c r="E474" s="19" t="str">
        <f>IF(Calc!$AI474="","",INDEX(Setup!$C$20:$C$34,Calc!$AI474))</f>
        <v/>
      </c>
      <c r="F474" s="20" t="str">
        <f>IF(Calc!$AI474="","",INDEX(Calc!$B474:$P474,1,Calc!$AI474))</f>
        <v/>
      </c>
      <c r="G474" s="20" t="str">
        <f>IF(Calc!$AI474="","",INT(Calc!$AH474))</f>
        <v/>
      </c>
      <c r="H474" s="21" t="str">
        <f>IF(AND(A474="",B474=""),"",IF(NOT(ISNUMBER(B474)),"Check hire date: not a date",IF(Calc!$AI474="","No milestones left to order",IF(F474&lt;Setup!$C$5,"PAST DUE: milestone date has passed",IF(G474&lt;Setup!$C$5,"LATE: order today, ask about rush",IF(G474&lt;Setup!$C$5+14,"Order within 2 weeks","Scheduled"))))))</f>
        <v/>
      </c>
    </row>
    <row r="475" spans="1:8" x14ac:dyDescent="0.2">
      <c r="A475" s="9"/>
      <c r="B475" s="11"/>
      <c r="C475" s="9"/>
      <c r="D475" s="12"/>
      <c r="E475" s="19" t="str">
        <f>IF(Calc!$AI475="","",INDEX(Setup!$C$20:$C$34,Calc!$AI475))</f>
        <v/>
      </c>
      <c r="F475" s="20" t="str">
        <f>IF(Calc!$AI475="","",INDEX(Calc!$B475:$P475,1,Calc!$AI475))</f>
        <v/>
      </c>
      <c r="G475" s="20" t="str">
        <f>IF(Calc!$AI475="","",INT(Calc!$AH475))</f>
        <v/>
      </c>
      <c r="H475" s="21" t="str">
        <f>IF(AND(A475="",B475=""),"",IF(NOT(ISNUMBER(B475)),"Check hire date: not a date",IF(Calc!$AI475="","No milestones left to order",IF(F475&lt;Setup!$C$5,"PAST DUE: milestone date has passed",IF(G475&lt;Setup!$C$5,"LATE: order today, ask about rush",IF(G475&lt;Setup!$C$5+14,"Order within 2 weeks","Scheduled"))))))</f>
        <v/>
      </c>
    </row>
    <row r="476" spans="1:8" x14ac:dyDescent="0.2">
      <c r="A476" s="9"/>
      <c r="B476" s="11"/>
      <c r="C476" s="9"/>
      <c r="D476" s="12"/>
      <c r="E476" s="19" t="str">
        <f>IF(Calc!$AI476="","",INDEX(Setup!$C$20:$C$34,Calc!$AI476))</f>
        <v/>
      </c>
      <c r="F476" s="20" t="str">
        <f>IF(Calc!$AI476="","",INDEX(Calc!$B476:$P476,1,Calc!$AI476))</f>
        <v/>
      </c>
      <c r="G476" s="20" t="str">
        <f>IF(Calc!$AI476="","",INT(Calc!$AH476))</f>
        <v/>
      </c>
      <c r="H476" s="21" t="str">
        <f>IF(AND(A476="",B476=""),"",IF(NOT(ISNUMBER(B476)),"Check hire date: not a date",IF(Calc!$AI476="","No milestones left to order",IF(F476&lt;Setup!$C$5,"PAST DUE: milestone date has passed",IF(G476&lt;Setup!$C$5,"LATE: order today, ask about rush",IF(G476&lt;Setup!$C$5+14,"Order within 2 weeks","Scheduled"))))))</f>
        <v/>
      </c>
    </row>
    <row r="477" spans="1:8" x14ac:dyDescent="0.2">
      <c r="A477" s="9"/>
      <c r="B477" s="11"/>
      <c r="C477" s="9"/>
      <c r="D477" s="12"/>
      <c r="E477" s="19" t="str">
        <f>IF(Calc!$AI477="","",INDEX(Setup!$C$20:$C$34,Calc!$AI477))</f>
        <v/>
      </c>
      <c r="F477" s="20" t="str">
        <f>IF(Calc!$AI477="","",INDEX(Calc!$B477:$P477,1,Calc!$AI477))</f>
        <v/>
      </c>
      <c r="G477" s="20" t="str">
        <f>IF(Calc!$AI477="","",INT(Calc!$AH477))</f>
        <v/>
      </c>
      <c r="H477" s="21" t="str">
        <f>IF(AND(A477="",B477=""),"",IF(NOT(ISNUMBER(B477)),"Check hire date: not a date",IF(Calc!$AI477="","No milestones left to order",IF(F477&lt;Setup!$C$5,"PAST DUE: milestone date has passed",IF(G477&lt;Setup!$C$5,"LATE: order today, ask about rush",IF(G477&lt;Setup!$C$5+14,"Order within 2 weeks","Scheduled"))))))</f>
        <v/>
      </c>
    </row>
    <row r="478" spans="1:8" x14ac:dyDescent="0.2">
      <c r="A478" s="9"/>
      <c r="B478" s="11"/>
      <c r="C478" s="9"/>
      <c r="D478" s="12"/>
      <c r="E478" s="19" t="str">
        <f>IF(Calc!$AI478="","",INDEX(Setup!$C$20:$C$34,Calc!$AI478))</f>
        <v/>
      </c>
      <c r="F478" s="20" t="str">
        <f>IF(Calc!$AI478="","",INDEX(Calc!$B478:$P478,1,Calc!$AI478))</f>
        <v/>
      </c>
      <c r="G478" s="20" t="str">
        <f>IF(Calc!$AI478="","",INT(Calc!$AH478))</f>
        <v/>
      </c>
      <c r="H478" s="21" t="str">
        <f>IF(AND(A478="",B478=""),"",IF(NOT(ISNUMBER(B478)),"Check hire date: not a date",IF(Calc!$AI478="","No milestones left to order",IF(F478&lt;Setup!$C$5,"PAST DUE: milestone date has passed",IF(G478&lt;Setup!$C$5,"LATE: order today, ask about rush",IF(G478&lt;Setup!$C$5+14,"Order within 2 weeks","Scheduled"))))))</f>
        <v/>
      </c>
    </row>
    <row r="479" spans="1:8" x14ac:dyDescent="0.2">
      <c r="A479" s="9"/>
      <c r="B479" s="11"/>
      <c r="C479" s="9"/>
      <c r="D479" s="12"/>
      <c r="E479" s="19" t="str">
        <f>IF(Calc!$AI479="","",INDEX(Setup!$C$20:$C$34,Calc!$AI479))</f>
        <v/>
      </c>
      <c r="F479" s="20" t="str">
        <f>IF(Calc!$AI479="","",INDEX(Calc!$B479:$P479,1,Calc!$AI479))</f>
        <v/>
      </c>
      <c r="G479" s="20" t="str">
        <f>IF(Calc!$AI479="","",INT(Calc!$AH479))</f>
        <v/>
      </c>
      <c r="H479" s="21" t="str">
        <f>IF(AND(A479="",B479=""),"",IF(NOT(ISNUMBER(B479)),"Check hire date: not a date",IF(Calc!$AI479="","No milestones left to order",IF(F479&lt;Setup!$C$5,"PAST DUE: milestone date has passed",IF(G479&lt;Setup!$C$5,"LATE: order today, ask about rush",IF(G479&lt;Setup!$C$5+14,"Order within 2 weeks","Scheduled"))))))</f>
        <v/>
      </c>
    </row>
    <row r="480" spans="1:8" x14ac:dyDescent="0.2">
      <c r="A480" s="9"/>
      <c r="B480" s="11"/>
      <c r="C480" s="9"/>
      <c r="D480" s="12"/>
      <c r="E480" s="19" t="str">
        <f>IF(Calc!$AI480="","",INDEX(Setup!$C$20:$C$34,Calc!$AI480))</f>
        <v/>
      </c>
      <c r="F480" s="20" t="str">
        <f>IF(Calc!$AI480="","",INDEX(Calc!$B480:$P480,1,Calc!$AI480))</f>
        <v/>
      </c>
      <c r="G480" s="20" t="str">
        <f>IF(Calc!$AI480="","",INT(Calc!$AH480))</f>
        <v/>
      </c>
      <c r="H480" s="21" t="str">
        <f>IF(AND(A480="",B480=""),"",IF(NOT(ISNUMBER(B480)),"Check hire date: not a date",IF(Calc!$AI480="","No milestones left to order",IF(F480&lt;Setup!$C$5,"PAST DUE: milestone date has passed",IF(G480&lt;Setup!$C$5,"LATE: order today, ask about rush",IF(G480&lt;Setup!$C$5+14,"Order within 2 weeks","Scheduled"))))))</f>
        <v/>
      </c>
    </row>
    <row r="481" spans="1:8" x14ac:dyDescent="0.2">
      <c r="A481" s="9"/>
      <c r="B481" s="11"/>
      <c r="C481" s="9"/>
      <c r="D481" s="12"/>
      <c r="E481" s="19" t="str">
        <f>IF(Calc!$AI481="","",INDEX(Setup!$C$20:$C$34,Calc!$AI481))</f>
        <v/>
      </c>
      <c r="F481" s="20" t="str">
        <f>IF(Calc!$AI481="","",INDEX(Calc!$B481:$P481,1,Calc!$AI481))</f>
        <v/>
      </c>
      <c r="G481" s="20" t="str">
        <f>IF(Calc!$AI481="","",INT(Calc!$AH481))</f>
        <v/>
      </c>
      <c r="H481" s="21" t="str">
        <f>IF(AND(A481="",B481=""),"",IF(NOT(ISNUMBER(B481)),"Check hire date: not a date",IF(Calc!$AI481="","No milestones left to order",IF(F481&lt;Setup!$C$5,"PAST DUE: milestone date has passed",IF(G481&lt;Setup!$C$5,"LATE: order today, ask about rush",IF(G481&lt;Setup!$C$5+14,"Order within 2 weeks","Scheduled"))))))</f>
        <v/>
      </c>
    </row>
    <row r="482" spans="1:8" x14ac:dyDescent="0.2">
      <c r="A482" s="9"/>
      <c r="B482" s="11"/>
      <c r="C482" s="9"/>
      <c r="D482" s="12"/>
      <c r="E482" s="19" t="str">
        <f>IF(Calc!$AI482="","",INDEX(Setup!$C$20:$C$34,Calc!$AI482))</f>
        <v/>
      </c>
      <c r="F482" s="20" t="str">
        <f>IF(Calc!$AI482="","",INDEX(Calc!$B482:$P482,1,Calc!$AI482))</f>
        <v/>
      </c>
      <c r="G482" s="20" t="str">
        <f>IF(Calc!$AI482="","",INT(Calc!$AH482))</f>
        <v/>
      </c>
      <c r="H482" s="21" t="str">
        <f>IF(AND(A482="",B482=""),"",IF(NOT(ISNUMBER(B482)),"Check hire date: not a date",IF(Calc!$AI482="","No milestones left to order",IF(F482&lt;Setup!$C$5,"PAST DUE: milestone date has passed",IF(G482&lt;Setup!$C$5,"LATE: order today, ask about rush",IF(G482&lt;Setup!$C$5+14,"Order within 2 weeks","Scheduled"))))))</f>
        <v/>
      </c>
    </row>
    <row r="483" spans="1:8" x14ac:dyDescent="0.2">
      <c r="A483" s="9"/>
      <c r="B483" s="11"/>
      <c r="C483" s="9"/>
      <c r="D483" s="12"/>
      <c r="E483" s="19" t="str">
        <f>IF(Calc!$AI483="","",INDEX(Setup!$C$20:$C$34,Calc!$AI483))</f>
        <v/>
      </c>
      <c r="F483" s="20" t="str">
        <f>IF(Calc!$AI483="","",INDEX(Calc!$B483:$P483,1,Calc!$AI483))</f>
        <v/>
      </c>
      <c r="G483" s="20" t="str">
        <f>IF(Calc!$AI483="","",INT(Calc!$AH483))</f>
        <v/>
      </c>
      <c r="H483" s="21" t="str">
        <f>IF(AND(A483="",B483=""),"",IF(NOT(ISNUMBER(B483)),"Check hire date: not a date",IF(Calc!$AI483="","No milestones left to order",IF(F483&lt;Setup!$C$5,"PAST DUE: milestone date has passed",IF(G483&lt;Setup!$C$5,"LATE: order today, ask about rush",IF(G483&lt;Setup!$C$5+14,"Order within 2 weeks","Scheduled"))))))</f>
        <v/>
      </c>
    </row>
    <row r="484" spans="1:8" x14ac:dyDescent="0.2">
      <c r="A484" s="9"/>
      <c r="B484" s="11"/>
      <c r="C484" s="9"/>
      <c r="D484" s="12"/>
      <c r="E484" s="19" t="str">
        <f>IF(Calc!$AI484="","",INDEX(Setup!$C$20:$C$34,Calc!$AI484))</f>
        <v/>
      </c>
      <c r="F484" s="20" t="str">
        <f>IF(Calc!$AI484="","",INDEX(Calc!$B484:$P484,1,Calc!$AI484))</f>
        <v/>
      </c>
      <c r="G484" s="20" t="str">
        <f>IF(Calc!$AI484="","",INT(Calc!$AH484))</f>
        <v/>
      </c>
      <c r="H484" s="21" t="str">
        <f>IF(AND(A484="",B484=""),"",IF(NOT(ISNUMBER(B484)),"Check hire date: not a date",IF(Calc!$AI484="","No milestones left to order",IF(F484&lt;Setup!$C$5,"PAST DUE: milestone date has passed",IF(G484&lt;Setup!$C$5,"LATE: order today, ask about rush",IF(G484&lt;Setup!$C$5+14,"Order within 2 weeks","Scheduled"))))))</f>
        <v/>
      </c>
    </row>
    <row r="485" spans="1:8" x14ac:dyDescent="0.2">
      <c r="A485" s="9"/>
      <c r="B485" s="11"/>
      <c r="C485" s="9"/>
      <c r="D485" s="12"/>
      <c r="E485" s="19" t="str">
        <f>IF(Calc!$AI485="","",INDEX(Setup!$C$20:$C$34,Calc!$AI485))</f>
        <v/>
      </c>
      <c r="F485" s="20" t="str">
        <f>IF(Calc!$AI485="","",INDEX(Calc!$B485:$P485,1,Calc!$AI485))</f>
        <v/>
      </c>
      <c r="G485" s="20" t="str">
        <f>IF(Calc!$AI485="","",INT(Calc!$AH485))</f>
        <v/>
      </c>
      <c r="H485" s="21" t="str">
        <f>IF(AND(A485="",B485=""),"",IF(NOT(ISNUMBER(B485)),"Check hire date: not a date",IF(Calc!$AI485="","No milestones left to order",IF(F485&lt;Setup!$C$5,"PAST DUE: milestone date has passed",IF(G485&lt;Setup!$C$5,"LATE: order today, ask about rush",IF(G485&lt;Setup!$C$5+14,"Order within 2 weeks","Scheduled"))))))</f>
        <v/>
      </c>
    </row>
    <row r="486" spans="1:8" x14ac:dyDescent="0.2">
      <c r="A486" s="9"/>
      <c r="B486" s="11"/>
      <c r="C486" s="9"/>
      <c r="D486" s="12"/>
      <c r="E486" s="19" t="str">
        <f>IF(Calc!$AI486="","",INDEX(Setup!$C$20:$C$34,Calc!$AI486))</f>
        <v/>
      </c>
      <c r="F486" s="20" t="str">
        <f>IF(Calc!$AI486="","",INDEX(Calc!$B486:$P486,1,Calc!$AI486))</f>
        <v/>
      </c>
      <c r="G486" s="20" t="str">
        <f>IF(Calc!$AI486="","",INT(Calc!$AH486))</f>
        <v/>
      </c>
      <c r="H486" s="21" t="str">
        <f>IF(AND(A486="",B486=""),"",IF(NOT(ISNUMBER(B486)),"Check hire date: not a date",IF(Calc!$AI486="","No milestones left to order",IF(F486&lt;Setup!$C$5,"PAST DUE: milestone date has passed",IF(G486&lt;Setup!$C$5,"LATE: order today, ask about rush",IF(G486&lt;Setup!$C$5+14,"Order within 2 weeks","Scheduled"))))))</f>
        <v/>
      </c>
    </row>
    <row r="487" spans="1:8" x14ac:dyDescent="0.2">
      <c r="A487" s="9"/>
      <c r="B487" s="11"/>
      <c r="C487" s="9"/>
      <c r="D487" s="12"/>
      <c r="E487" s="19" t="str">
        <f>IF(Calc!$AI487="","",INDEX(Setup!$C$20:$C$34,Calc!$AI487))</f>
        <v/>
      </c>
      <c r="F487" s="20" t="str">
        <f>IF(Calc!$AI487="","",INDEX(Calc!$B487:$P487,1,Calc!$AI487))</f>
        <v/>
      </c>
      <c r="G487" s="20" t="str">
        <f>IF(Calc!$AI487="","",INT(Calc!$AH487))</f>
        <v/>
      </c>
      <c r="H487" s="21" t="str">
        <f>IF(AND(A487="",B487=""),"",IF(NOT(ISNUMBER(B487)),"Check hire date: not a date",IF(Calc!$AI487="","No milestones left to order",IF(F487&lt;Setup!$C$5,"PAST DUE: milestone date has passed",IF(G487&lt;Setup!$C$5,"LATE: order today, ask about rush",IF(G487&lt;Setup!$C$5+14,"Order within 2 weeks","Scheduled"))))))</f>
        <v/>
      </c>
    </row>
    <row r="488" spans="1:8" x14ac:dyDescent="0.2">
      <c r="A488" s="9"/>
      <c r="B488" s="11"/>
      <c r="C488" s="9"/>
      <c r="D488" s="12"/>
      <c r="E488" s="19" t="str">
        <f>IF(Calc!$AI488="","",INDEX(Setup!$C$20:$C$34,Calc!$AI488))</f>
        <v/>
      </c>
      <c r="F488" s="20" t="str">
        <f>IF(Calc!$AI488="","",INDEX(Calc!$B488:$P488,1,Calc!$AI488))</f>
        <v/>
      </c>
      <c r="G488" s="20" t="str">
        <f>IF(Calc!$AI488="","",INT(Calc!$AH488))</f>
        <v/>
      </c>
      <c r="H488" s="21" t="str">
        <f>IF(AND(A488="",B488=""),"",IF(NOT(ISNUMBER(B488)),"Check hire date: not a date",IF(Calc!$AI488="","No milestones left to order",IF(F488&lt;Setup!$C$5,"PAST DUE: milestone date has passed",IF(G488&lt;Setup!$C$5,"LATE: order today, ask about rush",IF(G488&lt;Setup!$C$5+14,"Order within 2 weeks","Scheduled"))))))</f>
        <v/>
      </c>
    </row>
    <row r="489" spans="1:8" x14ac:dyDescent="0.2">
      <c r="A489" s="9"/>
      <c r="B489" s="11"/>
      <c r="C489" s="9"/>
      <c r="D489" s="12"/>
      <c r="E489" s="19" t="str">
        <f>IF(Calc!$AI489="","",INDEX(Setup!$C$20:$C$34,Calc!$AI489))</f>
        <v/>
      </c>
      <c r="F489" s="20" t="str">
        <f>IF(Calc!$AI489="","",INDEX(Calc!$B489:$P489,1,Calc!$AI489))</f>
        <v/>
      </c>
      <c r="G489" s="20" t="str">
        <f>IF(Calc!$AI489="","",INT(Calc!$AH489))</f>
        <v/>
      </c>
      <c r="H489" s="21" t="str">
        <f>IF(AND(A489="",B489=""),"",IF(NOT(ISNUMBER(B489)),"Check hire date: not a date",IF(Calc!$AI489="","No milestones left to order",IF(F489&lt;Setup!$C$5,"PAST DUE: milestone date has passed",IF(G489&lt;Setup!$C$5,"LATE: order today, ask about rush",IF(G489&lt;Setup!$C$5+14,"Order within 2 weeks","Scheduled"))))))</f>
        <v/>
      </c>
    </row>
    <row r="490" spans="1:8" x14ac:dyDescent="0.2">
      <c r="A490" s="9"/>
      <c r="B490" s="11"/>
      <c r="C490" s="9"/>
      <c r="D490" s="12"/>
      <c r="E490" s="19" t="str">
        <f>IF(Calc!$AI490="","",INDEX(Setup!$C$20:$C$34,Calc!$AI490))</f>
        <v/>
      </c>
      <c r="F490" s="20" t="str">
        <f>IF(Calc!$AI490="","",INDEX(Calc!$B490:$P490,1,Calc!$AI490))</f>
        <v/>
      </c>
      <c r="G490" s="20" t="str">
        <f>IF(Calc!$AI490="","",INT(Calc!$AH490))</f>
        <v/>
      </c>
      <c r="H490" s="21" t="str">
        <f>IF(AND(A490="",B490=""),"",IF(NOT(ISNUMBER(B490)),"Check hire date: not a date",IF(Calc!$AI490="","No milestones left to order",IF(F490&lt;Setup!$C$5,"PAST DUE: milestone date has passed",IF(G490&lt;Setup!$C$5,"LATE: order today, ask about rush",IF(G490&lt;Setup!$C$5+14,"Order within 2 weeks","Scheduled"))))))</f>
        <v/>
      </c>
    </row>
    <row r="491" spans="1:8" x14ac:dyDescent="0.2">
      <c r="A491" s="9"/>
      <c r="B491" s="11"/>
      <c r="C491" s="9"/>
      <c r="D491" s="12"/>
      <c r="E491" s="19" t="str">
        <f>IF(Calc!$AI491="","",INDEX(Setup!$C$20:$C$34,Calc!$AI491))</f>
        <v/>
      </c>
      <c r="F491" s="20" t="str">
        <f>IF(Calc!$AI491="","",INDEX(Calc!$B491:$P491,1,Calc!$AI491))</f>
        <v/>
      </c>
      <c r="G491" s="20" t="str">
        <f>IF(Calc!$AI491="","",INT(Calc!$AH491))</f>
        <v/>
      </c>
      <c r="H491" s="21" t="str">
        <f>IF(AND(A491="",B491=""),"",IF(NOT(ISNUMBER(B491)),"Check hire date: not a date",IF(Calc!$AI491="","No milestones left to order",IF(F491&lt;Setup!$C$5,"PAST DUE: milestone date has passed",IF(G491&lt;Setup!$C$5,"LATE: order today, ask about rush",IF(G491&lt;Setup!$C$5+14,"Order within 2 weeks","Scheduled"))))))</f>
        <v/>
      </c>
    </row>
    <row r="492" spans="1:8" x14ac:dyDescent="0.2">
      <c r="A492" s="9"/>
      <c r="B492" s="11"/>
      <c r="C492" s="9"/>
      <c r="D492" s="12"/>
      <c r="E492" s="19" t="str">
        <f>IF(Calc!$AI492="","",INDEX(Setup!$C$20:$C$34,Calc!$AI492))</f>
        <v/>
      </c>
      <c r="F492" s="20" t="str">
        <f>IF(Calc!$AI492="","",INDEX(Calc!$B492:$P492,1,Calc!$AI492))</f>
        <v/>
      </c>
      <c r="G492" s="20" t="str">
        <f>IF(Calc!$AI492="","",INT(Calc!$AH492))</f>
        <v/>
      </c>
      <c r="H492" s="21" t="str">
        <f>IF(AND(A492="",B492=""),"",IF(NOT(ISNUMBER(B492)),"Check hire date: not a date",IF(Calc!$AI492="","No milestones left to order",IF(F492&lt;Setup!$C$5,"PAST DUE: milestone date has passed",IF(G492&lt;Setup!$C$5,"LATE: order today, ask about rush",IF(G492&lt;Setup!$C$5+14,"Order within 2 weeks","Scheduled"))))))</f>
        <v/>
      </c>
    </row>
    <row r="493" spans="1:8" x14ac:dyDescent="0.2">
      <c r="A493" s="9"/>
      <c r="B493" s="11"/>
      <c r="C493" s="9"/>
      <c r="D493" s="12"/>
      <c r="E493" s="19" t="str">
        <f>IF(Calc!$AI493="","",INDEX(Setup!$C$20:$C$34,Calc!$AI493))</f>
        <v/>
      </c>
      <c r="F493" s="20" t="str">
        <f>IF(Calc!$AI493="","",INDEX(Calc!$B493:$P493,1,Calc!$AI493))</f>
        <v/>
      </c>
      <c r="G493" s="20" t="str">
        <f>IF(Calc!$AI493="","",INT(Calc!$AH493))</f>
        <v/>
      </c>
      <c r="H493" s="21" t="str">
        <f>IF(AND(A493="",B493=""),"",IF(NOT(ISNUMBER(B493)),"Check hire date: not a date",IF(Calc!$AI493="","No milestones left to order",IF(F493&lt;Setup!$C$5,"PAST DUE: milestone date has passed",IF(G493&lt;Setup!$C$5,"LATE: order today, ask about rush",IF(G493&lt;Setup!$C$5+14,"Order within 2 weeks","Scheduled"))))))</f>
        <v/>
      </c>
    </row>
    <row r="494" spans="1:8" x14ac:dyDescent="0.2">
      <c r="A494" s="9"/>
      <c r="B494" s="11"/>
      <c r="C494" s="9"/>
      <c r="D494" s="12"/>
      <c r="E494" s="19" t="str">
        <f>IF(Calc!$AI494="","",INDEX(Setup!$C$20:$C$34,Calc!$AI494))</f>
        <v/>
      </c>
      <c r="F494" s="20" t="str">
        <f>IF(Calc!$AI494="","",INDEX(Calc!$B494:$P494,1,Calc!$AI494))</f>
        <v/>
      </c>
      <c r="G494" s="20" t="str">
        <f>IF(Calc!$AI494="","",INT(Calc!$AH494))</f>
        <v/>
      </c>
      <c r="H494" s="21" t="str">
        <f>IF(AND(A494="",B494=""),"",IF(NOT(ISNUMBER(B494)),"Check hire date: not a date",IF(Calc!$AI494="","No milestones left to order",IF(F494&lt;Setup!$C$5,"PAST DUE: milestone date has passed",IF(G494&lt;Setup!$C$5,"LATE: order today, ask about rush",IF(G494&lt;Setup!$C$5+14,"Order within 2 weeks","Scheduled"))))))</f>
        <v/>
      </c>
    </row>
    <row r="495" spans="1:8" x14ac:dyDescent="0.2">
      <c r="A495" s="9"/>
      <c r="B495" s="11"/>
      <c r="C495" s="9"/>
      <c r="D495" s="12"/>
      <c r="E495" s="19" t="str">
        <f>IF(Calc!$AI495="","",INDEX(Setup!$C$20:$C$34,Calc!$AI495))</f>
        <v/>
      </c>
      <c r="F495" s="20" t="str">
        <f>IF(Calc!$AI495="","",INDEX(Calc!$B495:$P495,1,Calc!$AI495))</f>
        <v/>
      </c>
      <c r="G495" s="20" t="str">
        <f>IF(Calc!$AI495="","",INT(Calc!$AH495))</f>
        <v/>
      </c>
      <c r="H495" s="21" t="str">
        <f>IF(AND(A495="",B495=""),"",IF(NOT(ISNUMBER(B495)),"Check hire date: not a date",IF(Calc!$AI495="","No milestones left to order",IF(F495&lt;Setup!$C$5,"PAST DUE: milestone date has passed",IF(G495&lt;Setup!$C$5,"LATE: order today, ask about rush",IF(G495&lt;Setup!$C$5+14,"Order within 2 weeks","Scheduled"))))))</f>
        <v/>
      </c>
    </row>
    <row r="496" spans="1:8" x14ac:dyDescent="0.2">
      <c r="A496" s="9"/>
      <c r="B496" s="11"/>
      <c r="C496" s="9"/>
      <c r="D496" s="12"/>
      <c r="E496" s="19" t="str">
        <f>IF(Calc!$AI496="","",INDEX(Setup!$C$20:$C$34,Calc!$AI496))</f>
        <v/>
      </c>
      <c r="F496" s="20" t="str">
        <f>IF(Calc!$AI496="","",INDEX(Calc!$B496:$P496,1,Calc!$AI496))</f>
        <v/>
      </c>
      <c r="G496" s="20" t="str">
        <f>IF(Calc!$AI496="","",INT(Calc!$AH496))</f>
        <v/>
      </c>
      <c r="H496" s="21" t="str">
        <f>IF(AND(A496="",B496=""),"",IF(NOT(ISNUMBER(B496)),"Check hire date: not a date",IF(Calc!$AI496="","No milestones left to order",IF(F496&lt;Setup!$C$5,"PAST DUE: milestone date has passed",IF(G496&lt;Setup!$C$5,"LATE: order today, ask about rush",IF(G496&lt;Setup!$C$5+14,"Order within 2 weeks","Scheduled"))))))</f>
        <v/>
      </c>
    </row>
    <row r="497" spans="1:8" x14ac:dyDescent="0.2">
      <c r="A497" s="9"/>
      <c r="B497" s="11"/>
      <c r="C497" s="9"/>
      <c r="D497" s="12"/>
      <c r="E497" s="19" t="str">
        <f>IF(Calc!$AI497="","",INDEX(Setup!$C$20:$C$34,Calc!$AI497))</f>
        <v/>
      </c>
      <c r="F497" s="20" t="str">
        <f>IF(Calc!$AI497="","",INDEX(Calc!$B497:$P497,1,Calc!$AI497))</f>
        <v/>
      </c>
      <c r="G497" s="20" t="str">
        <f>IF(Calc!$AI497="","",INT(Calc!$AH497))</f>
        <v/>
      </c>
      <c r="H497" s="21" t="str">
        <f>IF(AND(A497="",B497=""),"",IF(NOT(ISNUMBER(B497)),"Check hire date: not a date",IF(Calc!$AI497="","No milestones left to order",IF(F497&lt;Setup!$C$5,"PAST DUE: milestone date has passed",IF(G497&lt;Setup!$C$5,"LATE: order today, ask about rush",IF(G497&lt;Setup!$C$5+14,"Order within 2 weeks","Scheduled"))))))</f>
        <v/>
      </c>
    </row>
    <row r="498" spans="1:8" x14ac:dyDescent="0.2">
      <c r="A498" s="9"/>
      <c r="B498" s="11"/>
      <c r="C498" s="9"/>
      <c r="D498" s="12"/>
      <c r="E498" s="19" t="str">
        <f>IF(Calc!$AI498="","",INDEX(Setup!$C$20:$C$34,Calc!$AI498))</f>
        <v/>
      </c>
      <c r="F498" s="20" t="str">
        <f>IF(Calc!$AI498="","",INDEX(Calc!$B498:$P498,1,Calc!$AI498))</f>
        <v/>
      </c>
      <c r="G498" s="20" t="str">
        <f>IF(Calc!$AI498="","",INT(Calc!$AH498))</f>
        <v/>
      </c>
      <c r="H498" s="21" t="str">
        <f>IF(AND(A498="",B498=""),"",IF(NOT(ISNUMBER(B498)),"Check hire date: not a date",IF(Calc!$AI498="","No milestones left to order",IF(F498&lt;Setup!$C$5,"PAST DUE: milestone date has passed",IF(G498&lt;Setup!$C$5,"LATE: order today, ask about rush",IF(G498&lt;Setup!$C$5+14,"Order within 2 weeks","Scheduled"))))))</f>
        <v/>
      </c>
    </row>
    <row r="499" spans="1:8" x14ac:dyDescent="0.2">
      <c r="A499" s="9"/>
      <c r="B499" s="11"/>
      <c r="C499" s="9"/>
      <c r="D499" s="12"/>
      <c r="E499" s="19" t="str">
        <f>IF(Calc!$AI499="","",INDEX(Setup!$C$20:$C$34,Calc!$AI499))</f>
        <v/>
      </c>
      <c r="F499" s="20" t="str">
        <f>IF(Calc!$AI499="","",INDEX(Calc!$B499:$P499,1,Calc!$AI499))</f>
        <v/>
      </c>
      <c r="G499" s="20" t="str">
        <f>IF(Calc!$AI499="","",INT(Calc!$AH499))</f>
        <v/>
      </c>
      <c r="H499" s="21" t="str">
        <f>IF(AND(A499="",B499=""),"",IF(NOT(ISNUMBER(B499)),"Check hire date: not a date",IF(Calc!$AI499="","No milestones left to order",IF(F499&lt;Setup!$C$5,"PAST DUE: milestone date has passed",IF(G499&lt;Setup!$C$5,"LATE: order today, ask about rush",IF(G499&lt;Setup!$C$5+14,"Order within 2 weeks","Scheduled"))))))</f>
        <v/>
      </c>
    </row>
    <row r="500" spans="1:8" x14ac:dyDescent="0.2">
      <c r="A500" s="9"/>
      <c r="B500" s="11"/>
      <c r="C500" s="9"/>
      <c r="D500" s="12"/>
      <c r="E500" s="19" t="str">
        <f>IF(Calc!$AI500="","",INDEX(Setup!$C$20:$C$34,Calc!$AI500))</f>
        <v/>
      </c>
      <c r="F500" s="20" t="str">
        <f>IF(Calc!$AI500="","",INDEX(Calc!$B500:$P500,1,Calc!$AI500))</f>
        <v/>
      </c>
      <c r="G500" s="20" t="str">
        <f>IF(Calc!$AI500="","",INT(Calc!$AH500))</f>
        <v/>
      </c>
      <c r="H500" s="21" t="str">
        <f>IF(AND(A500="",B500=""),"",IF(NOT(ISNUMBER(B500)),"Check hire date: not a date",IF(Calc!$AI500="","No milestones left to order",IF(F500&lt;Setup!$C$5,"PAST DUE: milestone date has passed",IF(G500&lt;Setup!$C$5,"LATE: order today, ask about rush",IF(G500&lt;Setup!$C$5+14,"Order within 2 weeks","Scheduled"))))))</f>
        <v/>
      </c>
    </row>
    <row r="501" spans="1:8" x14ac:dyDescent="0.2">
      <c r="A501" s="9"/>
      <c r="B501" s="11"/>
      <c r="C501" s="9"/>
      <c r="D501" s="12"/>
      <c r="E501" s="19" t="str">
        <f>IF(Calc!$AI501="","",INDEX(Setup!$C$20:$C$34,Calc!$AI501))</f>
        <v/>
      </c>
      <c r="F501" s="20" t="str">
        <f>IF(Calc!$AI501="","",INDEX(Calc!$B501:$P501,1,Calc!$AI501))</f>
        <v/>
      </c>
      <c r="G501" s="20" t="str">
        <f>IF(Calc!$AI501="","",INT(Calc!$AH501))</f>
        <v/>
      </c>
      <c r="H501" s="21" t="str">
        <f>IF(AND(A501="",B501=""),"",IF(NOT(ISNUMBER(B501)),"Check hire date: not a date",IF(Calc!$AI501="","No milestones left to order",IF(F501&lt;Setup!$C$5,"PAST DUE: milestone date has passed",IF(G501&lt;Setup!$C$5,"LATE: order today, ask about rush",IF(G501&lt;Setup!$C$5+14,"Order within 2 weeks","Scheduled"))))))</f>
        <v/>
      </c>
    </row>
    <row r="502" spans="1:8" x14ac:dyDescent="0.2">
      <c r="A502" s="9"/>
      <c r="B502" s="11"/>
      <c r="C502" s="9"/>
      <c r="D502" s="12"/>
      <c r="E502" s="19" t="str">
        <f>IF(Calc!$AI502="","",INDEX(Setup!$C$20:$C$34,Calc!$AI502))</f>
        <v/>
      </c>
      <c r="F502" s="20" t="str">
        <f>IF(Calc!$AI502="","",INDEX(Calc!$B502:$P502,1,Calc!$AI502))</f>
        <v/>
      </c>
      <c r="G502" s="20" t="str">
        <f>IF(Calc!$AI502="","",INT(Calc!$AH502))</f>
        <v/>
      </c>
      <c r="H502" s="21" t="str">
        <f>IF(AND(A502="",B502=""),"",IF(NOT(ISNUMBER(B502)),"Check hire date: not a date",IF(Calc!$AI502="","No milestones left to order",IF(F502&lt;Setup!$C$5,"PAST DUE: milestone date has passed",IF(G502&lt;Setup!$C$5,"LATE: order today, ask about rush",IF(G502&lt;Setup!$C$5+14,"Order within 2 weeks","Scheduled"))))))</f>
        <v/>
      </c>
    </row>
    <row r="503" spans="1:8" x14ac:dyDescent="0.2">
      <c r="A503" s="9"/>
      <c r="B503" s="11"/>
      <c r="C503" s="9"/>
      <c r="D503" s="12"/>
      <c r="E503" s="19" t="str">
        <f>IF(Calc!$AI503="","",INDEX(Setup!$C$20:$C$34,Calc!$AI503))</f>
        <v/>
      </c>
      <c r="F503" s="20" t="str">
        <f>IF(Calc!$AI503="","",INDEX(Calc!$B503:$P503,1,Calc!$AI503))</f>
        <v/>
      </c>
      <c r="G503" s="20" t="str">
        <f>IF(Calc!$AI503="","",INT(Calc!$AH503))</f>
        <v/>
      </c>
      <c r="H503" s="21" t="str">
        <f>IF(AND(A503="",B503=""),"",IF(NOT(ISNUMBER(B503)),"Check hire date: not a date",IF(Calc!$AI503="","No milestones left to order",IF(F503&lt;Setup!$C$5,"PAST DUE: milestone date has passed",IF(G503&lt;Setup!$C$5,"LATE: order today, ask about rush",IF(G503&lt;Setup!$C$5+14,"Order within 2 weeks","Scheduled"))))))</f>
        <v/>
      </c>
    </row>
    <row r="504" spans="1:8" x14ac:dyDescent="0.2">
      <c r="A504" s="9"/>
      <c r="B504" s="11"/>
      <c r="C504" s="9"/>
      <c r="D504" s="12"/>
      <c r="E504" s="19" t="str">
        <f>IF(Calc!$AI504="","",INDEX(Setup!$C$20:$C$34,Calc!$AI504))</f>
        <v/>
      </c>
      <c r="F504" s="20" t="str">
        <f>IF(Calc!$AI504="","",INDEX(Calc!$B504:$P504,1,Calc!$AI504))</f>
        <v/>
      </c>
      <c r="G504" s="20" t="str">
        <f>IF(Calc!$AI504="","",INT(Calc!$AH504))</f>
        <v/>
      </c>
      <c r="H504" s="21" t="str">
        <f>IF(AND(A504="",B504=""),"",IF(NOT(ISNUMBER(B504)),"Check hire date: not a date",IF(Calc!$AI504="","No milestones left to order",IF(F504&lt;Setup!$C$5,"PAST DUE: milestone date has passed",IF(G504&lt;Setup!$C$5,"LATE: order today, ask about rush",IF(G504&lt;Setup!$C$5+14,"Order within 2 weeks","Scheduled"))))))</f>
        <v/>
      </c>
    </row>
    <row r="505" spans="1:8" x14ac:dyDescent="0.2">
      <c r="A505" s="9"/>
      <c r="B505" s="11"/>
      <c r="C505" s="9"/>
      <c r="D505" s="12"/>
      <c r="E505" s="19" t="str">
        <f>IF(Calc!$AI505="","",INDEX(Setup!$C$20:$C$34,Calc!$AI505))</f>
        <v/>
      </c>
      <c r="F505" s="20" t="str">
        <f>IF(Calc!$AI505="","",INDEX(Calc!$B505:$P505,1,Calc!$AI505))</f>
        <v/>
      </c>
      <c r="G505" s="20" t="str">
        <f>IF(Calc!$AI505="","",INT(Calc!$AH505))</f>
        <v/>
      </c>
      <c r="H505" s="21" t="str">
        <f>IF(AND(A505="",B505=""),"",IF(NOT(ISNUMBER(B505)),"Check hire date: not a date",IF(Calc!$AI505="","No milestones left to order",IF(F505&lt;Setup!$C$5,"PAST DUE: milestone date has passed",IF(G505&lt;Setup!$C$5,"LATE: order today, ask about rush",IF(G505&lt;Setup!$C$5+14,"Order within 2 weeks","Scheduled"))))))</f>
        <v/>
      </c>
    </row>
  </sheetData>
  <conditionalFormatting sqref="H6:H505">
    <cfRule type="expression" dxfId="2" priority="1">
      <formula>OR(LEFT(H6,4)="LATE",LEFT(H6,4)="PAST",LEFT(H6,5)="Check")</formula>
    </cfRule>
  </conditionalFormatting>
  <dataValidations count="2">
    <dataValidation type="date" errorStyle="warning" operator="greaterThan" allowBlank="1" showErrorMessage="1" errorTitle="Hire date" error="This doesn't look like a date. Enter it as a date, such as 3/15/2021." sqref="B6:B505" xr:uid="{00000000-0002-0000-0200-000000000000}">
      <formula1>1</formula1>
    </dataValidation>
    <dataValidation type="whole" allowBlank="1" showErrorMessage="1" errorTitle="Whole number" error="Enter the milestone already ordered, in years, such as 5." sqref="D6:D505" xr:uid="{00000000-0002-0000-0200-000001000000}">
      <formula1>0</formula1>
      <formula2>100</formula2>
    </dataValidation>
  </dataValidation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E2D54"/>
    <pageSetUpPr fitToPage="1"/>
  </sheetPr>
  <dimension ref="A1:F505"/>
  <sheetViews>
    <sheetView showGridLines="0" workbookViewId="0">
      <pane xSplit="2" ySplit="5" topLeftCell="C6" activePane="bottomRight" state="frozen"/>
      <selection pane="topRight"/>
      <selection pane="bottomLeft"/>
      <selection pane="bottomRight"/>
    </sheetView>
  </sheetViews>
  <sheetFormatPr baseColWidth="10" defaultColWidth="8.83203125" defaultRowHeight="15" x14ac:dyDescent="0.2"/>
  <cols>
    <col min="1" max="1" width="15" customWidth="1"/>
    <col min="2" max="2" width="26" customWidth="1"/>
    <col min="3" max="3" width="20" customWidth="1"/>
    <col min="4" max="4" width="8" customWidth="1"/>
    <col min="5" max="5" width="12" customWidth="1"/>
    <col min="6" max="6" width="90" customWidth="1"/>
  </cols>
  <sheetData>
    <row r="1" spans="1:6" ht="26" customHeight="1" x14ac:dyDescent="0.2">
      <c r="A1" s="1" t="s">
        <v>134</v>
      </c>
      <c r="B1" s="1"/>
    </row>
    <row r="2" spans="1:6" x14ac:dyDescent="0.2">
      <c r="A2" s="10" t="s">
        <v>135</v>
      </c>
      <c r="B2" s="2"/>
      <c r="C2" s="3"/>
      <c r="D2" s="3"/>
      <c r="E2" s="3"/>
      <c r="F2" s="3"/>
    </row>
    <row r="3" spans="1:6" x14ac:dyDescent="0.2">
      <c r="A3" s="18" t="str">
        <f ca="1">IF(Calc!$AV$2=0,IF(COUNT(Roster!$B$6:$B$505)=0,"Nothing here yet. Add people on the Roster tab.","No anniversaries in the next 12 months."),Calc!$AV$2&amp;IF(Calc!$AV$2=1," anniversary"," anniversaries")&amp;" in the next 12 months.")&amp;IF(SUMPRODUCT((Roster!$A$6:$A$505&lt;&gt;"")*(1-ISNUMBER(Roster!$B$6:$B$505)))&gt;0," "&amp;SUMPRODUCT((Roster!$A$6:$A$505&lt;&gt;"")*(1-ISNUMBER(Roster!$B$6:$B$505)))&amp;IF(SUMPRODUCT((Roster!$A$6:$A$505&lt;&gt;"")*(1-ISNUMBER(Roster!$B$6:$B$505)))=1," Roster row has"," Roster rows have")&amp;" no valid hire date.","")</f>
        <v>12 anniversaries in the next 12 months.</v>
      </c>
    </row>
    <row r="5" spans="1:6" ht="28" x14ac:dyDescent="0.2">
      <c r="A5" s="15" t="s">
        <v>116</v>
      </c>
      <c r="B5" s="15" t="s">
        <v>136</v>
      </c>
      <c r="C5" s="15" t="s">
        <v>137</v>
      </c>
      <c r="D5" s="15" t="s">
        <v>138</v>
      </c>
      <c r="E5" s="15" t="s">
        <v>139</v>
      </c>
      <c r="F5" s="15" t="s">
        <v>140</v>
      </c>
    </row>
    <row r="6" spans="1:6" x14ac:dyDescent="0.2">
      <c r="A6" s="20">
        <f ca="1">IF(Calc!$AW6="","",INT(Calc!$AV6))</f>
        <v>46346</v>
      </c>
      <c r="B6" s="21" t="str">
        <f ca="1">IF(Calc!$AW6="","",INDEX(Roster!$A$6:$A$505,Calc!$AW6)&amp;"")</f>
        <v>Sample Person 01</v>
      </c>
      <c r="C6" s="21" t="str">
        <f ca="1">IF(Calc!$AW6="","",INDEX(Roster!$C$6:$C$505,Calc!$AW6)&amp;"")</f>
        <v>Sample Office A</v>
      </c>
      <c r="D6" s="19">
        <f ca="1">IF(Calc!$AW6="","",INDEX(Calc!$AP$6:$AP$505,Calc!$AW6))</f>
        <v>1</v>
      </c>
      <c r="E6" s="21" t="str">
        <f ca="1">IF(Calc!$AW6="","",IF(INDEX(Calc!$AS$6:$AS$505,Calc!$AW6)="","Shout-out","Milestone"))</f>
        <v>Milestone</v>
      </c>
      <c r="F6" s="22" t="str">
        <f ca="1">IF(Calc!$AW6="","",IF($E6="Shout-out",SUBSTITUTE(SUBSTITUTE(SUBSTITUTE(SUBSTITUTE(Setup!$C$7&amp;"","{name}",IF($B6="","this employee",$B6)),"{years}",$D6),"{yearword}",IF($D6=1,"year","years")),"{company}",Setup!$C$4),IF(INDEX(Calc!$AT$6:$AT$505,Calc!$AW6),"Award ordered. Present it on the anniversary.","Order award by "&amp;TEXT(INDEX(Calc!$AU$6:$AU$505,Calc!$AW6),"mmm d, yyyy")&amp;IF(INDEX(Calc!$AU$6:$AU$505,Calc!$AW6)&lt;Setup!$C$5," (late, order today)",""))))</f>
        <v>Order award by Oct 16, 2026 (late, order today)</v>
      </c>
    </row>
    <row r="7" spans="1:6" x14ac:dyDescent="0.2">
      <c r="A7" s="20">
        <f ca="1">IF(Calc!$AW7="","",INT(Calc!$AV7))</f>
        <v>46371</v>
      </c>
      <c r="B7" s="21" t="str">
        <f ca="1">IF(Calc!$AW7="","",INDEX(Roster!$A$6:$A$505,Calc!$AW7)&amp;"")</f>
        <v>Sample Person 02</v>
      </c>
      <c r="C7" s="21" t="str">
        <f ca="1">IF(Calc!$AW7="","",INDEX(Roster!$C$6:$C$505,Calc!$AW7)&amp;"")</f>
        <v>Sample Office A</v>
      </c>
      <c r="D7" s="19">
        <f ca="1">IF(Calc!$AW7="","",INDEX(Calc!$AP$6:$AP$505,Calc!$AW7))</f>
        <v>3</v>
      </c>
      <c r="E7" s="21" t="str">
        <f ca="1">IF(Calc!$AW7="","",IF(INDEX(Calc!$AS$6:$AS$505,Calc!$AW7)="","Shout-out","Milestone"))</f>
        <v>Milestone</v>
      </c>
      <c r="F7" s="22" t="str">
        <f ca="1">IF(Calc!$AW7="","",IF($E7="Shout-out",SUBSTITUTE(SUBSTITUTE(SUBSTITUTE(SUBSTITUTE(Setup!$C$7&amp;"","{name}",IF($B7="","this employee",$B7)),"{years}",$D7),"{yearword}",IF($D7=1,"year","years")),"{company}",Setup!$C$4),IF(INDEX(Calc!$AT$6:$AT$505,Calc!$AW7),"Award ordered. Present it on the anniversary.","Order award by "&amp;TEXT(INDEX(Calc!$AU$6:$AU$505,Calc!$AW7),"mmm d, yyyy")&amp;IF(INDEX(Calc!$AU$6:$AU$505,Calc!$AW7)&lt;Setup!$C$5," (late, order today)",""))))</f>
        <v>Order award by Nov 9, 2026</v>
      </c>
    </row>
    <row r="8" spans="1:6" x14ac:dyDescent="0.2">
      <c r="A8" s="20">
        <f ca="1">IF(Calc!$AW8="","",INT(Calc!$AV8))</f>
        <v>46399</v>
      </c>
      <c r="B8" s="21" t="str">
        <f ca="1">IF(Calc!$AW8="","",INDEX(Roster!$A$6:$A$505,Calc!$AW8)&amp;"")</f>
        <v>Sample Person 12</v>
      </c>
      <c r="C8" s="21" t="str">
        <f ca="1">IF(Calc!$AW8="","",INDEX(Roster!$C$6:$C$505,Calc!$AW8)&amp;"")</f>
        <v>Sample Office C</v>
      </c>
      <c r="D8" s="19">
        <f ca="1">IF(Calc!$AW8="","",INDEX(Calc!$AP$6:$AP$505,Calc!$AW8))</f>
        <v>1</v>
      </c>
      <c r="E8" s="21" t="str">
        <f ca="1">IF(Calc!$AW8="","",IF(INDEX(Calc!$AS$6:$AS$505,Calc!$AW8)="","Shout-out","Milestone"))</f>
        <v>Milestone</v>
      </c>
      <c r="F8" s="22" t="str">
        <f ca="1">IF(Calc!$AW8="","",IF($E8="Shout-out",SUBSTITUTE(SUBSTITUTE(SUBSTITUTE(SUBSTITUTE(Setup!$C$7&amp;"","{name}",IF($B8="","this employee",$B8)),"{years}",$D8),"{yearword}",IF($D8=1,"year","years")),"{company}",Setup!$C$4),IF(INDEX(Calc!$AT$6:$AT$505,Calc!$AW8),"Award ordered. Present it on the anniversary.","Order award by "&amp;TEXT(INDEX(Calc!$AU$6:$AU$505,Calc!$AW8),"mmm d, yyyy")&amp;IF(INDEX(Calc!$AU$6:$AU$505,Calc!$AW8)&lt;Setup!$C$5," (late, order today)",""))))</f>
        <v>Order award by Dec 4, 2026</v>
      </c>
    </row>
    <row r="9" spans="1:6" x14ac:dyDescent="0.2">
      <c r="A9" s="20">
        <f ca="1">IF(Calc!$AW9="","",INT(Calc!$AV9))</f>
        <v>46405</v>
      </c>
      <c r="B9" s="21" t="str">
        <f ca="1">IF(Calc!$AW9="","",INDEX(Roster!$A$6:$A$505,Calc!$AW9)&amp;"")</f>
        <v>Sample Person 03</v>
      </c>
      <c r="C9" s="21" t="str">
        <f ca="1">IF(Calc!$AW9="","",INDEX(Roster!$C$6:$C$505,Calc!$AW9)&amp;"")</f>
        <v>Sample Office B</v>
      </c>
      <c r="D9" s="19">
        <f ca="1">IF(Calc!$AW9="","",INDEX(Calc!$AP$6:$AP$505,Calc!$AW9))</f>
        <v>5</v>
      </c>
      <c r="E9" s="21" t="str">
        <f ca="1">IF(Calc!$AW9="","",IF(INDEX(Calc!$AS$6:$AS$505,Calc!$AW9)="","Shout-out","Milestone"))</f>
        <v>Milestone</v>
      </c>
      <c r="F9" s="22" t="str">
        <f ca="1">IF(Calc!$AW9="","",IF($E9="Shout-out",SUBSTITUTE(SUBSTITUTE(SUBSTITUTE(SUBSTITUTE(Setup!$C$7&amp;"","{name}",IF($B9="","this employee",$B9)),"{years}",$D9),"{yearword}",IF($D9=1,"year","years")),"{company}",Setup!$C$4),IF(INDEX(Calc!$AT$6:$AT$505,Calc!$AW9),"Award ordered. Present it on the anniversary.","Order award by "&amp;TEXT(INDEX(Calc!$AU$6:$AU$505,Calc!$AW9),"mmm d, yyyy")&amp;IF(INDEX(Calc!$AU$6:$AU$505,Calc!$AW9)&lt;Setup!$C$5," (late, order today)",""))))</f>
        <v>Order award by Dec 10, 2026</v>
      </c>
    </row>
    <row r="10" spans="1:6" x14ac:dyDescent="0.2">
      <c r="A10" s="20">
        <f ca="1">IF(Calc!$AW10="","",INT(Calc!$AV10))</f>
        <v>46446</v>
      </c>
      <c r="B10" s="21" t="str">
        <f ca="1">IF(Calc!$AW10="","",INDEX(Roster!$A$6:$A$505,Calc!$AW10)&amp;"")</f>
        <v>Sample Person 06</v>
      </c>
      <c r="C10" s="21" t="str">
        <f ca="1">IF(Calc!$AW10="","",INDEX(Roster!$C$6:$C$505,Calc!$AW10)&amp;"")</f>
        <v>Sample Office C</v>
      </c>
      <c r="D10" s="19">
        <f ca="1">IF(Calc!$AW10="","",INDEX(Calc!$AP$6:$AP$505,Calc!$AW10))</f>
        <v>3</v>
      </c>
      <c r="E10" s="21" t="str">
        <f ca="1">IF(Calc!$AW10="","",IF(INDEX(Calc!$AS$6:$AS$505,Calc!$AW10)="","Shout-out","Milestone"))</f>
        <v>Milestone</v>
      </c>
      <c r="F10" s="22" t="str">
        <f ca="1">IF(Calc!$AW10="","",IF($E10="Shout-out",SUBSTITUTE(SUBSTITUTE(SUBSTITUTE(SUBSTITUTE(Setup!$C$7&amp;"","{name}",IF($B10="","this employee",$B10)),"{years}",$D10),"{yearword}",IF($D10=1,"year","years")),"{company}",Setup!$C$4),IF(INDEX(Calc!$AT$6:$AT$505,Calc!$AW10),"Award ordered. Present it on the anniversary.","Order award by "&amp;TEXT(INDEX(Calc!$AU$6:$AU$505,Calc!$AW10),"mmm d, yyyy")&amp;IF(INDEX(Calc!$AU$6:$AU$505,Calc!$AW10)&lt;Setup!$C$5," (late, order today)",""))))</f>
        <v>Order award by Feb 8, 2027</v>
      </c>
    </row>
    <row r="11" spans="1:6" x14ac:dyDescent="0.2">
      <c r="A11" s="20">
        <f ca="1">IF(Calc!$AW11="","",INT(Calc!$AV11))</f>
        <v>46453</v>
      </c>
      <c r="B11" s="21" t="str">
        <f ca="1">IF(Calc!$AW11="","",INDEX(Roster!$A$6:$A$505,Calc!$AW11)&amp;"")</f>
        <v>Sample Person 04</v>
      </c>
      <c r="C11" s="21" t="str">
        <f ca="1">IF(Calc!$AW11="","",INDEX(Roster!$C$6:$C$505,Calc!$AW11)&amp;"")</f>
        <v>Sample Office B</v>
      </c>
      <c r="D11" s="19">
        <f ca="1">IF(Calc!$AW11="","",INDEX(Calc!$AP$6:$AP$505,Calc!$AW11))</f>
        <v>10</v>
      </c>
      <c r="E11" s="21" t="str">
        <f ca="1">IF(Calc!$AW11="","",IF(INDEX(Calc!$AS$6:$AS$505,Calc!$AW11)="","Shout-out","Milestone"))</f>
        <v>Milestone</v>
      </c>
      <c r="F11" s="22" t="str">
        <f ca="1">IF(Calc!$AW11="","",IF($E11="Shout-out",SUBSTITUTE(SUBSTITUTE(SUBSTITUTE(SUBSTITUTE(Setup!$C$7&amp;"","{name}",IF($B11="","this employee",$B11)),"{years}",$D11),"{yearword}",IF($D11=1,"year","years")),"{company}",Setup!$C$4),IF(INDEX(Calc!$AT$6:$AT$505,Calc!$AW11),"Award ordered. Present it on the anniversary.","Order award by "&amp;TEXT(INDEX(Calc!$AU$6:$AU$505,Calc!$AW11),"mmm d, yyyy")&amp;IF(INDEX(Calc!$AU$6:$AU$505,Calc!$AW11)&lt;Setup!$C$5," (late, order today)",""))))</f>
        <v>Order award by Feb 15, 2027</v>
      </c>
    </row>
    <row r="12" spans="1:6" x14ac:dyDescent="0.2">
      <c r="A12" s="20">
        <f ca="1">IF(Calc!$AW12="","",INT(Calc!$AV12))</f>
        <v>46489</v>
      </c>
      <c r="B12" s="21" t="str">
        <f ca="1">IF(Calc!$AW12="","",INDEX(Roster!$A$6:$A$505,Calc!$AW12)&amp;"")</f>
        <v>Sample Person 07</v>
      </c>
      <c r="C12" s="21" t="str">
        <f ca="1">IF(Calc!$AW12="","",INDEX(Roster!$C$6:$C$505,Calc!$AW12)&amp;"")</f>
        <v>Sample Office A</v>
      </c>
      <c r="D12" s="19">
        <f ca="1">IF(Calc!$AW12="","",INDEX(Calc!$AP$6:$AP$505,Calc!$AW12))</f>
        <v>20</v>
      </c>
      <c r="E12" s="21" t="str">
        <f ca="1">IF(Calc!$AW12="","",IF(INDEX(Calc!$AS$6:$AS$505,Calc!$AW12)="","Shout-out","Milestone"))</f>
        <v>Milestone</v>
      </c>
      <c r="F12" s="22" t="str">
        <f ca="1">IF(Calc!$AW12="","",IF($E12="Shout-out",SUBSTITUTE(SUBSTITUTE(SUBSTITUTE(SUBSTITUTE(Setup!$C$7&amp;"","{name}",IF($B12="","this employee",$B12)),"{years}",$D12),"{yearword}",IF($D12=1,"year","years")),"{company}",Setup!$C$4),IF(INDEX(Calc!$AT$6:$AT$505,Calc!$AW12),"Award ordered. Present it on the anniversary.","Order award by "&amp;TEXT(INDEX(Calc!$AU$6:$AU$505,Calc!$AW12),"mmm d, yyyy")&amp;IF(INDEX(Calc!$AU$6:$AU$505,Calc!$AW12)&lt;Setup!$C$5," (late, order today)",""))))</f>
        <v>Order award by Mar 22, 2027</v>
      </c>
    </row>
    <row r="13" spans="1:6" x14ac:dyDescent="0.2">
      <c r="A13" s="20">
        <f ca="1">IF(Calc!$AW13="","",INT(Calc!$AV13))</f>
        <v>46512</v>
      </c>
      <c r="B13" s="21" t="str">
        <f ca="1">IF(Calc!$AW13="","",INDEX(Roster!$A$6:$A$505,Calc!$AW13)&amp;"")</f>
        <v>Sample Person 11</v>
      </c>
      <c r="C13" s="21" t="str">
        <f ca="1">IF(Calc!$AW13="","",INDEX(Roster!$C$6:$C$505,Calc!$AW13)&amp;"")</f>
        <v>Sample Office B</v>
      </c>
      <c r="D13" s="19">
        <f ca="1">IF(Calc!$AW13="","",INDEX(Calc!$AP$6:$AP$505,Calc!$AW13))</f>
        <v>2</v>
      </c>
      <c r="E13" s="21" t="str">
        <f ca="1">IF(Calc!$AW13="","",IF(INDEX(Calc!$AS$6:$AS$505,Calc!$AW13)="","Shout-out","Milestone"))</f>
        <v>Shout-out</v>
      </c>
      <c r="F13" s="22" t="str">
        <f ca="1">IF(Calc!$AW13="","",IF($E13="Shout-out",SUBSTITUTE(SUBSTITUTE(SUBSTITUTE(SUBSTITUTE(Setup!$C$7&amp;"","{name}",IF($B13="","this employee",$B13)),"{years}",$D13),"{yearword}",IF($D13=1,"year","years")),"{company}",Setup!$C$4),IF(INDEX(Calc!$AT$6:$AT$505,Calc!$AW13),"Award ordered. Present it on the anniversary.","Order award by "&amp;TEXT(INDEX(Calc!$AU$6:$AU$505,Calc!$AW13),"mmm d, yyyy")&amp;IF(INDEX(Calc!$AU$6:$AU$505,Calc!$AW13)&lt;Setup!$C$5," (late, order today)",""))))</f>
        <v>Give Sample Person 11 a shout-out on this date for 2 years with Your Company Name.</v>
      </c>
    </row>
    <row r="14" spans="1:6" x14ac:dyDescent="0.2">
      <c r="A14" s="20">
        <f ca="1">IF(Calc!$AW14="","",INT(Calc!$AV14))</f>
        <v>46539</v>
      </c>
      <c r="B14" s="21" t="str">
        <f ca="1">IF(Calc!$AW14="","",INDEX(Roster!$A$6:$A$505,Calc!$AW14)&amp;"")</f>
        <v>Sample Person 05</v>
      </c>
      <c r="C14" s="21" t="str">
        <f ca="1">IF(Calc!$AW14="","",INDEX(Roster!$C$6:$C$505,Calc!$AW14)&amp;"")</f>
        <v>Sample Office A</v>
      </c>
      <c r="D14" s="19">
        <f ca="1">IF(Calc!$AW14="","",INDEX(Calc!$AP$6:$AP$505,Calc!$AW14))</f>
        <v>15</v>
      </c>
      <c r="E14" s="21" t="str">
        <f ca="1">IF(Calc!$AW14="","",IF(INDEX(Calc!$AS$6:$AS$505,Calc!$AW14)="","Shout-out","Milestone"))</f>
        <v>Milestone</v>
      </c>
      <c r="F14" s="22" t="str">
        <f ca="1">IF(Calc!$AW14="","",IF($E14="Shout-out",SUBSTITUTE(SUBSTITUTE(SUBSTITUTE(SUBSTITUTE(Setup!$C$7&amp;"","{name}",IF($B14="","this employee",$B14)),"{years}",$D14),"{yearword}",IF($D14=1,"year","years")),"{company}",Setup!$C$4),IF(INDEX(Calc!$AT$6:$AT$505,Calc!$AW14),"Award ordered. Present it on the anniversary.","Order award by "&amp;TEXT(INDEX(Calc!$AU$6:$AU$505,Calc!$AW14),"mmm d, yyyy")&amp;IF(INDEX(Calc!$AU$6:$AU$505,Calc!$AW14)&lt;Setup!$C$5," (late, order today)",""))))</f>
        <v>Order award by May 10, 2027</v>
      </c>
    </row>
    <row r="15" spans="1:6" x14ac:dyDescent="0.2">
      <c r="A15" s="20">
        <f ca="1">IF(Calc!$AW15="","",INT(Calc!$AV15))</f>
        <v>46619</v>
      </c>
      <c r="B15" s="21" t="str">
        <f ca="1">IF(Calc!$AW15="","",INDEX(Roster!$A$6:$A$505,Calc!$AW15)&amp;"")</f>
        <v>Sample Person 08</v>
      </c>
      <c r="C15" s="21" t="str">
        <f ca="1">IF(Calc!$AW15="","",INDEX(Roster!$C$6:$C$505,Calc!$AW15)&amp;"")</f>
        <v>Sample Office C</v>
      </c>
      <c r="D15" s="19">
        <f ca="1">IF(Calc!$AW15="","",INDEX(Calc!$AP$6:$AP$505,Calc!$AW15))</f>
        <v>25</v>
      </c>
      <c r="E15" s="21" t="str">
        <f ca="1">IF(Calc!$AW15="","",IF(INDEX(Calc!$AS$6:$AS$505,Calc!$AW15)="","Shout-out","Milestone"))</f>
        <v>Milestone</v>
      </c>
      <c r="F15" s="22" t="str">
        <f ca="1">IF(Calc!$AW15="","",IF($E15="Shout-out",SUBSTITUTE(SUBSTITUTE(SUBSTITUTE(SUBSTITUTE(Setup!$C$7&amp;"","{name}",IF($B15="","this employee",$B15)),"{years}",$D15),"{yearword}",IF($D15=1,"year","years")),"{company}",Setup!$C$4),IF(INDEX(Calc!$AT$6:$AT$505,Calc!$AW15),"Award ordered. Present it on the anniversary.","Order award by "&amp;TEXT(INDEX(Calc!$AU$6:$AU$505,Calc!$AW15),"mmm d, yyyy")&amp;IF(INDEX(Calc!$AU$6:$AU$505,Calc!$AW15)&lt;Setup!$C$5," (late, order today)",""))))</f>
        <v>Order award by Jul 30, 2027</v>
      </c>
    </row>
    <row r="16" spans="1:6" x14ac:dyDescent="0.2">
      <c r="A16" s="20">
        <f ca="1">IF(Calc!$AW16="","",INT(Calc!$AV16))</f>
        <v>46639</v>
      </c>
      <c r="B16" s="21" t="str">
        <f ca="1">IF(Calc!$AW16="","",INDEX(Roster!$A$6:$A$505,Calc!$AW16)&amp;"")</f>
        <v>Sample Person 09</v>
      </c>
      <c r="C16" s="21" t="str">
        <f ca="1">IF(Calc!$AW16="","",INDEX(Roster!$C$6:$C$505,Calc!$AW16)&amp;"")</f>
        <v>Sample Office B</v>
      </c>
      <c r="D16" s="19">
        <f ca="1">IF(Calc!$AW16="","",INDEX(Calc!$AP$6:$AP$505,Calc!$AW16))</f>
        <v>30</v>
      </c>
      <c r="E16" s="21" t="str">
        <f ca="1">IF(Calc!$AW16="","",IF(INDEX(Calc!$AS$6:$AS$505,Calc!$AW16)="","Shout-out","Milestone"))</f>
        <v>Milestone</v>
      </c>
      <c r="F16" s="22" t="str">
        <f ca="1">IF(Calc!$AW16="","",IF($E16="Shout-out",SUBSTITUTE(SUBSTITUTE(SUBSTITUTE(SUBSTITUTE(Setup!$C$7&amp;"","{name}",IF($B16="","this employee",$B16)),"{years}",$D16),"{yearword}",IF($D16=1,"year","years")),"{company}",Setup!$C$4),IF(INDEX(Calc!$AT$6:$AT$505,Calc!$AW16),"Award ordered. Present it on the anniversary.","Order award by "&amp;TEXT(INDEX(Calc!$AU$6:$AU$505,Calc!$AW16),"mmm d, yyyy")&amp;IF(INDEX(Calc!$AU$6:$AU$505,Calc!$AW16)&lt;Setup!$C$5," (late, order today)",""))))</f>
        <v>Order award by Aug 18, 2027</v>
      </c>
    </row>
    <row r="17" spans="1:6" x14ac:dyDescent="0.2">
      <c r="A17" s="20">
        <f ca="1">IF(Calc!$AW17="","",INT(Calc!$AV17))</f>
        <v>46680</v>
      </c>
      <c r="B17" s="21" t="str">
        <f ca="1">IF(Calc!$AW17="","",INDEX(Roster!$A$6:$A$505,Calc!$AW17)&amp;"")</f>
        <v>Sample Person 10</v>
      </c>
      <c r="C17" s="21" t="str">
        <f ca="1">IF(Calc!$AW17="","",INDEX(Roster!$C$6:$C$505,Calc!$AW17)&amp;"")</f>
        <v>Sample Office A</v>
      </c>
      <c r="D17" s="19">
        <f ca="1">IF(Calc!$AW17="","",INDEX(Calc!$AP$6:$AP$505,Calc!$AW17))</f>
        <v>6</v>
      </c>
      <c r="E17" s="21" t="str">
        <f ca="1">IF(Calc!$AW17="","",IF(INDEX(Calc!$AS$6:$AS$505,Calc!$AW17)="","Shout-out","Milestone"))</f>
        <v>Shout-out</v>
      </c>
      <c r="F17" s="22" t="str">
        <f ca="1">IF(Calc!$AW17="","",IF($E17="Shout-out",SUBSTITUTE(SUBSTITUTE(SUBSTITUTE(SUBSTITUTE(Setup!$C$7&amp;"","{name}",IF($B17="","this employee",$B17)),"{years}",$D17),"{yearword}",IF($D17=1,"year","years")),"{company}",Setup!$C$4),IF(INDEX(Calc!$AT$6:$AT$505,Calc!$AW17),"Award ordered. Present it on the anniversary.","Order award by "&amp;TEXT(INDEX(Calc!$AU$6:$AU$505,Calc!$AW17),"mmm d, yyyy")&amp;IF(INDEX(Calc!$AU$6:$AU$505,Calc!$AW17)&lt;Setup!$C$5," (late, order today)",""))))</f>
        <v>Give Sample Person 10 a shout-out on this date for 6 years with Your Company Name.</v>
      </c>
    </row>
    <row r="18" spans="1:6" x14ac:dyDescent="0.2">
      <c r="A18" s="20" t="str">
        <f ca="1">IF(Calc!$AW18="","",INT(Calc!$AV18))</f>
        <v/>
      </c>
      <c r="B18" s="21" t="str">
        <f ca="1">IF(Calc!$AW18="","",INDEX(Roster!$A$6:$A$505,Calc!$AW18)&amp;"")</f>
        <v/>
      </c>
      <c r="C18" s="21" t="str">
        <f ca="1">IF(Calc!$AW18="","",INDEX(Roster!$C$6:$C$505,Calc!$AW18)&amp;"")</f>
        <v/>
      </c>
      <c r="D18" s="19" t="str">
        <f ca="1">IF(Calc!$AW18="","",INDEX(Calc!$AP$6:$AP$505,Calc!$AW18))</f>
        <v/>
      </c>
      <c r="E18" s="21" t="str">
        <f ca="1">IF(Calc!$AW18="","",IF(INDEX(Calc!$AS$6:$AS$505,Calc!$AW18)="","Shout-out","Milestone"))</f>
        <v/>
      </c>
      <c r="F18" s="22" t="str">
        <f ca="1">IF(Calc!$AW18="","",IF($E18="Shout-out",SUBSTITUTE(SUBSTITUTE(SUBSTITUTE(SUBSTITUTE(Setup!$C$7&amp;"","{name}",IF($B18="","this employee",$B18)),"{years}",$D18),"{yearword}",IF($D18=1,"year","years")),"{company}",Setup!$C$4),IF(INDEX(Calc!$AT$6:$AT$505,Calc!$AW18),"Award ordered. Present it on the anniversary.","Order award by "&amp;TEXT(INDEX(Calc!$AU$6:$AU$505,Calc!$AW18),"mmm d, yyyy")&amp;IF(INDEX(Calc!$AU$6:$AU$505,Calc!$AW18)&lt;Setup!$C$5," (late, order today)",""))))</f>
        <v/>
      </c>
    </row>
    <row r="19" spans="1:6" x14ac:dyDescent="0.2">
      <c r="A19" s="20" t="str">
        <f ca="1">IF(Calc!$AW19="","",INT(Calc!$AV19))</f>
        <v/>
      </c>
      <c r="B19" s="21" t="str">
        <f ca="1">IF(Calc!$AW19="","",INDEX(Roster!$A$6:$A$505,Calc!$AW19)&amp;"")</f>
        <v/>
      </c>
      <c r="C19" s="21" t="str">
        <f ca="1">IF(Calc!$AW19="","",INDEX(Roster!$C$6:$C$505,Calc!$AW19)&amp;"")</f>
        <v/>
      </c>
      <c r="D19" s="19" t="str">
        <f ca="1">IF(Calc!$AW19="","",INDEX(Calc!$AP$6:$AP$505,Calc!$AW19))</f>
        <v/>
      </c>
      <c r="E19" s="21" t="str">
        <f ca="1">IF(Calc!$AW19="","",IF(INDEX(Calc!$AS$6:$AS$505,Calc!$AW19)="","Shout-out","Milestone"))</f>
        <v/>
      </c>
      <c r="F19" s="22" t="str">
        <f ca="1">IF(Calc!$AW19="","",IF($E19="Shout-out",SUBSTITUTE(SUBSTITUTE(SUBSTITUTE(SUBSTITUTE(Setup!$C$7&amp;"","{name}",IF($B19="","this employee",$B19)),"{years}",$D19),"{yearword}",IF($D19=1,"year","years")),"{company}",Setup!$C$4),IF(INDEX(Calc!$AT$6:$AT$505,Calc!$AW19),"Award ordered. Present it on the anniversary.","Order award by "&amp;TEXT(INDEX(Calc!$AU$6:$AU$505,Calc!$AW19),"mmm d, yyyy")&amp;IF(INDEX(Calc!$AU$6:$AU$505,Calc!$AW19)&lt;Setup!$C$5," (late, order today)",""))))</f>
        <v/>
      </c>
    </row>
    <row r="20" spans="1:6" x14ac:dyDescent="0.2">
      <c r="A20" s="20" t="str">
        <f ca="1">IF(Calc!$AW20="","",INT(Calc!$AV20))</f>
        <v/>
      </c>
      <c r="B20" s="21" t="str">
        <f ca="1">IF(Calc!$AW20="","",INDEX(Roster!$A$6:$A$505,Calc!$AW20)&amp;"")</f>
        <v/>
      </c>
      <c r="C20" s="21" t="str">
        <f ca="1">IF(Calc!$AW20="","",INDEX(Roster!$C$6:$C$505,Calc!$AW20)&amp;"")</f>
        <v/>
      </c>
      <c r="D20" s="19" t="str">
        <f ca="1">IF(Calc!$AW20="","",INDEX(Calc!$AP$6:$AP$505,Calc!$AW20))</f>
        <v/>
      </c>
      <c r="E20" s="21" t="str">
        <f ca="1">IF(Calc!$AW20="","",IF(INDEX(Calc!$AS$6:$AS$505,Calc!$AW20)="","Shout-out","Milestone"))</f>
        <v/>
      </c>
      <c r="F20" s="22" t="str">
        <f ca="1">IF(Calc!$AW20="","",IF($E20="Shout-out",SUBSTITUTE(SUBSTITUTE(SUBSTITUTE(SUBSTITUTE(Setup!$C$7&amp;"","{name}",IF($B20="","this employee",$B20)),"{years}",$D20),"{yearword}",IF($D20=1,"year","years")),"{company}",Setup!$C$4),IF(INDEX(Calc!$AT$6:$AT$505,Calc!$AW20),"Award ordered. Present it on the anniversary.","Order award by "&amp;TEXT(INDEX(Calc!$AU$6:$AU$505,Calc!$AW20),"mmm d, yyyy")&amp;IF(INDEX(Calc!$AU$6:$AU$505,Calc!$AW20)&lt;Setup!$C$5," (late, order today)",""))))</f>
        <v/>
      </c>
    </row>
    <row r="21" spans="1:6" x14ac:dyDescent="0.2">
      <c r="A21" s="20" t="str">
        <f ca="1">IF(Calc!$AW21="","",INT(Calc!$AV21))</f>
        <v/>
      </c>
      <c r="B21" s="21" t="str">
        <f ca="1">IF(Calc!$AW21="","",INDEX(Roster!$A$6:$A$505,Calc!$AW21)&amp;"")</f>
        <v/>
      </c>
      <c r="C21" s="21" t="str">
        <f ca="1">IF(Calc!$AW21="","",INDEX(Roster!$C$6:$C$505,Calc!$AW21)&amp;"")</f>
        <v/>
      </c>
      <c r="D21" s="19" t="str">
        <f ca="1">IF(Calc!$AW21="","",INDEX(Calc!$AP$6:$AP$505,Calc!$AW21))</f>
        <v/>
      </c>
      <c r="E21" s="21" t="str">
        <f ca="1">IF(Calc!$AW21="","",IF(INDEX(Calc!$AS$6:$AS$505,Calc!$AW21)="","Shout-out","Milestone"))</f>
        <v/>
      </c>
      <c r="F21" s="22" t="str">
        <f ca="1">IF(Calc!$AW21="","",IF($E21="Shout-out",SUBSTITUTE(SUBSTITUTE(SUBSTITUTE(SUBSTITUTE(Setup!$C$7&amp;"","{name}",IF($B21="","this employee",$B21)),"{years}",$D21),"{yearword}",IF($D21=1,"year","years")),"{company}",Setup!$C$4),IF(INDEX(Calc!$AT$6:$AT$505,Calc!$AW21),"Award ordered. Present it on the anniversary.","Order award by "&amp;TEXT(INDEX(Calc!$AU$6:$AU$505,Calc!$AW21),"mmm d, yyyy")&amp;IF(INDEX(Calc!$AU$6:$AU$505,Calc!$AW21)&lt;Setup!$C$5," (late, order today)",""))))</f>
        <v/>
      </c>
    </row>
    <row r="22" spans="1:6" x14ac:dyDescent="0.2">
      <c r="A22" s="20" t="str">
        <f ca="1">IF(Calc!$AW22="","",INT(Calc!$AV22))</f>
        <v/>
      </c>
      <c r="B22" s="21" t="str">
        <f ca="1">IF(Calc!$AW22="","",INDEX(Roster!$A$6:$A$505,Calc!$AW22)&amp;"")</f>
        <v/>
      </c>
      <c r="C22" s="21" t="str">
        <f ca="1">IF(Calc!$AW22="","",INDEX(Roster!$C$6:$C$505,Calc!$AW22)&amp;"")</f>
        <v/>
      </c>
      <c r="D22" s="19" t="str">
        <f ca="1">IF(Calc!$AW22="","",INDEX(Calc!$AP$6:$AP$505,Calc!$AW22))</f>
        <v/>
      </c>
      <c r="E22" s="21" t="str">
        <f ca="1">IF(Calc!$AW22="","",IF(INDEX(Calc!$AS$6:$AS$505,Calc!$AW22)="","Shout-out","Milestone"))</f>
        <v/>
      </c>
      <c r="F22" s="22" t="str">
        <f ca="1">IF(Calc!$AW22="","",IF($E22="Shout-out",SUBSTITUTE(SUBSTITUTE(SUBSTITUTE(SUBSTITUTE(Setup!$C$7&amp;"","{name}",IF($B22="","this employee",$B22)),"{years}",$D22),"{yearword}",IF($D22=1,"year","years")),"{company}",Setup!$C$4),IF(INDEX(Calc!$AT$6:$AT$505,Calc!$AW22),"Award ordered. Present it on the anniversary.","Order award by "&amp;TEXT(INDEX(Calc!$AU$6:$AU$505,Calc!$AW22),"mmm d, yyyy")&amp;IF(INDEX(Calc!$AU$6:$AU$505,Calc!$AW22)&lt;Setup!$C$5," (late, order today)",""))))</f>
        <v/>
      </c>
    </row>
    <row r="23" spans="1:6" x14ac:dyDescent="0.2">
      <c r="A23" s="20" t="str">
        <f ca="1">IF(Calc!$AW23="","",INT(Calc!$AV23))</f>
        <v/>
      </c>
      <c r="B23" s="21" t="str">
        <f ca="1">IF(Calc!$AW23="","",INDEX(Roster!$A$6:$A$505,Calc!$AW23)&amp;"")</f>
        <v/>
      </c>
      <c r="C23" s="21" t="str">
        <f ca="1">IF(Calc!$AW23="","",INDEX(Roster!$C$6:$C$505,Calc!$AW23)&amp;"")</f>
        <v/>
      </c>
      <c r="D23" s="19" t="str">
        <f ca="1">IF(Calc!$AW23="","",INDEX(Calc!$AP$6:$AP$505,Calc!$AW23))</f>
        <v/>
      </c>
      <c r="E23" s="21" t="str">
        <f ca="1">IF(Calc!$AW23="","",IF(INDEX(Calc!$AS$6:$AS$505,Calc!$AW23)="","Shout-out","Milestone"))</f>
        <v/>
      </c>
      <c r="F23" s="22" t="str">
        <f ca="1">IF(Calc!$AW23="","",IF($E23="Shout-out",SUBSTITUTE(SUBSTITUTE(SUBSTITUTE(SUBSTITUTE(Setup!$C$7&amp;"","{name}",IF($B23="","this employee",$B23)),"{years}",$D23),"{yearword}",IF($D23=1,"year","years")),"{company}",Setup!$C$4),IF(INDEX(Calc!$AT$6:$AT$505,Calc!$AW23),"Award ordered. Present it on the anniversary.","Order award by "&amp;TEXT(INDEX(Calc!$AU$6:$AU$505,Calc!$AW23),"mmm d, yyyy")&amp;IF(INDEX(Calc!$AU$6:$AU$505,Calc!$AW23)&lt;Setup!$C$5," (late, order today)",""))))</f>
        <v/>
      </c>
    </row>
    <row r="24" spans="1:6" x14ac:dyDescent="0.2">
      <c r="A24" s="20" t="str">
        <f ca="1">IF(Calc!$AW24="","",INT(Calc!$AV24))</f>
        <v/>
      </c>
      <c r="B24" s="21" t="str">
        <f ca="1">IF(Calc!$AW24="","",INDEX(Roster!$A$6:$A$505,Calc!$AW24)&amp;"")</f>
        <v/>
      </c>
      <c r="C24" s="21" t="str">
        <f ca="1">IF(Calc!$AW24="","",INDEX(Roster!$C$6:$C$505,Calc!$AW24)&amp;"")</f>
        <v/>
      </c>
      <c r="D24" s="19" t="str">
        <f ca="1">IF(Calc!$AW24="","",INDEX(Calc!$AP$6:$AP$505,Calc!$AW24))</f>
        <v/>
      </c>
      <c r="E24" s="21" t="str">
        <f ca="1">IF(Calc!$AW24="","",IF(INDEX(Calc!$AS$6:$AS$505,Calc!$AW24)="","Shout-out","Milestone"))</f>
        <v/>
      </c>
      <c r="F24" s="22" t="str">
        <f ca="1">IF(Calc!$AW24="","",IF($E24="Shout-out",SUBSTITUTE(SUBSTITUTE(SUBSTITUTE(SUBSTITUTE(Setup!$C$7&amp;"","{name}",IF($B24="","this employee",$B24)),"{years}",$D24),"{yearword}",IF($D24=1,"year","years")),"{company}",Setup!$C$4),IF(INDEX(Calc!$AT$6:$AT$505,Calc!$AW24),"Award ordered. Present it on the anniversary.","Order award by "&amp;TEXT(INDEX(Calc!$AU$6:$AU$505,Calc!$AW24),"mmm d, yyyy")&amp;IF(INDEX(Calc!$AU$6:$AU$505,Calc!$AW24)&lt;Setup!$C$5," (late, order today)",""))))</f>
        <v/>
      </c>
    </row>
    <row r="25" spans="1:6" x14ac:dyDescent="0.2">
      <c r="A25" s="20" t="str">
        <f ca="1">IF(Calc!$AW25="","",INT(Calc!$AV25))</f>
        <v/>
      </c>
      <c r="B25" s="21" t="str">
        <f ca="1">IF(Calc!$AW25="","",INDEX(Roster!$A$6:$A$505,Calc!$AW25)&amp;"")</f>
        <v/>
      </c>
      <c r="C25" s="21" t="str">
        <f ca="1">IF(Calc!$AW25="","",INDEX(Roster!$C$6:$C$505,Calc!$AW25)&amp;"")</f>
        <v/>
      </c>
      <c r="D25" s="19" t="str">
        <f ca="1">IF(Calc!$AW25="","",INDEX(Calc!$AP$6:$AP$505,Calc!$AW25))</f>
        <v/>
      </c>
      <c r="E25" s="21" t="str">
        <f ca="1">IF(Calc!$AW25="","",IF(INDEX(Calc!$AS$6:$AS$505,Calc!$AW25)="","Shout-out","Milestone"))</f>
        <v/>
      </c>
      <c r="F25" s="22" t="str">
        <f ca="1">IF(Calc!$AW25="","",IF($E25="Shout-out",SUBSTITUTE(SUBSTITUTE(SUBSTITUTE(SUBSTITUTE(Setup!$C$7&amp;"","{name}",IF($B25="","this employee",$B25)),"{years}",$D25),"{yearword}",IF($D25=1,"year","years")),"{company}",Setup!$C$4),IF(INDEX(Calc!$AT$6:$AT$505,Calc!$AW25),"Award ordered. Present it on the anniversary.","Order award by "&amp;TEXT(INDEX(Calc!$AU$6:$AU$505,Calc!$AW25),"mmm d, yyyy")&amp;IF(INDEX(Calc!$AU$6:$AU$505,Calc!$AW25)&lt;Setup!$C$5," (late, order today)",""))))</f>
        <v/>
      </c>
    </row>
    <row r="26" spans="1:6" x14ac:dyDescent="0.2">
      <c r="A26" s="20" t="str">
        <f ca="1">IF(Calc!$AW26="","",INT(Calc!$AV26))</f>
        <v/>
      </c>
      <c r="B26" s="21" t="str">
        <f ca="1">IF(Calc!$AW26="","",INDEX(Roster!$A$6:$A$505,Calc!$AW26)&amp;"")</f>
        <v/>
      </c>
      <c r="C26" s="21" t="str">
        <f ca="1">IF(Calc!$AW26="","",INDEX(Roster!$C$6:$C$505,Calc!$AW26)&amp;"")</f>
        <v/>
      </c>
      <c r="D26" s="19" t="str">
        <f ca="1">IF(Calc!$AW26="","",INDEX(Calc!$AP$6:$AP$505,Calc!$AW26))</f>
        <v/>
      </c>
      <c r="E26" s="21" t="str">
        <f ca="1">IF(Calc!$AW26="","",IF(INDEX(Calc!$AS$6:$AS$505,Calc!$AW26)="","Shout-out","Milestone"))</f>
        <v/>
      </c>
      <c r="F26" s="22" t="str">
        <f ca="1">IF(Calc!$AW26="","",IF($E26="Shout-out",SUBSTITUTE(SUBSTITUTE(SUBSTITUTE(SUBSTITUTE(Setup!$C$7&amp;"","{name}",IF($B26="","this employee",$B26)),"{years}",$D26),"{yearword}",IF($D26=1,"year","years")),"{company}",Setup!$C$4),IF(INDEX(Calc!$AT$6:$AT$505,Calc!$AW26),"Award ordered. Present it on the anniversary.","Order award by "&amp;TEXT(INDEX(Calc!$AU$6:$AU$505,Calc!$AW26),"mmm d, yyyy")&amp;IF(INDEX(Calc!$AU$6:$AU$505,Calc!$AW26)&lt;Setup!$C$5," (late, order today)",""))))</f>
        <v/>
      </c>
    </row>
    <row r="27" spans="1:6" x14ac:dyDescent="0.2">
      <c r="A27" s="20" t="str">
        <f ca="1">IF(Calc!$AW27="","",INT(Calc!$AV27))</f>
        <v/>
      </c>
      <c r="B27" s="21" t="str">
        <f ca="1">IF(Calc!$AW27="","",INDEX(Roster!$A$6:$A$505,Calc!$AW27)&amp;"")</f>
        <v/>
      </c>
      <c r="C27" s="21" t="str">
        <f ca="1">IF(Calc!$AW27="","",INDEX(Roster!$C$6:$C$505,Calc!$AW27)&amp;"")</f>
        <v/>
      </c>
      <c r="D27" s="19" t="str">
        <f ca="1">IF(Calc!$AW27="","",INDEX(Calc!$AP$6:$AP$505,Calc!$AW27))</f>
        <v/>
      </c>
      <c r="E27" s="21" t="str">
        <f ca="1">IF(Calc!$AW27="","",IF(INDEX(Calc!$AS$6:$AS$505,Calc!$AW27)="","Shout-out","Milestone"))</f>
        <v/>
      </c>
      <c r="F27" s="22" t="str">
        <f ca="1">IF(Calc!$AW27="","",IF($E27="Shout-out",SUBSTITUTE(SUBSTITUTE(SUBSTITUTE(SUBSTITUTE(Setup!$C$7&amp;"","{name}",IF($B27="","this employee",$B27)),"{years}",$D27),"{yearword}",IF($D27=1,"year","years")),"{company}",Setup!$C$4),IF(INDEX(Calc!$AT$6:$AT$505,Calc!$AW27),"Award ordered. Present it on the anniversary.","Order award by "&amp;TEXT(INDEX(Calc!$AU$6:$AU$505,Calc!$AW27),"mmm d, yyyy")&amp;IF(INDEX(Calc!$AU$6:$AU$505,Calc!$AW27)&lt;Setup!$C$5," (late, order today)",""))))</f>
        <v/>
      </c>
    </row>
    <row r="28" spans="1:6" x14ac:dyDescent="0.2">
      <c r="A28" s="20" t="str">
        <f ca="1">IF(Calc!$AW28="","",INT(Calc!$AV28))</f>
        <v/>
      </c>
      <c r="B28" s="21" t="str">
        <f ca="1">IF(Calc!$AW28="","",INDEX(Roster!$A$6:$A$505,Calc!$AW28)&amp;"")</f>
        <v/>
      </c>
      <c r="C28" s="21" t="str">
        <f ca="1">IF(Calc!$AW28="","",INDEX(Roster!$C$6:$C$505,Calc!$AW28)&amp;"")</f>
        <v/>
      </c>
      <c r="D28" s="19" t="str">
        <f ca="1">IF(Calc!$AW28="","",INDEX(Calc!$AP$6:$AP$505,Calc!$AW28))</f>
        <v/>
      </c>
      <c r="E28" s="21" t="str">
        <f ca="1">IF(Calc!$AW28="","",IF(INDEX(Calc!$AS$6:$AS$505,Calc!$AW28)="","Shout-out","Milestone"))</f>
        <v/>
      </c>
      <c r="F28" s="22" t="str">
        <f ca="1">IF(Calc!$AW28="","",IF($E28="Shout-out",SUBSTITUTE(SUBSTITUTE(SUBSTITUTE(SUBSTITUTE(Setup!$C$7&amp;"","{name}",IF($B28="","this employee",$B28)),"{years}",$D28),"{yearword}",IF($D28=1,"year","years")),"{company}",Setup!$C$4),IF(INDEX(Calc!$AT$6:$AT$505,Calc!$AW28),"Award ordered. Present it on the anniversary.","Order award by "&amp;TEXT(INDEX(Calc!$AU$6:$AU$505,Calc!$AW28),"mmm d, yyyy")&amp;IF(INDEX(Calc!$AU$6:$AU$505,Calc!$AW28)&lt;Setup!$C$5," (late, order today)",""))))</f>
        <v/>
      </c>
    </row>
    <row r="29" spans="1:6" x14ac:dyDescent="0.2">
      <c r="A29" s="20" t="str">
        <f ca="1">IF(Calc!$AW29="","",INT(Calc!$AV29))</f>
        <v/>
      </c>
      <c r="B29" s="21" t="str">
        <f ca="1">IF(Calc!$AW29="","",INDEX(Roster!$A$6:$A$505,Calc!$AW29)&amp;"")</f>
        <v/>
      </c>
      <c r="C29" s="21" t="str">
        <f ca="1">IF(Calc!$AW29="","",INDEX(Roster!$C$6:$C$505,Calc!$AW29)&amp;"")</f>
        <v/>
      </c>
      <c r="D29" s="19" t="str">
        <f ca="1">IF(Calc!$AW29="","",INDEX(Calc!$AP$6:$AP$505,Calc!$AW29))</f>
        <v/>
      </c>
      <c r="E29" s="21" t="str">
        <f ca="1">IF(Calc!$AW29="","",IF(INDEX(Calc!$AS$6:$AS$505,Calc!$AW29)="","Shout-out","Milestone"))</f>
        <v/>
      </c>
      <c r="F29" s="22" t="str">
        <f ca="1">IF(Calc!$AW29="","",IF($E29="Shout-out",SUBSTITUTE(SUBSTITUTE(SUBSTITUTE(SUBSTITUTE(Setup!$C$7&amp;"","{name}",IF($B29="","this employee",$B29)),"{years}",$D29),"{yearword}",IF($D29=1,"year","years")),"{company}",Setup!$C$4),IF(INDEX(Calc!$AT$6:$AT$505,Calc!$AW29),"Award ordered. Present it on the anniversary.","Order award by "&amp;TEXT(INDEX(Calc!$AU$6:$AU$505,Calc!$AW29),"mmm d, yyyy")&amp;IF(INDEX(Calc!$AU$6:$AU$505,Calc!$AW29)&lt;Setup!$C$5," (late, order today)",""))))</f>
        <v/>
      </c>
    </row>
    <row r="30" spans="1:6" x14ac:dyDescent="0.2">
      <c r="A30" s="20" t="str">
        <f ca="1">IF(Calc!$AW30="","",INT(Calc!$AV30))</f>
        <v/>
      </c>
      <c r="B30" s="21" t="str">
        <f ca="1">IF(Calc!$AW30="","",INDEX(Roster!$A$6:$A$505,Calc!$AW30)&amp;"")</f>
        <v/>
      </c>
      <c r="C30" s="21" t="str">
        <f ca="1">IF(Calc!$AW30="","",INDEX(Roster!$C$6:$C$505,Calc!$AW30)&amp;"")</f>
        <v/>
      </c>
      <c r="D30" s="19" t="str">
        <f ca="1">IF(Calc!$AW30="","",INDEX(Calc!$AP$6:$AP$505,Calc!$AW30))</f>
        <v/>
      </c>
      <c r="E30" s="21" t="str">
        <f ca="1">IF(Calc!$AW30="","",IF(INDEX(Calc!$AS$6:$AS$505,Calc!$AW30)="","Shout-out","Milestone"))</f>
        <v/>
      </c>
      <c r="F30" s="22" t="str">
        <f ca="1">IF(Calc!$AW30="","",IF($E30="Shout-out",SUBSTITUTE(SUBSTITUTE(SUBSTITUTE(SUBSTITUTE(Setup!$C$7&amp;"","{name}",IF($B30="","this employee",$B30)),"{years}",$D30),"{yearword}",IF($D30=1,"year","years")),"{company}",Setup!$C$4),IF(INDEX(Calc!$AT$6:$AT$505,Calc!$AW30),"Award ordered. Present it on the anniversary.","Order award by "&amp;TEXT(INDEX(Calc!$AU$6:$AU$505,Calc!$AW30),"mmm d, yyyy")&amp;IF(INDEX(Calc!$AU$6:$AU$505,Calc!$AW30)&lt;Setup!$C$5," (late, order today)",""))))</f>
        <v/>
      </c>
    </row>
    <row r="31" spans="1:6" x14ac:dyDescent="0.2">
      <c r="A31" s="20" t="str">
        <f ca="1">IF(Calc!$AW31="","",INT(Calc!$AV31))</f>
        <v/>
      </c>
      <c r="B31" s="21" t="str">
        <f ca="1">IF(Calc!$AW31="","",INDEX(Roster!$A$6:$A$505,Calc!$AW31)&amp;"")</f>
        <v/>
      </c>
      <c r="C31" s="21" t="str">
        <f ca="1">IF(Calc!$AW31="","",INDEX(Roster!$C$6:$C$505,Calc!$AW31)&amp;"")</f>
        <v/>
      </c>
      <c r="D31" s="19" t="str">
        <f ca="1">IF(Calc!$AW31="","",INDEX(Calc!$AP$6:$AP$505,Calc!$AW31))</f>
        <v/>
      </c>
      <c r="E31" s="21" t="str">
        <f ca="1">IF(Calc!$AW31="","",IF(INDEX(Calc!$AS$6:$AS$505,Calc!$AW31)="","Shout-out","Milestone"))</f>
        <v/>
      </c>
      <c r="F31" s="22" t="str">
        <f ca="1">IF(Calc!$AW31="","",IF($E31="Shout-out",SUBSTITUTE(SUBSTITUTE(SUBSTITUTE(SUBSTITUTE(Setup!$C$7&amp;"","{name}",IF($B31="","this employee",$B31)),"{years}",$D31),"{yearword}",IF($D31=1,"year","years")),"{company}",Setup!$C$4),IF(INDEX(Calc!$AT$6:$AT$505,Calc!$AW31),"Award ordered. Present it on the anniversary.","Order award by "&amp;TEXT(INDEX(Calc!$AU$6:$AU$505,Calc!$AW31),"mmm d, yyyy")&amp;IF(INDEX(Calc!$AU$6:$AU$505,Calc!$AW31)&lt;Setup!$C$5," (late, order today)",""))))</f>
        <v/>
      </c>
    </row>
    <row r="32" spans="1:6" x14ac:dyDescent="0.2">
      <c r="A32" s="20" t="str">
        <f ca="1">IF(Calc!$AW32="","",INT(Calc!$AV32))</f>
        <v/>
      </c>
      <c r="B32" s="21" t="str">
        <f ca="1">IF(Calc!$AW32="","",INDEX(Roster!$A$6:$A$505,Calc!$AW32)&amp;"")</f>
        <v/>
      </c>
      <c r="C32" s="21" t="str">
        <f ca="1">IF(Calc!$AW32="","",INDEX(Roster!$C$6:$C$505,Calc!$AW32)&amp;"")</f>
        <v/>
      </c>
      <c r="D32" s="19" t="str">
        <f ca="1">IF(Calc!$AW32="","",INDEX(Calc!$AP$6:$AP$505,Calc!$AW32))</f>
        <v/>
      </c>
      <c r="E32" s="21" t="str">
        <f ca="1">IF(Calc!$AW32="","",IF(INDEX(Calc!$AS$6:$AS$505,Calc!$AW32)="","Shout-out","Milestone"))</f>
        <v/>
      </c>
      <c r="F32" s="22" t="str">
        <f ca="1">IF(Calc!$AW32="","",IF($E32="Shout-out",SUBSTITUTE(SUBSTITUTE(SUBSTITUTE(SUBSTITUTE(Setup!$C$7&amp;"","{name}",IF($B32="","this employee",$B32)),"{years}",$D32),"{yearword}",IF($D32=1,"year","years")),"{company}",Setup!$C$4),IF(INDEX(Calc!$AT$6:$AT$505,Calc!$AW32),"Award ordered. Present it on the anniversary.","Order award by "&amp;TEXT(INDEX(Calc!$AU$6:$AU$505,Calc!$AW32),"mmm d, yyyy")&amp;IF(INDEX(Calc!$AU$6:$AU$505,Calc!$AW32)&lt;Setup!$C$5," (late, order today)",""))))</f>
        <v/>
      </c>
    </row>
    <row r="33" spans="1:6" x14ac:dyDescent="0.2">
      <c r="A33" s="20" t="str">
        <f ca="1">IF(Calc!$AW33="","",INT(Calc!$AV33))</f>
        <v/>
      </c>
      <c r="B33" s="21" t="str">
        <f ca="1">IF(Calc!$AW33="","",INDEX(Roster!$A$6:$A$505,Calc!$AW33)&amp;"")</f>
        <v/>
      </c>
      <c r="C33" s="21" t="str">
        <f ca="1">IF(Calc!$AW33="","",INDEX(Roster!$C$6:$C$505,Calc!$AW33)&amp;"")</f>
        <v/>
      </c>
      <c r="D33" s="19" t="str">
        <f ca="1">IF(Calc!$AW33="","",INDEX(Calc!$AP$6:$AP$505,Calc!$AW33))</f>
        <v/>
      </c>
      <c r="E33" s="21" t="str">
        <f ca="1">IF(Calc!$AW33="","",IF(INDEX(Calc!$AS$6:$AS$505,Calc!$AW33)="","Shout-out","Milestone"))</f>
        <v/>
      </c>
      <c r="F33" s="22" t="str">
        <f ca="1">IF(Calc!$AW33="","",IF($E33="Shout-out",SUBSTITUTE(SUBSTITUTE(SUBSTITUTE(SUBSTITUTE(Setup!$C$7&amp;"","{name}",IF($B33="","this employee",$B33)),"{years}",$D33),"{yearword}",IF($D33=1,"year","years")),"{company}",Setup!$C$4),IF(INDEX(Calc!$AT$6:$AT$505,Calc!$AW33),"Award ordered. Present it on the anniversary.","Order award by "&amp;TEXT(INDEX(Calc!$AU$6:$AU$505,Calc!$AW33),"mmm d, yyyy")&amp;IF(INDEX(Calc!$AU$6:$AU$505,Calc!$AW33)&lt;Setup!$C$5," (late, order today)",""))))</f>
        <v/>
      </c>
    </row>
    <row r="34" spans="1:6" x14ac:dyDescent="0.2">
      <c r="A34" s="20" t="str">
        <f ca="1">IF(Calc!$AW34="","",INT(Calc!$AV34))</f>
        <v/>
      </c>
      <c r="B34" s="21" t="str">
        <f ca="1">IF(Calc!$AW34="","",INDEX(Roster!$A$6:$A$505,Calc!$AW34)&amp;"")</f>
        <v/>
      </c>
      <c r="C34" s="21" t="str">
        <f ca="1">IF(Calc!$AW34="","",INDEX(Roster!$C$6:$C$505,Calc!$AW34)&amp;"")</f>
        <v/>
      </c>
      <c r="D34" s="19" t="str">
        <f ca="1">IF(Calc!$AW34="","",INDEX(Calc!$AP$6:$AP$505,Calc!$AW34))</f>
        <v/>
      </c>
      <c r="E34" s="21" t="str">
        <f ca="1">IF(Calc!$AW34="","",IF(INDEX(Calc!$AS$6:$AS$505,Calc!$AW34)="","Shout-out","Milestone"))</f>
        <v/>
      </c>
      <c r="F34" s="22" t="str">
        <f ca="1">IF(Calc!$AW34="","",IF($E34="Shout-out",SUBSTITUTE(SUBSTITUTE(SUBSTITUTE(SUBSTITUTE(Setup!$C$7&amp;"","{name}",IF($B34="","this employee",$B34)),"{years}",$D34),"{yearword}",IF($D34=1,"year","years")),"{company}",Setup!$C$4),IF(INDEX(Calc!$AT$6:$AT$505,Calc!$AW34),"Award ordered. Present it on the anniversary.","Order award by "&amp;TEXT(INDEX(Calc!$AU$6:$AU$505,Calc!$AW34),"mmm d, yyyy")&amp;IF(INDEX(Calc!$AU$6:$AU$505,Calc!$AW34)&lt;Setup!$C$5," (late, order today)",""))))</f>
        <v/>
      </c>
    </row>
    <row r="35" spans="1:6" x14ac:dyDescent="0.2">
      <c r="A35" s="20" t="str">
        <f ca="1">IF(Calc!$AW35="","",INT(Calc!$AV35))</f>
        <v/>
      </c>
      <c r="B35" s="21" t="str">
        <f ca="1">IF(Calc!$AW35="","",INDEX(Roster!$A$6:$A$505,Calc!$AW35)&amp;"")</f>
        <v/>
      </c>
      <c r="C35" s="21" t="str">
        <f ca="1">IF(Calc!$AW35="","",INDEX(Roster!$C$6:$C$505,Calc!$AW35)&amp;"")</f>
        <v/>
      </c>
      <c r="D35" s="19" t="str">
        <f ca="1">IF(Calc!$AW35="","",INDEX(Calc!$AP$6:$AP$505,Calc!$AW35))</f>
        <v/>
      </c>
      <c r="E35" s="21" t="str">
        <f ca="1">IF(Calc!$AW35="","",IF(INDEX(Calc!$AS$6:$AS$505,Calc!$AW35)="","Shout-out","Milestone"))</f>
        <v/>
      </c>
      <c r="F35" s="22" t="str">
        <f ca="1">IF(Calc!$AW35="","",IF($E35="Shout-out",SUBSTITUTE(SUBSTITUTE(SUBSTITUTE(SUBSTITUTE(Setup!$C$7&amp;"","{name}",IF($B35="","this employee",$B35)),"{years}",$D35),"{yearword}",IF($D35=1,"year","years")),"{company}",Setup!$C$4),IF(INDEX(Calc!$AT$6:$AT$505,Calc!$AW35),"Award ordered. Present it on the anniversary.","Order award by "&amp;TEXT(INDEX(Calc!$AU$6:$AU$505,Calc!$AW35),"mmm d, yyyy")&amp;IF(INDEX(Calc!$AU$6:$AU$505,Calc!$AW35)&lt;Setup!$C$5," (late, order today)",""))))</f>
        <v/>
      </c>
    </row>
    <row r="36" spans="1:6" x14ac:dyDescent="0.2">
      <c r="A36" s="20" t="str">
        <f ca="1">IF(Calc!$AW36="","",INT(Calc!$AV36))</f>
        <v/>
      </c>
      <c r="B36" s="21" t="str">
        <f ca="1">IF(Calc!$AW36="","",INDEX(Roster!$A$6:$A$505,Calc!$AW36)&amp;"")</f>
        <v/>
      </c>
      <c r="C36" s="21" t="str">
        <f ca="1">IF(Calc!$AW36="","",INDEX(Roster!$C$6:$C$505,Calc!$AW36)&amp;"")</f>
        <v/>
      </c>
      <c r="D36" s="19" t="str">
        <f ca="1">IF(Calc!$AW36="","",INDEX(Calc!$AP$6:$AP$505,Calc!$AW36))</f>
        <v/>
      </c>
      <c r="E36" s="21" t="str">
        <f ca="1">IF(Calc!$AW36="","",IF(INDEX(Calc!$AS$6:$AS$505,Calc!$AW36)="","Shout-out","Milestone"))</f>
        <v/>
      </c>
      <c r="F36" s="22" t="str">
        <f ca="1">IF(Calc!$AW36="","",IF($E36="Shout-out",SUBSTITUTE(SUBSTITUTE(SUBSTITUTE(SUBSTITUTE(Setup!$C$7&amp;"","{name}",IF($B36="","this employee",$B36)),"{years}",$D36),"{yearword}",IF($D36=1,"year","years")),"{company}",Setup!$C$4),IF(INDEX(Calc!$AT$6:$AT$505,Calc!$AW36),"Award ordered. Present it on the anniversary.","Order award by "&amp;TEXT(INDEX(Calc!$AU$6:$AU$505,Calc!$AW36),"mmm d, yyyy")&amp;IF(INDEX(Calc!$AU$6:$AU$505,Calc!$AW36)&lt;Setup!$C$5," (late, order today)",""))))</f>
        <v/>
      </c>
    </row>
    <row r="37" spans="1:6" x14ac:dyDescent="0.2">
      <c r="A37" s="20" t="str">
        <f ca="1">IF(Calc!$AW37="","",INT(Calc!$AV37))</f>
        <v/>
      </c>
      <c r="B37" s="21" t="str">
        <f ca="1">IF(Calc!$AW37="","",INDEX(Roster!$A$6:$A$505,Calc!$AW37)&amp;"")</f>
        <v/>
      </c>
      <c r="C37" s="21" t="str">
        <f ca="1">IF(Calc!$AW37="","",INDEX(Roster!$C$6:$C$505,Calc!$AW37)&amp;"")</f>
        <v/>
      </c>
      <c r="D37" s="19" t="str">
        <f ca="1">IF(Calc!$AW37="","",INDEX(Calc!$AP$6:$AP$505,Calc!$AW37))</f>
        <v/>
      </c>
      <c r="E37" s="21" t="str">
        <f ca="1">IF(Calc!$AW37="","",IF(INDEX(Calc!$AS$6:$AS$505,Calc!$AW37)="","Shout-out","Milestone"))</f>
        <v/>
      </c>
      <c r="F37" s="22" t="str">
        <f ca="1">IF(Calc!$AW37="","",IF($E37="Shout-out",SUBSTITUTE(SUBSTITUTE(SUBSTITUTE(SUBSTITUTE(Setup!$C$7&amp;"","{name}",IF($B37="","this employee",$B37)),"{years}",$D37),"{yearword}",IF($D37=1,"year","years")),"{company}",Setup!$C$4),IF(INDEX(Calc!$AT$6:$AT$505,Calc!$AW37),"Award ordered. Present it on the anniversary.","Order award by "&amp;TEXT(INDEX(Calc!$AU$6:$AU$505,Calc!$AW37),"mmm d, yyyy")&amp;IF(INDEX(Calc!$AU$6:$AU$505,Calc!$AW37)&lt;Setup!$C$5," (late, order today)",""))))</f>
        <v/>
      </c>
    </row>
    <row r="38" spans="1:6" x14ac:dyDescent="0.2">
      <c r="A38" s="20" t="str">
        <f ca="1">IF(Calc!$AW38="","",INT(Calc!$AV38))</f>
        <v/>
      </c>
      <c r="B38" s="21" t="str">
        <f ca="1">IF(Calc!$AW38="","",INDEX(Roster!$A$6:$A$505,Calc!$AW38)&amp;"")</f>
        <v/>
      </c>
      <c r="C38" s="21" t="str">
        <f ca="1">IF(Calc!$AW38="","",INDEX(Roster!$C$6:$C$505,Calc!$AW38)&amp;"")</f>
        <v/>
      </c>
      <c r="D38" s="19" t="str">
        <f ca="1">IF(Calc!$AW38="","",INDEX(Calc!$AP$6:$AP$505,Calc!$AW38))</f>
        <v/>
      </c>
      <c r="E38" s="21" t="str">
        <f ca="1">IF(Calc!$AW38="","",IF(INDEX(Calc!$AS$6:$AS$505,Calc!$AW38)="","Shout-out","Milestone"))</f>
        <v/>
      </c>
      <c r="F38" s="22" t="str">
        <f ca="1">IF(Calc!$AW38="","",IF($E38="Shout-out",SUBSTITUTE(SUBSTITUTE(SUBSTITUTE(SUBSTITUTE(Setup!$C$7&amp;"","{name}",IF($B38="","this employee",$B38)),"{years}",$D38),"{yearword}",IF($D38=1,"year","years")),"{company}",Setup!$C$4),IF(INDEX(Calc!$AT$6:$AT$505,Calc!$AW38),"Award ordered. Present it on the anniversary.","Order award by "&amp;TEXT(INDEX(Calc!$AU$6:$AU$505,Calc!$AW38),"mmm d, yyyy")&amp;IF(INDEX(Calc!$AU$6:$AU$505,Calc!$AW38)&lt;Setup!$C$5," (late, order today)",""))))</f>
        <v/>
      </c>
    </row>
    <row r="39" spans="1:6" x14ac:dyDescent="0.2">
      <c r="A39" s="20" t="str">
        <f ca="1">IF(Calc!$AW39="","",INT(Calc!$AV39))</f>
        <v/>
      </c>
      <c r="B39" s="21" t="str">
        <f ca="1">IF(Calc!$AW39="","",INDEX(Roster!$A$6:$A$505,Calc!$AW39)&amp;"")</f>
        <v/>
      </c>
      <c r="C39" s="21" t="str">
        <f ca="1">IF(Calc!$AW39="","",INDEX(Roster!$C$6:$C$505,Calc!$AW39)&amp;"")</f>
        <v/>
      </c>
      <c r="D39" s="19" t="str">
        <f ca="1">IF(Calc!$AW39="","",INDEX(Calc!$AP$6:$AP$505,Calc!$AW39))</f>
        <v/>
      </c>
      <c r="E39" s="21" t="str">
        <f ca="1">IF(Calc!$AW39="","",IF(INDEX(Calc!$AS$6:$AS$505,Calc!$AW39)="","Shout-out","Milestone"))</f>
        <v/>
      </c>
      <c r="F39" s="22" t="str">
        <f ca="1">IF(Calc!$AW39="","",IF($E39="Shout-out",SUBSTITUTE(SUBSTITUTE(SUBSTITUTE(SUBSTITUTE(Setup!$C$7&amp;"","{name}",IF($B39="","this employee",$B39)),"{years}",$D39),"{yearword}",IF($D39=1,"year","years")),"{company}",Setup!$C$4),IF(INDEX(Calc!$AT$6:$AT$505,Calc!$AW39),"Award ordered. Present it on the anniversary.","Order award by "&amp;TEXT(INDEX(Calc!$AU$6:$AU$505,Calc!$AW39),"mmm d, yyyy")&amp;IF(INDEX(Calc!$AU$6:$AU$505,Calc!$AW39)&lt;Setup!$C$5," (late, order today)",""))))</f>
        <v/>
      </c>
    </row>
    <row r="40" spans="1:6" x14ac:dyDescent="0.2">
      <c r="A40" s="20" t="str">
        <f ca="1">IF(Calc!$AW40="","",INT(Calc!$AV40))</f>
        <v/>
      </c>
      <c r="B40" s="21" t="str">
        <f ca="1">IF(Calc!$AW40="","",INDEX(Roster!$A$6:$A$505,Calc!$AW40)&amp;"")</f>
        <v/>
      </c>
      <c r="C40" s="21" t="str">
        <f ca="1">IF(Calc!$AW40="","",INDEX(Roster!$C$6:$C$505,Calc!$AW40)&amp;"")</f>
        <v/>
      </c>
      <c r="D40" s="19" t="str">
        <f ca="1">IF(Calc!$AW40="","",INDEX(Calc!$AP$6:$AP$505,Calc!$AW40))</f>
        <v/>
      </c>
      <c r="E40" s="21" t="str">
        <f ca="1">IF(Calc!$AW40="","",IF(INDEX(Calc!$AS$6:$AS$505,Calc!$AW40)="","Shout-out","Milestone"))</f>
        <v/>
      </c>
      <c r="F40" s="22" t="str">
        <f ca="1">IF(Calc!$AW40="","",IF($E40="Shout-out",SUBSTITUTE(SUBSTITUTE(SUBSTITUTE(SUBSTITUTE(Setup!$C$7&amp;"","{name}",IF($B40="","this employee",$B40)),"{years}",$D40),"{yearword}",IF($D40=1,"year","years")),"{company}",Setup!$C$4),IF(INDEX(Calc!$AT$6:$AT$505,Calc!$AW40),"Award ordered. Present it on the anniversary.","Order award by "&amp;TEXT(INDEX(Calc!$AU$6:$AU$505,Calc!$AW40),"mmm d, yyyy")&amp;IF(INDEX(Calc!$AU$6:$AU$505,Calc!$AW40)&lt;Setup!$C$5," (late, order today)",""))))</f>
        <v/>
      </c>
    </row>
    <row r="41" spans="1:6" x14ac:dyDescent="0.2">
      <c r="A41" s="20" t="str">
        <f ca="1">IF(Calc!$AW41="","",INT(Calc!$AV41))</f>
        <v/>
      </c>
      <c r="B41" s="21" t="str">
        <f ca="1">IF(Calc!$AW41="","",INDEX(Roster!$A$6:$A$505,Calc!$AW41)&amp;"")</f>
        <v/>
      </c>
      <c r="C41" s="21" t="str">
        <f ca="1">IF(Calc!$AW41="","",INDEX(Roster!$C$6:$C$505,Calc!$AW41)&amp;"")</f>
        <v/>
      </c>
      <c r="D41" s="19" t="str">
        <f ca="1">IF(Calc!$AW41="","",INDEX(Calc!$AP$6:$AP$505,Calc!$AW41))</f>
        <v/>
      </c>
      <c r="E41" s="21" t="str">
        <f ca="1">IF(Calc!$AW41="","",IF(INDEX(Calc!$AS$6:$AS$505,Calc!$AW41)="","Shout-out","Milestone"))</f>
        <v/>
      </c>
      <c r="F41" s="22" t="str">
        <f ca="1">IF(Calc!$AW41="","",IF($E41="Shout-out",SUBSTITUTE(SUBSTITUTE(SUBSTITUTE(SUBSTITUTE(Setup!$C$7&amp;"","{name}",IF($B41="","this employee",$B41)),"{years}",$D41),"{yearword}",IF($D41=1,"year","years")),"{company}",Setup!$C$4),IF(INDEX(Calc!$AT$6:$AT$505,Calc!$AW41),"Award ordered. Present it on the anniversary.","Order award by "&amp;TEXT(INDEX(Calc!$AU$6:$AU$505,Calc!$AW41),"mmm d, yyyy")&amp;IF(INDEX(Calc!$AU$6:$AU$505,Calc!$AW41)&lt;Setup!$C$5," (late, order today)",""))))</f>
        <v/>
      </c>
    </row>
    <row r="42" spans="1:6" x14ac:dyDescent="0.2">
      <c r="A42" s="20" t="str">
        <f ca="1">IF(Calc!$AW42="","",INT(Calc!$AV42))</f>
        <v/>
      </c>
      <c r="B42" s="21" t="str">
        <f ca="1">IF(Calc!$AW42="","",INDEX(Roster!$A$6:$A$505,Calc!$AW42)&amp;"")</f>
        <v/>
      </c>
      <c r="C42" s="21" t="str">
        <f ca="1">IF(Calc!$AW42="","",INDEX(Roster!$C$6:$C$505,Calc!$AW42)&amp;"")</f>
        <v/>
      </c>
      <c r="D42" s="19" t="str">
        <f ca="1">IF(Calc!$AW42="","",INDEX(Calc!$AP$6:$AP$505,Calc!$AW42))</f>
        <v/>
      </c>
      <c r="E42" s="21" t="str">
        <f ca="1">IF(Calc!$AW42="","",IF(INDEX(Calc!$AS$6:$AS$505,Calc!$AW42)="","Shout-out","Milestone"))</f>
        <v/>
      </c>
      <c r="F42" s="22" t="str">
        <f ca="1">IF(Calc!$AW42="","",IF($E42="Shout-out",SUBSTITUTE(SUBSTITUTE(SUBSTITUTE(SUBSTITUTE(Setup!$C$7&amp;"","{name}",IF($B42="","this employee",$B42)),"{years}",$D42),"{yearword}",IF($D42=1,"year","years")),"{company}",Setup!$C$4),IF(INDEX(Calc!$AT$6:$AT$505,Calc!$AW42),"Award ordered. Present it on the anniversary.","Order award by "&amp;TEXT(INDEX(Calc!$AU$6:$AU$505,Calc!$AW42),"mmm d, yyyy")&amp;IF(INDEX(Calc!$AU$6:$AU$505,Calc!$AW42)&lt;Setup!$C$5," (late, order today)",""))))</f>
        <v/>
      </c>
    </row>
    <row r="43" spans="1:6" x14ac:dyDescent="0.2">
      <c r="A43" s="20" t="str">
        <f ca="1">IF(Calc!$AW43="","",INT(Calc!$AV43))</f>
        <v/>
      </c>
      <c r="B43" s="21" t="str">
        <f ca="1">IF(Calc!$AW43="","",INDEX(Roster!$A$6:$A$505,Calc!$AW43)&amp;"")</f>
        <v/>
      </c>
      <c r="C43" s="21" t="str">
        <f ca="1">IF(Calc!$AW43="","",INDEX(Roster!$C$6:$C$505,Calc!$AW43)&amp;"")</f>
        <v/>
      </c>
      <c r="D43" s="19" t="str">
        <f ca="1">IF(Calc!$AW43="","",INDEX(Calc!$AP$6:$AP$505,Calc!$AW43))</f>
        <v/>
      </c>
      <c r="E43" s="21" t="str">
        <f ca="1">IF(Calc!$AW43="","",IF(INDEX(Calc!$AS$6:$AS$505,Calc!$AW43)="","Shout-out","Milestone"))</f>
        <v/>
      </c>
      <c r="F43" s="22" t="str">
        <f ca="1">IF(Calc!$AW43="","",IF($E43="Shout-out",SUBSTITUTE(SUBSTITUTE(SUBSTITUTE(SUBSTITUTE(Setup!$C$7&amp;"","{name}",IF($B43="","this employee",$B43)),"{years}",$D43),"{yearword}",IF($D43=1,"year","years")),"{company}",Setup!$C$4),IF(INDEX(Calc!$AT$6:$AT$505,Calc!$AW43),"Award ordered. Present it on the anniversary.","Order award by "&amp;TEXT(INDEX(Calc!$AU$6:$AU$505,Calc!$AW43),"mmm d, yyyy")&amp;IF(INDEX(Calc!$AU$6:$AU$505,Calc!$AW43)&lt;Setup!$C$5," (late, order today)",""))))</f>
        <v/>
      </c>
    </row>
    <row r="44" spans="1:6" x14ac:dyDescent="0.2">
      <c r="A44" s="20" t="str">
        <f ca="1">IF(Calc!$AW44="","",INT(Calc!$AV44))</f>
        <v/>
      </c>
      <c r="B44" s="21" t="str">
        <f ca="1">IF(Calc!$AW44="","",INDEX(Roster!$A$6:$A$505,Calc!$AW44)&amp;"")</f>
        <v/>
      </c>
      <c r="C44" s="21" t="str">
        <f ca="1">IF(Calc!$AW44="","",INDEX(Roster!$C$6:$C$505,Calc!$AW44)&amp;"")</f>
        <v/>
      </c>
      <c r="D44" s="19" t="str">
        <f ca="1">IF(Calc!$AW44="","",INDEX(Calc!$AP$6:$AP$505,Calc!$AW44))</f>
        <v/>
      </c>
      <c r="E44" s="21" t="str">
        <f ca="1">IF(Calc!$AW44="","",IF(INDEX(Calc!$AS$6:$AS$505,Calc!$AW44)="","Shout-out","Milestone"))</f>
        <v/>
      </c>
      <c r="F44" s="22" t="str">
        <f ca="1">IF(Calc!$AW44="","",IF($E44="Shout-out",SUBSTITUTE(SUBSTITUTE(SUBSTITUTE(SUBSTITUTE(Setup!$C$7&amp;"","{name}",IF($B44="","this employee",$B44)),"{years}",$D44),"{yearword}",IF($D44=1,"year","years")),"{company}",Setup!$C$4),IF(INDEX(Calc!$AT$6:$AT$505,Calc!$AW44),"Award ordered. Present it on the anniversary.","Order award by "&amp;TEXT(INDEX(Calc!$AU$6:$AU$505,Calc!$AW44),"mmm d, yyyy")&amp;IF(INDEX(Calc!$AU$6:$AU$505,Calc!$AW44)&lt;Setup!$C$5," (late, order today)",""))))</f>
        <v/>
      </c>
    </row>
    <row r="45" spans="1:6" x14ac:dyDescent="0.2">
      <c r="A45" s="20" t="str">
        <f ca="1">IF(Calc!$AW45="","",INT(Calc!$AV45))</f>
        <v/>
      </c>
      <c r="B45" s="21" t="str">
        <f ca="1">IF(Calc!$AW45="","",INDEX(Roster!$A$6:$A$505,Calc!$AW45)&amp;"")</f>
        <v/>
      </c>
      <c r="C45" s="21" t="str">
        <f ca="1">IF(Calc!$AW45="","",INDEX(Roster!$C$6:$C$505,Calc!$AW45)&amp;"")</f>
        <v/>
      </c>
      <c r="D45" s="19" t="str">
        <f ca="1">IF(Calc!$AW45="","",INDEX(Calc!$AP$6:$AP$505,Calc!$AW45))</f>
        <v/>
      </c>
      <c r="E45" s="21" t="str">
        <f ca="1">IF(Calc!$AW45="","",IF(INDEX(Calc!$AS$6:$AS$505,Calc!$AW45)="","Shout-out","Milestone"))</f>
        <v/>
      </c>
      <c r="F45" s="22" t="str">
        <f ca="1">IF(Calc!$AW45="","",IF($E45="Shout-out",SUBSTITUTE(SUBSTITUTE(SUBSTITUTE(SUBSTITUTE(Setup!$C$7&amp;"","{name}",IF($B45="","this employee",$B45)),"{years}",$D45),"{yearword}",IF($D45=1,"year","years")),"{company}",Setup!$C$4),IF(INDEX(Calc!$AT$6:$AT$505,Calc!$AW45),"Award ordered. Present it on the anniversary.","Order award by "&amp;TEXT(INDEX(Calc!$AU$6:$AU$505,Calc!$AW45),"mmm d, yyyy")&amp;IF(INDEX(Calc!$AU$6:$AU$505,Calc!$AW45)&lt;Setup!$C$5," (late, order today)",""))))</f>
        <v/>
      </c>
    </row>
    <row r="46" spans="1:6" x14ac:dyDescent="0.2">
      <c r="A46" s="20" t="str">
        <f ca="1">IF(Calc!$AW46="","",INT(Calc!$AV46))</f>
        <v/>
      </c>
      <c r="B46" s="21" t="str">
        <f ca="1">IF(Calc!$AW46="","",INDEX(Roster!$A$6:$A$505,Calc!$AW46)&amp;"")</f>
        <v/>
      </c>
      <c r="C46" s="21" t="str">
        <f ca="1">IF(Calc!$AW46="","",INDEX(Roster!$C$6:$C$505,Calc!$AW46)&amp;"")</f>
        <v/>
      </c>
      <c r="D46" s="19" t="str">
        <f ca="1">IF(Calc!$AW46="","",INDEX(Calc!$AP$6:$AP$505,Calc!$AW46))</f>
        <v/>
      </c>
      <c r="E46" s="21" t="str">
        <f ca="1">IF(Calc!$AW46="","",IF(INDEX(Calc!$AS$6:$AS$505,Calc!$AW46)="","Shout-out","Milestone"))</f>
        <v/>
      </c>
      <c r="F46" s="22" t="str">
        <f ca="1">IF(Calc!$AW46="","",IF($E46="Shout-out",SUBSTITUTE(SUBSTITUTE(SUBSTITUTE(SUBSTITUTE(Setup!$C$7&amp;"","{name}",IF($B46="","this employee",$B46)),"{years}",$D46),"{yearword}",IF($D46=1,"year","years")),"{company}",Setup!$C$4),IF(INDEX(Calc!$AT$6:$AT$505,Calc!$AW46),"Award ordered. Present it on the anniversary.","Order award by "&amp;TEXT(INDEX(Calc!$AU$6:$AU$505,Calc!$AW46),"mmm d, yyyy")&amp;IF(INDEX(Calc!$AU$6:$AU$505,Calc!$AW46)&lt;Setup!$C$5," (late, order today)",""))))</f>
        <v/>
      </c>
    </row>
    <row r="47" spans="1:6" x14ac:dyDescent="0.2">
      <c r="A47" s="20" t="str">
        <f ca="1">IF(Calc!$AW47="","",INT(Calc!$AV47))</f>
        <v/>
      </c>
      <c r="B47" s="21" t="str">
        <f ca="1">IF(Calc!$AW47="","",INDEX(Roster!$A$6:$A$505,Calc!$AW47)&amp;"")</f>
        <v/>
      </c>
      <c r="C47" s="21" t="str">
        <f ca="1">IF(Calc!$AW47="","",INDEX(Roster!$C$6:$C$505,Calc!$AW47)&amp;"")</f>
        <v/>
      </c>
      <c r="D47" s="19" t="str">
        <f ca="1">IF(Calc!$AW47="","",INDEX(Calc!$AP$6:$AP$505,Calc!$AW47))</f>
        <v/>
      </c>
      <c r="E47" s="21" t="str">
        <f ca="1">IF(Calc!$AW47="","",IF(INDEX(Calc!$AS$6:$AS$505,Calc!$AW47)="","Shout-out","Milestone"))</f>
        <v/>
      </c>
      <c r="F47" s="22" t="str">
        <f ca="1">IF(Calc!$AW47="","",IF($E47="Shout-out",SUBSTITUTE(SUBSTITUTE(SUBSTITUTE(SUBSTITUTE(Setup!$C$7&amp;"","{name}",IF($B47="","this employee",$B47)),"{years}",$D47),"{yearword}",IF($D47=1,"year","years")),"{company}",Setup!$C$4),IF(INDEX(Calc!$AT$6:$AT$505,Calc!$AW47),"Award ordered. Present it on the anniversary.","Order award by "&amp;TEXT(INDEX(Calc!$AU$6:$AU$505,Calc!$AW47),"mmm d, yyyy")&amp;IF(INDEX(Calc!$AU$6:$AU$505,Calc!$AW47)&lt;Setup!$C$5," (late, order today)",""))))</f>
        <v/>
      </c>
    </row>
    <row r="48" spans="1:6" x14ac:dyDescent="0.2">
      <c r="A48" s="20" t="str">
        <f ca="1">IF(Calc!$AW48="","",INT(Calc!$AV48))</f>
        <v/>
      </c>
      <c r="B48" s="21" t="str">
        <f ca="1">IF(Calc!$AW48="","",INDEX(Roster!$A$6:$A$505,Calc!$AW48)&amp;"")</f>
        <v/>
      </c>
      <c r="C48" s="21" t="str">
        <f ca="1">IF(Calc!$AW48="","",INDEX(Roster!$C$6:$C$505,Calc!$AW48)&amp;"")</f>
        <v/>
      </c>
      <c r="D48" s="19" t="str">
        <f ca="1">IF(Calc!$AW48="","",INDEX(Calc!$AP$6:$AP$505,Calc!$AW48))</f>
        <v/>
      </c>
      <c r="E48" s="21" t="str">
        <f ca="1">IF(Calc!$AW48="","",IF(INDEX(Calc!$AS$6:$AS$505,Calc!$AW48)="","Shout-out","Milestone"))</f>
        <v/>
      </c>
      <c r="F48" s="22" t="str">
        <f ca="1">IF(Calc!$AW48="","",IF($E48="Shout-out",SUBSTITUTE(SUBSTITUTE(SUBSTITUTE(SUBSTITUTE(Setup!$C$7&amp;"","{name}",IF($B48="","this employee",$B48)),"{years}",$D48),"{yearword}",IF($D48=1,"year","years")),"{company}",Setup!$C$4),IF(INDEX(Calc!$AT$6:$AT$505,Calc!$AW48),"Award ordered. Present it on the anniversary.","Order award by "&amp;TEXT(INDEX(Calc!$AU$6:$AU$505,Calc!$AW48),"mmm d, yyyy")&amp;IF(INDEX(Calc!$AU$6:$AU$505,Calc!$AW48)&lt;Setup!$C$5," (late, order today)",""))))</f>
        <v/>
      </c>
    </row>
    <row r="49" spans="1:6" x14ac:dyDescent="0.2">
      <c r="A49" s="20" t="str">
        <f ca="1">IF(Calc!$AW49="","",INT(Calc!$AV49))</f>
        <v/>
      </c>
      <c r="B49" s="21" t="str">
        <f ca="1">IF(Calc!$AW49="","",INDEX(Roster!$A$6:$A$505,Calc!$AW49)&amp;"")</f>
        <v/>
      </c>
      <c r="C49" s="21" t="str">
        <f ca="1">IF(Calc!$AW49="","",INDEX(Roster!$C$6:$C$505,Calc!$AW49)&amp;"")</f>
        <v/>
      </c>
      <c r="D49" s="19" t="str">
        <f ca="1">IF(Calc!$AW49="","",INDEX(Calc!$AP$6:$AP$505,Calc!$AW49))</f>
        <v/>
      </c>
      <c r="E49" s="21" t="str">
        <f ca="1">IF(Calc!$AW49="","",IF(INDEX(Calc!$AS$6:$AS$505,Calc!$AW49)="","Shout-out","Milestone"))</f>
        <v/>
      </c>
      <c r="F49" s="22" t="str">
        <f ca="1">IF(Calc!$AW49="","",IF($E49="Shout-out",SUBSTITUTE(SUBSTITUTE(SUBSTITUTE(SUBSTITUTE(Setup!$C$7&amp;"","{name}",IF($B49="","this employee",$B49)),"{years}",$D49),"{yearword}",IF($D49=1,"year","years")),"{company}",Setup!$C$4),IF(INDEX(Calc!$AT$6:$AT$505,Calc!$AW49),"Award ordered. Present it on the anniversary.","Order award by "&amp;TEXT(INDEX(Calc!$AU$6:$AU$505,Calc!$AW49),"mmm d, yyyy")&amp;IF(INDEX(Calc!$AU$6:$AU$505,Calc!$AW49)&lt;Setup!$C$5," (late, order today)",""))))</f>
        <v/>
      </c>
    </row>
    <row r="50" spans="1:6" x14ac:dyDescent="0.2">
      <c r="A50" s="20" t="str">
        <f ca="1">IF(Calc!$AW50="","",INT(Calc!$AV50))</f>
        <v/>
      </c>
      <c r="B50" s="21" t="str">
        <f ca="1">IF(Calc!$AW50="","",INDEX(Roster!$A$6:$A$505,Calc!$AW50)&amp;"")</f>
        <v/>
      </c>
      <c r="C50" s="21" t="str">
        <f ca="1">IF(Calc!$AW50="","",INDEX(Roster!$C$6:$C$505,Calc!$AW50)&amp;"")</f>
        <v/>
      </c>
      <c r="D50" s="19" t="str">
        <f ca="1">IF(Calc!$AW50="","",INDEX(Calc!$AP$6:$AP$505,Calc!$AW50))</f>
        <v/>
      </c>
      <c r="E50" s="21" t="str">
        <f ca="1">IF(Calc!$AW50="","",IF(INDEX(Calc!$AS$6:$AS$505,Calc!$AW50)="","Shout-out","Milestone"))</f>
        <v/>
      </c>
      <c r="F50" s="22" t="str">
        <f ca="1">IF(Calc!$AW50="","",IF($E50="Shout-out",SUBSTITUTE(SUBSTITUTE(SUBSTITUTE(SUBSTITUTE(Setup!$C$7&amp;"","{name}",IF($B50="","this employee",$B50)),"{years}",$D50),"{yearword}",IF($D50=1,"year","years")),"{company}",Setup!$C$4),IF(INDEX(Calc!$AT$6:$AT$505,Calc!$AW50),"Award ordered. Present it on the anniversary.","Order award by "&amp;TEXT(INDEX(Calc!$AU$6:$AU$505,Calc!$AW50),"mmm d, yyyy")&amp;IF(INDEX(Calc!$AU$6:$AU$505,Calc!$AW50)&lt;Setup!$C$5," (late, order today)",""))))</f>
        <v/>
      </c>
    </row>
    <row r="51" spans="1:6" x14ac:dyDescent="0.2">
      <c r="A51" s="20" t="str">
        <f ca="1">IF(Calc!$AW51="","",INT(Calc!$AV51))</f>
        <v/>
      </c>
      <c r="B51" s="21" t="str">
        <f ca="1">IF(Calc!$AW51="","",INDEX(Roster!$A$6:$A$505,Calc!$AW51)&amp;"")</f>
        <v/>
      </c>
      <c r="C51" s="21" t="str">
        <f ca="1">IF(Calc!$AW51="","",INDEX(Roster!$C$6:$C$505,Calc!$AW51)&amp;"")</f>
        <v/>
      </c>
      <c r="D51" s="19" t="str">
        <f ca="1">IF(Calc!$AW51="","",INDEX(Calc!$AP$6:$AP$505,Calc!$AW51))</f>
        <v/>
      </c>
      <c r="E51" s="21" t="str">
        <f ca="1">IF(Calc!$AW51="","",IF(INDEX(Calc!$AS$6:$AS$505,Calc!$AW51)="","Shout-out","Milestone"))</f>
        <v/>
      </c>
      <c r="F51" s="22" t="str">
        <f ca="1">IF(Calc!$AW51="","",IF($E51="Shout-out",SUBSTITUTE(SUBSTITUTE(SUBSTITUTE(SUBSTITUTE(Setup!$C$7&amp;"","{name}",IF($B51="","this employee",$B51)),"{years}",$D51),"{yearword}",IF($D51=1,"year","years")),"{company}",Setup!$C$4),IF(INDEX(Calc!$AT$6:$AT$505,Calc!$AW51),"Award ordered. Present it on the anniversary.","Order award by "&amp;TEXT(INDEX(Calc!$AU$6:$AU$505,Calc!$AW51),"mmm d, yyyy")&amp;IF(INDEX(Calc!$AU$6:$AU$505,Calc!$AW51)&lt;Setup!$C$5," (late, order today)",""))))</f>
        <v/>
      </c>
    </row>
    <row r="52" spans="1:6" x14ac:dyDescent="0.2">
      <c r="A52" s="20" t="str">
        <f ca="1">IF(Calc!$AW52="","",INT(Calc!$AV52))</f>
        <v/>
      </c>
      <c r="B52" s="21" t="str">
        <f ca="1">IF(Calc!$AW52="","",INDEX(Roster!$A$6:$A$505,Calc!$AW52)&amp;"")</f>
        <v/>
      </c>
      <c r="C52" s="21" t="str">
        <f ca="1">IF(Calc!$AW52="","",INDEX(Roster!$C$6:$C$505,Calc!$AW52)&amp;"")</f>
        <v/>
      </c>
      <c r="D52" s="19" t="str">
        <f ca="1">IF(Calc!$AW52="","",INDEX(Calc!$AP$6:$AP$505,Calc!$AW52))</f>
        <v/>
      </c>
      <c r="E52" s="21" t="str">
        <f ca="1">IF(Calc!$AW52="","",IF(INDEX(Calc!$AS$6:$AS$505,Calc!$AW52)="","Shout-out","Milestone"))</f>
        <v/>
      </c>
      <c r="F52" s="22" t="str">
        <f ca="1">IF(Calc!$AW52="","",IF($E52="Shout-out",SUBSTITUTE(SUBSTITUTE(SUBSTITUTE(SUBSTITUTE(Setup!$C$7&amp;"","{name}",IF($B52="","this employee",$B52)),"{years}",$D52),"{yearword}",IF($D52=1,"year","years")),"{company}",Setup!$C$4),IF(INDEX(Calc!$AT$6:$AT$505,Calc!$AW52),"Award ordered. Present it on the anniversary.","Order award by "&amp;TEXT(INDEX(Calc!$AU$6:$AU$505,Calc!$AW52),"mmm d, yyyy")&amp;IF(INDEX(Calc!$AU$6:$AU$505,Calc!$AW52)&lt;Setup!$C$5," (late, order today)",""))))</f>
        <v/>
      </c>
    </row>
    <row r="53" spans="1:6" x14ac:dyDescent="0.2">
      <c r="A53" s="20" t="str">
        <f ca="1">IF(Calc!$AW53="","",INT(Calc!$AV53))</f>
        <v/>
      </c>
      <c r="B53" s="21" t="str">
        <f ca="1">IF(Calc!$AW53="","",INDEX(Roster!$A$6:$A$505,Calc!$AW53)&amp;"")</f>
        <v/>
      </c>
      <c r="C53" s="21" t="str">
        <f ca="1">IF(Calc!$AW53="","",INDEX(Roster!$C$6:$C$505,Calc!$AW53)&amp;"")</f>
        <v/>
      </c>
      <c r="D53" s="19" t="str">
        <f ca="1">IF(Calc!$AW53="","",INDEX(Calc!$AP$6:$AP$505,Calc!$AW53))</f>
        <v/>
      </c>
      <c r="E53" s="21" t="str">
        <f ca="1">IF(Calc!$AW53="","",IF(INDEX(Calc!$AS$6:$AS$505,Calc!$AW53)="","Shout-out","Milestone"))</f>
        <v/>
      </c>
      <c r="F53" s="22" t="str">
        <f ca="1">IF(Calc!$AW53="","",IF($E53="Shout-out",SUBSTITUTE(SUBSTITUTE(SUBSTITUTE(SUBSTITUTE(Setup!$C$7&amp;"","{name}",IF($B53="","this employee",$B53)),"{years}",$D53),"{yearword}",IF($D53=1,"year","years")),"{company}",Setup!$C$4),IF(INDEX(Calc!$AT$6:$AT$505,Calc!$AW53),"Award ordered. Present it on the anniversary.","Order award by "&amp;TEXT(INDEX(Calc!$AU$6:$AU$505,Calc!$AW53),"mmm d, yyyy")&amp;IF(INDEX(Calc!$AU$6:$AU$505,Calc!$AW53)&lt;Setup!$C$5," (late, order today)",""))))</f>
        <v/>
      </c>
    </row>
    <row r="54" spans="1:6" x14ac:dyDescent="0.2">
      <c r="A54" s="20" t="str">
        <f ca="1">IF(Calc!$AW54="","",INT(Calc!$AV54))</f>
        <v/>
      </c>
      <c r="B54" s="21" t="str">
        <f ca="1">IF(Calc!$AW54="","",INDEX(Roster!$A$6:$A$505,Calc!$AW54)&amp;"")</f>
        <v/>
      </c>
      <c r="C54" s="21" t="str">
        <f ca="1">IF(Calc!$AW54="","",INDEX(Roster!$C$6:$C$505,Calc!$AW54)&amp;"")</f>
        <v/>
      </c>
      <c r="D54" s="19" t="str">
        <f ca="1">IF(Calc!$AW54="","",INDEX(Calc!$AP$6:$AP$505,Calc!$AW54))</f>
        <v/>
      </c>
      <c r="E54" s="21" t="str">
        <f ca="1">IF(Calc!$AW54="","",IF(INDEX(Calc!$AS$6:$AS$505,Calc!$AW54)="","Shout-out","Milestone"))</f>
        <v/>
      </c>
      <c r="F54" s="22" t="str">
        <f ca="1">IF(Calc!$AW54="","",IF($E54="Shout-out",SUBSTITUTE(SUBSTITUTE(SUBSTITUTE(SUBSTITUTE(Setup!$C$7&amp;"","{name}",IF($B54="","this employee",$B54)),"{years}",$D54),"{yearword}",IF($D54=1,"year","years")),"{company}",Setup!$C$4),IF(INDEX(Calc!$AT$6:$AT$505,Calc!$AW54),"Award ordered. Present it on the anniversary.","Order award by "&amp;TEXT(INDEX(Calc!$AU$6:$AU$505,Calc!$AW54),"mmm d, yyyy")&amp;IF(INDEX(Calc!$AU$6:$AU$505,Calc!$AW54)&lt;Setup!$C$5," (late, order today)",""))))</f>
        <v/>
      </c>
    </row>
    <row r="55" spans="1:6" x14ac:dyDescent="0.2">
      <c r="A55" s="20" t="str">
        <f ca="1">IF(Calc!$AW55="","",INT(Calc!$AV55))</f>
        <v/>
      </c>
      <c r="B55" s="21" t="str">
        <f ca="1">IF(Calc!$AW55="","",INDEX(Roster!$A$6:$A$505,Calc!$AW55)&amp;"")</f>
        <v/>
      </c>
      <c r="C55" s="21" t="str">
        <f ca="1">IF(Calc!$AW55="","",INDEX(Roster!$C$6:$C$505,Calc!$AW55)&amp;"")</f>
        <v/>
      </c>
      <c r="D55" s="19" t="str">
        <f ca="1">IF(Calc!$AW55="","",INDEX(Calc!$AP$6:$AP$505,Calc!$AW55))</f>
        <v/>
      </c>
      <c r="E55" s="21" t="str">
        <f ca="1">IF(Calc!$AW55="","",IF(INDEX(Calc!$AS$6:$AS$505,Calc!$AW55)="","Shout-out","Milestone"))</f>
        <v/>
      </c>
      <c r="F55" s="22" t="str">
        <f ca="1">IF(Calc!$AW55="","",IF($E55="Shout-out",SUBSTITUTE(SUBSTITUTE(SUBSTITUTE(SUBSTITUTE(Setup!$C$7&amp;"","{name}",IF($B55="","this employee",$B55)),"{years}",$D55),"{yearword}",IF($D55=1,"year","years")),"{company}",Setup!$C$4),IF(INDEX(Calc!$AT$6:$AT$505,Calc!$AW55),"Award ordered. Present it on the anniversary.","Order award by "&amp;TEXT(INDEX(Calc!$AU$6:$AU$505,Calc!$AW55),"mmm d, yyyy")&amp;IF(INDEX(Calc!$AU$6:$AU$505,Calc!$AW55)&lt;Setup!$C$5," (late, order today)",""))))</f>
        <v/>
      </c>
    </row>
    <row r="56" spans="1:6" x14ac:dyDescent="0.2">
      <c r="A56" s="20" t="str">
        <f ca="1">IF(Calc!$AW56="","",INT(Calc!$AV56))</f>
        <v/>
      </c>
      <c r="B56" s="21" t="str">
        <f ca="1">IF(Calc!$AW56="","",INDEX(Roster!$A$6:$A$505,Calc!$AW56)&amp;"")</f>
        <v/>
      </c>
      <c r="C56" s="21" t="str">
        <f ca="1">IF(Calc!$AW56="","",INDEX(Roster!$C$6:$C$505,Calc!$AW56)&amp;"")</f>
        <v/>
      </c>
      <c r="D56" s="19" t="str">
        <f ca="1">IF(Calc!$AW56="","",INDEX(Calc!$AP$6:$AP$505,Calc!$AW56))</f>
        <v/>
      </c>
      <c r="E56" s="21" t="str">
        <f ca="1">IF(Calc!$AW56="","",IF(INDEX(Calc!$AS$6:$AS$505,Calc!$AW56)="","Shout-out","Milestone"))</f>
        <v/>
      </c>
      <c r="F56" s="22" t="str">
        <f ca="1">IF(Calc!$AW56="","",IF($E56="Shout-out",SUBSTITUTE(SUBSTITUTE(SUBSTITUTE(SUBSTITUTE(Setup!$C$7&amp;"","{name}",IF($B56="","this employee",$B56)),"{years}",$D56),"{yearword}",IF($D56=1,"year","years")),"{company}",Setup!$C$4),IF(INDEX(Calc!$AT$6:$AT$505,Calc!$AW56),"Award ordered. Present it on the anniversary.","Order award by "&amp;TEXT(INDEX(Calc!$AU$6:$AU$505,Calc!$AW56),"mmm d, yyyy")&amp;IF(INDEX(Calc!$AU$6:$AU$505,Calc!$AW56)&lt;Setup!$C$5," (late, order today)",""))))</f>
        <v/>
      </c>
    </row>
    <row r="57" spans="1:6" x14ac:dyDescent="0.2">
      <c r="A57" s="20" t="str">
        <f ca="1">IF(Calc!$AW57="","",INT(Calc!$AV57))</f>
        <v/>
      </c>
      <c r="B57" s="21" t="str">
        <f ca="1">IF(Calc!$AW57="","",INDEX(Roster!$A$6:$A$505,Calc!$AW57)&amp;"")</f>
        <v/>
      </c>
      <c r="C57" s="21" t="str">
        <f ca="1">IF(Calc!$AW57="","",INDEX(Roster!$C$6:$C$505,Calc!$AW57)&amp;"")</f>
        <v/>
      </c>
      <c r="D57" s="19" t="str">
        <f ca="1">IF(Calc!$AW57="","",INDEX(Calc!$AP$6:$AP$505,Calc!$AW57))</f>
        <v/>
      </c>
      <c r="E57" s="21" t="str">
        <f ca="1">IF(Calc!$AW57="","",IF(INDEX(Calc!$AS$6:$AS$505,Calc!$AW57)="","Shout-out","Milestone"))</f>
        <v/>
      </c>
      <c r="F57" s="22" t="str">
        <f ca="1">IF(Calc!$AW57="","",IF($E57="Shout-out",SUBSTITUTE(SUBSTITUTE(SUBSTITUTE(SUBSTITUTE(Setup!$C$7&amp;"","{name}",IF($B57="","this employee",$B57)),"{years}",$D57),"{yearword}",IF($D57=1,"year","years")),"{company}",Setup!$C$4),IF(INDEX(Calc!$AT$6:$AT$505,Calc!$AW57),"Award ordered. Present it on the anniversary.","Order award by "&amp;TEXT(INDEX(Calc!$AU$6:$AU$505,Calc!$AW57),"mmm d, yyyy")&amp;IF(INDEX(Calc!$AU$6:$AU$505,Calc!$AW57)&lt;Setup!$C$5," (late, order today)",""))))</f>
        <v/>
      </c>
    </row>
    <row r="58" spans="1:6" x14ac:dyDescent="0.2">
      <c r="A58" s="20" t="str">
        <f ca="1">IF(Calc!$AW58="","",INT(Calc!$AV58))</f>
        <v/>
      </c>
      <c r="B58" s="21" t="str">
        <f ca="1">IF(Calc!$AW58="","",INDEX(Roster!$A$6:$A$505,Calc!$AW58)&amp;"")</f>
        <v/>
      </c>
      <c r="C58" s="21" t="str">
        <f ca="1">IF(Calc!$AW58="","",INDEX(Roster!$C$6:$C$505,Calc!$AW58)&amp;"")</f>
        <v/>
      </c>
      <c r="D58" s="19" t="str">
        <f ca="1">IF(Calc!$AW58="","",INDEX(Calc!$AP$6:$AP$505,Calc!$AW58))</f>
        <v/>
      </c>
      <c r="E58" s="21" t="str">
        <f ca="1">IF(Calc!$AW58="","",IF(INDEX(Calc!$AS$6:$AS$505,Calc!$AW58)="","Shout-out","Milestone"))</f>
        <v/>
      </c>
      <c r="F58" s="22" t="str">
        <f ca="1">IF(Calc!$AW58="","",IF($E58="Shout-out",SUBSTITUTE(SUBSTITUTE(SUBSTITUTE(SUBSTITUTE(Setup!$C$7&amp;"","{name}",IF($B58="","this employee",$B58)),"{years}",$D58),"{yearword}",IF($D58=1,"year","years")),"{company}",Setup!$C$4),IF(INDEX(Calc!$AT$6:$AT$505,Calc!$AW58),"Award ordered. Present it on the anniversary.","Order award by "&amp;TEXT(INDEX(Calc!$AU$6:$AU$505,Calc!$AW58),"mmm d, yyyy")&amp;IF(INDEX(Calc!$AU$6:$AU$505,Calc!$AW58)&lt;Setup!$C$5," (late, order today)",""))))</f>
        <v/>
      </c>
    </row>
    <row r="59" spans="1:6" x14ac:dyDescent="0.2">
      <c r="A59" s="20" t="str">
        <f ca="1">IF(Calc!$AW59="","",INT(Calc!$AV59))</f>
        <v/>
      </c>
      <c r="B59" s="21" t="str">
        <f ca="1">IF(Calc!$AW59="","",INDEX(Roster!$A$6:$A$505,Calc!$AW59)&amp;"")</f>
        <v/>
      </c>
      <c r="C59" s="21" t="str">
        <f ca="1">IF(Calc!$AW59="","",INDEX(Roster!$C$6:$C$505,Calc!$AW59)&amp;"")</f>
        <v/>
      </c>
      <c r="D59" s="19" t="str">
        <f ca="1">IF(Calc!$AW59="","",INDEX(Calc!$AP$6:$AP$505,Calc!$AW59))</f>
        <v/>
      </c>
      <c r="E59" s="21" t="str">
        <f ca="1">IF(Calc!$AW59="","",IF(INDEX(Calc!$AS$6:$AS$505,Calc!$AW59)="","Shout-out","Milestone"))</f>
        <v/>
      </c>
      <c r="F59" s="22" t="str">
        <f ca="1">IF(Calc!$AW59="","",IF($E59="Shout-out",SUBSTITUTE(SUBSTITUTE(SUBSTITUTE(SUBSTITUTE(Setup!$C$7&amp;"","{name}",IF($B59="","this employee",$B59)),"{years}",$D59),"{yearword}",IF($D59=1,"year","years")),"{company}",Setup!$C$4),IF(INDEX(Calc!$AT$6:$AT$505,Calc!$AW59),"Award ordered. Present it on the anniversary.","Order award by "&amp;TEXT(INDEX(Calc!$AU$6:$AU$505,Calc!$AW59),"mmm d, yyyy")&amp;IF(INDEX(Calc!$AU$6:$AU$505,Calc!$AW59)&lt;Setup!$C$5," (late, order today)",""))))</f>
        <v/>
      </c>
    </row>
    <row r="60" spans="1:6" x14ac:dyDescent="0.2">
      <c r="A60" s="20" t="str">
        <f ca="1">IF(Calc!$AW60="","",INT(Calc!$AV60))</f>
        <v/>
      </c>
      <c r="B60" s="21" t="str">
        <f ca="1">IF(Calc!$AW60="","",INDEX(Roster!$A$6:$A$505,Calc!$AW60)&amp;"")</f>
        <v/>
      </c>
      <c r="C60" s="21" t="str">
        <f ca="1">IF(Calc!$AW60="","",INDEX(Roster!$C$6:$C$505,Calc!$AW60)&amp;"")</f>
        <v/>
      </c>
      <c r="D60" s="19" t="str">
        <f ca="1">IF(Calc!$AW60="","",INDEX(Calc!$AP$6:$AP$505,Calc!$AW60))</f>
        <v/>
      </c>
      <c r="E60" s="21" t="str">
        <f ca="1">IF(Calc!$AW60="","",IF(INDEX(Calc!$AS$6:$AS$505,Calc!$AW60)="","Shout-out","Milestone"))</f>
        <v/>
      </c>
      <c r="F60" s="22" t="str">
        <f ca="1">IF(Calc!$AW60="","",IF($E60="Shout-out",SUBSTITUTE(SUBSTITUTE(SUBSTITUTE(SUBSTITUTE(Setup!$C$7&amp;"","{name}",IF($B60="","this employee",$B60)),"{years}",$D60),"{yearword}",IF($D60=1,"year","years")),"{company}",Setup!$C$4),IF(INDEX(Calc!$AT$6:$AT$505,Calc!$AW60),"Award ordered. Present it on the anniversary.","Order award by "&amp;TEXT(INDEX(Calc!$AU$6:$AU$505,Calc!$AW60),"mmm d, yyyy")&amp;IF(INDEX(Calc!$AU$6:$AU$505,Calc!$AW60)&lt;Setup!$C$5," (late, order today)",""))))</f>
        <v/>
      </c>
    </row>
    <row r="61" spans="1:6" x14ac:dyDescent="0.2">
      <c r="A61" s="20" t="str">
        <f ca="1">IF(Calc!$AW61="","",INT(Calc!$AV61))</f>
        <v/>
      </c>
      <c r="B61" s="21" t="str">
        <f ca="1">IF(Calc!$AW61="","",INDEX(Roster!$A$6:$A$505,Calc!$AW61)&amp;"")</f>
        <v/>
      </c>
      <c r="C61" s="21" t="str">
        <f ca="1">IF(Calc!$AW61="","",INDEX(Roster!$C$6:$C$505,Calc!$AW61)&amp;"")</f>
        <v/>
      </c>
      <c r="D61" s="19" t="str">
        <f ca="1">IF(Calc!$AW61="","",INDEX(Calc!$AP$6:$AP$505,Calc!$AW61))</f>
        <v/>
      </c>
      <c r="E61" s="21" t="str">
        <f ca="1">IF(Calc!$AW61="","",IF(INDEX(Calc!$AS$6:$AS$505,Calc!$AW61)="","Shout-out","Milestone"))</f>
        <v/>
      </c>
      <c r="F61" s="22" t="str">
        <f ca="1">IF(Calc!$AW61="","",IF($E61="Shout-out",SUBSTITUTE(SUBSTITUTE(SUBSTITUTE(SUBSTITUTE(Setup!$C$7&amp;"","{name}",IF($B61="","this employee",$B61)),"{years}",$D61),"{yearword}",IF($D61=1,"year","years")),"{company}",Setup!$C$4),IF(INDEX(Calc!$AT$6:$AT$505,Calc!$AW61),"Award ordered. Present it on the anniversary.","Order award by "&amp;TEXT(INDEX(Calc!$AU$6:$AU$505,Calc!$AW61),"mmm d, yyyy")&amp;IF(INDEX(Calc!$AU$6:$AU$505,Calc!$AW61)&lt;Setup!$C$5," (late, order today)",""))))</f>
        <v/>
      </c>
    </row>
    <row r="62" spans="1:6" x14ac:dyDescent="0.2">
      <c r="A62" s="20" t="str">
        <f ca="1">IF(Calc!$AW62="","",INT(Calc!$AV62))</f>
        <v/>
      </c>
      <c r="B62" s="21" t="str">
        <f ca="1">IF(Calc!$AW62="","",INDEX(Roster!$A$6:$A$505,Calc!$AW62)&amp;"")</f>
        <v/>
      </c>
      <c r="C62" s="21" t="str">
        <f ca="1">IF(Calc!$AW62="","",INDEX(Roster!$C$6:$C$505,Calc!$AW62)&amp;"")</f>
        <v/>
      </c>
      <c r="D62" s="19" t="str">
        <f ca="1">IF(Calc!$AW62="","",INDEX(Calc!$AP$6:$AP$505,Calc!$AW62))</f>
        <v/>
      </c>
      <c r="E62" s="21" t="str">
        <f ca="1">IF(Calc!$AW62="","",IF(INDEX(Calc!$AS$6:$AS$505,Calc!$AW62)="","Shout-out","Milestone"))</f>
        <v/>
      </c>
      <c r="F62" s="22" t="str">
        <f ca="1">IF(Calc!$AW62="","",IF($E62="Shout-out",SUBSTITUTE(SUBSTITUTE(SUBSTITUTE(SUBSTITUTE(Setup!$C$7&amp;"","{name}",IF($B62="","this employee",$B62)),"{years}",$D62),"{yearword}",IF($D62=1,"year","years")),"{company}",Setup!$C$4),IF(INDEX(Calc!$AT$6:$AT$505,Calc!$AW62),"Award ordered. Present it on the anniversary.","Order award by "&amp;TEXT(INDEX(Calc!$AU$6:$AU$505,Calc!$AW62),"mmm d, yyyy")&amp;IF(INDEX(Calc!$AU$6:$AU$505,Calc!$AW62)&lt;Setup!$C$5," (late, order today)",""))))</f>
        <v/>
      </c>
    </row>
    <row r="63" spans="1:6" x14ac:dyDescent="0.2">
      <c r="A63" s="20" t="str">
        <f ca="1">IF(Calc!$AW63="","",INT(Calc!$AV63))</f>
        <v/>
      </c>
      <c r="B63" s="21" t="str">
        <f ca="1">IF(Calc!$AW63="","",INDEX(Roster!$A$6:$A$505,Calc!$AW63)&amp;"")</f>
        <v/>
      </c>
      <c r="C63" s="21" t="str">
        <f ca="1">IF(Calc!$AW63="","",INDEX(Roster!$C$6:$C$505,Calc!$AW63)&amp;"")</f>
        <v/>
      </c>
      <c r="D63" s="19" t="str">
        <f ca="1">IF(Calc!$AW63="","",INDEX(Calc!$AP$6:$AP$505,Calc!$AW63))</f>
        <v/>
      </c>
      <c r="E63" s="21" t="str">
        <f ca="1">IF(Calc!$AW63="","",IF(INDEX(Calc!$AS$6:$AS$505,Calc!$AW63)="","Shout-out","Milestone"))</f>
        <v/>
      </c>
      <c r="F63" s="22" t="str">
        <f ca="1">IF(Calc!$AW63="","",IF($E63="Shout-out",SUBSTITUTE(SUBSTITUTE(SUBSTITUTE(SUBSTITUTE(Setup!$C$7&amp;"","{name}",IF($B63="","this employee",$B63)),"{years}",$D63),"{yearword}",IF($D63=1,"year","years")),"{company}",Setup!$C$4),IF(INDEX(Calc!$AT$6:$AT$505,Calc!$AW63),"Award ordered. Present it on the anniversary.","Order award by "&amp;TEXT(INDEX(Calc!$AU$6:$AU$505,Calc!$AW63),"mmm d, yyyy")&amp;IF(INDEX(Calc!$AU$6:$AU$505,Calc!$AW63)&lt;Setup!$C$5," (late, order today)",""))))</f>
        <v/>
      </c>
    </row>
    <row r="64" spans="1:6" x14ac:dyDescent="0.2">
      <c r="A64" s="20" t="str">
        <f ca="1">IF(Calc!$AW64="","",INT(Calc!$AV64))</f>
        <v/>
      </c>
      <c r="B64" s="21" t="str">
        <f ca="1">IF(Calc!$AW64="","",INDEX(Roster!$A$6:$A$505,Calc!$AW64)&amp;"")</f>
        <v/>
      </c>
      <c r="C64" s="21" t="str">
        <f ca="1">IF(Calc!$AW64="","",INDEX(Roster!$C$6:$C$505,Calc!$AW64)&amp;"")</f>
        <v/>
      </c>
      <c r="D64" s="19" t="str">
        <f ca="1">IF(Calc!$AW64="","",INDEX(Calc!$AP$6:$AP$505,Calc!$AW64))</f>
        <v/>
      </c>
      <c r="E64" s="21" t="str">
        <f ca="1">IF(Calc!$AW64="","",IF(INDEX(Calc!$AS$6:$AS$505,Calc!$AW64)="","Shout-out","Milestone"))</f>
        <v/>
      </c>
      <c r="F64" s="22" t="str">
        <f ca="1">IF(Calc!$AW64="","",IF($E64="Shout-out",SUBSTITUTE(SUBSTITUTE(SUBSTITUTE(SUBSTITUTE(Setup!$C$7&amp;"","{name}",IF($B64="","this employee",$B64)),"{years}",$D64),"{yearword}",IF($D64=1,"year","years")),"{company}",Setup!$C$4),IF(INDEX(Calc!$AT$6:$AT$505,Calc!$AW64),"Award ordered. Present it on the anniversary.","Order award by "&amp;TEXT(INDEX(Calc!$AU$6:$AU$505,Calc!$AW64),"mmm d, yyyy")&amp;IF(INDEX(Calc!$AU$6:$AU$505,Calc!$AW64)&lt;Setup!$C$5," (late, order today)",""))))</f>
        <v/>
      </c>
    </row>
    <row r="65" spans="1:6" x14ac:dyDescent="0.2">
      <c r="A65" s="20" t="str">
        <f ca="1">IF(Calc!$AW65="","",INT(Calc!$AV65))</f>
        <v/>
      </c>
      <c r="B65" s="21" t="str">
        <f ca="1">IF(Calc!$AW65="","",INDEX(Roster!$A$6:$A$505,Calc!$AW65)&amp;"")</f>
        <v/>
      </c>
      <c r="C65" s="21" t="str">
        <f ca="1">IF(Calc!$AW65="","",INDEX(Roster!$C$6:$C$505,Calc!$AW65)&amp;"")</f>
        <v/>
      </c>
      <c r="D65" s="19" t="str">
        <f ca="1">IF(Calc!$AW65="","",INDEX(Calc!$AP$6:$AP$505,Calc!$AW65))</f>
        <v/>
      </c>
      <c r="E65" s="21" t="str">
        <f ca="1">IF(Calc!$AW65="","",IF(INDEX(Calc!$AS$6:$AS$505,Calc!$AW65)="","Shout-out","Milestone"))</f>
        <v/>
      </c>
      <c r="F65" s="22" t="str">
        <f ca="1">IF(Calc!$AW65="","",IF($E65="Shout-out",SUBSTITUTE(SUBSTITUTE(SUBSTITUTE(SUBSTITUTE(Setup!$C$7&amp;"","{name}",IF($B65="","this employee",$B65)),"{years}",$D65),"{yearword}",IF($D65=1,"year","years")),"{company}",Setup!$C$4),IF(INDEX(Calc!$AT$6:$AT$505,Calc!$AW65),"Award ordered. Present it on the anniversary.","Order award by "&amp;TEXT(INDEX(Calc!$AU$6:$AU$505,Calc!$AW65),"mmm d, yyyy")&amp;IF(INDEX(Calc!$AU$6:$AU$505,Calc!$AW65)&lt;Setup!$C$5," (late, order today)",""))))</f>
        <v/>
      </c>
    </row>
    <row r="66" spans="1:6" x14ac:dyDescent="0.2">
      <c r="A66" s="20" t="str">
        <f ca="1">IF(Calc!$AW66="","",INT(Calc!$AV66))</f>
        <v/>
      </c>
      <c r="B66" s="21" t="str">
        <f ca="1">IF(Calc!$AW66="","",INDEX(Roster!$A$6:$A$505,Calc!$AW66)&amp;"")</f>
        <v/>
      </c>
      <c r="C66" s="21" t="str">
        <f ca="1">IF(Calc!$AW66="","",INDEX(Roster!$C$6:$C$505,Calc!$AW66)&amp;"")</f>
        <v/>
      </c>
      <c r="D66" s="19" t="str">
        <f ca="1">IF(Calc!$AW66="","",INDEX(Calc!$AP$6:$AP$505,Calc!$AW66))</f>
        <v/>
      </c>
      <c r="E66" s="21" t="str">
        <f ca="1">IF(Calc!$AW66="","",IF(INDEX(Calc!$AS$6:$AS$505,Calc!$AW66)="","Shout-out","Milestone"))</f>
        <v/>
      </c>
      <c r="F66" s="22" t="str">
        <f ca="1">IF(Calc!$AW66="","",IF($E66="Shout-out",SUBSTITUTE(SUBSTITUTE(SUBSTITUTE(SUBSTITUTE(Setup!$C$7&amp;"","{name}",IF($B66="","this employee",$B66)),"{years}",$D66),"{yearword}",IF($D66=1,"year","years")),"{company}",Setup!$C$4),IF(INDEX(Calc!$AT$6:$AT$505,Calc!$AW66),"Award ordered. Present it on the anniversary.","Order award by "&amp;TEXT(INDEX(Calc!$AU$6:$AU$505,Calc!$AW66),"mmm d, yyyy")&amp;IF(INDEX(Calc!$AU$6:$AU$505,Calc!$AW66)&lt;Setup!$C$5," (late, order today)",""))))</f>
        <v/>
      </c>
    </row>
    <row r="67" spans="1:6" x14ac:dyDescent="0.2">
      <c r="A67" s="20" t="str">
        <f ca="1">IF(Calc!$AW67="","",INT(Calc!$AV67))</f>
        <v/>
      </c>
      <c r="B67" s="21" t="str">
        <f ca="1">IF(Calc!$AW67="","",INDEX(Roster!$A$6:$A$505,Calc!$AW67)&amp;"")</f>
        <v/>
      </c>
      <c r="C67" s="21" t="str">
        <f ca="1">IF(Calc!$AW67="","",INDEX(Roster!$C$6:$C$505,Calc!$AW67)&amp;"")</f>
        <v/>
      </c>
      <c r="D67" s="19" t="str">
        <f ca="1">IF(Calc!$AW67="","",INDEX(Calc!$AP$6:$AP$505,Calc!$AW67))</f>
        <v/>
      </c>
      <c r="E67" s="21" t="str">
        <f ca="1">IF(Calc!$AW67="","",IF(INDEX(Calc!$AS$6:$AS$505,Calc!$AW67)="","Shout-out","Milestone"))</f>
        <v/>
      </c>
      <c r="F67" s="22" t="str">
        <f ca="1">IF(Calc!$AW67="","",IF($E67="Shout-out",SUBSTITUTE(SUBSTITUTE(SUBSTITUTE(SUBSTITUTE(Setup!$C$7&amp;"","{name}",IF($B67="","this employee",$B67)),"{years}",$D67),"{yearword}",IF($D67=1,"year","years")),"{company}",Setup!$C$4),IF(INDEX(Calc!$AT$6:$AT$505,Calc!$AW67),"Award ordered. Present it on the anniversary.","Order award by "&amp;TEXT(INDEX(Calc!$AU$6:$AU$505,Calc!$AW67),"mmm d, yyyy")&amp;IF(INDEX(Calc!$AU$6:$AU$505,Calc!$AW67)&lt;Setup!$C$5," (late, order today)",""))))</f>
        <v/>
      </c>
    </row>
    <row r="68" spans="1:6" x14ac:dyDescent="0.2">
      <c r="A68" s="20" t="str">
        <f ca="1">IF(Calc!$AW68="","",INT(Calc!$AV68))</f>
        <v/>
      </c>
      <c r="B68" s="21" t="str">
        <f ca="1">IF(Calc!$AW68="","",INDEX(Roster!$A$6:$A$505,Calc!$AW68)&amp;"")</f>
        <v/>
      </c>
      <c r="C68" s="21" t="str">
        <f ca="1">IF(Calc!$AW68="","",INDEX(Roster!$C$6:$C$505,Calc!$AW68)&amp;"")</f>
        <v/>
      </c>
      <c r="D68" s="19" t="str">
        <f ca="1">IF(Calc!$AW68="","",INDEX(Calc!$AP$6:$AP$505,Calc!$AW68))</f>
        <v/>
      </c>
      <c r="E68" s="21" t="str">
        <f ca="1">IF(Calc!$AW68="","",IF(INDEX(Calc!$AS$6:$AS$505,Calc!$AW68)="","Shout-out","Milestone"))</f>
        <v/>
      </c>
      <c r="F68" s="22" t="str">
        <f ca="1">IF(Calc!$AW68="","",IF($E68="Shout-out",SUBSTITUTE(SUBSTITUTE(SUBSTITUTE(SUBSTITUTE(Setup!$C$7&amp;"","{name}",IF($B68="","this employee",$B68)),"{years}",$D68),"{yearword}",IF($D68=1,"year","years")),"{company}",Setup!$C$4),IF(INDEX(Calc!$AT$6:$AT$505,Calc!$AW68),"Award ordered. Present it on the anniversary.","Order award by "&amp;TEXT(INDEX(Calc!$AU$6:$AU$505,Calc!$AW68),"mmm d, yyyy")&amp;IF(INDEX(Calc!$AU$6:$AU$505,Calc!$AW68)&lt;Setup!$C$5," (late, order today)",""))))</f>
        <v/>
      </c>
    </row>
    <row r="69" spans="1:6" x14ac:dyDescent="0.2">
      <c r="A69" s="20" t="str">
        <f ca="1">IF(Calc!$AW69="","",INT(Calc!$AV69))</f>
        <v/>
      </c>
      <c r="B69" s="21" t="str">
        <f ca="1">IF(Calc!$AW69="","",INDEX(Roster!$A$6:$A$505,Calc!$AW69)&amp;"")</f>
        <v/>
      </c>
      <c r="C69" s="21" t="str">
        <f ca="1">IF(Calc!$AW69="","",INDEX(Roster!$C$6:$C$505,Calc!$AW69)&amp;"")</f>
        <v/>
      </c>
      <c r="D69" s="19" t="str">
        <f ca="1">IF(Calc!$AW69="","",INDEX(Calc!$AP$6:$AP$505,Calc!$AW69))</f>
        <v/>
      </c>
      <c r="E69" s="21" t="str">
        <f ca="1">IF(Calc!$AW69="","",IF(INDEX(Calc!$AS$6:$AS$505,Calc!$AW69)="","Shout-out","Milestone"))</f>
        <v/>
      </c>
      <c r="F69" s="22" t="str">
        <f ca="1">IF(Calc!$AW69="","",IF($E69="Shout-out",SUBSTITUTE(SUBSTITUTE(SUBSTITUTE(SUBSTITUTE(Setup!$C$7&amp;"","{name}",IF($B69="","this employee",$B69)),"{years}",$D69),"{yearword}",IF($D69=1,"year","years")),"{company}",Setup!$C$4),IF(INDEX(Calc!$AT$6:$AT$505,Calc!$AW69),"Award ordered. Present it on the anniversary.","Order award by "&amp;TEXT(INDEX(Calc!$AU$6:$AU$505,Calc!$AW69),"mmm d, yyyy")&amp;IF(INDEX(Calc!$AU$6:$AU$505,Calc!$AW69)&lt;Setup!$C$5," (late, order today)",""))))</f>
        <v/>
      </c>
    </row>
    <row r="70" spans="1:6" x14ac:dyDescent="0.2">
      <c r="A70" s="20" t="str">
        <f ca="1">IF(Calc!$AW70="","",INT(Calc!$AV70))</f>
        <v/>
      </c>
      <c r="B70" s="21" t="str">
        <f ca="1">IF(Calc!$AW70="","",INDEX(Roster!$A$6:$A$505,Calc!$AW70)&amp;"")</f>
        <v/>
      </c>
      <c r="C70" s="21" t="str">
        <f ca="1">IF(Calc!$AW70="","",INDEX(Roster!$C$6:$C$505,Calc!$AW70)&amp;"")</f>
        <v/>
      </c>
      <c r="D70" s="19" t="str">
        <f ca="1">IF(Calc!$AW70="","",INDEX(Calc!$AP$6:$AP$505,Calc!$AW70))</f>
        <v/>
      </c>
      <c r="E70" s="21" t="str">
        <f ca="1">IF(Calc!$AW70="","",IF(INDEX(Calc!$AS$6:$AS$505,Calc!$AW70)="","Shout-out","Milestone"))</f>
        <v/>
      </c>
      <c r="F70" s="22" t="str">
        <f ca="1">IF(Calc!$AW70="","",IF($E70="Shout-out",SUBSTITUTE(SUBSTITUTE(SUBSTITUTE(SUBSTITUTE(Setup!$C$7&amp;"","{name}",IF($B70="","this employee",$B70)),"{years}",$D70),"{yearword}",IF($D70=1,"year","years")),"{company}",Setup!$C$4),IF(INDEX(Calc!$AT$6:$AT$505,Calc!$AW70),"Award ordered. Present it on the anniversary.","Order award by "&amp;TEXT(INDEX(Calc!$AU$6:$AU$505,Calc!$AW70),"mmm d, yyyy")&amp;IF(INDEX(Calc!$AU$6:$AU$505,Calc!$AW70)&lt;Setup!$C$5," (late, order today)",""))))</f>
        <v/>
      </c>
    </row>
    <row r="71" spans="1:6" x14ac:dyDescent="0.2">
      <c r="A71" s="20" t="str">
        <f ca="1">IF(Calc!$AW71="","",INT(Calc!$AV71))</f>
        <v/>
      </c>
      <c r="B71" s="21" t="str">
        <f ca="1">IF(Calc!$AW71="","",INDEX(Roster!$A$6:$A$505,Calc!$AW71)&amp;"")</f>
        <v/>
      </c>
      <c r="C71" s="21" t="str">
        <f ca="1">IF(Calc!$AW71="","",INDEX(Roster!$C$6:$C$505,Calc!$AW71)&amp;"")</f>
        <v/>
      </c>
      <c r="D71" s="19" t="str">
        <f ca="1">IF(Calc!$AW71="","",INDEX(Calc!$AP$6:$AP$505,Calc!$AW71))</f>
        <v/>
      </c>
      <c r="E71" s="21" t="str">
        <f ca="1">IF(Calc!$AW71="","",IF(INDEX(Calc!$AS$6:$AS$505,Calc!$AW71)="","Shout-out","Milestone"))</f>
        <v/>
      </c>
      <c r="F71" s="22" t="str">
        <f ca="1">IF(Calc!$AW71="","",IF($E71="Shout-out",SUBSTITUTE(SUBSTITUTE(SUBSTITUTE(SUBSTITUTE(Setup!$C$7&amp;"","{name}",IF($B71="","this employee",$B71)),"{years}",$D71),"{yearword}",IF($D71=1,"year","years")),"{company}",Setup!$C$4),IF(INDEX(Calc!$AT$6:$AT$505,Calc!$AW71),"Award ordered. Present it on the anniversary.","Order award by "&amp;TEXT(INDEX(Calc!$AU$6:$AU$505,Calc!$AW71),"mmm d, yyyy")&amp;IF(INDEX(Calc!$AU$6:$AU$505,Calc!$AW71)&lt;Setup!$C$5," (late, order today)",""))))</f>
        <v/>
      </c>
    </row>
    <row r="72" spans="1:6" x14ac:dyDescent="0.2">
      <c r="A72" s="20" t="str">
        <f ca="1">IF(Calc!$AW72="","",INT(Calc!$AV72))</f>
        <v/>
      </c>
      <c r="B72" s="21" t="str">
        <f ca="1">IF(Calc!$AW72="","",INDEX(Roster!$A$6:$A$505,Calc!$AW72)&amp;"")</f>
        <v/>
      </c>
      <c r="C72" s="21" t="str">
        <f ca="1">IF(Calc!$AW72="","",INDEX(Roster!$C$6:$C$505,Calc!$AW72)&amp;"")</f>
        <v/>
      </c>
      <c r="D72" s="19" t="str">
        <f ca="1">IF(Calc!$AW72="","",INDEX(Calc!$AP$6:$AP$505,Calc!$AW72))</f>
        <v/>
      </c>
      <c r="E72" s="21" t="str">
        <f ca="1">IF(Calc!$AW72="","",IF(INDEX(Calc!$AS$6:$AS$505,Calc!$AW72)="","Shout-out","Milestone"))</f>
        <v/>
      </c>
      <c r="F72" s="22" t="str">
        <f ca="1">IF(Calc!$AW72="","",IF($E72="Shout-out",SUBSTITUTE(SUBSTITUTE(SUBSTITUTE(SUBSTITUTE(Setup!$C$7&amp;"","{name}",IF($B72="","this employee",$B72)),"{years}",$D72),"{yearword}",IF($D72=1,"year","years")),"{company}",Setup!$C$4),IF(INDEX(Calc!$AT$6:$AT$505,Calc!$AW72),"Award ordered. Present it on the anniversary.","Order award by "&amp;TEXT(INDEX(Calc!$AU$6:$AU$505,Calc!$AW72),"mmm d, yyyy")&amp;IF(INDEX(Calc!$AU$6:$AU$505,Calc!$AW72)&lt;Setup!$C$5," (late, order today)",""))))</f>
        <v/>
      </c>
    </row>
    <row r="73" spans="1:6" x14ac:dyDescent="0.2">
      <c r="A73" s="20" t="str">
        <f ca="1">IF(Calc!$AW73="","",INT(Calc!$AV73))</f>
        <v/>
      </c>
      <c r="B73" s="21" t="str">
        <f ca="1">IF(Calc!$AW73="","",INDEX(Roster!$A$6:$A$505,Calc!$AW73)&amp;"")</f>
        <v/>
      </c>
      <c r="C73" s="21" t="str">
        <f ca="1">IF(Calc!$AW73="","",INDEX(Roster!$C$6:$C$505,Calc!$AW73)&amp;"")</f>
        <v/>
      </c>
      <c r="D73" s="19" t="str">
        <f ca="1">IF(Calc!$AW73="","",INDEX(Calc!$AP$6:$AP$505,Calc!$AW73))</f>
        <v/>
      </c>
      <c r="E73" s="21" t="str">
        <f ca="1">IF(Calc!$AW73="","",IF(INDEX(Calc!$AS$6:$AS$505,Calc!$AW73)="","Shout-out","Milestone"))</f>
        <v/>
      </c>
      <c r="F73" s="22" t="str">
        <f ca="1">IF(Calc!$AW73="","",IF($E73="Shout-out",SUBSTITUTE(SUBSTITUTE(SUBSTITUTE(SUBSTITUTE(Setup!$C$7&amp;"","{name}",IF($B73="","this employee",$B73)),"{years}",$D73),"{yearword}",IF($D73=1,"year","years")),"{company}",Setup!$C$4),IF(INDEX(Calc!$AT$6:$AT$505,Calc!$AW73),"Award ordered. Present it on the anniversary.","Order award by "&amp;TEXT(INDEX(Calc!$AU$6:$AU$505,Calc!$AW73),"mmm d, yyyy")&amp;IF(INDEX(Calc!$AU$6:$AU$505,Calc!$AW73)&lt;Setup!$C$5," (late, order today)",""))))</f>
        <v/>
      </c>
    </row>
    <row r="74" spans="1:6" x14ac:dyDescent="0.2">
      <c r="A74" s="20" t="str">
        <f ca="1">IF(Calc!$AW74="","",INT(Calc!$AV74))</f>
        <v/>
      </c>
      <c r="B74" s="21" t="str">
        <f ca="1">IF(Calc!$AW74="","",INDEX(Roster!$A$6:$A$505,Calc!$AW74)&amp;"")</f>
        <v/>
      </c>
      <c r="C74" s="21" t="str">
        <f ca="1">IF(Calc!$AW74="","",INDEX(Roster!$C$6:$C$505,Calc!$AW74)&amp;"")</f>
        <v/>
      </c>
      <c r="D74" s="19" t="str">
        <f ca="1">IF(Calc!$AW74="","",INDEX(Calc!$AP$6:$AP$505,Calc!$AW74))</f>
        <v/>
      </c>
      <c r="E74" s="21" t="str">
        <f ca="1">IF(Calc!$AW74="","",IF(INDEX(Calc!$AS$6:$AS$505,Calc!$AW74)="","Shout-out","Milestone"))</f>
        <v/>
      </c>
      <c r="F74" s="22" t="str">
        <f ca="1">IF(Calc!$AW74="","",IF($E74="Shout-out",SUBSTITUTE(SUBSTITUTE(SUBSTITUTE(SUBSTITUTE(Setup!$C$7&amp;"","{name}",IF($B74="","this employee",$B74)),"{years}",$D74),"{yearword}",IF($D74=1,"year","years")),"{company}",Setup!$C$4),IF(INDEX(Calc!$AT$6:$AT$505,Calc!$AW74),"Award ordered. Present it on the anniversary.","Order award by "&amp;TEXT(INDEX(Calc!$AU$6:$AU$505,Calc!$AW74),"mmm d, yyyy")&amp;IF(INDEX(Calc!$AU$6:$AU$505,Calc!$AW74)&lt;Setup!$C$5," (late, order today)",""))))</f>
        <v/>
      </c>
    </row>
    <row r="75" spans="1:6" x14ac:dyDescent="0.2">
      <c r="A75" s="20" t="str">
        <f ca="1">IF(Calc!$AW75="","",INT(Calc!$AV75))</f>
        <v/>
      </c>
      <c r="B75" s="21" t="str">
        <f ca="1">IF(Calc!$AW75="","",INDEX(Roster!$A$6:$A$505,Calc!$AW75)&amp;"")</f>
        <v/>
      </c>
      <c r="C75" s="21" t="str">
        <f ca="1">IF(Calc!$AW75="","",INDEX(Roster!$C$6:$C$505,Calc!$AW75)&amp;"")</f>
        <v/>
      </c>
      <c r="D75" s="19" t="str">
        <f ca="1">IF(Calc!$AW75="","",INDEX(Calc!$AP$6:$AP$505,Calc!$AW75))</f>
        <v/>
      </c>
      <c r="E75" s="21" t="str">
        <f ca="1">IF(Calc!$AW75="","",IF(INDEX(Calc!$AS$6:$AS$505,Calc!$AW75)="","Shout-out","Milestone"))</f>
        <v/>
      </c>
      <c r="F75" s="22" t="str">
        <f ca="1">IF(Calc!$AW75="","",IF($E75="Shout-out",SUBSTITUTE(SUBSTITUTE(SUBSTITUTE(SUBSTITUTE(Setup!$C$7&amp;"","{name}",IF($B75="","this employee",$B75)),"{years}",$D75),"{yearword}",IF($D75=1,"year","years")),"{company}",Setup!$C$4),IF(INDEX(Calc!$AT$6:$AT$505,Calc!$AW75),"Award ordered. Present it on the anniversary.","Order award by "&amp;TEXT(INDEX(Calc!$AU$6:$AU$505,Calc!$AW75),"mmm d, yyyy")&amp;IF(INDEX(Calc!$AU$6:$AU$505,Calc!$AW75)&lt;Setup!$C$5," (late, order today)",""))))</f>
        <v/>
      </c>
    </row>
    <row r="76" spans="1:6" x14ac:dyDescent="0.2">
      <c r="A76" s="20" t="str">
        <f ca="1">IF(Calc!$AW76="","",INT(Calc!$AV76))</f>
        <v/>
      </c>
      <c r="B76" s="21" t="str">
        <f ca="1">IF(Calc!$AW76="","",INDEX(Roster!$A$6:$A$505,Calc!$AW76)&amp;"")</f>
        <v/>
      </c>
      <c r="C76" s="21" t="str">
        <f ca="1">IF(Calc!$AW76="","",INDEX(Roster!$C$6:$C$505,Calc!$AW76)&amp;"")</f>
        <v/>
      </c>
      <c r="D76" s="19" t="str">
        <f ca="1">IF(Calc!$AW76="","",INDEX(Calc!$AP$6:$AP$505,Calc!$AW76))</f>
        <v/>
      </c>
      <c r="E76" s="21" t="str">
        <f ca="1">IF(Calc!$AW76="","",IF(INDEX(Calc!$AS$6:$AS$505,Calc!$AW76)="","Shout-out","Milestone"))</f>
        <v/>
      </c>
      <c r="F76" s="22" t="str">
        <f ca="1">IF(Calc!$AW76="","",IF($E76="Shout-out",SUBSTITUTE(SUBSTITUTE(SUBSTITUTE(SUBSTITUTE(Setup!$C$7&amp;"","{name}",IF($B76="","this employee",$B76)),"{years}",$D76),"{yearword}",IF($D76=1,"year","years")),"{company}",Setup!$C$4),IF(INDEX(Calc!$AT$6:$AT$505,Calc!$AW76),"Award ordered. Present it on the anniversary.","Order award by "&amp;TEXT(INDEX(Calc!$AU$6:$AU$505,Calc!$AW76),"mmm d, yyyy")&amp;IF(INDEX(Calc!$AU$6:$AU$505,Calc!$AW76)&lt;Setup!$C$5," (late, order today)",""))))</f>
        <v/>
      </c>
    </row>
    <row r="77" spans="1:6" x14ac:dyDescent="0.2">
      <c r="A77" s="20" t="str">
        <f ca="1">IF(Calc!$AW77="","",INT(Calc!$AV77))</f>
        <v/>
      </c>
      <c r="B77" s="21" t="str">
        <f ca="1">IF(Calc!$AW77="","",INDEX(Roster!$A$6:$A$505,Calc!$AW77)&amp;"")</f>
        <v/>
      </c>
      <c r="C77" s="21" t="str">
        <f ca="1">IF(Calc!$AW77="","",INDEX(Roster!$C$6:$C$505,Calc!$AW77)&amp;"")</f>
        <v/>
      </c>
      <c r="D77" s="19" t="str">
        <f ca="1">IF(Calc!$AW77="","",INDEX(Calc!$AP$6:$AP$505,Calc!$AW77))</f>
        <v/>
      </c>
      <c r="E77" s="21" t="str">
        <f ca="1">IF(Calc!$AW77="","",IF(INDEX(Calc!$AS$6:$AS$505,Calc!$AW77)="","Shout-out","Milestone"))</f>
        <v/>
      </c>
      <c r="F77" s="22" t="str">
        <f ca="1">IF(Calc!$AW77="","",IF($E77="Shout-out",SUBSTITUTE(SUBSTITUTE(SUBSTITUTE(SUBSTITUTE(Setup!$C$7&amp;"","{name}",IF($B77="","this employee",$B77)),"{years}",$D77),"{yearword}",IF($D77=1,"year","years")),"{company}",Setup!$C$4),IF(INDEX(Calc!$AT$6:$AT$505,Calc!$AW77),"Award ordered. Present it on the anniversary.","Order award by "&amp;TEXT(INDEX(Calc!$AU$6:$AU$505,Calc!$AW77),"mmm d, yyyy")&amp;IF(INDEX(Calc!$AU$6:$AU$505,Calc!$AW77)&lt;Setup!$C$5," (late, order today)",""))))</f>
        <v/>
      </c>
    </row>
    <row r="78" spans="1:6" x14ac:dyDescent="0.2">
      <c r="A78" s="20" t="str">
        <f ca="1">IF(Calc!$AW78="","",INT(Calc!$AV78))</f>
        <v/>
      </c>
      <c r="B78" s="21" t="str">
        <f ca="1">IF(Calc!$AW78="","",INDEX(Roster!$A$6:$A$505,Calc!$AW78)&amp;"")</f>
        <v/>
      </c>
      <c r="C78" s="21" t="str">
        <f ca="1">IF(Calc!$AW78="","",INDEX(Roster!$C$6:$C$505,Calc!$AW78)&amp;"")</f>
        <v/>
      </c>
      <c r="D78" s="19" t="str">
        <f ca="1">IF(Calc!$AW78="","",INDEX(Calc!$AP$6:$AP$505,Calc!$AW78))</f>
        <v/>
      </c>
      <c r="E78" s="21" t="str">
        <f ca="1">IF(Calc!$AW78="","",IF(INDEX(Calc!$AS$6:$AS$505,Calc!$AW78)="","Shout-out","Milestone"))</f>
        <v/>
      </c>
      <c r="F78" s="22" t="str">
        <f ca="1">IF(Calc!$AW78="","",IF($E78="Shout-out",SUBSTITUTE(SUBSTITUTE(SUBSTITUTE(SUBSTITUTE(Setup!$C$7&amp;"","{name}",IF($B78="","this employee",$B78)),"{years}",$D78),"{yearword}",IF($D78=1,"year","years")),"{company}",Setup!$C$4),IF(INDEX(Calc!$AT$6:$AT$505,Calc!$AW78),"Award ordered. Present it on the anniversary.","Order award by "&amp;TEXT(INDEX(Calc!$AU$6:$AU$505,Calc!$AW78),"mmm d, yyyy")&amp;IF(INDEX(Calc!$AU$6:$AU$505,Calc!$AW78)&lt;Setup!$C$5," (late, order today)",""))))</f>
        <v/>
      </c>
    </row>
    <row r="79" spans="1:6" x14ac:dyDescent="0.2">
      <c r="A79" s="20" t="str">
        <f ca="1">IF(Calc!$AW79="","",INT(Calc!$AV79))</f>
        <v/>
      </c>
      <c r="B79" s="21" t="str">
        <f ca="1">IF(Calc!$AW79="","",INDEX(Roster!$A$6:$A$505,Calc!$AW79)&amp;"")</f>
        <v/>
      </c>
      <c r="C79" s="21" t="str">
        <f ca="1">IF(Calc!$AW79="","",INDEX(Roster!$C$6:$C$505,Calc!$AW79)&amp;"")</f>
        <v/>
      </c>
      <c r="D79" s="19" t="str">
        <f ca="1">IF(Calc!$AW79="","",INDEX(Calc!$AP$6:$AP$505,Calc!$AW79))</f>
        <v/>
      </c>
      <c r="E79" s="21" t="str">
        <f ca="1">IF(Calc!$AW79="","",IF(INDEX(Calc!$AS$6:$AS$505,Calc!$AW79)="","Shout-out","Milestone"))</f>
        <v/>
      </c>
      <c r="F79" s="22" t="str">
        <f ca="1">IF(Calc!$AW79="","",IF($E79="Shout-out",SUBSTITUTE(SUBSTITUTE(SUBSTITUTE(SUBSTITUTE(Setup!$C$7&amp;"","{name}",IF($B79="","this employee",$B79)),"{years}",$D79),"{yearword}",IF($D79=1,"year","years")),"{company}",Setup!$C$4),IF(INDEX(Calc!$AT$6:$AT$505,Calc!$AW79),"Award ordered. Present it on the anniversary.","Order award by "&amp;TEXT(INDEX(Calc!$AU$6:$AU$505,Calc!$AW79),"mmm d, yyyy")&amp;IF(INDEX(Calc!$AU$6:$AU$505,Calc!$AW79)&lt;Setup!$C$5," (late, order today)",""))))</f>
        <v/>
      </c>
    </row>
    <row r="80" spans="1:6" x14ac:dyDescent="0.2">
      <c r="A80" s="20" t="str">
        <f ca="1">IF(Calc!$AW80="","",INT(Calc!$AV80))</f>
        <v/>
      </c>
      <c r="B80" s="21" t="str">
        <f ca="1">IF(Calc!$AW80="","",INDEX(Roster!$A$6:$A$505,Calc!$AW80)&amp;"")</f>
        <v/>
      </c>
      <c r="C80" s="21" t="str">
        <f ca="1">IF(Calc!$AW80="","",INDEX(Roster!$C$6:$C$505,Calc!$AW80)&amp;"")</f>
        <v/>
      </c>
      <c r="D80" s="19" t="str">
        <f ca="1">IF(Calc!$AW80="","",INDEX(Calc!$AP$6:$AP$505,Calc!$AW80))</f>
        <v/>
      </c>
      <c r="E80" s="21" t="str">
        <f ca="1">IF(Calc!$AW80="","",IF(INDEX(Calc!$AS$6:$AS$505,Calc!$AW80)="","Shout-out","Milestone"))</f>
        <v/>
      </c>
      <c r="F80" s="22" t="str">
        <f ca="1">IF(Calc!$AW80="","",IF($E80="Shout-out",SUBSTITUTE(SUBSTITUTE(SUBSTITUTE(SUBSTITUTE(Setup!$C$7&amp;"","{name}",IF($B80="","this employee",$B80)),"{years}",$D80),"{yearword}",IF($D80=1,"year","years")),"{company}",Setup!$C$4),IF(INDEX(Calc!$AT$6:$AT$505,Calc!$AW80),"Award ordered. Present it on the anniversary.","Order award by "&amp;TEXT(INDEX(Calc!$AU$6:$AU$505,Calc!$AW80),"mmm d, yyyy")&amp;IF(INDEX(Calc!$AU$6:$AU$505,Calc!$AW80)&lt;Setup!$C$5," (late, order today)",""))))</f>
        <v/>
      </c>
    </row>
    <row r="81" spans="1:6" x14ac:dyDescent="0.2">
      <c r="A81" s="20" t="str">
        <f ca="1">IF(Calc!$AW81="","",INT(Calc!$AV81))</f>
        <v/>
      </c>
      <c r="B81" s="21" t="str">
        <f ca="1">IF(Calc!$AW81="","",INDEX(Roster!$A$6:$A$505,Calc!$AW81)&amp;"")</f>
        <v/>
      </c>
      <c r="C81" s="21" t="str">
        <f ca="1">IF(Calc!$AW81="","",INDEX(Roster!$C$6:$C$505,Calc!$AW81)&amp;"")</f>
        <v/>
      </c>
      <c r="D81" s="19" t="str">
        <f ca="1">IF(Calc!$AW81="","",INDEX(Calc!$AP$6:$AP$505,Calc!$AW81))</f>
        <v/>
      </c>
      <c r="E81" s="21" t="str">
        <f ca="1">IF(Calc!$AW81="","",IF(INDEX(Calc!$AS$6:$AS$505,Calc!$AW81)="","Shout-out","Milestone"))</f>
        <v/>
      </c>
      <c r="F81" s="22" t="str">
        <f ca="1">IF(Calc!$AW81="","",IF($E81="Shout-out",SUBSTITUTE(SUBSTITUTE(SUBSTITUTE(SUBSTITUTE(Setup!$C$7&amp;"","{name}",IF($B81="","this employee",$B81)),"{years}",$D81),"{yearword}",IF($D81=1,"year","years")),"{company}",Setup!$C$4),IF(INDEX(Calc!$AT$6:$AT$505,Calc!$AW81),"Award ordered. Present it on the anniversary.","Order award by "&amp;TEXT(INDEX(Calc!$AU$6:$AU$505,Calc!$AW81),"mmm d, yyyy")&amp;IF(INDEX(Calc!$AU$6:$AU$505,Calc!$AW81)&lt;Setup!$C$5," (late, order today)",""))))</f>
        <v/>
      </c>
    </row>
    <row r="82" spans="1:6" x14ac:dyDescent="0.2">
      <c r="A82" s="20" t="str">
        <f ca="1">IF(Calc!$AW82="","",INT(Calc!$AV82))</f>
        <v/>
      </c>
      <c r="B82" s="21" t="str">
        <f ca="1">IF(Calc!$AW82="","",INDEX(Roster!$A$6:$A$505,Calc!$AW82)&amp;"")</f>
        <v/>
      </c>
      <c r="C82" s="21" t="str">
        <f ca="1">IF(Calc!$AW82="","",INDEX(Roster!$C$6:$C$505,Calc!$AW82)&amp;"")</f>
        <v/>
      </c>
      <c r="D82" s="19" t="str">
        <f ca="1">IF(Calc!$AW82="","",INDEX(Calc!$AP$6:$AP$505,Calc!$AW82))</f>
        <v/>
      </c>
      <c r="E82" s="21" t="str">
        <f ca="1">IF(Calc!$AW82="","",IF(INDEX(Calc!$AS$6:$AS$505,Calc!$AW82)="","Shout-out","Milestone"))</f>
        <v/>
      </c>
      <c r="F82" s="22" t="str">
        <f ca="1">IF(Calc!$AW82="","",IF($E82="Shout-out",SUBSTITUTE(SUBSTITUTE(SUBSTITUTE(SUBSTITUTE(Setup!$C$7&amp;"","{name}",IF($B82="","this employee",$B82)),"{years}",$D82),"{yearword}",IF($D82=1,"year","years")),"{company}",Setup!$C$4),IF(INDEX(Calc!$AT$6:$AT$505,Calc!$AW82),"Award ordered. Present it on the anniversary.","Order award by "&amp;TEXT(INDEX(Calc!$AU$6:$AU$505,Calc!$AW82),"mmm d, yyyy")&amp;IF(INDEX(Calc!$AU$6:$AU$505,Calc!$AW82)&lt;Setup!$C$5," (late, order today)",""))))</f>
        <v/>
      </c>
    </row>
    <row r="83" spans="1:6" x14ac:dyDescent="0.2">
      <c r="A83" s="20" t="str">
        <f ca="1">IF(Calc!$AW83="","",INT(Calc!$AV83))</f>
        <v/>
      </c>
      <c r="B83" s="21" t="str">
        <f ca="1">IF(Calc!$AW83="","",INDEX(Roster!$A$6:$A$505,Calc!$AW83)&amp;"")</f>
        <v/>
      </c>
      <c r="C83" s="21" t="str">
        <f ca="1">IF(Calc!$AW83="","",INDEX(Roster!$C$6:$C$505,Calc!$AW83)&amp;"")</f>
        <v/>
      </c>
      <c r="D83" s="19" t="str">
        <f ca="1">IF(Calc!$AW83="","",INDEX(Calc!$AP$6:$AP$505,Calc!$AW83))</f>
        <v/>
      </c>
      <c r="E83" s="21" t="str">
        <f ca="1">IF(Calc!$AW83="","",IF(INDEX(Calc!$AS$6:$AS$505,Calc!$AW83)="","Shout-out","Milestone"))</f>
        <v/>
      </c>
      <c r="F83" s="22" t="str">
        <f ca="1">IF(Calc!$AW83="","",IF($E83="Shout-out",SUBSTITUTE(SUBSTITUTE(SUBSTITUTE(SUBSTITUTE(Setup!$C$7&amp;"","{name}",IF($B83="","this employee",$B83)),"{years}",$D83),"{yearword}",IF($D83=1,"year","years")),"{company}",Setup!$C$4),IF(INDEX(Calc!$AT$6:$AT$505,Calc!$AW83),"Award ordered. Present it on the anniversary.","Order award by "&amp;TEXT(INDEX(Calc!$AU$6:$AU$505,Calc!$AW83),"mmm d, yyyy")&amp;IF(INDEX(Calc!$AU$6:$AU$505,Calc!$AW83)&lt;Setup!$C$5," (late, order today)",""))))</f>
        <v/>
      </c>
    </row>
    <row r="84" spans="1:6" x14ac:dyDescent="0.2">
      <c r="A84" s="20" t="str">
        <f ca="1">IF(Calc!$AW84="","",INT(Calc!$AV84))</f>
        <v/>
      </c>
      <c r="B84" s="21" t="str">
        <f ca="1">IF(Calc!$AW84="","",INDEX(Roster!$A$6:$A$505,Calc!$AW84)&amp;"")</f>
        <v/>
      </c>
      <c r="C84" s="21" t="str">
        <f ca="1">IF(Calc!$AW84="","",INDEX(Roster!$C$6:$C$505,Calc!$AW84)&amp;"")</f>
        <v/>
      </c>
      <c r="D84" s="19" t="str">
        <f ca="1">IF(Calc!$AW84="","",INDEX(Calc!$AP$6:$AP$505,Calc!$AW84))</f>
        <v/>
      </c>
      <c r="E84" s="21" t="str">
        <f ca="1">IF(Calc!$AW84="","",IF(INDEX(Calc!$AS$6:$AS$505,Calc!$AW84)="","Shout-out","Milestone"))</f>
        <v/>
      </c>
      <c r="F84" s="22" t="str">
        <f ca="1">IF(Calc!$AW84="","",IF($E84="Shout-out",SUBSTITUTE(SUBSTITUTE(SUBSTITUTE(SUBSTITUTE(Setup!$C$7&amp;"","{name}",IF($B84="","this employee",$B84)),"{years}",$D84),"{yearword}",IF($D84=1,"year","years")),"{company}",Setup!$C$4),IF(INDEX(Calc!$AT$6:$AT$505,Calc!$AW84),"Award ordered. Present it on the anniversary.","Order award by "&amp;TEXT(INDEX(Calc!$AU$6:$AU$505,Calc!$AW84),"mmm d, yyyy")&amp;IF(INDEX(Calc!$AU$6:$AU$505,Calc!$AW84)&lt;Setup!$C$5," (late, order today)",""))))</f>
        <v/>
      </c>
    </row>
    <row r="85" spans="1:6" x14ac:dyDescent="0.2">
      <c r="A85" s="20" t="str">
        <f ca="1">IF(Calc!$AW85="","",INT(Calc!$AV85))</f>
        <v/>
      </c>
      <c r="B85" s="21" t="str">
        <f ca="1">IF(Calc!$AW85="","",INDEX(Roster!$A$6:$A$505,Calc!$AW85)&amp;"")</f>
        <v/>
      </c>
      <c r="C85" s="21" t="str">
        <f ca="1">IF(Calc!$AW85="","",INDEX(Roster!$C$6:$C$505,Calc!$AW85)&amp;"")</f>
        <v/>
      </c>
      <c r="D85" s="19" t="str">
        <f ca="1">IF(Calc!$AW85="","",INDEX(Calc!$AP$6:$AP$505,Calc!$AW85))</f>
        <v/>
      </c>
      <c r="E85" s="21" t="str">
        <f ca="1">IF(Calc!$AW85="","",IF(INDEX(Calc!$AS$6:$AS$505,Calc!$AW85)="","Shout-out","Milestone"))</f>
        <v/>
      </c>
      <c r="F85" s="22" t="str">
        <f ca="1">IF(Calc!$AW85="","",IF($E85="Shout-out",SUBSTITUTE(SUBSTITUTE(SUBSTITUTE(SUBSTITUTE(Setup!$C$7&amp;"","{name}",IF($B85="","this employee",$B85)),"{years}",$D85),"{yearword}",IF($D85=1,"year","years")),"{company}",Setup!$C$4),IF(INDEX(Calc!$AT$6:$AT$505,Calc!$AW85),"Award ordered. Present it on the anniversary.","Order award by "&amp;TEXT(INDEX(Calc!$AU$6:$AU$505,Calc!$AW85),"mmm d, yyyy")&amp;IF(INDEX(Calc!$AU$6:$AU$505,Calc!$AW85)&lt;Setup!$C$5," (late, order today)",""))))</f>
        <v/>
      </c>
    </row>
    <row r="86" spans="1:6" x14ac:dyDescent="0.2">
      <c r="A86" s="20" t="str">
        <f ca="1">IF(Calc!$AW86="","",INT(Calc!$AV86))</f>
        <v/>
      </c>
      <c r="B86" s="21" t="str">
        <f ca="1">IF(Calc!$AW86="","",INDEX(Roster!$A$6:$A$505,Calc!$AW86)&amp;"")</f>
        <v/>
      </c>
      <c r="C86" s="21" t="str">
        <f ca="1">IF(Calc!$AW86="","",INDEX(Roster!$C$6:$C$505,Calc!$AW86)&amp;"")</f>
        <v/>
      </c>
      <c r="D86" s="19" t="str">
        <f ca="1">IF(Calc!$AW86="","",INDEX(Calc!$AP$6:$AP$505,Calc!$AW86))</f>
        <v/>
      </c>
      <c r="E86" s="21" t="str">
        <f ca="1">IF(Calc!$AW86="","",IF(INDEX(Calc!$AS$6:$AS$505,Calc!$AW86)="","Shout-out","Milestone"))</f>
        <v/>
      </c>
      <c r="F86" s="22" t="str">
        <f ca="1">IF(Calc!$AW86="","",IF($E86="Shout-out",SUBSTITUTE(SUBSTITUTE(SUBSTITUTE(SUBSTITUTE(Setup!$C$7&amp;"","{name}",IF($B86="","this employee",$B86)),"{years}",$D86),"{yearword}",IF($D86=1,"year","years")),"{company}",Setup!$C$4),IF(INDEX(Calc!$AT$6:$AT$505,Calc!$AW86),"Award ordered. Present it on the anniversary.","Order award by "&amp;TEXT(INDEX(Calc!$AU$6:$AU$505,Calc!$AW86),"mmm d, yyyy")&amp;IF(INDEX(Calc!$AU$6:$AU$505,Calc!$AW86)&lt;Setup!$C$5," (late, order today)",""))))</f>
        <v/>
      </c>
    </row>
    <row r="87" spans="1:6" x14ac:dyDescent="0.2">
      <c r="A87" s="20" t="str">
        <f ca="1">IF(Calc!$AW87="","",INT(Calc!$AV87))</f>
        <v/>
      </c>
      <c r="B87" s="21" t="str">
        <f ca="1">IF(Calc!$AW87="","",INDEX(Roster!$A$6:$A$505,Calc!$AW87)&amp;"")</f>
        <v/>
      </c>
      <c r="C87" s="21" t="str">
        <f ca="1">IF(Calc!$AW87="","",INDEX(Roster!$C$6:$C$505,Calc!$AW87)&amp;"")</f>
        <v/>
      </c>
      <c r="D87" s="19" t="str">
        <f ca="1">IF(Calc!$AW87="","",INDEX(Calc!$AP$6:$AP$505,Calc!$AW87))</f>
        <v/>
      </c>
      <c r="E87" s="21" t="str">
        <f ca="1">IF(Calc!$AW87="","",IF(INDEX(Calc!$AS$6:$AS$505,Calc!$AW87)="","Shout-out","Milestone"))</f>
        <v/>
      </c>
      <c r="F87" s="22" t="str">
        <f ca="1">IF(Calc!$AW87="","",IF($E87="Shout-out",SUBSTITUTE(SUBSTITUTE(SUBSTITUTE(SUBSTITUTE(Setup!$C$7&amp;"","{name}",IF($B87="","this employee",$B87)),"{years}",$D87),"{yearword}",IF($D87=1,"year","years")),"{company}",Setup!$C$4),IF(INDEX(Calc!$AT$6:$AT$505,Calc!$AW87),"Award ordered. Present it on the anniversary.","Order award by "&amp;TEXT(INDEX(Calc!$AU$6:$AU$505,Calc!$AW87),"mmm d, yyyy")&amp;IF(INDEX(Calc!$AU$6:$AU$505,Calc!$AW87)&lt;Setup!$C$5," (late, order today)",""))))</f>
        <v/>
      </c>
    </row>
    <row r="88" spans="1:6" x14ac:dyDescent="0.2">
      <c r="A88" s="20" t="str">
        <f ca="1">IF(Calc!$AW88="","",INT(Calc!$AV88))</f>
        <v/>
      </c>
      <c r="B88" s="21" t="str">
        <f ca="1">IF(Calc!$AW88="","",INDEX(Roster!$A$6:$A$505,Calc!$AW88)&amp;"")</f>
        <v/>
      </c>
      <c r="C88" s="21" t="str">
        <f ca="1">IF(Calc!$AW88="","",INDEX(Roster!$C$6:$C$505,Calc!$AW88)&amp;"")</f>
        <v/>
      </c>
      <c r="D88" s="19" t="str">
        <f ca="1">IF(Calc!$AW88="","",INDEX(Calc!$AP$6:$AP$505,Calc!$AW88))</f>
        <v/>
      </c>
      <c r="E88" s="21" t="str">
        <f ca="1">IF(Calc!$AW88="","",IF(INDEX(Calc!$AS$6:$AS$505,Calc!$AW88)="","Shout-out","Milestone"))</f>
        <v/>
      </c>
      <c r="F88" s="22" t="str">
        <f ca="1">IF(Calc!$AW88="","",IF($E88="Shout-out",SUBSTITUTE(SUBSTITUTE(SUBSTITUTE(SUBSTITUTE(Setup!$C$7&amp;"","{name}",IF($B88="","this employee",$B88)),"{years}",$D88),"{yearword}",IF($D88=1,"year","years")),"{company}",Setup!$C$4),IF(INDEX(Calc!$AT$6:$AT$505,Calc!$AW88),"Award ordered. Present it on the anniversary.","Order award by "&amp;TEXT(INDEX(Calc!$AU$6:$AU$505,Calc!$AW88),"mmm d, yyyy")&amp;IF(INDEX(Calc!$AU$6:$AU$505,Calc!$AW88)&lt;Setup!$C$5," (late, order today)",""))))</f>
        <v/>
      </c>
    </row>
    <row r="89" spans="1:6" x14ac:dyDescent="0.2">
      <c r="A89" s="20" t="str">
        <f ca="1">IF(Calc!$AW89="","",INT(Calc!$AV89))</f>
        <v/>
      </c>
      <c r="B89" s="21" t="str">
        <f ca="1">IF(Calc!$AW89="","",INDEX(Roster!$A$6:$A$505,Calc!$AW89)&amp;"")</f>
        <v/>
      </c>
      <c r="C89" s="21" t="str">
        <f ca="1">IF(Calc!$AW89="","",INDEX(Roster!$C$6:$C$505,Calc!$AW89)&amp;"")</f>
        <v/>
      </c>
      <c r="D89" s="19" t="str">
        <f ca="1">IF(Calc!$AW89="","",INDEX(Calc!$AP$6:$AP$505,Calc!$AW89))</f>
        <v/>
      </c>
      <c r="E89" s="21" t="str">
        <f ca="1">IF(Calc!$AW89="","",IF(INDEX(Calc!$AS$6:$AS$505,Calc!$AW89)="","Shout-out","Milestone"))</f>
        <v/>
      </c>
      <c r="F89" s="22" t="str">
        <f ca="1">IF(Calc!$AW89="","",IF($E89="Shout-out",SUBSTITUTE(SUBSTITUTE(SUBSTITUTE(SUBSTITUTE(Setup!$C$7&amp;"","{name}",IF($B89="","this employee",$B89)),"{years}",$D89),"{yearword}",IF($D89=1,"year","years")),"{company}",Setup!$C$4),IF(INDEX(Calc!$AT$6:$AT$505,Calc!$AW89),"Award ordered. Present it on the anniversary.","Order award by "&amp;TEXT(INDEX(Calc!$AU$6:$AU$505,Calc!$AW89),"mmm d, yyyy")&amp;IF(INDEX(Calc!$AU$6:$AU$505,Calc!$AW89)&lt;Setup!$C$5," (late, order today)",""))))</f>
        <v/>
      </c>
    </row>
    <row r="90" spans="1:6" x14ac:dyDescent="0.2">
      <c r="A90" s="20" t="str">
        <f ca="1">IF(Calc!$AW90="","",INT(Calc!$AV90))</f>
        <v/>
      </c>
      <c r="B90" s="21" t="str">
        <f ca="1">IF(Calc!$AW90="","",INDEX(Roster!$A$6:$A$505,Calc!$AW90)&amp;"")</f>
        <v/>
      </c>
      <c r="C90" s="21" t="str">
        <f ca="1">IF(Calc!$AW90="","",INDEX(Roster!$C$6:$C$505,Calc!$AW90)&amp;"")</f>
        <v/>
      </c>
      <c r="D90" s="19" t="str">
        <f ca="1">IF(Calc!$AW90="","",INDEX(Calc!$AP$6:$AP$505,Calc!$AW90))</f>
        <v/>
      </c>
      <c r="E90" s="21" t="str">
        <f ca="1">IF(Calc!$AW90="","",IF(INDEX(Calc!$AS$6:$AS$505,Calc!$AW90)="","Shout-out","Milestone"))</f>
        <v/>
      </c>
      <c r="F90" s="22" t="str">
        <f ca="1">IF(Calc!$AW90="","",IF($E90="Shout-out",SUBSTITUTE(SUBSTITUTE(SUBSTITUTE(SUBSTITUTE(Setup!$C$7&amp;"","{name}",IF($B90="","this employee",$B90)),"{years}",$D90),"{yearword}",IF($D90=1,"year","years")),"{company}",Setup!$C$4),IF(INDEX(Calc!$AT$6:$AT$505,Calc!$AW90),"Award ordered. Present it on the anniversary.","Order award by "&amp;TEXT(INDEX(Calc!$AU$6:$AU$505,Calc!$AW90),"mmm d, yyyy")&amp;IF(INDEX(Calc!$AU$6:$AU$505,Calc!$AW90)&lt;Setup!$C$5," (late, order today)",""))))</f>
        <v/>
      </c>
    </row>
    <row r="91" spans="1:6" x14ac:dyDescent="0.2">
      <c r="A91" s="20" t="str">
        <f ca="1">IF(Calc!$AW91="","",INT(Calc!$AV91))</f>
        <v/>
      </c>
      <c r="B91" s="21" t="str">
        <f ca="1">IF(Calc!$AW91="","",INDEX(Roster!$A$6:$A$505,Calc!$AW91)&amp;"")</f>
        <v/>
      </c>
      <c r="C91" s="21" t="str">
        <f ca="1">IF(Calc!$AW91="","",INDEX(Roster!$C$6:$C$505,Calc!$AW91)&amp;"")</f>
        <v/>
      </c>
      <c r="D91" s="19" t="str">
        <f ca="1">IF(Calc!$AW91="","",INDEX(Calc!$AP$6:$AP$505,Calc!$AW91))</f>
        <v/>
      </c>
      <c r="E91" s="21" t="str">
        <f ca="1">IF(Calc!$AW91="","",IF(INDEX(Calc!$AS$6:$AS$505,Calc!$AW91)="","Shout-out","Milestone"))</f>
        <v/>
      </c>
      <c r="F91" s="22" t="str">
        <f ca="1">IF(Calc!$AW91="","",IF($E91="Shout-out",SUBSTITUTE(SUBSTITUTE(SUBSTITUTE(SUBSTITUTE(Setup!$C$7&amp;"","{name}",IF($B91="","this employee",$B91)),"{years}",$D91),"{yearword}",IF($D91=1,"year","years")),"{company}",Setup!$C$4),IF(INDEX(Calc!$AT$6:$AT$505,Calc!$AW91),"Award ordered. Present it on the anniversary.","Order award by "&amp;TEXT(INDEX(Calc!$AU$6:$AU$505,Calc!$AW91),"mmm d, yyyy")&amp;IF(INDEX(Calc!$AU$6:$AU$505,Calc!$AW91)&lt;Setup!$C$5," (late, order today)",""))))</f>
        <v/>
      </c>
    </row>
    <row r="92" spans="1:6" x14ac:dyDescent="0.2">
      <c r="A92" s="20" t="str">
        <f ca="1">IF(Calc!$AW92="","",INT(Calc!$AV92))</f>
        <v/>
      </c>
      <c r="B92" s="21" t="str">
        <f ca="1">IF(Calc!$AW92="","",INDEX(Roster!$A$6:$A$505,Calc!$AW92)&amp;"")</f>
        <v/>
      </c>
      <c r="C92" s="21" t="str">
        <f ca="1">IF(Calc!$AW92="","",INDEX(Roster!$C$6:$C$505,Calc!$AW92)&amp;"")</f>
        <v/>
      </c>
      <c r="D92" s="19" t="str">
        <f ca="1">IF(Calc!$AW92="","",INDEX(Calc!$AP$6:$AP$505,Calc!$AW92))</f>
        <v/>
      </c>
      <c r="E92" s="21" t="str">
        <f ca="1">IF(Calc!$AW92="","",IF(INDEX(Calc!$AS$6:$AS$505,Calc!$AW92)="","Shout-out","Milestone"))</f>
        <v/>
      </c>
      <c r="F92" s="22" t="str">
        <f ca="1">IF(Calc!$AW92="","",IF($E92="Shout-out",SUBSTITUTE(SUBSTITUTE(SUBSTITUTE(SUBSTITUTE(Setup!$C$7&amp;"","{name}",IF($B92="","this employee",$B92)),"{years}",$D92),"{yearword}",IF($D92=1,"year","years")),"{company}",Setup!$C$4),IF(INDEX(Calc!$AT$6:$AT$505,Calc!$AW92),"Award ordered. Present it on the anniversary.","Order award by "&amp;TEXT(INDEX(Calc!$AU$6:$AU$505,Calc!$AW92),"mmm d, yyyy")&amp;IF(INDEX(Calc!$AU$6:$AU$505,Calc!$AW92)&lt;Setup!$C$5," (late, order today)",""))))</f>
        <v/>
      </c>
    </row>
    <row r="93" spans="1:6" x14ac:dyDescent="0.2">
      <c r="A93" s="20" t="str">
        <f ca="1">IF(Calc!$AW93="","",INT(Calc!$AV93))</f>
        <v/>
      </c>
      <c r="B93" s="21" t="str">
        <f ca="1">IF(Calc!$AW93="","",INDEX(Roster!$A$6:$A$505,Calc!$AW93)&amp;"")</f>
        <v/>
      </c>
      <c r="C93" s="21" t="str">
        <f ca="1">IF(Calc!$AW93="","",INDEX(Roster!$C$6:$C$505,Calc!$AW93)&amp;"")</f>
        <v/>
      </c>
      <c r="D93" s="19" t="str">
        <f ca="1">IF(Calc!$AW93="","",INDEX(Calc!$AP$6:$AP$505,Calc!$AW93))</f>
        <v/>
      </c>
      <c r="E93" s="21" t="str">
        <f ca="1">IF(Calc!$AW93="","",IF(INDEX(Calc!$AS$6:$AS$505,Calc!$AW93)="","Shout-out","Milestone"))</f>
        <v/>
      </c>
      <c r="F93" s="22" t="str">
        <f ca="1">IF(Calc!$AW93="","",IF($E93="Shout-out",SUBSTITUTE(SUBSTITUTE(SUBSTITUTE(SUBSTITUTE(Setup!$C$7&amp;"","{name}",IF($B93="","this employee",$B93)),"{years}",$D93),"{yearword}",IF($D93=1,"year","years")),"{company}",Setup!$C$4),IF(INDEX(Calc!$AT$6:$AT$505,Calc!$AW93),"Award ordered. Present it on the anniversary.","Order award by "&amp;TEXT(INDEX(Calc!$AU$6:$AU$505,Calc!$AW93),"mmm d, yyyy")&amp;IF(INDEX(Calc!$AU$6:$AU$505,Calc!$AW93)&lt;Setup!$C$5," (late, order today)",""))))</f>
        <v/>
      </c>
    </row>
    <row r="94" spans="1:6" x14ac:dyDescent="0.2">
      <c r="A94" s="20" t="str">
        <f ca="1">IF(Calc!$AW94="","",INT(Calc!$AV94))</f>
        <v/>
      </c>
      <c r="B94" s="21" t="str">
        <f ca="1">IF(Calc!$AW94="","",INDEX(Roster!$A$6:$A$505,Calc!$AW94)&amp;"")</f>
        <v/>
      </c>
      <c r="C94" s="21" t="str">
        <f ca="1">IF(Calc!$AW94="","",INDEX(Roster!$C$6:$C$505,Calc!$AW94)&amp;"")</f>
        <v/>
      </c>
      <c r="D94" s="19" t="str">
        <f ca="1">IF(Calc!$AW94="","",INDEX(Calc!$AP$6:$AP$505,Calc!$AW94))</f>
        <v/>
      </c>
      <c r="E94" s="21" t="str">
        <f ca="1">IF(Calc!$AW94="","",IF(INDEX(Calc!$AS$6:$AS$505,Calc!$AW94)="","Shout-out","Milestone"))</f>
        <v/>
      </c>
      <c r="F94" s="22" t="str">
        <f ca="1">IF(Calc!$AW94="","",IF($E94="Shout-out",SUBSTITUTE(SUBSTITUTE(SUBSTITUTE(SUBSTITUTE(Setup!$C$7&amp;"","{name}",IF($B94="","this employee",$B94)),"{years}",$D94),"{yearword}",IF($D94=1,"year","years")),"{company}",Setup!$C$4),IF(INDEX(Calc!$AT$6:$AT$505,Calc!$AW94),"Award ordered. Present it on the anniversary.","Order award by "&amp;TEXT(INDEX(Calc!$AU$6:$AU$505,Calc!$AW94),"mmm d, yyyy")&amp;IF(INDEX(Calc!$AU$6:$AU$505,Calc!$AW94)&lt;Setup!$C$5," (late, order today)",""))))</f>
        <v/>
      </c>
    </row>
    <row r="95" spans="1:6" x14ac:dyDescent="0.2">
      <c r="A95" s="20" t="str">
        <f ca="1">IF(Calc!$AW95="","",INT(Calc!$AV95))</f>
        <v/>
      </c>
      <c r="B95" s="21" t="str">
        <f ca="1">IF(Calc!$AW95="","",INDEX(Roster!$A$6:$A$505,Calc!$AW95)&amp;"")</f>
        <v/>
      </c>
      <c r="C95" s="21" t="str">
        <f ca="1">IF(Calc!$AW95="","",INDEX(Roster!$C$6:$C$505,Calc!$AW95)&amp;"")</f>
        <v/>
      </c>
      <c r="D95" s="19" t="str">
        <f ca="1">IF(Calc!$AW95="","",INDEX(Calc!$AP$6:$AP$505,Calc!$AW95))</f>
        <v/>
      </c>
      <c r="E95" s="21" t="str">
        <f ca="1">IF(Calc!$AW95="","",IF(INDEX(Calc!$AS$6:$AS$505,Calc!$AW95)="","Shout-out","Milestone"))</f>
        <v/>
      </c>
      <c r="F95" s="22" t="str">
        <f ca="1">IF(Calc!$AW95="","",IF($E95="Shout-out",SUBSTITUTE(SUBSTITUTE(SUBSTITUTE(SUBSTITUTE(Setup!$C$7&amp;"","{name}",IF($B95="","this employee",$B95)),"{years}",$D95),"{yearword}",IF($D95=1,"year","years")),"{company}",Setup!$C$4),IF(INDEX(Calc!$AT$6:$AT$505,Calc!$AW95),"Award ordered. Present it on the anniversary.","Order award by "&amp;TEXT(INDEX(Calc!$AU$6:$AU$505,Calc!$AW95),"mmm d, yyyy")&amp;IF(INDEX(Calc!$AU$6:$AU$505,Calc!$AW95)&lt;Setup!$C$5," (late, order today)",""))))</f>
        <v/>
      </c>
    </row>
    <row r="96" spans="1:6" x14ac:dyDescent="0.2">
      <c r="A96" s="20" t="str">
        <f ca="1">IF(Calc!$AW96="","",INT(Calc!$AV96))</f>
        <v/>
      </c>
      <c r="B96" s="21" t="str">
        <f ca="1">IF(Calc!$AW96="","",INDEX(Roster!$A$6:$A$505,Calc!$AW96)&amp;"")</f>
        <v/>
      </c>
      <c r="C96" s="21" t="str">
        <f ca="1">IF(Calc!$AW96="","",INDEX(Roster!$C$6:$C$505,Calc!$AW96)&amp;"")</f>
        <v/>
      </c>
      <c r="D96" s="19" t="str">
        <f ca="1">IF(Calc!$AW96="","",INDEX(Calc!$AP$6:$AP$505,Calc!$AW96))</f>
        <v/>
      </c>
      <c r="E96" s="21" t="str">
        <f ca="1">IF(Calc!$AW96="","",IF(INDEX(Calc!$AS$6:$AS$505,Calc!$AW96)="","Shout-out","Milestone"))</f>
        <v/>
      </c>
      <c r="F96" s="22" t="str">
        <f ca="1">IF(Calc!$AW96="","",IF($E96="Shout-out",SUBSTITUTE(SUBSTITUTE(SUBSTITUTE(SUBSTITUTE(Setup!$C$7&amp;"","{name}",IF($B96="","this employee",$B96)),"{years}",$D96),"{yearword}",IF($D96=1,"year","years")),"{company}",Setup!$C$4),IF(INDEX(Calc!$AT$6:$AT$505,Calc!$AW96),"Award ordered. Present it on the anniversary.","Order award by "&amp;TEXT(INDEX(Calc!$AU$6:$AU$505,Calc!$AW96),"mmm d, yyyy")&amp;IF(INDEX(Calc!$AU$6:$AU$505,Calc!$AW96)&lt;Setup!$C$5," (late, order today)",""))))</f>
        <v/>
      </c>
    </row>
    <row r="97" spans="1:6" x14ac:dyDescent="0.2">
      <c r="A97" s="20" t="str">
        <f ca="1">IF(Calc!$AW97="","",INT(Calc!$AV97))</f>
        <v/>
      </c>
      <c r="B97" s="21" t="str">
        <f ca="1">IF(Calc!$AW97="","",INDEX(Roster!$A$6:$A$505,Calc!$AW97)&amp;"")</f>
        <v/>
      </c>
      <c r="C97" s="21" t="str">
        <f ca="1">IF(Calc!$AW97="","",INDEX(Roster!$C$6:$C$505,Calc!$AW97)&amp;"")</f>
        <v/>
      </c>
      <c r="D97" s="19" t="str">
        <f ca="1">IF(Calc!$AW97="","",INDEX(Calc!$AP$6:$AP$505,Calc!$AW97))</f>
        <v/>
      </c>
      <c r="E97" s="21" t="str">
        <f ca="1">IF(Calc!$AW97="","",IF(INDEX(Calc!$AS$6:$AS$505,Calc!$AW97)="","Shout-out","Milestone"))</f>
        <v/>
      </c>
      <c r="F97" s="22" t="str">
        <f ca="1">IF(Calc!$AW97="","",IF($E97="Shout-out",SUBSTITUTE(SUBSTITUTE(SUBSTITUTE(SUBSTITUTE(Setup!$C$7&amp;"","{name}",IF($B97="","this employee",$B97)),"{years}",$D97),"{yearword}",IF($D97=1,"year","years")),"{company}",Setup!$C$4),IF(INDEX(Calc!$AT$6:$AT$505,Calc!$AW97),"Award ordered. Present it on the anniversary.","Order award by "&amp;TEXT(INDEX(Calc!$AU$6:$AU$505,Calc!$AW97),"mmm d, yyyy")&amp;IF(INDEX(Calc!$AU$6:$AU$505,Calc!$AW97)&lt;Setup!$C$5," (late, order today)",""))))</f>
        <v/>
      </c>
    </row>
    <row r="98" spans="1:6" x14ac:dyDescent="0.2">
      <c r="A98" s="20" t="str">
        <f ca="1">IF(Calc!$AW98="","",INT(Calc!$AV98))</f>
        <v/>
      </c>
      <c r="B98" s="21" t="str">
        <f ca="1">IF(Calc!$AW98="","",INDEX(Roster!$A$6:$A$505,Calc!$AW98)&amp;"")</f>
        <v/>
      </c>
      <c r="C98" s="21" t="str">
        <f ca="1">IF(Calc!$AW98="","",INDEX(Roster!$C$6:$C$505,Calc!$AW98)&amp;"")</f>
        <v/>
      </c>
      <c r="D98" s="19" t="str">
        <f ca="1">IF(Calc!$AW98="","",INDEX(Calc!$AP$6:$AP$505,Calc!$AW98))</f>
        <v/>
      </c>
      <c r="E98" s="21" t="str">
        <f ca="1">IF(Calc!$AW98="","",IF(INDEX(Calc!$AS$6:$AS$505,Calc!$AW98)="","Shout-out","Milestone"))</f>
        <v/>
      </c>
      <c r="F98" s="22" t="str">
        <f ca="1">IF(Calc!$AW98="","",IF($E98="Shout-out",SUBSTITUTE(SUBSTITUTE(SUBSTITUTE(SUBSTITUTE(Setup!$C$7&amp;"","{name}",IF($B98="","this employee",$B98)),"{years}",$D98),"{yearword}",IF($D98=1,"year","years")),"{company}",Setup!$C$4),IF(INDEX(Calc!$AT$6:$AT$505,Calc!$AW98),"Award ordered. Present it on the anniversary.","Order award by "&amp;TEXT(INDEX(Calc!$AU$6:$AU$505,Calc!$AW98),"mmm d, yyyy")&amp;IF(INDEX(Calc!$AU$6:$AU$505,Calc!$AW98)&lt;Setup!$C$5," (late, order today)",""))))</f>
        <v/>
      </c>
    </row>
    <row r="99" spans="1:6" x14ac:dyDescent="0.2">
      <c r="A99" s="20" t="str">
        <f ca="1">IF(Calc!$AW99="","",INT(Calc!$AV99))</f>
        <v/>
      </c>
      <c r="B99" s="21" t="str">
        <f ca="1">IF(Calc!$AW99="","",INDEX(Roster!$A$6:$A$505,Calc!$AW99)&amp;"")</f>
        <v/>
      </c>
      <c r="C99" s="21" t="str">
        <f ca="1">IF(Calc!$AW99="","",INDEX(Roster!$C$6:$C$505,Calc!$AW99)&amp;"")</f>
        <v/>
      </c>
      <c r="D99" s="19" t="str">
        <f ca="1">IF(Calc!$AW99="","",INDEX(Calc!$AP$6:$AP$505,Calc!$AW99))</f>
        <v/>
      </c>
      <c r="E99" s="21" t="str">
        <f ca="1">IF(Calc!$AW99="","",IF(INDEX(Calc!$AS$6:$AS$505,Calc!$AW99)="","Shout-out","Milestone"))</f>
        <v/>
      </c>
      <c r="F99" s="22" t="str">
        <f ca="1">IF(Calc!$AW99="","",IF($E99="Shout-out",SUBSTITUTE(SUBSTITUTE(SUBSTITUTE(SUBSTITUTE(Setup!$C$7&amp;"","{name}",IF($B99="","this employee",$B99)),"{years}",$D99),"{yearword}",IF($D99=1,"year","years")),"{company}",Setup!$C$4),IF(INDEX(Calc!$AT$6:$AT$505,Calc!$AW99),"Award ordered. Present it on the anniversary.","Order award by "&amp;TEXT(INDEX(Calc!$AU$6:$AU$505,Calc!$AW99),"mmm d, yyyy")&amp;IF(INDEX(Calc!$AU$6:$AU$505,Calc!$AW99)&lt;Setup!$C$5," (late, order today)",""))))</f>
        <v/>
      </c>
    </row>
    <row r="100" spans="1:6" x14ac:dyDescent="0.2">
      <c r="A100" s="20" t="str">
        <f ca="1">IF(Calc!$AW100="","",INT(Calc!$AV100))</f>
        <v/>
      </c>
      <c r="B100" s="21" t="str">
        <f ca="1">IF(Calc!$AW100="","",INDEX(Roster!$A$6:$A$505,Calc!$AW100)&amp;"")</f>
        <v/>
      </c>
      <c r="C100" s="21" t="str">
        <f ca="1">IF(Calc!$AW100="","",INDEX(Roster!$C$6:$C$505,Calc!$AW100)&amp;"")</f>
        <v/>
      </c>
      <c r="D100" s="19" t="str">
        <f ca="1">IF(Calc!$AW100="","",INDEX(Calc!$AP$6:$AP$505,Calc!$AW100))</f>
        <v/>
      </c>
      <c r="E100" s="21" t="str">
        <f ca="1">IF(Calc!$AW100="","",IF(INDEX(Calc!$AS$6:$AS$505,Calc!$AW100)="","Shout-out","Milestone"))</f>
        <v/>
      </c>
      <c r="F100" s="22" t="str">
        <f ca="1">IF(Calc!$AW100="","",IF($E100="Shout-out",SUBSTITUTE(SUBSTITUTE(SUBSTITUTE(SUBSTITUTE(Setup!$C$7&amp;"","{name}",IF($B100="","this employee",$B100)),"{years}",$D100),"{yearword}",IF($D100=1,"year","years")),"{company}",Setup!$C$4),IF(INDEX(Calc!$AT$6:$AT$505,Calc!$AW100),"Award ordered. Present it on the anniversary.","Order award by "&amp;TEXT(INDEX(Calc!$AU$6:$AU$505,Calc!$AW100),"mmm d, yyyy")&amp;IF(INDEX(Calc!$AU$6:$AU$505,Calc!$AW100)&lt;Setup!$C$5," (late, order today)",""))))</f>
        <v/>
      </c>
    </row>
    <row r="101" spans="1:6" x14ac:dyDescent="0.2">
      <c r="A101" s="20" t="str">
        <f ca="1">IF(Calc!$AW101="","",INT(Calc!$AV101))</f>
        <v/>
      </c>
      <c r="B101" s="21" t="str">
        <f ca="1">IF(Calc!$AW101="","",INDEX(Roster!$A$6:$A$505,Calc!$AW101)&amp;"")</f>
        <v/>
      </c>
      <c r="C101" s="21" t="str">
        <f ca="1">IF(Calc!$AW101="","",INDEX(Roster!$C$6:$C$505,Calc!$AW101)&amp;"")</f>
        <v/>
      </c>
      <c r="D101" s="19" t="str">
        <f ca="1">IF(Calc!$AW101="","",INDEX(Calc!$AP$6:$AP$505,Calc!$AW101))</f>
        <v/>
      </c>
      <c r="E101" s="21" t="str">
        <f ca="1">IF(Calc!$AW101="","",IF(INDEX(Calc!$AS$6:$AS$505,Calc!$AW101)="","Shout-out","Milestone"))</f>
        <v/>
      </c>
      <c r="F101" s="22" t="str">
        <f ca="1">IF(Calc!$AW101="","",IF($E101="Shout-out",SUBSTITUTE(SUBSTITUTE(SUBSTITUTE(SUBSTITUTE(Setup!$C$7&amp;"","{name}",IF($B101="","this employee",$B101)),"{years}",$D101),"{yearword}",IF($D101=1,"year","years")),"{company}",Setup!$C$4),IF(INDEX(Calc!$AT$6:$AT$505,Calc!$AW101),"Award ordered. Present it on the anniversary.","Order award by "&amp;TEXT(INDEX(Calc!$AU$6:$AU$505,Calc!$AW101),"mmm d, yyyy")&amp;IF(INDEX(Calc!$AU$6:$AU$505,Calc!$AW101)&lt;Setup!$C$5," (late, order today)",""))))</f>
        <v/>
      </c>
    </row>
    <row r="102" spans="1:6" x14ac:dyDescent="0.2">
      <c r="A102" s="20" t="str">
        <f ca="1">IF(Calc!$AW102="","",INT(Calc!$AV102))</f>
        <v/>
      </c>
      <c r="B102" s="21" t="str">
        <f ca="1">IF(Calc!$AW102="","",INDEX(Roster!$A$6:$A$505,Calc!$AW102)&amp;"")</f>
        <v/>
      </c>
      <c r="C102" s="21" t="str">
        <f ca="1">IF(Calc!$AW102="","",INDEX(Roster!$C$6:$C$505,Calc!$AW102)&amp;"")</f>
        <v/>
      </c>
      <c r="D102" s="19" t="str">
        <f ca="1">IF(Calc!$AW102="","",INDEX(Calc!$AP$6:$AP$505,Calc!$AW102))</f>
        <v/>
      </c>
      <c r="E102" s="21" t="str">
        <f ca="1">IF(Calc!$AW102="","",IF(INDEX(Calc!$AS$6:$AS$505,Calc!$AW102)="","Shout-out","Milestone"))</f>
        <v/>
      </c>
      <c r="F102" s="22" t="str">
        <f ca="1">IF(Calc!$AW102="","",IF($E102="Shout-out",SUBSTITUTE(SUBSTITUTE(SUBSTITUTE(SUBSTITUTE(Setup!$C$7&amp;"","{name}",IF($B102="","this employee",$B102)),"{years}",$D102),"{yearword}",IF($D102=1,"year","years")),"{company}",Setup!$C$4),IF(INDEX(Calc!$AT$6:$AT$505,Calc!$AW102),"Award ordered. Present it on the anniversary.","Order award by "&amp;TEXT(INDEX(Calc!$AU$6:$AU$505,Calc!$AW102),"mmm d, yyyy")&amp;IF(INDEX(Calc!$AU$6:$AU$505,Calc!$AW102)&lt;Setup!$C$5," (late, order today)",""))))</f>
        <v/>
      </c>
    </row>
    <row r="103" spans="1:6" x14ac:dyDescent="0.2">
      <c r="A103" s="20" t="str">
        <f ca="1">IF(Calc!$AW103="","",INT(Calc!$AV103))</f>
        <v/>
      </c>
      <c r="B103" s="21" t="str">
        <f ca="1">IF(Calc!$AW103="","",INDEX(Roster!$A$6:$A$505,Calc!$AW103)&amp;"")</f>
        <v/>
      </c>
      <c r="C103" s="21" t="str">
        <f ca="1">IF(Calc!$AW103="","",INDEX(Roster!$C$6:$C$505,Calc!$AW103)&amp;"")</f>
        <v/>
      </c>
      <c r="D103" s="19" t="str">
        <f ca="1">IF(Calc!$AW103="","",INDEX(Calc!$AP$6:$AP$505,Calc!$AW103))</f>
        <v/>
      </c>
      <c r="E103" s="21" t="str">
        <f ca="1">IF(Calc!$AW103="","",IF(INDEX(Calc!$AS$6:$AS$505,Calc!$AW103)="","Shout-out","Milestone"))</f>
        <v/>
      </c>
      <c r="F103" s="22" t="str">
        <f ca="1">IF(Calc!$AW103="","",IF($E103="Shout-out",SUBSTITUTE(SUBSTITUTE(SUBSTITUTE(SUBSTITUTE(Setup!$C$7&amp;"","{name}",IF($B103="","this employee",$B103)),"{years}",$D103),"{yearword}",IF($D103=1,"year","years")),"{company}",Setup!$C$4),IF(INDEX(Calc!$AT$6:$AT$505,Calc!$AW103),"Award ordered. Present it on the anniversary.","Order award by "&amp;TEXT(INDEX(Calc!$AU$6:$AU$505,Calc!$AW103),"mmm d, yyyy")&amp;IF(INDEX(Calc!$AU$6:$AU$505,Calc!$AW103)&lt;Setup!$C$5," (late, order today)",""))))</f>
        <v/>
      </c>
    </row>
    <row r="104" spans="1:6" x14ac:dyDescent="0.2">
      <c r="A104" s="20" t="str">
        <f ca="1">IF(Calc!$AW104="","",INT(Calc!$AV104))</f>
        <v/>
      </c>
      <c r="B104" s="21" t="str">
        <f ca="1">IF(Calc!$AW104="","",INDEX(Roster!$A$6:$A$505,Calc!$AW104)&amp;"")</f>
        <v/>
      </c>
      <c r="C104" s="21" t="str">
        <f ca="1">IF(Calc!$AW104="","",INDEX(Roster!$C$6:$C$505,Calc!$AW104)&amp;"")</f>
        <v/>
      </c>
      <c r="D104" s="19" t="str">
        <f ca="1">IF(Calc!$AW104="","",INDEX(Calc!$AP$6:$AP$505,Calc!$AW104))</f>
        <v/>
      </c>
      <c r="E104" s="21" t="str">
        <f ca="1">IF(Calc!$AW104="","",IF(INDEX(Calc!$AS$6:$AS$505,Calc!$AW104)="","Shout-out","Milestone"))</f>
        <v/>
      </c>
      <c r="F104" s="22" t="str">
        <f ca="1">IF(Calc!$AW104="","",IF($E104="Shout-out",SUBSTITUTE(SUBSTITUTE(SUBSTITUTE(SUBSTITUTE(Setup!$C$7&amp;"","{name}",IF($B104="","this employee",$B104)),"{years}",$D104),"{yearword}",IF($D104=1,"year","years")),"{company}",Setup!$C$4),IF(INDEX(Calc!$AT$6:$AT$505,Calc!$AW104),"Award ordered. Present it on the anniversary.","Order award by "&amp;TEXT(INDEX(Calc!$AU$6:$AU$505,Calc!$AW104),"mmm d, yyyy")&amp;IF(INDEX(Calc!$AU$6:$AU$505,Calc!$AW104)&lt;Setup!$C$5," (late, order today)",""))))</f>
        <v/>
      </c>
    </row>
    <row r="105" spans="1:6" x14ac:dyDescent="0.2">
      <c r="A105" s="20" t="str">
        <f ca="1">IF(Calc!$AW105="","",INT(Calc!$AV105))</f>
        <v/>
      </c>
      <c r="B105" s="21" t="str">
        <f ca="1">IF(Calc!$AW105="","",INDEX(Roster!$A$6:$A$505,Calc!$AW105)&amp;"")</f>
        <v/>
      </c>
      <c r="C105" s="21" t="str">
        <f ca="1">IF(Calc!$AW105="","",INDEX(Roster!$C$6:$C$505,Calc!$AW105)&amp;"")</f>
        <v/>
      </c>
      <c r="D105" s="19" t="str">
        <f ca="1">IF(Calc!$AW105="","",INDEX(Calc!$AP$6:$AP$505,Calc!$AW105))</f>
        <v/>
      </c>
      <c r="E105" s="21" t="str">
        <f ca="1">IF(Calc!$AW105="","",IF(INDEX(Calc!$AS$6:$AS$505,Calc!$AW105)="","Shout-out","Milestone"))</f>
        <v/>
      </c>
      <c r="F105" s="22" t="str">
        <f ca="1">IF(Calc!$AW105="","",IF($E105="Shout-out",SUBSTITUTE(SUBSTITUTE(SUBSTITUTE(SUBSTITUTE(Setup!$C$7&amp;"","{name}",IF($B105="","this employee",$B105)),"{years}",$D105),"{yearword}",IF($D105=1,"year","years")),"{company}",Setup!$C$4),IF(INDEX(Calc!$AT$6:$AT$505,Calc!$AW105),"Award ordered. Present it on the anniversary.","Order award by "&amp;TEXT(INDEX(Calc!$AU$6:$AU$505,Calc!$AW105),"mmm d, yyyy")&amp;IF(INDEX(Calc!$AU$6:$AU$505,Calc!$AW105)&lt;Setup!$C$5," (late, order today)",""))))</f>
        <v/>
      </c>
    </row>
    <row r="106" spans="1:6" x14ac:dyDescent="0.2">
      <c r="A106" s="20" t="str">
        <f ca="1">IF(Calc!$AW106="","",INT(Calc!$AV106))</f>
        <v/>
      </c>
      <c r="B106" s="21" t="str">
        <f ca="1">IF(Calc!$AW106="","",INDEX(Roster!$A$6:$A$505,Calc!$AW106)&amp;"")</f>
        <v/>
      </c>
      <c r="C106" s="21" t="str">
        <f ca="1">IF(Calc!$AW106="","",INDEX(Roster!$C$6:$C$505,Calc!$AW106)&amp;"")</f>
        <v/>
      </c>
      <c r="D106" s="19" t="str">
        <f ca="1">IF(Calc!$AW106="","",INDEX(Calc!$AP$6:$AP$505,Calc!$AW106))</f>
        <v/>
      </c>
      <c r="E106" s="21" t="str">
        <f ca="1">IF(Calc!$AW106="","",IF(INDEX(Calc!$AS$6:$AS$505,Calc!$AW106)="","Shout-out","Milestone"))</f>
        <v/>
      </c>
      <c r="F106" s="22" t="str">
        <f ca="1">IF(Calc!$AW106="","",IF($E106="Shout-out",SUBSTITUTE(SUBSTITUTE(SUBSTITUTE(SUBSTITUTE(Setup!$C$7&amp;"","{name}",IF($B106="","this employee",$B106)),"{years}",$D106),"{yearword}",IF($D106=1,"year","years")),"{company}",Setup!$C$4),IF(INDEX(Calc!$AT$6:$AT$505,Calc!$AW106),"Award ordered. Present it on the anniversary.","Order award by "&amp;TEXT(INDEX(Calc!$AU$6:$AU$505,Calc!$AW106),"mmm d, yyyy")&amp;IF(INDEX(Calc!$AU$6:$AU$505,Calc!$AW106)&lt;Setup!$C$5," (late, order today)",""))))</f>
        <v/>
      </c>
    </row>
    <row r="107" spans="1:6" x14ac:dyDescent="0.2">
      <c r="A107" s="20" t="str">
        <f ca="1">IF(Calc!$AW107="","",INT(Calc!$AV107))</f>
        <v/>
      </c>
      <c r="B107" s="21" t="str">
        <f ca="1">IF(Calc!$AW107="","",INDEX(Roster!$A$6:$A$505,Calc!$AW107)&amp;"")</f>
        <v/>
      </c>
      <c r="C107" s="21" t="str">
        <f ca="1">IF(Calc!$AW107="","",INDEX(Roster!$C$6:$C$505,Calc!$AW107)&amp;"")</f>
        <v/>
      </c>
      <c r="D107" s="19" t="str">
        <f ca="1">IF(Calc!$AW107="","",INDEX(Calc!$AP$6:$AP$505,Calc!$AW107))</f>
        <v/>
      </c>
      <c r="E107" s="21" t="str">
        <f ca="1">IF(Calc!$AW107="","",IF(INDEX(Calc!$AS$6:$AS$505,Calc!$AW107)="","Shout-out","Milestone"))</f>
        <v/>
      </c>
      <c r="F107" s="22" t="str">
        <f ca="1">IF(Calc!$AW107="","",IF($E107="Shout-out",SUBSTITUTE(SUBSTITUTE(SUBSTITUTE(SUBSTITUTE(Setup!$C$7&amp;"","{name}",IF($B107="","this employee",$B107)),"{years}",$D107),"{yearword}",IF($D107=1,"year","years")),"{company}",Setup!$C$4),IF(INDEX(Calc!$AT$6:$AT$505,Calc!$AW107),"Award ordered. Present it on the anniversary.","Order award by "&amp;TEXT(INDEX(Calc!$AU$6:$AU$505,Calc!$AW107),"mmm d, yyyy")&amp;IF(INDEX(Calc!$AU$6:$AU$505,Calc!$AW107)&lt;Setup!$C$5," (late, order today)",""))))</f>
        <v/>
      </c>
    </row>
    <row r="108" spans="1:6" x14ac:dyDescent="0.2">
      <c r="A108" s="20" t="str">
        <f ca="1">IF(Calc!$AW108="","",INT(Calc!$AV108))</f>
        <v/>
      </c>
      <c r="B108" s="21" t="str">
        <f ca="1">IF(Calc!$AW108="","",INDEX(Roster!$A$6:$A$505,Calc!$AW108)&amp;"")</f>
        <v/>
      </c>
      <c r="C108" s="21" t="str">
        <f ca="1">IF(Calc!$AW108="","",INDEX(Roster!$C$6:$C$505,Calc!$AW108)&amp;"")</f>
        <v/>
      </c>
      <c r="D108" s="19" t="str">
        <f ca="1">IF(Calc!$AW108="","",INDEX(Calc!$AP$6:$AP$505,Calc!$AW108))</f>
        <v/>
      </c>
      <c r="E108" s="21" t="str">
        <f ca="1">IF(Calc!$AW108="","",IF(INDEX(Calc!$AS$6:$AS$505,Calc!$AW108)="","Shout-out","Milestone"))</f>
        <v/>
      </c>
      <c r="F108" s="22" t="str">
        <f ca="1">IF(Calc!$AW108="","",IF($E108="Shout-out",SUBSTITUTE(SUBSTITUTE(SUBSTITUTE(SUBSTITUTE(Setup!$C$7&amp;"","{name}",IF($B108="","this employee",$B108)),"{years}",$D108),"{yearword}",IF($D108=1,"year","years")),"{company}",Setup!$C$4),IF(INDEX(Calc!$AT$6:$AT$505,Calc!$AW108),"Award ordered. Present it on the anniversary.","Order award by "&amp;TEXT(INDEX(Calc!$AU$6:$AU$505,Calc!$AW108),"mmm d, yyyy")&amp;IF(INDEX(Calc!$AU$6:$AU$505,Calc!$AW108)&lt;Setup!$C$5," (late, order today)",""))))</f>
        <v/>
      </c>
    </row>
    <row r="109" spans="1:6" x14ac:dyDescent="0.2">
      <c r="A109" s="20" t="str">
        <f ca="1">IF(Calc!$AW109="","",INT(Calc!$AV109))</f>
        <v/>
      </c>
      <c r="B109" s="21" t="str">
        <f ca="1">IF(Calc!$AW109="","",INDEX(Roster!$A$6:$A$505,Calc!$AW109)&amp;"")</f>
        <v/>
      </c>
      <c r="C109" s="21" t="str">
        <f ca="1">IF(Calc!$AW109="","",INDEX(Roster!$C$6:$C$505,Calc!$AW109)&amp;"")</f>
        <v/>
      </c>
      <c r="D109" s="19" t="str">
        <f ca="1">IF(Calc!$AW109="","",INDEX(Calc!$AP$6:$AP$505,Calc!$AW109))</f>
        <v/>
      </c>
      <c r="E109" s="21" t="str">
        <f ca="1">IF(Calc!$AW109="","",IF(INDEX(Calc!$AS$6:$AS$505,Calc!$AW109)="","Shout-out","Milestone"))</f>
        <v/>
      </c>
      <c r="F109" s="22" t="str">
        <f ca="1">IF(Calc!$AW109="","",IF($E109="Shout-out",SUBSTITUTE(SUBSTITUTE(SUBSTITUTE(SUBSTITUTE(Setup!$C$7&amp;"","{name}",IF($B109="","this employee",$B109)),"{years}",$D109),"{yearword}",IF($D109=1,"year","years")),"{company}",Setup!$C$4),IF(INDEX(Calc!$AT$6:$AT$505,Calc!$AW109),"Award ordered. Present it on the anniversary.","Order award by "&amp;TEXT(INDEX(Calc!$AU$6:$AU$505,Calc!$AW109),"mmm d, yyyy")&amp;IF(INDEX(Calc!$AU$6:$AU$505,Calc!$AW109)&lt;Setup!$C$5," (late, order today)",""))))</f>
        <v/>
      </c>
    </row>
    <row r="110" spans="1:6" x14ac:dyDescent="0.2">
      <c r="A110" s="20" t="str">
        <f ca="1">IF(Calc!$AW110="","",INT(Calc!$AV110))</f>
        <v/>
      </c>
      <c r="B110" s="21" t="str">
        <f ca="1">IF(Calc!$AW110="","",INDEX(Roster!$A$6:$A$505,Calc!$AW110)&amp;"")</f>
        <v/>
      </c>
      <c r="C110" s="21" t="str">
        <f ca="1">IF(Calc!$AW110="","",INDEX(Roster!$C$6:$C$505,Calc!$AW110)&amp;"")</f>
        <v/>
      </c>
      <c r="D110" s="19" t="str">
        <f ca="1">IF(Calc!$AW110="","",INDEX(Calc!$AP$6:$AP$505,Calc!$AW110))</f>
        <v/>
      </c>
      <c r="E110" s="21" t="str">
        <f ca="1">IF(Calc!$AW110="","",IF(INDEX(Calc!$AS$6:$AS$505,Calc!$AW110)="","Shout-out","Milestone"))</f>
        <v/>
      </c>
      <c r="F110" s="22" t="str">
        <f ca="1">IF(Calc!$AW110="","",IF($E110="Shout-out",SUBSTITUTE(SUBSTITUTE(SUBSTITUTE(SUBSTITUTE(Setup!$C$7&amp;"","{name}",IF($B110="","this employee",$B110)),"{years}",$D110),"{yearword}",IF($D110=1,"year","years")),"{company}",Setup!$C$4),IF(INDEX(Calc!$AT$6:$AT$505,Calc!$AW110),"Award ordered. Present it on the anniversary.","Order award by "&amp;TEXT(INDEX(Calc!$AU$6:$AU$505,Calc!$AW110),"mmm d, yyyy")&amp;IF(INDEX(Calc!$AU$6:$AU$505,Calc!$AW110)&lt;Setup!$C$5," (late, order today)",""))))</f>
        <v/>
      </c>
    </row>
    <row r="111" spans="1:6" x14ac:dyDescent="0.2">
      <c r="A111" s="20" t="str">
        <f ca="1">IF(Calc!$AW111="","",INT(Calc!$AV111))</f>
        <v/>
      </c>
      <c r="B111" s="21" t="str">
        <f ca="1">IF(Calc!$AW111="","",INDEX(Roster!$A$6:$A$505,Calc!$AW111)&amp;"")</f>
        <v/>
      </c>
      <c r="C111" s="21" t="str">
        <f ca="1">IF(Calc!$AW111="","",INDEX(Roster!$C$6:$C$505,Calc!$AW111)&amp;"")</f>
        <v/>
      </c>
      <c r="D111" s="19" t="str">
        <f ca="1">IF(Calc!$AW111="","",INDEX(Calc!$AP$6:$AP$505,Calc!$AW111))</f>
        <v/>
      </c>
      <c r="E111" s="21" t="str">
        <f ca="1">IF(Calc!$AW111="","",IF(INDEX(Calc!$AS$6:$AS$505,Calc!$AW111)="","Shout-out","Milestone"))</f>
        <v/>
      </c>
      <c r="F111" s="22" t="str">
        <f ca="1">IF(Calc!$AW111="","",IF($E111="Shout-out",SUBSTITUTE(SUBSTITUTE(SUBSTITUTE(SUBSTITUTE(Setup!$C$7&amp;"","{name}",IF($B111="","this employee",$B111)),"{years}",$D111),"{yearword}",IF($D111=1,"year","years")),"{company}",Setup!$C$4),IF(INDEX(Calc!$AT$6:$AT$505,Calc!$AW111),"Award ordered. Present it on the anniversary.","Order award by "&amp;TEXT(INDEX(Calc!$AU$6:$AU$505,Calc!$AW111),"mmm d, yyyy")&amp;IF(INDEX(Calc!$AU$6:$AU$505,Calc!$AW111)&lt;Setup!$C$5," (late, order today)",""))))</f>
        <v/>
      </c>
    </row>
    <row r="112" spans="1:6" x14ac:dyDescent="0.2">
      <c r="A112" s="20" t="str">
        <f ca="1">IF(Calc!$AW112="","",INT(Calc!$AV112))</f>
        <v/>
      </c>
      <c r="B112" s="21" t="str">
        <f ca="1">IF(Calc!$AW112="","",INDEX(Roster!$A$6:$A$505,Calc!$AW112)&amp;"")</f>
        <v/>
      </c>
      <c r="C112" s="21" t="str">
        <f ca="1">IF(Calc!$AW112="","",INDEX(Roster!$C$6:$C$505,Calc!$AW112)&amp;"")</f>
        <v/>
      </c>
      <c r="D112" s="19" t="str">
        <f ca="1">IF(Calc!$AW112="","",INDEX(Calc!$AP$6:$AP$505,Calc!$AW112))</f>
        <v/>
      </c>
      <c r="E112" s="21" t="str">
        <f ca="1">IF(Calc!$AW112="","",IF(INDEX(Calc!$AS$6:$AS$505,Calc!$AW112)="","Shout-out","Milestone"))</f>
        <v/>
      </c>
      <c r="F112" s="22" t="str">
        <f ca="1">IF(Calc!$AW112="","",IF($E112="Shout-out",SUBSTITUTE(SUBSTITUTE(SUBSTITUTE(SUBSTITUTE(Setup!$C$7&amp;"","{name}",IF($B112="","this employee",$B112)),"{years}",$D112),"{yearword}",IF($D112=1,"year","years")),"{company}",Setup!$C$4),IF(INDEX(Calc!$AT$6:$AT$505,Calc!$AW112),"Award ordered. Present it on the anniversary.","Order award by "&amp;TEXT(INDEX(Calc!$AU$6:$AU$505,Calc!$AW112),"mmm d, yyyy")&amp;IF(INDEX(Calc!$AU$6:$AU$505,Calc!$AW112)&lt;Setup!$C$5," (late, order today)",""))))</f>
        <v/>
      </c>
    </row>
    <row r="113" spans="1:6" x14ac:dyDescent="0.2">
      <c r="A113" s="20" t="str">
        <f ca="1">IF(Calc!$AW113="","",INT(Calc!$AV113))</f>
        <v/>
      </c>
      <c r="B113" s="21" t="str">
        <f ca="1">IF(Calc!$AW113="","",INDEX(Roster!$A$6:$A$505,Calc!$AW113)&amp;"")</f>
        <v/>
      </c>
      <c r="C113" s="21" t="str">
        <f ca="1">IF(Calc!$AW113="","",INDEX(Roster!$C$6:$C$505,Calc!$AW113)&amp;"")</f>
        <v/>
      </c>
      <c r="D113" s="19" t="str">
        <f ca="1">IF(Calc!$AW113="","",INDEX(Calc!$AP$6:$AP$505,Calc!$AW113))</f>
        <v/>
      </c>
      <c r="E113" s="21" t="str">
        <f ca="1">IF(Calc!$AW113="","",IF(INDEX(Calc!$AS$6:$AS$505,Calc!$AW113)="","Shout-out","Milestone"))</f>
        <v/>
      </c>
      <c r="F113" s="22" t="str">
        <f ca="1">IF(Calc!$AW113="","",IF($E113="Shout-out",SUBSTITUTE(SUBSTITUTE(SUBSTITUTE(SUBSTITUTE(Setup!$C$7&amp;"","{name}",IF($B113="","this employee",$B113)),"{years}",$D113),"{yearword}",IF($D113=1,"year","years")),"{company}",Setup!$C$4),IF(INDEX(Calc!$AT$6:$AT$505,Calc!$AW113),"Award ordered. Present it on the anniversary.","Order award by "&amp;TEXT(INDEX(Calc!$AU$6:$AU$505,Calc!$AW113),"mmm d, yyyy")&amp;IF(INDEX(Calc!$AU$6:$AU$505,Calc!$AW113)&lt;Setup!$C$5," (late, order today)",""))))</f>
        <v/>
      </c>
    </row>
    <row r="114" spans="1:6" x14ac:dyDescent="0.2">
      <c r="A114" s="20" t="str">
        <f ca="1">IF(Calc!$AW114="","",INT(Calc!$AV114))</f>
        <v/>
      </c>
      <c r="B114" s="21" t="str">
        <f ca="1">IF(Calc!$AW114="","",INDEX(Roster!$A$6:$A$505,Calc!$AW114)&amp;"")</f>
        <v/>
      </c>
      <c r="C114" s="21" t="str">
        <f ca="1">IF(Calc!$AW114="","",INDEX(Roster!$C$6:$C$505,Calc!$AW114)&amp;"")</f>
        <v/>
      </c>
      <c r="D114" s="19" t="str">
        <f ca="1">IF(Calc!$AW114="","",INDEX(Calc!$AP$6:$AP$505,Calc!$AW114))</f>
        <v/>
      </c>
      <c r="E114" s="21" t="str">
        <f ca="1">IF(Calc!$AW114="","",IF(INDEX(Calc!$AS$6:$AS$505,Calc!$AW114)="","Shout-out","Milestone"))</f>
        <v/>
      </c>
      <c r="F114" s="22" t="str">
        <f ca="1">IF(Calc!$AW114="","",IF($E114="Shout-out",SUBSTITUTE(SUBSTITUTE(SUBSTITUTE(SUBSTITUTE(Setup!$C$7&amp;"","{name}",IF($B114="","this employee",$B114)),"{years}",$D114),"{yearword}",IF($D114=1,"year","years")),"{company}",Setup!$C$4),IF(INDEX(Calc!$AT$6:$AT$505,Calc!$AW114),"Award ordered. Present it on the anniversary.","Order award by "&amp;TEXT(INDEX(Calc!$AU$6:$AU$505,Calc!$AW114),"mmm d, yyyy")&amp;IF(INDEX(Calc!$AU$6:$AU$505,Calc!$AW114)&lt;Setup!$C$5," (late, order today)",""))))</f>
        <v/>
      </c>
    </row>
    <row r="115" spans="1:6" x14ac:dyDescent="0.2">
      <c r="A115" s="20" t="str">
        <f ca="1">IF(Calc!$AW115="","",INT(Calc!$AV115))</f>
        <v/>
      </c>
      <c r="B115" s="21" t="str">
        <f ca="1">IF(Calc!$AW115="","",INDEX(Roster!$A$6:$A$505,Calc!$AW115)&amp;"")</f>
        <v/>
      </c>
      <c r="C115" s="21" t="str">
        <f ca="1">IF(Calc!$AW115="","",INDEX(Roster!$C$6:$C$505,Calc!$AW115)&amp;"")</f>
        <v/>
      </c>
      <c r="D115" s="19" t="str">
        <f ca="1">IF(Calc!$AW115="","",INDEX(Calc!$AP$6:$AP$505,Calc!$AW115))</f>
        <v/>
      </c>
      <c r="E115" s="21" t="str">
        <f ca="1">IF(Calc!$AW115="","",IF(INDEX(Calc!$AS$6:$AS$505,Calc!$AW115)="","Shout-out","Milestone"))</f>
        <v/>
      </c>
      <c r="F115" s="22" t="str">
        <f ca="1">IF(Calc!$AW115="","",IF($E115="Shout-out",SUBSTITUTE(SUBSTITUTE(SUBSTITUTE(SUBSTITUTE(Setup!$C$7&amp;"","{name}",IF($B115="","this employee",$B115)),"{years}",$D115),"{yearword}",IF($D115=1,"year","years")),"{company}",Setup!$C$4),IF(INDEX(Calc!$AT$6:$AT$505,Calc!$AW115),"Award ordered. Present it on the anniversary.","Order award by "&amp;TEXT(INDEX(Calc!$AU$6:$AU$505,Calc!$AW115),"mmm d, yyyy")&amp;IF(INDEX(Calc!$AU$6:$AU$505,Calc!$AW115)&lt;Setup!$C$5," (late, order today)",""))))</f>
        <v/>
      </c>
    </row>
    <row r="116" spans="1:6" x14ac:dyDescent="0.2">
      <c r="A116" s="20" t="str">
        <f ca="1">IF(Calc!$AW116="","",INT(Calc!$AV116))</f>
        <v/>
      </c>
      <c r="B116" s="21" t="str">
        <f ca="1">IF(Calc!$AW116="","",INDEX(Roster!$A$6:$A$505,Calc!$AW116)&amp;"")</f>
        <v/>
      </c>
      <c r="C116" s="21" t="str">
        <f ca="1">IF(Calc!$AW116="","",INDEX(Roster!$C$6:$C$505,Calc!$AW116)&amp;"")</f>
        <v/>
      </c>
      <c r="D116" s="19" t="str">
        <f ca="1">IF(Calc!$AW116="","",INDEX(Calc!$AP$6:$AP$505,Calc!$AW116))</f>
        <v/>
      </c>
      <c r="E116" s="21" t="str">
        <f ca="1">IF(Calc!$AW116="","",IF(INDEX(Calc!$AS$6:$AS$505,Calc!$AW116)="","Shout-out","Milestone"))</f>
        <v/>
      </c>
      <c r="F116" s="22" t="str">
        <f ca="1">IF(Calc!$AW116="","",IF($E116="Shout-out",SUBSTITUTE(SUBSTITUTE(SUBSTITUTE(SUBSTITUTE(Setup!$C$7&amp;"","{name}",IF($B116="","this employee",$B116)),"{years}",$D116),"{yearword}",IF($D116=1,"year","years")),"{company}",Setup!$C$4),IF(INDEX(Calc!$AT$6:$AT$505,Calc!$AW116),"Award ordered. Present it on the anniversary.","Order award by "&amp;TEXT(INDEX(Calc!$AU$6:$AU$505,Calc!$AW116),"mmm d, yyyy")&amp;IF(INDEX(Calc!$AU$6:$AU$505,Calc!$AW116)&lt;Setup!$C$5," (late, order today)",""))))</f>
        <v/>
      </c>
    </row>
    <row r="117" spans="1:6" x14ac:dyDescent="0.2">
      <c r="A117" s="20" t="str">
        <f ca="1">IF(Calc!$AW117="","",INT(Calc!$AV117))</f>
        <v/>
      </c>
      <c r="B117" s="21" t="str">
        <f ca="1">IF(Calc!$AW117="","",INDEX(Roster!$A$6:$A$505,Calc!$AW117)&amp;"")</f>
        <v/>
      </c>
      <c r="C117" s="21" t="str">
        <f ca="1">IF(Calc!$AW117="","",INDEX(Roster!$C$6:$C$505,Calc!$AW117)&amp;"")</f>
        <v/>
      </c>
      <c r="D117" s="19" t="str">
        <f ca="1">IF(Calc!$AW117="","",INDEX(Calc!$AP$6:$AP$505,Calc!$AW117))</f>
        <v/>
      </c>
      <c r="E117" s="21" t="str">
        <f ca="1">IF(Calc!$AW117="","",IF(INDEX(Calc!$AS$6:$AS$505,Calc!$AW117)="","Shout-out","Milestone"))</f>
        <v/>
      </c>
      <c r="F117" s="22" t="str">
        <f ca="1">IF(Calc!$AW117="","",IF($E117="Shout-out",SUBSTITUTE(SUBSTITUTE(SUBSTITUTE(SUBSTITUTE(Setup!$C$7&amp;"","{name}",IF($B117="","this employee",$B117)),"{years}",$D117),"{yearword}",IF($D117=1,"year","years")),"{company}",Setup!$C$4),IF(INDEX(Calc!$AT$6:$AT$505,Calc!$AW117),"Award ordered. Present it on the anniversary.","Order award by "&amp;TEXT(INDEX(Calc!$AU$6:$AU$505,Calc!$AW117),"mmm d, yyyy")&amp;IF(INDEX(Calc!$AU$6:$AU$505,Calc!$AW117)&lt;Setup!$C$5," (late, order today)",""))))</f>
        <v/>
      </c>
    </row>
    <row r="118" spans="1:6" x14ac:dyDescent="0.2">
      <c r="A118" s="20" t="str">
        <f ca="1">IF(Calc!$AW118="","",INT(Calc!$AV118))</f>
        <v/>
      </c>
      <c r="B118" s="21" t="str">
        <f ca="1">IF(Calc!$AW118="","",INDEX(Roster!$A$6:$A$505,Calc!$AW118)&amp;"")</f>
        <v/>
      </c>
      <c r="C118" s="21" t="str">
        <f ca="1">IF(Calc!$AW118="","",INDEX(Roster!$C$6:$C$505,Calc!$AW118)&amp;"")</f>
        <v/>
      </c>
      <c r="D118" s="19" t="str">
        <f ca="1">IF(Calc!$AW118="","",INDEX(Calc!$AP$6:$AP$505,Calc!$AW118))</f>
        <v/>
      </c>
      <c r="E118" s="21" t="str">
        <f ca="1">IF(Calc!$AW118="","",IF(INDEX(Calc!$AS$6:$AS$505,Calc!$AW118)="","Shout-out","Milestone"))</f>
        <v/>
      </c>
      <c r="F118" s="22" t="str">
        <f ca="1">IF(Calc!$AW118="","",IF($E118="Shout-out",SUBSTITUTE(SUBSTITUTE(SUBSTITUTE(SUBSTITUTE(Setup!$C$7&amp;"","{name}",IF($B118="","this employee",$B118)),"{years}",$D118),"{yearword}",IF($D118=1,"year","years")),"{company}",Setup!$C$4),IF(INDEX(Calc!$AT$6:$AT$505,Calc!$AW118),"Award ordered. Present it on the anniversary.","Order award by "&amp;TEXT(INDEX(Calc!$AU$6:$AU$505,Calc!$AW118),"mmm d, yyyy")&amp;IF(INDEX(Calc!$AU$6:$AU$505,Calc!$AW118)&lt;Setup!$C$5," (late, order today)",""))))</f>
        <v/>
      </c>
    </row>
    <row r="119" spans="1:6" x14ac:dyDescent="0.2">
      <c r="A119" s="20" t="str">
        <f ca="1">IF(Calc!$AW119="","",INT(Calc!$AV119))</f>
        <v/>
      </c>
      <c r="B119" s="21" t="str">
        <f ca="1">IF(Calc!$AW119="","",INDEX(Roster!$A$6:$A$505,Calc!$AW119)&amp;"")</f>
        <v/>
      </c>
      <c r="C119" s="21" t="str">
        <f ca="1">IF(Calc!$AW119="","",INDEX(Roster!$C$6:$C$505,Calc!$AW119)&amp;"")</f>
        <v/>
      </c>
      <c r="D119" s="19" t="str">
        <f ca="1">IF(Calc!$AW119="","",INDEX(Calc!$AP$6:$AP$505,Calc!$AW119))</f>
        <v/>
      </c>
      <c r="E119" s="21" t="str">
        <f ca="1">IF(Calc!$AW119="","",IF(INDEX(Calc!$AS$6:$AS$505,Calc!$AW119)="","Shout-out","Milestone"))</f>
        <v/>
      </c>
      <c r="F119" s="22" t="str">
        <f ca="1">IF(Calc!$AW119="","",IF($E119="Shout-out",SUBSTITUTE(SUBSTITUTE(SUBSTITUTE(SUBSTITUTE(Setup!$C$7&amp;"","{name}",IF($B119="","this employee",$B119)),"{years}",$D119),"{yearword}",IF($D119=1,"year","years")),"{company}",Setup!$C$4),IF(INDEX(Calc!$AT$6:$AT$505,Calc!$AW119),"Award ordered. Present it on the anniversary.","Order award by "&amp;TEXT(INDEX(Calc!$AU$6:$AU$505,Calc!$AW119),"mmm d, yyyy")&amp;IF(INDEX(Calc!$AU$6:$AU$505,Calc!$AW119)&lt;Setup!$C$5," (late, order today)",""))))</f>
        <v/>
      </c>
    </row>
    <row r="120" spans="1:6" x14ac:dyDescent="0.2">
      <c r="A120" s="20" t="str">
        <f ca="1">IF(Calc!$AW120="","",INT(Calc!$AV120))</f>
        <v/>
      </c>
      <c r="B120" s="21" t="str">
        <f ca="1">IF(Calc!$AW120="","",INDEX(Roster!$A$6:$A$505,Calc!$AW120)&amp;"")</f>
        <v/>
      </c>
      <c r="C120" s="21" t="str">
        <f ca="1">IF(Calc!$AW120="","",INDEX(Roster!$C$6:$C$505,Calc!$AW120)&amp;"")</f>
        <v/>
      </c>
      <c r="D120" s="19" t="str">
        <f ca="1">IF(Calc!$AW120="","",INDEX(Calc!$AP$6:$AP$505,Calc!$AW120))</f>
        <v/>
      </c>
      <c r="E120" s="21" t="str">
        <f ca="1">IF(Calc!$AW120="","",IF(INDEX(Calc!$AS$6:$AS$505,Calc!$AW120)="","Shout-out","Milestone"))</f>
        <v/>
      </c>
      <c r="F120" s="22" t="str">
        <f ca="1">IF(Calc!$AW120="","",IF($E120="Shout-out",SUBSTITUTE(SUBSTITUTE(SUBSTITUTE(SUBSTITUTE(Setup!$C$7&amp;"","{name}",IF($B120="","this employee",$B120)),"{years}",$D120),"{yearword}",IF($D120=1,"year","years")),"{company}",Setup!$C$4),IF(INDEX(Calc!$AT$6:$AT$505,Calc!$AW120),"Award ordered. Present it on the anniversary.","Order award by "&amp;TEXT(INDEX(Calc!$AU$6:$AU$505,Calc!$AW120),"mmm d, yyyy")&amp;IF(INDEX(Calc!$AU$6:$AU$505,Calc!$AW120)&lt;Setup!$C$5," (late, order today)",""))))</f>
        <v/>
      </c>
    </row>
    <row r="121" spans="1:6" x14ac:dyDescent="0.2">
      <c r="A121" s="20" t="str">
        <f ca="1">IF(Calc!$AW121="","",INT(Calc!$AV121))</f>
        <v/>
      </c>
      <c r="B121" s="21" t="str">
        <f ca="1">IF(Calc!$AW121="","",INDEX(Roster!$A$6:$A$505,Calc!$AW121)&amp;"")</f>
        <v/>
      </c>
      <c r="C121" s="21" t="str">
        <f ca="1">IF(Calc!$AW121="","",INDEX(Roster!$C$6:$C$505,Calc!$AW121)&amp;"")</f>
        <v/>
      </c>
      <c r="D121" s="19" t="str">
        <f ca="1">IF(Calc!$AW121="","",INDEX(Calc!$AP$6:$AP$505,Calc!$AW121))</f>
        <v/>
      </c>
      <c r="E121" s="21" t="str">
        <f ca="1">IF(Calc!$AW121="","",IF(INDEX(Calc!$AS$6:$AS$505,Calc!$AW121)="","Shout-out","Milestone"))</f>
        <v/>
      </c>
      <c r="F121" s="22" t="str">
        <f ca="1">IF(Calc!$AW121="","",IF($E121="Shout-out",SUBSTITUTE(SUBSTITUTE(SUBSTITUTE(SUBSTITUTE(Setup!$C$7&amp;"","{name}",IF($B121="","this employee",$B121)),"{years}",$D121),"{yearword}",IF($D121=1,"year","years")),"{company}",Setup!$C$4),IF(INDEX(Calc!$AT$6:$AT$505,Calc!$AW121),"Award ordered. Present it on the anniversary.","Order award by "&amp;TEXT(INDEX(Calc!$AU$6:$AU$505,Calc!$AW121),"mmm d, yyyy")&amp;IF(INDEX(Calc!$AU$6:$AU$505,Calc!$AW121)&lt;Setup!$C$5," (late, order today)",""))))</f>
        <v/>
      </c>
    </row>
    <row r="122" spans="1:6" x14ac:dyDescent="0.2">
      <c r="A122" s="20" t="str">
        <f ca="1">IF(Calc!$AW122="","",INT(Calc!$AV122))</f>
        <v/>
      </c>
      <c r="B122" s="21" t="str">
        <f ca="1">IF(Calc!$AW122="","",INDEX(Roster!$A$6:$A$505,Calc!$AW122)&amp;"")</f>
        <v/>
      </c>
      <c r="C122" s="21" t="str">
        <f ca="1">IF(Calc!$AW122="","",INDEX(Roster!$C$6:$C$505,Calc!$AW122)&amp;"")</f>
        <v/>
      </c>
      <c r="D122" s="19" t="str">
        <f ca="1">IF(Calc!$AW122="","",INDEX(Calc!$AP$6:$AP$505,Calc!$AW122))</f>
        <v/>
      </c>
      <c r="E122" s="21" t="str">
        <f ca="1">IF(Calc!$AW122="","",IF(INDEX(Calc!$AS$6:$AS$505,Calc!$AW122)="","Shout-out","Milestone"))</f>
        <v/>
      </c>
      <c r="F122" s="22" t="str">
        <f ca="1">IF(Calc!$AW122="","",IF($E122="Shout-out",SUBSTITUTE(SUBSTITUTE(SUBSTITUTE(SUBSTITUTE(Setup!$C$7&amp;"","{name}",IF($B122="","this employee",$B122)),"{years}",$D122),"{yearword}",IF($D122=1,"year","years")),"{company}",Setup!$C$4),IF(INDEX(Calc!$AT$6:$AT$505,Calc!$AW122),"Award ordered. Present it on the anniversary.","Order award by "&amp;TEXT(INDEX(Calc!$AU$6:$AU$505,Calc!$AW122),"mmm d, yyyy")&amp;IF(INDEX(Calc!$AU$6:$AU$505,Calc!$AW122)&lt;Setup!$C$5," (late, order today)",""))))</f>
        <v/>
      </c>
    </row>
    <row r="123" spans="1:6" x14ac:dyDescent="0.2">
      <c r="A123" s="20" t="str">
        <f ca="1">IF(Calc!$AW123="","",INT(Calc!$AV123))</f>
        <v/>
      </c>
      <c r="B123" s="21" t="str">
        <f ca="1">IF(Calc!$AW123="","",INDEX(Roster!$A$6:$A$505,Calc!$AW123)&amp;"")</f>
        <v/>
      </c>
      <c r="C123" s="21" t="str">
        <f ca="1">IF(Calc!$AW123="","",INDEX(Roster!$C$6:$C$505,Calc!$AW123)&amp;"")</f>
        <v/>
      </c>
      <c r="D123" s="19" t="str">
        <f ca="1">IF(Calc!$AW123="","",INDEX(Calc!$AP$6:$AP$505,Calc!$AW123))</f>
        <v/>
      </c>
      <c r="E123" s="21" t="str">
        <f ca="1">IF(Calc!$AW123="","",IF(INDEX(Calc!$AS$6:$AS$505,Calc!$AW123)="","Shout-out","Milestone"))</f>
        <v/>
      </c>
      <c r="F123" s="22" t="str">
        <f ca="1">IF(Calc!$AW123="","",IF($E123="Shout-out",SUBSTITUTE(SUBSTITUTE(SUBSTITUTE(SUBSTITUTE(Setup!$C$7&amp;"","{name}",IF($B123="","this employee",$B123)),"{years}",$D123),"{yearword}",IF($D123=1,"year","years")),"{company}",Setup!$C$4),IF(INDEX(Calc!$AT$6:$AT$505,Calc!$AW123),"Award ordered. Present it on the anniversary.","Order award by "&amp;TEXT(INDEX(Calc!$AU$6:$AU$505,Calc!$AW123),"mmm d, yyyy")&amp;IF(INDEX(Calc!$AU$6:$AU$505,Calc!$AW123)&lt;Setup!$C$5," (late, order today)",""))))</f>
        <v/>
      </c>
    </row>
    <row r="124" spans="1:6" x14ac:dyDescent="0.2">
      <c r="A124" s="20" t="str">
        <f ca="1">IF(Calc!$AW124="","",INT(Calc!$AV124))</f>
        <v/>
      </c>
      <c r="B124" s="21" t="str">
        <f ca="1">IF(Calc!$AW124="","",INDEX(Roster!$A$6:$A$505,Calc!$AW124)&amp;"")</f>
        <v/>
      </c>
      <c r="C124" s="21" t="str">
        <f ca="1">IF(Calc!$AW124="","",INDEX(Roster!$C$6:$C$505,Calc!$AW124)&amp;"")</f>
        <v/>
      </c>
      <c r="D124" s="19" t="str">
        <f ca="1">IF(Calc!$AW124="","",INDEX(Calc!$AP$6:$AP$505,Calc!$AW124))</f>
        <v/>
      </c>
      <c r="E124" s="21" t="str">
        <f ca="1">IF(Calc!$AW124="","",IF(INDEX(Calc!$AS$6:$AS$505,Calc!$AW124)="","Shout-out","Milestone"))</f>
        <v/>
      </c>
      <c r="F124" s="22" t="str">
        <f ca="1">IF(Calc!$AW124="","",IF($E124="Shout-out",SUBSTITUTE(SUBSTITUTE(SUBSTITUTE(SUBSTITUTE(Setup!$C$7&amp;"","{name}",IF($B124="","this employee",$B124)),"{years}",$D124),"{yearword}",IF($D124=1,"year","years")),"{company}",Setup!$C$4),IF(INDEX(Calc!$AT$6:$AT$505,Calc!$AW124),"Award ordered. Present it on the anniversary.","Order award by "&amp;TEXT(INDEX(Calc!$AU$6:$AU$505,Calc!$AW124),"mmm d, yyyy")&amp;IF(INDEX(Calc!$AU$6:$AU$505,Calc!$AW124)&lt;Setup!$C$5," (late, order today)",""))))</f>
        <v/>
      </c>
    </row>
    <row r="125" spans="1:6" x14ac:dyDescent="0.2">
      <c r="A125" s="20" t="str">
        <f ca="1">IF(Calc!$AW125="","",INT(Calc!$AV125))</f>
        <v/>
      </c>
      <c r="B125" s="21" t="str">
        <f ca="1">IF(Calc!$AW125="","",INDEX(Roster!$A$6:$A$505,Calc!$AW125)&amp;"")</f>
        <v/>
      </c>
      <c r="C125" s="21" t="str">
        <f ca="1">IF(Calc!$AW125="","",INDEX(Roster!$C$6:$C$505,Calc!$AW125)&amp;"")</f>
        <v/>
      </c>
      <c r="D125" s="19" t="str">
        <f ca="1">IF(Calc!$AW125="","",INDEX(Calc!$AP$6:$AP$505,Calc!$AW125))</f>
        <v/>
      </c>
      <c r="E125" s="21" t="str">
        <f ca="1">IF(Calc!$AW125="","",IF(INDEX(Calc!$AS$6:$AS$505,Calc!$AW125)="","Shout-out","Milestone"))</f>
        <v/>
      </c>
      <c r="F125" s="22" t="str">
        <f ca="1">IF(Calc!$AW125="","",IF($E125="Shout-out",SUBSTITUTE(SUBSTITUTE(SUBSTITUTE(SUBSTITUTE(Setup!$C$7&amp;"","{name}",IF($B125="","this employee",$B125)),"{years}",$D125),"{yearword}",IF($D125=1,"year","years")),"{company}",Setup!$C$4),IF(INDEX(Calc!$AT$6:$AT$505,Calc!$AW125),"Award ordered. Present it on the anniversary.","Order award by "&amp;TEXT(INDEX(Calc!$AU$6:$AU$505,Calc!$AW125),"mmm d, yyyy")&amp;IF(INDEX(Calc!$AU$6:$AU$505,Calc!$AW125)&lt;Setup!$C$5," (late, order today)",""))))</f>
        <v/>
      </c>
    </row>
    <row r="126" spans="1:6" x14ac:dyDescent="0.2">
      <c r="A126" s="20" t="str">
        <f ca="1">IF(Calc!$AW126="","",INT(Calc!$AV126))</f>
        <v/>
      </c>
      <c r="B126" s="21" t="str">
        <f ca="1">IF(Calc!$AW126="","",INDEX(Roster!$A$6:$A$505,Calc!$AW126)&amp;"")</f>
        <v/>
      </c>
      <c r="C126" s="21" t="str">
        <f ca="1">IF(Calc!$AW126="","",INDEX(Roster!$C$6:$C$505,Calc!$AW126)&amp;"")</f>
        <v/>
      </c>
      <c r="D126" s="19" t="str">
        <f ca="1">IF(Calc!$AW126="","",INDEX(Calc!$AP$6:$AP$505,Calc!$AW126))</f>
        <v/>
      </c>
      <c r="E126" s="21" t="str">
        <f ca="1">IF(Calc!$AW126="","",IF(INDEX(Calc!$AS$6:$AS$505,Calc!$AW126)="","Shout-out","Milestone"))</f>
        <v/>
      </c>
      <c r="F126" s="22" t="str">
        <f ca="1">IF(Calc!$AW126="","",IF($E126="Shout-out",SUBSTITUTE(SUBSTITUTE(SUBSTITUTE(SUBSTITUTE(Setup!$C$7&amp;"","{name}",IF($B126="","this employee",$B126)),"{years}",$D126),"{yearword}",IF($D126=1,"year","years")),"{company}",Setup!$C$4),IF(INDEX(Calc!$AT$6:$AT$505,Calc!$AW126),"Award ordered. Present it on the anniversary.","Order award by "&amp;TEXT(INDEX(Calc!$AU$6:$AU$505,Calc!$AW126),"mmm d, yyyy")&amp;IF(INDEX(Calc!$AU$6:$AU$505,Calc!$AW126)&lt;Setup!$C$5," (late, order today)",""))))</f>
        <v/>
      </c>
    </row>
    <row r="127" spans="1:6" x14ac:dyDescent="0.2">
      <c r="A127" s="20" t="str">
        <f ca="1">IF(Calc!$AW127="","",INT(Calc!$AV127))</f>
        <v/>
      </c>
      <c r="B127" s="21" t="str">
        <f ca="1">IF(Calc!$AW127="","",INDEX(Roster!$A$6:$A$505,Calc!$AW127)&amp;"")</f>
        <v/>
      </c>
      <c r="C127" s="21" t="str">
        <f ca="1">IF(Calc!$AW127="","",INDEX(Roster!$C$6:$C$505,Calc!$AW127)&amp;"")</f>
        <v/>
      </c>
      <c r="D127" s="19" t="str">
        <f ca="1">IF(Calc!$AW127="","",INDEX(Calc!$AP$6:$AP$505,Calc!$AW127))</f>
        <v/>
      </c>
      <c r="E127" s="21" t="str">
        <f ca="1">IF(Calc!$AW127="","",IF(INDEX(Calc!$AS$6:$AS$505,Calc!$AW127)="","Shout-out","Milestone"))</f>
        <v/>
      </c>
      <c r="F127" s="22" t="str">
        <f ca="1">IF(Calc!$AW127="","",IF($E127="Shout-out",SUBSTITUTE(SUBSTITUTE(SUBSTITUTE(SUBSTITUTE(Setup!$C$7&amp;"","{name}",IF($B127="","this employee",$B127)),"{years}",$D127),"{yearword}",IF($D127=1,"year","years")),"{company}",Setup!$C$4),IF(INDEX(Calc!$AT$6:$AT$505,Calc!$AW127),"Award ordered. Present it on the anniversary.","Order award by "&amp;TEXT(INDEX(Calc!$AU$6:$AU$505,Calc!$AW127),"mmm d, yyyy")&amp;IF(INDEX(Calc!$AU$6:$AU$505,Calc!$AW127)&lt;Setup!$C$5," (late, order today)",""))))</f>
        <v/>
      </c>
    </row>
    <row r="128" spans="1:6" x14ac:dyDescent="0.2">
      <c r="A128" s="20" t="str">
        <f ca="1">IF(Calc!$AW128="","",INT(Calc!$AV128))</f>
        <v/>
      </c>
      <c r="B128" s="21" t="str">
        <f ca="1">IF(Calc!$AW128="","",INDEX(Roster!$A$6:$A$505,Calc!$AW128)&amp;"")</f>
        <v/>
      </c>
      <c r="C128" s="21" t="str">
        <f ca="1">IF(Calc!$AW128="","",INDEX(Roster!$C$6:$C$505,Calc!$AW128)&amp;"")</f>
        <v/>
      </c>
      <c r="D128" s="19" t="str">
        <f ca="1">IF(Calc!$AW128="","",INDEX(Calc!$AP$6:$AP$505,Calc!$AW128))</f>
        <v/>
      </c>
      <c r="E128" s="21" t="str">
        <f ca="1">IF(Calc!$AW128="","",IF(INDEX(Calc!$AS$6:$AS$505,Calc!$AW128)="","Shout-out","Milestone"))</f>
        <v/>
      </c>
      <c r="F128" s="22" t="str">
        <f ca="1">IF(Calc!$AW128="","",IF($E128="Shout-out",SUBSTITUTE(SUBSTITUTE(SUBSTITUTE(SUBSTITUTE(Setup!$C$7&amp;"","{name}",IF($B128="","this employee",$B128)),"{years}",$D128),"{yearword}",IF($D128=1,"year","years")),"{company}",Setup!$C$4),IF(INDEX(Calc!$AT$6:$AT$505,Calc!$AW128),"Award ordered. Present it on the anniversary.","Order award by "&amp;TEXT(INDEX(Calc!$AU$6:$AU$505,Calc!$AW128),"mmm d, yyyy")&amp;IF(INDEX(Calc!$AU$6:$AU$505,Calc!$AW128)&lt;Setup!$C$5," (late, order today)",""))))</f>
        <v/>
      </c>
    </row>
    <row r="129" spans="1:6" x14ac:dyDescent="0.2">
      <c r="A129" s="20" t="str">
        <f ca="1">IF(Calc!$AW129="","",INT(Calc!$AV129))</f>
        <v/>
      </c>
      <c r="B129" s="21" t="str">
        <f ca="1">IF(Calc!$AW129="","",INDEX(Roster!$A$6:$A$505,Calc!$AW129)&amp;"")</f>
        <v/>
      </c>
      <c r="C129" s="21" t="str">
        <f ca="1">IF(Calc!$AW129="","",INDEX(Roster!$C$6:$C$505,Calc!$AW129)&amp;"")</f>
        <v/>
      </c>
      <c r="D129" s="19" t="str">
        <f ca="1">IF(Calc!$AW129="","",INDEX(Calc!$AP$6:$AP$505,Calc!$AW129))</f>
        <v/>
      </c>
      <c r="E129" s="21" t="str">
        <f ca="1">IF(Calc!$AW129="","",IF(INDEX(Calc!$AS$6:$AS$505,Calc!$AW129)="","Shout-out","Milestone"))</f>
        <v/>
      </c>
      <c r="F129" s="22" t="str">
        <f ca="1">IF(Calc!$AW129="","",IF($E129="Shout-out",SUBSTITUTE(SUBSTITUTE(SUBSTITUTE(SUBSTITUTE(Setup!$C$7&amp;"","{name}",IF($B129="","this employee",$B129)),"{years}",$D129),"{yearword}",IF($D129=1,"year","years")),"{company}",Setup!$C$4),IF(INDEX(Calc!$AT$6:$AT$505,Calc!$AW129),"Award ordered. Present it on the anniversary.","Order award by "&amp;TEXT(INDEX(Calc!$AU$6:$AU$505,Calc!$AW129),"mmm d, yyyy")&amp;IF(INDEX(Calc!$AU$6:$AU$505,Calc!$AW129)&lt;Setup!$C$5," (late, order today)",""))))</f>
        <v/>
      </c>
    </row>
    <row r="130" spans="1:6" x14ac:dyDescent="0.2">
      <c r="A130" s="20" t="str">
        <f ca="1">IF(Calc!$AW130="","",INT(Calc!$AV130))</f>
        <v/>
      </c>
      <c r="B130" s="21" t="str">
        <f ca="1">IF(Calc!$AW130="","",INDEX(Roster!$A$6:$A$505,Calc!$AW130)&amp;"")</f>
        <v/>
      </c>
      <c r="C130" s="21" t="str">
        <f ca="1">IF(Calc!$AW130="","",INDEX(Roster!$C$6:$C$505,Calc!$AW130)&amp;"")</f>
        <v/>
      </c>
      <c r="D130" s="19" t="str">
        <f ca="1">IF(Calc!$AW130="","",INDEX(Calc!$AP$6:$AP$505,Calc!$AW130))</f>
        <v/>
      </c>
      <c r="E130" s="21" t="str">
        <f ca="1">IF(Calc!$AW130="","",IF(INDEX(Calc!$AS$6:$AS$505,Calc!$AW130)="","Shout-out","Milestone"))</f>
        <v/>
      </c>
      <c r="F130" s="22" t="str">
        <f ca="1">IF(Calc!$AW130="","",IF($E130="Shout-out",SUBSTITUTE(SUBSTITUTE(SUBSTITUTE(SUBSTITUTE(Setup!$C$7&amp;"","{name}",IF($B130="","this employee",$B130)),"{years}",$D130),"{yearword}",IF($D130=1,"year","years")),"{company}",Setup!$C$4),IF(INDEX(Calc!$AT$6:$AT$505,Calc!$AW130),"Award ordered. Present it on the anniversary.","Order award by "&amp;TEXT(INDEX(Calc!$AU$6:$AU$505,Calc!$AW130),"mmm d, yyyy")&amp;IF(INDEX(Calc!$AU$6:$AU$505,Calc!$AW130)&lt;Setup!$C$5," (late, order today)",""))))</f>
        <v/>
      </c>
    </row>
    <row r="131" spans="1:6" x14ac:dyDescent="0.2">
      <c r="A131" s="20" t="str">
        <f ca="1">IF(Calc!$AW131="","",INT(Calc!$AV131))</f>
        <v/>
      </c>
      <c r="B131" s="21" t="str">
        <f ca="1">IF(Calc!$AW131="","",INDEX(Roster!$A$6:$A$505,Calc!$AW131)&amp;"")</f>
        <v/>
      </c>
      <c r="C131" s="21" t="str">
        <f ca="1">IF(Calc!$AW131="","",INDEX(Roster!$C$6:$C$505,Calc!$AW131)&amp;"")</f>
        <v/>
      </c>
      <c r="D131" s="19" t="str">
        <f ca="1">IF(Calc!$AW131="","",INDEX(Calc!$AP$6:$AP$505,Calc!$AW131))</f>
        <v/>
      </c>
      <c r="E131" s="21" t="str">
        <f ca="1">IF(Calc!$AW131="","",IF(INDEX(Calc!$AS$6:$AS$505,Calc!$AW131)="","Shout-out","Milestone"))</f>
        <v/>
      </c>
      <c r="F131" s="22" t="str">
        <f ca="1">IF(Calc!$AW131="","",IF($E131="Shout-out",SUBSTITUTE(SUBSTITUTE(SUBSTITUTE(SUBSTITUTE(Setup!$C$7&amp;"","{name}",IF($B131="","this employee",$B131)),"{years}",$D131),"{yearword}",IF($D131=1,"year","years")),"{company}",Setup!$C$4),IF(INDEX(Calc!$AT$6:$AT$505,Calc!$AW131),"Award ordered. Present it on the anniversary.","Order award by "&amp;TEXT(INDEX(Calc!$AU$6:$AU$505,Calc!$AW131),"mmm d, yyyy")&amp;IF(INDEX(Calc!$AU$6:$AU$505,Calc!$AW131)&lt;Setup!$C$5," (late, order today)",""))))</f>
        <v/>
      </c>
    </row>
    <row r="132" spans="1:6" x14ac:dyDescent="0.2">
      <c r="A132" s="20" t="str">
        <f ca="1">IF(Calc!$AW132="","",INT(Calc!$AV132))</f>
        <v/>
      </c>
      <c r="B132" s="21" t="str">
        <f ca="1">IF(Calc!$AW132="","",INDEX(Roster!$A$6:$A$505,Calc!$AW132)&amp;"")</f>
        <v/>
      </c>
      <c r="C132" s="21" t="str">
        <f ca="1">IF(Calc!$AW132="","",INDEX(Roster!$C$6:$C$505,Calc!$AW132)&amp;"")</f>
        <v/>
      </c>
      <c r="D132" s="19" t="str">
        <f ca="1">IF(Calc!$AW132="","",INDEX(Calc!$AP$6:$AP$505,Calc!$AW132))</f>
        <v/>
      </c>
      <c r="E132" s="21" t="str">
        <f ca="1">IF(Calc!$AW132="","",IF(INDEX(Calc!$AS$6:$AS$505,Calc!$AW132)="","Shout-out","Milestone"))</f>
        <v/>
      </c>
      <c r="F132" s="22" t="str">
        <f ca="1">IF(Calc!$AW132="","",IF($E132="Shout-out",SUBSTITUTE(SUBSTITUTE(SUBSTITUTE(SUBSTITUTE(Setup!$C$7&amp;"","{name}",IF($B132="","this employee",$B132)),"{years}",$D132),"{yearword}",IF($D132=1,"year","years")),"{company}",Setup!$C$4),IF(INDEX(Calc!$AT$6:$AT$505,Calc!$AW132),"Award ordered. Present it on the anniversary.","Order award by "&amp;TEXT(INDEX(Calc!$AU$6:$AU$505,Calc!$AW132),"mmm d, yyyy")&amp;IF(INDEX(Calc!$AU$6:$AU$505,Calc!$AW132)&lt;Setup!$C$5," (late, order today)",""))))</f>
        <v/>
      </c>
    </row>
    <row r="133" spans="1:6" x14ac:dyDescent="0.2">
      <c r="A133" s="20" t="str">
        <f ca="1">IF(Calc!$AW133="","",INT(Calc!$AV133))</f>
        <v/>
      </c>
      <c r="B133" s="21" t="str">
        <f ca="1">IF(Calc!$AW133="","",INDEX(Roster!$A$6:$A$505,Calc!$AW133)&amp;"")</f>
        <v/>
      </c>
      <c r="C133" s="21" t="str">
        <f ca="1">IF(Calc!$AW133="","",INDEX(Roster!$C$6:$C$505,Calc!$AW133)&amp;"")</f>
        <v/>
      </c>
      <c r="D133" s="19" t="str">
        <f ca="1">IF(Calc!$AW133="","",INDEX(Calc!$AP$6:$AP$505,Calc!$AW133))</f>
        <v/>
      </c>
      <c r="E133" s="21" t="str">
        <f ca="1">IF(Calc!$AW133="","",IF(INDEX(Calc!$AS$6:$AS$505,Calc!$AW133)="","Shout-out","Milestone"))</f>
        <v/>
      </c>
      <c r="F133" s="22" t="str">
        <f ca="1">IF(Calc!$AW133="","",IF($E133="Shout-out",SUBSTITUTE(SUBSTITUTE(SUBSTITUTE(SUBSTITUTE(Setup!$C$7&amp;"","{name}",IF($B133="","this employee",$B133)),"{years}",$D133),"{yearword}",IF($D133=1,"year","years")),"{company}",Setup!$C$4),IF(INDEX(Calc!$AT$6:$AT$505,Calc!$AW133),"Award ordered. Present it on the anniversary.","Order award by "&amp;TEXT(INDEX(Calc!$AU$6:$AU$505,Calc!$AW133),"mmm d, yyyy")&amp;IF(INDEX(Calc!$AU$6:$AU$505,Calc!$AW133)&lt;Setup!$C$5," (late, order today)",""))))</f>
        <v/>
      </c>
    </row>
    <row r="134" spans="1:6" x14ac:dyDescent="0.2">
      <c r="A134" s="20" t="str">
        <f ca="1">IF(Calc!$AW134="","",INT(Calc!$AV134))</f>
        <v/>
      </c>
      <c r="B134" s="21" t="str">
        <f ca="1">IF(Calc!$AW134="","",INDEX(Roster!$A$6:$A$505,Calc!$AW134)&amp;"")</f>
        <v/>
      </c>
      <c r="C134" s="21" t="str">
        <f ca="1">IF(Calc!$AW134="","",INDEX(Roster!$C$6:$C$505,Calc!$AW134)&amp;"")</f>
        <v/>
      </c>
      <c r="D134" s="19" t="str">
        <f ca="1">IF(Calc!$AW134="","",INDEX(Calc!$AP$6:$AP$505,Calc!$AW134))</f>
        <v/>
      </c>
      <c r="E134" s="21" t="str">
        <f ca="1">IF(Calc!$AW134="","",IF(INDEX(Calc!$AS$6:$AS$505,Calc!$AW134)="","Shout-out","Milestone"))</f>
        <v/>
      </c>
      <c r="F134" s="22" t="str">
        <f ca="1">IF(Calc!$AW134="","",IF($E134="Shout-out",SUBSTITUTE(SUBSTITUTE(SUBSTITUTE(SUBSTITUTE(Setup!$C$7&amp;"","{name}",IF($B134="","this employee",$B134)),"{years}",$D134),"{yearword}",IF($D134=1,"year","years")),"{company}",Setup!$C$4),IF(INDEX(Calc!$AT$6:$AT$505,Calc!$AW134),"Award ordered. Present it on the anniversary.","Order award by "&amp;TEXT(INDEX(Calc!$AU$6:$AU$505,Calc!$AW134),"mmm d, yyyy")&amp;IF(INDEX(Calc!$AU$6:$AU$505,Calc!$AW134)&lt;Setup!$C$5," (late, order today)",""))))</f>
        <v/>
      </c>
    </row>
    <row r="135" spans="1:6" x14ac:dyDescent="0.2">
      <c r="A135" s="20" t="str">
        <f ca="1">IF(Calc!$AW135="","",INT(Calc!$AV135))</f>
        <v/>
      </c>
      <c r="B135" s="21" t="str">
        <f ca="1">IF(Calc!$AW135="","",INDEX(Roster!$A$6:$A$505,Calc!$AW135)&amp;"")</f>
        <v/>
      </c>
      <c r="C135" s="21" t="str">
        <f ca="1">IF(Calc!$AW135="","",INDEX(Roster!$C$6:$C$505,Calc!$AW135)&amp;"")</f>
        <v/>
      </c>
      <c r="D135" s="19" t="str">
        <f ca="1">IF(Calc!$AW135="","",INDEX(Calc!$AP$6:$AP$505,Calc!$AW135))</f>
        <v/>
      </c>
      <c r="E135" s="21" t="str">
        <f ca="1">IF(Calc!$AW135="","",IF(INDEX(Calc!$AS$6:$AS$505,Calc!$AW135)="","Shout-out","Milestone"))</f>
        <v/>
      </c>
      <c r="F135" s="22" t="str">
        <f ca="1">IF(Calc!$AW135="","",IF($E135="Shout-out",SUBSTITUTE(SUBSTITUTE(SUBSTITUTE(SUBSTITUTE(Setup!$C$7&amp;"","{name}",IF($B135="","this employee",$B135)),"{years}",$D135),"{yearword}",IF($D135=1,"year","years")),"{company}",Setup!$C$4),IF(INDEX(Calc!$AT$6:$AT$505,Calc!$AW135),"Award ordered. Present it on the anniversary.","Order award by "&amp;TEXT(INDEX(Calc!$AU$6:$AU$505,Calc!$AW135),"mmm d, yyyy")&amp;IF(INDEX(Calc!$AU$6:$AU$505,Calc!$AW135)&lt;Setup!$C$5," (late, order today)",""))))</f>
        <v/>
      </c>
    </row>
    <row r="136" spans="1:6" x14ac:dyDescent="0.2">
      <c r="A136" s="20" t="str">
        <f ca="1">IF(Calc!$AW136="","",INT(Calc!$AV136))</f>
        <v/>
      </c>
      <c r="B136" s="21" t="str">
        <f ca="1">IF(Calc!$AW136="","",INDEX(Roster!$A$6:$A$505,Calc!$AW136)&amp;"")</f>
        <v/>
      </c>
      <c r="C136" s="21" t="str">
        <f ca="1">IF(Calc!$AW136="","",INDEX(Roster!$C$6:$C$505,Calc!$AW136)&amp;"")</f>
        <v/>
      </c>
      <c r="D136" s="19" t="str">
        <f ca="1">IF(Calc!$AW136="","",INDEX(Calc!$AP$6:$AP$505,Calc!$AW136))</f>
        <v/>
      </c>
      <c r="E136" s="21" t="str">
        <f ca="1">IF(Calc!$AW136="","",IF(INDEX(Calc!$AS$6:$AS$505,Calc!$AW136)="","Shout-out","Milestone"))</f>
        <v/>
      </c>
      <c r="F136" s="22" t="str">
        <f ca="1">IF(Calc!$AW136="","",IF($E136="Shout-out",SUBSTITUTE(SUBSTITUTE(SUBSTITUTE(SUBSTITUTE(Setup!$C$7&amp;"","{name}",IF($B136="","this employee",$B136)),"{years}",$D136),"{yearword}",IF($D136=1,"year","years")),"{company}",Setup!$C$4),IF(INDEX(Calc!$AT$6:$AT$505,Calc!$AW136),"Award ordered. Present it on the anniversary.","Order award by "&amp;TEXT(INDEX(Calc!$AU$6:$AU$505,Calc!$AW136),"mmm d, yyyy")&amp;IF(INDEX(Calc!$AU$6:$AU$505,Calc!$AW136)&lt;Setup!$C$5," (late, order today)",""))))</f>
        <v/>
      </c>
    </row>
    <row r="137" spans="1:6" x14ac:dyDescent="0.2">
      <c r="A137" s="20" t="str">
        <f ca="1">IF(Calc!$AW137="","",INT(Calc!$AV137))</f>
        <v/>
      </c>
      <c r="B137" s="21" t="str">
        <f ca="1">IF(Calc!$AW137="","",INDEX(Roster!$A$6:$A$505,Calc!$AW137)&amp;"")</f>
        <v/>
      </c>
      <c r="C137" s="21" t="str">
        <f ca="1">IF(Calc!$AW137="","",INDEX(Roster!$C$6:$C$505,Calc!$AW137)&amp;"")</f>
        <v/>
      </c>
      <c r="D137" s="19" t="str">
        <f ca="1">IF(Calc!$AW137="","",INDEX(Calc!$AP$6:$AP$505,Calc!$AW137))</f>
        <v/>
      </c>
      <c r="E137" s="21" t="str">
        <f ca="1">IF(Calc!$AW137="","",IF(INDEX(Calc!$AS$6:$AS$505,Calc!$AW137)="","Shout-out","Milestone"))</f>
        <v/>
      </c>
      <c r="F137" s="22" t="str">
        <f ca="1">IF(Calc!$AW137="","",IF($E137="Shout-out",SUBSTITUTE(SUBSTITUTE(SUBSTITUTE(SUBSTITUTE(Setup!$C$7&amp;"","{name}",IF($B137="","this employee",$B137)),"{years}",$D137),"{yearword}",IF($D137=1,"year","years")),"{company}",Setup!$C$4),IF(INDEX(Calc!$AT$6:$AT$505,Calc!$AW137),"Award ordered. Present it on the anniversary.","Order award by "&amp;TEXT(INDEX(Calc!$AU$6:$AU$505,Calc!$AW137),"mmm d, yyyy")&amp;IF(INDEX(Calc!$AU$6:$AU$505,Calc!$AW137)&lt;Setup!$C$5," (late, order today)",""))))</f>
        <v/>
      </c>
    </row>
    <row r="138" spans="1:6" x14ac:dyDescent="0.2">
      <c r="A138" s="20" t="str">
        <f ca="1">IF(Calc!$AW138="","",INT(Calc!$AV138))</f>
        <v/>
      </c>
      <c r="B138" s="21" t="str">
        <f ca="1">IF(Calc!$AW138="","",INDEX(Roster!$A$6:$A$505,Calc!$AW138)&amp;"")</f>
        <v/>
      </c>
      <c r="C138" s="21" t="str">
        <f ca="1">IF(Calc!$AW138="","",INDEX(Roster!$C$6:$C$505,Calc!$AW138)&amp;"")</f>
        <v/>
      </c>
      <c r="D138" s="19" t="str">
        <f ca="1">IF(Calc!$AW138="","",INDEX(Calc!$AP$6:$AP$505,Calc!$AW138))</f>
        <v/>
      </c>
      <c r="E138" s="21" t="str">
        <f ca="1">IF(Calc!$AW138="","",IF(INDEX(Calc!$AS$6:$AS$505,Calc!$AW138)="","Shout-out","Milestone"))</f>
        <v/>
      </c>
      <c r="F138" s="22" t="str">
        <f ca="1">IF(Calc!$AW138="","",IF($E138="Shout-out",SUBSTITUTE(SUBSTITUTE(SUBSTITUTE(SUBSTITUTE(Setup!$C$7&amp;"","{name}",IF($B138="","this employee",$B138)),"{years}",$D138),"{yearword}",IF($D138=1,"year","years")),"{company}",Setup!$C$4),IF(INDEX(Calc!$AT$6:$AT$505,Calc!$AW138),"Award ordered. Present it on the anniversary.","Order award by "&amp;TEXT(INDEX(Calc!$AU$6:$AU$505,Calc!$AW138),"mmm d, yyyy")&amp;IF(INDEX(Calc!$AU$6:$AU$505,Calc!$AW138)&lt;Setup!$C$5," (late, order today)",""))))</f>
        <v/>
      </c>
    </row>
    <row r="139" spans="1:6" x14ac:dyDescent="0.2">
      <c r="A139" s="20" t="str">
        <f ca="1">IF(Calc!$AW139="","",INT(Calc!$AV139))</f>
        <v/>
      </c>
      <c r="B139" s="21" t="str">
        <f ca="1">IF(Calc!$AW139="","",INDEX(Roster!$A$6:$A$505,Calc!$AW139)&amp;"")</f>
        <v/>
      </c>
      <c r="C139" s="21" t="str">
        <f ca="1">IF(Calc!$AW139="","",INDEX(Roster!$C$6:$C$505,Calc!$AW139)&amp;"")</f>
        <v/>
      </c>
      <c r="D139" s="19" t="str">
        <f ca="1">IF(Calc!$AW139="","",INDEX(Calc!$AP$6:$AP$505,Calc!$AW139))</f>
        <v/>
      </c>
      <c r="E139" s="21" t="str">
        <f ca="1">IF(Calc!$AW139="","",IF(INDEX(Calc!$AS$6:$AS$505,Calc!$AW139)="","Shout-out","Milestone"))</f>
        <v/>
      </c>
      <c r="F139" s="22" t="str">
        <f ca="1">IF(Calc!$AW139="","",IF($E139="Shout-out",SUBSTITUTE(SUBSTITUTE(SUBSTITUTE(SUBSTITUTE(Setup!$C$7&amp;"","{name}",IF($B139="","this employee",$B139)),"{years}",$D139),"{yearword}",IF($D139=1,"year","years")),"{company}",Setup!$C$4),IF(INDEX(Calc!$AT$6:$AT$505,Calc!$AW139),"Award ordered. Present it on the anniversary.","Order award by "&amp;TEXT(INDEX(Calc!$AU$6:$AU$505,Calc!$AW139),"mmm d, yyyy")&amp;IF(INDEX(Calc!$AU$6:$AU$505,Calc!$AW139)&lt;Setup!$C$5," (late, order today)",""))))</f>
        <v/>
      </c>
    </row>
    <row r="140" spans="1:6" x14ac:dyDescent="0.2">
      <c r="A140" s="20" t="str">
        <f ca="1">IF(Calc!$AW140="","",INT(Calc!$AV140))</f>
        <v/>
      </c>
      <c r="B140" s="21" t="str">
        <f ca="1">IF(Calc!$AW140="","",INDEX(Roster!$A$6:$A$505,Calc!$AW140)&amp;"")</f>
        <v/>
      </c>
      <c r="C140" s="21" t="str">
        <f ca="1">IF(Calc!$AW140="","",INDEX(Roster!$C$6:$C$505,Calc!$AW140)&amp;"")</f>
        <v/>
      </c>
      <c r="D140" s="19" t="str">
        <f ca="1">IF(Calc!$AW140="","",INDEX(Calc!$AP$6:$AP$505,Calc!$AW140))</f>
        <v/>
      </c>
      <c r="E140" s="21" t="str">
        <f ca="1">IF(Calc!$AW140="","",IF(INDEX(Calc!$AS$6:$AS$505,Calc!$AW140)="","Shout-out","Milestone"))</f>
        <v/>
      </c>
      <c r="F140" s="22" t="str">
        <f ca="1">IF(Calc!$AW140="","",IF($E140="Shout-out",SUBSTITUTE(SUBSTITUTE(SUBSTITUTE(SUBSTITUTE(Setup!$C$7&amp;"","{name}",IF($B140="","this employee",$B140)),"{years}",$D140),"{yearword}",IF($D140=1,"year","years")),"{company}",Setup!$C$4),IF(INDEX(Calc!$AT$6:$AT$505,Calc!$AW140),"Award ordered. Present it on the anniversary.","Order award by "&amp;TEXT(INDEX(Calc!$AU$6:$AU$505,Calc!$AW140),"mmm d, yyyy")&amp;IF(INDEX(Calc!$AU$6:$AU$505,Calc!$AW140)&lt;Setup!$C$5," (late, order today)",""))))</f>
        <v/>
      </c>
    </row>
    <row r="141" spans="1:6" x14ac:dyDescent="0.2">
      <c r="A141" s="20" t="str">
        <f ca="1">IF(Calc!$AW141="","",INT(Calc!$AV141))</f>
        <v/>
      </c>
      <c r="B141" s="21" t="str">
        <f ca="1">IF(Calc!$AW141="","",INDEX(Roster!$A$6:$A$505,Calc!$AW141)&amp;"")</f>
        <v/>
      </c>
      <c r="C141" s="21" t="str">
        <f ca="1">IF(Calc!$AW141="","",INDEX(Roster!$C$6:$C$505,Calc!$AW141)&amp;"")</f>
        <v/>
      </c>
      <c r="D141" s="19" t="str">
        <f ca="1">IF(Calc!$AW141="","",INDEX(Calc!$AP$6:$AP$505,Calc!$AW141))</f>
        <v/>
      </c>
      <c r="E141" s="21" t="str">
        <f ca="1">IF(Calc!$AW141="","",IF(INDEX(Calc!$AS$6:$AS$505,Calc!$AW141)="","Shout-out","Milestone"))</f>
        <v/>
      </c>
      <c r="F141" s="22" t="str">
        <f ca="1">IF(Calc!$AW141="","",IF($E141="Shout-out",SUBSTITUTE(SUBSTITUTE(SUBSTITUTE(SUBSTITUTE(Setup!$C$7&amp;"","{name}",IF($B141="","this employee",$B141)),"{years}",$D141),"{yearword}",IF($D141=1,"year","years")),"{company}",Setup!$C$4),IF(INDEX(Calc!$AT$6:$AT$505,Calc!$AW141),"Award ordered. Present it on the anniversary.","Order award by "&amp;TEXT(INDEX(Calc!$AU$6:$AU$505,Calc!$AW141),"mmm d, yyyy")&amp;IF(INDEX(Calc!$AU$6:$AU$505,Calc!$AW141)&lt;Setup!$C$5," (late, order today)",""))))</f>
        <v/>
      </c>
    </row>
    <row r="142" spans="1:6" x14ac:dyDescent="0.2">
      <c r="A142" s="20" t="str">
        <f ca="1">IF(Calc!$AW142="","",INT(Calc!$AV142))</f>
        <v/>
      </c>
      <c r="B142" s="21" t="str">
        <f ca="1">IF(Calc!$AW142="","",INDEX(Roster!$A$6:$A$505,Calc!$AW142)&amp;"")</f>
        <v/>
      </c>
      <c r="C142" s="21" t="str">
        <f ca="1">IF(Calc!$AW142="","",INDEX(Roster!$C$6:$C$505,Calc!$AW142)&amp;"")</f>
        <v/>
      </c>
      <c r="D142" s="19" t="str">
        <f ca="1">IF(Calc!$AW142="","",INDEX(Calc!$AP$6:$AP$505,Calc!$AW142))</f>
        <v/>
      </c>
      <c r="E142" s="21" t="str">
        <f ca="1">IF(Calc!$AW142="","",IF(INDEX(Calc!$AS$6:$AS$505,Calc!$AW142)="","Shout-out","Milestone"))</f>
        <v/>
      </c>
      <c r="F142" s="22" t="str">
        <f ca="1">IF(Calc!$AW142="","",IF($E142="Shout-out",SUBSTITUTE(SUBSTITUTE(SUBSTITUTE(SUBSTITUTE(Setup!$C$7&amp;"","{name}",IF($B142="","this employee",$B142)),"{years}",$D142),"{yearword}",IF($D142=1,"year","years")),"{company}",Setup!$C$4),IF(INDEX(Calc!$AT$6:$AT$505,Calc!$AW142),"Award ordered. Present it on the anniversary.","Order award by "&amp;TEXT(INDEX(Calc!$AU$6:$AU$505,Calc!$AW142),"mmm d, yyyy")&amp;IF(INDEX(Calc!$AU$6:$AU$505,Calc!$AW142)&lt;Setup!$C$5," (late, order today)",""))))</f>
        <v/>
      </c>
    </row>
    <row r="143" spans="1:6" x14ac:dyDescent="0.2">
      <c r="A143" s="20" t="str">
        <f ca="1">IF(Calc!$AW143="","",INT(Calc!$AV143))</f>
        <v/>
      </c>
      <c r="B143" s="21" t="str">
        <f ca="1">IF(Calc!$AW143="","",INDEX(Roster!$A$6:$A$505,Calc!$AW143)&amp;"")</f>
        <v/>
      </c>
      <c r="C143" s="21" t="str">
        <f ca="1">IF(Calc!$AW143="","",INDEX(Roster!$C$6:$C$505,Calc!$AW143)&amp;"")</f>
        <v/>
      </c>
      <c r="D143" s="19" t="str">
        <f ca="1">IF(Calc!$AW143="","",INDEX(Calc!$AP$6:$AP$505,Calc!$AW143))</f>
        <v/>
      </c>
      <c r="E143" s="21" t="str">
        <f ca="1">IF(Calc!$AW143="","",IF(INDEX(Calc!$AS$6:$AS$505,Calc!$AW143)="","Shout-out","Milestone"))</f>
        <v/>
      </c>
      <c r="F143" s="22" t="str">
        <f ca="1">IF(Calc!$AW143="","",IF($E143="Shout-out",SUBSTITUTE(SUBSTITUTE(SUBSTITUTE(SUBSTITUTE(Setup!$C$7&amp;"","{name}",IF($B143="","this employee",$B143)),"{years}",$D143),"{yearword}",IF($D143=1,"year","years")),"{company}",Setup!$C$4),IF(INDEX(Calc!$AT$6:$AT$505,Calc!$AW143),"Award ordered. Present it on the anniversary.","Order award by "&amp;TEXT(INDEX(Calc!$AU$6:$AU$505,Calc!$AW143),"mmm d, yyyy")&amp;IF(INDEX(Calc!$AU$6:$AU$505,Calc!$AW143)&lt;Setup!$C$5," (late, order today)",""))))</f>
        <v/>
      </c>
    </row>
    <row r="144" spans="1:6" x14ac:dyDescent="0.2">
      <c r="A144" s="20" t="str">
        <f ca="1">IF(Calc!$AW144="","",INT(Calc!$AV144))</f>
        <v/>
      </c>
      <c r="B144" s="21" t="str">
        <f ca="1">IF(Calc!$AW144="","",INDEX(Roster!$A$6:$A$505,Calc!$AW144)&amp;"")</f>
        <v/>
      </c>
      <c r="C144" s="21" t="str">
        <f ca="1">IF(Calc!$AW144="","",INDEX(Roster!$C$6:$C$505,Calc!$AW144)&amp;"")</f>
        <v/>
      </c>
      <c r="D144" s="19" t="str">
        <f ca="1">IF(Calc!$AW144="","",INDEX(Calc!$AP$6:$AP$505,Calc!$AW144))</f>
        <v/>
      </c>
      <c r="E144" s="21" t="str">
        <f ca="1">IF(Calc!$AW144="","",IF(INDEX(Calc!$AS$6:$AS$505,Calc!$AW144)="","Shout-out","Milestone"))</f>
        <v/>
      </c>
      <c r="F144" s="22" t="str">
        <f ca="1">IF(Calc!$AW144="","",IF($E144="Shout-out",SUBSTITUTE(SUBSTITUTE(SUBSTITUTE(SUBSTITUTE(Setup!$C$7&amp;"","{name}",IF($B144="","this employee",$B144)),"{years}",$D144),"{yearword}",IF($D144=1,"year","years")),"{company}",Setup!$C$4),IF(INDEX(Calc!$AT$6:$AT$505,Calc!$AW144),"Award ordered. Present it on the anniversary.","Order award by "&amp;TEXT(INDEX(Calc!$AU$6:$AU$505,Calc!$AW144),"mmm d, yyyy")&amp;IF(INDEX(Calc!$AU$6:$AU$505,Calc!$AW144)&lt;Setup!$C$5," (late, order today)",""))))</f>
        <v/>
      </c>
    </row>
    <row r="145" spans="1:6" x14ac:dyDescent="0.2">
      <c r="A145" s="20" t="str">
        <f ca="1">IF(Calc!$AW145="","",INT(Calc!$AV145))</f>
        <v/>
      </c>
      <c r="B145" s="21" t="str">
        <f ca="1">IF(Calc!$AW145="","",INDEX(Roster!$A$6:$A$505,Calc!$AW145)&amp;"")</f>
        <v/>
      </c>
      <c r="C145" s="21" t="str">
        <f ca="1">IF(Calc!$AW145="","",INDEX(Roster!$C$6:$C$505,Calc!$AW145)&amp;"")</f>
        <v/>
      </c>
      <c r="D145" s="19" t="str">
        <f ca="1">IF(Calc!$AW145="","",INDEX(Calc!$AP$6:$AP$505,Calc!$AW145))</f>
        <v/>
      </c>
      <c r="E145" s="21" t="str">
        <f ca="1">IF(Calc!$AW145="","",IF(INDEX(Calc!$AS$6:$AS$505,Calc!$AW145)="","Shout-out","Milestone"))</f>
        <v/>
      </c>
      <c r="F145" s="22" t="str">
        <f ca="1">IF(Calc!$AW145="","",IF($E145="Shout-out",SUBSTITUTE(SUBSTITUTE(SUBSTITUTE(SUBSTITUTE(Setup!$C$7&amp;"","{name}",IF($B145="","this employee",$B145)),"{years}",$D145),"{yearword}",IF($D145=1,"year","years")),"{company}",Setup!$C$4),IF(INDEX(Calc!$AT$6:$AT$505,Calc!$AW145),"Award ordered. Present it on the anniversary.","Order award by "&amp;TEXT(INDEX(Calc!$AU$6:$AU$505,Calc!$AW145),"mmm d, yyyy")&amp;IF(INDEX(Calc!$AU$6:$AU$505,Calc!$AW145)&lt;Setup!$C$5," (late, order today)",""))))</f>
        <v/>
      </c>
    </row>
    <row r="146" spans="1:6" x14ac:dyDescent="0.2">
      <c r="A146" s="20" t="str">
        <f ca="1">IF(Calc!$AW146="","",INT(Calc!$AV146))</f>
        <v/>
      </c>
      <c r="B146" s="21" t="str">
        <f ca="1">IF(Calc!$AW146="","",INDEX(Roster!$A$6:$A$505,Calc!$AW146)&amp;"")</f>
        <v/>
      </c>
      <c r="C146" s="21" t="str">
        <f ca="1">IF(Calc!$AW146="","",INDEX(Roster!$C$6:$C$505,Calc!$AW146)&amp;"")</f>
        <v/>
      </c>
      <c r="D146" s="19" t="str">
        <f ca="1">IF(Calc!$AW146="","",INDEX(Calc!$AP$6:$AP$505,Calc!$AW146))</f>
        <v/>
      </c>
      <c r="E146" s="21" t="str">
        <f ca="1">IF(Calc!$AW146="","",IF(INDEX(Calc!$AS$6:$AS$505,Calc!$AW146)="","Shout-out","Milestone"))</f>
        <v/>
      </c>
      <c r="F146" s="22" t="str">
        <f ca="1">IF(Calc!$AW146="","",IF($E146="Shout-out",SUBSTITUTE(SUBSTITUTE(SUBSTITUTE(SUBSTITUTE(Setup!$C$7&amp;"","{name}",IF($B146="","this employee",$B146)),"{years}",$D146),"{yearword}",IF($D146=1,"year","years")),"{company}",Setup!$C$4),IF(INDEX(Calc!$AT$6:$AT$505,Calc!$AW146),"Award ordered. Present it on the anniversary.","Order award by "&amp;TEXT(INDEX(Calc!$AU$6:$AU$505,Calc!$AW146),"mmm d, yyyy")&amp;IF(INDEX(Calc!$AU$6:$AU$505,Calc!$AW146)&lt;Setup!$C$5," (late, order today)",""))))</f>
        <v/>
      </c>
    </row>
    <row r="147" spans="1:6" x14ac:dyDescent="0.2">
      <c r="A147" s="20" t="str">
        <f ca="1">IF(Calc!$AW147="","",INT(Calc!$AV147))</f>
        <v/>
      </c>
      <c r="B147" s="21" t="str">
        <f ca="1">IF(Calc!$AW147="","",INDEX(Roster!$A$6:$A$505,Calc!$AW147)&amp;"")</f>
        <v/>
      </c>
      <c r="C147" s="21" t="str">
        <f ca="1">IF(Calc!$AW147="","",INDEX(Roster!$C$6:$C$505,Calc!$AW147)&amp;"")</f>
        <v/>
      </c>
      <c r="D147" s="19" t="str">
        <f ca="1">IF(Calc!$AW147="","",INDEX(Calc!$AP$6:$AP$505,Calc!$AW147))</f>
        <v/>
      </c>
      <c r="E147" s="21" t="str">
        <f ca="1">IF(Calc!$AW147="","",IF(INDEX(Calc!$AS$6:$AS$505,Calc!$AW147)="","Shout-out","Milestone"))</f>
        <v/>
      </c>
      <c r="F147" s="22" t="str">
        <f ca="1">IF(Calc!$AW147="","",IF($E147="Shout-out",SUBSTITUTE(SUBSTITUTE(SUBSTITUTE(SUBSTITUTE(Setup!$C$7&amp;"","{name}",IF($B147="","this employee",$B147)),"{years}",$D147),"{yearword}",IF($D147=1,"year","years")),"{company}",Setup!$C$4),IF(INDEX(Calc!$AT$6:$AT$505,Calc!$AW147),"Award ordered. Present it on the anniversary.","Order award by "&amp;TEXT(INDEX(Calc!$AU$6:$AU$505,Calc!$AW147),"mmm d, yyyy")&amp;IF(INDEX(Calc!$AU$6:$AU$505,Calc!$AW147)&lt;Setup!$C$5," (late, order today)",""))))</f>
        <v/>
      </c>
    </row>
    <row r="148" spans="1:6" x14ac:dyDescent="0.2">
      <c r="A148" s="20" t="str">
        <f ca="1">IF(Calc!$AW148="","",INT(Calc!$AV148))</f>
        <v/>
      </c>
      <c r="B148" s="21" t="str">
        <f ca="1">IF(Calc!$AW148="","",INDEX(Roster!$A$6:$A$505,Calc!$AW148)&amp;"")</f>
        <v/>
      </c>
      <c r="C148" s="21" t="str">
        <f ca="1">IF(Calc!$AW148="","",INDEX(Roster!$C$6:$C$505,Calc!$AW148)&amp;"")</f>
        <v/>
      </c>
      <c r="D148" s="19" t="str">
        <f ca="1">IF(Calc!$AW148="","",INDEX(Calc!$AP$6:$AP$505,Calc!$AW148))</f>
        <v/>
      </c>
      <c r="E148" s="21" t="str">
        <f ca="1">IF(Calc!$AW148="","",IF(INDEX(Calc!$AS$6:$AS$505,Calc!$AW148)="","Shout-out","Milestone"))</f>
        <v/>
      </c>
      <c r="F148" s="22" t="str">
        <f ca="1">IF(Calc!$AW148="","",IF($E148="Shout-out",SUBSTITUTE(SUBSTITUTE(SUBSTITUTE(SUBSTITUTE(Setup!$C$7&amp;"","{name}",IF($B148="","this employee",$B148)),"{years}",$D148),"{yearword}",IF($D148=1,"year","years")),"{company}",Setup!$C$4),IF(INDEX(Calc!$AT$6:$AT$505,Calc!$AW148),"Award ordered. Present it on the anniversary.","Order award by "&amp;TEXT(INDEX(Calc!$AU$6:$AU$505,Calc!$AW148),"mmm d, yyyy")&amp;IF(INDEX(Calc!$AU$6:$AU$505,Calc!$AW148)&lt;Setup!$C$5," (late, order today)",""))))</f>
        <v/>
      </c>
    </row>
    <row r="149" spans="1:6" x14ac:dyDescent="0.2">
      <c r="A149" s="20" t="str">
        <f ca="1">IF(Calc!$AW149="","",INT(Calc!$AV149))</f>
        <v/>
      </c>
      <c r="B149" s="21" t="str">
        <f ca="1">IF(Calc!$AW149="","",INDEX(Roster!$A$6:$A$505,Calc!$AW149)&amp;"")</f>
        <v/>
      </c>
      <c r="C149" s="21" t="str">
        <f ca="1">IF(Calc!$AW149="","",INDEX(Roster!$C$6:$C$505,Calc!$AW149)&amp;"")</f>
        <v/>
      </c>
      <c r="D149" s="19" t="str">
        <f ca="1">IF(Calc!$AW149="","",INDEX(Calc!$AP$6:$AP$505,Calc!$AW149))</f>
        <v/>
      </c>
      <c r="E149" s="21" t="str">
        <f ca="1">IF(Calc!$AW149="","",IF(INDEX(Calc!$AS$6:$AS$505,Calc!$AW149)="","Shout-out","Milestone"))</f>
        <v/>
      </c>
      <c r="F149" s="22" t="str">
        <f ca="1">IF(Calc!$AW149="","",IF($E149="Shout-out",SUBSTITUTE(SUBSTITUTE(SUBSTITUTE(SUBSTITUTE(Setup!$C$7&amp;"","{name}",IF($B149="","this employee",$B149)),"{years}",$D149),"{yearword}",IF($D149=1,"year","years")),"{company}",Setup!$C$4),IF(INDEX(Calc!$AT$6:$AT$505,Calc!$AW149),"Award ordered. Present it on the anniversary.","Order award by "&amp;TEXT(INDEX(Calc!$AU$6:$AU$505,Calc!$AW149),"mmm d, yyyy")&amp;IF(INDEX(Calc!$AU$6:$AU$505,Calc!$AW149)&lt;Setup!$C$5," (late, order today)",""))))</f>
        <v/>
      </c>
    </row>
    <row r="150" spans="1:6" x14ac:dyDescent="0.2">
      <c r="A150" s="20" t="str">
        <f ca="1">IF(Calc!$AW150="","",INT(Calc!$AV150))</f>
        <v/>
      </c>
      <c r="B150" s="21" t="str">
        <f ca="1">IF(Calc!$AW150="","",INDEX(Roster!$A$6:$A$505,Calc!$AW150)&amp;"")</f>
        <v/>
      </c>
      <c r="C150" s="21" t="str">
        <f ca="1">IF(Calc!$AW150="","",INDEX(Roster!$C$6:$C$505,Calc!$AW150)&amp;"")</f>
        <v/>
      </c>
      <c r="D150" s="19" t="str">
        <f ca="1">IF(Calc!$AW150="","",INDEX(Calc!$AP$6:$AP$505,Calc!$AW150))</f>
        <v/>
      </c>
      <c r="E150" s="21" t="str">
        <f ca="1">IF(Calc!$AW150="","",IF(INDEX(Calc!$AS$6:$AS$505,Calc!$AW150)="","Shout-out","Milestone"))</f>
        <v/>
      </c>
      <c r="F150" s="22" t="str">
        <f ca="1">IF(Calc!$AW150="","",IF($E150="Shout-out",SUBSTITUTE(SUBSTITUTE(SUBSTITUTE(SUBSTITUTE(Setup!$C$7&amp;"","{name}",IF($B150="","this employee",$B150)),"{years}",$D150),"{yearword}",IF($D150=1,"year","years")),"{company}",Setup!$C$4),IF(INDEX(Calc!$AT$6:$AT$505,Calc!$AW150),"Award ordered. Present it on the anniversary.","Order award by "&amp;TEXT(INDEX(Calc!$AU$6:$AU$505,Calc!$AW150),"mmm d, yyyy")&amp;IF(INDEX(Calc!$AU$6:$AU$505,Calc!$AW150)&lt;Setup!$C$5," (late, order today)",""))))</f>
        <v/>
      </c>
    </row>
    <row r="151" spans="1:6" x14ac:dyDescent="0.2">
      <c r="A151" s="20" t="str">
        <f ca="1">IF(Calc!$AW151="","",INT(Calc!$AV151))</f>
        <v/>
      </c>
      <c r="B151" s="21" t="str">
        <f ca="1">IF(Calc!$AW151="","",INDEX(Roster!$A$6:$A$505,Calc!$AW151)&amp;"")</f>
        <v/>
      </c>
      <c r="C151" s="21" t="str">
        <f ca="1">IF(Calc!$AW151="","",INDEX(Roster!$C$6:$C$505,Calc!$AW151)&amp;"")</f>
        <v/>
      </c>
      <c r="D151" s="19" t="str">
        <f ca="1">IF(Calc!$AW151="","",INDEX(Calc!$AP$6:$AP$505,Calc!$AW151))</f>
        <v/>
      </c>
      <c r="E151" s="21" t="str">
        <f ca="1">IF(Calc!$AW151="","",IF(INDEX(Calc!$AS$6:$AS$505,Calc!$AW151)="","Shout-out","Milestone"))</f>
        <v/>
      </c>
      <c r="F151" s="22" t="str">
        <f ca="1">IF(Calc!$AW151="","",IF($E151="Shout-out",SUBSTITUTE(SUBSTITUTE(SUBSTITUTE(SUBSTITUTE(Setup!$C$7&amp;"","{name}",IF($B151="","this employee",$B151)),"{years}",$D151),"{yearword}",IF($D151=1,"year","years")),"{company}",Setup!$C$4),IF(INDEX(Calc!$AT$6:$AT$505,Calc!$AW151),"Award ordered. Present it on the anniversary.","Order award by "&amp;TEXT(INDEX(Calc!$AU$6:$AU$505,Calc!$AW151),"mmm d, yyyy")&amp;IF(INDEX(Calc!$AU$6:$AU$505,Calc!$AW151)&lt;Setup!$C$5," (late, order today)",""))))</f>
        <v/>
      </c>
    </row>
    <row r="152" spans="1:6" x14ac:dyDescent="0.2">
      <c r="A152" s="20" t="str">
        <f ca="1">IF(Calc!$AW152="","",INT(Calc!$AV152))</f>
        <v/>
      </c>
      <c r="B152" s="21" t="str">
        <f ca="1">IF(Calc!$AW152="","",INDEX(Roster!$A$6:$A$505,Calc!$AW152)&amp;"")</f>
        <v/>
      </c>
      <c r="C152" s="21" t="str">
        <f ca="1">IF(Calc!$AW152="","",INDEX(Roster!$C$6:$C$505,Calc!$AW152)&amp;"")</f>
        <v/>
      </c>
      <c r="D152" s="19" t="str">
        <f ca="1">IF(Calc!$AW152="","",INDEX(Calc!$AP$6:$AP$505,Calc!$AW152))</f>
        <v/>
      </c>
      <c r="E152" s="21" t="str">
        <f ca="1">IF(Calc!$AW152="","",IF(INDEX(Calc!$AS$6:$AS$505,Calc!$AW152)="","Shout-out","Milestone"))</f>
        <v/>
      </c>
      <c r="F152" s="22" t="str">
        <f ca="1">IF(Calc!$AW152="","",IF($E152="Shout-out",SUBSTITUTE(SUBSTITUTE(SUBSTITUTE(SUBSTITUTE(Setup!$C$7&amp;"","{name}",IF($B152="","this employee",$B152)),"{years}",$D152),"{yearword}",IF($D152=1,"year","years")),"{company}",Setup!$C$4),IF(INDEX(Calc!$AT$6:$AT$505,Calc!$AW152),"Award ordered. Present it on the anniversary.","Order award by "&amp;TEXT(INDEX(Calc!$AU$6:$AU$505,Calc!$AW152),"mmm d, yyyy")&amp;IF(INDEX(Calc!$AU$6:$AU$505,Calc!$AW152)&lt;Setup!$C$5," (late, order today)",""))))</f>
        <v/>
      </c>
    </row>
    <row r="153" spans="1:6" x14ac:dyDescent="0.2">
      <c r="A153" s="20" t="str">
        <f ca="1">IF(Calc!$AW153="","",INT(Calc!$AV153))</f>
        <v/>
      </c>
      <c r="B153" s="21" t="str">
        <f ca="1">IF(Calc!$AW153="","",INDEX(Roster!$A$6:$A$505,Calc!$AW153)&amp;"")</f>
        <v/>
      </c>
      <c r="C153" s="21" t="str">
        <f ca="1">IF(Calc!$AW153="","",INDEX(Roster!$C$6:$C$505,Calc!$AW153)&amp;"")</f>
        <v/>
      </c>
      <c r="D153" s="19" t="str">
        <f ca="1">IF(Calc!$AW153="","",INDEX(Calc!$AP$6:$AP$505,Calc!$AW153))</f>
        <v/>
      </c>
      <c r="E153" s="21" t="str">
        <f ca="1">IF(Calc!$AW153="","",IF(INDEX(Calc!$AS$6:$AS$505,Calc!$AW153)="","Shout-out","Milestone"))</f>
        <v/>
      </c>
      <c r="F153" s="22" t="str">
        <f ca="1">IF(Calc!$AW153="","",IF($E153="Shout-out",SUBSTITUTE(SUBSTITUTE(SUBSTITUTE(SUBSTITUTE(Setup!$C$7&amp;"","{name}",IF($B153="","this employee",$B153)),"{years}",$D153),"{yearword}",IF($D153=1,"year","years")),"{company}",Setup!$C$4),IF(INDEX(Calc!$AT$6:$AT$505,Calc!$AW153),"Award ordered. Present it on the anniversary.","Order award by "&amp;TEXT(INDEX(Calc!$AU$6:$AU$505,Calc!$AW153),"mmm d, yyyy")&amp;IF(INDEX(Calc!$AU$6:$AU$505,Calc!$AW153)&lt;Setup!$C$5," (late, order today)",""))))</f>
        <v/>
      </c>
    </row>
    <row r="154" spans="1:6" x14ac:dyDescent="0.2">
      <c r="A154" s="20" t="str">
        <f ca="1">IF(Calc!$AW154="","",INT(Calc!$AV154))</f>
        <v/>
      </c>
      <c r="B154" s="21" t="str">
        <f ca="1">IF(Calc!$AW154="","",INDEX(Roster!$A$6:$A$505,Calc!$AW154)&amp;"")</f>
        <v/>
      </c>
      <c r="C154" s="21" t="str">
        <f ca="1">IF(Calc!$AW154="","",INDEX(Roster!$C$6:$C$505,Calc!$AW154)&amp;"")</f>
        <v/>
      </c>
      <c r="D154" s="19" t="str">
        <f ca="1">IF(Calc!$AW154="","",INDEX(Calc!$AP$6:$AP$505,Calc!$AW154))</f>
        <v/>
      </c>
      <c r="E154" s="21" t="str">
        <f ca="1">IF(Calc!$AW154="","",IF(INDEX(Calc!$AS$6:$AS$505,Calc!$AW154)="","Shout-out","Milestone"))</f>
        <v/>
      </c>
      <c r="F154" s="22" t="str">
        <f ca="1">IF(Calc!$AW154="","",IF($E154="Shout-out",SUBSTITUTE(SUBSTITUTE(SUBSTITUTE(SUBSTITUTE(Setup!$C$7&amp;"","{name}",IF($B154="","this employee",$B154)),"{years}",$D154),"{yearword}",IF($D154=1,"year","years")),"{company}",Setup!$C$4),IF(INDEX(Calc!$AT$6:$AT$505,Calc!$AW154),"Award ordered. Present it on the anniversary.","Order award by "&amp;TEXT(INDEX(Calc!$AU$6:$AU$505,Calc!$AW154),"mmm d, yyyy")&amp;IF(INDEX(Calc!$AU$6:$AU$505,Calc!$AW154)&lt;Setup!$C$5," (late, order today)",""))))</f>
        <v/>
      </c>
    </row>
    <row r="155" spans="1:6" x14ac:dyDescent="0.2">
      <c r="A155" s="20" t="str">
        <f ca="1">IF(Calc!$AW155="","",INT(Calc!$AV155))</f>
        <v/>
      </c>
      <c r="B155" s="21" t="str">
        <f ca="1">IF(Calc!$AW155="","",INDEX(Roster!$A$6:$A$505,Calc!$AW155)&amp;"")</f>
        <v/>
      </c>
      <c r="C155" s="21" t="str">
        <f ca="1">IF(Calc!$AW155="","",INDEX(Roster!$C$6:$C$505,Calc!$AW155)&amp;"")</f>
        <v/>
      </c>
      <c r="D155" s="19" t="str">
        <f ca="1">IF(Calc!$AW155="","",INDEX(Calc!$AP$6:$AP$505,Calc!$AW155))</f>
        <v/>
      </c>
      <c r="E155" s="21" t="str">
        <f ca="1">IF(Calc!$AW155="","",IF(INDEX(Calc!$AS$6:$AS$505,Calc!$AW155)="","Shout-out","Milestone"))</f>
        <v/>
      </c>
      <c r="F155" s="22" t="str">
        <f ca="1">IF(Calc!$AW155="","",IF($E155="Shout-out",SUBSTITUTE(SUBSTITUTE(SUBSTITUTE(SUBSTITUTE(Setup!$C$7&amp;"","{name}",IF($B155="","this employee",$B155)),"{years}",$D155),"{yearword}",IF($D155=1,"year","years")),"{company}",Setup!$C$4),IF(INDEX(Calc!$AT$6:$AT$505,Calc!$AW155),"Award ordered. Present it on the anniversary.","Order award by "&amp;TEXT(INDEX(Calc!$AU$6:$AU$505,Calc!$AW155),"mmm d, yyyy")&amp;IF(INDEX(Calc!$AU$6:$AU$505,Calc!$AW155)&lt;Setup!$C$5," (late, order today)",""))))</f>
        <v/>
      </c>
    </row>
    <row r="156" spans="1:6" x14ac:dyDescent="0.2">
      <c r="A156" s="20" t="str">
        <f ca="1">IF(Calc!$AW156="","",INT(Calc!$AV156))</f>
        <v/>
      </c>
      <c r="B156" s="21" t="str">
        <f ca="1">IF(Calc!$AW156="","",INDEX(Roster!$A$6:$A$505,Calc!$AW156)&amp;"")</f>
        <v/>
      </c>
      <c r="C156" s="21" t="str">
        <f ca="1">IF(Calc!$AW156="","",INDEX(Roster!$C$6:$C$505,Calc!$AW156)&amp;"")</f>
        <v/>
      </c>
      <c r="D156" s="19" t="str">
        <f ca="1">IF(Calc!$AW156="","",INDEX(Calc!$AP$6:$AP$505,Calc!$AW156))</f>
        <v/>
      </c>
      <c r="E156" s="21" t="str">
        <f ca="1">IF(Calc!$AW156="","",IF(INDEX(Calc!$AS$6:$AS$505,Calc!$AW156)="","Shout-out","Milestone"))</f>
        <v/>
      </c>
      <c r="F156" s="22" t="str">
        <f ca="1">IF(Calc!$AW156="","",IF($E156="Shout-out",SUBSTITUTE(SUBSTITUTE(SUBSTITUTE(SUBSTITUTE(Setup!$C$7&amp;"","{name}",IF($B156="","this employee",$B156)),"{years}",$D156),"{yearword}",IF($D156=1,"year","years")),"{company}",Setup!$C$4),IF(INDEX(Calc!$AT$6:$AT$505,Calc!$AW156),"Award ordered. Present it on the anniversary.","Order award by "&amp;TEXT(INDEX(Calc!$AU$6:$AU$505,Calc!$AW156),"mmm d, yyyy")&amp;IF(INDEX(Calc!$AU$6:$AU$505,Calc!$AW156)&lt;Setup!$C$5," (late, order today)",""))))</f>
        <v/>
      </c>
    </row>
    <row r="157" spans="1:6" x14ac:dyDescent="0.2">
      <c r="A157" s="20" t="str">
        <f ca="1">IF(Calc!$AW157="","",INT(Calc!$AV157))</f>
        <v/>
      </c>
      <c r="B157" s="21" t="str">
        <f ca="1">IF(Calc!$AW157="","",INDEX(Roster!$A$6:$A$505,Calc!$AW157)&amp;"")</f>
        <v/>
      </c>
      <c r="C157" s="21" t="str">
        <f ca="1">IF(Calc!$AW157="","",INDEX(Roster!$C$6:$C$505,Calc!$AW157)&amp;"")</f>
        <v/>
      </c>
      <c r="D157" s="19" t="str">
        <f ca="1">IF(Calc!$AW157="","",INDEX(Calc!$AP$6:$AP$505,Calc!$AW157))</f>
        <v/>
      </c>
      <c r="E157" s="21" t="str">
        <f ca="1">IF(Calc!$AW157="","",IF(INDEX(Calc!$AS$6:$AS$505,Calc!$AW157)="","Shout-out","Milestone"))</f>
        <v/>
      </c>
      <c r="F157" s="22" t="str">
        <f ca="1">IF(Calc!$AW157="","",IF($E157="Shout-out",SUBSTITUTE(SUBSTITUTE(SUBSTITUTE(SUBSTITUTE(Setup!$C$7&amp;"","{name}",IF($B157="","this employee",$B157)),"{years}",$D157),"{yearword}",IF($D157=1,"year","years")),"{company}",Setup!$C$4),IF(INDEX(Calc!$AT$6:$AT$505,Calc!$AW157),"Award ordered. Present it on the anniversary.","Order award by "&amp;TEXT(INDEX(Calc!$AU$6:$AU$505,Calc!$AW157),"mmm d, yyyy")&amp;IF(INDEX(Calc!$AU$6:$AU$505,Calc!$AW157)&lt;Setup!$C$5," (late, order today)",""))))</f>
        <v/>
      </c>
    </row>
    <row r="158" spans="1:6" x14ac:dyDescent="0.2">
      <c r="A158" s="20" t="str">
        <f ca="1">IF(Calc!$AW158="","",INT(Calc!$AV158))</f>
        <v/>
      </c>
      <c r="B158" s="21" t="str">
        <f ca="1">IF(Calc!$AW158="","",INDEX(Roster!$A$6:$A$505,Calc!$AW158)&amp;"")</f>
        <v/>
      </c>
      <c r="C158" s="21" t="str">
        <f ca="1">IF(Calc!$AW158="","",INDEX(Roster!$C$6:$C$505,Calc!$AW158)&amp;"")</f>
        <v/>
      </c>
      <c r="D158" s="19" t="str">
        <f ca="1">IF(Calc!$AW158="","",INDEX(Calc!$AP$6:$AP$505,Calc!$AW158))</f>
        <v/>
      </c>
      <c r="E158" s="21" t="str">
        <f ca="1">IF(Calc!$AW158="","",IF(INDEX(Calc!$AS$6:$AS$505,Calc!$AW158)="","Shout-out","Milestone"))</f>
        <v/>
      </c>
      <c r="F158" s="22" t="str">
        <f ca="1">IF(Calc!$AW158="","",IF($E158="Shout-out",SUBSTITUTE(SUBSTITUTE(SUBSTITUTE(SUBSTITUTE(Setup!$C$7&amp;"","{name}",IF($B158="","this employee",$B158)),"{years}",$D158),"{yearword}",IF($D158=1,"year","years")),"{company}",Setup!$C$4),IF(INDEX(Calc!$AT$6:$AT$505,Calc!$AW158),"Award ordered. Present it on the anniversary.","Order award by "&amp;TEXT(INDEX(Calc!$AU$6:$AU$505,Calc!$AW158),"mmm d, yyyy")&amp;IF(INDEX(Calc!$AU$6:$AU$505,Calc!$AW158)&lt;Setup!$C$5," (late, order today)",""))))</f>
        <v/>
      </c>
    </row>
    <row r="159" spans="1:6" x14ac:dyDescent="0.2">
      <c r="A159" s="20" t="str">
        <f ca="1">IF(Calc!$AW159="","",INT(Calc!$AV159))</f>
        <v/>
      </c>
      <c r="B159" s="21" t="str">
        <f ca="1">IF(Calc!$AW159="","",INDEX(Roster!$A$6:$A$505,Calc!$AW159)&amp;"")</f>
        <v/>
      </c>
      <c r="C159" s="21" t="str">
        <f ca="1">IF(Calc!$AW159="","",INDEX(Roster!$C$6:$C$505,Calc!$AW159)&amp;"")</f>
        <v/>
      </c>
      <c r="D159" s="19" t="str">
        <f ca="1">IF(Calc!$AW159="","",INDEX(Calc!$AP$6:$AP$505,Calc!$AW159))</f>
        <v/>
      </c>
      <c r="E159" s="21" t="str">
        <f ca="1">IF(Calc!$AW159="","",IF(INDEX(Calc!$AS$6:$AS$505,Calc!$AW159)="","Shout-out","Milestone"))</f>
        <v/>
      </c>
      <c r="F159" s="22" t="str">
        <f ca="1">IF(Calc!$AW159="","",IF($E159="Shout-out",SUBSTITUTE(SUBSTITUTE(SUBSTITUTE(SUBSTITUTE(Setup!$C$7&amp;"","{name}",IF($B159="","this employee",$B159)),"{years}",$D159),"{yearword}",IF($D159=1,"year","years")),"{company}",Setup!$C$4),IF(INDEX(Calc!$AT$6:$AT$505,Calc!$AW159),"Award ordered. Present it on the anniversary.","Order award by "&amp;TEXT(INDEX(Calc!$AU$6:$AU$505,Calc!$AW159),"mmm d, yyyy")&amp;IF(INDEX(Calc!$AU$6:$AU$505,Calc!$AW159)&lt;Setup!$C$5," (late, order today)",""))))</f>
        <v/>
      </c>
    </row>
    <row r="160" spans="1:6" x14ac:dyDescent="0.2">
      <c r="A160" s="20" t="str">
        <f ca="1">IF(Calc!$AW160="","",INT(Calc!$AV160))</f>
        <v/>
      </c>
      <c r="B160" s="21" t="str">
        <f ca="1">IF(Calc!$AW160="","",INDEX(Roster!$A$6:$A$505,Calc!$AW160)&amp;"")</f>
        <v/>
      </c>
      <c r="C160" s="21" t="str">
        <f ca="1">IF(Calc!$AW160="","",INDEX(Roster!$C$6:$C$505,Calc!$AW160)&amp;"")</f>
        <v/>
      </c>
      <c r="D160" s="19" t="str">
        <f ca="1">IF(Calc!$AW160="","",INDEX(Calc!$AP$6:$AP$505,Calc!$AW160))</f>
        <v/>
      </c>
      <c r="E160" s="21" t="str">
        <f ca="1">IF(Calc!$AW160="","",IF(INDEX(Calc!$AS$6:$AS$505,Calc!$AW160)="","Shout-out","Milestone"))</f>
        <v/>
      </c>
      <c r="F160" s="22" t="str">
        <f ca="1">IF(Calc!$AW160="","",IF($E160="Shout-out",SUBSTITUTE(SUBSTITUTE(SUBSTITUTE(SUBSTITUTE(Setup!$C$7&amp;"","{name}",IF($B160="","this employee",$B160)),"{years}",$D160),"{yearword}",IF($D160=1,"year","years")),"{company}",Setup!$C$4),IF(INDEX(Calc!$AT$6:$AT$505,Calc!$AW160),"Award ordered. Present it on the anniversary.","Order award by "&amp;TEXT(INDEX(Calc!$AU$6:$AU$505,Calc!$AW160),"mmm d, yyyy")&amp;IF(INDEX(Calc!$AU$6:$AU$505,Calc!$AW160)&lt;Setup!$C$5," (late, order today)",""))))</f>
        <v/>
      </c>
    </row>
    <row r="161" spans="1:6" x14ac:dyDescent="0.2">
      <c r="A161" s="20" t="str">
        <f ca="1">IF(Calc!$AW161="","",INT(Calc!$AV161))</f>
        <v/>
      </c>
      <c r="B161" s="21" t="str">
        <f ca="1">IF(Calc!$AW161="","",INDEX(Roster!$A$6:$A$505,Calc!$AW161)&amp;"")</f>
        <v/>
      </c>
      <c r="C161" s="21" t="str">
        <f ca="1">IF(Calc!$AW161="","",INDEX(Roster!$C$6:$C$505,Calc!$AW161)&amp;"")</f>
        <v/>
      </c>
      <c r="D161" s="19" t="str">
        <f ca="1">IF(Calc!$AW161="","",INDEX(Calc!$AP$6:$AP$505,Calc!$AW161))</f>
        <v/>
      </c>
      <c r="E161" s="21" t="str">
        <f ca="1">IF(Calc!$AW161="","",IF(INDEX(Calc!$AS$6:$AS$505,Calc!$AW161)="","Shout-out","Milestone"))</f>
        <v/>
      </c>
      <c r="F161" s="22" t="str">
        <f ca="1">IF(Calc!$AW161="","",IF($E161="Shout-out",SUBSTITUTE(SUBSTITUTE(SUBSTITUTE(SUBSTITUTE(Setup!$C$7&amp;"","{name}",IF($B161="","this employee",$B161)),"{years}",$D161),"{yearword}",IF($D161=1,"year","years")),"{company}",Setup!$C$4),IF(INDEX(Calc!$AT$6:$AT$505,Calc!$AW161),"Award ordered. Present it on the anniversary.","Order award by "&amp;TEXT(INDEX(Calc!$AU$6:$AU$505,Calc!$AW161),"mmm d, yyyy")&amp;IF(INDEX(Calc!$AU$6:$AU$505,Calc!$AW161)&lt;Setup!$C$5," (late, order today)",""))))</f>
        <v/>
      </c>
    </row>
    <row r="162" spans="1:6" x14ac:dyDescent="0.2">
      <c r="A162" s="20" t="str">
        <f ca="1">IF(Calc!$AW162="","",INT(Calc!$AV162))</f>
        <v/>
      </c>
      <c r="B162" s="21" t="str">
        <f ca="1">IF(Calc!$AW162="","",INDEX(Roster!$A$6:$A$505,Calc!$AW162)&amp;"")</f>
        <v/>
      </c>
      <c r="C162" s="21" t="str">
        <f ca="1">IF(Calc!$AW162="","",INDEX(Roster!$C$6:$C$505,Calc!$AW162)&amp;"")</f>
        <v/>
      </c>
      <c r="D162" s="19" t="str">
        <f ca="1">IF(Calc!$AW162="","",INDEX(Calc!$AP$6:$AP$505,Calc!$AW162))</f>
        <v/>
      </c>
      <c r="E162" s="21" t="str">
        <f ca="1">IF(Calc!$AW162="","",IF(INDEX(Calc!$AS$6:$AS$505,Calc!$AW162)="","Shout-out","Milestone"))</f>
        <v/>
      </c>
      <c r="F162" s="22" t="str">
        <f ca="1">IF(Calc!$AW162="","",IF($E162="Shout-out",SUBSTITUTE(SUBSTITUTE(SUBSTITUTE(SUBSTITUTE(Setup!$C$7&amp;"","{name}",IF($B162="","this employee",$B162)),"{years}",$D162),"{yearword}",IF($D162=1,"year","years")),"{company}",Setup!$C$4),IF(INDEX(Calc!$AT$6:$AT$505,Calc!$AW162),"Award ordered. Present it on the anniversary.","Order award by "&amp;TEXT(INDEX(Calc!$AU$6:$AU$505,Calc!$AW162),"mmm d, yyyy")&amp;IF(INDEX(Calc!$AU$6:$AU$505,Calc!$AW162)&lt;Setup!$C$5," (late, order today)",""))))</f>
        <v/>
      </c>
    </row>
    <row r="163" spans="1:6" x14ac:dyDescent="0.2">
      <c r="A163" s="20" t="str">
        <f ca="1">IF(Calc!$AW163="","",INT(Calc!$AV163))</f>
        <v/>
      </c>
      <c r="B163" s="21" t="str">
        <f ca="1">IF(Calc!$AW163="","",INDEX(Roster!$A$6:$A$505,Calc!$AW163)&amp;"")</f>
        <v/>
      </c>
      <c r="C163" s="21" t="str">
        <f ca="1">IF(Calc!$AW163="","",INDEX(Roster!$C$6:$C$505,Calc!$AW163)&amp;"")</f>
        <v/>
      </c>
      <c r="D163" s="19" t="str">
        <f ca="1">IF(Calc!$AW163="","",INDEX(Calc!$AP$6:$AP$505,Calc!$AW163))</f>
        <v/>
      </c>
      <c r="E163" s="21" t="str">
        <f ca="1">IF(Calc!$AW163="","",IF(INDEX(Calc!$AS$6:$AS$505,Calc!$AW163)="","Shout-out","Milestone"))</f>
        <v/>
      </c>
      <c r="F163" s="22" t="str">
        <f ca="1">IF(Calc!$AW163="","",IF($E163="Shout-out",SUBSTITUTE(SUBSTITUTE(SUBSTITUTE(SUBSTITUTE(Setup!$C$7&amp;"","{name}",IF($B163="","this employee",$B163)),"{years}",$D163),"{yearword}",IF($D163=1,"year","years")),"{company}",Setup!$C$4),IF(INDEX(Calc!$AT$6:$AT$505,Calc!$AW163),"Award ordered. Present it on the anniversary.","Order award by "&amp;TEXT(INDEX(Calc!$AU$6:$AU$505,Calc!$AW163),"mmm d, yyyy")&amp;IF(INDEX(Calc!$AU$6:$AU$505,Calc!$AW163)&lt;Setup!$C$5," (late, order today)",""))))</f>
        <v/>
      </c>
    </row>
    <row r="164" spans="1:6" x14ac:dyDescent="0.2">
      <c r="A164" s="20" t="str">
        <f ca="1">IF(Calc!$AW164="","",INT(Calc!$AV164))</f>
        <v/>
      </c>
      <c r="B164" s="21" t="str">
        <f ca="1">IF(Calc!$AW164="","",INDEX(Roster!$A$6:$A$505,Calc!$AW164)&amp;"")</f>
        <v/>
      </c>
      <c r="C164" s="21" t="str">
        <f ca="1">IF(Calc!$AW164="","",INDEX(Roster!$C$6:$C$505,Calc!$AW164)&amp;"")</f>
        <v/>
      </c>
      <c r="D164" s="19" t="str">
        <f ca="1">IF(Calc!$AW164="","",INDEX(Calc!$AP$6:$AP$505,Calc!$AW164))</f>
        <v/>
      </c>
      <c r="E164" s="21" t="str">
        <f ca="1">IF(Calc!$AW164="","",IF(INDEX(Calc!$AS$6:$AS$505,Calc!$AW164)="","Shout-out","Milestone"))</f>
        <v/>
      </c>
      <c r="F164" s="22" t="str">
        <f ca="1">IF(Calc!$AW164="","",IF($E164="Shout-out",SUBSTITUTE(SUBSTITUTE(SUBSTITUTE(SUBSTITUTE(Setup!$C$7&amp;"","{name}",IF($B164="","this employee",$B164)),"{years}",$D164),"{yearword}",IF($D164=1,"year","years")),"{company}",Setup!$C$4),IF(INDEX(Calc!$AT$6:$AT$505,Calc!$AW164),"Award ordered. Present it on the anniversary.","Order award by "&amp;TEXT(INDEX(Calc!$AU$6:$AU$505,Calc!$AW164),"mmm d, yyyy")&amp;IF(INDEX(Calc!$AU$6:$AU$505,Calc!$AW164)&lt;Setup!$C$5," (late, order today)",""))))</f>
        <v/>
      </c>
    </row>
    <row r="165" spans="1:6" x14ac:dyDescent="0.2">
      <c r="A165" s="20" t="str">
        <f ca="1">IF(Calc!$AW165="","",INT(Calc!$AV165))</f>
        <v/>
      </c>
      <c r="B165" s="21" t="str">
        <f ca="1">IF(Calc!$AW165="","",INDEX(Roster!$A$6:$A$505,Calc!$AW165)&amp;"")</f>
        <v/>
      </c>
      <c r="C165" s="21" t="str">
        <f ca="1">IF(Calc!$AW165="","",INDEX(Roster!$C$6:$C$505,Calc!$AW165)&amp;"")</f>
        <v/>
      </c>
      <c r="D165" s="19" t="str">
        <f ca="1">IF(Calc!$AW165="","",INDEX(Calc!$AP$6:$AP$505,Calc!$AW165))</f>
        <v/>
      </c>
      <c r="E165" s="21" t="str">
        <f ca="1">IF(Calc!$AW165="","",IF(INDEX(Calc!$AS$6:$AS$505,Calc!$AW165)="","Shout-out","Milestone"))</f>
        <v/>
      </c>
      <c r="F165" s="22" t="str">
        <f ca="1">IF(Calc!$AW165="","",IF($E165="Shout-out",SUBSTITUTE(SUBSTITUTE(SUBSTITUTE(SUBSTITUTE(Setup!$C$7&amp;"","{name}",IF($B165="","this employee",$B165)),"{years}",$D165),"{yearword}",IF($D165=1,"year","years")),"{company}",Setup!$C$4),IF(INDEX(Calc!$AT$6:$AT$505,Calc!$AW165),"Award ordered. Present it on the anniversary.","Order award by "&amp;TEXT(INDEX(Calc!$AU$6:$AU$505,Calc!$AW165),"mmm d, yyyy")&amp;IF(INDEX(Calc!$AU$6:$AU$505,Calc!$AW165)&lt;Setup!$C$5," (late, order today)",""))))</f>
        <v/>
      </c>
    </row>
    <row r="166" spans="1:6" x14ac:dyDescent="0.2">
      <c r="A166" s="20" t="str">
        <f ca="1">IF(Calc!$AW166="","",INT(Calc!$AV166))</f>
        <v/>
      </c>
      <c r="B166" s="21" t="str">
        <f ca="1">IF(Calc!$AW166="","",INDEX(Roster!$A$6:$A$505,Calc!$AW166)&amp;"")</f>
        <v/>
      </c>
      <c r="C166" s="21" t="str">
        <f ca="1">IF(Calc!$AW166="","",INDEX(Roster!$C$6:$C$505,Calc!$AW166)&amp;"")</f>
        <v/>
      </c>
      <c r="D166" s="19" t="str">
        <f ca="1">IF(Calc!$AW166="","",INDEX(Calc!$AP$6:$AP$505,Calc!$AW166))</f>
        <v/>
      </c>
      <c r="E166" s="21" t="str">
        <f ca="1">IF(Calc!$AW166="","",IF(INDEX(Calc!$AS$6:$AS$505,Calc!$AW166)="","Shout-out","Milestone"))</f>
        <v/>
      </c>
      <c r="F166" s="22" t="str">
        <f ca="1">IF(Calc!$AW166="","",IF($E166="Shout-out",SUBSTITUTE(SUBSTITUTE(SUBSTITUTE(SUBSTITUTE(Setup!$C$7&amp;"","{name}",IF($B166="","this employee",$B166)),"{years}",$D166),"{yearword}",IF($D166=1,"year","years")),"{company}",Setup!$C$4),IF(INDEX(Calc!$AT$6:$AT$505,Calc!$AW166),"Award ordered. Present it on the anniversary.","Order award by "&amp;TEXT(INDEX(Calc!$AU$6:$AU$505,Calc!$AW166),"mmm d, yyyy")&amp;IF(INDEX(Calc!$AU$6:$AU$505,Calc!$AW166)&lt;Setup!$C$5," (late, order today)",""))))</f>
        <v/>
      </c>
    </row>
    <row r="167" spans="1:6" x14ac:dyDescent="0.2">
      <c r="A167" s="20" t="str">
        <f ca="1">IF(Calc!$AW167="","",INT(Calc!$AV167))</f>
        <v/>
      </c>
      <c r="B167" s="21" t="str">
        <f ca="1">IF(Calc!$AW167="","",INDEX(Roster!$A$6:$A$505,Calc!$AW167)&amp;"")</f>
        <v/>
      </c>
      <c r="C167" s="21" t="str">
        <f ca="1">IF(Calc!$AW167="","",INDEX(Roster!$C$6:$C$505,Calc!$AW167)&amp;"")</f>
        <v/>
      </c>
      <c r="D167" s="19" t="str">
        <f ca="1">IF(Calc!$AW167="","",INDEX(Calc!$AP$6:$AP$505,Calc!$AW167))</f>
        <v/>
      </c>
      <c r="E167" s="21" t="str">
        <f ca="1">IF(Calc!$AW167="","",IF(INDEX(Calc!$AS$6:$AS$505,Calc!$AW167)="","Shout-out","Milestone"))</f>
        <v/>
      </c>
      <c r="F167" s="22" t="str">
        <f ca="1">IF(Calc!$AW167="","",IF($E167="Shout-out",SUBSTITUTE(SUBSTITUTE(SUBSTITUTE(SUBSTITUTE(Setup!$C$7&amp;"","{name}",IF($B167="","this employee",$B167)),"{years}",$D167),"{yearword}",IF($D167=1,"year","years")),"{company}",Setup!$C$4),IF(INDEX(Calc!$AT$6:$AT$505,Calc!$AW167),"Award ordered. Present it on the anniversary.","Order award by "&amp;TEXT(INDEX(Calc!$AU$6:$AU$505,Calc!$AW167),"mmm d, yyyy")&amp;IF(INDEX(Calc!$AU$6:$AU$505,Calc!$AW167)&lt;Setup!$C$5," (late, order today)",""))))</f>
        <v/>
      </c>
    </row>
    <row r="168" spans="1:6" x14ac:dyDescent="0.2">
      <c r="A168" s="20" t="str">
        <f ca="1">IF(Calc!$AW168="","",INT(Calc!$AV168))</f>
        <v/>
      </c>
      <c r="B168" s="21" t="str">
        <f ca="1">IF(Calc!$AW168="","",INDEX(Roster!$A$6:$A$505,Calc!$AW168)&amp;"")</f>
        <v/>
      </c>
      <c r="C168" s="21" t="str">
        <f ca="1">IF(Calc!$AW168="","",INDEX(Roster!$C$6:$C$505,Calc!$AW168)&amp;"")</f>
        <v/>
      </c>
      <c r="D168" s="19" t="str">
        <f ca="1">IF(Calc!$AW168="","",INDEX(Calc!$AP$6:$AP$505,Calc!$AW168))</f>
        <v/>
      </c>
      <c r="E168" s="21" t="str">
        <f ca="1">IF(Calc!$AW168="","",IF(INDEX(Calc!$AS$6:$AS$505,Calc!$AW168)="","Shout-out","Milestone"))</f>
        <v/>
      </c>
      <c r="F168" s="22" t="str">
        <f ca="1">IF(Calc!$AW168="","",IF($E168="Shout-out",SUBSTITUTE(SUBSTITUTE(SUBSTITUTE(SUBSTITUTE(Setup!$C$7&amp;"","{name}",IF($B168="","this employee",$B168)),"{years}",$D168),"{yearword}",IF($D168=1,"year","years")),"{company}",Setup!$C$4),IF(INDEX(Calc!$AT$6:$AT$505,Calc!$AW168),"Award ordered. Present it on the anniversary.","Order award by "&amp;TEXT(INDEX(Calc!$AU$6:$AU$505,Calc!$AW168),"mmm d, yyyy")&amp;IF(INDEX(Calc!$AU$6:$AU$505,Calc!$AW168)&lt;Setup!$C$5," (late, order today)",""))))</f>
        <v/>
      </c>
    </row>
    <row r="169" spans="1:6" x14ac:dyDescent="0.2">
      <c r="A169" s="20" t="str">
        <f ca="1">IF(Calc!$AW169="","",INT(Calc!$AV169))</f>
        <v/>
      </c>
      <c r="B169" s="21" t="str">
        <f ca="1">IF(Calc!$AW169="","",INDEX(Roster!$A$6:$A$505,Calc!$AW169)&amp;"")</f>
        <v/>
      </c>
      <c r="C169" s="21" t="str">
        <f ca="1">IF(Calc!$AW169="","",INDEX(Roster!$C$6:$C$505,Calc!$AW169)&amp;"")</f>
        <v/>
      </c>
      <c r="D169" s="19" t="str">
        <f ca="1">IF(Calc!$AW169="","",INDEX(Calc!$AP$6:$AP$505,Calc!$AW169))</f>
        <v/>
      </c>
      <c r="E169" s="21" t="str">
        <f ca="1">IF(Calc!$AW169="","",IF(INDEX(Calc!$AS$6:$AS$505,Calc!$AW169)="","Shout-out","Milestone"))</f>
        <v/>
      </c>
      <c r="F169" s="22" t="str">
        <f ca="1">IF(Calc!$AW169="","",IF($E169="Shout-out",SUBSTITUTE(SUBSTITUTE(SUBSTITUTE(SUBSTITUTE(Setup!$C$7&amp;"","{name}",IF($B169="","this employee",$B169)),"{years}",$D169),"{yearword}",IF($D169=1,"year","years")),"{company}",Setup!$C$4),IF(INDEX(Calc!$AT$6:$AT$505,Calc!$AW169),"Award ordered. Present it on the anniversary.","Order award by "&amp;TEXT(INDEX(Calc!$AU$6:$AU$505,Calc!$AW169),"mmm d, yyyy")&amp;IF(INDEX(Calc!$AU$6:$AU$505,Calc!$AW169)&lt;Setup!$C$5," (late, order today)",""))))</f>
        <v/>
      </c>
    </row>
    <row r="170" spans="1:6" x14ac:dyDescent="0.2">
      <c r="A170" s="20" t="str">
        <f ca="1">IF(Calc!$AW170="","",INT(Calc!$AV170))</f>
        <v/>
      </c>
      <c r="B170" s="21" t="str">
        <f ca="1">IF(Calc!$AW170="","",INDEX(Roster!$A$6:$A$505,Calc!$AW170)&amp;"")</f>
        <v/>
      </c>
      <c r="C170" s="21" t="str">
        <f ca="1">IF(Calc!$AW170="","",INDEX(Roster!$C$6:$C$505,Calc!$AW170)&amp;"")</f>
        <v/>
      </c>
      <c r="D170" s="19" t="str">
        <f ca="1">IF(Calc!$AW170="","",INDEX(Calc!$AP$6:$AP$505,Calc!$AW170))</f>
        <v/>
      </c>
      <c r="E170" s="21" t="str">
        <f ca="1">IF(Calc!$AW170="","",IF(INDEX(Calc!$AS$6:$AS$505,Calc!$AW170)="","Shout-out","Milestone"))</f>
        <v/>
      </c>
      <c r="F170" s="22" t="str">
        <f ca="1">IF(Calc!$AW170="","",IF($E170="Shout-out",SUBSTITUTE(SUBSTITUTE(SUBSTITUTE(SUBSTITUTE(Setup!$C$7&amp;"","{name}",IF($B170="","this employee",$B170)),"{years}",$D170),"{yearword}",IF($D170=1,"year","years")),"{company}",Setup!$C$4),IF(INDEX(Calc!$AT$6:$AT$505,Calc!$AW170),"Award ordered. Present it on the anniversary.","Order award by "&amp;TEXT(INDEX(Calc!$AU$6:$AU$505,Calc!$AW170),"mmm d, yyyy")&amp;IF(INDEX(Calc!$AU$6:$AU$505,Calc!$AW170)&lt;Setup!$C$5," (late, order today)",""))))</f>
        <v/>
      </c>
    </row>
    <row r="171" spans="1:6" x14ac:dyDescent="0.2">
      <c r="A171" s="20" t="str">
        <f ca="1">IF(Calc!$AW171="","",INT(Calc!$AV171))</f>
        <v/>
      </c>
      <c r="B171" s="21" t="str">
        <f ca="1">IF(Calc!$AW171="","",INDEX(Roster!$A$6:$A$505,Calc!$AW171)&amp;"")</f>
        <v/>
      </c>
      <c r="C171" s="21" t="str">
        <f ca="1">IF(Calc!$AW171="","",INDEX(Roster!$C$6:$C$505,Calc!$AW171)&amp;"")</f>
        <v/>
      </c>
      <c r="D171" s="19" t="str">
        <f ca="1">IF(Calc!$AW171="","",INDEX(Calc!$AP$6:$AP$505,Calc!$AW171))</f>
        <v/>
      </c>
      <c r="E171" s="21" t="str">
        <f ca="1">IF(Calc!$AW171="","",IF(INDEX(Calc!$AS$6:$AS$505,Calc!$AW171)="","Shout-out","Milestone"))</f>
        <v/>
      </c>
      <c r="F171" s="22" t="str">
        <f ca="1">IF(Calc!$AW171="","",IF($E171="Shout-out",SUBSTITUTE(SUBSTITUTE(SUBSTITUTE(SUBSTITUTE(Setup!$C$7&amp;"","{name}",IF($B171="","this employee",$B171)),"{years}",$D171),"{yearword}",IF($D171=1,"year","years")),"{company}",Setup!$C$4),IF(INDEX(Calc!$AT$6:$AT$505,Calc!$AW171),"Award ordered. Present it on the anniversary.","Order award by "&amp;TEXT(INDEX(Calc!$AU$6:$AU$505,Calc!$AW171),"mmm d, yyyy")&amp;IF(INDEX(Calc!$AU$6:$AU$505,Calc!$AW171)&lt;Setup!$C$5," (late, order today)",""))))</f>
        <v/>
      </c>
    </row>
    <row r="172" spans="1:6" x14ac:dyDescent="0.2">
      <c r="A172" s="20" t="str">
        <f ca="1">IF(Calc!$AW172="","",INT(Calc!$AV172))</f>
        <v/>
      </c>
      <c r="B172" s="21" t="str">
        <f ca="1">IF(Calc!$AW172="","",INDEX(Roster!$A$6:$A$505,Calc!$AW172)&amp;"")</f>
        <v/>
      </c>
      <c r="C172" s="21" t="str">
        <f ca="1">IF(Calc!$AW172="","",INDEX(Roster!$C$6:$C$505,Calc!$AW172)&amp;"")</f>
        <v/>
      </c>
      <c r="D172" s="19" t="str">
        <f ca="1">IF(Calc!$AW172="","",INDEX(Calc!$AP$6:$AP$505,Calc!$AW172))</f>
        <v/>
      </c>
      <c r="E172" s="21" t="str">
        <f ca="1">IF(Calc!$AW172="","",IF(INDEX(Calc!$AS$6:$AS$505,Calc!$AW172)="","Shout-out","Milestone"))</f>
        <v/>
      </c>
      <c r="F172" s="22" t="str">
        <f ca="1">IF(Calc!$AW172="","",IF($E172="Shout-out",SUBSTITUTE(SUBSTITUTE(SUBSTITUTE(SUBSTITUTE(Setup!$C$7&amp;"","{name}",IF($B172="","this employee",$B172)),"{years}",$D172),"{yearword}",IF($D172=1,"year","years")),"{company}",Setup!$C$4),IF(INDEX(Calc!$AT$6:$AT$505,Calc!$AW172),"Award ordered. Present it on the anniversary.","Order award by "&amp;TEXT(INDEX(Calc!$AU$6:$AU$505,Calc!$AW172),"mmm d, yyyy")&amp;IF(INDEX(Calc!$AU$6:$AU$505,Calc!$AW172)&lt;Setup!$C$5," (late, order today)",""))))</f>
        <v/>
      </c>
    </row>
    <row r="173" spans="1:6" x14ac:dyDescent="0.2">
      <c r="A173" s="20" t="str">
        <f ca="1">IF(Calc!$AW173="","",INT(Calc!$AV173))</f>
        <v/>
      </c>
      <c r="B173" s="21" t="str">
        <f ca="1">IF(Calc!$AW173="","",INDEX(Roster!$A$6:$A$505,Calc!$AW173)&amp;"")</f>
        <v/>
      </c>
      <c r="C173" s="21" t="str">
        <f ca="1">IF(Calc!$AW173="","",INDEX(Roster!$C$6:$C$505,Calc!$AW173)&amp;"")</f>
        <v/>
      </c>
      <c r="D173" s="19" t="str">
        <f ca="1">IF(Calc!$AW173="","",INDEX(Calc!$AP$6:$AP$505,Calc!$AW173))</f>
        <v/>
      </c>
      <c r="E173" s="21" t="str">
        <f ca="1">IF(Calc!$AW173="","",IF(INDEX(Calc!$AS$6:$AS$505,Calc!$AW173)="","Shout-out","Milestone"))</f>
        <v/>
      </c>
      <c r="F173" s="22" t="str">
        <f ca="1">IF(Calc!$AW173="","",IF($E173="Shout-out",SUBSTITUTE(SUBSTITUTE(SUBSTITUTE(SUBSTITUTE(Setup!$C$7&amp;"","{name}",IF($B173="","this employee",$B173)),"{years}",$D173),"{yearword}",IF($D173=1,"year","years")),"{company}",Setup!$C$4),IF(INDEX(Calc!$AT$6:$AT$505,Calc!$AW173),"Award ordered. Present it on the anniversary.","Order award by "&amp;TEXT(INDEX(Calc!$AU$6:$AU$505,Calc!$AW173),"mmm d, yyyy")&amp;IF(INDEX(Calc!$AU$6:$AU$505,Calc!$AW173)&lt;Setup!$C$5," (late, order today)",""))))</f>
        <v/>
      </c>
    </row>
    <row r="174" spans="1:6" x14ac:dyDescent="0.2">
      <c r="A174" s="20" t="str">
        <f ca="1">IF(Calc!$AW174="","",INT(Calc!$AV174))</f>
        <v/>
      </c>
      <c r="B174" s="21" t="str">
        <f ca="1">IF(Calc!$AW174="","",INDEX(Roster!$A$6:$A$505,Calc!$AW174)&amp;"")</f>
        <v/>
      </c>
      <c r="C174" s="21" t="str">
        <f ca="1">IF(Calc!$AW174="","",INDEX(Roster!$C$6:$C$505,Calc!$AW174)&amp;"")</f>
        <v/>
      </c>
      <c r="D174" s="19" t="str">
        <f ca="1">IF(Calc!$AW174="","",INDEX(Calc!$AP$6:$AP$505,Calc!$AW174))</f>
        <v/>
      </c>
      <c r="E174" s="21" t="str">
        <f ca="1">IF(Calc!$AW174="","",IF(INDEX(Calc!$AS$6:$AS$505,Calc!$AW174)="","Shout-out","Milestone"))</f>
        <v/>
      </c>
      <c r="F174" s="22" t="str">
        <f ca="1">IF(Calc!$AW174="","",IF($E174="Shout-out",SUBSTITUTE(SUBSTITUTE(SUBSTITUTE(SUBSTITUTE(Setup!$C$7&amp;"","{name}",IF($B174="","this employee",$B174)),"{years}",$D174),"{yearword}",IF($D174=1,"year","years")),"{company}",Setup!$C$4),IF(INDEX(Calc!$AT$6:$AT$505,Calc!$AW174),"Award ordered. Present it on the anniversary.","Order award by "&amp;TEXT(INDEX(Calc!$AU$6:$AU$505,Calc!$AW174),"mmm d, yyyy")&amp;IF(INDEX(Calc!$AU$6:$AU$505,Calc!$AW174)&lt;Setup!$C$5," (late, order today)",""))))</f>
        <v/>
      </c>
    </row>
    <row r="175" spans="1:6" x14ac:dyDescent="0.2">
      <c r="A175" s="20" t="str">
        <f ca="1">IF(Calc!$AW175="","",INT(Calc!$AV175))</f>
        <v/>
      </c>
      <c r="B175" s="21" t="str">
        <f ca="1">IF(Calc!$AW175="","",INDEX(Roster!$A$6:$A$505,Calc!$AW175)&amp;"")</f>
        <v/>
      </c>
      <c r="C175" s="21" t="str">
        <f ca="1">IF(Calc!$AW175="","",INDEX(Roster!$C$6:$C$505,Calc!$AW175)&amp;"")</f>
        <v/>
      </c>
      <c r="D175" s="19" t="str">
        <f ca="1">IF(Calc!$AW175="","",INDEX(Calc!$AP$6:$AP$505,Calc!$AW175))</f>
        <v/>
      </c>
      <c r="E175" s="21" t="str">
        <f ca="1">IF(Calc!$AW175="","",IF(INDEX(Calc!$AS$6:$AS$505,Calc!$AW175)="","Shout-out","Milestone"))</f>
        <v/>
      </c>
      <c r="F175" s="22" t="str">
        <f ca="1">IF(Calc!$AW175="","",IF($E175="Shout-out",SUBSTITUTE(SUBSTITUTE(SUBSTITUTE(SUBSTITUTE(Setup!$C$7&amp;"","{name}",IF($B175="","this employee",$B175)),"{years}",$D175),"{yearword}",IF($D175=1,"year","years")),"{company}",Setup!$C$4),IF(INDEX(Calc!$AT$6:$AT$505,Calc!$AW175),"Award ordered. Present it on the anniversary.","Order award by "&amp;TEXT(INDEX(Calc!$AU$6:$AU$505,Calc!$AW175),"mmm d, yyyy")&amp;IF(INDEX(Calc!$AU$6:$AU$505,Calc!$AW175)&lt;Setup!$C$5," (late, order today)",""))))</f>
        <v/>
      </c>
    </row>
    <row r="176" spans="1:6" x14ac:dyDescent="0.2">
      <c r="A176" s="20" t="str">
        <f ca="1">IF(Calc!$AW176="","",INT(Calc!$AV176))</f>
        <v/>
      </c>
      <c r="B176" s="21" t="str">
        <f ca="1">IF(Calc!$AW176="","",INDEX(Roster!$A$6:$A$505,Calc!$AW176)&amp;"")</f>
        <v/>
      </c>
      <c r="C176" s="21" t="str">
        <f ca="1">IF(Calc!$AW176="","",INDEX(Roster!$C$6:$C$505,Calc!$AW176)&amp;"")</f>
        <v/>
      </c>
      <c r="D176" s="19" t="str">
        <f ca="1">IF(Calc!$AW176="","",INDEX(Calc!$AP$6:$AP$505,Calc!$AW176))</f>
        <v/>
      </c>
      <c r="E176" s="21" t="str">
        <f ca="1">IF(Calc!$AW176="","",IF(INDEX(Calc!$AS$6:$AS$505,Calc!$AW176)="","Shout-out","Milestone"))</f>
        <v/>
      </c>
      <c r="F176" s="22" t="str">
        <f ca="1">IF(Calc!$AW176="","",IF($E176="Shout-out",SUBSTITUTE(SUBSTITUTE(SUBSTITUTE(SUBSTITUTE(Setup!$C$7&amp;"","{name}",IF($B176="","this employee",$B176)),"{years}",$D176),"{yearword}",IF($D176=1,"year","years")),"{company}",Setup!$C$4),IF(INDEX(Calc!$AT$6:$AT$505,Calc!$AW176),"Award ordered. Present it on the anniversary.","Order award by "&amp;TEXT(INDEX(Calc!$AU$6:$AU$505,Calc!$AW176),"mmm d, yyyy")&amp;IF(INDEX(Calc!$AU$6:$AU$505,Calc!$AW176)&lt;Setup!$C$5," (late, order today)",""))))</f>
        <v/>
      </c>
    </row>
    <row r="177" spans="1:6" x14ac:dyDescent="0.2">
      <c r="A177" s="20" t="str">
        <f ca="1">IF(Calc!$AW177="","",INT(Calc!$AV177))</f>
        <v/>
      </c>
      <c r="B177" s="21" t="str">
        <f ca="1">IF(Calc!$AW177="","",INDEX(Roster!$A$6:$A$505,Calc!$AW177)&amp;"")</f>
        <v/>
      </c>
      <c r="C177" s="21" t="str">
        <f ca="1">IF(Calc!$AW177="","",INDEX(Roster!$C$6:$C$505,Calc!$AW177)&amp;"")</f>
        <v/>
      </c>
      <c r="D177" s="19" t="str">
        <f ca="1">IF(Calc!$AW177="","",INDEX(Calc!$AP$6:$AP$505,Calc!$AW177))</f>
        <v/>
      </c>
      <c r="E177" s="21" t="str">
        <f ca="1">IF(Calc!$AW177="","",IF(INDEX(Calc!$AS$6:$AS$505,Calc!$AW177)="","Shout-out","Milestone"))</f>
        <v/>
      </c>
      <c r="F177" s="22" t="str">
        <f ca="1">IF(Calc!$AW177="","",IF($E177="Shout-out",SUBSTITUTE(SUBSTITUTE(SUBSTITUTE(SUBSTITUTE(Setup!$C$7&amp;"","{name}",IF($B177="","this employee",$B177)),"{years}",$D177),"{yearword}",IF($D177=1,"year","years")),"{company}",Setup!$C$4),IF(INDEX(Calc!$AT$6:$AT$505,Calc!$AW177),"Award ordered. Present it on the anniversary.","Order award by "&amp;TEXT(INDEX(Calc!$AU$6:$AU$505,Calc!$AW177),"mmm d, yyyy")&amp;IF(INDEX(Calc!$AU$6:$AU$505,Calc!$AW177)&lt;Setup!$C$5," (late, order today)",""))))</f>
        <v/>
      </c>
    </row>
    <row r="178" spans="1:6" x14ac:dyDescent="0.2">
      <c r="A178" s="20" t="str">
        <f ca="1">IF(Calc!$AW178="","",INT(Calc!$AV178))</f>
        <v/>
      </c>
      <c r="B178" s="21" t="str">
        <f ca="1">IF(Calc!$AW178="","",INDEX(Roster!$A$6:$A$505,Calc!$AW178)&amp;"")</f>
        <v/>
      </c>
      <c r="C178" s="21" t="str">
        <f ca="1">IF(Calc!$AW178="","",INDEX(Roster!$C$6:$C$505,Calc!$AW178)&amp;"")</f>
        <v/>
      </c>
      <c r="D178" s="19" t="str">
        <f ca="1">IF(Calc!$AW178="","",INDEX(Calc!$AP$6:$AP$505,Calc!$AW178))</f>
        <v/>
      </c>
      <c r="E178" s="21" t="str">
        <f ca="1">IF(Calc!$AW178="","",IF(INDEX(Calc!$AS$6:$AS$505,Calc!$AW178)="","Shout-out","Milestone"))</f>
        <v/>
      </c>
      <c r="F178" s="22" t="str">
        <f ca="1">IF(Calc!$AW178="","",IF($E178="Shout-out",SUBSTITUTE(SUBSTITUTE(SUBSTITUTE(SUBSTITUTE(Setup!$C$7&amp;"","{name}",IF($B178="","this employee",$B178)),"{years}",$D178),"{yearword}",IF($D178=1,"year","years")),"{company}",Setup!$C$4),IF(INDEX(Calc!$AT$6:$AT$505,Calc!$AW178),"Award ordered. Present it on the anniversary.","Order award by "&amp;TEXT(INDEX(Calc!$AU$6:$AU$505,Calc!$AW178),"mmm d, yyyy")&amp;IF(INDEX(Calc!$AU$6:$AU$505,Calc!$AW178)&lt;Setup!$C$5," (late, order today)",""))))</f>
        <v/>
      </c>
    </row>
    <row r="179" spans="1:6" x14ac:dyDescent="0.2">
      <c r="A179" s="20" t="str">
        <f ca="1">IF(Calc!$AW179="","",INT(Calc!$AV179))</f>
        <v/>
      </c>
      <c r="B179" s="21" t="str">
        <f ca="1">IF(Calc!$AW179="","",INDEX(Roster!$A$6:$A$505,Calc!$AW179)&amp;"")</f>
        <v/>
      </c>
      <c r="C179" s="21" t="str">
        <f ca="1">IF(Calc!$AW179="","",INDEX(Roster!$C$6:$C$505,Calc!$AW179)&amp;"")</f>
        <v/>
      </c>
      <c r="D179" s="19" t="str">
        <f ca="1">IF(Calc!$AW179="","",INDEX(Calc!$AP$6:$AP$505,Calc!$AW179))</f>
        <v/>
      </c>
      <c r="E179" s="21" t="str">
        <f ca="1">IF(Calc!$AW179="","",IF(INDEX(Calc!$AS$6:$AS$505,Calc!$AW179)="","Shout-out","Milestone"))</f>
        <v/>
      </c>
      <c r="F179" s="22" t="str">
        <f ca="1">IF(Calc!$AW179="","",IF($E179="Shout-out",SUBSTITUTE(SUBSTITUTE(SUBSTITUTE(SUBSTITUTE(Setup!$C$7&amp;"","{name}",IF($B179="","this employee",$B179)),"{years}",$D179),"{yearword}",IF($D179=1,"year","years")),"{company}",Setup!$C$4),IF(INDEX(Calc!$AT$6:$AT$505,Calc!$AW179),"Award ordered. Present it on the anniversary.","Order award by "&amp;TEXT(INDEX(Calc!$AU$6:$AU$505,Calc!$AW179),"mmm d, yyyy")&amp;IF(INDEX(Calc!$AU$6:$AU$505,Calc!$AW179)&lt;Setup!$C$5," (late, order today)",""))))</f>
        <v/>
      </c>
    </row>
    <row r="180" spans="1:6" x14ac:dyDescent="0.2">
      <c r="A180" s="20" t="str">
        <f ca="1">IF(Calc!$AW180="","",INT(Calc!$AV180))</f>
        <v/>
      </c>
      <c r="B180" s="21" t="str">
        <f ca="1">IF(Calc!$AW180="","",INDEX(Roster!$A$6:$A$505,Calc!$AW180)&amp;"")</f>
        <v/>
      </c>
      <c r="C180" s="21" t="str">
        <f ca="1">IF(Calc!$AW180="","",INDEX(Roster!$C$6:$C$505,Calc!$AW180)&amp;"")</f>
        <v/>
      </c>
      <c r="D180" s="19" t="str">
        <f ca="1">IF(Calc!$AW180="","",INDEX(Calc!$AP$6:$AP$505,Calc!$AW180))</f>
        <v/>
      </c>
      <c r="E180" s="21" t="str">
        <f ca="1">IF(Calc!$AW180="","",IF(INDEX(Calc!$AS$6:$AS$505,Calc!$AW180)="","Shout-out","Milestone"))</f>
        <v/>
      </c>
      <c r="F180" s="22" t="str">
        <f ca="1">IF(Calc!$AW180="","",IF($E180="Shout-out",SUBSTITUTE(SUBSTITUTE(SUBSTITUTE(SUBSTITUTE(Setup!$C$7&amp;"","{name}",IF($B180="","this employee",$B180)),"{years}",$D180),"{yearword}",IF($D180=1,"year","years")),"{company}",Setup!$C$4),IF(INDEX(Calc!$AT$6:$AT$505,Calc!$AW180),"Award ordered. Present it on the anniversary.","Order award by "&amp;TEXT(INDEX(Calc!$AU$6:$AU$505,Calc!$AW180),"mmm d, yyyy")&amp;IF(INDEX(Calc!$AU$6:$AU$505,Calc!$AW180)&lt;Setup!$C$5," (late, order today)",""))))</f>
        <v/>
      </c>
    </row>
    <row r="181" spans="1:6" x14ac:dyDescent="0.2">
      <c r="A181" s="20" t="str">
        <f ca="1">IF(Calc!$AW181="","",INT(Calc!$AV181))</f>
        <v/>
      </c>
      <c r="B181" s="21" t="str">
        <f ca="1">IF(Calc!$AW181="","",INDEX(Roster!$A$6:$A$505,Calc!$AW181)&amp;"")</f>
        <v/>
      </c>
      <c r="C181" s="21" t="str">
        <f ca="1">IF(Calc!$AW181="","",INDEX(Roster!$C$6:$C$505,Calc!$AW181)&amp;"")</f>
        <v/>
      </c>
      <c r="D181" s="19" t="str">
        <f ca="1">IF(Calc!$AW181="","",INDEX(Calc!$AP$6:$AP$505,Calc!$AW181))</f>
        <v/>
      </c>
      <c r="E181" s="21" t="str">
        <f ca="1">IF(Calc!$AW181="","",IF(INDEX(Calc!$AS$6:$AS$505,Calc!$AW181)="","Shout-out","Milestone"))</f>
        <v/>
      </c>
      <c r="F181" s="22" t="str">
        <f ca="1">IF(Calc!$AW181="","",IF($E181="Shout-out",SUBSTITUTE(SUBSTITUTE(SUBSTITUTE(SUBSTITUTE(Setup!$C$7&amp;"","{name}",IF($B181="","this employee",$B181)),"{years}",$D181),"{yearword}",IF($D181=1,"year","years")),"{company}",Setup!$C$4),IF(INDEX(Calc!$AT$6:$AT$505,Calc!$AW181),"Award ordered. Present it on the anniversary.","Order award by "&amp;TEXT(INDEX(Calc!$AU$6:$AU$505,Calc!$AW181),"mmm d, yyyy")&amp;IF(INDEX(Calc!$AU$6:$AU$505,Calc!$AW181)&lt;Setup!$C$5," (late, order today)",""))))</f>
        <v/>
      </c>
    </row>
    <row r="182" spans="1:6" x14ac:dyDescent="0.2">
      <c r="A182" s="20" t="str">
        <f ca="1">IF(Calc!$AW182="","",INT(Calc!$AV182))</f>
        <v/>
      </c>
      <c r="B182" s="21" t="str">
        <f ca="1">IF(Calc!$AW182="","",INDEX(Roster!$A$6:$A$505,Calc!$AW182)&amp;"")</f>
        <v/>
      </c>
      <c r="C182" s="21" t="str">
        <f ca="1">IF(Calc!$AW182="","",INDEX(Roster!$C$6:$C$505,Calc!$AW182)&amp;"")</f>
        <v/>
      </c>
      <c r="D182" s="19" t="str">
        <f ca="1">IF(Calc!$AW182="","",INDEX(Calc!$AP$6:$AP$505,Calc!$AW182))</f>
        <v/>
      </c>
      <c r="E182" s="21" t="str">
        <f ca="1">IF(Calc!$AW182="","",IF(INDEX(Calc!$AS$6:$AS$505,Calc!$AW182)="","Shout-out","Milestone"))</f>
        <v/>
      </c>
      <c r="F182" s="22" t="str">
        <f ca="1">IF(Calc!$AW182="","",IF($E182="Shout-out",SUBSTITUTE(SUBSTITUTE(SUBSTITUTE(SUBSTITUTE(Setup!$C$7&amp;"","{name}",IF($B182="","this employee",$B182)),"{years}",$D182),"{yearword}",IF($D182=1,"year","years")),"{company}",Setup!$C$4),IF(INDEX(Calc!$AT$6:$AT$505,Calc!$AW182),"Award ordered. Present it on the anniversary.","Order award by "&amp;TEXT(INDEX(Calc!$AU$6:$AU$505,Calc!$AW182),"mmm d, yyyy")&amp;IF(INDEX(Calc!$AU$6:$AU$505,Calc!$AW182)&lt;Setup!$C$5," (late, order today)",""))))</f>
        <v/>
      </c>
    </row>
    <row r="183" spans="1:6" x14ac:dyDescent="0.2">
      <c r="A183" s="20" t="str">
        <f ca="1">IF(Calc!$AW183="","",INT(Calc!$AV183))</f>
        <v/>
      </c>
      <c r="B183" s="21" t="str">
        <f ca="1">IF(Calc!$AW183="","",INDEX(Roster!$A$6:$A$505,Calc!$AW183)&amp;"")</f>
        <v/>
      </c>
      <c r="C183" s="21" t="str">
        <f ca="1">IF(Calc!$AW183="","",INDEX(Roster!$C$6:$C$505,Calc!$AW183)&amp;"")</f>
        <v/>
      </c>
      <c r="D183" s="19" t="str">
        <f ca="1">IF(Calc!$AW183="","",INDEX(Calc!$AP$6:$AP$505,Calc!$AW183))</f>
        <v/>
      </c>
      <c r="E183" s="21" t="str">
        <f ca="1">IF(Calc!$AW183="","",IF(INDEX(Calc!$AS$6:$AS$505,Calc!$AW183)="","Shout-out","Milestone"))</f>
        <v/>
      </c>
      <c r="F183" s="22" t="str">
        <f ca="1">IF(Calc!$AW183="","",IF($E183="Shout-out",SUBSTITUTE(SUBSTITUTE(SUBSTITUTE(SUBSTITUTE(Setup!$C$7&amp;"","{name}",IF($B183="","this employee",$B183)),"{years}",$D183),"{yearword}",IF($D183=1,"year","years")),"{company}",Setup!$C$4),IF(INDEX(Calc!$AT$6:$AT$505,Calc!$AW183),"Award ordered. Present it on the anniversary.","Order award by "&amp;TEXT(INDEX(Calc!$AU$6:$AU$505,Calc!$AW183),"mmm d, yyyy")&amp;IF(INDEX(Calc!$AU$6:$AU$505,Calc!$AW183)&lt;Setup!$C$5," (late, order today)",""))))</f>
        <v/>
      </c>
    </row>
    <row r="184" spans="1:6" x14ac:dyDescent="0.2">
      <c r="A184" s="20" t="str">
        <f ca="1">IF(Calc!$AW184="","",INT(Calc!$AV184))</f>
        <v/>
      </c>
      <c r="B184" s="21" t="str">
        <f ca="1">IF(Calc!$AW184="","",INDEX(Roster!$A$6:$A$505,Calc!$AW184)&amp;"")</f>
        <v/>
      </c>
      <c r="C184" s="21" t="str">
        <f ca="1">IF(Calc!$AW184="","",INDEX(Roster!$C$6:$C$505,Calc!$AW184)&amp;"")</f>
        <v/>
      </c>
      <c r="D184" s="19" t="str">
        <f ca="1">IF(Calc!$AW184="","",INDEX(Calc!$AP$6:$AP$505,Calc!$AW184))</f>
        <v/>
      </c>
      <c r="E184" s="21" t="str">
        <f ca="1">IF(Calc!$AW184="","",IF(INDEX(Calc!$AS$6:$AS$505,Calc!$AW184)="","Shout-out","Milestone"))</f>
        <v/>
      </c>
      <c r="F184" s="22" t="str">
        <f ca="1">IF(Calc!$AW184="","",IF($E184="Shout-out",SUBSTITUTE(SUBSTITUTE(SUBSTITUTE(SUBSTITUTE(Setup!$C$7&amp;"","{name}",IF($B184="","this employee",$B184)),"{years}",$D184),"{yearword}",IF($D184=1,"year","years")),"{company}",Setup!$C$4),IF(INDEX(Calc!$AT$6:$AT$505,Calc!$AW184),"Award ordered. Present it on the anniversary.","Order award by "&amp;TEXT(INDEX(Calc!$AU$6:$AU$505,Calc!$AW184),"mmm d, yyyy")&amp;IF(INDEX(Calc!$AU$6:$AU$505,Calc!$AW184)&lt;Setup!$C$5," (late, order today)",""))))</f>
        <v/>
      </c>
    </row>
    <row r="185" spans="1:6" x14ac:dyDescent="0.2">
      <c r="A185" s="20" t="str">
        <f ca="1">IF(Calc!$AW185="","",INT(Calc!$AV185))</f>
        <v/>
      </c>
      <c r="B185" s="21" t="str">
        <f ca="1">IF(Calc!$AW185="","",INDEX(Roster!$A$6:$A$505,Calc!$AW185)&amp;"")</f>
        <v/>
      </c>
      <c r="C185" s="21" t="str">
        <f ca="1">IF(Calc!$AW185="","",INDEX(Roster!$C$6:$C$505,Calc!$AW185)&amp;"")</f>
        <v/>
      </c>
      <c r="D185" s="19" t="str">
        <f ca="1">IF(Calc!$AW185="","",INDEX(Calc!$AP$6:$AP$505,Calc!$AW185))</f>
        <v/>
      </c>
      <c r="E185" s="21" t="str">
        <f ca="1">IF(Calc!$AW185="","",IF(INDEX(Calc!$AS$6:$AS$505,Calc!$AW185)="","Shout-out","Milestone"))</f>
        <v/>
      </c>
      <c r="F185" s="22" t="str">
        <f ca="1">IF(Calc!$AW185="","",IF($E185="Shout-out",SUBSTITUTE(SUBSTITUTE(SUBSTITUTE(SUBSTITUTE(Setup!$C$7&amp;"","{name}",IF($B185="","this employee",$B185)),"{years}",$D185),"{yearword}",IF($D185=1,"year","years")),"{company}",Setup!$C$4),IF(INDEX(Calc!$AT$6:$AT$505,Calc!$AW185),"Award ordered. Present it on the anniversary.","Order award by "&amp;TEXT(INDEX(Calc!$AU$6:$AU$505,Calc!$AW185),"mmm d, yyyy")&amp;IF(INDEX(Calc!$AU$6:$AU$505,Calc!$AW185)&lt;Setup!$C$5," (late, order today)",""))))</f>
        <v/>
      </c>
    </row>
    <row r="186" spans="1:6" x14ac:dyDescent="0.2">
      <c r="A186" s="20" t="str">
        <f ca="1">IF(Calc!$AW186="","",INT(Calc!$AV186))</f>
        <v/>
      </c>
      <c r="B186" s="21" t="str">
        <f ca="1">IF(Calc!$AW186="","",INDEX(Roster!$A$6:$A$505,Calc!$AW186)&amp;"")</f>
        <v/>
      </c>
      <c r="C186" s="21" t="str">
        <f ca="1">IF(Calc!$AW186="","",INDEX(Roster!$C$6:$C$505,Calc!$AW186)&amp;"")</f>
        <v/>
      </c>
      <c r="D186" s="19" t="str">
        <f ca="1">IF(Calc!$AW186="","",INDEX(Calc!$AP$6:$AP$505,Calc!$AW186))</f>
        <v/>
      </c>
      <c r="E186" s="21" t="str">
        <f ca="1">IF(Calc!$AW186="","",IF(INDEX(Calc!$AS$6:$AS$505,Calc!$AW186)="","Shout-out","Milestone"))</f>
        <v/>
      </c>
      <c r="F186" s="22" t="str">
        <f ca="1">IF(Calc!$AW186="","",IF($E186="Shout-out",SUBSTITUTE(SUBSTITUTE(SUBSTITUTE(SUBSTITUTE(Setup!$C$7&amp;"","{name}",IF($B186="","this employee",$B186)),"{years}",$D186),"{yearword}",IF($D186=1,"year","years")),"{company}",Setup!$C$4),IF(INDEX(Calc!$AT$6:$AT$505,Calc!$AW186),"Award ordered. Present it on the anniversary.","Order award by "&amp;TEXT(INDEX(Calc!$AU$6:$AU$505,Calc!$AW186),"mmm d, yyyy")&amp;IF(INDEX(Calc!$AU$6:$AU$505,Calc!$AW186)&lt;Setup!$C$5," (late, order today)",""))))</f>
        <v/>
      </c>
    </row>
    <row r="187" spans="1:6" x14ac:dyDescent="0.2">
      <c r="A187" s="20" t="str">
        <f ca="1">IF(Calc!$AW187="","",INT(Calc!$AV187))</f>
        <v/>
      </c>
      <c r="B187" s="21" t="str">
        <f ca="1">IF(Calc!$AW187="","",INDEX(Roster!$A$6:$A$505,Calc!$AW187)&amp;"")</f>
        <v/>
      </c>
      <c r="C187" s="21" t="str">
        <f ca="1">IF(Calc!$AW187="","",INDEX(Roster!$C$6:$C$505,Calc!$AW187)&amp;"")</f>
        <v/>
      </c>
      <c r="D187" s="19" t="str">
        <f ca="1">IF(Calc!$AW187="","",INDEX(Calc!$AP$6:$AP$505,Calc!$AW187))</f>
        <v/>
      </c>
      <c r="E187" s="21" t="str">
        <f ca="1">IF(Calc!$AW187="","",IF(INDEX(Calc!$AS$6:$AS$505,Calc!$AW187)="","Shout-out","Milestone"))</f>
        <v/>
      </c>
      <c r="F187" s="22" t="str">
        <f ca="1">IF(Calc!$AW187="","",IF($E187="Shout-out",SUBSTITUTE(SUBSTITUTE(SUBSTITUTE(SUBSTITUTE(Setup!$C$7&amp;"","{name}",IF($B187="","this employee",$B187)),"{years}",$D187),"{yearword}",IF($D187=1,"year","years")),"{company}",Setup!$C$4),IF(INDEX(Calc!$AT$6:$AT$505,Calc!$AW187),"Award ordered. Present it on the anniversary.","Order award by "&amp;TEXT(INDEX(Calc!$AU$6:$AU$505,Calc!$AW187),"mmm d, yyyy")&amp;IF(INDEX(Calc!$AU$6:$AU$505,Calc!$AW187)&lt;Setup!$C$5," (late, order today)",""))))</f>
        <v/>
      </c>
    </row>
    <row r="188" spans="1:6" x14ac:dyDescent="0.2">
      <c r="A188" s="20" t="str">
        <f ca="1">IF(Calc!$AW188="","",INT(Calc!$AV188))</f>
        <v/>
      </c>
      <c r="B188" s="21" t="str">
        <f ca="1">IF(Calc!$AW188="","",INDEX(Roster!$A$6:$A$505,Calc!$AW188)&amp;"")</f>
        <v/>
      </c>
      <c r="C188" s="21" t="str">
        <f ca="1">IF(Calc!$AW188="","",INDEX(Roster!$C$6:$C$505,Calc!$AW188)&amp;"")</f>
        <v/>
      </c>
      <c r="D188" s="19" t="str">
        <f ca="1">IF(Calc!$AW188="","",INDEX(Calc!$AP$6:$AP$505,Calc!$AW188))</f>
        <v/>
      </c>
      <c r="E188" s="21" t="str">
        <f ca="1">IF(Calc!$AW188="","",IF(INDEX(Calc!$AS$6:$AS$505,Calc!$AW188)="","Shout-out","Milestone"))</f>
        <v/>
      </c>
      <c r="F188" s="22" t="str">
        <f ca="1">IF(Calc!$AW188="","",IF($E188="Shout-out",SUBSTITUTE(SUBSTITUTE(SUBSTITUTE(SUBSTITUTE(Setup!$C$7&amp;"","{name}",IF($B188="","this employee",$B188)),"{years}",$D188),"{yearword}",IF($D188=1,"year","years")),"{company}",Setup!$C$4),IF(INDEX(Calc!$AT$6:$AT$505,Calc!$AW188),"Award ordered. Present it on the anniversary.","Order award by "&amp;TEXT(INDEX(Calc!$AU$6:$AU$505,Calc!$AW188),"mmm d, yyyy")&amp;IF(INDEX(Calc!$AU$6:$AU$505,Calc!$AW188)&lt;Setup!$C$5," (late, order today)",""))))</f>
        <v/>
      </c>
    </row>
    <row r="189" spans="1:6" x14ac:dyDescent="0.2">
      <c r="A189" s="20" t="str">
        <f ca="1">IF(Calc!$AW189="","",INT(Calc!$AV189))</f>
        <v/>
      </c>
      <c r="B189" s="21" t="str">
        <f ca="1">IF(Calc!$AW189="","",INDEX(Roster!$A$6:$A$505,Calc!$AW189)&amp;"")</f>
        <v/>
      </c>
      <c r="C189" s="21" t="str">
        <f ca="1">IF(Calc!$AW189="","",INDEX(Roster!$C$6:$C$505,Calc!$AW189)&amp;"")</f>
        <v/>
      </c>
      <c r="D189" s="19" t="str">
        <f ca="1">IF(Calc!$AW189="","",INDEX(Calc!$AP$6:$AP$505,Calc!$AW189))</f>
        <v/>
      </c>
      <c r="E189" s="21" t="str">
        <f ca="1">IF(Calc!$AW189="","",IF(INDEX(Calc!$AS$6:$AS$505,Calc!$AW189)="","Shout-out","Milestone"))</f>
        <v/>
      </c>
      <c r="F189" s="22" t="str">
        <f ca="1">IF(Calc!$AW189="","",IF($E189="Shout-out",SUBSTITUTE(SUBSTITUTE(SUBSTITUTE(SUBSTITUTE(Setup!$C$7&amp;"","{name}",IF($B189="","this employee",$B189)),"{years}",$D189),"{yearword}",IF($D189=1,"year","years")),"{company}",Setup!$C$4),IF(INDEX(Calc!$AT$6:$AT$505,Calc!$AW189),"Award ordered. Present it on the anniversary.","Order award by "&amp;TEXT(INDEX(Calc!$AU$6:$AU$505,Calc!$AW189),"mmm d, yyyy")&amp;IF(INDEX(Calc!$AU$6:$AU$505,Calc!$AW189)&lt;Setup!$C$5," (late, order today)",""))))</f>
        <v/>
      </c>
    </row>
    <row r="190" spans="1:6" x14ac:dyDescent="0.2">
      <c r="A190" s="20" t="str">
        <f ca="1">IF(Calc!$AW190="","",INT(Calc!$AV190))</f>
        <v/>
      </c>
      <c r="B190" s="21" t="str">
        <f ca="1">IF(Calc!$AW190="","",INDEX(Roster!$A$6:$A$505,Calc!$AW190)&amp;"")</f>
        <v/>
      </c>
      <c r="C190" s="21" t="str">
        <f ca="1">IF(Calc!$AW190="","",INDEX(Roster!$C$6:$C$505,Calc!$AW190)&amp;"")</f>
        <v/>
      </c>
      <c r="D190" s="19" t="str">
        <f ca="1">IF(Calc!$AW190="","",INDEX(Calc!$AP$6:$AP$505,Calc!$AW190))</f>
        <v/>
      </c>
      <c r="E190" s="21" t="str">
        <f ca="1">IF(Calc!$AW190="","",IF(INDEX(Calc!$AS$6:$AS$505,Calc!$AW190)="","Shout-out","Milestone"))</f>
        <v/>
      </c>
      <c r="F190" s="22" t="str">
        <f ca="1">IF(Calc!$AW190="","",IF($E190="Shout-out",SUBSTITUTE(SUBSTITUTE(SUBSTITUTE(SUBSTITUTE(Setup!$C$7&amp;"","{name}",IF($B190="","this employee",$B190)),"{years}",$D190),"{yearword}",IF($D190=1,"year","years")),"{company}",Setup!$C$4),IF(INDEX(Calc!$AT$6:$AT$505,Calc!$AW190),"Award ordered. Present it on the anniversary.","Order award by "&amp;TEXT(INDEX(Calc!$AU$6:$AU$505,Calc!$AW190),"mmm d, yyyy")&amp;IF(INDEX(Calc!$AU$6:$AU$505,Calc!$AW190)&lt;Setup!$C$5," (late, order today)",""))))</f>
        <v/>
      </c>
    </row>
    <row r="191" spans="1:6" x14ac:dyDescent="0.2">
      <c r="A191" s="20" t="str">
        <f ca="1">IF(Calc!$AW191="","",INT(Calc!$AV191))</f>
        <v/>
      </c>
      <c r="B191" s="21" t="str">
        <f ca="1">IF(Calc!$AW191="","",INDEX(Roster!$A$6:$A$505,Calc!$AW191)&amp;"")</f>
        <v/>
      </c>
      <c r="C191" s="21" t="str">
        <f ca="1">IF(Calc!$AW191="","",INDEX(Roster!$C$6:$C$505,Calc!$AW191)&amp;"")</f>
        <v/>
      </c>
      <c r="D191" s="19" t="str">
        <f ca="1">IF(Calc!$AW191="","",INDEX(Calc!$AP$6:$AP$505,Calc!$AW191))</f>
        <v/>
      </c>
      <c r="E191" s="21" t="str">
        <f ca="1">IF(Calc!$AW191="","",IF(INDEX(Calc!$AS$6:$AS$505,Calc!$AW191)="","Shout-out","Milestone"))</f>
        <v/>
      </c>
      <c r="F191" s="22" t="str">
        <f ca="1">IF(Calc!$AW191="","",IF($E191="Shout-out",SUBSTITUTE(SUBSTITUTE(SUBSTITUTE(SUBSTITUTE(Setup!$C$7&amp;"","{name}",IF($B191="","this employee",$B191)),"{years}",$D191),"{yearword}",IF($D191=1,"year","years")),"{company}",Setup!$C$4),IF(INDEX(Calc!$AT$6:$AT$505,Calc!$AW191),"Award ordered. Present it on the anniversary.","Order award by "&amp;TEXT(INDEX(Calc!$AU$6:$AU$505,Calc!$AW191),"mmm d, yyyy")&amp;IF(INDEX(Calc!$AU$6:$AU$505,Calc!$AW191)&lt;Setup!$C$5," (late, order today)",""))))</f>
        <v/>
      </c>
    </row>
    <row r="192" spans="1:6" x14ac:dyDescent="0.2">
      <c r="A192" s="20" t="str">
        <f ca="1">IF(Calc!$AW192="","",INT(Calc!$AV192))</f>
        <v/>
      </c>
      <c r="B192" s="21" t="str">
        <f ca="1">IF(Calc!$AW192="","",INDEX(Roster!$A$6:$A$505,Calc!$AW192)&amp;"")</f>
        <v/>
      </c>
      <c r="C192" s="21" t="str">
        <f ca="1">IF(Calc!$AW192="","",INDEX(Roster!$C$6:$C$505,Calc!$AW192)&amp;"")</f>
        <v/>
      </c>
      <c r="D192" s="19" t="str">
        <f ca="1">IF(Calc!$AW192="","",INDEX(Calc!$AP$6:$AP$505,Calc!$AW192))</f>
        <v/>
      </c>
      <c r="E192" s="21" t="str">
        <f ca="1">IF(Calc!$AW192="","",IF(INDEX(Calc!$AS$6:$AS$505,Calc!$AW192)="","Shout-out","Milestone"))</f>
        <v/>
      </c>
      <c r="F192" s="22" t="str">
        <f ca="1">IF(Calc!$AW192="","",IF($E192="Shout-out",SUBSTITUTE(SUBSTITUTE(SUBSTITUTE(SUBSTITUTE(Setup!$C$7&amp;"","{name}",IF($B192="","this employee",$B192)),"{years}",$D192),"{yearword}",IF($D192=1,"year","years")),"{company}",Setup!$C$4),IF(INDEX(Calc!$AT$6:$AT$505,Calc!$AW192),"Award ordered. Present it on the anniversary.","Order award by "&amp;TEXT(INDEX(Calc!$AU$6:$AU$505,Calc!$AW192),"mmm d, yyyy")&amp;IF(INDEX(Calc!$AU$6:$AU$505,Calc!$AW192)&lt;Setup!$C$5," (late, order today)",""))))</f>
        <v/>
      </c>
    </row>
    <row r="193" spans="1:6" x14ac:dyDescent="0.2">
      <c r="A193" s="20" t="str">
        <f ca="1">IF(Calc!$AW193="","",INT(Calc!$AV193))</f>
        <v/>
      </c>
      <c r="B193" s="21" t="str">
        <f ca="1">IF(Calc!$AW193="","",INDEX(Roster!$A$6:$A$505,Calc!$AW193)&amp;"")</f>
        <v/>
      </c>
      <c r="C193" s="21" t="str">
        <f ca="1">IF(Calc!$AW193="","",INDEX(Roster!$C$6:$C$505,Calc!$AW193)&amp;"")</f>
        <v/>
      </c>
      <c r="D193" s="19" t="str">
        <f ca="1">IF(Calc!$AW193="","",INDEX(Calc!$AP$6:$AP$505,Calc!$AW193))</f>
        <v/>
      </c>
      <c r="E193" s="21" t="str">
        <f ca="1">IF(Calc!$AW193="","",IF(INDEX(Calc!$AS$6:$AS$505,Calc!$AW193)="","Shout-out","Milestone"))</f>
        <v/>
      </c>
      <c r="F193" s="22" t="str">
        <f ca="1">IF(Calc!$AW193="","",IF($E193="Shout-out",SUBSTITUTE(SUBSTITUTE(SUBSTITUTE(SUBSTITUTE(Setup!$C$7&amp;"","{name}",IF($B193="","this employee",$B193)),"{years}",$D193),"{yearword}",IF($D193=1,"year","years")),"{company}",Setup!$C$4),IF(INDEX(Calc!$AT$6:$AT$505,Calc!$AW193),"Award ordered. Present it on the anniversary.","Order award by "&amp;TEXT(INDEX(Calc!$AU$6:$AU$505,Calc!$AW193),"mmm d, yyyy")&amp;IF(INDEX(Calc!$AU$6:$AU$505,Calc!$AW193)&lt;Setup!$C$5," (late, order today)",""))))</f>
        <v/>
      </c>
    </row>
    <row r="194" spans="1:6" x14ac:dyDescent="0.2">
      <c r="A194" s="20" t="str">
        <f ca="1">IF(Calc!$AW194="","",INT(Calc!$AV194))</f>
        <v/>
      </c>
      <c r="B194" s="21" t="str">
        <f ca="1">IF(Calc!$AW194="","",INDEX(Roster!$A$6:$A$505,Calc!$AW194)&amp;"")</f>
        <v/>
      </c>
      <c r="C194" s="21" t="str">
        <f ca="1">IF(Calc!$AW194="","",INDEX(Roster!$C$6:$C$505,Calc!$AW194)&amp;"")</f>
        <v/>
      </c>
      <c r="D194" s="19" t="str">
        <f ca="1">IF(Calc!$AW194="","",INDEX(Calc!$AP$6:$AP$505,Calc!$AW194))</f>
        <v/>
      </c>
      <c r="E194" s="21" t="str">
        <f ca="1">IF(Calc!$AW194="","",IF(INDEX(Calc!$AS$6:$AS$505,Calc!$AW194)="","Shout-out","Milestone"))</f>
        <v/>
      </c>
      <c r="F194" s="22" t="str">
        <f ca="1">IF(Calc!$AW194="","",IF($E194="Shout-out",SUBSTITUTE(SUBSTITUTE(SUBSTITUTE(SUBSTITUTE(Setup!$C$7&amp;"","{name}",IF($B194="","this employee",$B194)),"{years}",$D194),"{yearword}",IF($D194=1,"year","years")),"{company}",Setup!$C$4),IF(INDEX(Calc!$AT$6:$AT$505,Calc!$AW194),"Award ordered. Present it on the anniversary.","Order award by "&amp;TEXT(INDEX(Calc!$AU$6:$AU$505,Calc!$AW194),"mmm d, yyyy")&amp;IF(INDEX(Calc!$AU$6:$AU$505,Calc!$AW194)&lt;Setup!$C$5," (late, order today)",""))))</f>
        <v/>
      </c>
    </row>
    <row r="195" spans="1:6" x14ac:dyDescent="0.2">
      <c r="A195" s="20" t="str">
        <f ca="1">IF(Calc!$AW195="","",INT(Calc!$AV195))</f>
        <v/>
      </c>
      <c r="B195" s="21" t="str">
        <f ca="1">IF(Calc!$AW195="","",INDEX(Roster!$A$6:$A$505,Calc!$AW195)&amp;"")</f>
        <v/>
      </c>
      <c r="C195" s="21" t="str">
        <f ca="1">IF(Calc!$AW195="","",INDEX(Roster!$C$6:$C$505,Calc!$AW195)&amp;"")</f>
        <v/>
      </c>
      <c r="D195" s="19" t="str">
        <f ca="1">IF(Calc!$AW195="","",INDEX(Calc!$AP$6:$AP$505,Calc!$AW195))</f>
        <v/>
      </c>
      <c r="E195" s="21" t="str">
        <f ca="1">IF(Calc!$AW195="","",IF(INDEX(Calc!$AS$6:$AS$505,Calc!$AW195)="","Shout-out","Milestone"))</f>
        <v/>
      </c>
      <c r="F195" s="22" t="str">
        <f ca="1">IF(Calc!$AW195="","",IF($E195="Shout-out",SUBSTITUTE(SUBSTITUTE(SUBSTITUTE(SUBSTITUTE(Setup!$C$7&amp;"","{name}",IF($B195="","this employee",$B195)),"{years}",$D195),"{yearword}",IF($D195=1,"year","years")),"{company}",Setup!$C$4),IF(INDEX(Calc!$AT$6:$AT$505,Calc!$AW195),"Award ordered. Present it on the anniversary.","Order award by "&amp;TEXT(INDEX(Calc!$AU$6:$AU$505,Calc!$AW195),"mmm d, yyyy")&amp;IF(INDEX(Calc!$AU$6:$AU$505,Calc!$AW195)&lt;Setup!$C$5," (late, order today)",""))))</f>
        <v/>
      </c>
    </row>
    <row r="196" spans="1:6" x14ac:dyDescent="0.2">
      <c r="A196" s="20" t="str">
        <f ca="1">IF(Calc!$AW196="","",INT(Calc!$AV196))</f>
        <v/>
      </c>
      <c r="B196" s="21" t="str">
        <f ca="1">IF(Calc!$AW196="","",INDEX(Roster!$A$6:$A$505,Calc!$AW196)&amp;"")</f>
        <v/>
      </c>
      <c r="C196" s="21" t="str">
        <f ca="1">IF(Calc!$AW196="","",INDEX(Roster!$C$6:$C$505,Calc!$AW196)&amp;"")</f>
        <v/>
      </c>
      <c r="D196" s="19" t="str">
        <f ca="1">IF(Calc!$AW196="","",INDEX(Calc!$AP$6:$AP$505,Calc!$AW196))</f>
        <v/>
      </c>
      <c r="E196" s="21" t="str">
        <f ca="1">IF(Calc!$AW196="","",IF(INDEX(Calc!$AS$6:$AS$505,Calc!$AW196)="","Shout-out","Milestone"))</f>
        <v/>
      </c>
      <c r="F196" s="22" t="str">
        <f ca="1">IF(Calc!$AW196="","",IF($E196="Shout-out",SUBSTITUTE(SUBSTITUTE(SUBSTITUTE(SUBSTITUTE(Setup!$C$7&amp;"","{name}",IF($B196="","this employee",$B196)),"{years}",$D196),"{yearword}",IF($D196=1,"year","years")),"{company}",Setup!$C$4),IF(INDEX(Calc!$AT$6:$AT$505,Calc!$AW196),"Award ordered. Present it on the anniversary.","Order award by "&amp;TEXT(INDEX(Calc!$AU$6:$AU$505,Calc!$AW196),"mmm d, yyyy")&amp;IF(INDEX(Calc!$AU$6:$AU$505,Calc!$AW196)&lt;Setup!$C$5," (late, order today)",""))))</f>
        <v/>
      </c>
    </row>
    <row r="197" spans="1:6" x14ac:dyDescent="0.2">
      <c r="A197" s="20" t="str">
        <f ca="1">IF(Calc!$AW197="","",INT(Calc!$AV197))</f>
        <v/>
      </c>
      <c r="B197" s="21" t="str">
        <f ca="1">IF(Calc!$AW197="","",INDEX(Roster!$A$6:$A$505,Calc!$AW197)&amp;"")</f>
        <v/>
      </c>
      <c r="C197" s="21" t="str">
        <f ca="1">IF(Calc!$AW197="","",INDEX(Roster!$C$6:$C$505,Calc!$AW197)&amp;"")</f>
        <v/>
      </c>
      <c r="D197" s="19" t="str">
        <f ca="1">IF(Calc!$AW197="","",INDEX(Calc!$AP$6:$AP$505,Calc!$AW197))</f>
        <v/>
      </c>
      <c r="E197" s="21" t="str">
        <f ca="1">IF(Calc!$AW197="","",IF(INDEX(Calc!$AS$6:$AS$505,Calc!$AW197)="","Shout-out","Milestone"))</f>
        <v/>
      </c>
      <c r="F197" s="22" t="str">
        <f ca="1">IF(Calc!$AW197="","",IF($E197="Shout-out",SUBSTITUTE(SUBSTITUTE(SUBSTITUTE(SUBSTITUTE(Setup!$C$7&amp;"","{name}",IF($B197="","this employee",$B197)),"{years}",$D197),"{yearword}",IF($D197=1,"year","years")),"{company}",Setup!$C$4),IF(INDEX(Calc!$AT$6:$AT$505,Calc!$AW197),"Award ordered. Present it on the anniversary.","Order award by "&amp;TEXT(INDEX(Calc!$AU$6:$AU$505,Calc!$AW197),"mmm d, yyyy")&amp;IF(INDEX(Calc!$AU$6:$AU$505,Calc!$AW197)&lt;Setup!$C$5," (late, order today)",""))))</f>
        <v/>
      </c>
    </row>
    <row r="198" spans="1:6" x14ac:dyDescent="0.2">
      <c r="A198" s="20" t="str">
        <f ca="1">IF(Calc!$AW198="","",INT(Calc!$AV198))</f>
        <v/>
      </c>
      <c r="B198" s="21" t="str">
        <f ca="1">IF(Calc!$AW198="","",INDEX(Roster!$A$6:$A$505,Calc!$AW198)&amp;"")</f>
        <v/>
      </c>
      <c r="C198" s="21" t="str">
        <f ca="1">IF(Calc!$AW198="","",INDEX(Roster!$C$6:$C$505,Calc!$AW198)&amp;"")</f>
        <v/>
      </c>
      <c r="D198" s="19" t="str">
        <f ca="1">IF(Calc!$AW198="","",INDEX(Calc!$AP$6:$AP$505,Calc!$AW198))</f>
        <v/>
      </c>
      <c r="E198" s="21" t="str">
        <f ca="1">IF(Calc!$AW198="","",IF(INDEX(Calc!$AS$6:$AS$505,Calc!$AW198)="","Shout-out","Milestone"))</f>
        <v/>
      </c>
      <c r="F198" s="22" t="str">
        <f ca="1">IF(Calc!$AW198="","",IF($E198="Shout-out",SUBSTITUTE(SUBSTITUTE(SUBSTITUTE(SUBSTITUTE(Setup!$C$7&amp;"","{name}",IF($B198="","this employee",$B198)),"{years}",$D198),"{yearword}",IF($D198=1,"year","years")),"{company}",Setup!$C$4),IF(INDEX(Calc!$AT$6:$AT$505,Calc!$AW198),"Award ordered. Present it on the anniversary.","Order award by "&amp;TEXT(INDEX(Calc!$AU$6:$AU$505,Calc!$AW198),"mmm d, yyyy")&amp;IF(INDEX(Calc!$AU$6:$AU$505,Calc!$AW198)&lt;Setup!$C$5," (late, order today)",""))))</f>
        <v/>
      </c>
    </row>
    <row r="199" spans="1:6" x14ac:dyDescent="0.2">
      <c r="A199" s="20" t="str">
        <f ca="1">IF(Calc!$AW199="","",INT(Calc!$AV199))</f>
        <v/>
      </c>
      <c r="B199" s="21" t="str">
        <f ca="1">IF(Calc!$AW199="","",INDEX(Roster!$A$6:$A$505,Calc!$AW199)&amp;"")</f>
        <v/>
      </c>
      <c r="C199" s="21" t="str">
        <f ca="1">IF(Calc!$AW199="","",INDEX(Roster!$C$6:$C$505,Calc!$AW199)&amp;"")</f>
        <v/>
      </c>
      <c r="D199" s="19" t="str">
        <f ca="1">IF(Calc!$AW199="","",INDEX(Calc!$AP$6:$AP$505,Calc!$AW199))</f>
        <v/>
      </c>
      <c r="E199" s="21" t="str">
        <f ca="1">IF(Calc!$AW199="","",IF(INDEX(Calc!$AS$6:$AS$505,Calc!$AW199)="","Shout-out","Milestone"))</f>
        <v/>
      </c>
      <c r="F199" s="22" t="str">
        <f ca="1">IF(Calc!$AW199="","",IF($E199="Shout-out",SUBSTITUTE(SUBSTITUTE(SUBSTITUTE(SUBSTITUTE(Setup!$C$7&amp;"","{name}",IF($B199="","this employee",$B199)),"{years}",$D199),"{yearword}",IF($D199=1,"year","years")),"{company}",Setup!$C$4),IF(INDEX(Calc!$AT$6:$AT$505,Calc!$AW199),"Award ordered. Present it on the anniversary.","Order award by "&amp;TEXT(INDEX(Calc!$AU$6:$AU$505,Calc!$AW199),"mmm d, yyyy")&amp;IF(INDEX(Calc!$AU$6:$AU$505,Calc!$AW199)&lt;Setup!$C$5," (late, order today)",""))))</f>
        <v/>
      </c>
    </row>
    <row r="200" spans="1:6" x14ac:dyDescent="0.2">
      <c r="A200" s="20" t="str">
        <f ca="1">IF(Calc!$AW200="","",INT(Calc!$AV200))</f>
        <v/>
      </c>
      <c r="B200" s="21" t="str">
        <f ca="1">IF(Calc!$AW200="","",INDEX(Roster!$A$6:$A$505,Calc!$AW200)&amp;"")</f>
        <v/>
      </c>
      <c r="C200" s="21" t="str">
        <f ca="1">IF(Calc!$AW200="","",INDEX(Roster!$C$6:$C$505,Calc!$AW200)&amp;"")</f>
        <v/>
      </c>
      <c r="D200" s="19" t="str">
        <f ca="1">IF(Calc!$AW200="","",INDEX(Calc!$AP$6:$AP$505,Calc!$AW200))</f>
        <v/>
      </c>
      <c r="E200" s="21" t="str">
        <f ca="1">IF(Calc!$AW200="","",IF(INDEX(Calc!$AS$6:$AS$505,Calc!$AW200)="","Shout-out","Milestone"))</f>
        <v/>
      </c>
      <c r="F200" s="22" t="str">
        <f ca="1">IF(Calc!$AW200="","",IF($E200="Shout-out",SUBSTITUTE(SUBSTITUTE(SUBSTITUTE(SUBSTITUTE(Setup!$C$7&amp;"","{name}",IF($B200="","this employee",$B200)),"{years}",$D200),"{yearword}",IF($D200=1,"year","years")),"{company}",Setup!$C$4),IF(INDEX(Calc!$AT$6:$AT$505,Calc!$AW200),"Award ordered. Present it on the anniversary.","Order award by "&amp;TEXT(INDEX(Calc!$AU$6:$AU$505,Calc!$AW200),"mmm d, yyyy")&amp;IF(INDEX(Calc!$AU$6:$AU$505,Calc!$AW200)&lt;Setup!$C$5," (late, order today)",""))))</f>
        <v/>
      </c>
    </row>
    <row r="201" spans="1:6" x14ac:dyDescent="0.2">
      <c r="A201" s="20" t="str">
        <f ca="1">IF(Calc!$AW201="","",INT(Calc!$AV201))</f>
        <v/>
      </c>
      <c r="B201" s="21" t="str">
        <f ca="1">IF(Calc!$AW201="","",INDEX(Roster!$A$6:$A$505,Calc!$AW201)&amp;"")</f>
        <v/>
      </c>
      <c r="C201" s="21" t="str">
        <f ca="1">IF(Calc!$AW201="","",INDEX(Roster!$C$6:$C$505,Calc!$AW201)&amp;"")</f>
        <v/>
      </c>
      <c r="D201" s="19" t="str">
        <f ca="1">IF(Calc!$AW201="","",INDEX(Calc!$AP$6:$AP$505,Calc!$AW201))</f>
        <v/>
      </c>
      <c r="E201" s="21" t="str">
        <f ca="1">IF(Calc!$AW201="","",IF(INDEX(Calc!$AS$6:$AS$505,Calc!$AW201)="","Shout-out","Milestone"))</f>
        <v/>
      </c>
      <c r="F201" s="22" t="str">
        <f ca="1">IF(Calc!$AW201="","",IF($E201="Shout-out",SUBSTITUTE(SUBSTITUTE(SUBSTITUTE(SUBSTITUTE(Setup!$C$7&amp;"","{name}",IF($B201="","this employee",$B201)),"{years}",$D201),"{yearword}",IF($D201=1,"year","years")),"{company}",Setup!$C$4),IF(INDEX(Calc!$AT$6:$AT$505,Calc!$AW201),"Award ordered. Present it on the anniversary.","Order award by "&amp;TEXT(INDEX(Calc!$AU$6:$AU$505,Calc!$AW201),"mmm d, yyyy")&amp;IF(INDEX(Calc!$AU$6:$AU$505,Calc!$AW201)&lt;Setup!$C$5," (late, order today)",""))))</f>
        <v/>
      </c>
    </row>
    <row r="202" spans="1:6" x14ac:dyDescent="0.2">
      <c r="A202" s="20" t="str">
        <f ca="1">IF(Calc!$AW202="","",INT(Calc!$AV202))</f>
        <v/>
      </c>
      <c r="B202" s="21" t="str">
        <f ca="1">IF(Calc!$AW202="","",INDEX(Roster!$A$6:$A$505,Calc!$AW202)&amp;"")</f>
        <v/>
      </c>
      <c r="C202" s="21" t="str">
        <f ca="1">IF(Calc!$AW202="","",INDEX(Roster!$C$6:$C$505,Calc!$AW202)&amp;"")</f>
        <v/>
      </c>
      <c r="D202" s="19" t="str">
        <f ca="1">IF(Calc!$AW202="","",INDEX(Calc!$AP$6:$AP$505,Calc!$AW202))</f>
        <v/>
      </c>
      <c r="E202" s="21" t="str">
        <f ca="1">IF(Calc!$AW202="","",IF(INDEX(Calc!$AS$6:$AS$505,Calc!$AW202)="","Shout-out","Milestone"))</f>
        <v/>
      </c>
      <c r="F202" s="22" t="str">
        <f ca="1">IF(Calc!$AW202="","",IF($E202="Shout-out",SUBSTITUTE(SUBSTITUTE(SUBSTITUTE(SUBSTITUTE(Setup!$C$7&amp;"","{name}",IF($B202="","this employee",$B202)),"{years}",$D202),"{yearword}",IF($D202=1,"year","years")),"{company}",Setup!$C$4),IF(INDEX(Calc!$AT$6:$AT$505,Calc!$AW202),"Award ordered. Present it on the anniversary.","Order award by "&amp;TEXT(INDEX(Calc!$AU$6:$AU$505,Calc!$AW202),"mmm d, yyyy")&amp;IF(INDEX(Calc!$AU$6:$AU$505,Calc!$AW202)&lt;Setup!$C$5," (late, order today)",""))))</f>
        <v/>
      </c>
    </row>
    <row r="203" spans="1:6" x14ac:dyDescent="0.2">
      <c r="A203" s="20" t="str">
        <f ca="1">IF(Calc!$AW203="","",INT(Calc!$AV203))</f>
        <v/>
      </c>
      <c r="B203" s="21" t="str">
        <f ca="1">IF(Calc!$AW203="","",INDEX(Roster!$A$6:$A$505,Calc!$AW203)&amp;"")</f>
        <v/>
      </c>
      <c r="C203" s="21" t="str">
        <f ca="1">IF(Calc!$AW203="","",INDEX(Roster!$C$6:$C$505,Calc!$AW203)&amp;"")</f>
        <v/>
      </c>
      <c r="D203" s="19" t="str">
        <f ca="1">IF(Calc!$AW203="","",INDEX(Calc!$AP$6:$AP$505,Calc!$AW203))</f>
        <v/>
      </c>
      <c r="E203" s="21" t="str">
        <f ca="1">IF(Calc!$AW203="","",IF(INDEX(Calc!$AS$6:$AS$505,Calc!$AW203)="","Shout-out","Milestone"))</f>
        <v/>
      </c>
      <c r="F203" s="22" t="str">
        <f ca="1">IF(Calc!$AW203="","",IF($E203="Shout-out",SUBSTITUTE(SUBSTITUTE(SUBSTITUTE(SUBSTITUTE(Setup!$C$7&amp;"","{name}",IF($B203="","this employee",$B203)),"{years}",$D203),"{yearword}",IF($D203=1,"year","years")),"{company}",Setup!$C$4),IF(INDEX(Calc!$AT$6:$AT$505,Calc!$AW203),"Award ordered. Present it on the anniversary.","Order award by "&amp;TEXT(INDEX(Calc!$AU$6:$AU$505,Calc!$AW203),"mmm d, yyyy")&amp;IF(INDEX(Calc!$AU$6:$AU$505,Calc!$AW203)&lt;Setup!$C$5," (late, order today)",""))))</f>
        <v/>
      </c>
    </row>
    <row r="204" spans="1:6" x14ac:dyDescent="0.2">
      <c r="A204" s="20" t="str">
        <f ca="1">IF(Calc!$AW204="","",INT(Calc!$AV204))</f>
        <v/>
      </c>
      <c r="B204" s="21" t="str">
        <f ca="1">IF(Calc!$AW204="","",INDEX(Roster!$A$6:$A$505,Calc!$AW204)&amp;"")</f>
        <v/>
      </c>
      <c r="C204" s="21" t="str">
        <f ca="1">IF(Calc!$AW204="","",INDEX(Roster!$C$6:$C$505,Calc!$AW204)&amp;"")</f>
        <v/>
      </c>
      <c r="D204" s="19" t="str">
        <f ca="1">IF(Calc!$AW204="","",INDEX(Calc!$AP$6:$AP$505,Calc!$AW204))</f>
        <v/>
      </c>
      <c r="E204" s="21" t="str">
        <f ca="1">IF(Calc!$AW204="","",IF(INDEX(Calc!$AS$6:$AS$505,Calc!$AW204)="","Shout-out","Milestone"))</f>
        <v/>
      </c>
      <c r="F204" s="22" t="str">
        <f ca="1">IF(Calc!$AW204="","",IF($E204="Shout-out",SUBSTITUTE(SUBSTITUTE(SUBSTITUTE(SUBSTITUTE(Setup!$C$7&amp;"","{name}",IF($B204="","this employee",$B204)),"{years}",$D204),"{yearword}",IF($D204=1,"year","years")),"{company}",Setup!$C$4),IF(INDEX(Calc!$AT$6:$AT$505,Calc!$AW204),"Award ordered. Present it on the anniversary.","Order award by "&amp;TEXT(INDEX(Calc!$AU$6:$AU$505,Calc!$AW204),"mmm d, yyyy")&amp;IF(INDEX(Calc!$AU$6:$AU$505,Calc!$AW204)&lt;Setup!$C$5," (late, order today)",""))))</f>
        <v/>
      </c>
    </row>
    <row r="205" spans="1:6" x14ac:dyDescent="0.2">
      <c r="A205" s="20" t="str">
        <f ca="1">IF(Calc!$AW205="","",INT(Calc!$AV205))</f>
        <v/>
      </c>
      <c r="B205" s="21" t="str">
        <f ca="1">IF(Calc!$AW205="","",INDEX(Roster!$A$6:$A$505,Calc!$AW205)&amp;"")</f>
        <v/>
      </c>
      <c r="C205" s="21" t="str">
        <f ca="1">IF(Calc!$AW205="","",INDEX(Roster!$C$6:$C$505,Calc!$AW205)&amp;"")</f>
        <v/>
      </c>
      <c r="D205" s="19" t="str">
        <f ca="1">IF(Calc!$AW205="","",INDEX(Calc!$AP$6:$AP$505,Calc!$AW205))</f>
        <v/>
      </c>
      <c r="E205" s="21" t="str">
        <f ca="1">IF(Calc!$AW205="","",IF(INDEX(Calc!$AS$6:$AS$505,Calc!$AW205)="","Shout-out","Milestone"))</f>
        <v/>
      </c>
      <c r="F205" s="22" t="str">
        <f ca="1">IF(Calc!$AW205="","",IF($E205="Shout-out",SUBSTITUTE(SUBSTITUTE(SUBSTITUTE(SUBSTITUTE(Setup!$C$7&amp;"","{name}",IF($B205="","this employee",$B205)),"{years}",$D205),"{yearword}",IF($D205=1,"year","years")),"{company}",Setup!$C$4),IF(INDEX(Calc!$AT$6:$AT$505,Calc!$AW205),"Award ordered. Present it on the anniversary.","Order award by "&amp;TEXT(INDEX(Calc!$AU$6:$AU$505,Calc!$AW205),"mmm d, yyyy")&amp;IF(INDEX(Calc!$AU$6:$AU$505,Calc!$AW205)&lt;Setup!$C$5," (late, order today)",""))))</f>
        <v/>
      </c>
    </row>
    <row r="206" spans="1:6" x14ac:dyDescent="0.2">
      <c r="A206" s="20" t="str">
        <f ca="1">IF(Calc!$AW206="","",INT(Calc!$AV206))</f>
        <v/>
      </c>
      <c r="B206" s="21" t="str">
        <f ca="1">IF(Calc!$AW206="","",INDEX(Roster!$A$6:$A$505,Calc!$AW206)&amp;"")</f>
        <v/>
      </c>
      <c r="C206" s="21" t="str">
        <f ca="1">IF(Calc!$AW206="","",INDEX(Roster!$C$6:$C$505,Calc!$AW206)&amp;"")</f>
        <v/>
      </c>
      <c r="D206" s="19" t="str">
        <f ca="1">IF(Calc!$AW206="","",INDEX(Calc!$AP$6:$AP$505,Calc!$AW206))</f>
        <v/>
      </c>
      <c r="E206" s="21" t="str">
        <f ca="1">IF(Calc!$AW206="","",IF(INDEX(Calc!$AS$6:$AS$505,Calc!$AW206)="","Shout-out","Milestone"))</f>
        <v/>
      </c>
      <c r="F206" s="22" t="str">
        <f ca="1">IF(Calc!$AW206="","",IF($E206="Shout-out",SUBSTITUTE(SUBSTITUTE(SUBSTITUTE(SUBSTITUTE(Setup!$C$7&amp;"","{name}",IF($B206="","this employee",$B206)),"{years}",$D206),"{yearword}",IF($D206=1,"year","years")),"{company}",Setup!$C$4),IF(INDEX(Calc!$AT$6:$AT$505,Calc!$AW206),"Award ordered. Present it on the anniversary.","Order award by "&amp;TEXT(INDEX(Calc!$AU$6:$AU$505,Calc!$AW206),"mmm d, yyyy")&amp;IF(INDEX(Calc!$AU$6:$AU$505,Calc!$AW206)&lt;Setup!$C$5," (late, order today)",""))))</f>
        <v/>
      </c>
    </row>
    <row r="207" spans="1:6" x14ac:dyDescent="0.2">
      <c r="A207" s="20" t="str">
        <f ca="1">IF(Calc!$AW207="","",INT(Calc!$AV207))</f>
        <v/>
      </c>
      <c r="B207" s="21" t="str">
        <f ca="1">IF(Calc!$AW207="","",INDEX(Roster!$A$6:$A$505,Calc!$AW207)&amp;"")</f>
        <v/>
      </c>
      <c r="C207" s="21" t="str">
        <f ca="1">IF(Calc!$AW207="","",INDEX(Roster!$C$6:$C$505,Calc!$AW207)&amp;"")</f>
        <v/>
      </c>
      <c r="D207" s="19" t="str">
        <f ca="1">IF(Calc!$AW207="","",INDEX(Calc!$AP$6:$AP$505,Calc!$AW207))</f>
        <v/>
      </c>
      <c r="E207" s="21" t="str">
        <f ca="1">IF(Calc!$AW207="","",IF(INDEX(Calc!$AS$6:$AS$505,Calc!$AW207)="","Shout-out","Milestone"))</f>
        <v/>
      </c>
      <c r="F207" s="22" t="str">
        <f ca="1">IF(Calc!$AW207="","",IF($E207="Shout-out",SUBSTITUTE(SUBSTITUTE(SUBSTITUTE(SUBSTITUTE(Setup!$C$7&amp;"","{name}",IF($B207="","this employee",$B207)),"{years}",$D207),"{yearword}",IF($D207=1,"year","years")),"{company}",Setup!$C$4),IF(INDEX(Calc!$AT$6:$AT$505,Calc!$AW207),"Award ordered. Present it on the anniversary.","Order award by "&amp;TEXT(INDEX(Calc!$AU$6:$AU$505,Calc!$AW207),"mmm d, yyyy")&amp;IF(INDEX(Calc!$AU$6:$AU$505,Calc!$AW207)&lt;Setup!$C$5," (late, order today)",""))))</f>
        <v/>
      </c>
    </row>
    <row r="208" spans="1:6" x14ac:dyDescent="0.2">
      <c r="A208" s="20" t="str">
        <f ca="1">IF(Calc!$AW208="","",INT(Calc!$AV208))</f>
        <v/>
      </c>
      <c r="B208" s="21" t="str">
        <f ca="1">IF(Calc!$AW208="","",INDEX(Roster!$A$6:$A$505,Calc!$AW208)&amp;"")</f>
        <v/>
      </c>
      <c r="C208" s="21" t="str">
        <f ca="1">IF(Calc!$AW208="","",INDEX(Roster!$C$6:$C$505,Calc!$AW208)&amp;"")</f>
        <v/>
      </c>
      <c r="D208" s="19" t="str">
        <f ca="1">IF(Calc!$AW208="","",INDEX(Calc!$AP$6:$AP$505,Calc!$AW208))</f>
        <v/>
      </c>
      <c r="E208" s="21" t="str">
        <f ca="1">IF(Calc!$AW208="","",IF(INDEX(Calc!$AS$6:$AS$505,Calc!$AW208)="","Shout-out","Milestone"))</f>
        <v/>
      </c>
      <c r="F208" s="22" t="str">
        <f ca="1">IF(Calc!$AW208="","",IF($E208="Shout-out",SUBSTITUTE(SUBSTITUTE(SUBSTITUTE(SUBSTITUTE(Setup!$C$7&amp;"","{name}",IF($B208="","this employee",$B208)),"{years}",$D208),"{yearword}",IF($D208=1,"year","years")),"{company}",Setup!$C$4),IF(INDEX(Calc!$AT$6:$AT$505,Calc!$AW208),"Award ordered. Present it on the anniversary.","Order award by "&amp;TEXT(INDEX(Calc!$AU$6:$AU$505,Calc!$AW208),"mmm d, yyyy")&amp;IF(INDEX(Calc!$AU$6:$AU$505,Calc!$AW208)&lt;Setup!$C$5," (late, order today)",""))))</f>
        <v/>
      </c>
    </row>
    <row r="209" spans="1:6" x14ac:dyDescent="0.2">
      <c r="A209" s="20" t="str">
        <f ca="1">IF(Calc!$AW209="","",INT(Calc!$AV209))</f>
        <v/>
      </c>
      <c r="B209" s="21" t="str">
        <f ca="1">IF(Calc!$AW209="","",INDEX(Roster!$A$6:$A$505,Calc!$AW209)&amp;"")</f>
        <v/>
      </c>
      <c r="C209" s="21" t="str">
        <f ca="1">IF(Calc!$AW209="","",INDEX(Roster!$C$6:$C$505,Calc!$AW209)&amp;"")</f>
        <v/>
      </c>
      <c r="D209" s="19" t="str">
        <f ca="1">IF(Calc!$AW209="","",INDEX(Calc!$AP$6:$AP$505,Calc!$AW209))</f>
        <v/>
      </c>
      <c r="E209" s="21" t="str">
        <f ca="1">IF(Calc!$AW209="","",IF(INDEX(Calc!$AS$6:$AS$505,Calc!$AW209)="","Shout-out","Milestone"))</f>
        <v/>
      </c>
      <c r="F209" s="22" t="str">
        <f ca="1">IF(Calc!$AW209="","",IF($E209="Shout-out",SUBSTITUTE(SUBSTITUTE(SUBSTITUTE(SUBSTITUTE(Setup!$C$7&amp;"","{name}",IF($B209="","this employee",$B209)),"{years}",$D209),"{yearword}",IF($D209=1,"year","years")),"{company}",Setup!$C$4),IF(INDEX(Calc!$AT$6:$AT$505,Calc!$AW209),"Award ordered. Present it on the anniversary.","Order award by "&amp;TEXT(INDEX(Calc!$AU$6:$AU$505,Calc!$AW209),"mmm d, yyyy")&amp;IF(INDEX(Calc!$AU$6:$AU$505,Calc!$AW209)&lt;Setup!$C$5," (late, order today)",""))))</f>
        <v/>
      </c>
    </row>
    <row r="210" spans="1:6" x14ac:dyDescent="0.2">
      <c r="A210" s="20" t="str">
        <f ca="1">IF(Calc!$AW210="","",INT(Calc!$AV210))</f>
        <v/>
      </c>
      <c r="B210" s="21" t="str">
        <f ca="1">IF(Calc!$AW210="","",INDEX(Roster!$A$6:$A$505,Calc!$AW210)&amp;"")</f>
        <v/>
      </c>
      <c r="C210" s="21" t="str">
        <f ca="1">IF(Calc!$AW210="","",INDEX(Roster!$C$6:$C$505,Calc!$AW210)&amp;"")</f>
        <v/>
      </c>
      <c r="D210" s="19" t="str">
        <f ca="1">IF(Calc!$AW210="","",INDEX(Calc!$AP$6:$AP$505,Calc!$AW210))</f>
        <v/>
      </c>
      <c r="E210" s="21" t="str">
        <f ca="1">IF(Calc!$AW210="","",IF(INDEX(Calc!$AS$6:$AS$505,Calc!$AW210)="","Shout-out","Milestone"))</f>
        <v/>
      </c>
      <c r="F210" s="22" t="str">
        <f ca="1">IF(Calc!$AW210="","",IF($E210="Shout-out",SUBSTITUTE(SUBSTITUTE(SUBSTITUTE(SUBSTITUTE(Setup!$C$7&amp;"","{name}",IF($B210="","this employee",$B210)),"{years}",$D210),"{yearword}",IF($D210=1,"year","years")),"{company}",Setup!$C$4),IF(INDEX(Calc!$AT$6:$AT$505,Calc!$AW210),"Award ordered. Present it on the anniversary.","Order award by "&amp;TEXT(INDEX(Calc!$AU$6:$AU$505,Calc!$AW210),"mmm d, yyyy")&amp;IF(INDEX(Calc!$AU$6:$AU$505,Calc!$AW210)&lt;Setup!$C$5," (late, order today)",""))))</f>
        <v/>
      </c>
    </row>
    <row r="211" spans="1:6" x14ac:dyDescent="0.2">
      <c r="A211" s="20" t="str">
        <f ca="1">IF(Calc!$AW211="","",INT(Calc!$AV211))</f>
        <v/>
      </c>
      <c r="B211" s="21" t="str">
        <f ca="1">IF(Calc!$AW211="","",INDEX(Roster!$A$6:$A$505,Calc!$AW211)&amp;"")</f>
        <v/>
      </c>
      <c r="C211" s="21" t="str">
        <f ca="1">IF(Calc!$AW211="","",INDEX(Roster!$C$6:$C$505,Calc!$AW211)&amp;"")</f>
        <v/>
      </c>
      <c r="D211" s="19" t="str">
        <f ca="1">IF(Calc!$AW211="","",INDEX(Calc!$AP$6:$AP$505,Calc!$AW211))</f>
        <v/>
      </c>
      <c r="E211" s="21" t="str">
        <f ca="1">IF(Calc!$AW211="","",IF(INDEX(Calc!$AS$6:$AS$505,Calc!$AW211)="","Shout-out","Milestone"))</f>
        <v/>
      </c>
      <c r="F211" s="22" t="str">
        <f ca="1">IF(Calc!$AW211="","",IF($E211="Shout-out",SUBSTITUTE(SUBSTITUTE(SUBSTITUTE(SUBSTITUTE(Setup!$C$7&amp;"","{name}",IF($B211="","this employee",$B211)),"{years}",$D211),"{yearword}",IF($D211=1,"year","years")),"{company}",Setup!$C$4),IF(INDEX(Calc!$AT$6:$AT$505,Calc!$AW211),"Award ordered. Present it on the anniversary.","Order award by "&amp;TEXT(INDEX(Calc!$AU$6:$AU$505,Calc!$AW211),"mmm d, yyyy")&amp;IF(INDEX(Calc!$AU$6:$AU$505,Calc!$AW211)&lt;Setup!$C$5," (late, order today)",""))))</f>
        <v/>
      </c>
    </row>
    <row r="212" spans="1:6" x14ac:dyDescent="0.2">
      <c r="A212" s="20" t="str">
        <f ca="1">IF(Calc!$AW212="","",INT(Calc!$AV212))</f>
        <v/>
      </c>
      <c r="B212" s="21" t="str">
        <f ca="1">IF(Calc!$AW212="","",INDEX(Roster!$A$6:$A$505,Calc!$AW212)&amp;"")</f>
        <v/>
      </c>
      <c r="C212" s="21" t="str">
        <f ca="1">IF(Calc!$AW212="","",INDEX(Roster!$C$6:$C$505,Calc!$AW212)&amp;"")</f>
        <v/>
      </c>
      <c r="D212" s="19" t="str">
        <f ca="1">IF(Calc!$AW212="","",INDEX(Calc!$AP$6:$AP$505,Calc!$AW212))</f>
        <v/>
      </c>
      <c r="E212" s="21" t="str">
        <f ca="1">IF(Calc!$AW212="","",IF(INDEX(Calc!$AS$6:$AS$505,Calc!$AW212)="","Shout-out","Milestone"))</f>
        <v/>
      </c>
      <c r="F212" s="22" t="str">
        <f ca="1">IF(Calc!$AW212="","",IF($E212="Shout-out",SUBSTITUTE(SUBSTITUTE(SUBSTITUTE(SUBSTITUTE(Setup!$C$7&amp;"","{name}",IF($B212="","this employee",$B212)),"{years}",$D212),"{yearword}",IF($D212=1,"year","years")),"{company}",Setup!$C$4),IF(INDEX(Calc!$AT$6:$AT$505,Calc!$AW212),"Award ordered. Present it on the anniversary.","Order award by "&amp;TEXT(INDEX(Calc!$AU$6:$AU$505,Calc!$AW212),"mmm d, yyyy")&amp;IF(INDEX(Calc!$AU$6:$AU$505,Calc!$AW212)&lt;Setup!$C$5," (late, order today)",""))))</f>
        <v/>
      </c>
    </row>
    <row r="213" spans="1:6" x14ac:dyDescent="0.2">
      <c r="A213" s="20" t="str">
        <f ca="1">IF(Calc!$AW213="","",INT(Calc!$AV213))</f>
        <v/>
      </c>
      <c r="B213" s="21" t="str">
        <f ca="1">IF(Calc!$AW213="","",INDEX(Roster!$A$6:$A$505,Calc!$AW213)&amp;"")</f>
        <v/>
      </c>
      <c r="C213" s="21" t="str">
        <f ca="1">IF(Calc!$AW213="","",INDEX(Roster!$C$6:$C$505,Calc!$AW213)&amp;"")</f>
        <v/>
      </c>
      <c r="D213" s="19" t="str">
        <f ca="1">IF(Calc!$AW213="","",INDEX(Calc!$AP$6:$AP$505,Calc!$AW213))</f>
        <v/>
      </c>
      <c r="E213" s="21" t="str">
        <f ca="1">IF(Calc!$AW213="","",IF(INDEX(Calc!$AS$6:$AS$505,Calc!$AW213)="","Shout-out","Milestone"))</f>
        <v/>
      </c>
      <c r="F213" s="22" t="str">
        <f ca="1">IF(Calc!$AW213="","",IF($E213="Shout-out",SUBSTITUTE(SUBSTITUTE(SUBSTITUTE(SUBSTITUTE(Setup!$C$7&amp;"","{name}",IF($B213="","this employee",$B213)),"{years}",$D213),"{yearword}",IF($D213=1,"year","years")),"{company}",Setup!$C$4),IF(INDEX(Calc!$AT$6:$AT$505,Calc!$AW213),"Award ordered. Present it on the anniversary.","Order award by "&amp;TEXT(INDEX(Calc!$AU$6:$AU$505,Calc!$AW213),"mmm d, yyyy")&amp;IF(INDEX(Calc!$AU$6:$AU$505,Calc!$AW213)&lt;Setup!$C$5," (late, order today)",""))))</f>
        <v/>
      </c>
    </row>
    <row r="214" spans="1:6" x14ac:dyDescent="0.2">
      <c r="A214" s="20" t="str">
        <f ca="1">IF(Calc!$AW214="","",INT(Calc!$AV214))</f>
        <v/>
      </c>
      <c r="B214" s="21" t="str">
        <f ca="1">IF(Calc!$AW214="","",INDEX(Roster!$A$6:$A$505,Calc!$AW214)&amp;"")</f>
        <v/>
      </c>
      <c r="C214" s="21" t="str">
        <f ca="1">IF(Calc!$AW214="","",INDEX(Roster!$C$6:$C$505,Calc!$AW214)&amp;"")</f>
        <v/>
      </c>
      <c r="D214" s="19" t="str">
        <f ca="1">IF(Calc!$AW214="","",INDEX(Calc!$AP$6:$AP$505,Calc!$AW214))</f>
        <v/>
      </c>
      <c r="E214" s="21" t="str">
        <f ca="1">IF(Calc!$AW214="","",IF(INDEX(Calc!$AS$6:$AS$505,Calc!$AW214)="","Shout-out","Milestone"))</f>
        <v/>
      </c>
      <c r="F214" s="22" t="str">
        <f ca="1">IF(Calc!$AW214="","",IF($E214="Shout-out",SUBSTITUTE(SUBSTITUTE(SUBSTITUTE(SUBSTITUTE(Setup!$C$7&amp;"","{name}",IF($B214="","this employee",$B214)),"{years}",$D214),"{yearword}",IF($D214=1,"year","years")),"{company}",Setup!$C$4),IF(INDEX(Calc!$AT$6:$AT$505,Calc!$AW214),"Award ordered. Present it on the anniversary.","Order award by "&amp;TEXT(INDEX(Calc!$AU$6:$AU$505,Calc!$AW214),"mmm d, yyyy")&amp;IF(INDEX(Calc!$AU$6:$AU$505,Calc!$AW214)&lt;Setup!$C$5," (late, order today)",""))))</f>
        <v/>
      </c>
    </row>
    <row r="215" spans="1:6" x14ac:dyDescent="0.2">
      <c r="A215" s="20" t="str">
        <f ca="1">IF(Calc!$AW215="","",INT(Calc!$AV215))</f>
        <v/>
      </c>
      <c r="B215" s="21" t="str">
        <f ca="1">IF(Calc!$AW215="","",INDEX(Roster!$A$6:$A$505,Calc!$AW215)&amp;"")</f>
        <v/>
      </c>
      <c r="C215" s="21" t="str">
        <f ca="1">IF(Calc!$AW215="","",INDEX(Roster!$C$6:$C$505,Calc!$AW215)&amp;"")</f>
        <v/>
      </c>
      <c r="D215" s="19" t="str">
        <f ca="1">IF(Calc!$AW215="","",INDEX(Calc!$AP$6:$AP$505,Calc!$AW215))</f>
        <v/>
      </c>
      <c r="E215" s="21" t="str">
        <f ca="1">IF(Calc!$AW215="","",IF(INDEX(Calc!$AS$6:$AS$505,Calc!$AW215)="","Shout-out","Milestone"))</f>
        <v/>
      </c>
      <c r="F215" s="22" t="str">
        <f ca="1">IF(Calc!$AW215="","",IF($E215="Shout-out",SUBSTITUTE(SUBSTITUTE(SUBSTITUTE(SUBSTITUTE(Setup!$C$7&amp;"","{name}",IF($B215="","this employee",$B215)),"{years}",$D215),"{yearword}",IF($D215=1,"year","years")),"{company}",Setup!$C$4),IF(INDEX(Calc!$AT$6:$AT$505,Calc!$AW215),"Award ordered. Present it on the anniversary.","Order award by "&amp;TEXT(INDEX(Calc!$AU$6:$AU$505,Calc!$AW215),"mmm d, yyyy")&amp;IF(INDEX(Calc!$AU$6:$AU$505,Calc!$AW215)&lt;Setup!$C$5," (late, order today)",""))))</f>
        <v/>
      </c>
    </row>
    <row r="216" spans="1:6" x14ac:dyDescent="0.2">
      <c r="A216" s="20" t="str">
        <f ca="1">IF(Calc!$AW216="","",INT(Calc!$AV216))</f>
        <v/>
      </c>
      <c r="B216" s="21" t="str">
        <f ca="1">IF(Calc!$AW216="","",INDEX(Roster!$A$6:$A$505,Calc!$AW216)&amp;"")</f>
        <v/>
      </c>
      <c r="C216" s="21" t="str">
        <f ca="1">IF(Calc!$AW216="","",INDEX(Roster!$C$6:$C$505,Calc!$AW216)&amp;"")</f>
        <v/>
      </c>
      <c r="D216" s="19" t="str">
        <f ca="1">IF(Calc!$AW216="","",INDEX(Calc!$AP$6:$AP$505,Calc!$AW216))</f>
        <v/>
      </c>
      <c r="E216" s="21" t="str">
        <f ca="1">IF(Calc!$AW216="","",IF(INDEX(Calc!$AS$6:$AS$505,Calc!$AW216)="","Shout-out","Milestone"))</f>
        <v/>
      </c>
      <c r="F216" s="22" t="str">
        <f ca="1">IF(Calc!$AW216="","",IF($E216="Shout-out",SUBSTITUTE(SUBSTITUTE(SUBSTITUTE(SUBSTITUTE(Setup!$C$7&amp;"","{name}",IF($B216="","this employee",$B216)),"{years}",$D216),"{yearword}",IF($D216=1,"year","years")),"{company}",Setup!$C$4),IF(INDEX(Calc!$AT$6:$AT$505,Calc!$AW216),"Award ordered. Present it on the anniversary.","Order award by "&amp;TEXT(INDEX(Calc!$AU$6:$AU$505,Calc!$AW216),"mmm d, yyyy")&amp;IF(INDEX(Calc!$AU$6:$AU$505,Calc!$AW216)&lt;Setup!$C$5," (late, order today)",""))))</f>
        <v/>
      </c>
    </row>
    <row r="217" spans="1:6" x14ac:dyDescent="0.2">
      <c r="A217" s="20" t="str">
        <f ca="1">IF(Calc!$AW217="","",INT(Calc!$AV217))</f>
        <v/>
      </c>
      <c r="B217" s="21" t="str">
        <f ca="1">IF(Calc!$AW217="","",INDEX(Roster!$A$6:$A$505,Calc!$AW217)&amp;"")</f>
        <v/>
      </c>
      <c r="C217" s="21" t="str">
        <f ca="1">IF(Calc!$AW217="","",INDEX(Roster!$C$6:$C$505,Calc!$AW217)&amp;"")</f>
        <v/>
      </c>
      <c r="D217" s="19" t="str">
        <f ca="1">IF(Calc!$AW217="","",INDEX(Calc!$AP$6:$AP$505,Calc!$AW217))</f>
        <v/>
      </c>
      <c r="E217" s="21" t="str">
        <f ca="1">IF(Calc!$AW217="","",IF(INDEX(Calc!$AS$6:$AS$505,Calc!$AW217)="","Shout-out","Milestone"))</f>
        <v/>
      </c>
      <c r="F217" s="22" t="str">
        <f ca="1">IF(Calc!$AW217="","",IF($E217="Shout-out",SUBSTITUTE(SUBSTITUTE(SUBSTITUTE(SUBSTITUTE(Setup!$C$7&amp;"","{name}",IF($B217="","this employee",$B217)),"{years}",$D217),"{yearword}",IF($D217=1,"year","years")),"{company}",Setup!$C$4),IF(INDEX(Calc!$AT$6:$AT$505,Calc!$AW217),"Award ordered. Present it on the anniversary.","Order award by "&amp;TEXT(INDEX(Calc!$AU$6:$AU$505,Calc!$AW217),"mmm d, yyyy")&amp;IF(INDEX(Calc!$AU$6:$AU$505,Calc!$AW217)&lt;Setup!$C$5," (late, order today)",""))))</f>
        <v/>
      </c>
    </row>
    <row r="218" spans="1:6" x14ac:dyDescent="0.2">
      <c r="A218" s="20" t="str">
        <f ca="1">IF(Calc!$AW218="","",INT(Calc!$AV218))</f>
        <v/>
      </c>
      <c r="B218" s="21" t="str">
        <f ca="1">IF(Calc!$AW218="","",INDEX(Roster!$A$6:$A$505,Calc!$AW218)&amp;"")</f>
        <v/>
      </c>
      <c r="C218" s="21" t="str">
        <f ca="1">IF(Calc!$AW218="","",INDEX(Roster!$C$6:$C$505,Calc!$AW218)&amp;"")</f>
        <v/>
      </c>
      <c r="D218" s="19" t="str">
        <f ca="1">IF(Calc!$AW218="","",INDEX(Calc!$AP$6:$AP$505,Calc!$AW218))</f>
        <v/>
      </c>
      <c r="E218" s="21" t="str">
        <f ca="1">IF(Calc!$AW218="","",IF(INDEX(Calc!$AS$6:$AS$505,Calc!$AW218)="","Shout-out","Milestone"))</f>
        <v/>
      </c>
      <c r="F218" s="22" t="str">
        <f ca="1">IF(Calc!$AW218="","",IF($E218="Shout-out",SUBSTITUTE(SUBSTITUTE(SUBSTITUTE(SUBSTITUTE(Setup!$C$7&amp;"","{name}",IF($B218="","this employee",$B218)),"{years}",$D218),"{yearword}",IF($D218=1,"year","years")),"{company}",Setup!$C$4),IF(INDEX(Calc!$AT$6:$AT$505,Calc!$AW218),"Award ordered. Present it on the anniversary.","Order award by "&amp;TEXT(INDEX(Calc!$AU$6:$AU$505,Calc!$AW218),"mmm d, yyyy")&amp;IF(INDEX(Calc!$AU$6:$AU$505,Calc!$AW218)&lt;Setup!$C$5," (late, order today)",""))))</f>
        <v/>
      </c>
    </row>
    <row r="219" spans="1:6" x14ac:dyDescent="0.2">
      <c r="A219" s="20" t="str">
        <f ca="1">IF(Calc!$AW219="","",INT(Calc!$AV219))</f>
        <v/>
      </c>
      <c r="B219" s="21" t="str">
        <f ca="1">IF(Calc!$AW219="","",INDEX(Roster!$A$6:$A$505,Calc!$AW219)&amp;"")</f>
        <v/>
      </c>
      <c r="C219" s="21" t="str">
        <f ca="1">IF(Calc!$AW219="","",INDEX(Roster!$C$6:$C$505,Calc!$AW219)&amp;"")</f>
        <v/>
      </c>
      <c r="D219" s="19" t="str">
        <f ca="1">IF(Calc!$AW219="","",INDEX(Calc!$AP$6:$AP$505,Calc!$AW219))</f>
        <v/>
      </c>
      <c r="E219" s="21" t="str">
        <f ca="1">IF(Calc!$AW219="","",IF(INDEX(Calc!$AS$6:$AS$505,Calc!$AW219)="","Shout-out","Milestone"))</f>
        <v/>
      </c>
      <c r="F219" s="22" t="str">
        <f ca="1">IF(Calc!$AW219="","",IF($E219="Shout-out",SUBSTITUTE(SUBSTITUTE(SUBSTITUTE(SUBSTITUTE(Setup!$C$7&amp;"","{name}",IF($B219="","this employee",$B219)),"{years}",$D219),"{yearword}",IF($D219=1,"year","years")),"{company}",Setup!$C$4),IF(INDEX(Calc!$AT$6:$AT$505,Calc!$AW219),"Award ordered. Present it on the anniversary.","Order award by "&amp;TEXT(INDEX(Calc!$AU$6:$AU$505,Calc!$AW219),"mmm d, yyyy")&amp;IF(INDEX(Calc!$AU$6:$AU$505,Calc!$AW219)&lt;Setup!$C$5," (late, order today)",""))))</f>
        <v/>
      </c>
    </row>
    <row r="220" spans="1:6" x14ac:dyDescent="0.2">
      <c r="A220" s="20" t="str">
        <f ca="1">IF(Calc!$AW220="","",INT(Calc!$AV220))</f>
        <v/>
      </c>
      <c r="B220" s="21" t="str">
        <f ca="1">IF(Calc!$AW220="","",INDEX(Roster!$A$6:$A$505,Calc!$AW220)&amp;"")</f>
        <v/>
      </c>
      <c r="C220" s="21" t="str">
        <f ca="1">IF(Calc!$AW220="","",INDEX(Roster!$C$6:$C$505,Calc!$AW220)&amp;"")</f>
        <v/>
      </c>
      <c r="D220" s="19" t="str">
        <f ca="1">IF(Calc!$AW220="","",INDEX(Calc!$AP$6:$AP$505,Calc!$AW220))</f>
        <v/>
      </c>
      <c r="E220" s="21" t="str">
        <f ca="1">IF(Calc!$AW220="","",IF(INDEX(Calc!$AS$6:$AS$505,Calc!$AW220)="","Shout-out","Milestone"))</f>
        <v/>
      </c>
      <c r="F220" s="22" t="str">
        <f ca="1">IF(Calc!$AW220="","",IF($E220="Shout-out",SUBSTITUTE(SUBSTITUTE(SUBSTITUTE(SUBSTITUTE(Setup!$C$7&amp;"","{name}",IF($B220="","this employee",$B220)),"{years}",$D220),"{yearword}",IF($D220=1,"year","years")),"{company}",Setup!$C$4),IF(INDEX(Calc!$AT$6:$AT$505,Calc!$AW220),"Award ordered. Present it on the anniversary.","Order award by "&amp;TEXT(INDEX(Calc!$AU$6:$AU$505,Calc!$AW220),"mmm d, yyyy")&amp;IF(INDEX(Calc!$AU$6:$AU$505,Calc!$AW220)&lt;Setup!$C$5," (late, order today)",""))))</f>
        <v/>
      </c>
    </row>
    <row r="221" spans="1:6" x14ac:dyDescent="0.2">
      <c r="A221" s="20" t="str">
        <f ca="1">IF(Calc!$AW221="","",INT(Calc!$AV221))</f>
        <v/>
      </c>
      <c r="B221" s="21" t="str">
        <f ca="1">IF(Calc!$AW221="","",INDEX(Roster!$A$6:$A$505,Calc!$AW221)&amp;"")</f>
        <v/>
      </c>
      <c r="C221" s="21" t="str">
        <f ca="1">IF(Calc!$AW221="","",INDEX(Roster!$C$6:$C$505,Calc!$AW221)&amp;"")</f>
        <v/>
      </c>
      <c r="D221" s="19" t="str">
        <f ca="1">IF(Calc!$AW221="","",INDEX(Calc!$AP$6:$AP$505,Calc!$AW221))</f>
        <v/>
      </c>
      <c r="E221" s="21" t="str">
        <f ca="1">IF(Calc!$AW221="","",IF(INDEX(Calc!$AS$6:$AS$505,Calc!$AW221)="","Shout-out","Milestone"))</f>
        <v/>
      </c>
      <c r="F221" s="22" t="str">
        <f ca="1">IF(Calc!$AW221="","",IF($E221="Shout-out",SUBSTITUTE(SUBSTITUTE(SUBSTITUTE(SUBSTITUTE(Setup!$C$7&amp;"","{name}",IF($B221="","this employee",$B221)),"{years}",$D221),"{yearword}",IF($D221=1,"year","years")),"{company}",Setup!$C$4),IF(INDEX(Calc!$AT$6:$AT$505,Calc!$AW221),"Award ordered. Present it on the anniversary.","Order award by "&amp;TEXT(INDEX(Calc!$AU$6:$AU$505,Calc!$AW221),"mmm d, yyyy")&amp;IF(INDEX(Calc!$AU$6:$AU$505,Calc!$AW221)&lt;Setup!$C$5," (late, order today)",""))))</f>
        <v/>
      </c>
    </row>
    <row r="222" spans="1:6" x14ac:dyDescent="0.2">
      <c r="A222" s="20" t="str">
        <f ca="1">IF(Calc!$AW222="","",INT(Calc!$AV222))</f>
        <v/>
      </c>
      <c r="B222" s="21" t="str">
        <f ca="1">IF(Calc!$AW222="","",INDEX(Roster!$A$6:$A$505,Calc!$AW222)&amp;"")</f>
        <v/>
      </c>
      <c r="C222" s="21" t="str">
        <f ca="1">IF(Calc!$AW222="","",INDEX(Roster!$C$6:$C$505,Calc!$AW222)&amp;"")</f>
        <v/>
      </c>
      <c r="D222" s="19" t="str">
        <f ca="1">IF(Calc!$AW222="","",INDEX(Calc!$AP$6:$AP$505,Calc!$AW222))</f>
        <v/>
      </c>
      <c r="E222" s="21" t="str">
        <f ca="1">IF(Calc!$AW222="","",IF(INDEX(Calc!$AS$6:$AS$505,Calc!$AW222)="","Shout-out","Milestone"))</f>
        <v/>
      </c>
      <c r="F222" s="22" t="str">
        <f ca="1">IF(Calc!$AW222="","",IF($E222="Shout-out",SUBSTITUTE(SUBSTITUTE(SUBSTITUTE(SUBSTITUTE(Setup!$C$7&amp;"","{name}",IF($B222="","this employee",$B222)),"{years}",$D222),"{yearword}",IF($D222=1,"year","years")),"{company}",Setup!$C$4),IF(INDEX(Calc!$AT$6:$AT$505,Calc!$AW222),"Award ordered. Present it on the anniversary.","Order award by "&amp;TEXT(INDEX(Calc!$AU$6:$AU$505,Calc!$AW222),"mmm d, yyyy")&amp;IF(INDEX(Calc!$AU$6:$AU$505,Calc!$AW222)&lt;Setup!$C$5," (late, order today)",""))))</f>
        <v/>
      </c>
    </row>
    <row r="223" spans="1:6" x14ac:dyDescent="0.2">
      <c r="A223" s="20" t="str">
        <f ca="1">IF(Calc!$AW223="","",INT(Calc!$AV223))</f>
        <v/>
      </c>
      <c r="B223" s="21" t="str">
        <f ca="1">IF(Calc!$AW223="","",INDEX(Roster!$A$6:$A$505,Calc!$AW223)&amp;"")</f>
        <v/>
      </c>
      <c r="C223" s="21" t="str">
        <f ca="1">IF(Calc!$AW223="","",INDEX(Roster!$C$6:$C$505,Calc!$AW223)&amp;"")</f>
        <v/>
      </c>
      <c r="D223" s="19" t="str">
        <f ca="1">IF(Calc!$AW223="","",INDEX(Calc!$AP$6:$AP$505,Calc!$AW223))</f>
        <v/>
      </c>
      <c r="E223" s="21" t="str">
        <f ca="1">IF(Calc!$AW223="","",IF(INDEX(Calc!$AS$6:$AS$505,Calc!$AW223)="","Shout-out","Milestone"))</f>
        <v/>
      </c>
      <c r="F223" s="22" t="str">
        <f ca="1">IF(Calc!$AW223="","",IF($E223="Shout-out",SUBSTITUTE(SUBSTITUTE(SUBSTITUTE(SUBSTITUTE(Setup!$C$7&amp;"","{name}",IF($B223="","this employee",$B223)),"{years}",$D223),"{yearword}",IF($D223=1,"year","years")),"{company}",Setup!$C$4),IF(INDEX(Calc!$AT$6:$AT$505,Calc!$AW223),"Award ordered. Present it on the anniversary.","Order award by "&amp;TEXT(INDEX(Calc!$AU$6:$AU$505,Calc!$AW223),"mmm d, yyyy")&amp;IF(INDEX(Calc!$AU$6:$AU$505,Calc!$AW223)&lt;Setup!$C$5," (late, order today)",""))))</f>
        <v/>
      </c>
    </row>
    <row r="224" spans="1:6" x14ac:dyDescent="0.2">
      <c r="A224" s="20" t="str">
        <f ca="1">IF(Calc!$AW224="","",INT(Calc!$AV224))</f>
        <v/>
      </c>
      <c r="B224" s="21" t="str">
        <f ca="1">IF(Calc!$AW224="","",INDEX(Roster!$A$6:$A$505,Calc!$AW224)&amp;"")</f>
        <v/>
      </c>
      <c r="C224" s="21" t="str">
        <f ca="1">IF(Calc!$AW224="","",INDEX(Roster!$C$6:$C$505,Calc!$AW224)&amp;"")</f>
        <v/>
      </c>
      <c r="D224" s="19" t="str">
        <f ca="1">IF(Calc!$AW224="","",INDEX(Calc!$AP$6:$AP$505,Calc!$AW224))</f>
        <v/>
      </c>
      <c r="E224" s="21" t="str">
        <f ca="1">IF(Calc!$AW224="","",IF(INDEX(Calc!$AS$6:$AS$505,Calc!$AW224)="","Shout-out","Milestone"))</f>
        <v/>
      </c>
      <c r="F224" s="22" t="str">
        <f ca="1">IF(Calc!$AW224="","",IF($E224="Shout-out",SUBSTITUTE(SUBSTITUTE(SUBSTITUTE(SUBSTITUTE(Setup!$C$7&amp;"","{name}",IF($B224="","this employee",$B224)),"{years}",$D224),"{yearword}",IF($D224=1,"year","years")),"{company}",Setup!$C$4),IF(INDEX(Calc!$AT$6:$AT$505,Calc!$AW224),"Award ordered. Present it on the anniversary.","Order award by "&amp;TEXT(INDEX(Calc!$AU$6:$AU$505,Calc!$AW224),"mmm d, yyyy")&amp;IF(INDEX(Calc!$AU$6:$AU$505,Calc!$AW224)&lt;Setup!$C$5," (late, order today)",""))))</f>
        <v/>
      </c>
    </row>
    <row r="225" spans="1:6" x14ac:dyDescent="0.2">
      <c r="A225" s="20" t="str">
        <f ca="1">IF(Calc!$AW225="","",INT(Calc!$AV225))</f>
        <v/>
      </c>
      <c r="B225" s="21" t="str">
        <f ca="1">IF(Calc!$AW225="","",INDEX(Roster!$A$6:$A$505,Calc!$AW225)&amp;"")</f>
        <v/>
      </c>
      <c r="C225" s="21" t="str">
        <f ca="1">IF(Calc!$AW225="","",INDEX(Roster!$C$6:$C$505,Calc!$AW225)&amp;"")</f>
        <v/>
      </c>
      <c r="D225" s="19" t="str">
        <f ca="1">IF(Calc!$AW225="","",INDEX(Calc!$AP$6:$AP$505,Calc!$AW225))</f>
        <v/>
      </c>
      <c r="E225" s="21" t="str">
        <f ca="1">IF(Calc!$AW225="","",IF(INDEX(Calc!$AS$6:$AS$505,Calc!$AW225)="","Shout-out","Milestone"))</f>
        <v/>
      </c>
      <c r="F225" s="22" t="str">
        <f ca="1">IF(Calc!$AW225="","",IF($E225="Shout-out",SUBSTITUTE(SUBSTITUTE(SUBSTITUTE(SUBSTITUTE(Setup!$C$7&amp;"","{name}",IF($B225="","this employee",$B225)),"{years}",$D225),"{yearword}",IF($D225=1,"year","years")),"{company}",Setup!$C$4),IF(INDEX(Calc!$AT$6:$AT$505,Calc!$AW225),"Award ordered. Present it on the anniversary.","Order award by "&amp;TEXT(INDEX(Calc!$AU$6:$AU$505,Calc!$AW225),"mmm d, yyyy")&amp;IF(INDEX(Calc!$AU$6:$AU$505,Calc!$AW225)&lt;Setup!$C$5," (late, order today)",""))))</f>
        <v/>
      </c>
    </row>
    <row r="226" spans="1:6" x14ac:dyDescent="0.2">
      <c r="A226" s="20" t="str">
        <f ca="1">IF(Calc!$AW226="","",INT(Calc!$AV226))</f>
        <v/>
      </c>
      <c r="B226" s="21" t="str">
        <f ca="1">IF(Calc!$AW226="","",INDEX(Roster!$A$6:$A$505,Calc!$AW226)&amp;"")</f>
        <v/>
      </c>
      <c r="C226" s="21" t="str">
        <f ca="1">IF(Calc!$AW226="","",INDEX(Roster!$C$6:$C$505,Calc!$AW226)&amp;"")</f>
        <v/>
      </c>
      <c r="D226" s="19" t="str">
        <f ca="1">IF(Calc!$AW226="","",INDEX(Calc!$AP$6:$AP$505,Calc!$AW226))</f>
        <v/>
      </c>
      <c r="E226" s="21" t="str">
        <f ca="1">IF(Calc!$AW226="","",IF(INDEX(Calc!$AS$6:$AS$505,Calc!$AW226)="","Shout-out","Milestone"))</f>
        <v/>
      </c>
      <c r="F226" s="22" t="str">
        <f ca="1">IF(Calc!$AW226="","",IF($E226="Shout-out",SUBSTITUTE(SUBSTITUTE(SUBSTITUTE(SUBSTITUTE(Setup!$C$7&amp;"","{name}",IF($B226="","this employee",$B226)),"{years}",$D226),"{yearword}",IF($D226=1,"year","years")),"{company}",Setup!$C$4),IF(INDEX(Calc!$AT$6:$AT$505,Calc!$AW226),"Award ordered. Present it on the anniversary.","Order award by "&amp;TEXT(INDEX(Calc!$AU$6:$AU$505,Calc!$AW226),"mmm d, yyyy")&amp;IF(INDEX(Calc!$AU$6:$AU$505,Calc!$AW226)&lt;Setup!$C$5," (late, order today)",""))))</f>
        <v/>
      </c>
    </row>
    <row r="227" spans="1:6" x14ac:dyDescent="0.2">
      <c r="A227" s="20" t="str">
        <f ca="1">IF(Calc!$AW227="","",INT(Calc!$AV227))</f>
        <v/>
      </c>
      <c r="B227" s="21" t="str">
        <f ca="1">IF(Calc!$AW227="","",INDEX(Roster!$A$6:$A$505,Calc!$AW227)&amp;"")</f>
        <v/>
      </c>
      <c r="C227" s="21" t="str">
        <f ca="1">IF(Calc!$AW227="","",INDEX(Roster!$C$6:$C$505,Calc!$AW227)&amp;"")</f>
        <v/>
      </c>
      <c r="D227" s="19" t="str">
        <f ca="1">IF(Calc!$AW227="","",INDEX(Calc!$AP$6:$AP$505,Calc!$AW227))</f>
        <v/>
      </c>
      <c r="E227" s="21" t="str">
        <f ca="1">IF(Calc!$AW227="","",IF(INDEX(Calc!$AS$6:$AS$505,Calc!$AW227)="","Shout-out","Milestone"))</f>
        <v/>
      </c>
      <c r="F227" s="22" t="str">
        <f ca="1">IF(Calc!$AW227="","",IF($E227="Shout-out",SUBSTITUTE(SUBSTITUTE(SUBSTITUTE(SUBSTITUTE(Setup!$C$7&amp;"","{name}",IF($B227="","this employee",$B227)),"{years}",$D227),"{yearword}",IF($D227=1,"year","years")),"{company}",Setup!$C$4),IF(INDEX(Calc!$AT$6:$AT$505,Calc!$AW227),"Award ordered. Present it on the anniversary.","Order award by "&amp;TEXT(INDEX(Calc!$AU$6:$AU$505,Calc!$AW227),"mmm d, yyyy")&amp;IF(INDEX(Calc!$AU$6:$AU$505,Calc!$AW227)&lt;Setup!$C$5," (late, order today)",""))))</f>
        <v/>
      </c>
    </row>
    <row r="228" spans="1:6" x14ac:dyDescent="0.2">
      <c r="A228" s="20" t="str">
        <f ca="1">IF(Calc!$AW228="","",INT(Calc!$AV228))</f>
        <v/>
      </c>
      <c r="B228" s="21" t="str">
        <f ca="1">IF(Calc!$AW228="","",INDEX(Roster!$A$6:$A$505,Calc!$AW228)&amp;"")</f>
        <v/>
      </c>
      <c r="C228" s="21" t="str">
        <f ca="1">IF(Calc!$AW228="","",INDEX(Roster!$C$6:$C$505,Calc!$AW228)&amp;"")</f>
        <v/>
      </c>
      <c r="D228" s="19" t="str">
        <f ca="1">IF(Calc!$AW228="","",INDEX(Calc!$AP$6:$AP$505,Calc!$AW228))</f>
        <v/>
      </c>
      <c r="E228" s="21" t="str">
        <f ca="1">IF(Calc!$AW228="","",IF(INDEX(Calc!$AS$6:$AS$505,Calc!$AW228)="","Shout-out","Milestone"))</f>
        <v/>
      </c>
      <c r="F228" s="22" t="str">
        <f ca="1">IF(Calc!$AW228="","",IF($E228="Shout-out",SUBSTITUTE(SUBSTITUTE(SUBSTITUTE(SUBSTITUTE(Setup!$C$7&amp;"","{name}",IF($B228="","this employee",$B228)),"{years}",$D228),"{yearword}",IF($D228=1,"year","years")),"{company}",Setup!$C$4),IF(INDEX(Calc!$AT$6:$AT$505,Calc!$AW228),"Award ordered. Present it on the anniversary.","Order award by "&amp;TEXT(INDEX(Calc!$AU$6:$AU$505,Calc!$AW228),"mmm d, yyyy")&amp;IF(INDEX(Calc!$AU$6:$AU$505,Calc!$AW228)&lt;Setup!$C$5," (late, order today)",""))))</f>
        <v/>
      </c>
    </row>
    <row r="229" spans="1:6" x14ac:dyDescent="0.2">
      <c r="A229" s="20" t="str">
        <f ca="1">IF(Calc!$AW229="","",INT(Calc!$AV229))</f>
        <v/>
      </c>
      <c r="B229" s="21" t="str">
        <f ca="1">IF(Calc!$AW229="","",INDEX(Roster!$A$6:$A$505,Calc!$AW229)&amp;"")</f>
        <v/>
      </c>
      <c r="C229" s="21" t="str">
        <f ca="1">IF(Calc!$AW229="","",INDEX(Roster!$C$6:$C$505,Calc!$AW229)&amp;"")</f>
        <v/>
      </c>
      <c r="D229" s="19" t="str">
        <f ca="1">IF(Calc!$AW229="","",INDEX(Calc!$AP$6:$AP$505,Calc!$AW229))</f>
        <v/>
      </c>
      <c r="E229" s="21" t="str">
        <f ca="1">IF(Calc!$AW229="","",IF(INDEX(Calc!$AS$6:$AS$505,Calc!$AW229)="","Shout-out","Milestone"))</f>
        <v/>
      </c>
      <c r="F229" s="22" t="str">
        <f ca="1">IF(Calc!$AW229="","",IF($E229="Shout-out",SUBSTITUTE(SUBSTITUTE(SUBSTITUTE(SUBSTITUTE(Setup!$C$7&amp;"","{name}",IF($B229="","this employee",$B229)),"{years}",$D229),"{yearword}",IF($D229=1,"year","years")),"{company}",Setup!$C$4),IF(INDEX(Calc!$AT$6:$AT$505,Calc!$AW229),"Award ordered. Present it on the anniversary.","Order award by "&amp;TEXT(INDEX(Calc!$AU$6:$AU$505,Calc!$AW229),"mmm d, yyyy")&amp;IF(INDEX(Calc!$AU$6:$AU$505,Calc!$AW229)&lt;Setup!$C$5," (late, order today)",""))))</f>
        <v/>
      </c>
    </row>
    <row r="230" spans="1:6" x14ac:dyDescent="0.2">
      <c r="A230" s="20" t="str">
        <f ca="1">IF(Calc!$AW230="","",INT(Calc!$AV230))</f>
        <v/>
      </c>
      <c r="B230" s="21" t="str">
        <f ca="1">IF(Calc!$AW230="","",INDEX(Roster!$A$6:$A$505,Calc!$AW230)&amp;"")</f>
        <v/>
      </c>
      <c r="C230" s="21" t="str">
        <f ca="1">IF(Calc!$AW230="","",INDEX(Roster!$C$6:$C$505,Calc!$AW230)&amp;"")</f>
        <v/>
      </c>
      <c r="D230" s="19" t="str">
        <f ca="1">IF(Calc!$AW230="","",INDEX(Calc!$AP$6:$AP$505,Calc!$AW230))</f>
        <v/>
      </c>
      <c r="E230" s="21" t="str">
        <f ca="1">IF(Calc!$AW230="","",IF(INDEX(Calc!$AS$6:$AS$505,Calc!$AW230)="","Shout-out","Milestone"))</f>
        <v/>
      </c>
      <c r="F230" s="22" t="str">
        <f ca="1">IF(Calc!$AW230="","",IF($E230="Shout-out",SUBSTITUTE(SUBSTITUTE(SUBSTITUTE(SUBSTITUTE(Setup!$C$7&amp;"","{name}",IF($B230="","this employee",$B230)),"{years}",$D230),"{yearword}",IF($D230=1,"year","years")),"{company}",Setup!$C$4),IF(INDEX(Calc!$AT$6:$AT$505,Calc!$AW230),"Award ordered. Present it on the anniversary.","Order award by "&amp;TEXT(INDEX(Calc!$AU$6:$AU$505,Calc!$AW230),"mmm d, yyyy")&amp;IF(INDEX(Calc!$AU$6:$AU$505,Calc!$AW230)&lt;Setup!$C$5," (late, order today)",""))))</f>
        <v/>
      </c>
    </row>
    <row r="231" spans="1:6" x14ac:dyDescent="0.2">
      <c r="A231" s="20" t="str">
        <f ca="1">IF(Calc!$AW231="","",INT(Calc!$AV231))</f>
        <v/>
      </c>
      <c r="B231" s="21" t="str">
        <f ca="1">IF(Calc!$AW231="","",INDEX(Roster!$A$6:$A$505,Calc!$AW231)&amp;"")</f>
        <v/>
      </c>
      <c r="C231" s="21" t="str">
        <f ca="1">IF(Calc!$AW231="","",INDEX(Roster!$C$6:$C$505,Calc!$AW231)&amp;"")</f>
        <v/>
      </c>
      <c r="D231" s="19" t="str">
        <f ca="1">IF(Calc!$AW231="","",INDEX(Calc!$AP$6:$AP$505,Calc!$AW231))</f>
        <v/>
      </c>
      <c r="E231" s="21" t="str">
        <f ca="1">IF(Calc!$AW231="","",IF(INDEX(Calc!$AS$6:$AS$505,Calc!$AW231)="","Shout-out","Milestone"))</f>
        <v/>
      </c>
      <c r="F231" s="22" t="str">
        <f ca="1">IF(Calc!$AW231="","",IF($E231="Shout-out",SUBSTITUTE(SUBSTITUTE(SUBSTITUTE(SUBSTITUTE(Setup!$C$7&amp;"","{name}",IF($B231="","this employee",$B231)),"{years}",$D231),"{yearword}",IF($D231=1,"year","years")),"{company}",Setup!$C$4),IF(INDEX(Calc!$AT$6:$AT$505,Calc!$AW231),"Award ordered. Present it on the anniversary.","Order award by "&amp;TEXT(INDEX(Calc!$AU$6:$AU$505,Calc!$AW231),"mmm d, yyyy")&amp;IF(INDEX(Calc!$AU$6:$AU$505,Calc!$AW231)&lt;Setup!$C$5," (late, order today)",""))))</f>
        <v/>
      </c>
    </row>
    <row r="232" spans="1:6" x14ac:dyDescent="0.2">
      <c r="A232" s="20" t="str">
        <f ca="1">IF(Calc!$AW232="","",INT(Calc!$AV232))</f>
        <v/>
      </c>
      <c r="B232" s="21" t="str">
        <f ca="1">IF(Calc!$AW232="","",INDEX(Roster!$A$6:$A$505,Calc!$AW232)&amp;"")</f>
        <v/>
      </c>
      <c r="C232" s="21" t="str">
        <f ca="1">IF(Calc!$AW232="","",INDEX(Roster!$C$6:$C$505,Calc!$AW232)&amp;"")</f>
        <v/>
      </c>
      <c r="D232" s="19" t="str">
        <f ca="1">IF(Calc!$AW232="","",INDEX(Calc!$AP$6:$AP$505,Calc!$AW232))</f>
        <v/>
      </c>
      <c r="E232" s="21" t="str">
        <f ca="1">IF(Calc!$AW232="","",IF(INDEX(Calc!$AS$6:$AS$505,Calc!$AW232)="","Shout-out","Milestone"))</f>
        <v/>
      </c>
      <c r="F232" s="22" t="str">
        <f ca="1">IF(Calc!$AW232="","",IF($E232="Shout-out",SUBSTITUTE(SUBSTITUTE(SUBSTITUTE(SUBSTITUTE(Setup!$C$7&amp;"","{name}",IF($B232="","this employee",$B232)),"{years}",$D232),"{yearword}",IF($D232=1,"year","years")),"{company}",Setup!$C$4),IF(INDEX(Calc!$AT$6:$AT$505,Calc!$AW232),"Award ordered. Present it on the anniversary.","Order award by "&amp;TEXT(INDEX(Calc!$AU$6:$AU$505,Calc!$AW232),"mmm d, yyyy")&amp;IF(INDEX(Calc!$AU$6:$AU$505,Calc!$AW232)&lt;Setup!$C$5," (late, order today)",""))))</f>
        <v/>
      </c>
    </row>
    <row r="233" spans="1:6" x14ac:dyDescent="0.2">
      <c r="A233" s="20" t="str">
        <f ca="1">IF(Calc!$AW233="","",INT(Calc!$AV233))</f>
        <v/>
      </c>
      <c r="B233" s="21" t="str">
        <f ca="1">IF(Calc!$AW233="","",INDEX(Roster!$A$6:$A$505,Calc!$AW233)&amp;"")</f>
        <v/>
      </c>
      <c r="C233" s="21" t="str">
        <f ca="1">IF(Calc!$AW233="","",INDEX(Roster!$C$6:$C$505,Calc!$AW233)&amp;"")</f>
        <v/>
      </c>
      <c r="D233" s="19" t="str">
        <f ca="1">IF(Calc!$AW233="","",INDEX(Calc!$AP$6:$AP$505,Calc!$AW233))</f>
        <v/>
      </c>
      <c r="E233" s="21" t="str">
        <f ca="1">IF(Calc!$AW233="","",IF(INDEX(Calc!$AS$6:$AS$505,Calc!$AW233)="","Shout-out","Milestone"))</f>
        <v/>
      </c>
      <c r="F233" s="22" t="str">
        <f ca="1">IF(Calc!$AW233="","",IF($E233="Shout-out",SUBSTITUTE(SUBSTITUTE(SUBSTITUTE(SUBSTITUTE(Setup!$C$7&amp;"","{name}",IF($B233="","this employee",$B233)),"{years}",$D233),"{yearword}",IF($D233=1,"year","years")),"{company}",Setup!$C$4),IF(INDEX(Calc!$AT$6:$AT$505,Calc!$AW233),"Award ordered. Present it on the anniversary.","Order award by "&amp;TEXT(INDEX(Calc!$AU$6:$AU$505,Calc!$AW233),"mmm d, yyyy")&amp;IF(INDEX(Calc!$AU$6:$AU$505,Calc!$AW233)&lt;Setup!$C$5," (late, order today)",""))))</f>
        <v/>
      </c>
    </row>
    <row r="234" spans="1:6" x14ac:dyDescent="0.2">
      <c r="A234" s="20" t="str">
        <f ca="1">IF(Calc!$AW234="","",INT(Calc!$AV234))</f>
        <v/>
      </c>
      <c r="B234" s="21" t="str">
        <f ca="1">IF(Calc!$AW234="","",INDEX(Roster!$A$6:$A$505,Calc!$AW234)&amp;"")</f>
        <v/>
      </c>
      <c r="C234" s="21" t="str">
        <f ca="1">IF(Calc!$AW234="","",INDEX(Roster!$C$6:$C$505,Calc!$AW234)&amp;"")</f>
        <v/>
      </c>
      <c r="D234" s="19" t="str">
        <f ca="1">IF(Calc!$AW234="","",INDEX(Calc!$AP$6:$AP$505,Calc!$AW234))</f>
        <v/>
      </c>
      <c r="E234" s="21" t="str">
        <f ca="1">IF(Calc!$AW234="","",IF(INDEX(Calc!$AS$6:$AS$505,Calc!$AW234)="","Shout-out","Milestone"))</f>
        <v/>
      </c>
      <c r="F234" s="22" t="str">
        <f ca="1">IF(Calc!$AW234="","",IF($E234="Shout-out",SUBSTITUTE(SUBSTITUTE(SUBSTITUTE(SUBSTITUTE(Setup!$C$7&amp;"","{name}",IF($B234="","this employee",$B234)),"{years}",$D234),"{yearword}",IF($D234=1,"year","years")),"{company}",Setup!$C$4),IF(INDEX(Calc!$AT$6:$AT$505,Calc!$AW234),"Award ordered. Present it on the anniversary.","Order award by "&amp;TEXT(INDEX(Calc!$AU$6:$AU$505,Calc!$AW234),"mmm d, yyyy")&amp;IF(INDEX(Calc!$AU$6:$AU$505,Calc!$AW234)&lt;Setup!$C$5," (late, order today)",""))))</f>
        <v/>
      </c>
    </row>
    <row r="235" spans="1:6" x14ac:dyDescent="0.2">
      <c r="A235" s="20" t="str">
        <f ca="1">IF(Calc!$AW235="","",INT(Calc!$AV235))</f>
        <v/>
      </c>
      <c r="B235" s="21" t="str">
        <f ca="1">IF(Calc!$AW235="","",INDEX(Roster!$A$6:$A$505,Calc!$AW235)&amp;"")</f>
        <v/>
      </c>
      <c r="C235" s="21" t="str">
        <f ca="1">IF(Calc!$AW235="","",INDEX(Roster!$C$6:$C$505,Calc!$AW235)&amp;"")</f>
        <v/>
      </c>
      <c r="D235" s="19" t="str">
        <f ca="1">IF(Calc!$AW235="","",INDEX(Calc!$AP$6:$AP$505,Calc!$AW235))</f>
        <v/>
      </c>
      <c r="E235" s="21" t="str">
        <f ca="1">IF(Calc!$AW235="","",IF(INDEX(Calc!$AS$6:$AS$505,Calc!$AW235)="","Shout-out","Milestone"))</f>
        <v/>
      </c>
      <c r="F235" s="22" t="str">
        <f ca="1">IF(Calc!$AW235="","",IF($E235="Shout-out",SUBSTITUTE(SUBSTITUTE(SUBSTITUTE(SUBSTITUTE(Setup!$C$7&amp;"","{name}",IF($B235="","this employee",$B235)),"{years}",$D235),"{yearword}",IF($D235=1,"year","years")),"{company}",Setup!$C$4),IF(INDEX(Calc!$AT$6:$AT$505,Calc!$AW235),"Award ordered. Present it on the anniversary.","Order award by "&amp;TEXT(INDEX(Calc!$AU$6:$AU$505,Calc!$AW235),"mmm d, yyyy")&amp;IF(INDEX(Calc!$AU$6:$AU$505,Calc!$AW235)&lt;Setup!$C$5," (late, order today)",""))))</f>
        <v/>
      </c>
    </row>
    <row r="236" spans="1:6" x14ac:dyDescent="0.2">
      <c r="A236" s="20" t="str">
        <f ca="1">IF(Calc!$AW236="","",INT(Calc!$AV236))</f>
        <v/>
      </c>
      <c r="B236" s="21" t="str">
        <f ca="1">IF(Calc!$AW236="","",INDEX(Roster!$A$6:$A$505,Calc!$AW236)&amp;"")</f>
        <v/>
      </c>
      <c r="C236" s="21" t="str">
        <f ca="1">IF(Calc!$AW236="","",INDEX(Roster!$C$6:$C$505,Calc!$AW236)&amp;"")</f>
        <v/>
      </c>
      <c r="D236" s="19" t="str">
        <f ca="1">IF(Calc!$AW236="","",INDEX(Calc!$AP$6:$AP$505,Calc!$AW236))</f>
        <v/>
      </c>
      <c r="E236" s="21" t="str">
        <f ca="1">IF(Calc!$AW236="","",IF(INDEX(Calc!$AS$6:$AS$505,Calc!$AW236)="","Shout-out","Milestone"))</f>
        <v/>
      </c>
      <c r="F236" s="22" t="str">
        <f ca="1">IF(Calc!$AW236="","",IF($E236="Shout-out",SUBSTITUTE(SUBSTITUTE(SUBSTITUTE(SUBSTITUTE(Setup!$C$7&amp;"","{name}",IF($B236="","this employee",$B236)),"{years}",$D236),"{yearword}",IF($D236=1,"year","years")),"{company}",Setup!$C$4),IF(INDEX(Calc!$AT$6:$AT$505,Calc!$AW236),"Award ordered. Present it on the anniversary.","Order award by "&amp;TEXT(INDEX(Calc!$AU$6:$AU$505,Calc!$AW236),"mmm d, yyyy")&amp;IF(INDEX(Calc!$AU$6:$AU$505,Calc!$AW236)&lt;Setup!$C$5," (late, order today)",""))))</f>
        <v/>
      </c>
    </row>
    <row r="237" spans="1:6" x14ac:dyDescent="0.2">
      <c r="A237" s="20" t="str">
        <f ca="1">IF(Calc!$AW237="","",INT(Calc!$AV237))</f>
        <v/>
      </c>
      <c r="B237" s="21" t="str">
        <f ca="1">IF(Calc!$AW237="","",INDEX(Roster!$A$6:$A$505,Calc!$AW237)&amp;"")</f>
        <v/>
      </c>
      <c r="C237" s="21" t="str">
        <f ca="1">IF(Calc!$AW237="","",INDEX(Roster!$C$6:$C$505,Calc!$AW237)&amp;"")</f>
        <v/>
      </c>
      <c r="D237" s="19" t="str">
        <f ca="1">IF(Calc!$AW237="","",INDEX(Calc!$AP$6:$AP$505,Calc!$AW237))</f>
        <v/>
      </c>
      <c r="E237" s="21" t="str">
        <f ca="1">IF(Calc!$AW237="","",IF(INDEX(Calc!$AS$6:$AS$505,Calc!$AW237)="","Shout-out","Milestone"))</f>
        <v/>
      </c>
      <c r="F237" s="22" t="str">
        <f ca="1">IF(Calc!$AW237="","",IF($E237="Shout-out",SUBSTITUTE(SUBSTITUTE(SUBSTITUTE(SUBSTITUTE(Setup!$C$7&amp;"","{name}",IF($B237="","this employee",$B237)),"{years}",$D237),"{yearword}",IF($D237=1,"year","years")),"{company}",Setup!$C$4),IF(INDEX(Calc!$AT$6:$AT$505,Calc!$AW237),"Award ordered. Present it on the anniversary.","Order award by "&amp;TEXT(INDEX(Calc!$AU$6:$AU$505,Calc!$AW237),"mmm d, yyyy")&amp;IF(INDEX(Calc!$AU$6:$AU$505,Calc!$AW237)&lt;Setup!$C$5," (late, order today)",""))))</f>
        <v/>
      </c>
    </row>
    <row r="238" spans="1:6" x14ac:dyDescent="0.2">
      <c r="A238" s="20" t="str">
        <f ca="1">IF(Calc!$AW238="","",INT(Calc!$AV238))</f>
        <v/>
      </c>
      <c r="B238" s="21" t="str">
        <f ca="1">IF(Calc!$AW238="","",INDEX(Roster!$A$6:$A$505,Calc!$AW238)&amp;"")</f>
        <v/>
      </c>
      <c r="C238" s="21" t="str">
        <f ca="1">IF(Calc!$AW238="","",INDEX(Roster!$C$6:$C$505,Calc!$AW238)&amp;"")</f>
        <v/>
      </c>
      <c r="D238" s="19" t="str">
        <f ca="1">IF(Calc!$AW238="","",INDEX(Calc!$AP$6:$AP$505,Calc!$AW238))</f>
        <v/>
      </c>
      <c r="E238" s="21" t="str">
        <f ca="1">IF(Calc!$AW238="","",IF(INDEX(Calc!$AS$6:$AS$505,Calc!$AW238)="","Shout-out","Milestone"))</f>
        <v/>
      </c>
      <c r="F238" s="22" t="str">
        <f ca="1">IF(Calc!$AW238="","",IF($E238="Shout-out",SUBSTITUTE(SUBSTITUTE(SUBSTITUTE(SUBSTITUTE(Setup!$C$7&amp;"","{name}",IF($B238="","this employee",$B238)),"{years}",$D238),"{yearword}",IF($D238=1,"year","years")),"{company}",Setup!$C$4),IF(INDEX(Calc!$AT$6:$AT$505,Calc!$AW238),"Award ordered. Present it on the anniversary.","Order award by "&amp;TEXT(INDEX(Calc!$AU$6:$AU$505,Calc!$AW238),"mmm d, yyyy")&amp;IF(INDEX(Calc!$AU$6:$AU$505,Calc!$AW238)&lt;Setup!$C$5," (late, order today)",""))))</f>
        <v/>
      </c>
    </row>
    <row r="239" spans="1:6" x14ac:dyDescent="0.2">
      <c r="A239" s="20" t="str">
        <f ca="1">IF(Calc!$AW239="","",INT(Calc!$AV239))</f>
        <v/>
      </c>
      <c r="B239" s="21" t="str">
        <f ca="1">IF(Calc!$AW239="","",INDEX(Roster!$A$6:$A$505,Calc!$AW239)&amp;"")</f>
        <v/>
      </c>
      <c r="C239" s="21" t="str">
        <f ca="1">IF(Calc!$AW239="","",INDEX(Roster!$C$6:$C$505,Calc!$AW239)&amp;"")</f>
        <v/>
      </c>
      <c r="D239" s="19" t="str">
        <f ca="1">IF(Calc!$AW239="","",INDEX(Calc!$AP$6:$AP$505,Calc!$AW239))</f>
        <v/>
      </c>
      <c r="E239" s="21" t="str">
        <f ca="1">IF(Calc!$AW239="","",IF(INDEX(Calc!$AS$6:$AS$505,Calc!$AW239)="","Shout-out","Milestone"))</f>
        <v/>
      </c>
      <c r="F239" s="22" t="str">
        <f ca="1">IF(Calc!$AW239="","",IF($E239="Shout-out",SUBSTITUTE(SUBSTITUTE(SUBSTITUTE(SUBSTITUTE(Setup!$C$7&amp;"","{name}",IF($B239="","this employee",$B239)),"{years}",$D239),"{yearword}",IF($D239=1,"year","years")),"{company}",Setup!$C$4),IF(INDEX(Calc!$AT$6:$AT$505,Calc!$AW239),"Award ordered. Present it on the anniversary.","Order award by "&amp;TEXT(INDEX(Calc!$AU$6:$AU$505,Calc!$AW239),"mmm d, yyyy")&amp;IF(INDEX(Calc!$AU$6:$AU$505,Calc!$AW239)&lt;Setup!$C$5," (late, order today)",""))))</f>
        <v/>
      </c>
    </row>
    <row r="240" spans="1:6" x14ac:dyDescent="0.2">
      <c r="A240" s="20" t="str">
        <f ca="1">IF(Calc!$AW240="","",INT(Calc!$AV240))</f>
        <v/>
      </c>
      <c r="B240" s="21" t="str">
        <f ca="1">IF(Calc!$AW240="","",INDEX(Roster!$A$6:$A$505,Calc!$AW240)&amp;"")</f>
        <v/>
      </c>
      <c r="C240" s="21" t="str">
        <f ca="1">IF(Calc!$AW240="","",INDEX(Roster!$C$6:$C$505,Calc!$AW240)&amp;"")</f>
        <v/>
      </c>
      <c r="D240" s="19" t="str">
        <f ca="1">IF(Calc!$AW240="","",INDEX(Calc!$AP$6:$AP$505,Calc!$AW240))</f>
        <v/>
      </c>
      <c r="E240" s="21" t="str">
        <f ca="1">IF(Calc!$AW240="","",IF(INDEX(Calc!$AS$6:$AS$505,Calc!$AW240)="","Shout-out","Milestone"))</f>
        <v/>
      </c>
      <c r="F240" s="22" t="str">
        <f ca="1">IF(Calc!$AW240="","",IF($E240="Shout-out",SUBSTITUTE(SUBSTITUTE(SUBSTITUTE(SUBSTITUTE(Setup!$C$7&amp;"","{name}",IF($B240="","this employee",$B240)),"{years}",$D240),"{yearword}",IF($D240=1,"year","years")),"{company}",Setup!$C$4),IF(INDEX(Calc!$AT$6:$AT$505,Calc!$AW240),"Award ordered. Present it on the anniversary.","Order award by "&amp;TEXT(INDEX(Calc!$AU$6:$AU$505,Calc!$AW240),"mmm d, yyyy")&amp;IF(INDEX(Calc!$AU$6:$AU$505,Calc!$AW240)&lt;Setup!$C$5," (late, order today)",""))))</f>
        <v/>
      </c>
    </row>
    <row r="241" spans="1:6" x14ac:dyDescent="0.2">
      <c r="A241" s="20" t="str">
        <f ca="1">IF(Calc!$AW241="","",INT(Calc!$AV241))</f>
        <v/>
      </c>
      <c r="B241" s="21" t="str">
        <f ca="1">IF(Calc!$AW241="","",INDEX(Roster!$A$6:$A$505,Calc!$AW241)&amp;"")</f>
        <v/>
      </c>
      <c r="C241" s="21" t="str">
        <f ca="1">IF(Calc!$AW241="","",INDEX(Roster!$C$6:$C$505,Calc!$AW241)&amp;"")</f>
        <v/>
      </c>
      <c r="D241" s="19" t="str">
        <f ca="1">IF(Calc!$AW241="","",INDEX(Calc!$AP$6:$AP$505,Calc!$AW241))</f>
        <v/>
      </c>
      <c r="E241" s="21" t="str">
        <f ca="1">IF(Calc!$AW241="","",IF(INDEX(Calc!$AS$6:$AS$505,Calc!$AW241)="","Shout-out","Milestone"))</f>
        <v/>
      </c>
      <c r="F241" s="22" t="str">
        <f ca="1">IF(Calc!$AW241="","",IF($E241="Shout-out",SUBSTITUTE(SUBSTITUTE(SUBSTITUTE(SUBSTITUTE(Setup!$C$7&amp;"","{name}",IF($B241="","this employee",$B241)),"{years}",$D241),"{yearword}",IF($D241=1,"year","years")),"{company}",Setup!$C$4),IF(INDEX(Calc!$AT$6:$AT$505,Calc!$AW241),"Award ordered. Present it on the anniversary.","Order award by "&amp;TEXT(INDEX(Calc!$AU$6:$AU$505,Calc!$AW241),"mmm d, yyyy")&amp;IF(INDEX(Calc!$AU$6:$AU$505,Calc!$AW241)&lt;Setup!$C$5," (late, order today)",""))))</f>
        <v/>
      </c>
    </row>
    <row r="242" spans="1:6" x14ac:dyDescent="0.2">
      <c r="A242" s="20" t="str">
        <f ca="1">IF(Calc!$AW242="","",INT(Calc!$AV242))</f>
        <v/>
      </c>
      <c r="B242" s="21" t="str">
        <f ca="1">IF(Calc!$AW242="","",INDEX(Roster!$A$6:$A$505,Calc!$AW242)&amp;"")</f>
        <v/>
      </c>
      <c r="C242" s="21" t="str">
        <f ca="1">IF(Calc!$AW242="","",INDEX(Roster!$C$6:$C$505,Calc!$AW242)&amp;"")</f>
        <v/>
      </c>
      <c r="D242" s="19" t="str">
        <f ca="1">IF(Calc!$AW242="","",INDEX(Calc!$AP$6:$AP$505,Calc!$AW242))</f>
        <v/>
      </c>
      <c r="E242" s="21" t="str">
        <f ca="1">IF(Calc!$AW242="","",IF(INDEX(Calc!$AS$6:$AS$505,Calc!$AW242)="","Shout-out","Milestone"))</f>
        <v/>
      </c>
      <c r="F242" s="22" t="str">
        <f ca="1">IF(Calc!$AW242="","",IF($E242="Shout-out",SUBSTITUTE(SUBSTITUTE(SUBSTITUTE(SUBSTITUTE(Setup!$C$7&amp;"","{name}",IF($B242="","this employee",$B242)),"{years}",$D242),"{yearword}",IF($D242=1,"year","years")),"{company}",Setup!$C$4),IF(INDEX(Calc!$AT$6:$AT$505,Calc!$AW242),"Award ordered. Present it on the anniversary.","Order award by "&amp;TEXT(INDEX(Calc!$AU$6:$AU$505,Calc!$AW242),"mmm d, yyyy")&amp;IF(INDEX(Calc!$AU$6:$AU$505,Calc!$AW242)&lt;Setup!$C$5," (late, order today)",""))))</f>
        <v/>
      </c>
    </row>
    <row r="243" spans="1:6" x14ac:dyDescent="0.2">
      <c r="A243" s="20" t="str">
        <f ca="1">IF(Calc!$AW243="","",INT(Calc!$AV243))</f>
        <v/>
      </c>
      <c r="B243" s="21" t="str">
        <f ca="1">IF(Calc!$AW243="","",INDEX(Roster!$A$6:$A$505,Calc!$AW243)&amp;"")</f>
        <v/>
      </c>
      <c r="C243" s="21" t="str">
        <f ca="1">IF(Calc!$AW243="","",INDEX(Roster!$C$6:$C$505,Calc!$AW243)&amp;"")</f>
        <v/>
      </c>
      <c r="D243" s="19" t="str">
        <f ca="1">IF(Calc!$AW243="","",INDEX(Calc!$AP$6:$AP$505,Calc!$AW243))</f>
        <v/>
      </c>
      <c r="E243" s="21" t="str">
        <f ca="1">IF(Calc!$AW243="","",IF(INDEX(Calc!$AS$6:$AS$505,Calc!$AW243)="","Shout-out","Milestone"))</f>
        <v/>
      </c>
      <c r="F243" s="22" t="str">
        <f ca="1">IF(Calc!$AW243="","",IF($E243="Shout-out",SUBSTITUTE(SUBSTITUTE(SUBSTITUTE(SUBSTITUTE(Setup!$C$7&amp;"","{name}",IF($B243="","this employee",$B243)),"{years}",$D243),"{yearword}",IF($D243=1,"year","years")),"{company}",Setup!$C$4),IF(INDEX(Calc!$AT$6:$AT$505,Calc!$AW243),"Award ordered. Present it on the anniversary.","Order award by "&amp;TEXT(INDEX(Calc!$AU$6:$AU$505,Calc!$AW243),"mmm d, yyyy")&amp;IF(INDEX(Calc!$AU$6:$AU$505,Calc!$AW243)&lt;Setup!$C$5," (late, order today)",""))))</f>
        <v/>
      </c>
    </row>
    <row r="244" spans="1:6" x14ac:dyDescent="0.2">
      <c r="A244" s="20" t="str">
        <f ca="1">IF(Calc!$AW244="","",INT(Calc!$AV244))</f>
        <v/>
      </c>
      <c r="B244" s="21" t="str">
        <f ca="1">IF(Calc!$AW244="","",INDEX(Roster!$A$6:$A$505,Calc!$AW244)&amp;"")</f>
        <v/>
      </c>
      <c r="C244" s="21" t="str">
        <f ca="1">IF(Calc!$AW244="","",INDEX(Roster!$C$6:$C$505,Calc!$AW244)&amp;"")</f>
        <v/>
      </c>
      <c r="D244" s="19" t="str">
        <f ca="1">IF(Calc!$AW244="","",INDEX(Calc!$AP$6:$AP$505,Calc!$AW244))</f>
        <v/>
      </c>
      <c r="E244" s="21" t="str">
        <f ca="1">IF(Calc!$AW244="","",IF(INDEX(Calc!$AS$6:$AS$505,Calc!$AW244)="","Shout-out","Milestone"))</f>
        <v/>
      </c>
      <c r="F244" s="22" t="str">
        <f ca="1">IF(Calc!$AW244="","",IF($E244="Shout-out",SUBSTITUTE(SUBSTITUTE(SUBSTITUTE(SUBSTITUTE(Setup!$C$7&amp;"","{name}",IF($B244="","this employee",$B244)),"{years}",$D244),"{yearword}",IF($D244=1,"year","years")),"{company}",Setup!$C$4),IF(INDEX(Calc!$AT$6:$AT$505,Calc!$AW244),"Award ordered. Present it on the anniversary.","Order award by "&amp;TEXT(INDEX(Calc!$AU$6:$AU$505,Calc!$AW244),"mmm d, yyyy")&amp;IF(INDEX(Calc!$AU$6:$AU$505,Calc!$AW244)&lt;Setup!$C$5," (late, order today)",""))))</f>
        <v/>
      </c>
    </row>
    <row r="245" spans="1:6" x14ac:dyDescent="0.2">
      <c r="A245" s="20" t="str">
        <f ca="1">IF(Calc!$AW245="","",INT(Calc!$AV245))</f>
        <v/>
      </c>
      <c r="B245" s="21" t="str">
        <f ca="1">IF(Calc!$AW245="","",INDEX(Roster!$A$6:$A$505,Calc!$AW245)&amp;"")</f>
        <v/>
      </c>
      <c r="C245" s="21" t="str">
        <f ca="1">IF(Calc!$AW245="","",INDEX(Roster!$C$6:$C$505,Calc!$AW245)&amp;"")</f>
        <v/>
      </c>
      <c r="D245" s="19" t="str">
        <f ca="1">IF(Calc!$AW245="","",INDEX(Calc!$AP$6:$AP$505,Calc!$AW245))</f>
        <v/>
      </c>
      <c r="E245" s="21" t="str">
        <f ca="1">IF(Calc!$AW245="","",IF(INDEX(Calc!$AS$6:$AS$505,Calc!$AW245)="","Shout-out","Milestone"))</f>
        <v/>
      </c>
      <c r="F245" s="22" t="str">
        <f ca="1">IF(Calc!$AW245="","",IF($E245="Shout-out",SUBSTITUTE(SUBSTITUTE(SUBSTITUTE(SUBSTITUTE(Setup!$C$7&amp;"","{name}",IF($B245="","this employee",$B245)),"{years}",$D245),"{yearword}",IF($D245=1,"year","years")),"{company}",Setup!$C$4),IF(INDEX(Calc!$AT$6:$AT$505,Calc!$AW245),"Award ordered. Present it on the anniversary.","Order award by "&amp;TEXT(INDEX(Calc!$AU$6:$AU$505,Calc!$AW245),"mmm d, yyyy")&amp;IF(INDEX(Calc!$AU$6:$AU$505,Calc!$AW245)&lt;Setup!$C$5," (late, order today)",""))))</f>
        <v/>
      </c>
    </row>
    <row r="246" spans="1:6" x14ac:dyDescent="0.2">
      <c r="A246" s="20" t="str">
        <f ca="1">IF(Calc!$AW246="","",INT(Calc!$AV246))</f>
        <v/>
      </c>
      <c r="B246" s="21" t="str">
        <f ca="1">IF(Calc!$AW246="","",INDEX(Roster!$A$6:$A$505,Calc!$AW246)&amp;"")</f>
        <v/>
      </c>
      <c r="C246" s="21" t="str">
        <f ca="1">IF(Calc!$AW246="","",INDEX(Roster!$C$6:$C$505,Calc!$AW246)&amp;"")</f>
        <v/>
      </c>
      <c r="D246" s="19" t="str">
        <f ca="1">IF(Calc!$AW246="","",INDEX(Calc!$AP$6:$AP$505,Calc!$AW246))</f>
        <v/>
      </c>
      <c r="E246" s="21" t="str">
        <f ca="1">IF(Calc!$AW246="","",IF(INDEX(Calc!$AS$6:$AS$505,Calc!$AW246)="","Shout-out","Milestone"))</f>
        <v/>
      </c>
      <c r="F246" s="22" t="str">
        <f ca="1">IF(Calc!$AW246="","",IF($E246="Shout-out",SUBSTITUTE(SUBSTITUTE(SUBSTITUTE(SUBSTITUTE(Setup!$C$7&amp;"","{name}",IF($B246="","this employee",$B246)),"{years}",$D246),"{yearword}",IF($D246=1,"year","years")),"{company}",Setup!$C$4),IF(INDEX(Calc!$AT$6:$AT$505,Calc!$AW246),"Award ordered. Present it on the anniversary.","Order award by "&amp;TEXT(INDEX(Calc!$AU$6:$AU$505,Calc!$AW246),"mmm d, yyyy")&amp;IF(INDEX(Calc!$AU$6:$AU$505,Calc!$AW246)&lt;Setup!$C$5," (late, order today)",""))))</f>
        <v/>
      </c>
    </row>
    <row r="247" spans="1:6" x14ac:dyDescent="0.2">
      <c r="A247" s="20" t="str">
        <f ca="1">IF(Calc!$AW247="","",INT(Calc!$AV247))</f>
        <v/>
      </c>
      <c r="B247" s="21" t="str">
        <f ca="1">IF(Calc!$AW247="","",INDEX(Roster!$A$6:$A$505,Calc!$AW247)&amp;"")</f>
        <v/>
      </c>
      <c r="C247" s="21" t="str">
        <f ca="1">IF(Calc!$AW247="","",INDEX(Roster!$C$6:$C$505,Calc!$AW247)&amp;"")</f>
        <v/>
      </c>
      <c r="D247" s="19" t="str">
        <f ca="1">IF(Calc!$AW247="","",INDEX(Calc!$AP$6:$AP$505,Calc!$AW247))</f>
        <v/>
      </c>
      <c r="E247" s="21" t="str">
        <f ca="1">IF(Calc!$AW247="","",IF(INDEX(Calc!$AS$6:$AS$505,Calc!$AW247)="","Shout-out","Milestone"))</f>
        <v/>
      </c>
      <c r="F247" s="22" t="str">
        <f ca="1">IF(Calc!$AW247="","",IF($E247="Shout-out",SUBSTITUTE(SUBSTITUTE(SUBSTITUTE(SUBSTITUTE(Setup!$C$7&amp;"","{name}",IF($B247="","this employee",$B247)),"{years}",$D247),"{yearword}",IF($D247=1,"year","years")),"{company}",Setup!$C$4),IF(INDEX(Calc!$AT$6:$AT$505,Calc!$AW247),"Award ordered. Present it on the anniversary.","Order award by "&amp;TEXT(INDEX(Calc!$AU$6:$AU$505,Calc!$AW247),"mmm d, yyyy")&amp;IF(INDEX(Calc!$AU$6:$AU$505,Calc!$AW247)&lt;Setup!$C$5," (late, order today)",""))))</f>
        <v/>
      </c>
    </row>
    <row r="248" spans="1:6" x14ac:dyDescent="0.2">
      <c r="A248" s="20" t="str">
        <f ca="1">IF(Calc!$AW248="","",INT(Calc!$AV248))</f>
        <v/>
      </c>
      <c r="B248" s="21" t="str">
        <f ca="1">IF(Calc!$AW248="","",INDEX(Roster!$A$6:$A$505,Calc!$AW248)&amp;"")</f>
        <v/>
      </c>
      <c r="C248" s="21" t="str">
        <f ca="1">IF(Calc!$AW248="","",INDEX(Roster!$C$6:$C$505,Calc!$AW248)&amp;"")</f>
        <v/>
      </c>
      <c r="D248" s="19" t="str">
        <f ca="1">IF(Calc!$AW248="","",INDEX(Calc!$AP$6:$AP$505,Calc!$AW248))</f>
        <v/>
      </c>
      <c r="E248" s="21" t="str">
        <f ca="1">IF(Calc!$AW248="","",IF(INDEX(Calc!$AS$6:$AS$505,Calc!$AW248)="","Shout-out","Milestone"))</f>
        <v/>
      </c>
      <c r="F248" s="22" t="str">
        <f ca="1">IF(Calc!$AW248="","",IF($E248="Shout-out",SUBSTITUTE(SUBSTITUTE(SUBSTITUTE(SUBSTITUTE(Setup!$C$7&amp;"","{name}",IF($B248="","this employee",$B248)),"{years}",$D248),"{yearword}",IF($D248=1,"year","years")),"{company}",Setup!$C$4),IF(INDEX(Calc!$AT$6:$AT$505,Calc!$AW248),"Award ordered. Present it on the anniversary.","Order award by "&amp;TEXT(INDEX(Calc!$AU$6:$AU$505,Calc!$AW248),"mmm d, yyyy")&amp;IF(INDEX(Calc!$AU$6:$AU$505,Calc!$AW248)&lt;Setup!$C$5," (late, order today)",""))))</f>
        <v/>
      </c>
    </row>
    <row r="249" spans="1:6" x14ac:dyDescent="0.2">
      <c r="A249" s="20" t="str">
        <f ca="1">IF(Calc!$AW249="","",INT(Calc!$AV249))</f>
        <v/>
      </c>
      <c r="B249" s="21" t="str">
        <f ca="1">IF(Calc!$AW249="","",INDEX(Roster!$A$6:$A$505,Calc!$AW249)&amp;"")</f>
        <v/>
      </c>
      <c r="C249" s="21" t="str">
        <f ca="1">IF(Calc!$AW249="","",INDEX(Roster!$C$6:$C$505,Calc!$AW249)&amp;"")</f>
        <v/>
      </c>
      <c r="D249" s="19" t="str">
        <f ca="1">IF(Calc!$AW249="","",INDEX(Calc!$AP$6:$AP$505,Calc!$AW249))</f>
        <v/>
      </c>
      <c r="E249" s="21" t="str">
        <f ca="1">IF(Calc!$AW249="","",IF(INDEX(Calc!$AS$6:$AS$505,Calc!$AW249)="","Shout-out","Milestone"))</f>
        <v/>
      </c>
      <c r="F249" s="22" t="str">
        <f ca="1">IF(Calc!$AW249="","",IF($E249="Shout-out",SUBSTITUTE(SUBSTITUTE(SUBSTITUTE(SUBSTITUTE(Setup!$C$7&amp;"","{name}",IF($B249="","this employee",$B249)),"{years}",$D249),"{yearword}",IF($D249=1,"year","years")),"{company}",Setup!$C$4),IF(INDEX(Calc!$AT$6:$AT$505,Calc!$AW249),"Award ordered. Present it on the anniversary.","Order award by "&amp;TEXT(INDEX(Calc!$AU$6:$AU$505,Calc!$AW249),"mmm d, yyyy")&amp;IF(INDEX(Calc!$AU$6:$AU$505,Calc!$AW249)&lt;Setup!$C$5," (late, order today)",""))))</f>
        <v/>
      </c>
    </row>
    <row r="250" spans="1:6" x14ac:dyDescent="0.2">
      <c r="A250" s="20" t="str">
        <f ca="1">IF(Calc!$AW250="","",INT(Calc!$AV250))</f>
        <v/>
      </c>
      <c r="B250" s="21" t="str">
        <f ca="1">IF(Calc!$AW250="","",INDEX(Roster!$A$6:$A$505,Calc!$AW250)&amp;"")</f>
        <v/>
      </c>
      <c r="C250" s="21" t="str">
        <f ca="1">IF(Calc!$AW250="","",INDEX(Roster!$C$6:$C$505,Calc!$AW250)&amp;"")</f>
        <v/>
      </c>
      <c r="D250" s="19" t="str">
        <f ca="1">IF(Calc!$AW250="","",INDEX(Calc!$AP$6:$AP$505,Calc!$AW250))</f>
        <v/>
      </c>
      <c r="E250" s="21" t="str">
        <f ca="1">IF(Calc!$AW250="","",IF(INDEX(Calc!$AS$6:$AS$505,Calc!$AW250)="","Shout-out","Milestone"))</f>
        <v/>
      </c>
      <c r="F250" s="22" t="str">
        <f ca="1">IF(Calc!$AW250="","",IF($E250="Shout-out",SUBSTITUTE(SUBSTITUTE(SUBSTITUTE(SUBSTITUTE(Setup!$C$7&amp;"","{name}",IF($B250="","this employee",$B250)),"{years}",$D250),"{yearword}",IF($D250=1,"year","years")),"{company}",Setup!$C$4),IF(INDEX(Calc!$AT$6:$AT$505,Calc!$AW250),"Award ordered. Present it on the anniversary.","Order award by "&amp;TEXT(INDEX(Calc!$AU$6:$AU$505,Calc!$AW250),"mmm d, yyyy")&amp;IF(INDEX(Calc!$AU$6:$AU$505,Calc!$AW250)&lt;Setup!$C$5," (late, order today)",""))))</f>
        <v/>
      </c>
    </row>
    <row r="251" spans="1:6" x14ac:dyDescent="0.2">
      <c r="A251" s="20" t="str">
        <f ca="1">IF(Calc!$AW251="","",INT(Calc!$AV251))</f>
        <v/>
      </c>
      <c r="B251" s="21" t="str">
        <f ca="1">IF(Calc!$AW251="","",INDEX(Roster!$A$6:$A$505,Calc!$AW251)&amp;"")</f>
        <v/>
      </c>
      <c r="C251" s="21" t="str">
        <f ca="1">IF(Calc!$AW251="","",INDEX(Roster!$C$6:$C$505,Calc!$AW251)&amp;"")</f>
        <v/>
      </c>
      <c r="D251" s="19" t="str">
        <f ca="1">IF(Calc!$AW251="","",INDEX(Calc!$AP$6:$AP$505,Calc!$AW251))</f>
        <v/>
      </c>
      <c r="E251" s="21" t="str">
        <f ca="1">IF(Calc!$AW251="","",IF(INDEX(Calc!$AS$6:$AS$505,Calc!$AW251)="","Shout-out","Milestone"))</f>
        <v/>
      </c>
      <c r="F251" s="22" t="str">
        <f ca="1">IF(Calc!$AW251="","",IF($E251="Shout-out",SUBSTITUTE(SUBSTITUTE(SUBSTITUTE(SUBSTITUTE(Setup!$C$7&amp;"","{name}",IF($B251="","this employee",$B251)),"{years}",$D251),"{yearword}",IF($D251=1,"year","years")),"{company}",Setup!$C$4),IF(INDEX(Calc!$AT$6:$AT$505,Calc!$AW251),"Award ordered. Present it on the anniversary.","Order award by "&amp;TEXT(INDEX(Calc!$AU$6:$AU$505,Calc!$AW251),"mmm d, yyyy")&amp;IF(INDEX(Calc!$AU$6:$AU$505,Calc!$AW251)&lt;Setup!$C$5," (late, order today)",""))))</f>
        <v/>
      </c>
    </row>
    <row r="252" spans="1:6" x14ac:dyDescent="0.2">
      <c r="A252" s="20" t="str">
        <f ca="1">IF(Calc!$AW252="","",INT(Calc!$AV252))</f>
        <v/>
      </c>
      <c r="B252" s="21" t="str">
        <f ca="1">IF(Calc!$AW252="","",INDEX(Roster!$A$6:$A$505,Calc!$AW252)&amp;"")</f>
        <v/>
      </c>
      <c r="C252" s="21" t="str">
        <f ca="1">IF(Calc!$AW252="","",INDEX(Roster!$C$6:$C$505,Calc!$AW252)&amp;"")</f>
        <v/>
      </c>
      <c r="D252" s="19" t="str">
        <f ca="1">IF(Calc!$AW252="","",INDEX(Calc!$AP$6:$AP$505,Calc!$AW252))</f>
        <v/>
      </c>
      <c r="E252" s="21" t="str">
        <f ca="1">IF(Calc!$AW252="","",IF(INDEX(Calc!$AS$6:$AS$505,Calc!$AW252)="","Shout-out","Milestone"))</f>
        <v/>
      </c>
      <c r="F252" s="22" t="str">
        <f ca="1">IF(Calc!$AW252="","",IF($E252="Shout-out",SUBSTITUTE(SUBSTITUTE(SUBSTITUTE(SUBSTITUTE(Setup!$C$7&amp;"","{name}",IF($B252="","this employee",$B252)),"{years}",$D252),"{yearword}",IF($D252=1,"year","years")),"{company}",Setup!$C$4),IF(INDEX(Calc!$AT$6:$AT$505,Calc!$AW252),"Award ordered. Present it on the anniversary.","Order award by "&amp;TEXT(INDEX(Calc!$AU$6:$AU$505,Calc!$AW252),"mmm d, yyyy")&amp;IF(INDEX(Calc!$AU$6:$AU$505,Calc!$AW252)&lt;Setup!$C$5," (late, order today)",""))))</f>
        <v/>
      </c>
    </row>
    <row r="253" spans="1:6" x14ac:dyDescent="0.2">
      <c r="A253" s="20" t="str">
        <f ca="1">IF(Calc!$AW253="","",INT(Calc!$AV253))</f>
        <v/>
      </c>
      <c r="B253" s="21" t="str">
        <f ca="1">IF(Calc!$AW253="","",INDEX(Roster!$A$6:$A$505,Calc!$AW253)&amp;"")</f>
        <v/>
      </c>
      <c r="C253" s="21" t="str">
        <f ca="1">IF(Calc!$AW253="","",INDEX(Roster!$C$6:$C$505,Calc!$AW253)&amp;"")</f>
        <v/>
      </c>
      <c r="D253" s="19" t="str">
        <f ca="1">IF(Calc!$AW253="","",INDEX(Calc!$AP$6:$AP$505,Calc!$AW253))</f>
        <v/>
      </c>
      <c r="E253" s="21" t="str">
        <f ca="1">IF(Calc!$AW253="","",IF(INDEX(Calc!$AS$6:$AS$505,Calc!$AW253)="","Shout-out","Milestone"))</f>
        <v/>
      </c>
      <c r="F253" s="22" t="str">
        <f ca="1">IF(Calc!$AW253="","",IF($E253="Shout-out",SUBSTITUTE(SUBSTITUTE(SUBSTITUTE(SUBSTITUTE(Setup!$C$7&amp;"","{name}",IF($B253="","this employee",$B253)),"{years}",$D253),"{yearword}",IF($D253=1,"year","years")),"{company}",Setup!$C$4),IF(INDEX(Calc!$AT$6:$AT$505,Calc!$AW253),"Award ordered. Present it on the anniversary.","Order award by "&amp;TEXT(INDEX(Calc!$AU$6:$AU$505,Calc!$AW253),"mmm d, yyyy")&amp;IF(INDEX(Calc!$AU$6:$AU$505,Calc!$AW253)&lt;Setup!$C$5," (late, order today)",""))))</f>
        <v/>
      </c>
    </row>
    <row r="254" spans="1:6" x14ac:dyDescent="0.2">
      <c r="A254" s="20" t="str">
        <f ca="1">IF(Calc!$AW254="","",INT(Calc!$AV254))</f>
        <v/>
      </c>
      <c r="B254" s="21" t="str">
        <f ca="1">IF(Calc!$AW254="","",INDEX(Roster!$A$6:$A$505,Calc!$AW254)&amp;"")</f>
        <v/>
      </c>
      <c r="C254" s="21" t="str">
        <f ca="1">IF(Calc!$AW254="","",INDEX(Roster!$C$6:$C$505,Calc!$AW254)&amp;"")</f>
        <v/>
      </c>
      <c r="D254" s="19" t="str">
        <f ca="1">IF(Calc!$AW254="","",INDEX(Calc!$AP$6:$AP$505,Calc!$AW254))</f>
        <v/>
      </c>
      <c r="E254" s="21" t="str">
        <f ca="1">IF(Calc!$AW254="","",IF(INDEX(Calc!$AS$6:$AS$505,Calc!$AW254)="","Shout-out","Milestone"))</f>
        <v/>
      </c>
      <c r="F254" s="22" t="str">
        <f ca="1">IF(Calc!$AW254="","",IF($E254="Shout-out",SUBSTITUTE(SUBSTITUTE(SUBSTITUTE(SUBSTITUTE(Setup!$C$7&amp;"","{name}",IF($B254="","this employee",$B254)),"{years}",$D254),"{yearword}",IF($D254=1,"year","years")),"{company}",Setup!$C$4),IF(INDEX(Calc!$AT$6:$AT$505,Calc!$AW254),"Award ordered. Present it on the anniversary.","Order award by "&amp;TEXT(INDEX(Calc!$AU$6:$AU$505,Calc!$AW254),"mmm d, yyyy")&amp;IF(INDEX(Calc!$AU$6:$AU$505,Calc!$AW254)&lt;Setup!$C$5," (late, order today)",""))))</f>
        <v/>
      </c>
    </row>
    <row r="255" spans="1:6" x14ac:dyDescent="0.2">
      <c r="A255" s="20" t="str">
        <f ca="1">IF(Calc!$AW255="","",INT(Calc!$AV255))</f>
        <v/>
      </c>
      <c r="B255" s="21" t="str">
        <f ca="1">IF(Calc!$AW255="","",INDEX(Roster!$A$6:$A$505,Calc!$AW255)&amp;"")</f>
        <v/>
      </c>
      <c r="C255" s="21" t="str">
        <f ca="1">IF(Calc!$AW255="","",INDEX(Roster!$C$6:$C$505,Calc!$AW255)&amp;"")</f>
        <v/>
      </c>
      <c r="D255" s="19" t="str">
        <f ca="1">IF(Calc!$AW255="","",INDEX(Calc!$AP$6:$AP$505,Calc!$AW255))</f>
        <v/>
      </c>
      <c r="E255" s="21" t="str">
        <f ca="1">IF(Calc!$AW255="","",IF(INDEX(Calc!$AS$6:$AS$505,Calc!$AW255)="","Shout-out","Milestone"))</f>
        <v/>
      </c>
      <c r="F255" s="22" t="str">
        <f ca="1">IF(Calc!$AW255="","",IF($E255="Shout-out",SUBSTITUTE(SUBSTITUTE(SUBSTITUTE(SUBSTITUTE(Setup!$C$7&amp;"","{name}",IF($B255="","this employee",$B255)),"{years}",$D255),"{yearword}",IF($D255=1,"year","years")),"{company}",Setup!$C$4),IF(INDEX(Calc!$AT$6:$AT$505,Calc!$AW255),"Award ordered. Present it on the anniversary.","Order award by "&amp;TEXT(INDEX(Calc!$AU$6:$AU$505,Calc!$AW255),"mmm d, yyyy")&amp;IF(INDEX(Calc!$AU$6:$AU$505,Calc!$AW255)&lt;Setup!$C$5," (late, order today)",""))))</f>
        <v/>
      </c>
    </row>
    <row r="256" spans="1:6" x14ac:dyDescent="0.2">
      <c r="A256" s="20" t="str">
        <f ca="1">IF(Calc!$AW256="","",INT(Calc!$AV256))</f>
        <v/>
      </c>
      <c r="B256" s="21" t="str">
        <f ca="1">IF(Calc!$AW256="","",INDEX(Roster!$A$6:$A$505,Calc!$AW256)&amp;"")</f>
        <v/>
      </c>
      <c r="C256" s="21" t="str">
        <f ca="1">IF(Calc!$AW256="","",INDEX(Roster!$C$6:$C$505,Calc!$AW256)&amp;"")</f>
        <v/>
      </c>
      <c r="D256" s="19" t="str">
        <f ca="1">IF(Calc!$AW256="","",INDEX(Calc!$AP$6:$AP$505,Calc!$AW256))</f>
        <v/>
      </c>
      <c r="E256" s="21" t="str">
        <f ca="1">IF(Calc!$AW256="","",IF(INDEX(Calc!$AS$6:$AS$505,Calc!$AW256)="","Shout-out","Milestone"))</f>
        <v/>
      </c>
      <c r="F256" s="22" t="str">
        <f ca="1">IF(Calc!$AW256="","",IF($E256="Shout-out",SUBSTITUTE(SUBSTITUTE(SUBSTITUTE(SUBSTITUTE(Setup!$C$7&amp;"","{name}",IF($B256="","this employee",$B256)),"{years}",$D256),"{yearword}",IF($D256=1,"year","years")),"{company}",Setup!$C$4),IF(INDEX(Calc!$AT$6:$AT$505,Calc!$AW256),"Award ordered. Present it on the anniversary.","Order award by "&amp;TEXT(INDEX(Calc!$AU$6:$AU$505,Calc!$AW256),"mmm d, yyyy")&amp;IF(INDEX(Calc!$AU$6:$AU$505,Calc!$AW256)&lt;Setup!$C$5," (late, order today)",""))))</f>
        <v/>
      </c>
    </row>
    <row r="257" spans="1:6" x14ac:dyDescent="0.2">
      <c r="A257" s="20" t="str">
        <f ca="1">IF(Calc!$AW257="","",INT(Calc!$AV257))</f>
        <v/>
      </c>
      <c r="B257" s="21" t="str">
        <f ca="1">IF(Calc!$AW257="","",INDEX(Roster!$A$6:$A$505,Calc!$AW257)&amp;"")</f>
        <v/>
      </c>
      <c r="C257" s="21" t="str">
        <f ca="1">IF(Calc!$AW257="","",INDEX(Roster!$C$6:$C$505,Calc!$AW257)&amp;"")</f>
        <v/>
      </c>
      <c r="D257" s="19" t="str">
        <f ca="1">IF(Calc!$AW257="","",INDEX(Calc!$AP$6:$AP$505,Calc!$AW257))</f>
        <v/>
      </c>
      <c r="E257" s="21" t="str">
        <f ca="1">IF(Calc!$AW257="","",IF(INDEX(Calc!$AS$6:$AS$505,Calc!$AW257)="","Shout-out","Milestone"))</f>
        <v/>
      </c>
      <c r="F257" s="22" t="str">
        <f ca="1">IF(Calc!$AW257="","",IF($E257="Shout-out",SUBSTITUTE(SUBSTITUTE(SUBSTITUTE(SUBSTITUTE(Setup!$C$7&amp;"","{name}",IF($B257="","this employee",$B257)),"{years}",$D257),"{yearword}",IF($D257=1,"year","years")),"{company}",Setup!$C$4),IF(INDEX(Calc!$AT$6:$AT$505,Calc!$AW257),"Award ordered. Present it on the anniversary.","Order award by "&amp;TEXT(INDEX(Calc!$AU$6:$AU$505,Calc!$AW257),"mmm d, yyyy")&amp;IF(INDEX(Calc!$AU$6:$AU$505,Calc!$AW257)&lt;Setup!$C$5," (late, order today)",""))))</f>
        <v/>
      </c>
    </row>
    <row r="258" spans="1:6" x14ac:dyDescent="0.2">
      <c r="A258" s="20" t="str">
        <f ca="1">IF(Calc!$AW258="","",INT(Calc!$AV258))</f>
        <v/>
      </c>
      <c r="B258" s="21" t="str">
        <f ca="1">IF(Calc!$AW258="","",INDEX(Roster!$A$6:$A$505,Calc!$AW258)&amp;"")</f>
        <v/>
      </c>
      <c r="C258" s="21" t="str">
        <f ca="1">IF(Calc!$AW258="","",INDEX(Roster!$C$6:$C$505,Calc!$AW258)&amp;"")</f>
        <v/>
      </c>
      <c r="D258" s="19" t="str">
        <f ca="1">IF(Calc!$AW258="","",INDEX(Calc!$AP$6:$AP$505,Calc!$AW258))</f>
        <v/>
      </c>
      <c r="E258" s="21" t="str">
        <f ca="1">IF(Calc!$AW258="","",IF(INDEX(Calc!$AS$6:$AS$505,Calc!$AW258)="","Shout-out","Milestone"))</f>
        <v/>
      </c>
      <c r="F258" s="22" t="str">
        <f ca="1">IF(Calc!$AW258="","",IF($E258="Shout-out",SUBSTITUTE(SUBSTITUTE(SUBSTITUTE(SUBSTITUTE(Setup!$C$7&amp;"","{name}",IF($B258="","this employee",$B258)),"{years}",$D258),"{yearword}",IF($D258=1,"year","years")),"{company}",Setup!$C$4),IF(INDEX(Calc!$AT$6:$AT$505,Calc!$AW258),"Award ordered. Present it on the anniversary.","Order award by "&amp;TEXT(INDEX(Calc!$AU$6:$AU$505,Calc!$AW258),"mmm d, yyyy")&amp;IF(INDEX(Calc!$AU$6:$AU$505,Calc!$AW258)&lt;Setup!$C$5," (late, order today)",""))))</f>
        <v/>
      </c>
    </row>
    <row r="259" spans="1:6" x14ac:dyDescent="0.2">
      <c r="A259" s="20" t="str">
        <f ca="1">IF(Calc!$AW259="","",INT(Calc!$AV259))</f>
        <v/>
      </c>
      <c r="B259" s="21" t="str">
        <f ca="1">IF(Calc!$AW259="","",INDEX(Roster!$A$6:$A$505,Calc!$AW259)&amp;"")</f>
        <v/>
      </c>
      <c r="C259" s="21" t="str">
        <f ca="1">IF(Calc!$AW259="","",INDEX(Roster!$C$6:$C$505,Calc!$AW259)&amp;"")</f>
        <v/>
      </c>
      <c r="D259" s="19" t="str">
        <f ca="1">IF(Calc!$AW259="","",INDEX(Calc!$AP$6:$AP$505,Calc!$AW259))</f>
        <v/>
      </c>
      <c r="E259" s="21" t="str">
        <f ca="1">IF(Calc!$AW259="","",IF(INDEX(Calc!$AS$6:$AS$505,Calc!$AW259)="","Shout-out","Milestone"))</f>
        <v/>
      </c>
      <c r="F259" s="22" t="str">
        <f ca="1">IF(Calc!$AW259="","",IF($E259="Shout-out",SUBSTITUTE(SUBSTITUTE(SUBSTITUTE(SUBSTITUTE(Setup!$C$7&amp;"","{name}",IF($B259="","this employee",$B259)),"{years}",$D259),"{yearword}",IF($D259=1,"year","years")),"{company}",Setup!$C$4),IF(INDEX(Calc!$AT$6:$AT$505,Calc!$AW259),"Award ordered. Present it on the anniversary.","Order award by "&amp;TEXT(INDEX(Calc!$AU$6:$AU$505,Calc!$AW259),"mmm d, yyyy")&amp;IF(INDEX(Calc!$AU$6:$AU$505,Calc!$AW259)&lt;Setup!$C$5," (late, order today)",""))))</f>
        <v/>
      </c>
    </row>
    <row r="260" spans="1:6" x14ac:dyDescent="0.2">
      <c r="A260" s="20" t="str">
        <f ca="1">IF(Calc!$AW260="","",INT(Calc!$AV260))</f>
        <v/>
      </c>
      <c r="B260" s="21" t="str">
        <f ca="1">IF(Calc!$AW260="","",INDEX(Roster!$A$6:$A$505,Calc!$AW260)&amp;"")</f>
        <v/>
      </c>
      <c r="C260" s="21" t="str">
        <f ca="1">IF(Calc!$AW260="","",INDEX(Roster!$C$6:$C$505,Calc!$AW260)&amp;"")</f>
        <v/>
      </c>
      <c r="D260" s="19" t="str">
        <f ca="1">IF(Calc!$AW260="","",INDEX(Calc!$AP$6:$AP$505,Calc!$AW260))</f>
        <v/>
      </c>
      <c r="E260" s="21" t="str">
        <f ca="1">IF(Calc!$AW260="","",IF(INDEX(Calc!$AS$6:$AS$505,Calc!$AW260)="","Shout-out","Milestone"))</f>
        <v/>
      </c>
      <c r="F260" s="22" t="str">
        <f ca="1">IF(Calc!$AW260="","",IF($E260="Shout-out",SUBSTITUTE(SUBSTITUTE(SUBSTITUTE(SUBSTITUTE(Setup!$C$7&amp;"","{name}",IF($B260="","this employee",$B260)),"{years}",$D260),"{yearword}",IF($D260=1,"year","years")),"{company}",Setup!$C$4),IF(INDEX(Calc!$AT$6:$AT$505,Calc!$AW260),"Award ordered. Present it on the anniversary.","Order award by "&amp;TEXT(INDEX(Calc!$AU$6:$AU$505,Calc!$AW260),"mmm d, yyyy")&amp;IF(INDEX(Calc!$AU$6:$AU$505,Calc!$AW260)&lt;Setup!$C$5," (late, order today)",""))))</f>
        <v/>
      </c>
    </row>
    <row r="261" spans="1:6" x14ac:dyDescent="0.2">
      <c r="A261" s="20" t="str">
        <f ca="1">IF(Calc!$AW261="","",INT(Calc!$AV261))</f>
        <v/>
      </c>
      <c r="B261" s="21" t="str">
        <f ca="1">IF(Calc!$AW261="","",INDEX(Roster!$A$6:$A$505,Calc!$AW261)&amp;"")</f>
        <v/>
      </c>
      <c r="C261" s="21" t="str">
        <f ca="1">IF(Calc!$AW261="","",INDEX(Roster!$C$6:$C$505,Calc!$AW261)&amp;"")</f>
        <v/>
      </c>
      <c r="D261" s="19" t="str">
        <f ca="1">IF(Calc!$AW261="","",INDEX(Calc!$AP$6:$AP$505,Calc!$AW261))</f>
        <v/>
      </c>
      <c r="E261" s="21" t="str">
        <f ca="1">IF(Calc!$AW261="","",IF(INDEX(Calc!$AS$6:$AS$505,Calc!$AW261)="","Shout-out","Milestone"))</f>
        <v/>
      </c>
      <c r="F261" s="22" t="str">
        <f ca="1">IF(Calc!$AW261="","",IF($E261="Shout-out",SUBSTITUTE(SUBSTITUTE(SUBSTITUTE(SUBSTITUTE(Setup!$C$7&amp;"","{name}",IF($B261="","this employee",$B261)),"{years}",$D261),"{yearword}",IF($D261=1,"year","years")),"{company}",Setup!$C$4),IF(INDEX(Calc!$AT$6:$AT$505,Calc!$AW261),"Award ordered. Present it on the anniversary.","Order award by "&amp;TEXT(INDEX(Calc!$AU$6:$AU$505,Calc!$AW261),"mmm d, yyyy")&amp;IF(INDEX(Calc!$AU$6:$AU$505,Calc!$AW261)&lt;Setup!$C$5," (late, order today)",""))))</f>
        <v/>
      </c>
    </row>
    <row r="262" spans="1:6" x14ac:dyDescent="0.2">
      <c r="A262" s="20" t="str">
        <f ca="1">IF(Calc!$AW262="","",INT(Calc!$AV262))</f>
        <v/>
      </c>
      <c r="B262" s="21" t="str">
        <f ca="1">IF(Calc!$AW262="","",INDEX(Roster!$A$6:$A$505,Calc!$AW262)&amp;"")</f>
        <v/>
      </c>
      <c r="C262" s="21" t="str">
        <f ca="1">IF(Calc!$AW262="","",INDEX(Roster!$C$6:$C$505,Calc!$AW262)&amp;"")</f>
        <v/>
      </c>
      <c r="D262" s="19" t="str">
        <f ca="1">IF(Calc!$AW262="","",INDEX(Calc!$AP$6:$AP$505,Calc!$AW262))</f>
        <v/>
      </c>
      <c r="E262" s="21" t="str">
        <f ca="1">IF(Calc!$AW262="","",IF(INDEX(Calc!$AS$6:$AS$505,Calc!$AW262)="","Shout-out","Milestone"))</f>
        <v/>
      </c>
      <c r="F262" s="22" t="str">
        <f ca="1">IF(Calc!$AW262="","",IF($E262="Shout-out",SUBSTITUTE(SUBSTITUTE(SUBSTITUTE(SUBSTITUTE(Setup!$C$7&amp;"","{name}",IF($B262="","this employee",$B262)),"{years}",$D262),"{yearword}",IF($D262=1,"year","years")),"{company}",Setup!$C$4),IF(INDEX(Calc!$AT$6:$AT$505,Calc!$AW262),"Award ordered. Present it on the anniversary.","Order award by "&amp;TEXT(INDEX(Calc!$AU$6:$AU$505,Calc!$AW262),"mmm d, yyyy")&amp;IF(INDEX(Calc!$AU$6:$AU$505,Calc!$AW262)&lt;Setup!$C$5," (late, order today)",""))))</f>
        <v/>
      </c>
    </row>
    <row r="263" spans="1:6" x14ac:dyDescent="0.2">
      <c r="A263" s="20" t="str">
        <f ca="1">IF(Calc!$AW263="","",INT(Calc!$AV263))</f>
        <v/>
      </c>
      <c r="B263" s="21" t="str">
        <f ca="1">IF(Calc!$AW263="","",INDEX(Roster!$A$6:$A$505,Calc!$AW263)&amp;"")</f>
        <v/>
      </c>
      <c r="C263" s="21" t="str">
        <f ca="1">IF(Calc!$AW263="","",INDEX(Roster!$C$6:$C$505,Calc!$AW263)&amp;"")</f>
        <v/>
      </c>
      <c r="D263" s="19" t="str">
        <f ca="1">IF(Calc!$AW263="","",INDEX(Calc!$AP$6:$AP$505,Calc!$AW263))</f>
        <v/>
      </c>
      <c r="E263" s="21" t="str">
        <f ca="1">IF(Calc!$AW263="","",IF(INDEX(Calc!$AS$6:$AS$505,Calc!$AW263)="","Shout-out","Milestone"))</f>
        <v/>
      </c>
      <c r="F263" s="22" t="str">
        <f ca="1">IF(Calc!$AW263="","",IF($E263="Shout-out",SUBSTITUTE(SUBSTITUTE(SUBSTITUTE(SUBSTITUTE(Setup!$C$7&amp;"","{name}",IF($B263="","this employee",$B263)),"{years}",$D263),"{yearword}",IF($D263=1,"year","years")),"{company}",Setup!$C$4),IF(INDEX(Calc!$AT$6:$AT$505,Calc!$AW263),"Award ordered. Present it on the anniversary.","Order award by "&amp;TEXT(INDEX(Calc!$AU$6:$AU$505,Calc!$AW263),"mmm d, yyyy")&amp;IF(INDEX(Calc!$AU$6:$AU$505,Calc!$AW263)&lt;Setup!$C$5," (late, order today)",""))))</f>
        <v/>
      </c>
    </row>
    <row r="264" spans="1:6" x14ac:dyDescent="0.2">
      <c r="A264" s="20" t="str">
        <f ca="1">IF(Calc!$AW264="","",INT(Calc!$AV264))</f>
        <v/>
      </c>
      <c r="B264" s="21" t="str">
        <f ca="1">IF(Calc!$AW264="","",INDEX(Roster!$A$6:$A$505,Calc!$AW264)&amp;"")</f>
        <v/>
      </c>
      <c r="C264" s="21" t="str">
        <f ca="1">IF(Calc!$AW264="","",INDEX(Roster!$C$6:$C$505,Calc!$AW264)&amp;"")</f>
        <v/>
      </c>
      <c r="D264" s="19" t="str">
        <f ca="1">IF(Calc!$AW264="","",INDEX(Calc!$AP$6:$AP$505,Calc!$AW264))</f>
        <v/>
      </c>
      <c r="E264" s="21" t="str">
        <f ca="1">IF(Calc!$AW264="","",IF(INDEX(Calc!$AS$6:$AS$505,Calc!$AW264)="","Shout-out","Milestone"))</f>
        <v/>
      </c>
      <c r="F264" s="22" t="str">
        <f ca="1">IF(Calc!$AW264="","",IF($E264="Shout-out",SUBSTITUTE(SUBSTITUTE(SUBSTITUTE(SUBSTITUTE(Setup!$C$7&amp;"","{name}",IF($B264="","this employee",$B264)),"{years}",$D264),"{yearword}",IF($D264=1,"year","years")),"{company}",Setup!$C$4),IF(INDEX(Calc!$AT$6:$AT$505,Calc!$AW264),"Award ordered. Present it on the anniversary.","Order award by "&amp;TEXT(INDEX(Calc!$AU$6:$AU$505,Calc!$AW264),"mmm d, yyyy")&amp;IF(INDEX(Calc!$AU$6:$AU$505,Calc!$AW264)&lt;Setup!$C$5," (late, order today)",""))))</f>
        <v/>
      </c>
    </row>
    <row r="265" spans="1:6" x14ac:dyDescent="0.2">
      <c r="A265" s="20" t="str">
        <f ca="1">IF(Calc!$AW265="","",INT(Calc!$AV265))</f>
        <v/>
      </c>
      <c r="B265" s="21" t="str">
        <f ca="1">IF(Calc!$AW265="","",INDEX(Roster!$A$6:$A$505,Calc!$AW265)&amp;"")</f>
        <v/>
      </c>
      <c r="C265" s="21" t="str">
        <f ca="1">IF(Calc!$AW265="","",INDEX(Roster!$C$6:$C$505,Calc!$AW265)&amp;"")</f>
        <v/>
      </c>
      <c r="D265" s="19" t="str">
        <f ca="1">IF(Calc!$AW265="","",INDEX(Calc!$AP$6:$AP$505,Calc!$AW265))</f>
        <v/>
      </c>
      <c r="E265" s="21" t="str">
        <f ca="1">IF(Calc!$AW265="","",IF(INDEX(Calc!$AS$6:$AS$505,Calc!$AW265)="","Shout-out","Milestone"))</f>
        <v/>
      </c>
      <c r="F265" s="22" t="str">
        <f ca="1">IF(Calc!$AW265="","",IF($E265="Shout-out",SUBSTITUTE(SUBSTITUTE(SUBSTITUTE(SUBSTITUTE(Setup!$C$7&amp;"","{name}",IF($B265="","this employee",$B265)),"{years}",$D265),"{yearword}",IF($D265=1,"year","years")),"{company}",Setup!$C$4),IF(INDEX(Calc!$AT$6:$AT$505,Calc!$AW265),"Award ordered. Present it on the anniversary.","Order award by "&amp;TEXT(INDEX(Calc!$AU$6:$AU$505,Calc!$AW265),"mmm d, yyyy")&amp;IF(INDEX(Calc!$AU$6:$AU$505,Calc!$AW265)&lt;Setup!$C$5," (late, order today)",""))))</f>
        <v/>
      </c>
    </row>
    <row r="266" spans="1:6" x14ac:dyDescent="0.2">
      <c r="A266" s="20" t="str">
        <f ca="1">IF(Calc!$AW266="","",INT(Calc!$AV266))</f>
        <v/>
      </c>
      <c r="B266" s="21" t="str">
        <f ca="1">IF(Calc!$AW266="","",INDEX(Roster!$A$6:$A$505,Calc!$AW266)&amp;"")</f>
        <v/>
      </c>
      <c r="C266" s="21" t="str">
        <f ca="1">IF(Calc!$AW266="","",INDEX(Roster!$C$6:$C$505,Calc!$AW266)&amp;"")</f>
        <v/>
      </c>
      <c r="D266" s="19" t="str">
        <f ca="1">IF(Calc!$AW266="","",INDEX(Calc!$AP$6:$AP$505,Calc!$AW266))</f>
        <v/>
      </c>
      <c r="E266" s="21" t="str">
        <f ca="1">IF(Calc!$AW266="","",IF(INDEX(Calc!$AS$6:$AS$505,Calc!$AW266)="","Shout-out","Milestone"))</f>
        <v/>
      </c>
      <c r="F266" s="22" t="str">
        <f ca="1">IF(Calc!$AW266="","",IF($E266="Shout-out",SUBSTITUTE(SUBSTITUTE(SUBSTITUTE(SUBSTITUTE(Setup!$C$7&amp;"","{name}",IF($B266="","this employee",$B266)),"{years}",$D266),"{yearword}",IF($D266=1,"year","years")),"{company}",Setup!$C$4),IF(INDEX(Calc!$AT$6:$AT$505,Calc!$AW266),"Award ordered. Present it on the anniversary.","Order award by "&amp;TEXT(INDEX(Calc!$AU$6:$AU$505,Calc!$AW266),"mmm d, yyyy")&amp;IF(INDEX(Calc!$AU$6:$AU$505,Calc!$AW266)&lt;Setup!$C$5," (late, order today)",""))))</f>
        <v/>
      </c>
    </row>
    <row r="267" spans="1:6" x14ac:dyDescent="0.2">
      <c r="A267" s="20" t="str">
        <f ca="1">IF(Calc!$AW267="","",INT(Calc!$AV267))</f>
        <v/>
      </c>
      <c r="B267" s="21" t="str">
        <f ca="1">IF(Calc!$AW267="","",INDEX(Roster!$A$6:$A$505,Calc!$AW267)&amp;"")</f>
        <v/>
      </c>
      <c r="C267" s="21" t="str">
        <f ca="1">IF(Calc!$AW267="","",INDEX(Roster!$C$6:$C$505,Calc!$AW267)&amp;"")</f>
        <v/>
      </c>
      <c r="D267" s="19" t="str">
        <f ca="1">IF(Calc!$AW267="","",INDEX(Calc!$AP$6:$AP$505,Calc!$AW267))</f>
        <v/>
      </c>
      <c r="E267" s="21" t="str">
        <f ca="1">IF(Calc!$AW267="","",IF(INDEX(Calc!$AS$6:$AS$505,Calc!$AW267)="","Shout-out","Milestone"))</f>
        <v/>
      </c>
      <c r="F267" s="22" t="str">
        <f ca="1">IF(Calc!$AW267="","",IF($E267="Shout-out",SUBSTITUTE(SUBSTITUTE(SUBSTITUTE(SUBSTITUTE(Setup!$C$7&amp;"","{name}",IF($B267="","this employee",$B267)),"{years}",$D267),"{yearword}",IF($D267=1,"year","years")),"{company}",Setup!$C$4),IF(INDEX(Calc!$AT$6:$AT$505,Calc!$AW267),"Award ordered. Present it on the anniversary.","Order award by "&amp;TEXT(INDEX(Calc!$AU$6:$AU$505,Calc!$AW267),"mmm d, yyyy")&amp;IF(INDEX(Calc!$AU$6:$AU$505,Calc!$AW267)&lt;Setup!$C$5," (late, order today)",""))))</f>
        <v/>
      </c>
    </row>
    <row r="268" spans="1:6" x14ac:dyDescent="0.2">
      <c r="A268" s="20" t="str">
        <f ca="1">IF(Calc!$AW268="","",INT(Calc!$AV268))</f>
        <v/>
      </c>
      <c r="B268" s="21" t="str">
        <f ca="1">IF(Calc!$AW268="","",INDEX(Roster!$A$6:$A$505,Calc!$AW268)&amp;"")</f>
        <v/>
      </c>
      <c r="C268" s="21" t="str">
        <f ca="1">IF(Calc!$AW268="","",INDEX(Roster!$C$6:$C$505,Calc!$AW268)&amp;"")</f>
        <v/>
      </c>
      <c r="D268" s="19" t="str">
        <f ca="1">IF(Calc!$AW268="","",INDEX(Calc!$AP$6:$AP$505,Calc!$AW268))</f>
        <v/>
      </c>
      <c r="E268" s="21" t="str">
        <f ca="1">IF(Calc!$AW268="","",IF(INDEX(Calc!$AS$6:$AS$505,Calc!$AW268)="","Shout-out","Milestone"))</f>
        <v/>
      </c>
      <c r="F268" s="22" t="str">
        <f ca="1">IF(Calc!$AW268="","",IF($E268="Shout-out",SUBSTITUTE(SUBSTITUTE(SUBSTITUTE(SUBSTITUTE(Setup!$C$7&amp;"","{name}",IF($B268="","this employee",$B268)),"{years}",$D268),"{yearword}",IF($D268=1,"year","years")),"{company}",Setup!$C$4),IF(INDEX(Calc!$AT$6:$AT$505,Calc!$AW268),"Award ordered. Present it on the anniversary.","Order award by "&amp;TEXT(INDEX(Calc!$AU$6:$AU$505,Calc!$AW268),"mmm d, yyyy")&amp;IF(INDEX(Calc!$AU$6:$AU$505,Calc!$AW268)&lt;Setup!$C$5," (late, order today)",""))))</f>
        <v/>
      </c>
    </row>
    <row r="269" spans="1:6" x14ac:dyDescent="0.2">
      <c r="A269" s="20" t="str">
        <f ca="1">IF(Calc!$AW269="","",INT(Calc!$AV269))</f>
        <v/>
      </c>
      <c r="B269" s="21" t="str">
        <f ca="1">IF(Calc!$AW269="","",INDEX(Roster!$A$6:$A$505,Calc!$AW269)&amp;"")</f>
        <v/>
      </c>
      <c r="C269" s="21" t="str">
        <f ca="1">IF(Calc!$AW269="","",INDEX(Roster!$C$6:$C$505,Calc!$AW269)&amp;"")</f>
        <v/>
      </c>
      <c r="D269" s="19" t="str">
        <f ca="1">IF(Calc!$AW269="","",INDEX(Calc!$AP$6:$AP$505,Calc!$AW269))</f>
        <v/>
      </c>
      <c r="E269" s="21" t="str">
        <f ca="1">IF(Calc!$AW269="","",IF(INDEX(Calc!$AS$6:$AS$505,Calc!$AW269)="","Shout-out","Milestone"))</f>
        <v/>
      </c>
      <c r="F269" s="22" t="str">
        <f ca="1">IF(Calc!$AW269="","",IF($E269="Shout-out",SUBSTITUTE(SUBSTITUTE(SUBSTITUTE(SUBSTITUTE(Setup!$C$7&amp;"","{name}",IF($B269="","this employee",$B269)),"{years}",$D269),"{yearword}",IF($D269=1,"year","years")),"{company}",Setup!$C$4),IF(INDEX(Calc!$AT$6:$AT$505,Calc!$AW269),"Award ordered. Present it on the anniversary.","Order award by "&amp;TEXT(INDEX(Calc!$AU$6:$AU$505,Calc!$AW269),"mmm d, yyyy")&amp;IF(INDEX(Calc!$AU$6:$AU$505,Calc!$AW269)&lt;Setup!$C$5," (late, order today)",""))))</f>
        <v/>
      </c>
    </row>
    <row r="270" spans="1:6" x14ac:dyDescent="0.2">
      <c r="A270" s="20" t="str">
        <f ca="1">IF(Calc!$AW270="","",INT(Calc!$AV270))</f>
        <v/>
      </c>
      <c r="B270" s="21" t="str">
        <f ca="1">IF(Calc!$AW270="","",INDEX(Roster!$A$6:$A$505,Calc!$AW270)&amp;"")</f>
        <v/>
      </c>
      <c r="C270" s="21" t="str">
        <f ca="1">IF(Calc!$AW270="","",INDEX(Roster!$C$6:$C$505,Calc!$AW270)&amp;"")</f>
        <v/>
      </c>
      <c r="D270" s="19" t="str">
        <f ca="1">IF(Calc!$AW270="","",INDEX(Calc!$AP$6:$AP$505,Calc!$AW270))</f>
        <v/>
      </c>
      <c r="E270" s="21" t="str">
        <f ca="1">IF(Calc!$AW270="","",IF(INDEX(Calc!$AS$6:$AS$505,Calc!$AW270)="","Shout-out","Milestone"))</f>
        <v/>
      </c>
      <c r="F270" s="22" t="str">
        <f ca="1">IF(Calc!$AW270="","",IF($E270="Shout-out",SUBSTITUTE(SUBSTITUTE(SUBSTITUTE(SUBSTITUTE(Setup!$C$7&amp;"","{name}",IF($B270="","this employee",$B270)),"{years}",$D270),"{yearword}",IF($D270=1,"year","years")),"{company}",Setup!$C$4),IF(INDEX(Calc!$AT$6:$AT$505,Calc!$AW270),"Award ordered. Present it on the anniversary.","Order award by "&amp;TEXT(INDEX(Calc!$AU$6:$AU$505,Calc!$AW270),"mmm d, yyyy")&amp;IF(INDEX(Calc!$AU$6:$AU$505,Calc!$AW270)&lt;Setup!$C$5," (late, order today)",""))))</f>
        <v/>
      </c>
    </row>
    <row r="271" spans="1:6" x14ac:dyDescent="0.2">
      <c r="A271" s="20" t="str">
        <f ca="1">IF(Calc!$AW271="","",INT(Calc!$AV271))</f>
        <v/>
      </c>
      <c r="B271" s="21" t="str">
        <f ca="1">IF(Calc!$AW271="","",INDEX(Roster!$A$6:$A$505,Calc!$AW271)&amp;"")</f>
        <v/>
      </c>
      <c r="C271" s="21" t="str">
        <f ca="1">IF(Calc!$AW271="","",INDEX(Roster!$C$6:$C$505,Calc!$AW271)&amp;"")</f>
        <v/>
      </c>
      <c r="D271" s="19" t="str">
        <f ca="1">IF(Calc!$AW271="","",INDEX(Calc!$AP$6:$AP$505,Calc!$AW271))</f>
        <v/>
      </c>
      <c r="E271" s="21" t="str">
        <f ca="1">IF(Calc!$AW271="","",IF(INDEX(Calc!$AS$6:$AS$505,Calc!$AW271)="","Shout-out","Milestone"))</f>
        <v/>
      </c>
      <c r="F271" s="22" t="str">
        <f ca="1">IF(Calc!$AW271="","",IF($E271="Shout-out",SUBSTITUTE(SUBSTITUTE(SUBSTITUTE(SUBSTITUTE(Setup!$C$7&amp;"","{name}",IF($B271="","this employee",$B271)),"{years}",$D271),"{yearword}",IF($D271=1,"year","years")),"{company}",Setup!$C$4),IF(INDEX(Calc!$AT$6:$AT$505,Calc!$AW271),"Award ordered. Present it on the anniversary.","Order award by "&amp;TEXT(INDEX(Calc!$AU$6:$AU$505,Calc!$AW271),"mmm d, yyyy")&amp;IF(INDEX(Calc!$AU$6:$AU$505,Calc!$AW271)&lt;Setup!$C$5," (late, order today)",""))))</f>
        <v/>
      </c>
    </row>
    <row r="272" spans="1:6" x14ac:dyDescent="0.2">
      <c r="A272" s="20" t="str">
        <f ca="1">IF(Calc!$AW272="","",INT(Calc!$AV272))</f>
        <v/>
      </c>
      <c r="B272" s="21" t="str">
        <f ca="1">IF(Calc!$AW272="","",INDEX(Roster!$A$6:$A$505,Calc!$AW272)&amp;"")</f>
        <v/>
      </c>
      <c r="C272" s="21" t="str">
        <f ca="1">IF(Calc!$AW272="","",INDEX(Roster!$C$6:$C$505,Calc!$AW272)&amp;"")</f>
        <v/>
      </c>
      <c r="D272" s="19" t="str">
        <f ca="1">IF(Calc!$AW272="","",INDEX(Calc!$AP$6:$AP$505,Calc!$AW272))</f>
        <v/>
      </c>
      <c r="E272" s="21" t="str">
        <f ca="1">IF(Calc!$AW272="","",IF(INDEX(Calc!$AS$6:$AS$505,Calc!$AW272)="","Shout-out","Milestone"))</f>
        <v/>
      </c>
      <c r="F272" s="22" t="str">
        <f ca="1">IF(Calc!$AW272="","",IF($E272="Shout-out",SUBSTITUTE(SUBSTITUTE(SUBSTITUTE(SUBSTITUTE(Setup!$C$7&amp;"","{name}",IF($B272="","this employee",$B272)),"{years}",$D272),"{yearword}",IF($D272=1,"year","years")),"{company}",Setup!$C$4),IF(INDEX(Calc!$AT$6:$AT$505,Calc!$AW272),"Award ordered. Present it on the anniversary.","Order award by "&amp;TEXT(INDEX(Calc!$AU$6:$AU$505,Calc!$AW272),"mmm d, yyyy")&amp;IF(INDEX(Calc!$AU$6:$AU$505,Calc!$AW272)&lt;Setup!$C$5," (late, order today)",""))))</f>
        <v/>
      </c>
    </row>
    <row r="273" spans="1:6" x14ac:dyDescent="0.2">
      <c r="A273" s="20" t="str">
        <f ca="1">IF(Calc!$AW273="","",INT(Calc!$AV273))</f>
        <v/>
      </c>
      <c r="B273" s="21" t="str">
        <f ca="1">IF(Calc!$AW273="","",INDEX(Roster!$A$6:$A$505,Calc!$AW273)&amp;"")</f>
        <v/>
      </c>
      <c r="C273" s="21" t="str">
        <f ca="1">IF(Calc!$AW273="","",INDEX(Roster!$C$6:$C$505,Calc!$AW273)&amp;"")</f>
        <v/>
      </c>
      <c r="D273" s="19" t="str">
        <f ca="1">IF(Calc!$AW273="","",INDEX(Calc!$AP$6:$AP$505,Calc!$AW273))</f>
        <v/>
      </c>
      <c r="E273" s="21" t="str">
        <f ca="1">IF(Calc!$AW273="","",IF(INDEX(Calc!$AS$6:$AS$505,Calc!$AW273)="","Shout-out","Milestone"))</f>
        <v/>
      </c>
      <c r="F273" s="22" t="str">
        <f ca="1">IF(Calc!$AW273="","",IF($E273="Shout-out",SUBSTITUTE(SUBSTITUTE(SUBSTITUTE(SUBSTITUTE(Setup!$C$7&amp;"","{name}",IF($B273="","this employee",$B273)),"{years}",$D273),"{yearword}",IF($D273=1,"year","years")),"{company}",Setup!$C$4),IF(INDEX(Calc!$AT$6:$AT$505,Calc!$AW273),"Award ordered. Present it on the anniversary.","Order award by "&amp;TEXT(INDEX(Calc!$AU$6:$AU$505,Calc!$AW273),"mmm d, yyyy")&amp;IF(INDEX(Calc!$AU$6:$AU$505,Calc!$AW273)&lt;Setup!$C$5," (late, order today)",""))))</f>
        <v/>
      </c>
    </row>
    <row r="274" spans="1:6" x14ac:dyDescent="0.2">
      <c r="A274" s="20" t="str">
        <f ca="1">IF(Calc!$AW274="","",INT(Calc!$AV274))</f>
        <v/>
      </c>
      <c r="B274" s="21" t="str">
        <f ca="1">IF(Calc!$AW274="","",INDEX(Roster!$A$6:$A$505,Calc!$AW274)&amp;"")</f>
        <v/>
      </c>
      <c r="C274" s="21" t="str">
        <f ca="1">IF(Calc!$AW274="","",INDEX(Roster!$C$6:$C$505,Calc!$AW274)&amp;"")</f>
        <v/>
      </c>
      <c r="D274" s="19" t="str">
        <f ca="1">IF(Calc!$AW274="","",INDEX(Calc!$AP$6:$AP$505,Calc!$AW274))</f>
        <v/>
      </c>
      <c r="E274" s="21" t="str">
        <f ca="1">IF(Calc!$AW274="","",IF(INDEX(Calc!$AS$6:$AS$505,Calc!$AW274)="","Shout-out","Milestone"))</f>
        <v/>
      </c>
      <c r="F274" s="22" t="str">
        <f ca="1">IF(Calc!$AW274="","",IF($E274="Shout-out",SUBSTITUTE(SUBSTITUTE(SUBSTITUTE(SUBSTITUTE(Setup!$C$7&amp;"","{name}",IF($B274="","this employee",$B274)),"{years}",$D274),"{yearword}",IF($D274=1,"year","years")),"{company}",Setup!$C$4),IF(INDEX(Calc!$AT$6:$AT$505,Calc!$AW274),"Award ordered. Present it on the anniversary.","Order award by "&amp;TEXT(INDEX(Calc!$AU$6:$AU$505,Calc!$AW274),"mmm d, yyyy")&amp;IF(INDEX(Calc!$AU$6:$AU$505,Calc!$AW274)&lt;Setup!$C$5," (late, order today)",""))))</f>
        <v/>
      </c>
    </row>
    <row r="275" spans="1:6" x14ac:dyDescent="0.2">
      <c r="A275" s="20" t="str">
        <f ca="1">IF(Calc!$AW275="","",INT(Calc!$AV275))</f>
        <v/>
      </c>
      <c r="B275" s="21" t="str">
        <f ca="1">IF(Calc!$AW275="","",INDEX(Roster!$A$6:$A$505,Calc!$AW275)&amp;"")</f>
        <v/>
      </c>
      <c r="C275" s="21" t="str">
        <f ca="1">IF(Calc!$AW275="","",INDEX(Roster!$C$6:$C$505,Calc!$AW275)&amp;"")</f>
        <v/>
      </c>
      <c r="D275" s="19" t="str">
        <f ca="1">IF(Calc!$AW275="","",INDEX(Calc!$AP$6:$AP$505,Calc!$AW275))</f>
        <v/>
      </c>
      <c r="E275" s="21" t="str">
        <f ca="1">IF(Calc!$AW275="","",IF(INDEX(Calc!$AS$6:$AS$505,Calc!$AW275)="","Shout-out","Milestone"))</f>
        <v/>
      </c>
      <c r="F275" s="22" t="str">
        <f ca="1">IF(Calc!$AW275="","",IF($E275="Shout-out",SUBSTITUTE(SUBSTITUTE(SUBSTITUTE(SUBSTITUTE(Setup!$C$7&amp;"","{name}",IF($B275="","this employee",$B275)),"{years}",$D275),"{yearword}",IF($D275=1,"year","years")),"{company}",Setup!$C$4),IF(INDEX(Calc!$AT$6:$AT$505,Calc!$AW275),"Award ordered. Present it on the anniversary.","Order award by "&amp;TEXT(INDEX(Calc!$AU$6:$AU$505,Calc!$AW275),"mmm d, yyyy")&amp;IF(INDEX(Calc!$AU$6:$AU$505,Calc!$AW275)&lt;Setup!$C$5," (late, order today)",""))))</f>
        <v/>
      </c>
    </row>
    <row r="276" spans="1:6" x14ac:dyDescent="0.2">
      <c r="A276" s="20" t="str">
        <f ca="1">IF(Calc!$AW276="","",INT(Calc!$AV276))</f>
        <v/>
      </c>
      <c r="B276" s="21" t="str">
        <f ca="1">IF(Calc!$AW276="","",INDEX(Roster!$A$6:$A$505,Calc!$AW276)&amp;"")</f>
        <v/>
      </c>
      <c r="C276" s="21" t="str">
        <f ca="1">IF(Calc!$AW276="","",INDEX(Roster!$C$6:$C$505,Calc!$AW276)&amp;"")</f>
        <v/>
      </c>
      <c r="D276" s="19" t="str">
        <f ca="1">IF(Calc!$AW276="","",INDEX(Calc!$AP$6:$AP$505,Calc!$AW276))</f>
        <v/>
      </c>
      <c r="E276" s="21" t="str">
        <f ca="1">IF(Calc!$AW276="","",IF(INDEX(Calc!$AS$6:$AS$505,Calc!$AW276)="","Shout-out","Milestone"))</f>
        <v/>
      </c>
      <c r="F276" s="22" t="str">
        <f ca="1">IF(Calc!$AW276="","",IF($E276="Shout-out",SUBSTITUTE(SUBSTITUTE(SUBSTITUTE(SUBSTITUTE(Setup!$C$7&amp;"","{name}",IF($B276="","this employee",$B276)),"{years}",$D276),"{yearword}",IF($D276=1,"year","years")),"{company}",Setup!$C$4),IF(INDEX(Calc!$AT$6:$AT$505,Calc!$AW276),"Award ordered. Present it on the anniversary.","Order award by "&amp;TEXT(INDEX(Calc!$AU$6:$AU$505,Calc!$AW276),"mmm d, yyyy")&amp;IF(INDEX(Calc!$AU$6:$AU$505,Calc!$AW276)&lt;Setup!$C$5," (late, order today)",""))))</f>
        <v/>
      </c>
    </row>
    <row r="277" spans="1:6" x14ac:dyDescent="0.2">
      <c r="A277" s="20" t="str">
        <f ca="1">IF(Calc!$AW277="","",INT(Calc!$AV277))</f>
        <v/>
      </c>
      <c r="B277" s="21" t="str">
        <f ca="1">IF(Calc!$AW277="","",INDEX(Roster!$A$6:$A$505,Calc!$AW277)&amp;"")</f>
        <v/>
      </c>
      <c r="C277" s="21" t="str">
        <f ca="1">IF(Calc!$AW277="","",INDEX(Roster!$C$6:$C$505,Calc!$AW277)&amp;"")</f>
        <v/>
      </c>
      <c r="D277" s="19" t="str">
        <f ca="1">IF(Calc!$AW277="","",INDEX(Calc!$AP$6:$AP$505,Calc!$AW277))</f>
        <v/>
      </c>
      <c r="E277" s="21" t="str">
        <f ca="1">IF(Calc!$AW277="","",IF(INDEX(Calc!$AS$6:$AS$505,Calc!$AW277)="","Shout-out","Milestone"))</f>
        <v/>
      </c>
      <c r="F277" s="22" t="str">
        <f ca="1">IF(Calc!$AW277="","",IF($E277="Shout-out",SUBSTITUTE(SUBSTITUTE(SUBSTITUTE(SUBSTITUTE(Setup!$C$7&amp;"","{name}",IF($B277="","this employee",$B277)),"{years}",$D277),"{yearword}",IF($D277=1,"year","years")),"{company}",Setup!$C$4),IF(INDEX(Calc!$AT$6:$AT$505,Calc!$AW277),"Award ordered. Present it on the anniversary.","Order award by "&amp;TEXT(INDEX(Calc!$AU$6:$AU$505,Calc!$AW277),"mmm d, yyyy")&amp;IF(INDEX(Calc!$AU$6:$AU$505,Calc!$AW277)&lt;Setup!$C$5," (late, order today)",""))))</f>
        <v/>
      </c>
    </row>
    <row r="278" spans="1:6" x14ac:dyDescent="0.2">
      <c r="A278" s="20" t="str">
        <f ca="1">IF(Calc!$AW278="","",INT(Calc!$AV278))</f>
        <v/>
      </c>
      <c r="B278" s="21" t="str">
        <f ca="1">IF(Calc!$AW278="","",INDEX(Roster!$A$6:$A$505,Calc!$AW278)&amp;"")</f>
        <v/>
      </c>
      <c r="C278" s="21" t="str">
        <f ca="1">IF(Calc!$AW278="","",INDEX(Roster!$C$6:$C$505,Calc!$AW278)&amp;"")</f>
        <v/>
      </c>
      <c r="D278" s="19" t="str">
        <f ca="1">IF(Calc!$AW278="","",INDEX(Calc!$AP$6:$AP$505,Calc!$AW278))</f>
        <v/>
      </c>
      <c r="E278" s="21" t="str">
        <f ca="1">IF(Calc!$AW278="","",IF(INDEX(Calc!$AS$6:$AS$505,Calc!$AW278)="","Shout-out","Milestone"))</f>
        <v/>
      </c>
      <c r="F278" s="22" t="str">
        <f ca="1">IF(Calc!$AW278="","",IF($E278="Shout-out",SUBSTITUTE(SUBSTITUTE(SUBSTITUTE(SUBSTITUTE(Setup!$C$7&amp;"","{name}",IF($B278="","this employee",$B278)),"{years}",$D278),"{yearword}",IF($D278=1,"year","years")),"{company}",Setup!$C$4),IF(INDEX(Calc!$AT$6:$AT$505,Calc!$AW278),"Award ordered. Present it on the anniversary.","Order award by "&amp;TEXT(INDEX(Calc!$AU$6:$AU$505,Calc!$AW278),"mmm d, yyyy")&amp;IF(INDEX(Calc!$AU$6:$AU$505,Calc!$AW278)&lt;Setup!$C$5," (late, order today)",""))))</f>
        <v/>
      </c>
    </row>
    <row r="279" spans="1:6" x14ac:dyDescent="0.2">
      <c r="A279" s="20" t="str">
        <f ca="1">IF(Calc!$AW279="","",INT(Calc!$AV279))</f>
        <v/>
      </c>
      <c r="B279" s="21" t="str">
        <f ca="1">IF(Calc!$AW279="","",INDEX(Roster!$A$6:$A$505,Calc!$AW279)&amp;"")</f>
        <v/>
      </c>
      <c r="C279" s="21" t="str">
        <f ca="1">IF(Calc!$AW279="","",INDEX(Roster!$C$6:$C$505,Calc!$AW279)&amp;"")</f>
        <v/>
      </c>
      <c r="D279" s="19" t="str">
        <f ca="1">IF(Calc!$AW279="","",INDEX(Calc!$AP$6:$AP$505,Calc!$AW279))</f>
        <v/>
      </c>
      <c r="E279" s="21" t="str">
        <f ca="1">IF(Calc!$AW279="","",IF(INDEX(Calc!$AS$6:$AS$505,Calc!$AW279)="","Shout-out","Milestone"))</f>
        <v/>
      </c>
      <c r="F279" s="22" t="str">
        <f ca="1">IF(Calc!$AW279="","",IF($E279="Shout-out",SUBSTITUTE(SUBSTITUTE(SUBSTITUTE(SUBSTITUTE(Setup!$C$7&amp;"","{name}",IF($B279="","this employee",$B279)),"{years}",$D279),"{yearword}",IF($D279=1,"year","years")),"{company}",Setup!$C$4),IF(INDEX(Calc!$AT$6:$AT$505,Calc!$AW279),"Award ordered. Present it on the anniversary.","Order award by "&amp;TEXT(INDEX(Calc!$AU$6:$AU$505,Calc!$AW279),"mmm d, yyyy")&amp;IF(INDEX(Calc!$AU$6:$AU$505,Calc!$AW279)&lt;Setup!$C$5," (late, order today)",""))))</f>
        <v/>
      </c>
    </row>
    <row r="280" spans="1:6" x14ac:dyDescent="0.2">
      <c r="A280" s="20" t="str">
        <f ca="1">IF(Calc!$AW280="","",INT(Calc!$AV280))</f>
        <v/>
      </c>
      <c r="B280" s="21" t="str">
        <f ca="1">IF(Calc!$AW280="","",INDEX(Roster!$A$6:$A$505,Calc!$AW280)&amp;"")</f>
        <v/>
      </c>
      <c r="C280" s="21" t="str">
        <f ca="1">IF(Calc!$AW280="","",INDEX(Roster!$C$6:$C$505,Calc!$AW280)&amp;"")</f>
        <v/>
      </c>
      <c r="D280" s="19" t="str">
        <f ca="1">IF(Calc!$AW280="","",INDEX(Calc!$AP$6:$AP$505,Calc!$AW280))</f>
        <v/>
      </c>
      <c r="E280" s="21" t="str">
        <f ca="1">IF(Calc!$AW280="","",IF(INDEX(Calc!$AS$6:$AS$505,Calc!$AW280)="","Shout-out","Milestone"))</f>
        <v/>
      </c>
      <c r="F280" s="22" t="str">
        <f ca="1">IF(Calc!$AW280="","",IF($E280="Shout-out",SUBSTITUTE(SUBSTITUTE(SUBSTITUTE(SUBSTITUTE(Setup!$C$7&amp;"","{name}",IF($B280="","this employee",$B280)),"{years}",$D280),"{yearword}",IF($D280=1,"year","years")),"{company}",Setup!$C$4),IF(INDEX(Calc!$AT$6:$AT$505,Calc!$AW280),"Award ordered. Present it on the anniversary.","Order award by "&amp;TEXT(INDEX(Calc!$AU$6:$AU$505,Calc!$AW280),"mmm d, yyyy")&amp;IF(INDEX(Calc!$AU$6:$AU$505,Calc!$AW280)&lt;Setup!$C$5," (late, order today)",""))))</f>
        <v/>
      </c>
    </row>
    <row r="281" spans="1:6" x14ac:dyDescent="0.2">
      <c r="A281" s="20" t="str">
        <f ca="1">IF(Calc!$AW281="","",INT(Calc!$AV281))</f>
        <v/>
      </c>
      <c r="B281" s="21" t="str">
        <f ca="1">IF(Calc!$AW281="","",INDEX(Roster!$A$6:$A$505,Calc!$AW281)&amp;"")</f>
        <v/>
      </c>
      <c r="C281" s="21" t="str">
        <f ca="1">IF(Calc!$AW281="","",INDEX(Roster!$C$6:$C$505,Calc!$AW281)&amp;"")</f>
        <v/>
      </c>
      <c r="D281" s="19" t="str">
        <f ca="1">IF(Calc!$AW281="","",INDEX(Calc!$AP$6:$AP$505,Calc!$AW281))</f>
        <v/>
      </c>
      <c r="E281" s="21" t="str">
        <f ca="1">IF(Calc!$AW281="","",IF(INDEX(Calc!$AS$6:$AS$505,Calc!$AW281)="","Shout-out","Milestone"))</f>
        <v/>
      </c>
      <c r="F281" s="22" t="str">
        <f ca="1">IF(Calc!$AW281="","",IF($E281="Shout-out",SUBSTITUTE(SUBSTITUTE(SUBSTITUTE(SUBSTITUTE(Setup!$C$7&amp;"","{name}",IF($B281="","this employee",$B281)),"{years}",$D281),"{yearword}",IF($D281=1,"year","years")),"{company}",Setup!$C$4),IF(INDEX(Calc!$AT$6:$AT$505,Calc!$AW281),"Award ordered. Present it on the anniversary.","Order award by "&amp;TEXT(INDEX(Calc!$AU$6:$AU$505,Calc!$AW281),"mmm d, yyyy")&amp;IF(INDEX(Calc!$AU$6:$AU$505,Calc!$AW281)&lt;Setup!$C$5," (late, order today)",""))))</f>
        <v/>
      </c>
    </row>
    <row r="282" spans="1:6" x14ac:dyDescent="0.2">
      <c r="A282" s="20" t="str">
        <f ca="1">IF(Calc!$AW282="","",INT(Calc!$AV282))</f>
        <v/>
      </c>
      <c r="B282" s="21" t="str">
        <f ca="1">IF(Calc!$AW282="","",INDEX(Roster!$A$6:$A$505,Calc!$AW282)&amp;"")</f>
        <v/>
      </c>
      <c r="C282" s="21" t="str">
        <f ca="1">IF(Calc!$AW282="","",INDEX(Roster!$C$6:$C$505,Calc!$AW282)&amp;"")</f>
        <v/>
      </c>
      <c r="D282" s="19" t="str">
        <f ca="1">IF(Calc!$AW282="","",INDEX(Calc!$AP$6:$AP$505,Calc!$AW282))</f>
        <v/>
      </c>
      <c r="E282" s="21" t="str">
        <f ca="1">IF(Calc!$AW282="","",IF(INDEX(Calc!$AS$6:$AS$505,Calc!$AW282)="","Shout-out","Milestone"))</f>
        <v/>
      </c>
      <c r="F282" s="22" t="str">
        <f ca="1">IF(Calc!$AW282="","",IF($E282="Shout-out",SUBSTITUTE(SUBSTITUTE(SUBSTITUTE(SUBSTITUTE(Setup!$C$7&amp;"","{name}",IF($B282="","this employee",$B282)),"{years}",$D282),"{yearword}",IF($D282=1,"year","years")),"{company}",Setup!$C$4),IF(INDEX(Calc!$AT$6:$AT$505,Calc!$AW282),"Award ordered. Present it on the anniversary.","Order award by "&amp;TEXT(INDEX(Calc!$AU$6:$AU$505,Calc!$AW282),"mmm d, yyyy")&amp;IF(INDEX(Calc!$AU$6:$AU$505,Calc!$AW282)&lt;Setup!$C$5," (late, order today)",""))))</f>
        <v/>
      </c>
    </row>
    <row r="283" spans="1:6" x14ac:dyDescent="0.2">
      <c r="A283" s="20" t="str">
        <f ca="1">IF(Calc!$AW283="","",INT(Calc!$AV283))</f>
        <v/>
      </c>
      <c r="B283" s="21" t="str">
        <f ca="1">IF(Calc!$AW283="","",INDEX(Roster!$A$6:$A$505,Calc!$AW283)&amp;"")</f>
        <v/>
      </c>
      <c r="C283" s="21" t="str">
        <f ca="1">IF(Calc!$AW283="","",INDEX(Roster!$C$6:$C$505,Calc!$AW283)&amp;"")</f>
        <v/>
      </c>
      <c r="D283" s="19" t="str">
        <f ca="1">IF(Calc!$AW283="","",INDEX(Calc!$AP$6:$AP$505,Calc!$AW283))</f>
        <v/>
      </c>
      <c r="E283" s="21" t="str">
        <f ca="1">IF(Calc!$AW283="","",IF(INDEX(Calc!$AS$6:$AS$505,Calc!$AW283)="","Shout-out","Milestone"))</f>
        <v/>
      </c>
      <c r="F283" s="22" t="str">
        <f ca="1">IF(Calc!$AW283="","",IF($E283="Shout-out",SUBSTITUTE(SUBSTITUTE(SUBSTITUTE(SUBSTITUTE(Setup!$C$7&amp;"","{name}",IF($B283="","this employee",$B283)),"{years}",$D283),"{yearword}",IF($D283=1,"year","years")),"{company}",Setup!$C$4),IF(INDEX(Calc!$AT$6:$AT$505,Calc!$AW283),"Award ordered. Present it on the anniversary.","Order award by "&amp;TEXT(INDEX(Calc!$AU$6:$AU$505,Calc!$AW283),"mmm d, yyyy")&amp;IF(INDEX(Calc!$AU$6:$AU$505,Calc!$AW283)&lt;Setup!$C$5," (late, order today)",""))))</f>
        <v/>
      </c>
    </row>
    <row r="284" spans="1:6" x14ac:dyDescent="0.2">
      <c r="A284" s="20" t="str">
        <f ca="1">IF(Calc!$AW284="","",INT(Calc!$AV284))</f>
        <v/>
      </c>
      <c r="B284" s="21" t="str">
        <f ca="1">IF(Calc!$AW284="","",INDEX(Roster!$A$6:$A$505,Calc!$AW284)&amp;"")</f>
        <v/>
      </c>
      <c r="C284" s="21" t="str">
        <f ca="1">IF(Calc!$AW284="","",INDEX(Roster!$C$6:$C$505,Calc!$AW284)&amp;"")</f>
        <v/>
      </c>
      <c r="D284" s="19" t="str">
        <f ca="1">IF(Calc!$AW284="","",INDEX(Calc!$AP$6:$AP$505,Calc!$AW284))</f>
        <v/>
      </c>
      <c r="E284" s="21" t="str">
        <f ca="1">IF(Calc!$AW284="","",IF(INDEX(Calc!$AS$6:$AS$505,Calc!$AW284)="","Shout-out","Milestone"))</f>
        <v/>
      </c>
      <c r="F284" s="22" t="str">
        <f ca="1">IF(Calc!$AW284="","",IF($E284="Shout-out",SUBSTITUTE(SUBSTITUTE(SUBSTITUTE(SUBSTITUTE(Setup!$C$7&amp;"","{name}",IF($B284="","this employee",$B284)),"{years}",$D284),"{yearword}",IF($D284=1,"year","years")),"{company}",Setup!$C$4),IF(INDEX(Calc!$AT$6:$AT$505,Calc!$AW284),"Award ordered. Present it on the anniversary.","Order award by "&amp;TEXT(INDEX(Calc!$AU$6:$AU$505,Calc!$AW284),"mmm d, yyyy")&amp;IF(INDEX(Calc!$AU$6:$AU$505,Calc!$AW284)&lt;Setup!$C$5," (late, order today)",""))))</f>
        <v/>
      </c>
    </row>
    <row r="285" spans="1:6" x14ac:dyDescent="0.2">
      <c r="A285" s="20" t="str">
        <f ca="1">IF(Calc!$AW285="","",INT(Calc!$AV285))</f>
        <v/>
      </c>
      <c r="B285" s="21" t="str">
        <f ca="1">IF(Calc!$AW285="","",INDEX(Roster!$A$6:$A$505,Calc!$AW285)&amp;"")</f>
        <v/>
      </c>
      <c r="C285" s="21" t="str">
        <f ca="1">IF(Calc!$AW285="","",INDEX(Roster!$C$6:$C$505,Calc!$AW285)&amp;"")</f>
        <v/>
      </c>
      <c r="D285" s="19" t="str">
        <f ca="1">IF(Calc!$AW285="","",INDEX(Calc!$AP$6:$AP$505,Calc!$AW285))</f>
        <v/>
      </c>
      <c r="E285" s="21" t="str">
        <f ca="1">IF(Calc!$AW285="","",IF(INDEX(Calc!$AS$6:$AS$505,Calc!$AW285)="","Shout-out","Milestone"))</f>
        <v/>
      </c>
      <c r="F285" s="22" t="str">
        <f ca="1">IF(Calc!$AW285="","",IF($E285="Shout-out",SUBSTITUTE(SUBSTITUTE(SUBSTITUTE(SUBSTITUTE(Setup!$C$7&amp;"","{name}",IF($B285="","this employee",$B285)),"{years}",$D285),"{yearword}",IF($D285=1,"year","years")),"{company}",Setup!$C$4),IF(INDEX(Calc!$AT$6:$AT$505,Calc!$AW285),"Award ordered. Present it on the anniversary.","Order award by "&amp;TEXT(INDEX(Calc!$AU$6:$AU$505,Calc!$AW285),"mmm d, yyyy")&amp;IF(INDEX(Calc!$AU$6:$AU$505,Calc!$AW285)&lt;Setup!$C$5," (late, order today)",""))))</f>
        <v/>
      </c>
    </row>
    <row r="286" spans="1:6" x14ac:dyDescent="0.2">
      <c r="A286" s="20" t="str">
        <f ca="1">IF(Calc!$AW286="","",INT(Calc!$AV286))</f>
        <v/>
      </c>
      <c r="B286" s="21" t="str">
        <f ca="1">IF(Calc!$AW286="","",INDEX(Roster!$A$6:$A$505,Calc!$AW286)&amp;"")</f>
        <v/>
      </c>
      <c r="C286" s="21" t="str">
        <f ca="1">IF(Calc!$AW286="","",INDEX(Roster!$C$6:$C$505,Calc!$AW286)&amp;"")</f>
        <v/>
      </c>
      <c r="D286" s="19" t="str">
        <f ca="1">IF(Calc!$AW286="","",INDEX(Calc!$AP$6:$AP$505,Calc!$AW286))</f>
        <v/>
      </c>
      <c r="E286" s="21" t="str">
        <f ca="1">IF(Calc!$AW286="","",IF(INDEX(Calc!$AS$6:$AS$505,Calc!$AW286)="","Shout-out","Milestone"))</f>
        <v/>
      </c>
      <c r="F286" s="22" t="str">
        <f ca="1">IF(Calc!$AW286="","",IF($E286="Shout-out",SUBSTITUTE(SUBSTITUTE(SUBSTITUTE(SUBSTITUTE(Setup!$C$7&amp;"","{name}",IF($B286="","this employee",$B286)),"{years}",$D286),"{yearword}",IF($D286=1,"year","years")),"{company}",Setup!$C$4),IF(INDEX(Calc!$AT$6:$AT$505,Calc!$AW286),"Award ordered. Present it on the anniversary.","Order award by "&amp;TEXT(INDEX(Calc!$AU$6:$AU$505,Calc!$AW286),"mmm d, yyyy")&amp;IF(INDEX(Calc!$AU$6:$AU$505,Calc!$AW286)&lt;Setup!$C$5," (late, order today)",""))))</f>
        <v/>
      </c>
    </row>
    <row r="287" spans="1:6" x14ac:dyDescent="0.2">
      <c r="A287" s="20" t="str">
        <f ca="1">IF(Calc!$AW287="","",INT(Calc!$AV287))</f>
        <v/>
      </c>
      <c r="B287" s="21" t="str">
        <f ca="1">IF(Calc!$AW287="","",INDEX(Roster!$A$6:$A$505,Calc!$AW287)&amp;"")</f>
        <v/>
      </c>
      <c r="C287" s="21" t="str">
        <f ca="1">IF(Calc!$AW287="","",INDEX(Roster!$C$6:$C$505,Calc!$AW287)&amp;"")</f>
        <v/>
      </c>
      <c r="D287" s="19" t="str">
        <f ca="1">IF(Calc!$AW287="","",INDEX(Calc!$AP$6:$AP$505,Calc!$AW287))</f>
        <v/>
      </c>
      <c r="E287" s="21" t="str">
        <f ca="1">IF(Calc!$AW287="","",IF(INDEX(Calc!$AS$6:$AS$505,Calc!$AW287)="","Shout-out","Milestone"))</f>
        <v/>
      </c>
      <c r="F287" s="22" t="str">
        <f ca="1">IF(Calc!$AW287="","",IF($E287="Shout-out",SUBSTITUTE(SUBSTITUTE(SUBSTITUTE(SUBSTITUTE(Setup!$C$7&amp;"","{name}",IF($B287="","this employee",$B287)),"{years}",$D287),"{yearword}",IF($D287=1,"year","years")),"{company}",Setup!$C$4),IF(INDEX(Calc!$AT$6:$AT$505,Calc!$AW287),"Award ordered. Present it on the anniversary.","Order award by "&amp;TEXT(INDEX(Calc!$AU$6:$AU$505,Calc!$AW287),"mmm d, yyyy")&amp;IF(INDEX(Calc!$AU$6:$AU$505,Calc!$AW287)&lt;Setup!$C$5," (late, order today)",""))))</f>
        <v/>
      </c>
    </row>
    <row r="288" spans="1:6" x14ac:dyDescent="0.2">
      <c r="A288" s="20" t="str">
        <f ca="1">IF(Calc!$AW288="","",INT(Calc!$AV288))</f>
        <v/>
      </c>
      <c r="B288" s="21" t="str">
        <f ca="1">IF(Calc!$AW288="","",INDEX(Roster!$A$6:$A$505,Calc!$AW288)&amp;"")</f>
        <v/>
      </c>
      <c r="C288" s="21" t="str">
        <f ca="1">IF(Calc!$AW288="","",INDEX(Roster!$C$6:$C$505,Calc!$AW288)&amp;"")</f>
        <v/>
      </c>
      <c r="D288" s="19" t="str">
        <f ca="1">IF(Calc!$AW288="","",INDEX(Calc!$AP$6:$AP$505,Calc!$AW288))</f>
        <v/>
      </c>
      <c r="E288" s="21" t="str">
        <f ca="1">IF(Calc!$AW288="","",IF(INDEX(Calc!$AS$6:$AS$505,Calc!$AW288)="","Shout-out","Milestone"))</f>
        <v/>
      </c>
      <c r="F288" s="22" t="str">
        <f ca="1">IF(Calc!$AW288="","",IF($E288="Shout-out",SUBSTITUTE(SUBSTITUTE(SUBSTITUTE(SUBSTITUTE(Setup!$C$7&amp;"","{name}",IF($B288="","this employee",$B288)),"{years}",$D288),"{yearword}",IF($D288=1,"year","years")),"{company}",Setup!$C$4),IF(INDEX(Calc!$AT$6:$AT$505,Calc!$AW288),"Award ordered. Present it on the anniversary.","Order award by "&amp;TEXT(INDEX(Calc!$AU$6:$AU$505,Calc!$AW288),"mmm d, yyyy")&amp;IF(INDEX(Calc!$AU$6:$AU$505,Calc!$AW288)&lt;Setup!$C$5," (late, order today)",""))))</f>
        <v/>
      </c>
    </row>
    <row r="289" spans="1:6" x14ac:dyDescent="0.2">
      <c r="A289" s="20" t="str">
        <f ca="1">IF(Calc!$AW289="","",INT(Calc!$AV289))</f>
        <v/>
      </c>
      <c r="B289" s="21" t="str">
        <f ca="1">IF(Calc!$AW289="","",INDEX(Roster!$A$6:$A$505,Calc!$AW289)&amp;"")</f>
        <v/>
      </c>
      <c r="C289" s="21" t="str">
        <f ca="1">IF(Calc!$AW289="","",INDEX(Roster!$C$6:$C$505,Calc!$AW289)&amp;"")</f>
        <v/>
      </c>
      <c r="D289" s="19" t="str">
        <f ca="1">IF(Calc!$AW289="","",INDEX(Calc!$AP$6:$AP$505,Calc!$AW289))</f>
        <v/>
      </c>
      <c r="E289" s="21" t="str">
        <f ca="1">IF(Calc!$AW289="","",IF(INDEX(Calc!$AS$6:$AS$505,Calc!$AW289)="","Shout-out","Milestone"))</f>
        <v/>
      </c>
      <c r="F289" s="22" t="str">
        <f ca="1">IF(Calc!$AW289="","",IF($E289="Shout-out",SUBSTITUTE(SUBSTITUTE(SUBSTITUTE(SUBSTITUTE(Setup!$C$7&amp;"","{name}",IF($B289="","this employee",$B289)),"{years}",$D289),"{yearword}",IF($D289=1,"year","years")),"{company}",Setup!$C$4),IF(INDEX(Calc!$AT$6:$AT$505,Calc!$AW289),"Award ordered. Present it on the anniversary.","Order award by "&amp;TEXT(INDEX(Calc!$AU$6:$AU$505,Calc!$AW289),"mmm d, yyyy")&amp;IF(INDEX(Calc!$AU$6:$AU$505,Calc!$AW289)&lt;Setup!$C$5," (late, order today)",""))))</f>
        <v/>
      </c>
    </row>
    <row r="290" spans="1:6" x14ac:dyDescent="0.2">
      <c r="A290" s="20" t="str">
        <f ca="1">IF(Calc!$AW290="","",INT(Calc!$AV290))</f>
        <v/>
      </c>
      <c r="B290" s="21" t="str">
        <f ca="1">IF(Calc!$AW290="","",INDEX(Roster!$A$6:$A$505,Calc!$AW290)&amp;"")</f>
        <v/>
      </c>
      <c r="C290" s="21" t="str">
        <f ca="1">IF(Calc!$AW290="","",INDEX(Roster!$C$6:$C$505,Calc!$AW290)&amp;"")</f>
        <v/>
      </c>
      <c r="D290" s="19" t="str">
        <f ca="1">IF(Calc!$AW290="","",INDEX(Calc!$AP$6:$AP$505,Calc!$AW290))</f>
        <v/>
      </c>
      <c r="E290" s="21" t="str">
        <f ca="1">IF(Calc!$AW290="","",IF(INDEX(Calc!$AS$6:$AS$505,Calc!$AW290)="","Shout-out","Milestone"))</f>
        <v/>
      </c>
      <c r="F290" s="22" t="str">
        <f ca="1">IF(Calc!$AW290="","",IF($E290="Shout-out",SUBSTITUTE(SUBSTITUTE(SUBSTITUTE(SUBSTITUTE(Setup!$C$7&amp;"","{name}",IF($B290="","this employee",$B290)),"{years}",$D290),"{yearword}",IF($D290=1,"year","years")),"{company}",Setup!$C$4),IF(INDEX(Calc!$AT$6:$AT$505,Calc!$AW290),"Award ordered. Present it on the anniversary.","Order award by "&amp;TEXT(INDEX(Calc!$AU$6:$AU$505,Calc!$AW290),"mmm d, yyyy")&amp;IF(INDEX(Calc!$AU$6:$AU$505,Calc!$AW290)&lt;Setup!$C$5," (late, order today)",""))))</f>
        <v/>
      </c>
    </row>
    <row r="291" spans="1:6" x14ac:dyDescent="0.2">
      <c r="A291" s="20" t="str">
        <f ca="1">IF(Calc!$AW291="","",INT(Calc!$AV291))</f>
        <v/>
      </c>
      <c r="B291" s="21" t="str">
        <f ca="1">IF(Calc!$AW291="","",INDEX(Roster!$A$6:$A$505,Calc!$AW291)&amp;"")</f>
        <v/>
      </c>
      <c r="C291" s="21" t="str">
        <f ca="1">IF(Calc!$AW291="","",INDEX(Roster!$C$6:$C$505,Calc!$AW291)&amp;"")</f>
        <v/>
      </c>
      <c r="D291" s="19" t="str">
        <f ca="1">IF(Calc!$AW291="","",INDEX(Calc!$AP$6:$AP$505,Calc!$AW291))</f>
        <v/>
      </c>
      <c r="E291" s="21" t="str">
        <f ca="1">IF(Calc!$AW291="","",IF(INDEX(Calc!$AS$6:$AS$505,Calc!$AW291)="","Shout-out","Milestone"))</f>
        <v/>
      </c>
      <c r="F291" s="22" t="str">
        <f ca="1">IF(Calc!$AW291="","",IF($E291="Shout-out",SUBSTITUTE(SUBSTITUTE(SUBSTITUTE(SUBSTITUTE(Setup!$C$7&amp;"","{name}",IF($B291="","this employee",$B291)),"{years}",$D291),"{yearword}",IF($D291=1,"year","years")),"{company}",Setup!$C$4),IF(INDEX(Calc!$AT$6:$AT$505,Calc!$AW291),"Award ordered. Present it on the anniversary.","Order award by "&amp;TEXT(INDEX(Calc!$AU$6:$AU$505,Calc!$AW291),"mmm d, yyyy")&amp;IF(INDEX(Calc!$AU$6:$AU$505,Calc!$AW291)&lt;Setup!$C$5," (late, order today)",""))))</f>
        <v/>
      </c>
    </row>
    <row r="292" spans="1:6" x14ac:dyDescent="0.2">
      <c r="A292" s="20" t="str">
        <f ca="1">IF(Calc!$AW292="","",INT(Calc!$AV292))</f>
        <v/>
      </c>
      <c r="B292" s="21" t="str">
        <f ca="1">IF(Calc!$AW292="","",INDEX(Roster!$A$6:$A$505,Calc!$AW292)&amp;"")</f>
        <v/>
      </c>
      <c r="C292" s="21" t="str">
        <f ca="1">IF(Calc!$AW292="","",INDEX(Roster!$C$6:$C$505,Calc!$AW292)&amp;"")</f>
        <v/>
      </c>
      <c r="D292" s="19" t="str">
        <f ca="1">IF(Calc!$AW292="","",INDEX(Calc!$AP$6:$AP$505,Calc!$AW292))</f>
        <v/>
      </c>
      <c r="E292" s="21" t="str">
        <f ca="1">IF(Calc!$AW292="","",IF(INDEX(Calc!$AS$6:$AS$505,Calc!$AW292)="","Shout-out","Milestone"))</f>
        <v/>
      </c>
      <c r="F292" s="22" t="str">
        <f ca="1">IF(Calc!$AW292="","",IF($E292="Shout-out",SUBSTITUTE(SUBSTITUTE(SUBSTITUTE(SUBSTITUTE(Setup!$C$7&amp;"","{name}",IF($B292="","this employee",$B292)),"{years}",$D292),"{yearword}",IF($D292=1,"year","years")),"{company}",Setup!$C$4),IF(INDEX(Calc!$AT$6:$AT$505,Calc!$AW292),"Award ordered. Present it on the anniversary.","Order award by "&amp;TEXT(INDEX(Calc!$AU$6:$AU$505,Calc!$AW292),"mmm d, yyyy")&amp;IF(INDEX(Calc!$AU$6:$AU$505,Calc!$AW292)&lt;Setup!$C$5," (late, order today)",""))))</f>
        <v/>
      </c>
    </row>
    <row r="293" spans="1:6" x14ac:dyDescent="0.2">
      <c r="A293" s="20" t="str">
        <f ca="1">IF(Calc!$AW293="","",INT(Calc!$AV293))</f>
        <v/>
      </c>
      <c r="B293" s="21" t="str">
        <f ca="1">IF(Calc!$AW293="","",INDEX(Roster!$A$6:$A$505,Calc!$AW293)&amp;"")</f>
        <v/>
      </c>
      <c r="C293" s="21" t="str">
        <f ca="1">IF(Calc!$AW293="","",INDEX(Roster!$C$6:$C$505,Calc!$AW293)&amp;"")</f>
        <v/>
      </c>
      <c r="D293" s="19" t="str">
        <f ca="1">IF(Calc!$AW293="","",INDEX(Calc!$AP$6:$AP$505,Calc!$AW293))</f>
        <v/>
      </c>
      <c r="E293" s="21" t="str">
        <f ca="1">IF(Calc!$AW293="","",IF(INDEX(Calc!$AS$6:$AS$505,Calc!$AW293)="","Shout-out","Milestone"))</f>
        <v/>
      </c>
      <c r="F293" s="22" t="str">
        <f ca="1">IF(Calc!$AW293="","",IF($E293="Shout-out",SUBSTITUTE(SUBSTITUTE(SUBSTITUTE(SUBSTITUTE(Setup!$C$7&amp;"","{name}",IF($B293="","this employee",$B293)),"{years}",$D293),"{yearword}",IF($D293=1,"year","years")),"{company}",Setup!$C$4),IF(INDEX(Calc!$AT$6:$AT$505,Calc!$AW293),"Award ordered. Present it on the anniversary.","Order award by "&amp;TEXT(INDEX(Calc!$AU$6:$AU$505,Calc!$AW293),"mmm d, yyyy")&amp;IF(INDEX(Calc!$AU$6:$AU$505,Calc!$AW293)&lt;Setup!$C$5," (late, order today)",""))))</f>
        <v/>
      </c>
    </row>
    <row r="294" spans="1:6" x14ac:dyDescent="0.2">
      <c r="A294" s="20" t="str">
        <f ca="1">IF(Calc!$AW294="","",INT(Calc!$AV294))</f>
        <v/>
      </c>
      <c r="B294" s="21" t="str">
        <f ca="1">IF(Calc!$AW294="","",INDEX(Roster!$A$6:$A$505,Calc!$AW294)&amp;"")</f>
        <v/>
      </c>
      <c r="C294" s="21" t="str">
        <f ca="1">IF(Calc!$AW294="","",INDEX(Roster!$C$6:$C$505,Calc!$AW294)&amp;"")</f>
        <v/>
      </c>
      <c r="D294" s="19" t="str">
        <f ca="1">IF(Calc!$AW294="","",INDEX(Calc!$AP$6:$AP$505,Calc!$AW294))</f>
        <v/>
      </c>
      <c r="E294" s="21" t="str">
        <f ca="1">IF(Calc!$AW294="","",IF(INDEX(Calc!$AS$6:$AS$505,Calc!$AW294)="","Shout-out","Milestone"))</f>
        <v/>
      </c>
      <c r="F294" s="22" t="str">
        <f ca="1">IF(Calc!$AW294="","",IF($E294="Shout-out",SUBSTITUTE(SUBSTITUTE(SUBSTITUTE(SUBSTITUTE(Setup!$C$7&amp;"","{name}",IF($B294="","this employee",$B294)),"{years}",$D294),"{yearword}",IF($D294=1,"year","years")),"{company}",Setup!$C$4),IF(INDEX(Calc!$AT$6:$AT$505,Calc!$AW294),"Award ordered. Present it on the anniversary.","Order award by "&amp;TEXT(INDEX(Calc!$AU$6:$AU$505,Calc!$AW294),"mmm d, yyyy")&amp;IF(INDEX(Calc!$AU$6:$AU$505,Calc!$AW294)&lt;Setup!$C$5," (late, order today)",""))))</f>
        <v/>
      </c>
    </row>
    <row r="295" spans="1:6" x14ac:dyDescent="0.2">
      <c r="A295" s="20" t="str">
        <f ca="1">IF(Calc!$AW295="","",INT(Calc!$AV295))</f>
        <v/>
      </c>
      <c r="B295" s="21" t="str">
        <f ca="1">IF(Calc!$AW295="","",INDEX(Roster!$A$6:$A$505,Calc!$AW295)&amp;"")</f>
        <v/>
      </c>
      <c r="C295" s="21" t="str">
        <f ca="1">IF(Calc!$AW295="","",INDEX(Roster!$C$6:$C$505,Calc!$AW295)&amp;"")</f>
        <v/>
      </c>
      <c r="D295" s="19" t="str">
        <f ca="1">IF(Calc!$AW295="","",INDEX(Calc!$AP$6:$AP$505,Calc!$AW295))</f>
        <v/>
      </c>
      <c r="E295" s="21" t="str">
        <f ca="1">IF(Calc!$AW295="","",IF(INDEX(Calc!$AS$6:$AS$505,Calc!$AW295)="","Shout-out","Milestone"))</f>
        <v/>
      </c>
      <c r="F295" s="22" t="str">
        <f ca="1">IF(Calc!$AW295="","",IF($E295="Shout-out",SUBSTITUTE(SUBSTITUTE(SUBSTITUTE(SUBSTITUTE(Setup!$C$7&amp;"","{name}",IF($B295="","this employee",$B295)),"{years}",$D295),"{yearword}",IF($D295=1,"year","years")),"{company}",Setup!$C$4),IF(INDEX(Calc!$AT$6:$AT$505,Calc!$AW295),"Award ordered. Present it on the anniversary.","Order award by "&amp;TEXT(INDEX(Calc!$AU$6:$AU$505,Calc!$AW295),"mmm d, yyyy")&amp;IF(INDEX(Calc!$AU$6:$AU$505,Calc!$AW295)&lt;Setup!$C$5," (late, order today)",""))))</f>
        <v/>
      </c>
    </row>
    <row r="296" spans="1:6" x14ac:dyDescent="0.2">
      <c r="A296" s="20" t="str">
        <f ca="1">IF(Calc!$AW296="","",INT(Calc!$AV296))</f>
        <v/>
      </c>
      <c r="B296" s="21" t="str">
        <f ca="1">IF(Calc!$AW296="","",INDEX(Roster!$A$6:$A$505,Calc!$AW296)&amp;"")</f>
        <v/>
      </c>
      <c r="C296" s="21" t="str">
        <f ca="1">IF(Calc!$AW296="","",INDEX(Roster!$C$6:$C$505,Calc!$AW296)&amp;"")</f>
        <v/>
      </c>
      <c r="D296" s="19" t="str">
        <f ca="1">IF(Calc!$AW296="","",INDEX(Calc!$AP$6:$AP$505,Calc!$AW296))</f>
        <v/>
      </c>
      <c r="E296" s="21" t="str">
        <f ca="1">IF(Calc!$AW296="","",IF(INDEX(Calc!$AS$6:$AS$505,Calc!$AW296)="","Shout-out","Milestone"))</f>
        <v/>
      </c>
      <c r="F296" s="22" t="str">
        <f ca="1">IF(Calc!$AW296="","",IF($E296="Shout-out",SUBSTITUTE(SUBSTITUTE(SUBSTITUTE(SUBSTITUTE(Setup!$C$7&amp;"","{name}",IF($B296="","this employee",$B296)),"{years}",$D296),"{yearword}",IF($D296=1,"year","years")),"{company}",Setup!$C$4),IF(INDEX(Calc!$AT$6:$AT$505,Calc!$AW296),"Award ordered. Present it on the anniversary.","Order award by "&amp;TEXT(INDEX(Calc!$AU$6:$AU$505,Calc!$AW296),"mmm d, yyyy")&amp;IF(INDEX(Calc!$AU$6:$AU$505,Calc!$AW296)&lt;Setup!$C$5," (late, order today)",""))))</f>
        <v/>
      </c>
    </row>
    <row r="297" spans="1:6" x14ac:dyDescent="0.2">
      <c r="A297" s="20" t="str">
        <f ca="1">IF(Calc!$AW297="","",INT(Calc!$AV297))</f>
        <v/>
      </c>
      <c r="B297" s="21" t="str">
        <f ca="1">IF(Calc!$AW297="","",INDEX(Roster!$A$6:$A$505,Calc!$AW297)&amp;"")</f>
        <v/>
      </c>
      <c r="C297" s="21" t="str">
        <f ca="1">IF(Calc!$AW297="","",INDEX(Roster!$C$6:$C$505,Calc!$AW297)&amp;"")</f>
        <v/>
      </c>
      <c r="D297" s="19" t="str">
        <f ca="1">IF(Calc!$AW297="","",INDEX(Calc!$AP$6:$AP$505,Calc!$AW297))</f>
        <v/>
      </c>
      <c r="E297" s="21" t="str">
        <f ca="1">IF(Calc!$AW297="","",IF(INDEX(Calc!$AS$6:$AS$505,Calc!$AW297)="","Shout-out","Milestone"))</f>
        <v/>
      </c>
      <c r="F297" s="22" t="str">
        <f ca="1">IF(Calc!$AW297="","",IF($E297="Shout-out",SUBSTITUTE(SUBSTITUTE(SUBSTITUTE(SUBSTITUTE(Setup!$C$7&amp;"","{name}",IF($B297="","this employee",$B297)),"{years}",$D297),"{yearword}",IF($D297=1,"year","years")),"{company}",Setup!$C$4),IF(INDEX(Calc!$AT$6:$AT$505,Calc!$AW297),"Award ordered. Present it on the anniversary.","Order award by "&amp;TEXT(INDEX(Calc!$AU$6:$AU$505,Calc!$AW297),"mmm d, yyyy")&amp;IF(INDEX(Calc!$AU$6:$AU$505,Calc!$AW297)&lt;Setup!$C$5," (late, order today)",""))))</f>
        <v/>
      </c>
    </row>
    <row r="298" spans="1:6" x14ac:dyDescent="0.2">
      <c r="A298" s="20" t="str">
        <f ca="1">IF(Calc!$AW298="","",INT(Calc!$AV298))</f>
        <v/>
      </c>
      <c r="B298" s="21" t="str">
        <f ca="1">IF(Calc!$AW298="","",INDEX(Roster!$A$6:$A$505,Calc!$AW298)&amp;"")</f>
        <v/>
      </c>
      <c r="C298" s="21" t="str">
        <f ca="1">IF(Calc!$AW298="","",INDEX(Roster!$C$6:$C$505,Calc!$AW298)&amp;"")</f>
        <v/>
      </c>
      <c r="D298" s="19" t="str">
        <f ca="1">IF(Calc!$AW298="","",INDEX(Calc!$AP$6:$AP$505,Calc!$AW298))</f>
        <v/>
      </c>
      <c r="E298" s="21" t="str">
        <f ca="1">IF(Calc!$AW298="","",IF(INDEX(Calc!$AS$6:$AS$505,Calc!$AW298)="","Shout-out","Milestone"))</f>
        <v/>
      </c>
      <c r="F298" s="22" t="str">
        <f ca="1">IF(Calc!$AW298="","",IF($E298="Shout-out",SUBSTITUTE(SUBSTITUTE(SUBSTITUTE(SUBSTITUTE(Setup!$C$7&amp;"","{name}",IF($B298="","this employee",$B298)),"{years}",$D298),"{yearword}",IF($D298=1,"year","years")),"{company}",Setup!$C$4),IF(INDEX(Calc!$AT$6:$AT$505,Calc!$AW298),"Award ordered. Present it on the anniversary.","Order award by "&amp;TEXT(INDEX(Calc!$AU$6:$AU$505,Calc!$AW298),"mmm d, yyyy")&amp;IF(INDEX(Calc!$AU$6:$AU$505,Calc!$AW298)&lt;Setup!$C$5," (late, order today)",""))))</f>
        <v/>
      </c>
    </row>
    <row r="299" spans="1:6" x14ac:dyDescent="0.2">
      <c r="A299" s="20" t="str">
        <f ca="1">IF(Calc!$AW299="","",INT(Calc!$AV299))</f>
        <v/>
      </c>
      <c r="B299" s="21" t="str">
        <f ca="1">IF(Calc!$AW299="","",INDEX(Roster!$A$6:$A$505,Calc!$AW299)&amp;"")</f>
        <v/>
      </c>
      <c r="C299" s="21" t="str">
        <f ca="1">IF(Calc!$AW299="","",INDEX(Roster!$C$6:$C$505,Calc!$AW299)&amp;"")</f>
        <v/>
      </c>
      <c r="D299" s="19" t="str">
        <f ca="1">IF(Calc!$AW299="","",INDEX(Calc!$AP$6:$AP$505,Calc!$AW299))</f>
        <v/>
      </c>
      <c r="E299" s="21" t="str">
        <f ca="1">IF(Calc!$AW299="","",IF(INDEX(Calc!$AS$6:$AS$505,Calc!$AW299)="","Shout-out","Milestone"))</f>
        <v/>
      </c>
      <c r="F299" s="22" t="str">
        <f ca="1">IF(Calc!$AW299="","",IF($E299="Shout-out",SUBSTITUTE(SUBSTITUTE(SUBSTITUTE(SUBSTITUTE(Setup!$C$7&amp;"","{name}",IF($B299="","this employee",$B299)),"{years}",$D299),"{yearword}",IF($D299=1,"year","years")),"{company}",Setup!$C$4),IF(INDEX(Calc!$AT$6:$AT$505,Calc!$AW299),"Award ordered. Present it on the anniversary.","Order award by "&amp;TEXT(INDEX(Calc!$AU$6:$AU$505,Calc!$AW299),"mmm d, yyyy")&amp;IF(INDEX(Calc!$AU$6:$AU$505,Calc!$AW299)&lt;Setup!$C$5," (late, order today)",""))))</f>
        <v/>
      </c>
    </row>
    <row r="300" spans="1:6" x14ac:dyDescent="0.2">
      <c r="A300" s="20" t="str">
        <f ca="1">IF(Calc!$AW300="","",INT(Calc!$AV300))</f>
        <v/>
      </c>
      <c r="B300" s="21" t="str">
        <f ca="1">IF(Calc!$AW300="","",INDEX(Roster!$A$6:$A$505,Calc!$AW300)&amp;"")</f>
        <v/>
      </c>
      <c r="C300" s="21" t="str">
        <f ca="1">IF(Calc!$AW300="","",INDEX(Roster!$C$6:$C$505,Calc!$AW300)&amp;"")</f>
        <v/>
      </c>
      <c r="D300" s="19" t="str">
        <f ca="1">IF(Calc!$AW300="","",INDEX(Calc!$AP$6:$AP$505,Calc!$AW300))</f>
        <v/>
      </c>
      <c r="E300" s="21" t="str">
        <f ca="1">IF(Calc!$AW300="","",IF(INDEX(Calc!$AS$6:$AS$505,Calc!$AW300)="","Shout-out","Milestone"))</f>
        <v/>
      </c>
      <c r="F300" s="22" t="str">
        <f ca="1">IF(Calc!$AW300="","",IF($E300="Shout-out",SUBSTITUTE(SUBSTITUTE(SUBSTITUTE(SUBSTITUTE(Setup!$C$7&amp;"","{name}",IF($B300="","this employee",$B300)),"{years}",$D300),"{yearword}",IF($D300=1,"year","years")),"{company}",Setup!$C$4),IF(INDEX(Calc!$AT$6:$AT$505,Calc!$AW300),"Award ordered. Present it on the anniversary.","Order award by "&amp;TEXT(INDEX(Calc!$AU$6:$AU$505,Calc!$AW300),"mmm d, yyyy")&amp;IF(INDEX(Calc!$AU$6:$AU$505,Calc!$AW300)&lt;Setup!$C$5," (late, order today)",""))))</f>
        <v/>
      </c>
    </row>
    <row r="301" spans="1:6" x14ac:dyDescent="0.2">
      <c r="A301" s="20" t="str">
        <f ca="1">IF(Calc!$AW301="","",INT(Calc!$AV301))</f>
        <v/>
      </c>
      <c r="B301" s="21" t="str">
        <f ca="1">IF(Calc!$AW301="","",INDEX(Roster!$A$6:$A$505,Calc!$AW301)&amp;"")</f>
        <v/>
      </c>
      <c r="C301" s="21" t="str">
        <f ca="1">IF(Calc!$AW301="","",INDEX(Roster!$C$6:$C$505,Calc!$AW301)&amp;"")</f>
        <v/>
      </c>
      <c r="D301" s="19" t="str">
        <f ca="1">IF(Calc!$AW301="","",INDEX(Calc!$AP$6:$AP$505,Calc!$AW301))</f>
        <v/>
      </c>
      <c r="E301" s="21" t="str">
        <f ca="1">IF(Calc!$AW301="","",IF(INDEX(Calc!$AS$6:$AS$505,Calc!$AW301)="","Shout-out","Milestone"))</f>
        <v/>
      </c>
      <c r="F301" s="22" t="str">
        <f ca="1">IF(Calc!$AW301="","",IF($E301="Shout-out",SUBSTITUTE(SUBSTITUTE(SUBSTITUTE(SUBSTITUTE(Setup!$C$7&amp;"","{name}",IF($B301="","this employee",$B301)),"{years}",$D301),"{yearword}",IF($D301=1,"year","years")),"{company}",Setup!$C$4),IF(INDEX(Calc!$AT$6:$AT$505,Calc!$AW301),"Award ordered. Present it on the anniversary.","Order award by "&amp;TEXT(INDEX(Calc!$AU$6:$AU$505,Calc!$AW301),"mmm d, yyyy")&amp;IF(INDEX(Calc!$AU$6:$AU$505,Calc!$AW301)&lt;Setup!$C$5," (late, order today)",""))))</f>
        <v/>
      </c>
    </row>
    <row r="302" spans="1:6" x14ac:dyDescent="0.2">
      <c r="A302" s="20" t="str">
        <f ca="1">IF(Calc!$AW302="","",INT(Calc!$AV302))</f>
        <v/>
      </c>
      <c r="B302" s="21" t="str">
        <f ca="1">IF(Calc!$AW302="","",INDEX(Roster!$A$6:$A$505,Calc!$AW302)&amp;"")</f>
        <v/>
      </c>
      <c r="C302" s="21" t="str">
        <f ca="1">IF(Calc!$AW302="","",INDEX(Roster!$C$6:$C$505,Calc!$AW302)&amp;"")</f>
        <v/>
      </c>
      <c r="D302" s="19" t="str">
        <f ca="1">IF(Calc!$AW302="","",INDEX(Calc!$AP$6:$AP$505,Calc!$AW302))</f>
        <v/>
      </c>
      <c r="E302" s="21" t="str">
        <f ca="1">IF(Calc!$AW302="","",IF(INDEX(Calc!$AS$6:$AS$505,Calc!$AW302)="","Shout-out","Milestone"))</f>
        <v/>
      </c>
      <c r="F302" s="22" t="str">
        <f ca="1">IF(Calc!$AW302="","",IF($E302="Shout-out",SUBSTITUTE(SUBSTITUTE(SUBSTITUTE(SUBSTITUTE(Setup!$C$7&amp;"","{name}",IF($B302="","this employee",$B302)),"{years}",$D302),"{yearword}",IF($D302=1,"year","years")),"{company}",Setup!$C$4),IF(INDEX(Calc!$AT$6:$AT$505,Calc!$AW302),"Award ordered. Present it on the anniversary.","Order award by "&amp;TEXT(INDEX(Calc!$AU$6:$AU$505,Calc!$AW302),"mmm d, yyyy")&amp;IF(INDEX(Calc!$AU$6:$AU$505,Calc!$AW302)&lt;Setup!$C$5," (late, order today)",""))))</f>
        <v/>
      </c>
    </row>
    <row r="303" spans="1:6" x14ac:dyDescent="0.2">
      <c r="A303" s="20" t="str">
        <f ca="1">IF(Calc!$AW303="","",INT(Calc!$AV303))</f>
        <v/>
      </c>
      <c r="B303" s="21" t="str">
        <f ca="1">IF(Calc!$AW303="","",INDEX(Roster!$A$6:$A$505,Calc!$AW303)&amp;"")</f>
        <v/>
      </c>
      <c r="C303" s="21" t="str">
        <f ca="1">IF(Calc!$AW303="","",INDEX(Roster!$C$6:$C$505,Calc!$AW303)&amp;"")</f>
        <v/>
      </c>
      <c r="D303" s="19" t="str">
        <f ca="1">IF(Calc!$AW303="","",INDEX(Calc!$AP$6:$AP$505,Calc!$AW303))</f>
        <v/>
      </c>
      <c r="E303" s="21" t="str">
        <f ca="1">IF(Calc!$AW303="","",IF(INDEX(Calc!$AS$6:$AS$505,Calc!$AW303)="","Shout-out","Milestone"))</f>
        <v/>
      </c>
      <c r="F303" s="22" t="str">
        <f ca="1">IF(Calc!$AW303="","",IF($E303="Shout-out",SUBSTITUTE(SUBSTITUTE(SUBSTITUTE(SUBSTITUTE(Setup!$C$7&amp;"","{name}",IF($B303="","this employee",$B303)),"{years}",$D303),"{yearword}",IF($D303=1,"year","years")),"{company}",Setup!$C$4),IF(INDEX(Calc!$AT$6:$AT$505,Calc!$AW303),"Award ordered. Present it on the anniversary.","Order award by "&amp;TEXT(INDEX(Calc!$AU$6:$AU$505,Calc!$AW303),"mmm d, yyyy")&amp;IF(INDEX(Calc!$AU$6:$AU$505,Calc!$AW303)&lt;Setup!$C$5," (late, order today)",""))))</f>
        <v/>
      </c>
    </row>
    <row r="304" spans="1:6" x14ac:dyDescent="0.2">
      <c r="A304" s="20" t="str">
        <f ca="1">IF(Calc!$AW304="","",INT(Calc!$AV304))</f>
        <v/>
      </c>
      <c r="B304" s="21" t="str">
        <f ca="1">IF(Calc!$AW304="","",INDEX(Roster!$A$6:$A$505,Calc!$AW304)&amp;"")</f>
        <v/>
      </c>
      <c r="C304" s="21" t="str">
        <f ca="1">IF(Calc!$AW304="","",INDEX(Roster!$C$6:$C$505,Calc!$AW304)&amp;"")</f>
        <v/>
      </c>
      <c r="D304" s="19" t="str">
        <f ca="1">IF(Calc!$AW304="","",INDEX(Calc!$AP$6:$AP$505,Calc!$AW304))</f>
        <v/>
      </c>
      <c r="E304" s="21" t="str">
        <f ca="1">IF(Calc!$AW304="","",IF(INDEX(Calc!$AS$6:$AS$505,Calc!$AW304)="","Shout-out","Milestone"))</f>
        <v/>
      </c>
      <c r="F304" s="22" t="str">
        <f ca="1">IF(Calc!$AW304="","",IF($E304="Shout-out",SUBSTITUTE(SUBSTITUTE(SUBSTITUTE(SUBSTITUTE(Setup!$C$7&amp;"","{name}",IF($B304="","this employee",$B304)),"{years}",$D304),"{yearword}",IF($D304=1,"year","years")),"{company}",Setup!$C$4),IF(INDEX(Calc!$AT$6:$AT$505,Calc!$AW304),"Award ordered. Present it on the anniversary.","Order award by "&amp;TEXT(INDEX(Calc!$AU$6:$AU$505,Calc!$AW304),"mmm d, yyyy")&amp;IF(INDEX(Calc!$AU$6:$AU$505,Calc!$AW304)&lt;Setup!$C$5," (late, order today)",""))))</f>
        <v/>
      </c>
    </row>
    <row r="305" spans="1:6" x14ac:dyDescent="0.2">
      <c r="A305" s="20" t="str">
        <f ca="1">IF(Calc!$AW305="","",INT(Calc!$AV305))</f>
        <v/>
      </c>
      <c r="B305" s="21" t="str">
        <f ca="1">IF(Calc!$AW305="","",INDEX(Roster!$A$6:$A$505,Calc!$AW305)&amp;"")</f>
        <v/>
      </c>
      <c r="C305" s="21" t="str">
        <f ca="1">IF(Calc!$AW305="","",INDEX(Roster!$C$6:$C$505,Calc!$AW305)&amp;"")</f>
        <v/>
      </c>
      <c r="D305" s="19" t="str">
        <f ca="1">IF(Calc!$AW305="","",INDEX(Calc!$AP$6:$AP$505,Calc!$AW305))</f>
        <v/>
      </c>
      <c r="E305" s="21" t="str">
        <f ca="1">IF(Calc!$AW305="","",IF(INDEX(Calc!$AS$6:$AS$505,Calc!$AW305)="","Shout-out","Milestone"))</f>
        <v/>
      </c>
      <c r="F305" s="22" t="str">
        <f ca="1">IF(Calc!$AW305="","",IF($E305="Shout-out",SUBSTITUTE(SUBSTITUTE(SUBSTITUTE(SUBSTITUTE(Setup!$C$7&amp;"","{name}",IF($B305="","this employee",$B305)),"{years}",$D305),"{yearword}",IF($D305=1,"year","years")),"{company}",Setup!$C$4),IF(INDEX(Calc!$AT$6:$AT$505,Calc!$AW305),"Award ordered. Present it on the anniversary.","Order award by "&amp;TEXT(INDEX(Calc!$AU$6:$AU$505,Calc!$AW305),"mmm d, yyyy")&amp;IF(INDEX(Calc!$AU$6:$AU$505,Calc!$AW305)&lt;Setup!$C$5," (late, order today)",""))))</f>
        <v/>
      </c>
    </row>
    <row r="306" spans="1:6" x14ac:dyDescent="0.2">
      <c r="A306" s="20" t="str">
        <f ca="1">IF(Calc!$AW306="","",INT(Calc!$AV306))</f>
        <v/>
      </c>
      <c r="B306" s="21" t="str">
        <f ca="1">IF(Calc!$AW306="","",INDEX(Roster!$A$6:$A$505,Calc!$AW306)&amp;"")</f>
        <v/>
      </c>
      <c r="C306" s="21" t="str">
        <f ca="1">IF(Calc!$AW306="","",INDEX(Roster!$C$6:$C$505,Calc!$AW306)&amp;"")</f>
        <v/>
      </c>
      <c r="D306" s="19" t="str">
        <f ca="1">IF(Calc!$AW306="","",INDEX(Calc!$AP$6:$AP$505,Calc!$AW306))</f>
        <v/>
      </c>
      <c r="E306" s="21" t="str">
        <f ca="1">IF(Calc!$AW306="","",IF(INDEX(Calc!$AS$6:$AS$505,Calc!$AW306)="","Shout-out","Milestone"))</f>
        <v/>
      </c>
      <c r="F306" s="22" t="str">
        <f ca="1">IF(Calc!$AW306="","",IF($E306="Shout-out",SUBSTITUTE(SUBSTITUTE(SUBSTITUTE(SUBSTITUTE(Setup!$C$7&amp;"","{name}",IF($B306="","this employee",$B306)),"{years}",$D306),"{yearword}",IF($D306=1,"year","years")),"{company}",Setup!$C$4),IF(INDEX(Calc!$AT$6:$AT$505,Calc!$AW306),"Award ordered. Present it on the anniversary.","Order award by "&amp;TEXT(INDEX(Calc!$AU$6:$AU$505,Calc!$AW306),"mmm d, yyyy")&amp;IF(INDEX(Calc!$AU$6:$AU$505,Calc!$AW306)&lt;Setup!$C$5," (late, order today)",""))))</f>
        <v/>
      </c>
    </row>
    <row r="307" spans="1:6" x14ac:dyDescent="0.2">
      <c r="A307" s="20" t="str">
        <f ca="1">IF(Calc!$AW307="","",INT(Calc!$AV307))</f>
        <v/>
      </c>
      <c r="B307" s="21" t="str">
        <f ca="1">IF(Calc!$AW307="","",INDEX(Roster!$A$6:$A$505,Calc!$AW307)&amp;"")</f>
        <v/>
      </c>
      <c r="C307" s="21" t="str">
        <f ca="1">IF(Calc!$AW307="","",INDEX(Roster!$C$6:$C$505,Calc!$AW307)&amp;"")</f>
        <v/>
      </c>
      <c r="D307" s="19" t="str">
        <f ca="1">IF(Calc!$AW307="","",INDEX(Calc!$AP$6:$AP$505,Calc!$AW307))</f>
        <v/>
      </c>
      <c r="E307" s="21" t="str">
        <f ca="1">IF(Calc!$AW307="","",IF(INDEX(Calc!$AS$6:$AS$505,Calc!$AW307)="","Shout-out","Milestone"))</f>
        <v/>
      </c>
      <c r="F307" s="22" t="str">
        <f ca="1">IF(Calc!$AW307="","",IF($E307="Shout-out",SUBSTITUTE(SUBSTITUTE(SUBSTITUTE(SUBSTITUTE(Setup!$C$7&amp;"","{name}",IF($B307="","this employee",$B307)),"{years}",$D307),"{yearword}",IF($D307=1,"year","years")),"{company}",Setup!$C$4),IF(INDEX(Calc!$AT$6:$AT$505,Calc!$AW307),"Award ordered. Present it on the anniversary.","Order award by "&amp;TEXT(INDEX(Calc!$AU$6:$AU$505,Calc!$AW307),"mmm d, yyyy")&amp;IF(INDEX(Calc!$AU$6:$AU$505,Calc!$AW307)&lt;Setup!$C$5," (late, order today)",""))))</f>
        <v/>
      </c>
    </row>
    <row r="308" spans="1:6" x14ac:dyDescent="0.2">
      <c r="A308" s="20" t="str">
        <f ca="1">IF(Calc!$AW308="","",INT(Calc!$AV308))</f>
        <v/>
      </c>
      <c r="B308" s="21" t="str">
        <f ca="1">IF(Calc!$AW308="","",INDEX(Roster!$A$6:$A$505,Calc!$AW308)&amp;"")</f>
        <v/>
      </c>
      <c r="C308" s="21" t="str">
        <f ca="1">IF(Calc!$AW308="","",INDEX(Roster!$C$6:$C$505,Calc!$AW308)&amp;"")</f>
        <v/>
      </c>
      <c r="D308" s="19" t="str">
        <f ca="1">IF(Calc!$AW308="","",INDEX(Calc!$AP$6:$AP$505,Calc!$AW308))</f>
        <v/>
      </c>
      <c r="E308" s="21" t="str">
        <f ca="1">IF(Calc!$AW308="","",IF(INDEX(Calc!$AS$6:$AS$505,Calc!$AW308)="","Shout-out","Milestone"))</f>
        <v/>
      </c>
      <c r="F308" s="22" t="str">
        <f ca="1">IF(Calc!$AW308="","",IF($E308="Shout-out",SUBSTITUTE(SUBSTITUTE(SUBSTITUTE(SUBSTITUTE(Setup!$C$7&amp;"","{name}",IF($B308="","this employee",$B308)),"{years}",$D308),"{yearword}",IF($D308=1,"year","years")),"{company}",Setup!$C$4),IF(INDEX(Calc!$AT$6:$AT$505,Calc!$AW308),"Award ordered. Present it on the anniversary.","Order award by "&amp;TEXT(INDEX(Calc!$AU$6:$AU$505,Calc!$AW308),"mmm d, yyyy")&amp;IF(INDEX(Calc!$AU$6:$AU$505,Calc!$AW308)&lt;Setup!$C$5," (late, order today)",""))))</f>
        <v/>
      </c>
    </row>
    <row r="309" spans="1:6" x14ac:dyDescent="0.2">
      <c r="A309" s="20" t="str">
        <f ca="1">IF(Calc!$AW309="","",INT(Calc!$AV309))</f>
        <v/>
      </c>
      <c r="B309" s="21" t="str">
        <f ca="1">IF(Calc!$AW309="","",INDEX(Roster!$A$6:$A$505,Calc!$AW309)&amp;"")</f>
        <v/>
      </c>
      <c r="C309" s="21" t="str">
        <f ca="1">IF(Calc!$AW309="","",INDEX(Roster!$C$6:$C$505,Calc!$AW309)&amp;"")</f>
        <v/>
      </c>
      <c r="D309" s="19" t="str">
        <f ca="1">IF(Calc!$AW309="","",INDEX(Calc!$AP$6:$AP$505,Calc!$AW309))</f>
        <v/>
      </c>
      <c r="E309" s="21" t="str">
        <f ca="1">IF(Calc!$AW309="","",IF(INDEX(Calc!$AS$6:$AS$505,Calc!$AW309)="","Shout-out","Milestone"))</f>
        <v/>
      </c>
      <c r="F309" s="22" t="str">
        <f ca="1">IF(Calc!$AW309="","",IF($E309="Shout-out",SUBSTITUTE(SUBSTITUTE(SUBSTITUTE(SUBSTITUTE(Setup!$C$7&amp;"","{name}",IF($B309="","this employee",$B309)),"{years}",$D309),"{yearword}",IF($D309=1,"year","years")),"{company}",Setup!$C$4),IF(INDEX(Calc!$AT$6:$AT$505,Calc!$AW309),"Award ordered. Present it on the anniversary.","Order award by "&amp;TEXT(INDEX(Calc!$AU$6:$AU$505,Calc!$AW309),"mmm d, yyyy")&amp;IF(INDEX(Calc!$AU$6:$AU$505,Calc!$AW309)&lt;Setup!$C$5," (late, order today)",""))))</f>
        <v/>
      </c>
    </row>
    <row r="310" spans="1:6" x14ac:dyDescent="0.2">
      <c r="A310" s="20" t="str">
        <f ca="1">IF(Calc!$AW310="","",INT(Calc!$AV310))</f>
        <v/>
      </c>
      <c r="B310" s="21" t="str">
        <f ca="1">IF(Calc!$AW310="","",INDEX(Roster!$A$6:$A$505,Calc!$AW310)&amp;"")</f>
        <v/>
      </c>
      <c r="C310" s="21" t="str">
        <f ca="1">IF(Calc!$AW310="","",INDEX(Roster!$C$6:$C$505,Calc!$AW310)&amp;"")</f>
        <v/>
      </c>
      <c r="D310" s="19" t="str">
        <f ca="1">IF(Calc!$AW310="","",INDEX(Calc!$AP$6:$AP$505,Calc!$AW310))</f>
        <v/>
      </c>
      <c r="E310" s="21" t="str">
        <f ca="1">IF(Calc!$AW310="","",IF(INDEX(Calc!$AS$6:$AS$505,Calc!$AW310)="","Shout-out","Milestone"))</f>
        <v/>
      </c>
      <c r="F310" s="22" t="str">
        <f ca="1">IF(Calc!$AW310="","",IF($E310="Shout-out",SUBSTITUTE(SUBSTITUTE(SUBSTITUTE(SUBSTITUTE(Setup!$C$7&amp;"","{name}",IF($B310="","this employee",$B310)),"{years}",$D310),"{yearword}",IF($D310=1,"year","years")),"{company}",Setup!$C$4),IF(INDEX(Calc!$AT$6:$AT$505,Calc!$AW310),"Award ordered. Present it on the anniversary.","Order award by "&amp;TEXT(INDEX(Calc!$AU$6:$AU$505,Calc!$AW310),"mmm d, yyyy")&amp;IF(INDEX(Calc!$AU$6:$AU$505,Calc!$AW310)&lt;Setup!$C$5," (late, order today)",""))))</f>
        <v/>
      </c>
    </row>
    <row r="311" spans="1:6" x14ac:dyDescent="0.2">
      <c r="A311" s="20" t="str">
        <f ca="1">IF(Calc!$AW311="","",INT(Calc!$AV311))</f>
        <v/>
      </c>
      <c r="B311" s="21" t="str">
        <f ca="1">IF(Calc!$AW311="","",INDEX(Roster!$A$6:$A$505,Calc!$AW311)&amp;"")</f>
        <v/>
      </c>
      <c r="C311" s="21" t="str">
        <f ca="1">IF(Calc!$AW311="","",INDEX(Roster!$C$6:$C$505,Calc!$AW311)&amp;"")</f>
        <v/>
      </c>
      <c r="D311" s="19" t="str">
        <f ca="1">IF(Calc!$AW311="","",INDEX(Calc!$AP$6:$AP$505,Calc!$AW311))</f>
        <v/>
      </c>
      <c r="E311" s="21" t="str">
        <f ca="1">IF(Calc!$AW311="","",IF(INDEX(Calc!$AS$6:$AS$505,Calc!$AW311)="","Shout-out","Milestone"))</f>
        <v/>
      </c>
      <c r="F311" s="22" t="str">
        <f ca="1">IF(Calc!$AW311="","",IF($E311="Shout-out",SUBSTITUTE(SUBSTITUTE(SUBSTITUTE(SUBSTITUTE(Setup!$C$7&amp;"","{name}",IF($B311="","this employee",$B311)),"{years}",$D311),"{yearword}",IF($D311=1,"year","years")),"{company}",Setup!$C$4),IF(INDEX(Calc!$AT$6:$AT$505,Calc!$AW311),"Award ordered. Present it on the anniversary.","Order award by "&amp;TEXT(INDEX(Calc!$AU$6:$AU$505,Calc!$AW311),"mmm d, yyyy")&amp;IF(INDEX(Calc!$AU$6:$AU$505,Calc!$AW311)&lt;Setup!$C$5," (late, order today)",""))))</f>
        <v/>
      </c>
    </row>
    <row r="312" spans="1:6" x14ac:dyDescent="0.2">
      <c r="A312" s="20" t="str">
        <f ca="1">IF(Calc!$AW312="","",INT(Calc!$AV312))</f>
        <v/>
      </c>
      <c r="B312" s="21" t="str">
        <f ca="1">IF(Calc!$AW312="","",INDEX(Roster!$A$6:$A$505,Calc!$AW312)&amp;"")</f>
        <v/>
      </c>
      <c r="C312" s="21" t="str">
        <f ca="1">IF(Calc!$AW312="","",INDEX(Roster!$C$6:$C$505,Calc!$AW312)&amp;"")</f>
        <v/>
      </c>
      <c r="D312" s="19" t="str">
        <f ca="1">IF(Calc!$AW312="","",INDEX(Calc!$AP$6:$AP$505,Calc!$AW312))</f>
        <v/>
      </c>
      <c r="E312" s="21" t="str">
        <f ca="1">IF(Calc!$AW312="","",IF(INDEX(Calc!$AS$6:$AS$505,Calc!$AW312)="","Shout-out","Milestone"))</f>
        <v/>
      </c>
      <c r="F312" s="22" t="str">
        <f ca="1">IF(Calc!$AW312="","",IF($E312="Shout-out",SUBSTITUTE(SUBSTITUTE(SUBSTITUTE(SUBSTITUTE(Setup!$C$7&amp;"","{name}",IF($B312="","this employee",$B312)),"{years}",$D312),"{yearword}",IF($D312=1,"year","years")),"{company}",Setup!$C$4),IF(INDEX(Calc!$AT$6:$AT$505,Calc!$AW312),"Award ordered. Present it on the anniversary.","Order award by "&amp;TEXT(INDEX(Calc!$AU$6:$AU$505,Calc!$AW312),"mmm d, yyyy")&amp;IF(INDEX(Calc!$AU$6:$AU$505,Calc!$AW312)&lt;Setup!$C$5," (late, order today)",""))))</f>
        <v/>
      </c>
    </row>
    <row r="313" spans="1:6" x14ac:dyDescent="0.2">
      <c r="A313" s="20" t="str">
        <f ca="1">IF(Calc!$AW313="","",INT(Calc!$AV313))</f>
        <v/>
      </c>
      <c r="B313" s="21" t="str">
        <f ca="1">IF(Calc!$AW313="","",INDEX(Roster!$A$6:$A$505,Calc!$AW313)&amp;"")</f>
        <v/>
      </c>
      <c r="C313" s="21" t="str">
        <f ca="1">IF(Calc!$AW313="","",INDEX(Roster!$C$6:$C$505,Calc!$AW313)&amp;"")</f>
        <v/>
      </c>
      <c r="D313" s="19" t="str">
        <f ca="1">IF(Calc!$AW313="","",INDEX(Calc!$AP$6:$AP$505,Calc!$AW313))</f>
        <v/>
      </c>
      <c r="E313" s="21" t="str">
        <f ca="1">IF(Calc!$AW313="","",IF(INDEX(Calc!$AS$6:$AS$505,Calc!$AW313)="","Shout-out","Milestone"))</f>
        <v/>
      </c>
      <c r="F313" s="22" t="str">
        <f ca="1">IF(Calc!$AW313="","",IF($E313="Shout-out",SUBSTITUTE(SUBSTITUTE(SUBSTITUTE(SUBSTITUTE(Setup!$C$7&amp;"","{name}",IF($B313="","this employee",$B313)),"{years}",$D313),"{yearword}",IF($D313=1,"year","years")),"{company}",Setup!$C$4),IF(INDEX(Calc!$AT$6:$AT$505,Calc!$AW313),"Award ordered. Present it on the anniversary.","Order award by "&amp;TEXT(INDEX(Calc!$AU$6:$AU$505,Calc!$AW313),"mmm d, yyyy")&amp;IF(INDEX(Calc!$AU$6:$AU$505,Calc!$AW313)&lt;Setup!$C$5," (late, order today)",""))))</f>
        <v/>
      </c>
    </row>
    <row r="314" spans="1:6" x14ac:dyDescent="0.2">
      <c r="A314" s="20" t="str">
        <f ca="1">IF(Calc!$AW314="","",INT(Calc!$AV314))</f>
        <v/>
      </c>
      <c r="B314" s="21" t="str">
        <f ca="1">IF(Calc!$AW314="","",INDEX(Roster!$A$6:$A$505,Calc!$AW314)&amp;"")</f>
        <v/>
      </c>
      <c r="C314" s="21" t="str">
        <f ca="1">IF(Calc!$AW314="","",INDEX(Roster!$C$6:$C$505,Calc!$AW314)&amp;"")</f>
        <v/>
      </c>
      <c r="D314" s="19" t="str">
        <f ca="1">IF(Calc!$AW314="","",INDEX(Calc!$AP$6:$AP$505,Calc!$AW314))</f>
        <v/>
      </c>
      <c r="E314" s="21" t="str">
        <f ca="1">IF(Calc!$AW314="","",IF(INDEX(Calc!$AS$6:$AS$505,Calc!$AW314)="","Shout-out","Milestone"))</f>
        <v/>
      </c>
      <c r="F314" s="22" t="str">
        <f ca="1">IF(Calc!$AW314="","",IF($E314="Shout-out",SUBSTITUTE(SUBSTITUTE(SUBSTITUTE(SUBSTITUTE(Setup!$C$7&amp;"","{name}",IF($B314="","this employee",$B314)),"{years}",$D314),"{yearword}",IF($D314=1,"year","years")),"{company}",Setup!$C$4),IF(INDEX(Calc!$AT$6:$AT$505,Calc!$AW314),"Award ordered. Present it on the anniversary.","Order award by "&amp;TEXT(INDEX(Calc!$AU$6:$AU$505,Calc!$AW314),"mmm d, yyyy")&amp;IF(INDEX(Calc!$AU$6:$AU$505,Calc!$AW314)&lt;Setup!$C$5," (late, order today)",""))))</f>
        <v/>
      </c>
    </row>
    <row r="315" spans="1:6" x14ac:dyDescent="0.2">
      <c r="A315" s="20" t="str">
        <f ca="1">IF(Calc!$AW315="","",INT(Calc!$AV315))</f>
        <v/>
      </c>
      <c r="B315" s="21" t="str">
        <f ca="1">IF(Calc!$AW315="","",INDEX(Roster!$A$6:$A$505,Calc!$AW315)&amp;"")</f>
        <v/>
      </c>
      <c r="C315" s="21" t="str">
        <f ca="1">IF(Calc!$AW315="","",INDEX(Roster!$C$6:$C$505,Calc!$AW315)&amp;"")</f>
        <v/>
      </c>
      <c r="D315" s="19" t="str">
        <f ca="1">IF(Calc!$AW315="","",INDEX(Calc!$AP$6:$AP$505,Calc!$AW315))</f>
        <v/>
      </c>
      <c r="E315" s="21" t="str">
        <f ca="1">IF(Calc!$AW315="","",IF(INDEX(Calc!$AS$6:$AS$505,Calc!$AW315)="","Shout-out","Milestone"))</f>
        <v/>
      </c>
      <c r="F315" s="22" t="str">
        <f ca="1">IF(Calc!$AW315="","",IF($E315="Shout-out",SUBSTITUTE(SUBSTITUTE(SUBSTITUTE(SUBSTITUTE(Setup!$C$7&amp;"","{name}",IF($B315="","this employee",$B315)),"{years}",$D315),"{yearword}",IF($D315=1,"year","years")),"{company}",Setup!$C$4),IF(INDEX(Calc!$AT$6:$AT$505,Calc!$AW315),"Award ordered. Present it on the anniversary.","Order award by "&amp;TEXT(INDEX(Calc!$AU$6:$AU$505,Calc!$AW315),"mmm d, yyyy")&amp;IF(INDEX(Calc!$AU$6:$AU$505,Calc!$AW315)&lt;Setup!$C$5," (late, order today)",""))))</f>
        <v/>
      </c>
    </row>
    <row r="316" spans="1:6" x14ac:dyDescent="0.2">
      <c r="A316" s="20" t="str">
        <f ca="1">IF(Calc!$AW316="","",INT(Calc!$AV316))</f>
        <v/>
      </c>
      <c r="B316" s="21" t="str">
        <f ca="1">IF(Calc!$AW316="","",INDEX(Roster!$A$6:$A$505,Calc!$AW316)&amp;"")</f>
        <v/>
      </c>
      <c r="C316" s="21" t="str">
        <f ca="1">IF(Calc!$AW316="","",INDEX(Roster!$C$6:$C$505,Calc!$AW316)&amp;"")</f>
        <v/>
      </c>
      <c r="D316" s="19" t="str">
        <f ca="1">IF(Calc!$AW316="","",INDEX(Calc!$AP$6:$AP$505,Calc!$AW316))</f>
        <v/>
      </c>
      <c r="E316" s="21" t="str">
        <f ca="1">IF(Calc!$AW316="","",IF(INDEX(Calc!$AS$6:$AS$505,Calc!$AW316)="","Shout-out","Milestone"))</f>
        <v/>
      </c>
      <c r="F316" s="22" t="str">
        <f ca="1">IF(Calc!$AW316="","",IF($E316="Shout-out",SUBSTITUTE(SUBSTITUTE(SUBSTITUTE(SUBSTITUTE(Setup!$C$7&amp;"","{name}",IF($B316="","this employee",$B316)),"{years}",$D316),"{yearword}",IF($D316=1,"year","years")),"{company}",Setup!$C$4),IF(INDEX(Calc!$AT$6:$AT$505,Calc!$AW316),"Award ordered. Present it on the anniversary.","Order award by "&amp;TEXT(INDEX(Calc!$AU$6:$AU$505,Calc!$AW316),"mmm d, yyyy")&amp;IF(INDEX(Calc!$AU$6:$AU$505,Calc!$AW316)&lt;Setup!$C$5," (late, order today)",""))))</f>
        <v/>
      </c>
    </row>
    <row r="317" spans="1:6" x14ac:dyDescent="0.2">
      <c r="A317" s="20" t="str">
        <f ca="1">IF(Calc!$AW317="","",INT(Calc!$AV317))</f>
        <v/>
      </c>
      <c r="B317" s="21" t="str">
        <f ca="1">IF(Calc!$AW317="","",INDEX(Roster!$A$6:$A$505,Calc!$AW317)&amp;"")</f>
        <v/>
      </c>
      <c r="C317" s="21" t="str">
        <f ca="1">IF(Calc!$AW317="","",INDEX(Roster!$C$6:$C$505,Calc!$AW317)&amp;"")</f>
        <v/>
      </c>
      <c r="D317" s="19" t="str">
        <f ca="1">IF(Calc!$AW317="","",INDEX(Calc!$AP$6:$AP$505,Calc!$AW317))</f>
        <v/>
      </c>
      <c r="E317" s="21" t="str">
        <f ca="1">IF(Calc!$AW317="","",IF(INDEX(Calc!$AS$6:$AS$505,Calc!$AW317)="","Shout-out","Milestone"))</f>
        <v/>
      </c>
      <c r="F317" s="22" t="str">
        <f ca="1">IF(Calc!$AW317="","",IF($E317="Shout-out",SUBSTITUTE(SUBSTITUTE(SUBSTITUTE(SUBSTITUTE(Setup!$C$7&amp;"","{name}",IF($B317="","this employee",$B317)),"{years}",$D317),"{yearword}",IF($D317=1,"year","years")),"{company}",Setup!$C$4),IF(INDEX(Calc!$AT$6:$AT$505,Calc!$AW317),"Award ordered. Present it on the anniversary.","Order award by "&amp;TEXT(INDEX(Calc!$AU$6:$AU$505,Calc!$AW317),"mmm d, yyyy")&amp;IF(INDEX(Calc!$AU$6:$AU$505,Calc!$AW317)&lt;Setup!$C$5," (late, order today)",""))))</f>
        <v/>
      </c>
    </row>
    <row r="318" spans="1:6" x14ac:dyDescent="0.2">
      <c r="A318" s="20" t="str">
        <f ca="1">IF(Calc!$AW318="","",INT(Calc!$AV318))</f>
        <v/>
      </c>
      <c r="B318" s="21" t="str">
        <f ca="1">IF(Calc!$AW318="","",INDEX(Roster!$A$6:$A$505,Calc!$AW318)&amp;"")</f>
        <v/>
      </c>
      <c r="C318" s="21" t="str">
        <f ca="1">IF(Calc!$AW318="","",INDEX(Roster!$C$6:$C$505,Calc!$AW318)&amp;"")</f>
        <v/>
      </c>
      <c r="D318" s="19" t="str">
        <f ca="1">IF(Calc!$AW318="","",INDEX(Calc!$AP$6:$AP$505,Calc!$AW318))</f>
        <v/>
      </c>
      <c r="E318" s="21" t="str">
        <f ca="1">IF(Calc!$AW318="","",IF(INDEX(Calc!$AS$6:$AS$505,Calc!$AW318)="","Shout-out","Milestone"))</f>
        <v/>
      </c>
      <c r="F318" s="22" t="str">
        <f ca="1">IF(Calc!$AW318="","",IF($E318="Shout-out",SUBSTITUTE(SUBSTITUTE(SUBSTITUTE(SUBSTITUTE(Setup!$C$7&amp;"","{name}",IF($B318="","this employee",$B318)),"{years}",$D318),"{yearword}",IF($D318=1,"year","years")),"{company}",Setup!$C$4),IF(INDEX(Calc!$AT$6:$AT$505,Calc!$AW318),"Award ordered. Present it on the anniversary.","Order award by "&amp;TEXT(INDEX(Calc!$AU$6:$AU$505,Calc!$AW318),"mmm d, yyyy")&amp;IF(INDEX(Calc!$AU$6:$AU$505,Calc!$AW318)&lt;Setup!$C$5," (late, order today)",""))))</f>
        <v/>
      </c>
    </row>
    <row r="319" spans="1:6" x14ac:dyDescent="0.2">
      <c r="A319" s="20" t="str">
        <f ca="1">IF(Calc!$AW319="","",INT(Calc!$AV319))</f>
        <v/>
      </c>
      <c r="B319" s="21" t="str">
        <f ca="1">IF(Calc!$AW319="","",INDEX(Roster!$A$6:$A$505,Calc!$AW319)&amp;"")</f>
        <v/>
      </c>
      <c r="C319" s="21" t="str">
        <f ca="1">IF(Calc!$AW319="","",INDEX(Roster!$C$6:$C$505,Calc!$AW319)&amp;"")</f>
        <v/>
      </c>
      <c r="D319" s="19" t="str">
        <f ca="1">IF(Calc!$AW319="","",INDEX(Calc!$AP$6:$AP$505,Calc!$AW319))</f>
        <v/>
      </c>
      <c r="E319" s="21" t="str">
        <f ca="1">IF(Calc!$AW319="","",IF(INDEX(Calc!$AS$6:$AS$505,Calc!$AW319)="","Shout-out","Milestone"))</f>
        <v/>
      </c>
      <c r="F319" s="22" t="str">
        <f ca="1">IF(Calc!$AW319="","",IF($E319="Shout-out",SUBSTITUTE(SUBSTITUTE(SUBSTITUTE(SUBSTITUTE(Setup!$C$7&amp;"","{name}",IF($B319="","this employee",$B319)),"{years}",$D319),"{yearword}",IF($D319=1,"year","years")),"{company}",Setup!$C$4),IF(INDEX(Calc!$AT$6:$AT$505,Calc!$AW319),"Award ordered. Present it on the anniversary.","Order award by "&amp;TEXT(INDEX(Calc!$AU$6:$AU$505,Calc!$AW319),"mmm d, yyyy")&amp;IF(INDEX(Calc!$AU$6:$AU$505,Calc!$AW319)&lt;Setup!$C$5," (late, order today)",""))))</f>
        <v/>
      </c>
    </row>
    <row r="320" spans="1:6" x14ac:dyDescent="0.2">
      <c r="A320" s="20" t="str">
        <f ca="1">IF(Calc!$AW320="","",INT(Calc!$AV320))</f>
        <v/>
      </c>
      <c r="B320" s="21" t="str">
        <f ca="1">IF(Calc!$AW320="","",INDEX(Roster!$A$6:$A$505,Calc!$AW320)&amp;"")</f>
        <v/>
      </c>
      <c r="C320" s="21" t="str">
        <f ca="1">IF(Calc!$AW320="","",INDEX(Roster!$C$6:$C$505,Calc!$AW320)&amp;"")</f>
        <v/>
      </c>
      <c r="D320" s="19" t="str">
        <f ca="1">IF(Calc!$AW320="","",INDEX(Calc!$AP$6:$AP$505,Calc!$AW320))</f>
        <v/>
      </c>
      <c r="E320" s="21" t="str">
        <f ca="1">IF(Calc!$AW320="","",IF(INDEX(Calc!$AS$6:$AS$505,Calc!$AW320)="","Shout-out","Milestone"))</f>
        <v/>
      </c>
      <c r="F320" s="22" t="str">
        <f ca="1">IF(Calc!$AW320="","",IF($E320="Shout-out",SUBSTITUTE(SUBSTITUTE(SUBSTITUTE(SUBSTITUTE(Setup!$C$7&amp;"","{name}",IF($B320="","this employee",$B320)),"{years}",$D320),"{yearword}",IF($D320=1,"year","years")),"{company}",Setup!$C$4),IF(INDEX(Calc!$AT$6:$AT$505,Calc!$AW320),"Award ordered. Present it on the anniversary.","Order award by "&amp;TEXT(INDEX(Calc!$AU$6:$AU$505,Calc!$AW320),"mmm d, yyyy")&amp;IF(INDEX(Calc!$AU$6:$AU$505,Calc!$AW320)&lt;Setup!$C$5," (late, order today)",""))))</f>
        <v/>
      </c>
    </row>
    <row r="321" spans="1:6" x14ac:dyDescent="0.2">
      <c r="A321" s="20" t="str">
        <f ca="1">IF(Calc!$AW321="","",INT(Calc!$AV321))</f>
        <v/>
      </c>
      <c r="B321" s="21" t="str">
        <f ca="1">IF(Calc!$AW321="","",INDEX(Roster!$A$6:$A$505,Calc!$AW321)&amp;"")</f>
        <v/>
      </c>
      <c r="C321" s="21" t="str">
        <f ca="1">IF(Calc!$AW321="","",INDEX(Roster!$C$6:$C$505,Calc!$AW321)&amp;"")</f>
        <v/>
      </c>
      <c r="D321" s="19" t="str">
        <f ca="1">IF(Calc!$AW321="","",INDEX(Calc!$AP$6:$AP$505,Calc!$AW321))</f>
        <v/>
      </c>
      <c r="E321" s="21" t="str">
        <f ca="1">IF(Calc!$AW321="","",IF(INDEX(Calc!$AS$6:$AS$505,Calc!$AW321)="","Shout-out","Milestone"))</f>
        <v/>
      </c>
      <c r="F321" s="22" t="str">
        <f ca="1">IF(Calc!$AW321="","",IF($E321="Shout-out",SUBSTITUTE(SUBSTITUTE(SUBSTITUTE(SUBSTITUTE(Setup!$C$7&amp;"","{name}",IF($B321="","this employee",$B321)),"{years}",$D321),"{yearword}",IF($D321=1,"year","years")),"{company}",Setup!$C$4),IF(INDEX(Calc!$AT$6:$AT$505,Calc!$AW321),"Award ordered. Present it on the anniversary.","Order award by "&amp;TEXT(INDEX(Calc!$AU$6:$AU$505,Calc!$AW321),"mmm d, yyyy")&amp;IF(INDEX(Calc!$AU$6:$AU$505,Calc!$AW321)&lt;Setup!$C$5," (late, order today)",""))))</f>
        <v/>
      </c>
    </row>
    <row r="322" spans="1:6" x14ac:dyDescent="0.2">
      <c r="A322" s="20" t="str">
        <f ca="1">IF(Calc!$AW322="","",INT(Calc!$AV322))</f>
        <v/>
      </c>
      <c r="B322" s="21" t="str">
        <f ca="1">IF(Calc!$AW322="","",INDEX(Roster!$A$6:$A$505,Calc!$AW322)&amp;"")</f>
        <v/>
      </c>
      <c r="C322" s="21" t="str">
        <f ca="1">IF(Calc!$AW322="","",INDEX(Roster!$C$6:$C$505,Calc!$AW322)&amp;"")</f>
        <v/>
      </c>
      <c r="D322" s="19" t="str">
        <f ca="1">IF(Calc!$AW322="","",INDEX(Calc!$AP$6:$AP$505,Calc!$AW322))</f>
        <v/>
      </c>
      <c r="E322" s="21" t="str">
        <f ca="1">IF(Calc!$AW322="","",IF(INDEX(Calc!$AS$6:$AS$505,Calc!$AW322)="","Shout-out","Milestone"))</f>
        <v/>
      </c>
      <c r="F322" s="22" t="str">
        <f ca="1">IF(Calc!$AW322="","",IF($E322="Shout-out",SUBSTITUTE(SUBSTITUTE(SUBSTITUTE(SUBSTITUTE(Setup!$C$7&amp;"","{name}",IF($B322="","this employee",$B322)),"{years}",$D322),"{yearword}",IF($D322=1,"year","years")),"{company}",Setup!$C$4),IF(INDEX(Calc!$AT$6:$AT$505,Calc!$AW322),"Award ordered. Present it on the anniversary.","Order award by "&amp;TEXT(INDEX(Calc!$AU$6:$AU$505,Calc!$AW322),"mmm d, yyyy")&amp;IF(INDEX(Calc!$AU$6:$AU$505,Calc!$AW322)&lt;Setup!$C$5," (late, order today)",""))))</f>
        <v/>
      </c>
    </row>
    <row r="323" spans="1:6" x14ac:dyDescent="0.2">
      <c r="A323" s="20" t="str">
        <f ca="1">IF(Calc!$AW323="","",INT(Calc!$AV323))</f>
        <v/>
      </c>
      <c r="B323" s="21" t="str">
        <f ca="1">IF(Calc!$AW323="","",INDEX(Roster!$A$6:$A$505,Calc!$AW323)&amp;"")</f>
        <v/>
      </c>
      <c r="C323" s="21" t="str">
        <f ca="1">IF(Calc!$AW323="","",INDEX(Roster!$C$6:$C$505,Calc!$AW323)&amp;"")</f>
        <v/>
      </c>
      <c r="D323" s="19" t="str">
        <f ca="1">IF(Calc!$AW323="","",INDEX(Calc!$AP$6:$AP$505,Calc!$AW323))</f>
        <v/>
      </c>
      <c r="E323" s="21" t="str">
        <f ca="1">IF(Calc!$AW323="","",IF(INDEX(Calc!$AS$6:$AS$505,Calc!$AW323)="","Shout-out","Milestone"))</f>
        <v/>
      </c>
      <c r="F323" s="22" t="str">
        <f ca="1">IF(Calc!$AW323="","",IF($E323="Shout-out",SUBSTITUTE(SUBSTITUTE(SUBSTITUTE(SUBSTITUTE(Setup!$C$7&amp;"","{name}",IF($B323="","this employee",$B323)),"{years}",$D323),"{yearword}",IF($D323=1,"year","years")),"{company}",Setup!$C$4),IF(INDEX(Calc!$AT$6:$AT$505,Calc!$AW323),"Award ordered. Present it on the anniversary.","Order award by "&amp;TEXT(INDEX(Calc!$AU$6:$AU$505,Calc!$AW323),"mmm d, yyyy")&amp;IF(INDEX(Calc!$AU$6:$AU$505,Calc!$AW323)&lt;Setup!$C$5," (late, order today)",""))))</f>
        <v/>
      </c>
    </row>
    <row r="324" spans="1:6" x14ac:dyDescent="0.2">
      <c r="A324" s="20" t="str">
        <f ca="1">IF(Calc!$AW324="","",INT(Calc!$AV324))</f>
        <v/>
      </c>
      <c r="B324" s="21" t="str">
        <f ca="1">IF(Calc!$AW324="","",INDEX(Roster!$A$6:$A$505,Calc!$AW324)&amp;"")</f>
        <v/>
      </c>
      <c r="C324" s="21" t="str">
        <f ca="1">IF(Calc!$AW324="","",INDEX(Roster!$C$6:$C$505,Calc!$AW324)&amp;"")</f>
        <v/>
      </c>
      <c r="D324" s="19" t="str">
        <f ca="1">IF(Calc!$AW324="","",INDEX(Calc!$AP$6:$AP$505,Calc!$AW324))</f>
        <v/>
      </c>
      <c r="E324" s="21" t="str">
        <f ca="1">IF(Calc!$AW324="","",IF(INDEX(Calc!$AS$6:$AS$505,Calc!$AW324)="","Shout-out","Milestone"))</f>
        <v/>
      </c>
      <c r="F324" s="22" t="str">
        <f ca="1">IF(Calc!$AW324="","",IF($E324="Shout-out",SUBSTITUTE(SUBSTITUTE(SUBSTITUTE(SUBSTITUTE(Setup!$C$7&amp;"","{name}",IF($B324="","this employee",$B324)),"{years}",$D324),"{yearword}",IF($D324=1,"year","years")),"{company}",Setup!$C$4),IF(INDEX(Calc!$AT$6:$AT$505,Calc!$AW324),"Award ordered. Present it on the anniversary.","Order award by "&amp;TEXT(INDEX(Calc!$AU$6:$AU$505,Calc!$AW324),"mmm d, yyyy")&amp;IF(INDEX(Calc!$AU$6:$AU$505,Calc!$AW324)&lt;Setup!$C$5," (late, order today)",""))))</f>
        <v/>
      </c>
    </row>
    <row r="325" spans="1:6" x14ac:dyDescent="0.2">
      <c r="A325" s="20" t="str">
        <f ca="1">IF(Calc!$AW325="","",INT(Calc!$AV325))</f>
        <v/>
      </c>
      <c r="B325" s="21" t="str">
        <f ca="1">IF(Calc!$AW325="","",INDEX(Roster!$A$6:$A$505,Calc!$AW325)&amp;"")</f>
        <v/>
      </c>
      <c r="C325" s="21" t="str">
        <f ca="1">IF(Calc!$AW325="","",INDEX(Roster!$C$6:$C$505,Calc!$AW325)&amp;"")</f>
        <v/>
      </c>
      <c r="D325" s="19" t="str">
        <f ca="1">IF(Calc!$AW325="","",INDEX(Calc!$AP$6:$AP$505,Calc!$AW325))</f>
        <v/>
      </c>
      <c r="E325" s="21" t="str">
        <f ca="1">IF(Calc!$AW325="","",IF(INDEX(Calc!$AS$6:$AS$505,Calc!$AW325)="","Shout-out","Milestone"))</f>
        <v/>
      </c>
      <c r="F325" s="22" t="str">
        <f ca="1">IF(Calc!$AW325="","",IF($E325="Shout-out",SUBSTITUTE(SUBSTITUTE(SUBSTITUTE(SUBSTITUTE(Setup!$C$7&amp;"","{name}",IF($B325="","this employee",$B325)),"{years}",$D325),"{yearword}",IF($D325=1,"year","years")),"{company}",Setup!$C$4),IF(INDEX(Calc!$AT$6:$AT$505,Calc!$AW325),"Award ordered. Present it on the anniversary.","Order award by "&amp;TEXT(INDEX(Calc!$AU$6:$AU$505,Calc!$AW325),"mmm d, yyyy")&amp;IF(INDEX(Calc!$AU$6:$AU$505,Calc!$AW325)&lt;Setup!$C$5," (late, order today)",""))))</f>
        <v/>
      </c>
    </row>
    <row r="326" spans="1:6" x14ac:dyDescent="0.2">
      <c r="A326" s="20" t="str">
        <f ca="1">IF(Calc!$AW326="","",INT(Calc!$AV326))</f>
        <v/>
      </c>
      <c r="B326" s="21" t="str">
        <f ca="1">IF(Calc!$AW326="","",INDEX(Roster!$A$6:$A$505,Calc!$AW326)&amp;"")</f>
        <v/>
      </c>
      <c r="C326" s="21" t="str">
        <f ca="1">IF(Calc!$AW326="","",INDEX(Roster!$C$6:$C$505,Calc!$AW326)&amp;"")</f>
        <v/>
      </c>
      <c r="D326" s="19" t="str">
        <f ca="1">IF(Calc!$AW326="","",INDEX(Calc!$AP$6:$AP$505,Calc!$AW326))</f>
        <v/>
      </c>
      <c r="E326" s="21" t="str">
        <f ca="1">IF(Calc!$AW326="","",IF(INDEX(Calc!$AS$6:$AS$505,Calc!$AW326)="","Shout-out","Milestone"))</f>
        <v/>
      </c>
      <c r="F326" s="22" t="str">
        <f ca="1">IF(Calc!$AW326="","",IF($E326="Shout-out",SUBSTITUTE(SUBSTITUTE(SUBSTITUTE(SUBSTITUTE(Setup!$C$7&amp;"","{name}",IF($B326="","this employee",$B326)),"{years}",$D326),"{yearword}",IF($D326=1,"year","years")),"{company}",Setup!$C$4),IF(INDEX(Calc!$AT$6:$AT$505,Calc!$AW326),"Award ordered. Present it on the anniversary.","Order award by "&amp;TEXT(INDEX(Calc!$AU$6:$AU$505,Calc!$AW326),"mmm d, yyyy")&amp;IF(INDEX(Calc!$AU$6:$AU$505,Calc!$AW326)&lt;Setup!$C$5," (late, order today)",""))))</f>
        <v/>
      </c>
    </row>
    <row r="327" spans="1:6" x14ac:dyDescent="0.2">
      <c r="A327" s="20" t="str">
        <f ca="1">IF(Calc!$AW327="","",INT(Calc!$AV327))</f>
        <v/>
      </c>
      <c r="B327" s="21" t="str">
        <f ca="1">IF(Calc!$AW327="","",INDEX(Roster!$A$6:$A$505,Calc!$AW327)&amp;"")</f>
        <v/>
      </c>
      <c r="C327" s="21" t="str">
        <f ca="1">IF(Calc!$AW327="","",INDEX(Roster!$C$6:$C$505,Calc!$AW327)&amp;"")</f>
        <v/>
      </c>
      <c r="D327" s="19" t="str">
        <f ca="1">IF(Calc!$AW327="","",INDEX(Calc!$AP$6:$AP$505,Calc!$AW327))</f>
        <v/>
      </c>
      <c r="E327" s="21" t="str">
        <f ca="1">IF(Calc!$AW327="","",IF(INDEX(Calc!$AS$6:$AS$505,Calc!$AW327)="","Shout-out","Milestone"))</f>
        <v/>
      </c>
      <c r="F327" s="22" t="str">
        <f ca="1">IF(Calc!$AW327="","",IF($E327="Shout-out",SUBSTITUTE(SUBSTITUTE(SUBSTITUTE(SUBSTITUTE(Setup!$C$7&amp;"","{name}",IF($B327="","this employee",$B327)),"{years}",$D327),"{yearword}",IF($D327=1,"year","years")),"{company}",Setup!$C$4),IF(INDEX(Calc!$AT$6:$AT$505,Calc!$AW327),"Award ordered. Present it on the anniversary.","Order award by "&amp;TEXT(INDEX(Calc!$AU$6:$AU$505,Calc!$AW327),"mmm d, yyyy")&amp;IF(INDEX(Calc!$AU$6:$AU$505,Calc!$AW327)&lt;Setup!$C$5," (late, order today)",""))))</f>
        <v/>
      </c>
    </row>
    <row r="328" spans="1:6" x14ac:dyDescent="0.2">
      <c r="A328" s="20" t="str">
        <f ca="1">IF(Calc!$AW328="","",INT(Calc!$AV328))</f>
        <v/>
      </c>
      <c r="B328" s="21" t="str">
        <f ca="1">IF(Calc!$AW328="","",INDEX(Roster!$A$6:$A$505,Calc!$AW328)&amp;"")</f>
        <v/>
      </c>
      <c r="C328" s="21" t="str">
        <f ca="1">IF(Calc!$AW328="","",INDEX(Roster!$C$6:$C$505,Calc!$AW328)&amp;"")</f>
        <v/>
      </c>
      <c r="D328" s="19" t="str">
        <f ca="1">IF(Calc!$AW328="","",INDEX(Calc!$AP$6:$AP$505,Calc!$AW328))</f>
        <v/>
      </c>
      <c r="E328" s="21" t="str">
        <f ca="1">IF(Calc!$AW328="","",IF(INDEX(Calc!$AS$6:$AS$505,Calc!$AW328)="","Shout-out","Milestone"))</f>
        <v/>
      </c>
      <c r="F328" s="22" t="str">
        <f ca="1">IF(Calc!$AW328="","",IF($E328="Shout-out",SUBSTITUTE(SUBSTITUTE(SUBSTITUTE(SUBSTITUTE(Setup!$C$7&amp;"","{name}",IF($B328="","this employee",$B328)),"{years}",$D328),"{yearword}",IF($D328=1,"year","years")),"{company}",Setup!$C$4),IF(INDEX(Calc!$AT$6:$AT$505,Calc!$AW328),"Award ordered. Present it on the anniversary.","Order award by "&amp;TEXT(INDEX(Calc!$AU$6:$AU$505,Calc!$AW328),"mmm d, yyyy")&amp;IF(INDEX(Calc!$AU$6:$AU$505,Calc!$AW328)&lt;Setup!$C$5," (late, order today)",""))))</f>
        <v/>
      </c>
    </row>
    <row r="329" spans="1:6" x14ac:dyDescent="0.2">
      <c r="A329" s="20" t="str">
        <f ca="1">IF(Calc!$AW329="","",INT(Calc!$AV329))</f>
        <v/>
      </c>
      <c r="B329" s="21" t="str">
        <f ca="1">IF(Calc!$AW329="","",INDEX(Roster!$A$6:$A$505,Calc!$AW329)&amp;"")</f>
        <v/>
      </c>
      <c r="C329" s="21" t="str">
        <f ca="1">IF(Calc!$AW329="","",INDEX(Roster!$C$6:$C$505,Calc!$AW329)&amp;"")</f>
        <v/>
      </c>
      <c r="D329" s="19" t="str">
        <f ca="1">IF(Calc!$AW329="","",INDEX(Calc!$AP$6:$AP$505,Calc!$AW329))</f>
        <v/>
      </c>
      <c r="E329" s="21" t="str">
        <f ca="1">IF(Calc!$AW329="","",IF(INDEX(Calc!$AS$6:$AS$505,Calc!$AW329)="","Shout-out","Milestone"))</f>
        <v/>
      </c>
      <c r="F329" s="22" t="str">
        <f ca="1">IF(Calc!$AW329="","",IF($E329="Shout-out",SUBSTITUTE(SUBSTITUTE(SUBSTITUTE(SUBSTITUTE(Setup!$C$7&amp;"","{name}",IF($B329="","this employee",$B329)),"{years}",$D329),"{yearword}",IF($D329=1,"year","years")),"{company}",Setup!$C$4),IF(INDEX(Calc!$AT$6:$AT$505,Calc!$AW329),"Award ordered. Present it on the anniversary.","Order award by "&amp;TEXT(INDEX(Calc!$AU$6:$AU$505,Calc!$AW329),"mmm d, yyyy")&amp;IF(INDEX(Calc!$AU$6:$AU$505,Calc!$AW329)&lt;Setup!$C$5," (late, order today)",""))))</f>
        <v/>
      </c>
    </row>
    <row r="330" spans="1:6" x14ac:dyDescent="0.2">
      <c r="A330" s="20" t="str">
        <f ca="1">IF(Calc!$AW330="","",INT(Calc!$AV330))</f>
        <v/>
      </c>
      <c r="B330" s="21" t="str">
        <f ca="1">IF(Calc!$AW330="","",INDEX(Roster!$A$6:$A$505,Calc!$AW330)&amp;"")</f>
        <v/>
      </c>
      <c r="C330" s="21" t="str">
        <f ca="1">IF(Calc!$AW330="","",INDEX(Roster!$C$6:$C$505,Calc!$AW330)&amp;"")</f>
        <v/>
      </c>
      <c r="D330" s="19" t="str">
        <f ca="1">IF(Calc!$AW330="","",INDEX(Calc!$AP$6:$AP$505,Calc!$AW330))</f>
        <v/>
      </c>
      <c r="E330" s="21" t="str">
        <f ca="1">IF(Calc!$AW330="","",IF(INDEX(Calc!$AS$6:$AS$505,Calc!$AW330)="","Shout-out","Milestone"))</f>
        <v/>
      </c>
      <c r="F330" s="22" t="str">
        <f ca="1">IF(Calc!$AW330="","",IF($E330="Shout-out",SUBSTITUTE(SUBSTITUTE(SUBSTITUTE(SUBSTITUTE(Setup!$C$7&amp;"","{name}",IF($B330="","this employee",$B330)),"{years}",$D330),"{yearword}",IF($D330=1,"year","years")),"{company}",Setup!$C$4),IF(INDEX(Calc!$AT$6:$AT$505,Calc!$AW330),"Award ordered. Present it on the anniversary.","Order award by "&amp;TEXT(INDEX(Calc!$AU$6:$AU$505,Calc!$AW330),"mmm d, yyyy")&amp;IF(INDEX(Calc!$AU$6:$AU$505,Calc!$AW330)&lt;Setup!$C$5," (late, order today)",""))))</f>
        <v/>
      </c>
    </row>
    <row r="331" spans="1:6" x14ac:dyDescent="0.2">
      <c r="A331" s="20" t="str">
        <f ca="1">IF(Calc!$AW331="","",INT(Calc!$AV331))</f>
        <v/>
      </c>
      <c r="B331" s="21" t="str">
        <f ca="1">IF(Calc!$AW331="","",INDEX(Roster!$A$6:$A$505,Calc!$AW331)&amp;"")</f>
        <v/>
      </c>
      <c r="C331" s="21" t="str">
        <f ca="1">IF(Calc!$AW331="","",INDEX(Roster!$C$6:$C$505,Calc!$AW331)&amp;"")</f>
        <v/>
      </c>
      <c r="D331" s="19" t="str">
        <f ca="1">IF(Calc!$AW331="","",INDEX(Calc!$AP$6:$AP$505,Calc!$AW331))</f>
        <v/>
      </c>
      <c r="E331" s="21" t="str">
        <f ca="1">IF(Calc!$AW331="","",IF(INDEX(Calc!$AS$6:$AS$505,Calc!$AW331)="","Shout-out","Milestone"))</f>
        <v/>
      </c>
      <c r="F331" s="22" t="str">
        <f ca="1">IF(Calc!$AW331="","",IF($E331="Shout-out",SUBSTITUTE(SUBSTITUTE(SUBSTITUTE(SUBSTITUTE(Setup!$C$7&amp;"","{name}",IF($B331="","this employee",$B331)),"{years}",$D331),"{yearword}",IF($D331=1,"year","years")),"{company}",Setup!$C$4),IF(INDEX(Calc!$AT$6:$AT$505,Calc!$AW331),"Award ordered. Present it on the anniversary.","Order award by "&amp;TEXT(INDEX(Calc!$AU$6:$AU$505,Calc!$AW331),"mmm d, yyyy")&amp;IF(INDEX(Calc!$AU$6:$AU$505,Calc!$AW331)&lt;Setup!$C$5," (late, order today)",""))))</f>
        <v/>
      </c>
    </row>
    <row r="332" spans="1:6" x14ac:dyDescent="0.2">
      <c r="A332" s="20" t="str">
        <f ca="1">IF(Calc!$AW332="","",INT(Calc!$AV332))</f>
        <v/>
      </c>
      <c r="B332" s="21" t="str">
        <f ca="1">IF(Calc!$AW332="","",INDEX(Roster!$A$6:$A$505,Calc!$AW332)&amp;"")</f>
        <v/>
      </c>
      <c r="C332" s="21" t="str">
        <f ca="1">IF(Calc!$AW332="","",INDEX(Roster!$C$6:$C$505,Calc!$AW332)&amp;"")</f>
        <v/>
      </c>
      <c r="D332" s="19" t="str">
        <f ca="1">IF(Calc!$AW332="","",INDEX(Calc!$AP$6:$AP$505,Calc!$AW332))</f>
        <v/>
      </c>
      <c r="E332" s="21" t="str">
        <f ca="1">IF(Calc!$AW332="","",IF(INDEX(Calc!$AS$6:$AS$505,Calc!$AW332)="","Shout-out","Milestone"))</f>
        <v/>
      </c>
      <c r="F332" s="22" t="str">
        <f ca="1">IF(Calc!$AW332="","",IF($E332="Shout-out",SUBSTITUTE(SUBSTITUTE(SUBSTITUTE(SUBSTITUTE(Setup!$C$7&amp;"","{name}",IF($B332="","this employee",$B332)),"{years}",$D332),"{yearword}",IF($D332=1,"year","years")),"{company}",Setup!$C$4),IF(INDEX(Calc!$AT$6:$AT$505,Calc!$AW332),"Award ordered. Present it on the anniversary.","Order award by "&amp;TEXT(INDEX(Calc!$AU$6:$AU$505,Calc!$AW332),"mmm d, yyyy")&amp;IF(INDEX(Calc!$AU$6:$AU$505,Calc!$AW332)&lt;Setup!$C$5," (late, order today)",""))))</f>
        <v/>
      </c>
    </row>
    <row r="333" spans="1:6" x14ac:dyDescent="0.2">
      <c r="A333" s="20" t="str">
        <f ca="1">IF(Calc!$AW333="","",INT(Calc!$AV333))</f>
        <v/>
      </c>
      <c r="B333" s="21" t="str">
        <f ca="1">IF(Calc!$AW333="","",INDEX(Roster!$A$6:$A$505,Calc!$AW333)&amp;"")</f>
        <v/>
      </c>
      <c r="C333" s="21" t="str">
        <f ca="1">IF(Calc!$AW333="","",INDEX(Roster!$C$6:$C$505,Calc!$AW333)&amp;"")</f>
        <v/>
      </c>
      <c r="D333" s="19" t="str">
        <f ca="1">IF(Calc!$AW333="","",INDEX(Calc!$AP$6:$AP$505,Calc!$AW333))</f>
        <v/>
      </c>
      <c r="E333" s="21" t="str">
        <f ca="1">IF(Calc!$AW333="","",IF(INDEX(Calc!$AS$6:$AS$505,Calc!$AW333)="","Shout-out","Milestone"))</f>
        <v/>
      </c>
      <c r="F333" s="22" t="str">
        <f ca="1">IF(Calc!$AW333="","",IF($E333="Shout-out",SUBSTITUTE(SUBSTITUTE(SUBSTITUTE(SUBSTITUTE(Setup!$C$7&amp;"","{name}",IF($B333="","this employee",$B333)),"{years}",$D333),"{yearword}",IF($D333=1,"year","years")),"{company}",Setup!$C$4),IF(INDEX(Calc!$AT$6:$AT$505,Calc!$AW333),"Award ordered. Present it on the anniversary.","Order award by "&amp;TEXT(INDEX(Calc!$AU$6:$AU$505,Calc!$AW333),"mmm d, yyyy")&amp;IF(INDEX(Calc!$AU$6:$AU$505,Calc!$AW333)&lt;Setup!$C$5," (late, order today)",""))))</f>
        <v/>
      </c>
    </row>
    <row r="334" spans="1:6" x14ac:dyDescent="0.2">
      <c r="A334" s="20" t="str">
        <f ca="1">IF(Calc!$AW334="","",INT(Calc!$AV334))</f>
        <v/>
      </c>
      <c r="B334" s="21" t="str">
        <f ca="1">IF(Calc!$AW334="","",INDEX(Roster!$A$6:$A$505,Calc!$AW334)&amp;"")</f>
        <v/>
      </c>
      <c r="C334" s="21" t="str">
        <f ca="1">IF(Calc!$AW334="","",INDEX(Roster!$C$6:$C$505,Calc!$AW334)&amp;"")</f>
        <v/>
      </c>
      <c r="D334" s="19" t="str">
        <f ca="1">IF(Calc!$AW334="","",INDEX(Calc!$AP$6:$AP$505,Calc!$AW334))</f>
        <v/>
      </c>
      <c r="E334" s="21" t="str">
        <f ca="1">IF(Calc!$AW334="","",IF(INDEX(Calc!$AS$6:$AS$505,Calc!$AW334)="","Shout-out","Milestone"))</f>
        <v/>
      </c>
      <c r="F334" s="22" t="str">
        <f ca="1">IF(Calc!$AW334="","",IF($E334="Shout-out",SUBSTITUTE(SUBSTITUTE(SUBSTITUTE(SUBSTITUTE(Setup!$C$7&amp;"","{name}",IF($B334="","this employee",$B334)),"{years}",$D334),"{yearword}",IF($D334=1,"year","years")),"{company}",Setup!$C$4),IF(INDEX(Calc!$AT$6:$AT$505,Calc!$AW334),"Award ordered. Present it on the anniversary.","Order award by "&amp;TEXT(INDEX(Calc!$AU$6:$AU$505,Calc!$AW334),"mmm d, yyyy")&amp;IF(INDEX(Calc!$AU$6:$AU$505,Calc!$AW334)&lt;Setup!$C$5," (late, order today)",""))))</f>
        <v/>
      </c>
    </row>
    <row r="335" spans="1:6" x14ac:dyDescent="0.2">
      <c r="A335" s="20" t="str">
        <f ca="1">IF(Calc!$AW335="","",INT(Calc!$AV335))</f>
        <v/>
      </c>
      <c r="B335" s="21" t="str">
        <f ca="1">IF(Calc!$AW335="","",INDEX(Roster!$A$6:$A$505,Calc!$AW335)&amp;"")</f>
        <v/>
      </c>
      <c r="C335" s="21" t="str">
        <f ca="1">IF(Calc!$AW335="","",INDEX(Roster!$C$6:$C$505,Calc!$AW335)&amp;"")</f>
        <v/>
      </c>
      <c r="D335" s="19" t="str">
        <f ca="1">IF(Calc!$AW335="","",INDEX(Calc!$AP$6:$AP$505,Calc!$AW335))</f>
        <v/>
      </c>
      <c r="E335" s="21" t="str">
        <f ca="1">IF(Calc!$AW335="","",IF(INDEX(Calc!$AS$6:$AS$505,Calc!$AW335)="","Shout-out","Milestone"))</f>
        <v/>
      </c>
      <c r="F335" s="22" t="str">
        <f ca="1">IF(Calc!$AW335="","",IF($E335="Shout-out",SUBSTITUTE(SUBSTITUTE(SUBSTITUTE(SUBSTITUTE(Setup!$C$7&amp;"","{name}",IF($B335="","this employee",$B335)),"{years}",$D335),"{yearword}",IF($D335=1,"year","years")),"{company}",Setup!$C$4),IF(INDEX(Calc!$AT$6:$AT$505,Calc!$AW335),"Award ordered. Present it on the anniversary.","Order award by "&amp;TEXT(INDEX(Calc!$AU$6:$AU$505,Calc!$AW335),"mmm d, yyyy")&amp;IF(INDEX(Calc!$AU$6:$AU$505,Calc!$AW335)&lt;Setup!$C$5," (late, order today)",""))))</f>
        <v/>
      </c>
    </row>
    <row r="336" spans="1:6" x14ac:dyDescent="0.2">
      <c r="A336" s="20" t="str">
        <f ca="1">IF(Calc!$AW336="","",INT(Calc!$AV336))</f>
        <v/>
      </c>
      <c r="B336" s="21" t="str">
        <f ca="1">IF(Calc!$AW336="","",INDEX(Roster!$A$6:$A$505,Calc!$AW336)&amp;"")</f>
        <v/>
      </c>
      <c r="C336" s="21" t="str">
        <f ca="1">IF(Calc!$AW336="","",INDEX(Roster!$C$6:$C$505,Calc!$AW336)&amp;"")</f>
        <v/>
      </c>
      <c r="D336" s="19" t="str">
        <f ca="1">IF(Calc!$AW336="","",INDEX(Calc!$AP$6:$AP$505,Calc!$AW336))</f>
        <v/>
      </c>
      <c r="E336" s="21" t="str">
        <f ca="1">IF(Calc!$AW336="","",IF(INDEX(Calc!$AS$6:$AS$505,Calc!$AW336)="","Shout-out","Milestone"))</f>
        <v/>
      </c>
      <c r="F336" s="22" t="str">
        <f ca="1">IF(Calc!$AW336="","",IF($E336="Shout-out",SUBSTITUTE(SUBSTITUTE(SUBSTITUTE(SUBSTITUTE(Setup!$C$7&amp;"","{name}",IF($B336="","this employee",$B336)),"{years}",$D336),"{yearword}",IF($D336=1,"year","years")),"{company}",Setup!$C$4),IF(INDEX(Calc!$AT$6:$AT$505,Calc!$AW336),"Award ordered. Present it on the anniversary.","Order award by "&amp;TEXT(INDEX(Calc!$AU$6:$AU$505,Calc!$AW336),"mmm d, yyyy")&amp;IF(INDEX(Calc!$AU$6:$AU$505,Calc!$AW336)&lt;Setup!$C$5," (late, order today)",""))))</f>
        <v/>
      </c>
    </row>
    <row r="337" spans="1:6" x14ac:dyDescent="0.2">
      <c r="A337" s="20" t="str">
        <f ca="1">IF(Calc!$AW337="","",INT(Calc!$AV337))</f>
        <v/>
      </c>
      <c r="B337" s="21" t="str">
        <f ca="1">IF(Calc!$AW337="","",INDEX(Roster!$A$6:$A$505,Calc!$AW337)&amp;"")</f>
        <v/>
      </c>
      <c r="C337" s="21" t="str">
        <f ca="1">IF(Calc!$AW337="","",INDEX(Roster!$C$6:$C$505,Calc!$AW337)&amp;"")</f>
        <v/>
      </c>
      <c r="D337" s="19" t="str">
        <f ca="1">IF(Calc!$AW337="","",INDEX(Calc!$AP$6:$AP$505,Calc!$AW337))</f>
        <v/>
      </c>
      <c r="E337" s="21" t="str">
        <f ca="1">IF(Calc!$AW337="","",IF(INDEX(Calc!$AS$6:$AS$505,Calc!$AW337)="","Shout-out","Milestone"))</f>
        <v/>
      </c>
      <c r="F337" s="22" t="str">
        <f ca="1">IF(Calc!$AW337="","",IF($E337="Shout-out",SUBSTITUTE(SUBSTITUTE(SUBSTITUTE(SUBSTITUTE(Setup!$C$7&amp;"","{name}",IF($B337="","this employee",$B337)),"{years}",$D337),"{yearword}",IF($D337=1,"year","years")),"{company}",Setup!$C$4),IF(INDEX(Calc!$AT$6:$AT$505,Calc!$AW337),"Award ordered. Present it on the anniversary.","Order award by "&amp;TEXT(INDEX(Calc!$AU$6:$AU$505,Calc!$AW337),"mmm d, yyyy")&amp;IF(INDEX(Calc!$AU$6:$AU$505,Calc!$AW337)&lt;Setup!$C$5," (late, order today)",""))))</f>
        <v/>
      </c>
    </row>
    <row r="338" spans="1:6" x14ac:dyDescent="0.2">
      <c r="A338" s="20" t="str">
        <f ca="1">IF(Calc!$AW338="","",INT(Calc!$AV338))</f>
        <v/>
      </c>
      <c r="B338" s="21" t="str">
        <f ca="1">IF(Calc!$AW338="","",INDEX(Roster!$A$6:$A$505,Calc!$AW338)&amp;"")</f>
        <v/>
      </c>
      <c r="C338" s="21" t="str">
        <f ca="1">IF(Calc!$AW338="","",INDEX(Roster!$C$6:$C$505,Calc!$AW338)&amp;"")</f>
        <v/>
      </c>
      <c r="D338" s="19" t="str">
        <f ca="1">IF(Calc!$AW338="","",INDEX(Calc!$AP$6:$AP$505,Calc!$AW338))</f>
        <v/>
      </c>
      <c r="E338" s="21" t="str">
        <f ca="1">IF(Calc!$AW338="","",IF(INDEX(Calc!$AS$6:$AS$505,Calc!$AW338)="","Shout-out","Milestone"))</f>
        <v/>
      </c>
      <c r="F338" s="22" t="str">
        <f ca="1">IF(Calc!$AW338="","",IF($E338="Shout-out",SUBSTITUTE(SUBSTITUTE(SUBSTITUTE(SUBSTITUTE(Setup!$C$7&amp;"","{name}",IF($B338="","this employee",$B338)),"{years}",$D338),"{yearword}",IF($D338=1,"year","years")),"{company}",Setup!$C$4),IF(INDEX(Calc!$AT$6:$AT$505,Calc!$AW338),"Award ordered. Present it on the anniversary.","Order award by "&amp;TEXT(INDEX(Calc!$AU$6:$AU$505,Calc!$AW338),"mmm d, yyyy")&amp;IF(INDEX(Calc!$AU$6:$AU$505,Calc!$AW338)&lt;Setup!$C$5," (late, order today)",""))))</f>
        <v/>
      </c>
    </row>
    <row r="339" spans="1:6" x14ac:dyDescent="0.2">
      <c r="A339" s="20" t="str">
        <f ca="1">IF(Calc!$AW339="","",INT(Calc!$AV339))</f>
        <v/>
      </c>
      <c r="B339" s="21" t="str">
        <f ca="1">IF(Calc!$AW339="","",INDEX(Roster!$A$6:$A$505,Calc!$AW339)&amp;"")</f>
        <v/>
      </c>
      <c r="C339" s="21" t="str">
        <f ca="1">IF(Calc!$AW339="","",INDEX(Roster!$C$6:$C$505,Calc!$AW339)&amp;"")</f>
        <v/>
      </c>
      <c r="D339" s="19" t="str">
        <f ca="1">IF(Calc!$AW339="","",INDEX(Calc!$AP$6:$AP$505,Calc!$AW339))</f>
        <v/>
      </c>
      <c r="E339" s="21" t="str">
        <f ca="1">IF(Calc!$AW339="","",IF(INDEX(Calc!$AS$6:$AS$505,Calc!$AW339)="","Shout-out","Milestone"))</f>
        <v/>
      </c>
      <c r="F339" s="22" t="str">
        <f ca="1">IF(Calc!$AW339="","",IF($E339="Shout-out",SUBSTITUTE(SUBSTITUTE(SUBSTITUTE(SUBSTITUTE(Setup!$C$7&amp;"","{name}",IF($B339="","this employee",$B339)),"{years}",$D339),"{yearword}",IF($D339=1,"year","years")),"{company}",Setup!$C$4),IF(INDEX(Calc!$AT$6:$AT$505,Calc!$AW339),"Award ordered. Present it on the anniversary.","Order award by "&amp;TEXT(INDEX(Calc!$AU$6:$AU$505,Calc!$AW339),"mmm d, yyyy")&amp;IF(INDEX(Calc!$AU$6:$AU$505,Calc!$AW339)&lt;Setup!$C$5," (late, order today)",""))))</f>
        <v/>
      </c>
    </row>
    <row r="340" spans="1:6" x14ac:dyDescent="0.2">
      <c r="A340" s="20" t="str">
        <f ca="1">IF(Calc!$AW340="","",INT(Calc!$AV340))</f>
        <v/>
      </c>
      <c r="B340" s="21" t="str">
        <f ca="1">IF(Calc!$AW340="","",INDEX(Roster!$A$6:$A$505,Calc!$AW340)&amp;"")</f>
        <v/>
      </c>
      <c r="C340" s="21" t="str">
        <f ca="1">IF(Calc!$AW340="","",INDEX(Roster!$C$6:$C$505,Calc!$AW340)&amp;"")</f>
        <v/>
      </c>
      <c r="D340" s="19" t="str">
        <f ca="1">IF(Calc!$AW340="","",INDEX(Calc!$AP$6:$AP$505,Calc!$AW340))</f>
        <v/>
      </c>
      <c r="E340" s="21" t="str">
        <f ca="1">IF(Calc!$AW340="","",IF(INDEX(Calc!$AS$6:$AS$505,Calc!$AW340)="","Shout-out","Milestone"))</f>
        <v/>
      </c>
      <c r="F340" s="22" t="str">
        <f ca="1">IF(Calc!$AW340="","",IF($E340="Shout-out",SUBSTITUTE(SUBSTITUTE(SUBSTITUTE(SUBSTITUTE(Setup!$C$7&amp;"","{name}",IF($B340="","this employee",$B340)),"{years}",$D340),"{yearword}",IF($D340=1,"year","years")),"{company}",Setup!$C$4),IF(INDEX(Calc!$AT$6:$AT$505,Calc!$AW340),"Award ordered. Present it on the anniversary.","Order award by "&amp;TEXT(INDEX(Calc!$AU$6:$AU$505,Calc!$AW340),"mmm d, yyyy")&amp;IF(INDEX(Calc!$AU$6:$AU$505,Calc!$AW340)&lt;Setup!$C$5," (late, order today)",""))))</f>
        <v/>
      </c>
    </row>
    <row r="341" spans="1:6" x14ac:dyDescent="0.2">
      <c r="A341" s="20" t="str">
        <f ca="1">IF(Calc!$AW341="","",INT(Calc!$AV341))</f>
        <v/>
      </c>
      <c r="B341" s="21" t="str">
        <f ca="1">IF(Calc!$AW341="","",INDEX(Roster!$A$6:$A$505,Calc!$AW341)&amp;"")</f>
        <v/>
      </c>
      <c r="C341" s="21" t="str">
        <f ca="1">IF(Calc!$AW341="","",INDEX(Roster!$C$6:$C$505,Calc!$AW341)&amp;"")</f>
        <v/>
      </c>
      <c r="D341" s="19" t="str">
        <f ca="1">IF(Calc!$AW341="","",INDEX(Calc!$AP$6:$AP$505,Calc!$AW341))</f>
        <v/>
      </c>
      <c r="E341" s="21" t="str">
        <f ca="1">IF(Calc!$AW341="","",IF(INDEX(Calc!$AS$6:$AS$505,Calc!$AW341)="","Shout-out","Milestone"))</f>
        <v/>
      </c>
      <c r="F341" s="22" t="str">
        <f ca="1">IF(Calc!$AW341="","",IF($E341="Shout-out",SUBSTITUTE(SUBSTITUTE(SUBSTITUTE(SUBSTITUTE(Setup!$C$7&amp;"","{name}",IF($B341="","this employee",$B341)),"{years}",$D341),"{yearword}",IF($D341=1,"year","years")),"{company}",Setup!$C$4),IF(INDEX(Calc!$AT$6:$AT$505,Calc!$AW341),"Award ordered. Present it on the anniversary.","Order award by "&amp;TEXT(INDEX(Calc!$AU$6:$AU$505,Calc!$AW341),"mmm d, yyyy")&amp;IF(INDEX(Calc!$AU$6:$AU$505,Calc!$AW341)&lt;Setup!$C$5," (late, order today)",""))))</f>
        <v/>
      </c>
    </row>
    <row r="342" spans="1:6" x14ac:dyDescent="0.2">
      <c r="A342" s="20" t="str">
        <f ca="1">IF(Calc!$AW342="","",INT(Calc!$AV342))</f>
        <v/>
      </c>
      <c r="B342" s="21" t="str">
        <f ca="1">IF(Calc!$AW342="","",INDEX(Roster!$A$6:$A$505,Calc!$AW342)&amp;"")</f>
        <v/>
      </c>
      <c r="C342" s="21" t="str">
        <f ca="1">IF(Calc!$AW342="","",INDEX(Roster!$C$6:$C$505,Calc!$AW342)&amp;"")</f>
        <v/>
      </c>
      <c r="D342" s="19" t="str">
        <f ca="1">IF(Calc!$AW342="","",INDEX(Calc!$AP$6:$AP$505,Calc!$AW342))</f>
        <v/>
      </c>
      <c r="E342" s="21" t="str">
        <f ca="1">IF(Calc!$AW342="","",IF(INDEX(Calc!$AS$6:$AS$505,Calc!$AW342)="","Shout-out","Milestone"))</f>
        <v/>
      </c>
      <c r="F342" s="22" t="str">
        <f ca="1">IF(Calc!$AW342="","",IF($E342="Shout-out",SUBSTITUTE(SUBSTITUTE(SUBSTITUTE(SUBSTITUTE(Setup!$C$7&amp;"","{name}",IF($B342="","this employee",$B342)),"{years}",$D342),"{yearword}",IF($D342=1,"year","years")),"{company}",Setup!$C$4),IF(INDEX(Calc!$AT$6:$AT$505,Calc!$AW342),"Award ordered. Present it on the anniversary.","Order award by "&amp;TEXT(INDEX(Calc!$AU$6:$AU$505,Calc!$AW342),"mmm d, yyyy")&amp;IF(INDEX(Calc!$AU$6:$AU$505,Calc!$AW342)&lt;Setup!$C$5," (late, order today)",""))))</f>
        <v/>
      </c>
    </row>
    <row r="343" spans="1:6" x14ac:dyDescent="0.2">
      <c r="A343" s="20" t="str">
        <f ca="1">IF(Calc!$AW343="","",INT(Calc!$AV343))</f>
        <v/>
      </c>
      <c r="B343" s="21" t="str">
        <f ca="1">IF(Calc!$AW343="","",INDEX(Roster!$A$6:$A$505,Calc!$AW343)&amp;"")</f>
        <v/>
      </c>
      <c r="C343" s="21" t="str">
        <f ca="1">IF(Calc!$AW343="","",INDEX(Roster!$C$6:$C$505,Calc!$AW343)&amp;"")</f>
        <v/>
      </c>
      <c r="D343" s="19" t="str">
        <f ca="1">IF(Calc!$AW343="","",INDEX(Calc!$AP$6:$AP$505,Calc!$AW343))</f>
        <v/>
      </c>
      <c r="E343" s="21" t="str">
        <f ca="1">IF(Calc!$AW343="","",IF(INDEX(Calc!$AS$6:$AS$505,Calc!$AW343)="","Shout-out","Milestone"))</f>
        <v/>
      </c>
      <c r="F343" s="22" t="str">
        <f ca="1">IF(Calc!$AW343="","",IF($E343="Shout-out",SUBSTITUTE(SUBSTITUTE(SUBSTITUTE(SUBSTITUTE(Setup!$C$7&amp;"","{name}",IF($B343="","this employee",$B343)),"{years}",$D343),"{yearword}",IF($D343=1,"year","years")),"{company}",Setup!$C$4),IF(INDEX(Calc!$AT$6:$AT$505,Calc!$AW343),"Award ordered. Present it on the anniversary.","Order award by "&amp;TEXT(INDEX(Calc!$AU$6:$AU$505,Calc!$AW343),"mmm d, yyyy")&amp;IF(INDEX(Calc!$AU$6:$AU$505,Calc!$AW343)&lt;Setup!$C$5," (late, order today)",""))))</f>
        <v/>
      </c>
    </row>
    <row r="344" spans="1:6" x14ac:dyDescent="0.2">
      <c r="A344" s="20" t="str">
        <f ca="1">IF(Calc!$AW344="","",INT(Calc!$AV344))</f>
        <v/>
      </c>
      <c r="B344" s="21" t="str">
        <f ca="1">IF(Calc!$AW344="","",INDEX(Roster!$A$6:$A$505,Calc!$AW344)&amp;"")</f>
        <v/>
      </c>
      <c r="C344" s="21" t="str">
        <f ca="1">IF(Calc!$AW344="","",INDEX(Roster!$C$6:$C$505,Calc!$AW344)&amp;"")</f>
        <v/>
      </c>
      <c r="D344" s="19" t="str">
        <f ca="1">IF(Calc!$AW344="","",INDEX(Calc!$AP$6:$AP$505,Calc!$AW344))</f>
        <v/>
      </c>
      <c r="E344" s="21" t="str">
        <f ca="1">IF(Calc!$AW344="","",IF(INDEX(Calc!$AS$6:$AS$505,Calc!$AW344)="","Shout-out","Milestone"))</f>
        <v/>
      </c>
      <c r="F344" s="22" t="str">
        <f ca="1">IF(Calc!$AW344="","",IF($E344="Shout-out",SUBSTITUTE(SUBSTITUTE(SUBSTITUTE(SUBSTITUTE(Setup!$C$7&amp;"","{name}",IF($B344="","this employee",$B344)),"{years}",$D344),"{yearword}",IF($D344=1,"year","years")),"{company}",Setup!$C$4),IF(INDEX(Calc!$AT$6:$AT$505,Calc!$AW344),"Award ordered. Present it on the anniversary.","Order award by "&amp;TEXT(INDEX(Calc!$AU$6:$AU$505,Calc!$AW344),"mmm d, yyyy")&amp;IF(INDEX(Calc!$AU$6:$AU$505,Calc!$AW344)&lt;Setup!$C$5," (late, order today)",""))))</f>
        <v/>
      </c>
    </row>
    <row r="345" spans="1:6" x14ac:dyDescent="0.2">
      <c r="A345" s="20" t="str">
        <f ca="1">IF(Calc!$AW345="","",INT(Calc!$AV345))</f>
        <v/>
      </c>
      <c r="B345" s="21" t="str">
        <f ca="1">IF(Calc!$AW345="","",INDEX(Roster!$A$6:$A$505,Calc!$AW345)&amp;"")</f>
        <v/>
      </c>
      <c r="C345" s="21" t="str">
        <f ca="1">IF(Calc!$AW345="","",INDEX(Roster!$C$6:$C$505,Calc!$AW345)&amp;"")</f>
        <v/>
      </c>
      <c r="D345" s="19" t="str">
        <f ca="1">IF(Calc!$AW345="","",INDEX(Calc!$AP$6:$AP$505,Calc!$AW345))</f>
        <v/>
      </c>
      <c r="E345" s="21" t="str">
        <f ca="1">IF(Calc!$AW345="","",IF(INDEX(Calc!$AS$6:$AS$505,Calc!$AW345)="","Shout-out","Milestone"))</f>
        <v/>
      </c>
      <c r="F345" s="22" t="str">
        <f ca="1">IF(Calc!$AW345="","",IF($E345="Shout-out",SUBSTITUTE(SUBSTITUTE(SUBSTITUTE(SUBSTITUTE(Setup!$C$7&amp;"","{name}",IF($B345="","this employee",$B345)),"{years}",$D345),"{yearword}",IF($D345=1,"year","years")),"{company}",Setup!$C$4),IF(INDEX(Calc!$AT$6:$AT$505,Calc!$AW345),"Award ordered. Present it on the anniversary.","Order award by "&amp;TEXT(INDEX(Calc!$AU$6:$AU$505,Calc!$AW345),"mmm d, yyyy")&amp;IF(INDEX(Calc!$AU$6:$AU$505,Calc!$AW345)&lt;Setup!$C$5," (late, order today)",""))))</f>
        <v/>
      </c>
    </row>
    <row r="346" spans="1:6" x14ac:dyDescent="0.2">
      <c r="A346" s="20" t="str">
        <f ca="1">IF(Calc!$AW346="","",INT(Calc!$AV346))</f>
        <v/>
      </c>
      <c r="B346" s="21" t="str">
        <f ca="1">IF(Calc!$AW346="","",INDEX(Roster!$A$6:$A$505,Calc!$AW346)&amp;"")</f>
        <v/>
      </c>
      <c r="C346" s="21" t="str">
        <f ca="1">IF(Calc!$AW346="","",INDEX(Roster!$C$6:$C$505,Calc!$AW346)&amp;"")</f>
        <v/>
      </c>
      <c r="D346" s="19" t="str">
        <f ca="1">IF(Calc!$AW346="","",INDEX(Calc!$AP$6:$AP$505,Calc!$AW346))</f>
        <v/>
      </c>
      <c r="E346" s="21" t="str">
        <f ca="1">IF(Calc!$AW346="","",IF(INDEX(Calc!$AS$6:$AS$505,Calc!$AW346)="","Shout-out","Milestone"))</f>
        <v/>
      </c>
      <c r="F346" s="22" t="str">
        <f ca="1">IF(Calc!$AW346="","",IF($E346="Shout-out",SUBSTITUTE(SUBSTITUTE(SUBSTITUTE(SUBSTITUTE(Setup!$C$7&amp;"","{name}",IF($B346="","this employee",$B346)),"{years}",$D346),"{yearword}",IF($D346=1,"year","years")),"{company}",Setup!$C$4),IF(INDEX(Calc!$AT$6:$AT$505,Calc!$AW346),"Award ordered. Present it on the anniversary.","Order award by "&amp;TEXT(INDEX(Calc!$AU$6:$AU$505,Calc!$AW346),"mmm d, yyyy")&amp;IF(INDEX(Calc!$AU$6:$AU$505,Calc!$AW346)&lt;Setup!$C$5," (late, order today)",""))))</f>
        <v/>
      </c>
    </row>
    <row r="347" spans="1:6" x14ac:dyDescent="0.2">
      <c r="A347" s="20" t="str">
        <f ca="1">IF(Calc!$AW347="","",INT(Calc!$AV347))</f>
        <v/>
      </c>
      <c r="B347" s="21" t="str">
        <f ca="1">IF(Calc!$AW347="","",INDEX(Roster!$A$6:$A$505,Calc!$AW347)&amp;"")</f>
        <v/>
      </c>
      <c r="C347" s="21" t="str">
        <f ca="1">IF(Calc!$AW347="","",INDEX(Roster!$C$6:$C$505,Calc!$AW347)&amp;"")</f>
        <v/>
      </c>
      <c r="D347" s="19" t="str">
        <f ca="1">IF(Calc!$AW347="","",INDEX(Calc!$AP$6:$AP$505,Calc!$AW347))</f>
        <v/>
      </c>
      <c r="E347" s="21" t="str">
        <f ca="1">IF(Calc!$AW347="","",IF(INDEX(Calc!$AS$6:$AS$505,Calc!$AW347)="","Shout-out","Milestone"))</f>
        <v/>
      </c>
      <c r="F347" s="22" t="str">
        <f ca="1">IF(Calc!$AW347="","",IF($E347="Shout-out",SUBSTITUTE(SUBSTITUTE(SUBSTITUTE(SUBSTITUTE(Setup!$C$7&amp;"","{name}",IF($B347="","this employee",$B347)),"{years}",$D347),"{yearword}",IF($D347=1,"year","years")),"{company}",Setup!$C$4),IF(INDEX(Calc!$AT$6:$AT$505,Calc!$AW347),"Award ordered. Present it on the anniversary.","Order award by "&amp;TEXT(INDEX(Calc!$AU$6:$AU$505,Calc!$AW347),"mmm d, yyyy")&amp;IF(INDEX(Calc!$AU$6:$AU$505,Calc!$AW347)&lt;Setup!$C$5," (late, order today)",""))))</f>
        <v/>
      </c>
    </row>
    <row r="348" spans="1:6" x14ac:dyDescent="0.2">
      <c r="A348" s="20" t="str">
        <f ca="1">IF(Calc!$AW348="","",INT(Calc!$AV348))</f>
        <v/>
      </c>
      <c r="B348" s="21" t="str">
        <f ca="1">IF(Calc!$AW348="","",INDEX(Roster!$A$6:$A$505,Calc!$AW348)&amp;"")</f>
        <v/>
      </c>
      <c r="C348" s="21" t="str">
        <f ca="1">IF(Calc!$AW348="","",INDEX(Roster!$C$6:$C$505,Calc!$AW348)&amp;"")</f>
        <v/>
      </c>
      <c r="D348" s="19" t="str">
        <f ca="1">IF(Calc!$AW348="","",INDEX(Calc!$AP$6:$AP$505,Calc!$AW348))</f>
        <v/>
      </c>
      <c r="E348" s="21" t="str">
        <f ca="1">IF(Calc!$AW348="","",IF(INDEX(Calc!$AS$6:$AS$505,Calc!$AW348)="","Shout-out","Milestone"))</f>
        <v/>
      </c>
      <c r="F348" s="22" t="str">
        <f ca="1">IF(Calc!$AW348="","",IF($E348="Shout-out",SUBSTITUTE(SUBSTITUTE(SUBSTITUTE(SUBSTITUTE(Setup!$C$7&amp;"","{name}",IF($B348="","this employee",$B348)),"{years}",$D348),"{yearword}",IF($D348=1,"year","years")),"{company}",Setup!$C$4),IF(INDEX(Calc!$AT$6:$AT$505,Calc!$AW348),"Award ordered. Present it on the anniversary.","Order award by "&amp;TEXT(INDEX(Calc!$AU$6:$AU$505,Calc!$AW348),"mmm d, yyyy")&amp;IF(INDEX(Calc!$AU$6:$AU$505,Calc!$AW348)&lt;Setup!$C$5," (late, order today)",""))))</f>
        <v/>
      </c>
    </row>
    <row r="349" spans="1:6" x14ac:dyDescent="0.2">
      <c r="A349" s="20" t="str">
        <f ca="1">IF(Calc!$AW349="","",INT(Calc!$AV349))</f>
        <v/>
      </c>
      <c r="B349" s="21" t="str">
        <f ca="1">IF(Calc!$AW349="","",INDEX(Roster!$A$6:$A$505,Calc!$AW349)&amp;"")</f>
        <v/>
      </c>
      <c r="C349" s="21" t="str">
        <f ca="1">IF(Calc!$AW349="","",INDEX(Roster!$C$6:$C$505,Calc!$AW349)&amp;"")</f>
        <v/>
      </c>
      <c r="D349" s="19" t="str">
        <f ca="1">IF(Calc!$AW349="","",INDEX(Calc!$AP$6:$AP$505,Calc!$AW349))</f>
        <v/>
      </c>
      <c r="E349" s="21" t="str">
        <f ca="1">IF(Calc!$AW349="","",IF(INDEX(Calc!$AS$6:$AS$505,Calc!$AW349)="","Shout-out","Milestone"))</f>
        <v/>
      </c>
      <c r="F349" s="22" t="str">
        <f ca="1">IF(Calc!$AW349="","",IF($E349="Shout-out",SUBSTITUTE(SUBSTITUTE(SUBSTITUTE(SUBSTITUTE(Setup!$C$7&amp;"","{name}",IF($B349="","this employee",$B349)),"{years}",$D349),"{yearword}",IF($D349=1,"year","years")),"{company}",Setup!$C$4),IF(INDEX(Calc!$AT$6:$AT$505,Calc!$AW349),"Award ordered. Present it on the anniversary.","Order award by "&amp;TEXT(INDEX(Calc!$AU$6:$AU$505,Calc!$AW349),"mmm d, yyyy")&amp;IF(INDEX(Calc!$AU$6:$AU$505,Calc!$AW349)&lt;Setup!$C$5," (late, order today)",""))))</f>
        <v/>
      </c>
    </row>
    <row r="350" spans="1:6" x14ac:dyDescent="0.2">
      <c r="A350" s="20" t="str">
        <f ca="1">IF(Calc!$AW350="","",INT(Calc!$AV350))</f>
        <v/>
      </c>
      <c r="B350" s="21" t="str">
        <f ca="1">IF(Calc!$AW350="","",INDEX(Roster!$A$6:$A$505,Calc!$AW350)&amp;"")</f>
        <v/>
      </c>
      <c r="C350" s="21" t="str">
        <f ca="1">IF(Calc!$AW350="","",INDEX(Roster!$C$6:$C$505,Calc!$AW350)&amp;"")</f>
        <v/>
      </c>
      <c r="D350" s="19" t="str">
        <f ca="1">IF(Calc!$AW350="","",INDEX(Calc!$AP$6:$AP$505,Calc!$AW350))</f>
        <v/>
      </c>
      <c r="E350" s="21" t="str">
        <f ca="1">IF(Calc!$AW350="","",IF(INDEX(Calc!$AS$6:$AS$505,Calc!$AW350)="","Shout-out","Milestone"))</f>
        <v/>
      </c>
      <c r="F350" s="22" t="str">
        <f ca="1">IF(Calc!$AW350="","",IF($E350="Shout-out",SUBSTITUTE(SUBSTITUTE(SUBSTITUTE(SUBSTITUTE(Setup!$C$7&amp;"","{name}",IF($B350="","this employee",$B350)),"{years}",$D350),"{yearword}",IF($D350=1,"year","years")),"{company}",Setup!$C$4),IF(INDEX(Calc!$AT$6:$AT$505,Calc!$AW350),"Award ordered. Present it on the anniversary.","Order award by "&amp;TEXT(INDEX(Calc!$AU$6:$AU$505,Calc!$AW350),"mmm d, yyyy")&amp;IF(INDEX(Calc!$AU$6:$AU$505,Calc!$AW350)&lt;Setup!$C$5," (late, order today)",""))))</f>
        <v/>
      </c>
    </row>
    <row r="351" spans="1:6" x14ac:dyDescent="0.2">
      <c r="A351" s="20" t="str">
        <f ca="1">IF(Calc!$AW351="","",INT(Calc!$AV351))</f>
        <v/>
      </c>
      <c r="B351" s="21" t="str">
        <f ca="1">IF(Calc!$AW351="","",INDEX(Roster!$A$6:$A$505,Calc!$AW351)&amp;"")</f>
        <v/>
      </c>
      <c r="C351" s="21" t="str">
        <f ca="1">IF(Calc!$AW351="","",INDEX(Roster!$C$6:$C$505,Calc!$AW351)&amp;"")</f>
        <v/>
      </c>
      <c r="D351" s="19" t="str">
        <f ca="1">IF(Calc!$AW351="","",INDEX(Calc!$AP$6:$AP$505,Calc!$AW351))</f>
        <v/>
      </c>
      <c r="E351" s="21" t="str">
        <f ca="1">IF(Calc!$AW351="","",IF(INDEX(Calc!$AS$6:$AS$505,Calc!$AW351)="","Shout-out","Milestone"))</f>
        <v/>
      </c>
      <c r="F351" s="22" t="str">
        <f ca="1">IF(Calc!$AW351="","",IF($E351="Shout-out",SUBSTITUTE(SUBSTITUTE(SUBSTITUTE(SUBSTITUTE(Setup!$C$7&amp;"","{name}",IF($B351="","this employee",$B351)),"{years}",$D351),"{yearword}",IF($D351=1,"year","years")),"{company}",Setup!$C$4),IF(INDEX(Calc!$AT$6:$AT$505,Calc!$AW351),"Award ordered. Present it on the anniversary.","Order award by "&amp;TEXT(INDEX(Calc!$AU$6:$AU$505,Calc!$AW351),"mmm d, yyyy")&amp;IF(INDEX(Calc!$AU$6:$AU$505,Calc!$AW351)&lt;Setup!$C$5," (late, order today)",""))))</f>
        <v/>
      </c>
    </row>
    <row r="352" spans="1:6" x14ac:dyDescent="0.2">
      <c r="A352" s="20" t="str">
        <f ca="1">IF(Calc!$AW352="","",INT(Calc!$AV352))</f>
        <v/>
      </c>
      <c r="B352" s="21" t="str">
        <f ca="1">IF(Calc!$AW352="","",INDEX(Roster!$A$6:$A$505,Calc!$AW352)&amp;"")</f>
        <v/>
      </c>
      <c r="C352" s="21" t="str">
        <f ca="1">IF(Calc!$AW352="","",INDEX(Roster!$C$6:$C$505,Calc!$AW352)&amp;"")</f>
        <v/>
      </c>
      <c r="D352" s="19" t="str">
        <f ca="1">IF(Calc!$AW352="","",INDEX(Calc!$AP$6:$AP$505,Calc!$AW352))</f>
        <v/>
      </c>
      <c r="E352" s="21" t="str">
        <f ca="1">IF(Calc!$AW352="","",IF(INDEX(Calc!$AS$6:$AS$505,Calc!$AW352)="","Shout-out","Milestone"))</f>
        <v/>
      </c>
      <c r="F352" s="22" t="str">
        <f ca="1">IF(Calc!$AW352="","",IF($E352="Shout-out",SUBSTITUTE(SUBSTITUTE(SUBSTITUTE(SUBSTITUTE(Setup!$C$7&amp;"","{name}",IF($B352="","this employee",$B352)),"{years}",$D352),"{yearword}",IF($D352=1,"year","years")),"{company}",Setup!$C$4),IF(INDEX(Calc!$AT$6:$AT$505,Calc!$AW352),"Award ordered. Present it on the anniversary.","Order award by "&amp;TEXT(INDEX(Calc!$AU$6:$AU$505,Calc!$AW352),"mmm d, yyyy")&amp;IF(INDEX(Calc!$AU$6:$AU$505,Calc!$AW352)&lt;Setup!$C$5," (late, order today)",""))))</f>
        <v/>
      </c>
    </row>
    <row r="353" spans="1:6" x14ac:dyDescent="0.2">
      <c r="A353" s="20" t="str">
        <f ca="1">IF(Calc!$AW353="","",INT(Calc!$AV353))</f>
        <v/>
      </c>
      <c r="B353" s="21" t="str">
        <f ca="1">IF(Calc!$AW353="","",INDEX(Roster!$A$6:$A$505,Calc!$AW353)&amp;"")</f>
        <v/>
      </c>
      <c r="C353" s="21" t="str">
        <f ca="1">IF(Calc!$AW353="","",INDEX(Roster!$C$6:$C$505,Calc!$AW353)&amp;"")</f>
        <v/>
      </c>
      <c r="D353" s="19" t="str">
        <f ca="1">IF(Calc!$AW353="","",INDEX(Calc!$AP$6:$AP$505,Calc!$AW353))</f>
        <v/>
      </c>
      <c r="E353" s="21" t="str">
        <f ca="1">IF(Calc!$AW353="","",IF(INDEX(Calc!$AS$6:$AS$505,Calc!$AW353)="","Shout-out","Milestone"))</f>
        <v/>
      </c>
      <c r="F353" s="22" t="str">
        <f ca="1">IF(Calc!$AW353="","",IF($E353="Shout-out",SUBSTITUTE(SUBSTITUTE(SUBSTITUTE(SUBSTITUTE(Setup!$C$7&amp;"","{name}",IF($B353="","this employee",$B353)),"{years}",$D353),"{yearword}",IF($D353=1,"year","years")),"{company}",Setup!$C$4),IF(INDEX(Calc!$AT$6:$AT$505,Calc!$AW353),"Award ordered. Present it on the anniversary.","Order award by "&amp;TEXT(INDEX(Calc!$AU$6:$AU$505,Calc!$AW353),"mmm d, yyyy")&amp;IF(INDEX(Calc!$AU$6:$AU$505,Calc!$AW353)&lt;Setup!$C$5," (late, order today)",""))))</f>
        <v/>
      </c>
    </row>
    <row r="354" spans="1:6" x14ac:dyDescent="0.2">
      <c r="A354" s="20" t="str">
        <f ca="1">IF(Calc!$AW354="","",INT(Calc!$AV354))</f>
        <v/>
      </c>
      <c r="B354" s="21" t="str">
        <f ca="1">IF(Calc!$AW354="","",INDEX(Roster!$A$6:$A$505,Calc!$AW354)&amp;"")</f>
        <v/>
      </c>
      <c r="C354" s="21" t="str">
        <f ca="1">IF(Calc!$AW354="","",INDEX(Roster!$C$6:$C$505,Calc!$AW354)&amp;"")</f>
        <v/>
      </c>
      <c r="D354" s="19" t="str">
        <f ca="1">IF(Calc!$AW354="","",INDEX(Calc!$AP$6:$AP$505,Calc!$AW354))</f>
        <v/>
      </c>
      <c r="E354" s="21" t="str">
        <f ca="1">IF(Calc!$AW354="","",IF(INDEX(Calc!$AS$6:$AS$505,Calc!$AW354)="","Shout-out","Milestone"))</f>
        <v/>
      </c>
      <c r="F354" s="22" t="str">
        <f ca="1">IF(Calc!$AW354="","",IF($E354="Shout-out",SUBSTITUTE(SUBSTITUTE(SUBSTITUTE(SUBSTITUTE(Setup!$C$7&amp;"","{name}",IF($B354="","this employee",$B354)),"{years}",$D354),"{yearword}",IF($D354=1,"year","years")),"{company}",Setup!$C$4),IF(INDEX(Calc!$AT$6:$AT$505,Calc!$AW354),"Award ordered. Present it on the anniversary.","Order award by "&amp;TEXT(INDEX(Calc!$AU$6:$AU$505,Calc!$AW354),"mmm d, yyyy")&amp;IF(INDEX(Calc!$AU$6:$AU$505,Calc!$AW354)&lt;Setup!$C$5," (late, order today)",""))))</f>
        <v/>
      </c>
    </row>
    <row r="355" spans="1:6" x14ac:dyDescent="0.2">
      <c r="A355" s="20" t="str">
        <f ca="1">IF(Calc!$AW355="","",INT(Calc!$AV355))</f>
        <v/>
      </c>
      <c r="B355" s="21" t="str">
        <f ca="1">IF(Calc!$AW355="","",INDEX(Roster!$A$6:$A$505,Calc!$AW355)&amp;"")</f>
        <v/>
      </c>
      <c r="C355" s="21" t="str">
        <f ca="1">IF(Calc!$AW355="","",INDEX(Roster!$C$6:$C$505,Calc!$AW355)&amp;"")</f>
        <v/>
      </c>
      <c r="D355" s="19" t="str">
        <f ca="1">IF(Calc!$AW355="","",INDEX(Calc!$AP$6:$AP$505,Calc!$AW355))</f>
        <v/>
      </c>
      <c r="E355" s="21" t="str">
        <f ca="1">IF(Calc!$AW355="","",IF(INDEX(Calc!$AS$6:$AS$505,Calc!$AW355)="","Shout-out","Milestone"))</f>
        <v/>
      </c>
      <c r="F355" s="22" t="str">
        <f ca="1">IF(Calc!$AW355="","",IF($E355="Shout-out",SUBSTITUTE(SUBSTITUTE(SUBSTITUTE(SUBSTITUTE(Setup!$C$7&amp;"","{name}",IF($B355="","this employee",$B355)),"{years}",$D355),"{yearword}",IF($D355=1,"year","years")),"{company}",Setup!$C$4),IF(INDEX(Calc!$AT$6:$AT$505,Calc!$AW355),"Award ordered. Present it on the anniversary.","Order award by "&amp;TEXT(INDEX(Calc!$AU$6:$AU$505,Calc!$AW355),"mmm d, yyyy")&amp;IF(INDEX(Calc!$AU$6:$AU$505,Calc!$AW355)&lt;Setup!$C$5," (late, order today)",""))))</f>
        <v/>
      </c>
    </row>
    <row r="356" spans="1:6" x14ac:dyDescent="0.2">
      <c r="A356" s="20" t="str">
        <f ca="1">IF(Calc!$AW356="","",INT(Calc!$AV356))</f>
        <v/>
      </c>
      <c r="B356" s="21" t="str">
        <f ca="1">IF(Calc!$AW356="","",INDEX(Roster!$A$6:$A$505,Calc!$AW356)&amp;"")</f>
        <v/>
      </c>
      <c r="C356" s="21" t="str">
        <f ca="1">IF(Calc!$AW356="","",INDEX(Roster!$C$6:$C$505,Calc!$AW356)&amp;"")</f>
        <v/>
      </c>
      <c r="D356" s="19" t="str">
        <f ca="1">IF(Calc!$AW356="","",INDEX(Calc!$AP$6:$AP$505,Calc!$AW356))</f>
        <v/>
      </c>
      <c r="E356" s="21" t="str">
        <f ca="1">IF(Calc!$AW356="","",IF(INDEX(Calc!$AS$6:$AS$505,Calc!$AW356)="","Shout-out","Milestone"))</f>
        <v/>
      </c>
      <c r="F356" s="22" t="str">
        <f ca="1">IF(Calc!$AW356="","",IF($E356="Shout-out",SUBSTITUTE(SUBSTITUTE(SUBSTITUTE(SUBSTITUTE(Setup!$C$7&amp;"","{name}",IF($B356="","this employee",$B356)),"{years}",$D356),"{yearword}",IF($D356=1,"year","years")),"{company}",Setup!$C$4),IF(INDEX(Calc!$AT$6:$AT$505,Calc!$AW356),"Award ordered. Present it on the anniversary.","Order award by "&amp;TEXT(INDEX(Calc!$AU$6:$AU$505,Calc!$AW356),"mmm d, yyyy")&amp;IF(INDEX(Calc!$AU$6:$AU$505,Calc!$AW356)&lt;Setup!$C$5," (late, order today)",""))))</f>
        <v/>
      </c>
    </row>
    <row r="357" spans="1:6" x14ac:dyDescent="0.2">
      <c r="A357" s="20" t="str">
        <f ca="1">IF(Calc!$AW357="","",INT(Calc!$AV357))</f>
        <v/>
      </c>
      <c r="B357" s="21" t="str">
        <f ca="1">IF(Calc!$AW357="","",INDEX(Roster!$A$6:$A$505,Calc!$AW357)&amp;"")</f>
        <v/>
      </c>
      <c r="C357" s="21" t="str">
        <f ca="1">IF(Calc!$AW357="","",INDEX(Roster!$C$6:$C$505,Calc!$AW357)&amp;"")</f>
        <v/>
      </c>
      <c r="D357" s="19" t="str">
        <f ca="1">IF(Calc!$AW357="","",INDEX(Calc!$AP$6:$AP$505,Calc!$AW357))</f>
        <v/>
      </c>
      <c r="E357" s="21" t="str">
        <f ca="1">IF(Calc!$AW357="","",IF(INDEX(Calc!$AS$6:$AS$505,Calc!$AW357)="","Shout-out","Milestone"))</f>
        <v/>
      </c>
      <c r="F357" s="22" t="str">
        <f ca="1">IF(Calc!$AW357="","",IF($E357="Shout-out",SUBSTITUTE(SUBSTITUTE(SUBSTITUTE(SUBSTITUTE(Setup!$C$7&amp;"","{name}",IF($B357="","this employee",$B357)),"{years}",$D357),"{yearword}",IF($D357=1,"year","years")),"{company}",Setup!$C$4),IF(INDEX(Calc!$AT$6:$AT$505,Calc!$AW357),"Award ordered. Present it on the anniversary.","Order award by "&amp;TEXT(INDEX(Calc!$AU$6:$AU$505,Calc!$AW357),"mmm d, yyyy")&amp;IF(INDEX(Calc!$AU$6:$AU$505,Calc!$AW357)&lt;Setup!$C$5," (late, order today)",""))))</f>
        <v/>
      </c>
    </row>
    <row r="358" spans="1:6" x14ac:dyDescent="0.2">
      <c r="A358" s="20" t="str">
        <f ca="1">IF(Calc!$AW358="","",INT(Calc!$AV358))</f>
        <v/>
      </c>
      <c r="B358" s="21" t="str">
        <f ca="1">IF(Calc!$AW358="","",INDEX(Roster!$A$6:$A$505,Calc!$AW358)&amp;"")</f>
        <v/>
      </c>
      <c r="C358" s="21" t="str">
        <f ca="1">IF(Calc!$AW358="","",INDEX(Roster!$C$6:$C$505,Calc!$AW358)&amp;"")</f>
        <v/>
      </c>
      <c r="D358" s="19" t="str">
        <f ca="1">IF(Calc!$AW358="","",INDEX(Calc!$AP$6:$AP$505,Calc!$AW358))</f>
        <v/>
      </c>
      <c r="E358" s="21" t="str">
        <f ca="1">IF(Calc!$AW358="","",IF(INDEX(Calc!$AS$6:$AS$505,Calc!$AW358)="","Shout-out","Milestone"))</f>
        <v/>
      </c>
      <c r="F358" s="22" t="str">
        <f ca="1">IF(Calc!$AW358="","",IF($E358="Shout-out",SUBSTITUTE(SUBSTITUTE(SUBSTITUTE(SUBSTITUTE(Setup!$C$7&amp;"","{name}",IF($B358="","this employee",$B358)),"{years}",$D358),"{yearword}",IF($D358=1,"year","years")),"{company}",Setup!$C$4),IF(INDEX(Calc!$AT$6:$AT$505,Calc!$AW358),"Award ordered. Present it on the anniversary.","Order award by "&amp;TEXT(INDEX(Calc!$AU$6:$AU$505,Calc!$AW358),"mmm d, yyyy")&amp;IF(INDEX(Calc!$AU$6:$AU$505,Calc!$AW358)&lt;Setup!$C$5," (late, order today)",""))))</f>
        <v/>
      </c>
    </row>
    <row r="359" spans="1:6" x14ac:dyDescent="0.2">
      <c r="A359" s="20" t="str">
        <f ca="1">IF(Calc!$AW359="","",INT(Calc!$AV359))</f>
        <v/>
      </c>
      <c r="B359" s="21" t="str">
        <f ca="1">IF(Calc!$AW359="","",INDEX(Roster!$A$6:$A$505,Calc!$AW359)&amp;"")</f>
        <v/>
      </c>
      <c r="C359" s="21" t="str">
        <f ca="1">IF(Calc!$AW359="","",INDEX(Roster!$C$6:$C$505,Calc!$AW359)&amp;"")</f>
        <v/>
      </c>
      <c r="D359" s="19" t="str">
        <f ca="1">IF(Calc!$AW359="","",INDEX(Calc!$AP$6:$AP$505,Calc!$AW359))</f>
        <v/>
      </c>
      <c r="E359" s="21" t="str">
        <f ca="1">IF(Calc!$AW359="","",IF(INDEX(Calc!$AS$6:$AS$505,Calc!$AW359)="","Shout-out","Milestone"))</f>
        <v/>
      </c>
      <c r="F359" s="22" t="str">
        <f ca="1">IF(Calc!$AW359="","",IF($E359="Shout-out",SUBSTITUTE(SUBSTITUTE(SUBSTITUTE(SUBSTITUTE(Setup!$C$7&amp;"","{name}",IF($B359="","this employee",$B359)),"{years}",$D359),"{yearword}",IF($D359=1,"year","years")),"{company}",Setup!$C$4),IF(INDEX(Calc!$AT$6:$AT$505,Calc!$AW359),"Award ordered. Present it on the anniversary.","Order award by "&amp;TEXT(INDEX(Calc!$AU$6:$AU$505,Calc!$AW359),"mmm d, yyyy")&amp;IF(INDEX(Calc!$AU$6:$AU$505,Calc!$AW359)&lt;Setup!$C$5," (late, order today)",""))))</f>
        <v/>
      </c>
    </row>
    <row r="360" spans="1:6" x14ac:dyDescent="0.2">
      <c r="A360" s="20" t="str">
        <f ca="1">IF(Calc!$AW360="","",INT(Calc!$AV360))</f>
        <v/>
      </c>
      <c r="B360" s="21" t="str">
        <f ca="1">IF(Calc!$AW360="","",INDEX(Roster!$A$6:$A$505,Calc!$AW360)&amp;"")</f>
        <v/>
      </c>
      <c r="C360" s="21" t="str">
        <f ca="1">IF(Calc!$AW360="","",INDEX(Roster!$C$6:$C$505,Calc!$AW360)&amp;"")</f>
        <v/>
      </c>
      <c r="D360" s="19" t="str">
        <f ca="1">IF(Calc!$AW360="","",INDEX(Calc!$AP$6:$AP$505,Calc!$AW360))</f>
        <v/>
      </c>
      <c r="E360" s="21" t="str">
        <f ca="1">IF(Calc!$AW360="","",IF(INDEX(Calc!$AS$6:$AS$505,Calc!$AW360)="","Shout-out","Milestone"))</f>
        <v/>
      </c>
      <c r="F360" s="22" t="str">
        <f ca="1">IF(Calc!$AW360="","",IF($E360="Shout-out",SUBSTITUTE(SUBSTITUTE(SUBSTITUTE(SUBSTITUTE(Setup!$C$7&amp;"","{name}",IF($B360="","this employee",$B360)),"{years}",$D360),"{yearword}",IF($D360=1,"year","years")),"{company}",Setup!$C$4),IF(INDEX(Calc!$AT$6:$AT$505,Calc!$AW360),"Award ordered. Present it on the anniversary.","Order award by "&amp;TEXT(INDEX(Calc!$AU$6:$AU$505,Calc!$AW360),"mmm d, yyyy")&amp;IF(INDEX(Calc!$AU$6:$AU$505,Calc!$AW360)&lt;Setup!$C$5," (late, order today)",""))))</f>
        <v/>
      </c>
    </row>
    <row r="361" spans="1:6" x14ac:dyDescent="0.2">
      <c r="A361" s="20" t="str">
        <f ca="1">IF(Calc!$AW361="","",INT(Calc!$AV361))</f>
        <v/>
      </c>
      <c r="B361" s="21" t="str">
        <f ca="1">IF(Calc!$AW361="","",INDEX(Roster!$A$6:$A$505,Calc!$AW361)&amp;"")</f>
        <v/>
      </c>
      <c r="C361" s="21" t="str">
        <f ca="1">IF(Calc!$AW361="","",INDEX(Roster!$C$6:$C$505,Calc!$AW361)&amp;"")</f>
        <v/>
      </c>
      <c r="D361" s="19" t="str">
        <f ca="1">IF(Calc!$AW361="","",INDEX(Calc!$AP$6:$AP$505,Calc!$AW361))</f>
        <v/>
      </c>
      <c r="E361" s="21" t="str">
        <f ca="1">IF(Calc!$AW361="","",IF(INDEX(Calc!$AS$6:$AS$505,Calc!$AW361)="","Shout-out","Milestone"))</f>
        <v/>
      </c>
      <c r="F361" s="22" t="str">
        <f ca="1">IF(Calc!$AW361="","",IF($E361="Shout-out",SUBSTITUTE(SUBSTITUTE(SUBSTITUTE(SUBSTITUTE(Setup!$C$7&amp;"","{name}",IF($B361="","this employee",$B361)),"{years}",$D361),"{yearword}",IF($D361=1,"year","years")),"{company}",Setup!$C$4),IF(INDEX(Calc!$AT$6:$AT$505,Calc!$AW361),"Award ordered. Present it on the anniversary.","Order award by "&amp;TEXT(INDEX(Calc!$AU$6:$AU$505,Calc!$AW361),"mmm d, yyyy")&amp;IF(INDEX(Calc!$AU$6:$AU$505,Calc!$AW361)&lt;Setup!$C$5," (late, order today)",""))))</f>
        <v/>
      </c>
    </row>
    <row r="362" spans="1:6" x14ac:dyDescent="0.2">
      <c r="A362" s="20" t="str">
        <f ca="1">IF(Calc!$AW362="","",INT(Calc!$AV362))</f>
        <v/>
      </c>
      <c r="B362" s="21" t="str">
        <f ca="1">IF(Calc!$AW362="","",INDEX(Roster!$A$6:$A$505,Calc!$AW362)&amp;"")</f>
        <v/>
      </c>
      <c r="C362" s="21" t="str">
        <f ca="1">IF(Calc!$AW362="","",INDEX(Roster!$C$6:$C$505,Calc!$AW362)&amp;"")</f>
        <v/>
      </c>
      <c r="D362" s="19" t="str">
        <f ca="1">IF(Calc!$AW362="","",INDEX(Calc!$AP$6:$AP$505,Calc!$AW362))</f>
        <v/>
      </c>
      <c r="E362" s="21" t="str">
        <f ca="1">IF(Calc!$AW362="","",IF(INDEX(Calc!$AS$6:$AS$505,Calc!$AW362)="","Shout-out","Milestone"))</f>
        <v/>
      </c>
      <c r="F362" s="22" t="str">
        <f ca="1">IF(Calc!$AW362="","",IF($E362="Shout-out",SUBSTITUTE(SUBSTITUTE(SUBSTITUTE(SUBSTITUTE(Setup!$C$7&amp;"","{name}",IF($B362="","this employee",$B362)),"{years}",$D362),"{yearword}",IF($D362=1,"year","years")),"{company}",Setup!$C$4),IF(INDEX(Calc!$AT$6:$AT$505,Calc!$AW362),"Award ordered. Present it on the anniversary.","Order award by "&amp;TEXT(INDEX(Calc!$AU$6:$AU$505,Calc!$AW362),"mmm d, yyyy")&amp;IF(INDEX(Calc!$AU$6:$AU$505,Calc!$AW362)&lt;Setup!$C$5," (late, order today)",""))))</f>
        <v/>
      </c>
    </row>
    <row r="363" spans="1:6" x14ac:dyDescent="0.2">
      <c r="A363" s="20" t="str">
        <f ca="1">IF(Calc!$AW363="","",INT(Calc!$AV363))</f>
        <v/>
      </c>
      <c r="B363" s="21" t="str">
        <f ca="1">IF(Calc!$AW363="","",INDEX(Roster!$A$6:$A$505,Calc!$AW363)&amp;"")</f>
        <v/>
      </c>
      <c r="C363" s="21" t="str">
        <f ca="1">IF(Calc!$AW363="","",INDEX(Roster!$C$6:$C$505,Calc!$AW363)&amp;"")</f>
        <v/>
      </c>
      <c r="D363" s="19" t="str">
        <f ca="1">IF(Calc!$AW363="","",INDEX(Calc!$AP$6:$AP$505,Calc!$AW363))</f>
        <v/>
      </c>
      <c r="E363" s="21" t="str">
        <f ca="1">IF(Calc!$AW363="","",IF(INDEX(Calc!$AS$6:$AS$505,Calc!$AW363)="","Shout-out","Milestone"))</f>
        <v/>
      </c>
      <c r="F363" s="22" t="str">
        <f ca="1">IF(Calc!$AW363="","",IF($E363="Shout-out",SUBSTITUTE(SUBSTITUTE(SUBSTITUTE(SUBSTITUTE(Setup!$C$7&amp;"","{name}",IF($B363="","this employee",$B363)),"{years}",$D363),"{yearword}",IF($D363=1,"year","years")),"{company}",Setup!$C$4),IF(INDEX(Calc!$AT$6:$AT$505,Calc!$AW363),"Award ordered. Present it on the anniversary.","Order award by "&amp;TEXT(INDEX(Calc!$AU$6:$AU$505,Calc!$AW363),"mmm d, yyyy")&amp;IF(INDEX(Calc!$AU$6:$AU$505,Calc!$AW363)&lt;Setup!$C$5," (late, order today)",""))))</f>
        <v/>
      </c>
    </row>
    <row r="364" spans="1:6" x14ac:dyDescent="0.2">
      <c r="A364" s="20" t="str">
        <f ca="1">IF(Calc!$AW364="","",INT(Calc!$AV364))</f>
        <v/>
      </c>
      <c r="B364" s="21" t="str">
        <f ca="1">IF(Calc!$AW364="","",INDEX(Roster!$A$6:$A$505,Calc!$AW364)&amp;"")</f>
        <v/>
      </c>
      <c r="C364" s="21" t="str">
        <f ca="1">IF(Calc!$AW364="","",INDEX(Roster!$C$6:$C$505,Calc!$AW364)&amp;"")</f>
        <v/>
      </c>
      <c r="D364" s="19" t="str">
        <f ca="1">IF(Calc!$AW364="","",INDEX(Calc!$AP$6:$AP$505,Calc!$AW364))</f>
        <v/>
      </c>
      <c r="E364" s="21" t="str">
        <f ca="1">IF(Calc!$AW364="","",IF(INDEX(Calc!$AS$6:$AS$505,Calc!$AW364)="","Shout-out","Milestone"))</f>
        <v/>
      </c>
      <c r="F364" s="22" t="str">
        <f ca="1">IF(Calc!$AW364="","",IF($E364="Shout-out",SUBSTITUTE(SUBSTITUTE(SUBSTITUTE(SUBSTITUTE(Setup!$C$7&amp;"","{name}",IF($B364="","this employee",$B364)),"{years}",$D364),"{yearword}",IF($D364=1,"year","years")),"{company}",Setup!$C$4),IF(INDEX(Calc!$AT$6:$AT$505,Calc!$AW364),"Award ordered. Present it on the anniversary.","Order award by "&amp;TEXT(INDEX(Calc!$AU$6:$AU$505,Calc!$AW364),"mmm d, yyyy")&amp;IF(INDEX(Calc!$AU$6:$AU$505,Calc!$AW364)&lt;Setup!$C$5," (late, order today)",""))))</f>
        <v/>
      </c>
    </row>
    <row r="365" spans="1:6" x14ac:dyDescent="0.2">
      <c r="A365" s="20" t="str">
        <f ca="1">IF(Calc!$AW365="","",INT(Calc!$AV365))</f>
        <v/>
      </c>
      <c r="B365" s="21" t="str">
        <f ca="1">IF(Calc!$AW365="","",INDEX(Roster!$A$6:$A$505,Calc!$AW365)&amp;"")</f>
        <v/>
      </c>
      <c r="C365" s="21" t="str">
        <f ca="1">IF(Calc!$AW365="","",INDEX(Roster!$C$6:$C$505,Calc!$AW365)&amp;"")</f>
        <v/>
      </c>
      <c r="D365" s="19" t="str">
        <f ca="1">IF(Calc!$AW365="","",INDEX(Calc!$AP$6:$AP$505,Calc!$AW365))</f>
        <v/>
      </c>
      <c r="E365" s="21" t="str">
        <f ca="1">IF(Calc!$AW365="","",IF(INDEX(Calc!$AS$6:$AS$505,Calc!$AW365)="","Shout-out","Milestone"))</f>
        <v/>
      </c>
      <c r="F365" s="22" t="str">
        <f ca="1">IF(Calc!$AW365="","",IF($E365="Shout-out",SUBSTITUTE(SUBSTITUTE(SUBSTITUTE(SUBSTITUTE(Setup!$C$7&amp;"","{name}",IF($B365="","this employee",$B365)),"{years}",$D365),"{yearword}",IF($D365=1,"year","years")),"{company}",Setup!$C$4),IF(INDEX(Calc!$AT$6:$AT$505,Calc!$AW365),"Award ordered. Present it on the anniversary.","Order award by "&amp;TEXT(INDEX(Calc!$AU$6:$AU$505,Calc!$AW365),"mmm d, yyyy")&amp;IF(INDEX(Calc!$AU$6:$AU$505,Calc!$AW365)&lt;Setup!$C$5," (late, order today)",""))))</f>
        <v/>
      </c>
    </row>
    <row r="366" spans="1:6" x14ac:dyDescent="0.2">
      <c r="A366" s="20" t="str">
        <f ca="1">IF(Calc!$AW366="","",INT(Calc!$AV366))</f>
        <v/>
      </c>
      <c r="B366" s="21" t="str">
        <f ca="1">IF(Calc!$AW366="","",INDEX(Roster!$A$6:$A$505,Calc!$AW366)&amp;"")</f>
        <v/>
      </c>
      <c r="C366" s="21" t="str">
        <f ca="1">IF(Calc!$AW366="","",INDEX(Roster!$C$6:$C$505,Calc!$AW366)&amp;"")</f>
        <v/>
      </c>
      <c r="D366" s="19" t="str">
        <f ca="1">IF(Calc!$AW366="","",INDEX(Calc!$AP$6:$AP$505,Calc!$AW366))</f>
        <v/>
      </c>
      <c r="E366" s="21" t="str">
        <f ca="1">IF(Calc!$AW366="","",IF(INDEX(Calc!$AS$6:$AS$505,Calc!$AW366)="","Shout-out","Milestone"))</f>
        <v/>
      </c>
      <c r="F366" s="22" t="str">
        <f ca="1">IF(Calc!$AW366="","",IF($E366="Shout-out",SUBSTITUTE(SUBSTITUTE(SUBSTITUTE(SUBSTITUTE(Setup!$C$7&amp;"","{name}",IF($B366="","this employee",$B366)),"{years}",$D366),"{yearword}",IF($D366=1,"year","years")),"{company}",Setup!$C$4),IF(INDEX(Calc!$AT$6:$AT$505,Calc!$AW366),"Award ordered. Present it on the anniversary.","Order award by "&amp;TEXT(INDEX(Calc!$AU$6:$AU$505,Calc!$AW366),"mmm d, yyyy")&amp;IF(INDEX(Calc!$AU$6:$AU$505,Calc!$AW366)&lt;Setup!$C$5," (late, order today)",""))))</f>
        <v/>
      </c>
    </row>
    <row r="367" spans="1:6" x14ac:dyDescent="0.2">
      <c r="A367" s="20" t="str">
        <f ca="1">IF(Calc!$AW367="","",INT(Calc!$AV367))</f>
        <v/>
      </c>
      <c r="B367" s="21" t="str">
        <f ca="1">IF(Calc!$AW367="","",INDEX(Roster!$A$6:$A$505,Calc!$AW367)&amp;"")</f>
        <v/>
      </c>
      <c r="C367" s="21" t="str">
        <f ca="1">IF(Calc!$AW367="","",INDEX(Roster!$C$6:$C$505,Calc!$AW367)&amp;"")</f>
        <v/>
      </c>
      <c r="D367" s="19" t="str">
        <f ca="1">IF(Calc!$AW367="","",INDEX(Calc!$AP$6:$AP$505,Calc!$AW367))</f>
        <v/>
      </c>
      <c r="E367" s="21" t="str">
        <f ca="1">IF(Calc!$AW367="","",IF(INDEX(Calc!$AS$6:$AS$505,Calc!$AW367)="","Shout-out","Milestone"))</f>
        <v/>
      </c>
      <c r="F367" s="22" t="str">
        <f ca="1">IF(Calc!$AW367="","",IF($E367="Shout-out",SUBSTITUTE(SUBSTITUTE(SUBSTITUTE(SUBSTITUTE(Setup!$C$7&amp;"","{name}",IF($B367="","this employee",$B367)),"{years}",$D367),"{yearword}",IF($D367=1,"year","years")),"{company}",Setup!$C$4),IF(INDEX(Calc!$AT$6:$AT$505,Calc!$AW367),"Award ordered. Present it on the anniversary.","Order award by "&amp;TEXT(INDEX(Calc!$AU$6:$AU$505,Calc!$AW367),"mmm d, yyyy")&amp;IF(INDEX(Calc!$AU$6:$AU$505,Calc!$AW367)&lt;Setup!$C$5," (late, order today)",""))))</f>
        <v/>
      </c>
    </row>
    <row r="368" spans="1:6" x14ac:dyDescent="0.2">
      <c r="A368" s="20" t="str">
        <f ca="1">IF(Calc!$AW368="","",INT(Calc!$AV368))</f>
        <v/>
      </c>
      <c r="B368" s="21" t="str">
        <f ca="1">IF(Calc!$AW368="","",INDEX(Roster!$A$6:$A$505,Calc!$AW368)&amp;"")</f>
        <v/>
      </c>
      <c r="C368" s="21" t="str">
        <f ca="1">IF(Calc!$AW368="","",INDEX(Roster!$C$6:$C$505,Calc!$AW368)&amp;"")</f>
        <v/>
      </c>
      <c r="D368" s="19" t="str">
        <f ca="1">IF(Calc!$AW368="","",INDEX(Calc!$AP$6:$AP$505,Calc!$AW368))</f>
        <v/>
      </c>
      <c r="E368" s="21" t="str">
        <f ca="1">IF(Calc!$AW368="","",IF(INDEX(Calc!$AS$6:$AS$505,Calc!$AW368)="","Shout-out","Milestone"))</f>
        <v/>
      </c>
      <c r="F368" s="22" t="str">
        <f ca="1">IF(Calc!$AW368="","",IF($E368="Shout-out",SUBSTITUTE(SUBSTITUTE(SUBSTITUTE(SUBSTITUTE(Setup!$C$7&amp;"","{name}",IF($B368="","this employee",$B368)),"{years}",$D368),"{yearword}",IF($D368=1,"year","years")),"{company}",Setup!$C$4),IF(INDEX(Calc!$AT$6:$AT$505,Calc!$AW368),"Award ordered. Present it on the anniversary.","Order award by "&amp;TEXT(INDEX(Calc!$AU$6:$AU$505,Calc!$AW368),"mmm d, yyyy")&amp;IF(INDEX(Calc!$AU$6:$AU$505,Calc!$AW368)&lt;Setup!$C$5," (late, order today)",""))))</f>
        <v/>
      </c>
    </row>
    <row r="369" spans="1:6" x14ac:dyDescent="0.2">
      <c r="A369" s="20" t="str">
        <f ca="1">IF(Calc!$AW369="","",INT(Calc!$AV369))</f>
        <v/>
      </c>
      <c r="B369" s="21" t="str">
        <f ca="1">IF(Calc!$AW369="","",INDEX(Roster!$A$6:$A$505,Calc!$AW369)&amp;"")</f>
        <v/>
      </c>
      <c r="C369" s="21" t="str">
        <f ca="1">IF(Calc!$AW369="","",INDEX(Roster!$C$6:$C$505,Calc!$AW369)&amp;"")</f>
        <v/>
      </c>
      <c r="D369" s="19" t="str">
        <f ca="1">IF(Calc!$AW369="","",INDEX(Calc!$AP$6:$AP$505,Calc!$AW369))</f>
        <v/>
      </c>
      <c r="E369" s="21" t="str">
        <f ca="1">IF(Calc!$AW369="","",IF(INDEX(Calc!$AS$6:$AS$505,Calc!$AW369)="","Shout-out","Milestone"))</f>
        <v/>
      </c>
      <c r="F369" s="22" t="str">
        <f ca="1">IF(Calc!$AW369="","",IF($E369="Shout-out",SUBSTITUTE(SUBSTITUTE(SUBSTITUTE(SUBSTITUTE(Setup!$C$7&amp;"","{name}",IF($B369="","this employee",$B369)),"{years}",$D369),"{yearword}",IF($D369=1,"year","years")),"{company}",Setup!$C$4),IF(INDEX(Calc!$AT$6:$AT$505,Calc!$AW369),"Award ordered. Present it on the anniversary.","Order award by "&amp;TEXT(INDEX(Calc!$AU$6:$AU$505,Calc!$AW369),"mmm d, yyyy")&amp;IF(INDEX(Calc!$AU$6:$AU$505,Calc!$AW369)&lt;Setup!$C$5," (late, order today)",""))))</f>
        <v/>
      </c>
    </row>
    <row r="370" spans="1:6" x14ac:dyDescent="0.2">
      <c r="A370" s="20" t="str">
        <f ca="1">IF(Calc!$AW370="","",INT(Calc!$AV370))</f>
        <v/>
      </c>
      <c r="B370" s="21" t="str">
        <f ca="1">IF(Calc!$AW370="","",INDEX(Roster!$A$6:$A$505,Calc!$AW370)&amp;"")</f>
        <v/>
      </c>
      <c r="C370" s="21" t="str">
        <f ca="1">IF(Calc!$AW370="","",INDEX(Roster!$C$6:$C$505,Calc!$AW370)&amp;"")</f>
        <v/>
      </c>
      <c r="D370" s="19" t="str">
        <f ca="1">IF(Calc!$AW370="","",INDEX(Calc!$AP$6:$AP$505,Calc!$AW370))</f>
        <v/>
      </c>
      <c r="E370" s="21" t="str">
        <f ca="1">IF(Calc!$AW370="","",IF(INDEX(Calc!$AS$6:$AS$505,Calc!$AW370)="","Shout-out","Milestone"))</f>
        <v/>
      </c>
      <c r="F370" s="22" t="str">
        <f ca="1">IF(Calc!$AW370="","",IF($E370="Shout-out",SUBSTITUTE(SUBSTITUTE(SUBSTITUTE(SUBSTITUTE(Setup!$C$7&amp;"","{name}",IF($B370="","this employee",$B370)),"{years}",$D370),"{yearword}",IF($D370=1,"year","years")),"{company}",Setup!$C$4),IF(INDEX(Calc!$AT$6:$AT$505,Calc!$AW370),"Award ordered. Present it on the anniversary.","Order award by "&amp;TEXT(INDEX(Calc!$AU$6:$AU$505,Calc!$AW370),"mmm d, yyyy")&amp;IF(INDEX(Calc!$AU$6:$AU$505,Calc!$AW370)&lt;Setup!$C$5," (late, order today)",""))))</f>
        <v/>
      </c>
    </row>
    <row r="371" spans="1:6" x14ac:dyDescent="0.2">
      <c r="A371" s="20" t="str">
        <f ca="1">IF(Calc!$AW371="","",INT(Calc!$AV371))</f>
        <v/>
      </c>
      <c r="B371" s="21" t="str">
        <f ca="1">IF(Calc!$AW371="","",INDEX(Roster!$A$6:$A$505,Calc!$AW371)&amp;"")</f>
        <v/>
      </c>
      <c r="C371" s="21" t="str">
        <f ca="1">IF(Calc!$AW371="","",INDEX(Roster!$C$6:$C$505,Calc!$AW371)&amp;"")</f>
        <v/>
      </c>
      <c r="D371" s="19" t="str">
        <f ca="1">IF(Calc!$AW371="","",INDEX(Calc!$AP$6:$AP$505,Calc!$AW371))</f>
        <v/>
      </c>
      <c r="E371" s="21" t="str">
        <f ca="1">IF(Calc!$AW371="","",IF(INDEX(Calc!$AS$6:$AS$505,Calc!$AW371)="","Shout-out","Milestone"))</f>
        <v/>
      </c>
      <c r="F371" s="22" t="str">
        <f ca="1">IF(Calc!$AW371="","",IF($E371="Shout-out",SUBSTITUTE(SUBSTITUTE(SUBSTITUTE(SUBSTITUTE(Setup!$C$7&amp;"","{name}",IF($B371="","this employee",$B371)),"{years}",$D371),"{yearword}",IF($D371=1,"year","years")),"{company}",Setup!$C$4),IF(INDEX(Calc!$AT$6:$AT$505,Calc!$AW371),"Award ordered. Present it on the anniversary.","Order award by "&amp;TEXT(INDEX(Calc!$AU$6:$AU$505,Calc!$AW371),"mmm d, yyyy")&amp;IF(INDEX(Calc!$AU$6:$AU$505,Calc!$AW371)&lt;Setup!$C$5," (late, order today)",""))))</f>
        <v/>
      </c>
    </row>
    <row r="372" spans="1:6" x14ac:dyDescent="0.2">
      <c r="A372" s="20" t="str">
        <f ca="1">IF(Calc!$AW372="","",INT(Calc!$AV372))</f>
        <v/>
      </c>
      <c r="B372" s="21" t="str">
        <f ca="1">IF(Calc!$AW372="","",INDEX(Roster!$A$6:$A$505,Calc!$AW372)&amp;"")</f>
        <v/>
      </c>
      <c r="C372" s="21" t="str">
        <f ca="1">IF(Calc!$AW372="","",INDEX(Roster!$C$6:$C$505,Calc!$AW372)&amp;"")</f>
        <v/>
      </c>
      <c r="D372" s="19" t="str">
        <f ca="1">IF(Calc!$AW372="","",INDEX(Calc!$AP$6:$AP$505,Calc!$AW372))</f>
        <v/>
      </c>
      <c r="E372" s="21" t="str">
        <f ca="1">IF(Calc!$AW372="","",IF(INDEX(Calc!$AS$6:$AS$505,Calc!$AW372)="","Shout-out","Milestone"))</f>
        <v/>
      </c>
      <c r="F372" s="22" t="str">
        <f ca="1">IF(Calc!$AW372="","",IF($E372="Shout-out",SUBSTITUTE(SUBSTITUTE(SUBSTITUTE(SUBSTITUTE(Setup!$C$7&amp;"","{name}",IF($B372="","this employee",$B372)),"{years}",$D372),"{yearword}",IF($D372=1,"year","years")),"{company}",Setup!$C$4),IF(INDEX(Calc!$AT$6:$AT$505,Calc!$AW372),"Award ordered. Present it on the anniversary.","Order award by "&amp;TEXT(INDEX(Calc!$AU$6:$AU$505,Calc!$AW372),"mmm d, yyyy")&amp;IF(INDEX(Calc!$AU$6:$AU$505,Calc!$AW372)&lt;Setup!$C$5," (late, order today)",""))))</f>
        <v/>
      </c>
    </row>
    <row r="373" spans="1:6" x14ac:dyDescent="0.2">
      <c r="A373" s="20" t="str">
        <f ca="1">IF(Calc!$AW373="","",INT(Calc!$AV373))</f>
        <v/>
      </c>
      <c r="B373" s="21" t="str">
        <f ca="1">IF(Calc!$AW373="","",INDEX(Roster!$A$6:$A$505,Calc!$AW373)&amp;"")</f>
        <v/>
      </c>
      <c r="C373" s="21" t="str">
        <f ca="1">IF(Calc!$AW373="","",INDEX(Roster!$C$6:$C$505,Calc!$AW373)&amp;"")</f>
        <v/>
      </c>
      <c r="D373" s="19" t="str">
        <f ca="1">IF(Calc!$AW373="","",INDEX(Calc!$AP$6:$AP$505,Calc!$AW373))</f>
        <v/>
      </c>
      <c r="E373" s="21" t="str">
        <f ca="1">IF(Calc!$AW373="","",IF(INDEX(Calc!$AS$6:$AS$505,Calc!$AW373)="","Shout-out","Milestone"))</f>
        <v/>
      </c>
      <c r="F373" s="22" t="str">
        <f ca="1">IF(Calc!$AW373="","",IF($E373="Shout-out",SUBSTITUTE(SUBSTITUTE(SUBSTITUTE(SUBSTITUTE(Setup!$C$7&amp;"","{name}",IF($B373="","this employee",$B373)),"{years}",$D373),"{yearword}",IF($D373=1,"year","years")),"{company}",Setup!$C$4),IF(INDEX(Calc!$AT$6:$AT$505,Calc!$AW373),"Award ordered. Present it on the anniversary.","Order award by "&amp;TEXT(INDEX(Calc!$AU$6:$AU$505,Calc!$AW373),"mmm d, yyyy")&amp;IF(INDEX(Calc!$AU$6:$AU$505,Calc!$AW373)&lt;Setup!$C$5," (late, order today)",""))))</f>
        <v/>
      </c>
    </row>
    <row r="374" spans="1:6" x14ac:dyDescent="0.2">
      <c r="A374" s="20" t="str">
        <f ca="1">IF(Calc!$AW374="","",INT(Calc!$AV374))</f>
        <v/>
      </c>
      <c r="B374" s="21" t="str">
        <f ca="1">IF(Calc!$AW374="","",INDEX(Roster!$A$6:$A$505,Calc!$AW374)&amp;"")</f>
        <v/>
      </c>
      <c r="C374" s="21" t="str">
        <f ca="1">IF(Calc!$AW374="","",INDEX(Roster!$C$6:$C$505,Calc!$AW374)&amp;"")</f>
        <v/>
      </c>
      <c r="D374" s="19" t="str">
        <f ca="1">IF(Calc!$AW374="","",INDEX(Calc!$AP$6:$AP$505,Calc!$AW374))</f>
        <v/>
      </c>
      <c r="E374" s="21" t="str">
        <f ca="1">IF(Calc!$AW374="","",IF(INDEX(Calc!$AS$6:$AS$505,Calc!$AW374)="","Shout-out","Milestone"))</f>
        <v/>
      </c>
      <c r="F374" s="22" t="str">
        <f ca="1">IF(Calc!$AW374="","",IF($E374="Shout-out",SUBSTITUTE(SUBSTITUTE(SUBSTITUTE(SUBSTITUTE(Setup!$C$7&amp;"","{name}",IF($B374="","this employee",$B374)),"{years}",$D374),"{yearword}",IF($D374=1,"year","years")),"{company}",Setup!$C$4),IF(INDEX(Calc!$AT$6:$AT$505,Calc!$AW374),"Award ordered. Present it on the anniversary.","Order award by "&amp;TEXT(INDEX(Calc!$AU$6:$AU$505,Calc!$AW374),"mmm d, yyyy")&amp;IF(INDEX(Calc!$AU$6:$AU$505,Calc!$AW374)&lt;Setup!$C$5," (late, order today)",""))))</f>
        <v/>
      </c>
    </row>
    <row r="375" spans="1:6" x14ac:dyDescent="0.2">
      <c r="A375" s="20" t="str">
        <f ca="1">IF(Calc!$AW375="","",INT(Calc!$AV375))</f>
        <v/>
      </c>
      <c r="B375" s="21" t="str">
        <f ca="1">IF(Calc!$AW375="","",INDEX(Roster!$A$6:$A$505,Calc!$AW375)&amp;"")</f>
        <v/>
      </c>
      <c r="C375" s="21" t="str">
        <f ca="1">IF(Calc!$AW375="","",INDEX(Roster!$C$6:$C$505,Calc!$AW375)&amp;"")</f>
        <v/>
      </c>
      <c r="D375" s="19" t="str">
        <f ca="1">IF(Calc!$AW375="","",INDEX(Calc!$AP$6:$AP$505,Calc!$AW375))</f>
        <v/>
      </c>
      <c r="E375" s="21" t="str">
        <f ca="1">IF(Calc!$AW375="","",IF(INDEX(Calc!$AS$6:$AS$505,Calc!$AW375)="","Shout-out","Milestone"))</f>
        <v/>
      </c>
      <c r="F375" s="22" t="str">
        <f ca="1">IF(Calc!$AW375="","",IF($E375="Shout-out",SUBSTITUTE(SUBSTITUTE(SUBSTITUTE(SUBSTITUTE(Setup!$C$7&amp;"","{name}",IF($B375="","this employee",$B375)),"{years}",$D375),"{yearword}",IF($D375=1,"year","years")),"{company}",Setup!$C$4),IF(INDEX(Calc!$AT$6:$AT$505,Calc!$AW375),"Award ordered. Present it on the anniversary.","Order award by "&amp;TEXT(INDEX(Calc!$AU$6:$AU$505,Calc!$AW375),"mmm d, yyyy")&amp;IF(INDEX(Calc!$AU$6:$AU$505,Calc!$AW375)&lt;Setup!$C$5," (late, order today)",""))))</f>
        <v/>
      </c>
    </row>
    <row r="376" spans="1:6" x14ac:dyDescent="0.2">
      <c r="A376" s="20" t="str">
        <f ca="1">IF(Calc!$AW376="","",INT(Calc!$AV376))</f>
        <v/>
      </c>
      <c r="B376" s="21" t="str">
        <f ca="1">IF(Calc!$AW376="","",INDEX(Roster!$A$6:$A$505,Calc!$AW376)&amp;"")</f>
        <v/>
      </c>
      <c r="C376" s="21" t="str">
        <f ca="1">IF(Calc!$AW376="","",INDEX(Roster!$C$6:$C$505,Calc!$AW376)&amp;"")</f>
        <v/>
      </c>
      <c r="D376" s="19" t="str">
        <f ca="1">IF(Calc!$AW376="","",INDEX(Calc!$AP$6:$AP$505,Calc!$AW376))</f>
        <v/>
      </c>
      <c r="E376" s="21" t="str">
        <f ca="1">IF(Calc!$AW376="","",IF(INDEX(Calc!$AS$6:$AS$505,Calc!$AW376)="","Shout-out","Milestone"))</f>
        <v/>
      </c>
      <c r="F376" s="22" t="str">
        <f ca="1">IF(Calc!$AW376="","",IF($E376="Shout-out",SUBSTITUTE(SUBSTITUTE(SUBSTITUTE(SUBSTITUTE(Setup!$C$7&amp;"","{name}",IF($B376="","this employee",$B376)),"{years}",$D376),"{yearword}",IF($D376=1,"year","years")),"{company}",Setup!$C$4),IF(INDEX(Calc!$AT$6:$AT$505,Calc!$AW376),"Award ordered. Present it on the anniversary.","Order award by "&amp;TEXT(INDEX(Calc!$AU$6:$AU$505,Calc!$AW376),"mmm d, yyyy")&amp;IF(INDEX(Calc!$AU$6:$AU$505,Calc!$AW376)&lt;Setup!$C$5," (late, order today)",""))))</f>
        <v/>
      </c>
    </row>
    <row r="377" spans="1:6" x14ac:dyDescent="0.2">
      <c r="A377" s="20" t="str">
        <f ca="1">IF(Calc!$AW377="","",INT(Calc!$AV377))</f>
        <v/>
      </c>
      <c r="B377" s="21" t="str">
        <f ca="1">IF(Calc!$AW377="","",INDEX(Roster!$A$6:$A$505,Calc!$AW377)&amp;"")</f>
        <v/>
      </c>
      <c r="C377" s="21" t="str">
        <f ca="1">IF(Calc!$AW377="","",INDEX(Roster!$C$6:$C$505,Calc!$AW377)&amp;"")</f>
        <v/>
      </c>
      <c r="D377" s="19" t="str">
        <f ca="1">IF(Calc!$AW377="","",INDEX(Calc!$AP$6:$AP$505,Calc!$AW377))</f>
        <v/>
      </c>
      <c r="E377" s="21" t="str">
        <f ca="1">IF(Calc!$AW377="","",IF(INDEX(Calc!$AS$6:$AS$505,Calc!$AW377)="","Shout-out","Milestone"))</f>
        <v/>
      </c>
      <c r="F377" s="22" t="str">
        <f ca="1">IF(Calc!$AW377="","",IF($E377="Shout-out",SUBSTITUTE(SUBSTITUTE(SUBSTITUTE(SUBSTITUTE(Setup!$C$7&amp;"","{name}",IF($B377="","this employee",$B377)),"{years}",$D377),"{yearword}",IF($D377=1,"year","years")),"{company}",Setup!$C$4),IF(INDEX(Calc!$AT$6:$AT$505,Calc!$AW377),"Award ordered. Present it on the anniversary.","Order award by "&amp;TEXT(INDEX(Calc!$AU$6:$AU$505,Calc!$AW377),"mmm d, yyyy")&amp;IF(INDEX(Calc!$AU$6:$AU$505,Calc!$AW377)&lt;Setup!$C$5," (late, order today)",""))))</f>
        <v/>
      </c>
    </row>
    <row r="378" spans="1:6" x14ac:dyDescent="0.2">
      <c r="A378" s="20" t="str">
        <f ca="1">IF(Calc!$AW378="","",INT(Calc!$AV378))</f>
        <v/>
      </c>
      <c r="B378" s="21" t="str">
        <f ca="1">IF(Calc!$AW378="","",INDEX(Roster!$A$6:$A$505,Calc!$AW378)&amp;"")</f>
        <v/>
      </c>
      <c r="C378" s="21" t="str">
        <f ca="1">IF(Calc!$AW378="","",INDEX(Roster!$C$6:$C$505,Calc!$AW378)&amp;"")</f>
        <v/>
      </c>
      <c r="D378" s="19" t="str">
        <f ca="1">IF(Calc!$AW378="","",INDEX(Calc!$AP$6:$AP$505,Calc!$AW378))</f>
        <v/>
      </c>
      <c r="E378" s="21" t="str">
        <f ca="1">IF(Calc!$AW378="","",IF(INDEX(Calc!$AS$6:$AS$505,Calc!$AW378)="","Shout-out","Milestone"))</f>
        <v/>
      </c>
      <c r="F378" s="22" t="str">
        <f ca="1">IF(Calc!$AW378="","",IF($E378="Shout-out",SUBSTITUTE(SUBSTITUTE(SUBSTITUTE(SUBSTITUTE(Setup!$C$7&amp;"","{name}",IF($B378="","this employee",$B378)),"{years}",$D378),"{yearword}",IF($D378=1,"year","years")),"{company}",Setup!$C$4),IF(INDEX(Calc!$AT$6:$AT$505,Calc!$AW378),"Award ordered. Present it on the anniversary.","Order award by "&amp;TEXT(INDEX(Calc!$AU$6:$AU$505,Calc!$AW378),"mmm d, yyyy")&amp;IF(INDEX(Calc!$AU$6:$AU$505,Calc!$AW378)&lt;Setup!$C$5," (late, order today)",""))))</f>
        <v/>
      </c>
    </row>
    <row r="379" spans="1:6" x14ac:dyDescent="0.2">
      <c r="A379" s="20" t="str">
        <f ca="1">IF(Calc!$AW379="","",INT(Calc!$AV379))</f>
        <v/>
      </c>
      <c r="B379" s="21" t="str">
        <f ca="1">IF(Calc!$AW379="","",INDEX(Roster!$A$6:$A$505,Calc!$AW379)&amp;"")</f>
        <v/>
      </c>
      <c r="C379" s="21" t="str">
        <f ca="1">IF(Calc!$AW379="","",INDEX(Roster!$C$6:$C$505,Calc!$AW379)&amp;"")</f>
        <v/>
      </c>
      <c r="D379" s="19" t="str">
        <f ca="1">IF(Calc!$AW379="","",INDEX(Calc!$AP$6:$AP$505,Calc!$AW379))</f>
        <v/>
      </c>
      <c r="E379" s="21" t="str">
        <f ca="1">IF(Calc!$AW379="","",IF(INDEX(Calc!$AS$6:$AS$505,Calc!$AW379)="","Shout-out","Milestone"))</f>
        <v/>
      </c>
      <c r="F379" s="22" t="str">
        <f ca="1">IF(Calc!$AW379="","",IF($E379="Shout-out",SUBSTITUTE(SUBSTITUTE(SUBSTITUTE(SUBSTITUTE(Setup!$C$7&amp;"","{name}",IF($B379="","this employee",$B379)),"{years}",$D379),"{yearword}",IF($D379=1,"year","years")),"{company}",Setup!$C$4),IF(INDEX(Calc!$AT$6:$AT$505,Calc!$AW379),"Award ordered. Present it on the anniversary.","Order award by "&amp;TEXT(INDEX(Calc!$AU$6:$AU$505,Calc!$AW379),"mmm d, yyyy")&amp;IF(INDEX(Calc!$AU$6:$AU$505,Calc!$AW379)&lt;Setup!$C$5," (late, order today)",""))))</f>
        <v/>
      </c>
    </row>
    <row r="380" spans="1:6" x14ac:dyDescent="0.2">
      <c r="A380" s="20" t="str">
        <f ca="1">IF(Calc!$AW380="","",INT(Calc!$AV380))</f>
        <v/>
      </c>
      <c r="B380" s="21" t="str">
        <f ca="1">IF(Calc!$AW380="","",INDEX(Roster!$A$6:$A$505,Calc!$AW380)&amp;"")</f>
        <v/>
      </c>
      <c r="C380" s="21" t="str">
        <f ca="1">IF(Calc!$AW380="","",INDEX(Roster!$C$6:$C$505,Calc!$AW380)&amp;"")</f>
        <v/>
      </c>
      <c r="D380" s="19" t="str">
        <f ca="1">IF(Calc!$AW380="","",INDEX(Calc!$AP$6:$AP$505,Calc!$AW380))</f>
        <v/>
      </c>
      <c r="E380" s="21" t="str">
        <f ca="1">IF(Calc!$AW380="","",IF(INDEX(Calc!$AS$6:$AS$505,Calc!$AW380)="","Shout-out","Milestone"))</f>
        <v/>
      </c>
      <c r="F380" s="22" t="str">
        <f ca="1">IF(Calc!$AW380="","",IF($E380="Shout-out",SUBSTITUTE(SUBSTITUTE(SUBSTITUTE(SUBSTITUTE(Setup!$C$7&amp;"","{name}",IF($B380="","this employee",$B380)),"{years}",$D380),"{yearword}",IF($D380=1,"year","years")),"{company}",Setup!$C$4),IF(INDEX(Calc!$AT$6:$AT$505,Calc!$AW380),"Award ordered. Present it on the anniversary.","Order award by "&amp;TEXT(INDEX(Calc!$AU$6:$AU$505,Calc!$AW380),"mmm d, yyyy")&amp;IF(INDEX(Calc!$AU$6:$AU$505,Calc!$AW380)&lt;Setup!$C$5," (late, order today)",""))))</f>
        <v/>
      </c>
    </row>
    <row r="381" spans="1:6" x14ac:dyDescent="0.2">
      <c r="A381" s="20" t="str">
        <f ca="1">IF(Calc!$AW381="","",INT(Calc!$AV381))</f>
        <v/>
      </c>
      <c r="B381" s="21" t="str">
        <f ca="1">IF(Calc!$AW381="","",INDEX(Roster!$A$6:$A$505,Calc!$AW381)&amp;"")</f>
        <v/>
      </c>
      <c r="C381" s="21" t="str">
        <f ca="1">IF(Calc!$AW381="","",INDEX(Roster!$C$6:$C$505,Calc!$AW381)&amp;"")</f>
        <v/>
      </c>
      <c r="D381" s="19" t="str">
        <f ca="1">IF(Calc!$AW381="","",INDEX(Calc!$AP$6:$AP$505,Calc!$AW381))</f>
        <v/>
      </c>
      <c r="E381" s="21" t="str">
        <f ca="1">IF(Calc!$AW381="","",IF(INDEX(Calc!$AS$6:$AS$505,Calc!$AW381)="","Shout-out","Milestone"))</f>
        <v/>
      </c>
      <c r="F381" s="22" t="str">
        <f ca="1">IF(Calc!$AW381="","",IF($E381="Shout-out",SUBSTITUTE(SUBSTITUTE(SUBSTITUTE(SUBSTITUTE(Setup!$C$7&amp;"","{name}",IF($B381="","this employee",$B381)),"{years}",$D381),"{yearword}",IF($D381=1,"year","years")),"{company}",Setup!$C$4),IF(INDEX(Calc!$AT$6:$AT$505,Calc!$AW381),"Award ordered. Present it on the anniversary.","Order award by "&amp;TEXT(INDEX(Calc!$AU$6:$AU$505,Calc!$AW381),"mmm d, yyyy")&amp;IF(INDEX(Calc!$AU$6:$AU$505,Calc!$AW381)&lt;Setup!$C$5," (late, order today)",""))))</f>
        <v/>
      </c>
    </row>
    <row r="382" spans="1:6" x14ac:dyDescent="0.2">
      <c r="A382" s="20" t="str">
        <f ca="1">IF(Calc!$AW382="","",INT(Calc!$AV382))</f>
        <v/>
      </c>
      <c r="B382" s="21" t="str">
        <f ca="1">IF(Calc!$AW382="","",INDEX(Roster!$A$6:$A$505,Calc!$AW382)&amp;"")</f>
        <v/>
      </c>
      <c r="C382" s="21" t="str">
        <f ca="1">IF(Calc!$AW382="","",INDEX(Roster!$C$6:$C$505,Calc!$AW382)&amp;"")</f>
        <v/>
      </c>
      <c r="D382" s="19" t="str">
        <f ca="1">IF(Calc!$AW382="","",INDEX(Calc!$AP$6:$AP$505,Calc!$AW382))</f>
        <v/>
      </c>
      <c r="E382" s="21" t="str">
        <f ca="1">IF(Calc!$AW382="","",IF(INDEX(Calc!$AS$6:$AS$505,Calc!$AW382)="","Shout-out","Milestone"))</f>
        <v/>
      </c>
      <c r="F382" s="22" t="str">
        <f ca="1">IF(Calc!$AW382="","",IF($E382="Shout-out",SUBSTITUTE(SUBSTITUTE(SUBSTITUTE(SUBSTITUTE(Setup!$C$7&amp;"","{name}",IF($B382="","this employee",$B382)),"{years}",$D382),"{yearword}",IF($D382=1,"year","years")),"{company}",Setup!$C$4),IF(INDEX(Calc!$AT$6:$AT$505,Calc!$AW382),"Award ordered. Present it on the anniversary.","Order award by "&amp;TEXT(INDEX(Calc!$AU$6:$AU$505,Calc!$AW382),"mmm d, yyyy")&amp;IF(INDEX(Calc!$AU$6:$AU$505,Calc!$AW382)&lt;Setup!$C$5," (late, order today)",""))))</f>
        <v/>
      </c>
    </row>
    <row r="383" spans="1:6" x14ac:dyDescent="0.2">
      <c r="A383" s="20" t="str">
        <f ca="1">IF(Calc!$AW383="","",INT(Calc!$AV383))</f>
        <v/>
      </c>
      <c r="B383" s="21" t="str">
        <f ca="1">IF(Calc!$AW383="","",INDEX(Roster!$A$6:$A$505,Calc!$AW383)&amp;"")</f>
        <v/>
      </c>
      <c r="C383" s="21" t="str">
        <f ca="1">IF(Calc!$AW383="","",INDEX(Roster!$C$6:$C$505,Calc!$AW383)&amp;"")</f>
        <v/>
      </c>
      <c r="D383" s="19" t="str">
        <f ca="1">IF(Calc!$AW383="","",INDEX(Calc!$AP$6:$AP$505,Calc!$AW383))</f>
        <v/>
      </c>
      <c r="E383" s="21" t="str">
        <f ca="1">IF(Calc!$AW383="","",IF(INDEX(Calc!$AS$6:$AS$505,Calc!$AW383)="","Shout-out","Milestone"))</f>
        <v/>
      </c>
      <c r="F383" s="22" t="str">
        <f ca="1">IF(Calc!$AW383="","",IF($E383="Shout-out",SUBSTITUTE(SUBSTITUTE(SUBSTITUTE(SUBSTITUTE(Setup!$C$7&amp;"","{name}",IF($B383="","this employee",$B383)),"{years}",$D383),"{yearword}",IF($D383=1,"year","years")),"{company}",Setup!$C$4),IF(INDEX(Calc!$AT$6:$AT$505,Calc!$AW383),"Award ordered. Present it on the anniversary.","Order award by "&amp;TEXT(INDEX(Calc!$AU$6:$AU$505,Calc!$AW383),"mmm d, yyyy")&amp;IF(INDEX(Calc!$AU$6:$AU$505,Calc!$AW383)&lt;Setup!$C$5," (late, order today)",""))))</f>
        <v/>
      </c>
    </row>
    <row r="384" spans="1:6" x14ac:dyDescent="0.2">
      <c r="A384" s="20" t="str">
        <f ca="1">IF(Calc!$AW384="","",INT(Calc!$AV384))</f>
        <v/>
      </c>
      <c r="B384" s="21" t="str">
        <f ca="1">IF(Calc!$AW384="","",INDEX(Roster!$A$6:$A$505,Calc!$AW384)&amp;"")</f>
        <v/>
      </c>
      <c r="C384" s="21" t="str">
        <f ca="1">IF(Calc!$AW384="","",INDEX(Roster!$C$6:$C$505,Calc!$AW384)&amp;"")</f>
        <v/>
      </c>
      <c r="D384" s="19" t="str">
        <f ca="1">IF(Calc!$AW384="","",INDEX(Calc!$AP$6:$AP$505,Calc!$AW384))</f>
        <v/>
      </c>
      <c r="E384" s="21" t="str">
        <f ca="1">IF(Calc!$AW384="","",IF(INDEX(Calc!$AS$6:$AS$505,Calc!$AW384)="","Shout-out","Milestone"))</f>
        <v/>
      </c>
      <c r="F384" s="22" t="str">
        <f ca="1">IF(Calc!$AW384="","",IF($E384="Shout-out",SUBSTITUTE(SUBSTITUTE(SUBSTITUTE(SUBSTITUTE(Setup!$C$7&amp;"","{name}",IF($B384="","this employee",$B384)),"{years}",$D384),"{yearword}",IF($D384=1,"year","years")),"{company}",Setup!$C$4),IF(INDEX(Calc!$AT$6:$AT$505,Calc!$AW384),"Award ordered. Present it on the anniversary.","Order award by "&amp;TEXT(INDEX(Calc!$AU$6:$AU$505,Calc!$AW384),"mmm d, yyyy")&amp;IF(INDEX(Calc!$AU$6:$AU$505,Calc!$AW384)&lt;Setup!$C$5," (late, order today)",""))))</f>
        <v/>
      </c>
    </row>
    <row r="385" spans="1:6" x14ac:dyDescent="0.2">
      <c r="A385" s="20" t="str">
        <f ca="1">IF(Calc!$AW385="","",INT(Calc!$AV385))</f>
        <v/>
      </c>
      <c r="B385" s="21" t="str">
        <f ca="1">IF(Calc!$AW385="","",INDEX(Roster!$A$6:$A$505,Calc!$AW385)&amp;"")</f>
        <v/>
      </c>
      <c r="C385" s="21" t="str">
        <f ca="1">IF(Calc!$AW385="","",INDEX(Roster!$C$6:$C$505,Calc!$AW385)&amp;"")</f>
        <v/>
      </c>
      <c r="D385" s="19" t="str">
        <f ca="1">IF(Calc!$AW385="","",INDEX(Calc!$AP$6:$AP$505,Calc!$AW385))</f>
        <v/>
      </c>
      <c r="E385" s="21" t="str">
        <f ca="1">IF(Calc!$AW385="","",IF(INDEX(Calc!$AS$6:$AS$505,Calc!$AW385)="","Shout-out","Milestone"))</f>
        <v/>
      </c>
      <c r="F385" s="22" t="str">
        <f ca="1">IF(Calc!$AW385="","",IF($E385="Shout-out",SUBSTITUTE(SUBSTITUTE(SUBSTITUTE(SUBSTITUTE(Setup!$C$7&amp;"","{name}",IF($B385="","this employee",$B385)),"{years}",$D385),"{yearword}",IF($D385=1,"year","years")),"{company}",Setup!$C$4),IF(INDEX(Calc!$AT$6:$AT$505,Calc!$AW385),"Award ordered. Present it on the anniversary.","Order award by "&amp;TEXT(INDEX(Calc!$AU$6:$AU$505,Calc!$AW385),"mmm d, yyyy")&amp;IF(INDEX(Calc!$AU$6:$AU$505,Calc!$AW385)&lt;Setup!$C$5," (late, order today)",""))))</f>
        <v/>
      </c>
    </row>
    <row r="386" spans="1:6" x14ac:dyDescent="0.2">
      <c r="A386" s="20" t="str">
        <f ca="1">IF(Calc!$AW386="","",INT(Calc!$AV386))</f>
        <v/>
      </c>
      <c r="B386" s="21" t="str">
        <f ca="1">IF(Calc!$AW386="","",INDEX(Roster!$A$6:$A$505,Calc!$AW386)&amp;"")</f>
        <v/>
      </c>
      <c r="C386" s="21" t="str">
        <f ca="1">IF(Calc!$AW386="","",INDEX(Roster!$C$6:$C$505,Calc!$AW386)&amp;"")</f>
        <v/>
      </c>
      <c r="D386" s="19" t="str">
        <f ca="1">IF(Calc!$AW386="","",INDEX(Calc!$AP$6:$AP$505,Calc!$AW386))</f>
        <v/>
      </c>
      <c r="E386" s="21" t="str">
        <f ca="1">IF(Calc!$AW386="","",IF(INDEX(Calc!$AS$6:$AS$505,Calc!$AW386)="","Shout-out","Milestone"))</f>
        <v/>
      </c>
      <c r="F386" s="22" t="str">
        <f ca="1">IF(Calc!$AW386="","",IF($E386="Shout-out",SUBSTITUTE(SUBSTITUTE(SUBSTITUTE(SUBSTITUTE(Setup!$C$7&amp;"","{name}",IF($B386="","this employee",$B386)),"{years}",$D386),"{yearword}",IF($D386=1,"year","years")),"{company}",Setup!$C$4),IF(INDEX(Calc!$AT$6:$AT$505,Calc!$AW386),"Award ordered. Present it on the anniversary.","Order award by "&amp;TEXT(INDEX(Calc!$AU$6:$AU$505,Calc!$AW386),"mmm d, yyyy")&amp;IF(INDEX(Calc!$AU$6:$AU$505,Calc!$AW386)&lt;Setup!$C$5," (late, order today)",""))))</f>
        <v/>
      </c>
    </row>
    <row r="387" spans="1:6" x14ac:dyDescent="0.2">
      <c r="A387" s="20" t="str">
        <f ca="1">IF(Calc!$AW387="","",INT(Calc!$AV387))</f>
        <v/>
      </c>
      <c r="B387" s="21" t="str">
        <f ca="1">IF(Calc!$AW387="","",INDEX(Roster!$A$6:$A$505,Calc!$AW387)&amp;"")</f>
        <v/>
      </c>
      <c r="C387" s="21" t="str">
        <f ca="1">IF(Calc!$AW387="","",INDEX(Roster!$C$6:$C$505,Calc!$AW387)&amp;"")</f>
        <v/>
      </c>
      <c r="D387" s="19" t="str">
        <f ca="1">IF(Calc!$AW387="","",INDEX(Calc!$AP$6:$AP$505,Calc!$AW387))</f>
        <v/>
      </c>
      <c r="E387" s="21" t="str">
        <f ca="1">IF(Calc!$AW387="","",IF(INDEX(Calc!$AS$6:$AS$505,Calc!$AW387)="","Shout-out","Milestone"))</f>
        <v/>
      </c>
      <c r="F387" s="22" t="str">
        <f ca="1">IF(Calc!$AW387="","",IF($E387="Shout-out",SUBSTITUTE(SUBSTITUTE(SUBSTITUTE(SUBSTITUTE(Setup!$C$7&amp;"","{name}",IF($B387="","this employee",$B387)),"{years}",$D387),"{yearword}",IF($D387=1,"year","years")),"{company}",Setup!$C$4),IF(INDEX(Calc!$AT$6:$AT$505,Calc!$AW387),"Award ordered. Present it on the anniversary.","Order award by "&amp;TEXT(INDEX(Calc!$AU$6:$AU$505,Calc!$AW387),"mmm d, yyyy")&amp;IF(INDEX(Calc!$AU$6:$AU$505,Calc!$AW387)&lt;Setup!$C$5," (late, order today)",""))))</f>
        <v/>
      </c>
    </row>
    <row r="388" spans="1:6" x14ac:dyDescent="0.2">
      <c r="A388" s="20" t="str">
        <f ca="1">IF(Calc!$AW388="","",INT(Calc!$AV388))</f>
        <v/>
      </c>
      <c r="B388" s="21" t="str">
        <f ca="1">IF(Calc!$AW388="","",INDEX(Roster!$A$6:$A$505,Calc!$AW388)&amp;"")</f>
        <v/>
      </c>
      <c r="C388" s="21" t="str">
        <f ca="1">IF(Calc!$AW388="","",INDEX(Roster!$C$6:$C$505,Calc!$AW388)&amp;"")</f>
        <v/>
      </c>
      <c r="D388" s="19" t="str">
        <f ca="1">IF(Calc!$AW388="","",INDEX(Calc!$AP$6:$AP$505,Calc!$AW388))</f>
        <v/>
      </c>
      <c r="E388" s="21" t="str">
        <f ca="1">IF(Calc!$AW388="","",IF(INDEX(Calc!$AS$6:$AS$505,Calc!$AW388)="","Shout-out","Milestone"))</f>
        <v/>
      </c>
      <c r="F388" s="22" t="str">
        <f ca="1">IF(Calc!$AW388="","",IF($E388="Shout-out",SUBSTITUTE(SUBSTITUTE(SUBSTITUTE(SUBSTITUTE(Setup!$C$7&amp;"","{name}",IF($B388="","this employee",$B388)),"{years}",$D388),"{yearword}",IF($D388=1,"year","years")),"{company}",Setup!$C$4),IF(INDEX(Calc!$AT$6:$AT$505,Calc!$AW388),"Award ordered. Present it on the anniversary.","Order award by "&amp;TEXT(INDEX(Calc!$AU$6:$AU$505,Calc!$AW388),"mmm d, yyyy")&amp;IF(INDEX(Calc!$AU$6:$AU$505,Calc!$AW388)&lt;Setup!$C$5," (late, order today)",""))))</f>
        <v/>
      </c>
    </row>
    <row r="389" spans="1:6" x14ac:dyDescent="0.2">
      <c r="A389" s="20" t="str">
        <f ca="1">IF(Calc!$AW389="","",INT(Calc!$AV389))</f>
        <v/>
      </c>
      <c r="B389" s="21" t="str">
        <f ca="1">IF(Calc!$AW389="","",INDEX(Roster!$A$6:$A$505,Calc!$AW389)&amp;"")</f>
        <v/>
      </c>
      <c r="C389" s="21" t="str">
        <f ca="1">IF(Calc!$AW389="","",INDEX(Roster!$C$6:$C$505,Calc!$AW389)&amp;"")</f>
        <v/>
      </c>
      <c r="D389" s="19" t="str">
        <f ca="1">IF(Calc!$AW389="","",INDEX(Calc!$AP$6:$AP$505,Calc!$AW389))</f>
        <v/>
      </c>
      <c r="E389" s="21" t="str">
        <f ca="1">IF(Calc!$AW389="","",IF(INDEX(Calc!$AS$6:$AS$505,Calc!$AW389)="","Shout-out","Milestone"))</f>
        <v/>
      </c>
      <c r="F389" s="22" t="str">
        <f ca="1">IF(Calc!$AW389="","",IF($E389="Shout-out",SUBSTITUTE(SUBSTITUTE(SUBSTITUTE(SUBSTITUTE(Setup!$C$7&amp;"","{name}",IF($B389="","this employee",$B389)),"{years}",$D389),"{yearword}",IF($D389=1,"year","years")),"{company}",Setup!$C$4),IF(INDEX(Calc!$AT$6:$AT$505,Calc!$AW389),"Award ordered. Present it on the anniversary.","Order award by "&amp;TEXT(INDEX(Calc!$AU$6:$AU$505,Calc!$AW389),"mmm d, yyyy")&amp;IF(INDEX(Calc!$AU$6:$AU$505,Calc!$AW389)&lt;Setup!$C$5," (late, order today)",""))))</f>
        <v/>
      </c>
    </row>
    <row r="390" spans="1:6" x14ac:dyDescent="0.2">
      <c r="A390" s="20" t="str">
        <f ca="1">IF(Calc!$AW390="","",INT(Calc!$AV390))</f>
        <v/>
      </c>
      <c r="B390" s="21" t="str">
        <f ca="1">IF(Calc!$AW390="","",INDEX(Roster!$A$6:$A$505,Calc!$AW390)&amp;"")</f>
        <v/>
      </c>
      <c r="C390" s="21" t="str">
        <f ca="1">IF(Calc!$AW390="","",INDEX(Roster!$C$6:$C$505,Calc!$AW390)&amp;"")</f>
        <v/>
      </c>
      <c r="D390" s="19" t="str">
        <f ca="1">IF(Calc!$AW390="","",INDEX(Calc!$AP$6:$AP$505,Calc!$AW390))</f>
        <v/>
      </c>
      <c r="E390" s="21" t="str">
        <f ca="1">IF(Calc!$AW390="","",IF(INDEX(Calc!$AS$6:$AS$505,Calc!$AW390)="","Shout-out","Milestone"))</f>
        <v/>
      </c>
      <c r="F390" s="22" t="str">
        <f ca="1">IF(Calc!$AW390="","",IF($E390="Shout-out",SUBSTITUTE(SUBSTITUTE(SUBSTITUTE(SUBSTITUTE(Setup!$C$7&amp;"","{name}",IF($B390="","this employee",$B390)),"{years}",$D390),"{yearword}",IF($D390=1,"year","years")),"{company}",Setup!$C$4),IF(INDEX(Calc!$AT$6:$AT$505,Calc!$AW390),"Award ordered. Present it on the anniversary.","Order award by "&amp;TEXT(INDEX(Calc!$AU$6:$AU$505,Calc!$AW390),"mmm d, yyyy")&amp;IF(INDEX(Calc!$AU$6:$AU$505,Calc!$AW390)&lt;Setup!$C$5," (late, order today)",""))))</f>
        <v/>
      </c>
    </row>
    <row r="391" spans="1:6" x14ac:dyDescent="0.2">
      <c r="A391" s="20" t="str">
        <f ca="1">IF(Calc!$AW391="","",INT(Calc!$AV391))</f>
        <v/>
      </c>
      <c r="B391" s="21" t="str">
        <f ca="1">IF(Calc!$AW391="","",INDEX(Roster!$A$6:$A$505,Calc!$AW391)&amp;"")</f>
        <v/>
      </c>
      <c r="C391" s="21" t="str">
        <f ca="1">IF(Calc!$AW391="","",INDEX(Roster!$C$6:$C$505,Calc!$AW391)&amp;"")</f>
        <v/>
      </c>
      <c r="D391" s="19" t="str">
        <f ca="1">IF(Calc!$AW391="","",INDEX(Calc!$AP$6:$AP$505,Calc!$AW391))</f>
        <v/>
      </c>
      <c r="E391" s="21" t="str">
        <f ca="1">IF(Calc!$AW391="","",IF(INDEX(Calc!$AS$6:$AS$505,Calc!$AW391)="","Shout-out","Milestone"))</f>
        <v/>
      </c>
      <c r="F391" s="22" t="str">
        <f ca="1">IF(Calc!$AW391="","",IF($E391="Shout-out",SUBSTITUTE(SUBSTITUTE(SUBSTITUTE(SUBSTITUTE(Setup!$C$7&amp;"","{name}",IF($B391="","this employee",$B391)),"{years}",$D391),"{yearword}",IF($D391=1,"year","years")),"{company}",Setup!$C$4),IF(INDEX(Calc!$AT$6:$AT$505,Calc!$AW391),"Award ordered. Present it on the anniversary.","Order award by "&amp;TEXT(INDEX(Calc!$AU$6:$AU$505,Calc!$AW391),"mmm d, yyyy")&amp;IF(INDEX(Calc!$AU$6:$AU$505,Calc!$AW391)&lt;Setup!$C$5," (late, order today)",""))))</f>
        <v/>
      </c>
    </row>
    <row r="392" spans="1:6" x14ac:dyDescent="0.2">
      <c r="A392" s="20" t="str">
        <f ca="1">IF(Calc!$AW392="","",INT(Calc!$AV392))</f>
        <v/>
      </c>
      <c r="B392" s="21" t="str">
        <f ca="1">IF(Calc!$AW392="","",INDEX(Roster!$A$6:$A$505,Calc!$AW392)&amp;"")</f>
        <v/>
      </c>
      <c r="C392" s="21" t="str">
        <f ca="1">IF(Calc!$AW392="","",INDEX(Roster!$C$6:$C$505,Calc!$AW392)&amp;"")</f>
        <v/>
      </c>
      <c r="D392" s="19" t="str">
        <f ca="1">IF(Calc!$AW392="","",INDEX(Calc!$AP$6:$AP$505,Calc!$AW392))</f>
        <v/>
      </c>
      <c r="E392" s="21" t="str">
        <f ca="1">IF(Calc!$AW392="","",IF(INDEX(Calc!$AS$6:$AS$505,Calc!$AW392)="","Shout-out","Milestone"))</f>
        <v/>
      </c>
      <c r="F392" s="22" t="str">
        <f ca="1">IF(Calc!$AW392="","",IF($E392="Shout-out",SUBSTITUTE(SUBSTITUTE(SUBSTITUTE(SUBSTITUTE(Setup!$C$7&amp;"","{name}",IF($B392="","this employee",$B392)),"{years}",$D392),"{yearword}",IF($D392=1,"year","years")),"{company}",Setup!$C$4),IF(INDEX(Calc!$AT$6:$AT$505,Calc!$AW392),"Award ordered. Present it on the anniversary.","Order award by "&amp;TEXT(INDEX(Calc!$AU$6:$AU$505,Calc!$AW392),"mmm d, yyyy")&amp;IF(INDEX(Calc!$AU$6:$AU$505,Calc!$AW392)&lt;Setup!$C$5," (late, order today)",""))))</f>
        <v/>
      </c>
    </row>
    <row r="393" spans="1:6" x14ac:dyDescent="0.2">
      <c r="A393" s="20" t="str">
        <f ca="1">IF(Calc!$AW393="","",INT(Calc!$AV393))</f>
        <v/>
      </c>
      <c r="B393" s="21" t="str">
        <f ca="1">IF(Calc!$AW393="","",INDEX(Roster!$A$6:$A$505,Calc!$AW393)&amp;"")</f>
        <v/>
      </c>
      <c r="C393" s="21" t="str">
        <f ca="1">IF(Calc!$AW393="","",INDEX(Roster!$C$6:$C$505,Calc!$AW393)&amp;"")</f>
        <v/>
      </c>
      <c r="D393" s="19" t="str">
        <f ca="1">IF(Calc!$AW393="","",INDEX(Calc!$AP$6:$AP$505,Calc!$AW393))</f>
        <v/>
      </c>
      <c r="E393" s="21" t="str">
        <f ca="1">IF(Calc!$AW393="","",IF(INDEX(Calc!$AS$6:$AS$505,Calc!$AW393)="","Shout-out","Milestone"))</f>
        <v/>
      </c>
      <c r="F393" s="22" t="str">
        <f ca="1">IF(Calc!$AW393="","",IF($E393="Shout-out",SUBSTITUTE(SUBSTITUTE(SUBSTITUTE(SUBSTITUTE(Setup!$C$7&amp;"","{name}",IF($B393="","this employee",$B393)),"{years}",$D393),"{yearword}",IF($D393=1,"year","years")),"{company}",Setup!$C$4),IF(INDEX(Calc!$AT$6:$AT$505,Calc!$AW393),"Award ordered. Present it on the anniversary.","Order award by "&amp;TEXT(INDEX(Calc!$AU$6:$AU$505,Calc!$AW393),"mmm d, yyyy")&amp;IF(INDEX(Calc!$AU$6:$AU$505,Calc!$AW393)&lt;Setup!$C$5," (late, order today)",""))))</f>
        <v/>
      </c>
    </row>
    <row r="394" spans="1:6" x14ac:dyDescent="0.2">
      <c r="A394" s="20" t="str">
        <f ca="1">IF(Calc!$AW394="","",INT(Calc!$AV394))</f>
        <v/>
      </c>
      <c r="B394" s="21" t="str">
        <f ca="1">IF(Calc!$AW394="","",INDEX(Roster!$A$6:$A$505,Calc!$AW394)&amp;"")</f>
        <v/>
      </c>
      <c r="C394" s="21" t="str">
        <f ca="1">IF(Calc!$AW394="","",INDEX(Roster!$C$6:$C$505,Calc!$AW394)&amp;"")</f>
        <v/>
      </c>
      <c r="D394" s="19" t="str">
        <f ca="1">IF(Calc!$AW394="","",INDEX(Calc!$AP$6:$AP$505,Calc!$AW394))</f>
        <v/>
      </c>
      <c r="E394" s="21" t="str">
        <f ca="1">IF(Calc!$AW394="","",IF(INDEX(Calc!$AS$6:$AS$505,Calc!$AW394)="","Shout-out","Milestone"))</f>
        <v/>
      </c>
      <c r="F394" s="22" t="str">
        <f ca="1">IF(Calc!$AW394="","",IF($E394="Shout-out",SUBSTITUTE(SUBSTITUTE(SUBSTITUTE(SUBSTITUTE(Setup!$C$7&amp;"","{name}",IF($B394="","this employee",$B394)),"{years}",$D394),"{yearword}",IF($D394=1,"year","years")),"{company}",Setup!$C$4),IF(INDEX(Calc!$AT$6:$AT$505,Calc!$AW394),"Award ordered. Present it on the anniversary.","Order award by "&amp;TEXT(INDEX(Calc!$AU$6:$AU$505,Calc!$AW394),"mmm d, yyyy")&amp;IF(INDEX(Calc!$AU$6:$AU$505,Calc!$AW394)&lt;Setup!$C$5," (late, order today)",""))))</f>
        <v/>
      </c>
    </row>
    <row r="395" spans="1:6" x14ac:dyDescent="0.2">
      <c r="A395" s="20" t="str">
        <f ca="1">IF(Calc!$AW395="","",INT(Calc!$AV395))</f>
        <v/>
      </c>
      <c r="B395" s="21" t="str">
        <f ca="1">IF(Calc!$AW395="","",INDEX(Roster!$A$6:$A$505,Calc!$AW395)&amp;"")</f>
        <v/>
      </c>
      <c r="C395" s="21" t="str">
        <f ca="1">IF(Calc!$AW395="","",INDEX(Roster!$C$6:$C$505,Calc!$AW395)&amp;"")</f>
        <v/>
      </c>
      <c r="D395" s="19" t="str">
        <f ca="1">IF(Calc!$AW395="","",INDEX(Calc!$AP$6:$AP$505,Calc!$AW395))</f>
        <v/>
      </c>
      <c r="E395" s="21" t="str">
        <f ca="1">IF(Calc!$AW395="","",IF(INDEX(Calc!$AS$6:$AS$505,Calc!$AW395)="","Shout-out","Milestone"))</f>
        <v/>
      </c>
      <c r="F395" s="22" t="str">
        <f ca="1">IF(Calc!$AW395="","",IF($E395="Shout-out",SUBSTITUTE(SUBSTITUTE(SUBSTITUTE(SUBSTITUTE(Setup!$C$7&amp;"","{name}",IF($B395="","this employee",$B395)),"{years}",$D395),"{yearword}",IF($D395=1,"year","years")),"{company}",Setup!$C$4),IF(INDEX(Calc!$AT$6:$AT$505,Calc!$AW395),"Award ordered. Present it on the anniversary.","Order award by "&amp;TEXT(INDEX(Calc!$AU$6:$AU$505,Calc!$AW395),"mmm d, yyyy")&amp;IF(INDEX(Calc!$AU$6:$AU$505,Calc!$AW395)&lt;Setup!$C$5," (late, order today)",""))))</f>
        <v/>
      </c>
    </row>
    <row r="396" spans="1:6" x14ac:dyDescent="0.2">
      <c r="A396" s="20" t="str">
        <f ca="1">IF(Calc!$AW396="","",INT(Calc!$AV396))</f>
        <v/>
      </c>
      <c r="B396" s="21" t="str">
        <f ca="1">IF(Calc!$AW396="","",INDEX(Roster!$A$6:$A$505,Calc!$AW396)&amp;"")</f>
        <v/>
      </c>
      <c r="C396" s="21" t="str">
        <f ca="1">IF(Calc!$AW396="","",INDEX(Roster!$C$6:$C$505,Calc!$AW396)&amp;"")</f>
        <v/>
      </c>
      <c r="D396" s="19" t="str">
        <f ca="1">IF(Calc!$AW396="","",INDEX(Calc!$AP$6:$AP$505,Calc!$AW396))</f>
        <v/>
      </c>
      <c r="E396" s="21" t="str">
        <f ca="1">IF(Calc!$AW396="","",IF(INDEX(Calc!$AS$6:$AS$505,Calc!$AW396)="","Shout-out","Milestone"))</f>
        <v/>
      </c>
      <c r="F396" s="22" t="str">
        <f ca="1">IF(Calc!$AW396="","",IF($E396="Shout-out",SUBSTITUTE(SUBSTITUTE(SUBSTITUTE(SUBSTITUTE(Setup!$C$7&amp;"","{name}",IF($B396="","this employee",$B396)),"{years}",$D396),"{yearword}",IF($D396=1,"year","years")),"{company}",Setup!$C$4),IF(INDEX(Calc!$AT$6:$AT$505,Calc!$AW396),"Award ordered. Present it on the anniversary.","Order award by "&amp;TEXT(INDEX(Calc!$AU$6:$AU$505,Calc!$AW396),"mmm d, yyyy")&amp;IF(INDEX(Calc!$AU$6:$AU$505,Calc!$AW396)&lt;Setup!$C$5," (late, order today)",""))))</f>
        <v/>
      </c>
    </row>
    <row r="397" spans="1:6" x14ac:dyDescent="0.2">
      <c r="A397" s="20" t="str">
        <f ca="1">IF(Calc!$AW397="","",INT(Calc!$AV397))</f>
        <v/>
      </c>
      <c r="B397" s="21" t="str">
        <f ca="1">IF(Calc!$AW397="","",INDEX(Roster!$A$6:$A$505,Calc!$AW397)&amp;"")</f>
        <v/>
      </c>
      <c r="C397" s="21" t="str">
        <f ca="1">IF(Calc!$AW397="","",INDEX(Roster!$C$6:$C$505,Calc!$AW397)&amp;"")</f>
        <v/>
      </c>
      <c r="D397" s="19" t="str">
        <f ca="1">IF(Calc!$AW397="","",INDEX(Calc!$AP$6:$AP$505,Calc!$AW397))</f>
        <v/>
      </c>
      <c r="E397" s="21" t="str">
        <f ca="1">IF(Calc!$AW397="","",IF(INDEX(Calc!$AS$6:$AS$505,Calc!$AW397)="","Shout-out","Milestone"))</f>
        <v/>
      </c>
      <c r="F397" s="22" t="str">
        <f ca="1">IF(Calc!$AW397="","",IF($E397="Shout-out",SUBSTITUTE(SUBSTITUTE(SUBSTITUTE(SUBSTITUTE(Setup!$C$7&amp;"","{name}",IF($B397="","this employee",$B397)),"{years}",$D397),"{yearword}",IF($D397=1,"year","years")),"{company}",Setup!$C$4),IF(INDEX(Calc!$AT$6:$AT$505,Calc!$AW397),"Award ordered. Present it on the anniversary.","Order award by "&amp;TEXT(INDEX(Calc!$AU$6:$AU$505,Calc!$AW397),"mmm d, yyyy")&amp;IF(INDEX(Calc!$AU$6:$AU$505,Calc!$AW397)&lt;Setup!$C$5," (late, order today)",""))))</f>
        <v/>
      </c>
    </row>
    <row r="398" spans="1:6" x14ac:dyDescent="0.2">
      <c r="A398" s="20" t="str">
        <f ca="1">IF(Calc!$AW398="","",INT(Calc!$AV398))</f>
        <v/>
      </c>
      <c r="B398" s="21" t="str">
        <f ca="1">IF(Calc!$AW398="","",INDEX(Roster!$A$6:$A$505,Calc!$AW398)&amp;"")</f>
        <v/>
      </c>
      <c r="C398" s="21" t="str">
        <f ca="1">IF(Calc!$AW398="","",INDEX(Roster!$C$6:$C$505,Calc!$AW398)&amp;"")</f>
        <v/>
      </c>
      <c r="D398" s="19" t="str">
        <f ca="1">IF(Calc!$AW398="","",INDEX(Calc!$AP$6:$AP$505,Calc!$AW398))</f>
        <v/>
      </c>
      <c r="E398" s="21" t="str">
        <f ca="1">IF(Calc!$AW398="","",IF(INDEX(Calc!$AS$6:$AS$505,Calc!$AW398)="","Shout-out","Milestone"))</f>
        <v/>
      </c>
      <c r="F398" s="22" t="str">
        <f ca="1">IF(Calc!$AW398="","",IF($E398="Shout-out",SUBSTITUTE(SUBSTITUTE(SUBSTITUTE(SUBSTITUTE(Setup!$C$7&amp;"","{name}",IF($B398="","this employee",$B398)),"{years}",$D398),"{yearword}",IF($D398=1,"year","years")),"{company}",Setup!$C$4),IF(INDEX(Calc!$AT$6:$AT$505,Calc!$AW398),"Award ordered. Present it on the anniversary.","Order award by "&amp;TEXT(INDEX(Calc!$AU$6:$AU$505,Calc!$AW398),"mmm d, yyyy")&amp;IF(INDEX(Calc!$AU$6:$AU$505,Calc!$AW398)&lt;Setup!$C$5," (late, order today)",""))))</f>
        <v/>
      </c>
    </row>
    <row r="399" spans="1:6" x14ac:dyDescent="0.2">
      <c r="A399" s="20" t="str">
        <f ca="1">IF(Calc!$AW399="","",INT(Calc!$AV399))</f>
        <v/>
      </c>
      <c r="B399" s="21" t="str">
        <f ca="1">IF(Calc!$AW399="","",INDEX(Roster!$A$6:$A$505,Calc!$AW399)&amp;"")</f>
        <v/>
      </c>
      <c r="C399" s="21" t="str">
        <f ca="1">IF(Calc!$AW399="","",INDEX(Roster!$C$6:$C$505,Calc!$AW399)&amp;"")</f>
        <v/>
      </c>
      <c r="D399" s="19" t="str">
        <f ca="1">IF(Calc!$AW399="","",INDEX(Calc!$AP$6:$AP$505,Calc!$AW399))</f>
        <v/>
      </c>
      <c r="E399" s="21" t="str">
        <f ca="1">IF(Calc!$AW399="","",IF(INDEX(Calc!$AS$6:$AS$505,Calc!$AW399)="","Shout-out","Milestone"))</f>
        <v/>
      </c>
      <c r="F399" s="22" t="str">
        <f ca="1">IF(Calc!$AW399="","",IF($E399="Shout-out",SUBSTITUTE(SUBSTITUTE(SUBSTITUTE(SUBSTITUTE(Setup!$C$7&amp;"","{name}",IF($B399="","this employee",$B399)),"{years}",$D399),"{yearword}",IF($D399=1,"year","years")),"{company}",Setup!$C$4),IF(INDEX(Calc!$AT$6:$AT$505,Calc!$AW399),"Award ordered. Present it on the anniversary.","Order award by "&amp;TEXT(INDEX(Calc!$AU$6:$AU$505,Calc!$AW399),"mmm d, yyyy")&amp;IF(INDEX(Calc!$AU$6:$AU$505,Calc!$AW399)&lt;Setup!$C$5," (late, order today)",""))))</f>
        <v/>
      </c>
    </row>
    <row r="400" spans="1:6" x14ac:dyDescent="0.2">
      <c r="A400" s="20" t="str">
        <f ca="1">IF(Calc!$AW400="","",INT(Calc!$AV400))</f>
        <v/>
      </c>
      <c r="B400" s="21" t="str">
        <f ca="1">IF(Calc!$AW400="","",INDEX(Roster!$A$6:$A$505,Calc!$AW400)&amp;"")</f>
        <v/>
      </c>
      <c r="C400" s="21" t="str">
        <f ca="1">IF(Calc!$AW400="","",INDEX(Roster!$C$6:$C$505,Calc!$AW400)&amp;"")</f>
        <v/>
      </c>
      <c r="D400" s="19" t="str">
        <f ca="1">IF(Calc!$AW400="","",INDEX(Calc!$AP$6:$AP$505,Calc!$AW400))</f>
        <v/>
      </c>
      <c r="E400" s="21" t="str">
        <f ca="1">IF(Calc!$AW400="","",IF(INDEX(Calc!$AS$6:$AS$505,Calc!$AW400)="","Shout-out","Milestone"))</f>
        <v/>
      </c>
      <c r="F400" s="22" t="str">
        <f ca="1">IF(Calc!$AW400="","",IF($E400="Shout-out",SUBSTITUTE(SUBSTITUTE(SUBSTITUTE(SUBSTITUTE(Setup!$C$7&amp;"","{name}",IF($B400="","this employee",$B400)),"{years}",$D400),"{yearword}",IF($D400=1,"year","years")),"{company}",Setup!$C$4),IF(INDEX(Calc!$AT$6:$AT$505,Calc!$AW400),"Award ordered. Present it on the anniversary.","Order award by "&amp;TEXT(INDEX(Calc!$AU$6:$AU$505,Calc!$AW400),"mmm d, yyyy")&amp;IF(INDEX(Calc!$AU$6:$AU$505,Calc!$AW400)&lt;Setup!$C$5," (late, order today)",""))))</f>
        <v/>
      </c>
    </row>
    <row r="401" spans="1:6" x14ac:dyDescent="0.2">
      <c r="A401" s="20" t="str">
        <f ca="1">IF(Calc!$AW401="","",INT(Calc!$AV401))</f>
        <v/>
      </c>
      <c r="B401" s="21" t="str">
        <f ca="1">IF(Calc!$AW401="","",INDEX(Roster!$A$6:$A$505,Calc!$AW401)&amp;"")</f>
        <v/>
      </c>
      <c r="C401" s="21" t="str">
        <f ca="1">IF(Calc!$AW401="","",INDEX(Roster!$C$6:$C$505,Calc!$AW401)&amp;"")</f>
        <v/>
      </c>
      <c r="D401" s="19" t="str">
        <f ca="1">IF(Calc!$AW401="","",INDEX(Calc!$AP$6:$AP$505,Calc!$AW401))</f>
        <v/>
      </c>
      <c r="E401" s="21" t="str">
        <f ca="1">IF(Calc!$AW401="","",IF(INDEX(Calc!$AS$6:$AS$505,Calc!$AW401)="","Shout-out","Milestone"))</f>
        <v/>
      </c>
      <c r="F401" s="22" t="str">
        <f ca="1">IF(Calc!$AW401="","",IF($E401="Shout-out",SUBSTITUTE(SUBSTITUTE(SUBSTITUTE(SUBSTITUTE(Setup!$C$7&amp;"","{name}",IF($B401="","this employee",$B401)),"{years}",$D401),"{yearword}",IF($D401=1,"year","years")),"{company}",Setup!$C$4),IF(INDEX(Calc!$AT$6:$AT$505,Calc!$AW401),"Award ordered. Present it on the anniversary.","Order award by "&amp;TEXT(INDEX(Calc!$AU$6:$AU$505,Calc!$AW401),"mmm d, yyyy")&amp;IF(INDEX(Calc!$AU$6:$AU$505,Calc!$AW401)&lt;Setup!$C$5," (late, order today)",""))))</f>
        <v/>
      </c>
    </row>
    <row r="402" spans="1:6" x14ac:dyDescent="0.2">
      <c r="A402" s="20" t="str">
        <f ca="1">IF(Calc!$AW402="","",INT(Calc!$AV402))</f>
        <v/>
      </c>
      <c r="B402" s="21" t="str">
        <f ca="1">IF(Calc!$AW402="","",INDEX(Roster!$A$6:$A$505,Calc!$AW402)&amp;"")</f>
        <v/>
      </c>
      <c r="C402" s="21" t="str">
        <f ca="1">IF(Calc!$AW402="","",INDEX(Roster!$C$6:$C$505,Calc!$AW402)&amp;"")</f>
        <v/>
      </c>
      <c r="D402" s="19" t="str">
        <f ca="1">IF(Calc!$AW402="","",INDEX(Calc!$AP$6:$AP$505,Calc!$AW402))</f>
        <v/>
      </c>
      <c r="E402" s="21" t="str">
        <f ca="1">IF(Calc!$AW402="","",IF(INDEX(Calc!$AS$6:$AS$505,Calc!$AW402)="","Shout-out","Milestone"))</f>
        <v/>
      </c>
      <c r="F402" s="22" t="str">
        <f ca="1">IF(Calc!$AW402="","",IF($E402="Shout-out",SUBSTITUTE(SUBSTITUTE(SUBSTITUTE(SUBSTITUTE(Setup!$C$7&amp;"","{name}",IF($B402="","this employee",$B402)),"{years}",$D402),"{yearword}",IF($D402=1,"year","years")),"{company}",Setup!$C$4),IF(INDEX(Calc!$AT$6:$AT$505,Calc!$AW402),"Award ordered. Present it on the anniversary.","Order award by "&amp;TEXT(INDEX(Calc!$AU$6:$AU$505,Calc!$AW402),"mmm d, yyyy")&amp;IF(INDEX(Calc!$AU$6:$AU$505,Calc!$AW402)&lt;Setup!$C$5," (late, order today)",""))))</f>
        <v/>
      </c>
    </row>
    <row r="403" spans="1:6" x14ac:dyDescent="0.2">
      <c r="A403" s="20" t="str">
        <f ca="1">IF(Calc!$AW403="","",INT(Calc!$AV403))</f>
        <v/>
      </c>
      <c r="B403" s="21" t="str">
        <f ca="1">IF(Calc!$AW403="","",INDEX(Roster!$A$6:$A$505,Calc!$AW403)&amp;"")</f>
        <v/>
      </c>
      <c r="C403" s="21" t="str">
        <f ca="1">IF(Calc!$AW403="","",INDEX(Roster!$C$6:$C$505,Calc!$AW403)&amp;"")</f>
        <v/>
      </c>
      <c r="D403" s="19" t="str">
        <f ca="1">IF(Calc!$AW403="","",INDEX(Calc!$AP$6:$AP$505,Calc!$AW403))</f>
        <v/>
      </c>
      <c r="E403" s="21" t="str">
        <f ca="1">IF(Calc!$AW403="","",IF(INDEX(Calc!$AS$6:$AS$505,Calc!$AW403)="","Shout-out","Milestone"))</f>
        <v/>
      </c>
      <c r="F403" s="22" t="str">
        <f ca="1">IF(Calc!$AW403="","",IF($E403="Shout-out",SUBSTITUTE(SUBSTITUTE(SUBSTITUTE(SUBSTITUTE(Setup!$C$7&amp;"","{name}",IF($B403="","this employee",$B403)),"{years}",$D403),"{yearword}",IF($D403=1,"year","years")),"{company}",Setup!$C$4),IF(INDEX(Calc!$AT$6:$AT$505,Calc!$AW403),"Award ordered. Present it on the anniversary.","Order award by "&amp;TEXT(INDEX(Calc!$AU$6:$AU$505,Calc!$AW403),"mmm d, yyyy")&amp;IF(INDEX(Calc!$AU$6:$AU$505,Calc!$AW403)&lt;Setup!$C$5," (late, order today)",""))))</f>
        <v/>
      </c>
    </row>
    <row r="404" spans="1:6" x14ac:dyDescent="0.2">
      <c r="A404" s="20" t="str">
        <f ca="1">IF(Calc!$AW404="","",INT(Calc!$AV404))</f>
        <v/>
      </c>
      <c r="B404" s="21" t="str">
        <f ca="1">IF(Calc!$AW404="","",INDEX(Roster!$A$6:$A$505,Calc!$AW404)&amp;"")</f>
        <v/>
      </c>
      <c r="C404" s="21" t="str">
        <f ca="1">IF(Calc!$AW404="","",INDEX(Roster!$C$6:$C$505,Calc!$AW404)&amp;"")</f>
        <v/>
      </c>
      <c r="D404" s="19" t="str">
        <f ca="1">IF(Calc!$AW404="","",INDEX(Calc!$AP$6:$AP$505,Calc!$AW404))</f>
        <v/>
      </c>
      <c r="E404" s="21" t="str">
        <f ca="1">IF(Calc!$AW404="","",IF(INDEX(Calc!$AS$6:$AS$505,Calc!$AW404)="","Shout-out","Milestone"))</f>
        <v/>
      </c>
      <c r="F404" s="22" t="str">
        <f ca="1">IF(Calc!$AW404="","",IF($E404="Shout-out",SUBSTITUTE(SUBSTITUTE(SUBSTITUTE(SUBSTITUTE(Setup!$C$7&amp;"","{name}",IF($B404="","this employee",$B404)),"{years}",$D404),"{yearword}",IF($D404=1,"year","years")),"{company}",Setup!$C$4),IF(INDEX(Calc!$AT$6:$AT$505,Calc!$AW404),"Award ordered. Present it on the anniversary.","Order award by "&amp;TEXT(INDEX(Calc!$AU$6:$AU$505,Calc!$AW404),"mmm d, yyyy")&amp;IF(INDEX(Calc!$AU$6:$AU$505,Calc!$AW404)&lt;Setup!$C$5," (late, order today)",""))))</f>
        <v/>
      </c>
    </row>
    <row r="405" spans="1:6" x14ac:dyDescent="0.2">
      <c r="A405" s="20" t="str">
        <f ca="1">IF(Calc!$AW405="","",INT(Calc!$AV405))</f>
        <v/>
      </c>
      <c r="B405" s="21" t="str">
        <f ca="1">IF(Calc!$AW405="","",INDEX(Roster!$A$6:$A$505,Calc!$AW405)&amp;"")</f>
        <v/>
      </c>
      <c r="C405" s="21" t="str">
        <f ca="1">IF(Calc!$AW405="","",INDEX(Roster!$C$6:$C$505,Calc!$AW405)&amp;"")</f>
        <v/>
      </c>
      <c r="D405" s="19" t="str">
        <f ca="1">IF(Calc!$AW405="","",INDEX(Calc!$AP$6:$AP$505,Calc!$AW405))</f>
        <v/>
      </c>
      <c r="E405" s="21" t="str">
        <f ca="1">IF(Calc!$AW405="","",IF(INDEX(Calc!$AS$6:$AS$505,Calc!$AW405)="","Shout-out","Milestone"))</f>
        <v/>
      </c>
      <c r="F405" s="22" t="str">
        <f ca="1">IF(Calc!$AW405="","",IF($E405="Shout-out",SUBSTITUTE(SUBSTITUTE(SUBSTITUTE(SUBSTITUTE(Setup!$C$7&amp;"","{name}",IF($B405="","this employee",$B405)),"{years}",$D405),"{yearword}",IF($D405=1,"year","years")),"{company}",Setup!$C$4),IF(INDEX(Calc!$AT$6:$AT$505,Calc!$AW405),"Award ordered. Present it on the anniversary.","Order award by "&amp;TEXT(INDEX(Calc!$AU$6:$AU$505,Calc!$AW405),"mmm d, yyyy")&amp;IF(INDEX(Calc!$AU$6:$AU$505,Calc!$AW405)&lt;Setup!$C$5," (late, order today)",""))))</f>
        <v/>
      </c>
    </row>
    <row r="406" spans="1:6" x14ac:dyDescent="0.2">
      <c r="A406" s="20" t="str">
        <f ca="1">IF(Calc!$AW406="","",INT(Calc!$AV406))</f>
        <v/>
      </c>
      <c r="B406" s="21" t="str">
        <f ca="1">IF(Calc!$AW406="","",INDEX(Roster!$A$6:$A$505,Calc!$AW406)&amp;"")</f>
        <v/>
      </c>
      <c r="C406" s="21" t="str">
        <f ca="1">IF(Calc!$AW406="","",INDEX(Roster!$C$6:$C$505,Calc!$AW406)&amp;"")</f>
        <v/>
      </c>
      <c r="D406" s="19" t="str">
        <f ca="1">IF(Calc!$AW406="","",INDEX(Calc!$AP$6:$AP$505,Calc!$AW406))</f>
        <v/>
      </c>
      <c r="E406" s="21" t="str">
        <f ca="1">IF(Calc!$AW406="","",IF(INDEX(Calc!$AS$6:$AS$505,Calc!$AW406)="","Shout-out","Milestone"))</f>
        <v/>
      </c>
      <c r="F406" s="22" t="str">
        <f ca="1">IF(Calc!$AW406="","",IF($E406="Shout-out",SUBSTITUTE(SUBSTITUTE(SUBSTITUTE(SUBSTITUTE(Setup!$C$7&amp;"","{name}",IF($B406="","this employee",$B406)),"{years}",$D406),"{yearword}",IF($D406=1,"year","years")),"{company}",Setup!$C$4),IF(INDEX(Calc!$AT$6:$AT$505,Calc!$AW406),"Award ordered. Present it on the anniversary.","Order award by "&amp;TEXT(INDEX(Calc!$AU$6:$AU$505,Calc!$AW406),"mmm d, yyyy")&amp;IF(INDEX(Calc!$AU$6:$AU$505,Calc!$AW406)&lt;Setup!$C$5," (late, order today)",""))))</f>
        <v/>
      </c>
    </row>
    <row r="407" spans="1:6" x14ac:dyDescent="0.2">
      <c r="A407" s="20" t="str">
        <f ca="1">IF(Calc!$AW407="","",INT(Calc!$AV407))</f>
        <v/>
      </c>
      <c r="B407" s="21" t="str">
        <f ca="1">IF(Calc!$AW407="","",INDEX(Roster!$A$6:$A$505,Calc!$AW407)&amp;"")</f>
        <v/>
      </c>
      <c r="C407" s="21" t="str">
        <f ca="1">IF(Calc!$AW407="","",INDEX(Roster!$C$6:$C$505,Calc!$AW407)&amp;"")</f>
        <v/>
      </c>
      <c r="D407" s="19" t="str">
        <f ca="1">IF(Calc!$AW407="","",INDEX(Calc!$AP$6:$AP$505,Calc!$AW407))</f>
        <v/>
      </c>
      <c r="E407" s="21" t="str">
        <f ca="1">IF(Calc!$AW407="","",IF(INDEX(Calc!$AS$6:$AS$505,Calc!$AW407)="","Shout-out","Milestone"))</f>
        <v/>
      </c>
      <c r="F407" s="22" t="str">
        <f ca="1">IF(Calc!$AW407="","",IF($E407="Shout-out",SUBSTITUTE(SUBSTITUTE(SUBSTITUTE(SUBSTITUTE(Setup!$C$7&amp;"","{name}",IF($B407="","this employee",$B407)),"{years}",$D407),"{yearword}",IF($D407=1,"year","years")),"{company}",Setup!$C$4),IF(INDEX(Calc!$AT$6:$AT$505,Calc!$AW407),"Award ordered. Present it on the anniversary.","Order award by "&amp;TEXT(INDEX(Calc!$AU$6:$AU$505,Calc!$AW407),"mmm d, yyyy")&amp;IF(INDEX(Calc!$AU$6:$AU$505,Calc!$AW407)&lt;Setup!$C$5," (late, order today)",""))))</f>
        <v/>
      </c>
    </row>
    <row r="408" spans="1:6" x14ac:dyDescent="0.2">
      <c r="A408" s="20" t="str">
        <f ca="1">IF(Calc!$AW408="","",INT(Calc!$AV408))</f>
        <v/>
      </c>
      <c r="B408" s="21" t="str">
        <f ca="1">IF(Calc!$AW408="","",INDEX(Roster!$A$6:$A$505,Calc!$AW408)&amp;"")</f>
        <v/>
      </c>
      <c r="C408" s="21" t="str">
        <f ca="1">IF(Calc!$AW408="","",INDEX(Roster!$C$6:$C$505,Calc!$AW408)&amp;"")</f>
        <v/>
      </c>
      <c r="D408" s="19" t="str">
        <f ca="1">IF(Calc!$AW408="","",INDEX(Calc!$AP$6:$AP$505,Calc!$AW408))</f>
        <v/>
      </c>
      <c r="E408" s="21" t="str">
        <f ca="1">IF(Calc!$AW408="","",IF(INDEX(Calc!$AS$6:$AS$505,Calc!$AW408)="","Shout-out","Milestone"))</f>
        <v/>
      </c>
      <c r="F408" s="22" t="str">
        <f ca="1">IF(Calc!$AW408="","",IF($E408="Shout-out",SUBSTITUTE(SUBSTITUTE(SUBSTITUTE(SUBSTITUTE(Setup!$C$7&amp;"","{name}",IF($B408="","this employee",$B408)),"{years}",$D408),"{yearword}",IF($D408=1,"year","years")),"{company}",Setup!$C$4),IF(INDEX(Calc!$AT$6:$AT$505,Calc!$AW408),"Award ordered. Present it on the anniversary.","Order award by "&amp;TEXT(INDEX(Calc!$AU$6:$AU$505,Calc!$AW408),"mmm d, yyyy")&amp;IF(INDEX(Calc!$AU$6:$AU$505,Calc!$AW408)&lt;Setup!$C$5," (late, order today)",""))))</f>
        <v/>
      </c>
    </row>
    <row r="409" spans="1:6" x14ac:dyDescent="0.2">
      <c r="A409" s="20" t="str">
        <f ca="1">IF(Calc!$AW409="","",INT(Calc!$AV409))</f>
        <v/>
      </c>
      <c r="B409" s="21" t="str">
        <f ca="1">IF(Calc!$AW409="","",INDEX(Roster!$A$6:$A$505,Calc!$AW409)&amp;"")</f>
        <v/>
      </c>
      <c r="C409" s="21" t="str">
        <f ca="1">IF(Calc!$AW409="","",INDEX(Roster!$C$6:$C$505,Calc!$AW409)&amp;"")</f>
        <v/>
      </c>
      <c r="D409" s="19" t="str">
        <f ca="1">IF(Calc!$AW409="","",INDEX(Calc!$AP$6:$AP$505,Calc!$AW409))</f>
        <v/>
      </c>
      <c r="E409" s="21" t="str">
        <f ca="1">IF(Calc!$AW409="","",IF(INDEX(Calc!$AS$6:$AS$505,Calc!$AW409)="","Shout-out","Milestone"))</f>
        <v/>
      </c>
      <c r="F409" s="22" t="str">
        <f ca="1">IF(Calc!$AW409="","",IF($E409="Shout-out",SUBSTITUTE(SUBSTITUTE(SUBSTITUTE(SUBSTITUTE(Setup!$C$7&amp;"","{name}",IF($B409="","this employee",$B409)),"{years}",$D409),"{yearword}",IF($D409=1,"year","years")),"{company}",Setup!$C$4),IF(INDEX(Calc!$AT$6:$AT$505,Calc!$AW409),"Award ordered. Present it on the anniversary.","Order award by "&amp;TEXT(INDEX(Calc!$AU$6:$AU$505,Calc!$AW409),"mmm d, yyyy")&amp;IF(INDEX(Calc!$AU$6:$AU$505,Calc!$AW409)&lt;Setup!$C$5," (late, order today)",""))))</f>
        <v/>
      </c>
    </row>
    <row r="410" spans="1:6" x14ac:dyDescent="0.2">
      <c r="A410" s="20" t="str">
        <f ca="1">IF(Calc!$AW410="","",INT(Calc!$AV410))</f>
        <v/>
      </c>
      <c r="B410" s="21" t="str">
        <f ca="1">IF(Calc!$AW410="","",INDEX(Roster!$A$6:$A$505,Calc!$AW410)&amp;"")</f>
        <v/>
      </c>
      <c r="C410" s="21" t="str">
        <f ca="1">IF(Calc!$AW410="","",INDEX(Roster!$C$6:$C$505,Calc!$AW410)&amp;"")</f>
        <v/>
      </c>
      <c r="D410" s="19" t="str">
        <f ca="1">IF(Calc!$AW410="","",INDEX(Calc!$AP$6:$AP$505,Calc!$AW410))</f>
        <v/>
      </c>
      <c r="E410" s="21" t="str">
        <f ca="1">IF(Calc!$AW410="","",IF(INDEX(Calc!$AS$6:$AS$505,Calc!$AW410)="","Shout-out","Milestone"))</f>
        <v/>
      </c>
      <c r="F410" s="22" t="str">
        <f ca="1">IF(Calc!$AW410="","",IF($E410="Shout-out",SUBSTITUTE(SUBSTITUTE(SUBSTITUTE(SUBSTITUTE(Setup!$C$7&amp;"","{name}",IF($B410="","this employee",$B410)),"{years}",$D410),"{yearword}",IF($D410=1,"year","years")),"{company}",Setup!$C$4),IF(INDEX(Calc!$AT$6:$AT$505,Calc!$AW410),"Award ordered. Present it on the anniversary.","Order award by "&amp;TEXT(INDEX(Calc!$AU$6:$AU$505,Calc!$AW410),"mmm d, yyyy")&amp;IF(INDEX(Calc!$AU$6:$AU$505,Calc!$AW410)&lt;Setup!$C$5," (late, order today)",""))))</f>
        <v/>
      </c>
    </row>
    <row r="411" spans="1:6" x14ac:dyDescent="0.2">
      <c r="A411" s="20" t="str">
        <f ca="1">IF(Calc!$AW411="","",INT(Calc!$AV411))</f>
        <v/>
      </c>
      <c r="B411" s="21" t="str">
        <f ca="1">IF(Calc!$AW411="","",INDEX(Roster!$A$6:$A$505,Calc!$AW411)&amp;"")</f>
        <v/>
      </c>
      <c r="C411" s="21" t="str">
        <f ca="1">IF(Calc!$AW411="","",INDEX(Roster!$C$6:$C$505,Calc!$AW411)&amp;"")</f>
        <v/>
      </c>
      <c r="D411" s="19" t="str">
        <f ca="1">IF(Calc!$AW411="","",INDEX(Calc!$AP$6:$AP$505,Calc!$AW411))</f>
        <v/>
      </c>
      <c r="E411" s="21" t="str">
        <f ca="1">IF(Calc!$AW411="","",IF(INDEX(Calc!$AS$6:$AS$505,Calc!$AW411)="","Shout-out","Milestone"))</f>
        <v/>
      </c>
      <c r="F411" s="22" t="str">
        <f ca="1">IF(Calc!$AW411="","",IF($E411="Shout-out",SUBSTITUTE(SUBSTITUTE(SUBSTITUTE(SUBSTITUTE(Setup!$C$7&amp;"","{name}",IF($B411="","this employee",$B411)),"{years}",$D411),"{yearword}",IF($D411=1,"year","years")),"{company}",Setup!$C$4),IF(INDEX(Calc!$AT$6:$AT$505,Calc!$AW411),"Award ordered. Present it on the anniversary.","Order award by "&amp;TEXT(INDEX(Calc!$AU$6:$AU$505,Calc!$AW411),"mmm d, yyyy")&amp;IF(INDEX(Calc!$AU$6:$AU$505,Calc!$AW411)&lt;Setup!$C$5," (late, order today)",""))))</f>
        <v/>
      </c>
    </row>
    <row r="412" spans="1:6" x14ac:dyDescent="0.2">
      <c r="A412" s="20" t="str">
        <f ca="1">IF(Calc!$AW412="","",INT(Calc!$AV412))</f>
        <v/>
      </c>
      <c r="B412" s="21" t="str">
        <f ca="1">IF(Calc!$AW412="","",INDEX(Roster!$A$6:$A$505,Calc!$AW412)&amp;"")</f>
        <v/>
      </c>
      <c r="C412" s="21" t="str">
        <f ca="1">IF(Calc!$AW412="","",INDEX(Roster!$C$6:$C$505,Calc!$AW412)&amp;"")</f>
        <v/>
      </c>
      <c r="D412" s="19" t="str">
        <f ca="1">IF(Calc!$AW412="","",INDEX(Calc!$AP$6:$AP$505,Calc!$AW412))</f>
        <v/>
      </c>
      <c r="E412" s="21" t="str">
        <f ca="1">IF(Calc!$AW412="","",IF(INDEX(Calc!$AS$6:$AS$505,Calc!$AW412)="","Shout-out","Milestone"))</f>
        <v/>
      </c>
      <c r="F412" s="22" t="str">
        <f ca="1">IF(Calc!$AW412="","",IF($E412="Shout-out",SUBSTITUTE(SUBSTITUTE(SUBSTITUTE(SUBSTITUTE(Setup!$C$7&amp;"","{name}",IF($B412="","this employee",$B412)),"{years}",$D412),"{yearword}",IF($D412=1,"year","years")),"{company}",Setup!$C$4),IF(INDEX(Calc!$AT$6:$AT$505,Calc!$AW412),"Award ordered. Present it on the anniversary.","Order award by "&amp;TEXT(INDEX(Calc!$AU$6:$AU$505,Calc!$AW412),"mmm d, yyyy")&amp;IF(INDEX(Calc!$AU$6:$AU$505,Calc!$AW412)&lt;Setup!$C$5," (late, order today)",""))))</f>
        <v/>
      </c>
    </row>
    <row r="413" spans="1:6" x14ac:dyDescent="0.2">
      <c r="A413" s="20" t="str">
        <f ca="1">IF(Calc!$AW413="","",INT(Calc!$AV413))</f>
        <v/>
      </c>
      <c r="B413" s="21" t="str">
        <f ca="1">IF(Calc!$AW413="","",INDEX(Roster!$A$6:$A$505,Calc!$AW413)&amp;"")</f>
        <v/>
      </c>
      <c r="C413" s="21" t="str">
        <f ca="1">IF(Calc!$AW413="","",INDEX(Roster!$C$6:$C$505,Calc!$AW413)&amp;"")</f>
        <v/>
      </c>
      <c r="D413" s="19" t="str">
        <f ca="1">IF(Calc!$AW413="","",INDEX(Calc!$AP$6:$AP$505,Calc!$AW413))</f>
        <v/>
      </c>
      <c r="E413" s="21" t="str">
        <f ca="1">IF(Calc!$AW413="","",IF(INDEX(Calc!$AS$6:$AS$505,Calc!$AW413)="","Shout-out","Milestone"))</f>
        <v/>
      </c>
      <c r="F413" s="22" t="str">
        <f ca="1">IF(Calc!$AW413="","",IF($E413="Shout-out",SUBSTITUTE(SUBSTITUTE(SUBSTITUTE(SUBSTITUTE(Setup!$C$7&amp;"","{name}",IF($B413="","this employee",$B413)),"{years}",$D413),"{yearword}",IF($D413=1,"year","years")),"{company}",Setup!$C$4),IF(INDEX(Calc!$AT$6:$AT$505,Calc!$AW413),"Award ordered. Present it on the anniversary.","Order award by "&amp;TEXT(INDEX(Calc!$AU$6:$AU$505,Calc!$AW413),"mmm d, yyyy")&amp;IF(INDEX(Calc!$AU$6:$AU$505,Calc!$AW413)&lt;Setup!$C$5," (late, order today)",""))))</f>
        <v/>
      </c>
    </row>
    <row r="414" spans="1:6" x14ac:dyDescent="0.2">
      <c r="A414" s="20" t="str">
        <f ca="1">IF(Calc!$AW414="","",INT(Calc!$AV414))</f>
        <v/>
      </c>
      <c r="B414" s="21" t="str">
        <f ca="1">IF(Calc!$AW414="","",INDEX(Roster!$A$6:$A$505,Calc!$AW414)&amp;"")</f>
        <v/>
      </c>
      <c r="C414" s="21" t="str">
        <f ca="1">IF(Calc!$AW414="","",INDEX(Roster!$C$6:$C$505,Calc!$AW414)&amp;"")</f>
        <v/>
      </c>
      <c r="D414" s="19" t="str">
        <f ca="1">IF(Calc!$AW414="","",INDEX(Calc!$AP$6:$AP$505,Calc!$AW414))</f>
        <v/>
      </c>
      <c r="E414" s="21" t="str">
        <f ca="1">IF(Calc!$AW414="","",IF(INDEX(Calc!$AS$6:$AS$505,Calc!$AW414)="","Shout-out","Milestone"))</f>
        <v/>
      </c>
      <c r="F414" s="22" t="str">
        <f ca="1">IF(Calc!$AW414="","",IF($E414="Shout-out",SUBSTITUTE(SUBSTITUTE(SUBSTITUTE(SUBSTITUTE(Setup!$C$7&amp;"","{name}",IF($B414="","this employee",$B414)),"{years}",$D414),"{yearword}",IF($D414=1,"year","years")),"{company}",Setup!$C$4),IF(INDEX(Calc!$AT$6:$AT$505,Calc!$AW414),"Award ordered. Present it on the anniversary.","Order award by "&amp;TEXT(INDEX(Calc!$AU$6:$AU$505,Calc!$AW414),"mmm d, yyyy")&amp;IF(INDEX(Calc!$AU$6:$AU$505,Calc!$AW414)&lt;Setup!$C$5," (late, order today)",""))))</f>
        <v/>
      </c>
    </row>
    <row r="415" spans="1:6" x14ac:dyDescent="0.2">
      <c r="A415" s="20" t="str">
        <f ca="1">IF(Calc!$AW415="","",INT(Calc!$AV415))</f>
        <v/>
      </c>
      <c r="B415" s="21" t="str">
        <f ca="1">IF(Calc!$AW415="","",INDEX(Roster!$A$6:$A$505,Calc!$AW415)&amp;"")</f>
        <v/>
      </c>
      <c r="C415" s="21" t="str">
        <f ca="1">IF(Calc!$AW415="","",INDEX(Roster!$C$6:$C$505,Calc!$AW415)&amp;"")</f>
        <v/>
      </c>
      <c r="D415" s="19" t="str">
        <f ca="1">IF(Calc!$AW415="","",INDEX(Calc!$AP$6:$AP$505,Calc!$AW415))</f>
        <v/>
      </c>
      <c r="E415" s="21" t="str">
        <f ca="1">IF(Calc!$AW415="","",IF(INDEX(Calc!$AS$6:$AS$505,Calc!$AW415)="","Shout-out","Milestone"))</f>
        <v/>
      </c>
      <c r="F415" s="22" t="str">
        <f ca="1">IF(Calc!$AW415="","",IF($E415="Shout-out",SUBSTITUTE(SUBSTITUTE(SUBSTITUTE(SUBSTITUTE(Setup!$C$7&amp;"","{name}",IF($B415="","this employee",$B415)),"{years}",$D415),"{yearword}",IF($D415=1,"year","years")),"{company}",Setup!$C$4),IF(INDEX(Calc!$AT$6:$AT$505,Calc!$AW415),"Award ordered. Present it on the anniversary.","Order award by "&amp;TEXT(INDEX(Calc!$AU$6:$AU$505,Calc!$AW415),"mmm d, yyyy")&amp;IF(INDEX(Calc!$AU$6:$AU$505,Calc!$AW415)&lt;Setup!$C$5," (late, order today)",""))))</f>
        <v/>
      </c>
    </row>
    <row r="416" spans="1:6" x14ac:dyDescent="0.2">
      <c r="A416" s="20" t="str">
        <f ca="1">IF(Calc!$AW416="","",INT(Calc!$AV416))</f>
        <v/>
      </c>
      <c r="B416" s="21" t="str">
        <f ca="1">IF(Calc!$AW416="","",INDEX(Roster!$A$6:$A$505,Calc!$AW416)&amp;"")</f>
        <v/>
      </c>
      <c r="C416" s="21" t="str">
        <f ca="1">IF(Calc!$AW416="","",INDEX(Roster!$C$6:$C$505,Calc!$AW416)&amp;"")</f>
        <v/>
      </c>
      <c r="D416" s="19" t="str">
        <f ca="1">IF(Calc!$AW416="","",INDEX(Calc!$AP$6:$AP$505,Calc!$AW416))</f>
        <v/>
      </c>
      <c r="E416" s="21" t="str">
        <f ca="1">IF(Calc!$AW416="","",IF(INDEX(Calc!$AS$6:$AS$505,Calc!$AW416)="","Shout-out","Milestone"))</f>
        <v/>
      </c>
      <c r="F416" s="22" t="str">
        <f ca="1">IF(Calc!$AW416="","",IF($E416="Shout-out",SUBSTITUTE(SUBSTITUTE(SUBSTITUTE(SUBSTITUTE(Setup!$C$7&amp;"","{name}",IF($B416="","this employee",$B416)),"{years}",$D416),"{yearword}",IF($D416=1,"year","years")),"{company}",Setup!$C$4),IF(INDEX(Calc!$AT$6:$AT$505,Calc!$AW416),"Award ordered. Present it on the anniversary.","Order award by "&amp;TEXT(INDEX(Calc!$AU$6:$AU$505,Calc!$AW416),"mmm d, yyyy")&amp;IF(INDEX(Calc!$AU$6:$AU$505,Calc!$AW416)&lt;Setup!$C$5," (late, order today)",""))))</f>
        <v/>
      </c>
    </row>
    <row r="417" spans="1:6" x14ac:dyDescent="0.2">
      <c r="A417" s="20" t="str">
        <f ca="1">IF(Calc!$AW417="","",INT(Calc!$AV417))</f>
        <v/>
      </c>
      <c r="B417" s="21" t="str">
        <f ca="1">IF(Calc!$AW417="","",INDEX(Roster!$A$6:$A$505,Calc!$AW417)&amp;"")</f>
        <v/>
      </c>
      <c r="C417" s="21" t="str">
        <f ca="1">IF(Calc!$AW417="","",INDEX(Roster!$C$6:$C$505,Calc!$AW417)&amp;"")</f>
        <v/>
      </c>
      <c r="D417" s="19" t="str">
        <f ca="1">IF(Calc!$AW417="","",INDEX(Calc!$AP$6:$AP$505,Calc!$AW417))</f>
        <v/>
      </c>
      <c r="E417" s="21" t="str">
        <f ca="1">IF(Calc!$AW417="","",IF(INDEX(Calc!$AS$6:$AS$505,Calc!$AW417)="","Shout-out","Milestone"))</f>
        <v/>
      </c>
      <c r="F417" s="22" t="str">
        <f ca="1">IF(Calc!$AW417="","",IF($E417="Shout-out",SUBSTITUTE(SUBSTITUTE(SUBSTITUTE(SUBSTITUTE(Setup!$C$7&amp;"","{name}",IF($B417="","this employee",$B417)),"{years}",$D417),"{yearword}",IF($D417=1,"year","years")),"{company}",Setup!$C$4),IF(INDEX(Calc!$AT$6:$AT$505,Calc!$AW417),"Award ordered. Present it on the anniversary.","Order award by "&amp;TEXT(INDEX(Calc!$AU$6:$AU$505,Calc!$AW417),"mmm d, yyyy")&amp;IF(INDEX(Calc!$AU$6:$AU$505,Calc!$AW417)&lt;Setup!$C$5," (late, order today)",""))))</f>
        <v/>
      </c>
    </row>
    <row r="418" spans="1:6" x14ac:dyDescent="0.2">
      <c r="A418" s="20" t="str">
        <f ca="1">IF(Calc!$AW418="","",INT(Calc!$AV418))</f>
        <v/>
      </c>
      <c r="B418" s="21" t="str">
        <f ca="1">IF(Calc!$AW418="","",INDEX(Roster!$A$6:$A$505,Calc!$AW418)&amp;"")</f>
        <v/>
      </c>
      <c r="C418" s="21" t="str">
        <f ca="1">IF(Calc!$AW418="","",INDEX(Roster!$C$6:$C$505,Calc!$AW418)&amp;"")</f>
        <v/>
      </c>
      <c r="D418" s="19" t="str">
        <f ca="1">IF(Calc!$AW418="","",INDEX(Calc!$AP$6:$AP$505,Calc!$AW418))</f>
        <v/>
      </c>
      <c r="E418" s="21" t="str">
        <f ca="1">IF(Calc!$AW418="","",IF(INDEX(Calc!$AS$6:$AS$505,Calc!$AW418)="","Shout-out","Milestone"))</f>
        <v/>
      </c>
      <c r="F418" s="22" t="str">
        <f ca="1">IF(Calc!$AW418="","",IF($E418="Shout-out",SUBSTITUTE(SUBSTITUTE(SUBSTITUTE(SUBSTITUTE(Setup!$C$7&amp;"","{name}",IF($B418="","this employee",$B418)),"{years}",$D418),"{yearword}",IF($D418=1,"year","years")),"{company}",Setup!$C$4),IF(INDEX(Calc!$AT$6:$AT$505,Calc!$AW418),"Award ordered. Present it on the anniversary.","Order award by "&amp;TEXT(INDEX(Calc!$AU$6:$AU$505,Calc!$AW418),"mmm d, yyyy")&amp;IF(INDEX(Calc!$AU$6:$AU$505,Calc!$AW418)&lt;Setup!$C$5," (late, order today)",""))))</f>
        <v/>
      </c>
    </row>
    <row r="419" spans="1:6" x14ac:dyDescent="0.2">
      <c r="A419" s="20" t="str">
        <f ca="1">IF(Calc!$AW419="","",INT(Calc!$AV419))</f>
        <v/>
      </c>
      <c r="B419" s="21" t="str">
        <f ca="1">IF(Calc!$AW419="","",INDEX(Roster!$A$6:$A$505,Calc!$AW419)&amp;"")</f>
        <v/>
      </c>
      <c r="C419" s="21" t="str">
        <f ca="1">IF(Calc!$AW419="","",INDEX(Roster!$C$6:$C$505,Calc!$AW419)&amp;"")</f>
        <v/>
      </c>
      <c r="D419" s="19" t="str">
        <f ca="1">IF(Calc!$AW419="","",INDEX(Calc!$AP$6:$AP$505,Calc!$AW419))</f>
        <v/>
      </c>
      <c r="E419" s="21" t="str">
        <f ca="1">IF(Calc!$AW419="","",IF(INDEX(Calc!$AS$6:$AS$505,Calc!$AW419)="","Shout-out","Milestone"))</f>
        <v/>
      </c>
      <c r="F419" s="22" t="str">
        <f ca="1">IF(Calc!$AW419="","",IF($E419="Shout-out",SUBSTITUTE(SUBSTITUTE(SUBSTITUTE(SUBSTITUTE(Setup!$C$7&amp;"","{name}",IF($B419="","this employee",$B419)),"{years}",$D419),"{yearword}",IF($D419=1,"year","years")),"{company}",Setup!$C$4),IF(INDEX(Calc!$AT$6:$AT$505,Calc!$AW419),"Award ordered. Present it on the anniversary.","Order award by "&amp;TEXT(INDEX(Calc!$AU$6:$AU$505,Calc!$AW419),"mmm d, yyyy")&amp;IF(INDEX(Calc!$AU$6:$AU$505,Calc!$AW419)&lt;Setup!$C$5," (late, order today)",""))))</f>
        <v/>
      </c>
    </row>
    <row r="420" spans="1:6" x14ac:dyDescent="0.2">
      <c r="A420" s="20" t="str">
        <f ca="1">IF(Calc!$AW420="","",INT(Calc!$AV420))</f>
        <v/>
      </c>
      <c r="B420" s="21" t="str">
        <f ca="1">IF(Calc!$AW420="","",INDEX(Roster!$A$6:$A$505,Calc!$AW420)&amp;"")</f>
        <v/>
      </c>
      <c r="C420" s="21" t="str">
        <f ca="1">IF(Calc!$AW420="","",INDEX(Roster!$C$6:$C$505,Calc!$AW420)&amp;"")</f>
        <v/>
      </c>
      <c r="D420" s="19" t="str">
        <f ca="1">IF(Calc!$AW420="","",INDEX(Calc!$AP$6:$AP$505,Calc!$AW420))</f>
        <v/>
      </c>
      <c r="E420" s="21" t="str">
        <f ca="1">IF(Calc!$AW420="","",IF(INDEX(Calc!$AS$6:$AS$505,Calc!$AW420)="","Shout-out","Milestone"))</f>
        <v/>
      </c>
      <c r="F420" s="22" t="str">
        <f ca="1">IF(Calc!$AW420="","",IF($E420="Shout-out",SUBSTITUTE(SUBSTITUTE(SUBSTITUTE(SUBSTITUTE(Setup!$C$7&amp;"","{name}",IF($B420="","this employee",$B420)),"{years}",$D420),"{yearword}",IF($D420=1,"year","years")),"{company}",Setup!$C$4),IF(INDEX(Calc!$AT$6:$AT$505,Calc!$AW420),"Award ordered. Present it on the anniversary.","Order award by "&amp;TEXT(INDEX(Calc!$AU$6:$AU$505,Calc!$AW420),"mmm d, yyyy")&amp;IF(INDEX(Calc!$AU$6:$AU$505,Calc!$AW420)&lt;Setup!$C$5," (late, order today)",""))))</f>
        <v/>
      </c>
    </row>
    <row r="421" spans="1:6" x14ac:dyDescent="0.2">
      <c r="A421" s="20" t="str">
        <f ca="1">IF(Calc!$AW421="","",INT(Calc!$AV421))</f>
        <v/>
      </c>
      <c r="B421" s="21" t="str">
        <f ca="1">IF(Calc!$AW421="","",INDEX(Roster!$A$6:$A$505,Calc!$AW421)&amp;"")</f>
        <v/>
      </c>
      <c r="C421" s="21" t="str">
        <f ca="1">IF(Calc!$AW421="","",INDEX(Roster!$C$6:$C$505,Calc!$AW421)&amp;"")</f>
        <v/>
      </c>
      <c r="D421" s="19" t="str">
        <f ca="1">IF(Calc!$AW421="","",INDEX(Calc!$AP$6:$AP$505,Calc!$AW421))</f>
        <v/>
      </c>
      <c r="E421" s="21" t="str">
        <f ca="1">IF(Calc!$AW421="","",IF(INDEX(Calc!$AS$6:$AS$505,Calc!$AW421)="","Shout-out","Milestone"))</f>
        <v/>
      </c>
      <c r="F421" s="22" t="str">
        <f ca="1">IF(Calc!$AW421="","",IF($E421="Shout-out",SUBSTITUTE(SUBSTITUTE(SUBSTITUTE(SUBSTITUTE(Setup!$C$7&amp;"","{name}",IF($B421="","this employee",$B421)),"{years}",$D421),"{yearword}",IF($D421=1,"year","years")),"{company}",Setup!$C$4),IF(INDEX(Calc!$AT$6:$AT$505,Calc!$AW421),"Award ordered. Present it on the anniversary.","Order award by "&amp;TEXT(INDEX(Calc!$AU$6:$AU$505,Calc!$AW421),"mmm d, yyyy")&amp;IF(INDEX(Calc!$AU$6:$AU$505,Calc!$AW421)&lt;Setup!$C$5," (late, order today)",""))))</f>
        <v/>
      </c>
    </row>
    <row r="422" spans="1:6" x14ac:dyDescent="0.2">
      <c r="A422" s="20" t="str">
        <f ca="1">IF(Calc!$AW422="","",INT(Calc!$AV422))</f>
        <v/>
      </c>
      <c r="B422" s="21" t="str">
        <f ca="1">IF(Calc!$AW422="","",INDEX(Roster!$A$6:$A$505,Calc!$AW422)&amp;"")</f>
        <v/>
      </c>
      <c r="C422" s="21" t="str">
        <f ca="1">IF(Calc!$AW422="","",INDEX(Roster!$C$6:$C$505,Calc!$AW422)&amp;"")</f>
        <v/>
      </c>
      <c r="D422" s="19" t="str">
        <f ca="1">IF(Calc!$AW422="","",INDEX(Calc!$AP$6:$AP$505,Calc!$AW422))</f>
        <v/>
      </c>
      <c r="E422" s="21" t="str">
        <f ca="1">IF(Calc!$AW422="","",IF(INDEX(Calc!$AS$6:$AS$505,Calc!$AW422)="","Shout-out","Milestone"))</f>
        <v/>
      </c>
      <c r="F422" s="22" t="str">
        <f ca="1">IF(Calc!$AW422="","",IF($E422="Shout-out",SUBSTITUTE(SUBSTITUTE(SUBSTITUTE(SUBSTITUTE(Setup!$C$7&amp;"","{name}",IF($B422="","this employee",$B422)),"{years}",$D422),"{yearword}",IF($D422=1,"year","years")),"{company}",Setup!$C$4),IF(INDEX(Calc!$AT$6:$AT$505,Calc!$AW422),"Award ordered. Present it on the anniversary.","Order award by "&amp;TEXT(INDEX(Calc!$AU$6:$AU$505,Calc!$AW422),"mmm d, yyyy")&amp;IF(INDEX(Calc!$AU$6:$AU$505,Calc!$AW422)&lt;Setup!$C$5," (late, order today)",""))))</f>
        <v/>
      </c>
    </row>
    <row r="423" spans="1:6" x14ac:dyDescent="0.2">
      <c r="A423" s="20" t="str">
        <f ca="1">IF(Calc!$AW423="","",INT(Calc!$AV423))</f>
        <v/>
      </c>
      <c r="B423" s="21" t="str">
        <f ca="1">IF(Calc!$AW423="","",INDEX(Roster!$A$6:$A$505,Calc!$AW423)&amp;"")</f>
        <v/>
      </c>
      <c r="C423" s="21" t="str">
        <f ca="1">IF(Calc!$AW423="","",INDEX(Roster!$C$6:$C$505,Calc!$AW423)&amp;"")</f>
        <v/>
      </c>
      <c r="D423" s="19" t="str">
        <f ca="1">IF(Calc!$AW423="","",INDEX(Calc!$AP$6:$AP$505,Calc!$AW423))</f>
        <v/>
      </c>
      <c r="E423" s="21" t="str">
        <f ca="1">IF(Calc!$AW423="","",IF(INDEX(Calc!$AS$6:$AS$505,Calc!$AW423)="","Shout-out","Milestone"))</f>
        <v/>
      </c>
      <c r="F423" s="22" t="str">
        <f ca="1">IF(Calc!$AW423="","",IF($E423="Shout-out",SUBSTITUTE(SUBSTITUTE(SUBSTITUTE(SUBSTITUTE(Setup!$C$7&amp;"","{name}",IF($B423="","this employee",$B423)),"{years}",$D423),"{yearword}",IF($D423=1,"year","years")),"{company}",Setup!$C$4),IF(INDEX(Calc!$AT$6:$AT$505,Calc!$AW423),"Award ordered. Present it on the anniversary.","Order award by "&amp;TEXT(INDEX(Calc!$AU$6:$AU$505,Calc!$AW423),"mmm d, yyyy")&amp;IF(INDEX(Calc!$AU$6:$AU$505,Calc!$AW423)&lt;Setup!$C$5," (late, order today)",""))))</f>
        <v/>
      </c>
    </row>
    <row r="424" spans="1:6" x14ac:dyDescent="0.2">
      <c r="A424" s="20" t="str">
        <f ca="1">IF(Calc!$AW424="","",INT(Calc!$AV424))</f>
        <v/>
      </c>
      <c r="B424" s="21" t="str">
        <f ca="1">IF(Calc!$AW424="","",INDEX(Roster!$A$6:$A$505,Calc!$AW424)&amp;"")</f>
        <v/>
      </c>
      <c r="C424" s="21" t="str">
        <f ca="1">IF(Calc!$AW424="","",INDEX(Roster!$C$6:$C$505,Calc!$AW424)&amp;"")</f>
        <v/>
      </c>
      <c r="D424" s="19" t="str">
        <f ca="1">IF(Calc!$AW424="","",INDEX(Calc!$AP$6:$AP$505,Calc!$AW424))</f>
        <v/>
      </c>
      <c r="E424" s="21" t="str">
        <f ca="1">IF(Calc!$AW424="","",IF(INDEX(Calc!$AS$6:$AS$505,Calc!$AW424)="","Shout-out","Milestone"))</f>
        <v/>
      </c>
      <c r="F424" s="22" t="str">
        <f ca="1">IF(Calc!$AW424="","",IF($E424="Shout-out",SUBSTITUTE(SUBSTITUTE(SUBSTITUTE(SUBSTITUTE(Setup!$C$7&amp;"","{name}",IF($B424="","this employee",$B424)),"{years}",$D424),"{yearword}",IF($D424=1,"year","years")),"{company}",Setup!$C$4),IF(INDEX(Calc!$AT$6:$AT$505,Calc!$AW424),"Award ordered. Present it on the anniversary.","Order award by "&amp;TEXT(INDEX(Calc!$AU$6:$AU$505,Calc!$AW424),"mmm d, yyyy")&amp;IF(INDEX(Calc!$AU$6:$AU$505,Calc!$AW424)&lt;Setup!$C$5," (late, order today)",""))))</f>
        <v/>
      </c>
    </row>
    <row r="425" spans="1:6" x14ac:dyDescent="0.2">
      <c r="A425" s="20" t="str">
        <f ca="1">IF(Calc!$AW425="","",INT(Calc!$AV425))</f>
        <v/>
      </c>
      <c r="B425" s="21" t="str">
        <f ca="1">IF(Calc!$AW425="","",INDEX(Roster!$A$6:$A$505,Calc!$AW425)&amp;"")</f>
        <v/>
      </c>
      <c r="C425" s="21" t="str">
        <f ca="1">IF(Calc!$AW425="","",INDEX(Roster!$C$6:$C$505,Calc!$AW425)&amp;"")</f>
        <v/>
      </c>
      <c r="D425" s="19" t="str">
        <f ca="1">IF(Calc!$AW425="","",INDEX(Calc!$AP$6:$AP$505,Calc!$AW425))</f>
        <v/>
      </c>
      <c r="E425" s="21" t="str">
        <f ca="1">IF(Calc!$AW425="","",IF(INDEX(Calc!$AS$6:$AS$505,Calc!$AW425)="","Shout-out","Milestone"))</f>
        <v/>
      </c>
      <c r="F425" s="22" t="str">
        <f ca="1">IF(Calc!$AW425="","",IF($E425="Shout-out",SUBSTITUTE(SUBSTITUTE(SUBSTITUTE(SUBSTITUTE(Setup!$C$7&amp;"","{name}",IF($B425="","this employee",$B425)),"{years}",$D425),"{yearword}",IF($D425=1,"year","years")),"{company}",Setup!$C$4),IF(INDEX(Calc!$AT$6:$AT$505,Calc!$AW425),"Award ordered. Present it on the anniversary.","Order award by "&amp;TEXT(INDEX(Calc!$AU$6:$AU$505,Calc!$AW425),"mmm d, yyyy")&amp;IF(INDEX(Calc!$AU$6:$AU$505,Calc!$AW425)&lt;Setup!$C$5," (late, order today)",""))))</f>
        <v/>
      </c>
    </row>
    <row r="426" spans="1:6" x14ac:dyDescent="0.2">
      <c r="A426" s="20" t="str">
        <f ca="1">IF(Calc!$AW426="","",INT(Calc!$AV426))</f>
        <v/>
      </c>
      <c r="B426" s="21" t="str">
        <f ca="1">IF(Calc!$AW426="","",INDEX(Roster!$A$6:$A$505,Calc!$AW426)&amp;"")</f>
        <v/>
      </c>
      <c r="C426" s="21" t="str">
        <f ca="1">IF(Calc!$AW426="","",INDEX(Roster!$C$6:$C$505,Calc!$AW426)&amp;"")</f>
        <v/>
      </c>
      <c r="D426" s="19" t="str">
        <f ca="1">IF(Calc!$AW426="","",INDEX(Calc!$AP$6:$AP$505,Calc!$AW426))</f>
        <v/>
      </c>
      <c r="E426" s="21" t="str">
        <f ca="1">IF(Calc!$AW426="","",IF(INDEX(Calc!$AS$6:$AS$505,Calc!$AW426)="","Shout-out","Milestone"))</f>
        <v/>
      </c>
      <c r="F426" s="22" t="str">
        <f ca="1">IF(Calc!$AW426="","",IF($E426="Shout-out",SUBSTITUTE(SUBSTITUTE(SUBSTITUTE(SUBSTITUTE(Setup!$C$7&amp;"","{name}",IF($B426="","this employee",$B426)),"{years}",$D426),"{yearword}",IF($D426=1,"year","years")),"{company}",Setup!$C$4),IF(INDEX(Calc!$AT$6:$AT$505,Calc!$AW426),"Award ordered. Present it on the anniversary.","Order award by "&amp;TEXT(INDEX(Calc!$AU$6:$AU$505,Calc!$AW426),"mmm d, yyyy")&amp;IF(INDEX(Calc!$AU$6:$AU$505,Calc!$AW426)&lt;Setup!$C$5," (late, order today)",""))))</f>
        <v/>
      </c>
    </row>
    <row r="427" spans="1:6" x14ac:dyDescent="0.2">
      <c r="A427" s="20" t="str">
        <f ca="1">IF(Calc!$AW427="","",INT(Calc!$AV427))</f>
        <v/>
      </c>
      <c r="B427" s="21" t="str">
        <f ca="1">IF(Calc!$AW427="","",INDEX(Roster!$A$6:$A$505,Calc!$AW427)&amp;"")</f>
        <v/>
      </c>
      <c r="C427" s="21" t="str">
        <f ca="1">IF(Calc!$AW427="","",INDEX(Roster!$C$6:$C$505,Calc!$AW427)&amp;"")</f>
        <v/>
      </c>
      <c r="D427" s="19" t="str">
        <f ca="1">IF(Calc!$AW427="","",INDEX(Calc!$AP$6:$AP$505,Calc!$AW427))</f>
        <v/>
      </c>
      <c r="E427" s="21" t="str">
        <f ca="1">IF(Calc!$AW427="","",IF(INDEX(Calc!$AS$6:$AS$505,Calc!$AW427)="","Shout-out","Milestone"))</f>
        <v/>
      </c>
      <c r="F427" s="22" t="str">
        <f ca="1">IF(Calc!$AW427="","",IF($E427="Shout-out",SUBSTITUTE(SUBSTITUTE(SUBSTITUTE(SUBSTITUTE(Setup!$C$7&amp;"","{name}",IF($B427="","this employee",$B427)),"{years}",$D427),"{yearword}",IF($D427=1,"year","years")),"{company}",Setup!$C$4),IF(INDEX(Calc!$AT$6:$AT$505,Calc!$AW427),"Award ordered. Present it on the anniversary.","Order award by "&amp;TEXT(INDEX(Calc!$AU$6:$AU$505,Calc!$AW427),"mmm d, yyyy")&amp;IF(INDEX(Calc!$AU$6:$AU$505,Calc!$AW427)&lt;Setup!$C$5," (late, order today)",""))))</f>
        <v/>
      </c>
    </row>
    <row r="428" spans="1:6" x14ac:dyDescent="0.2">
      <c r="A428" s="20" t="str">
        <f ca="1">IF(Calc!$AW428="","",INT(Calc!$AV428))</f>
        <v/>
      </c>
      <c r="B428" s="21" t="str">
        <f ca="1">IF(Calc!$AW428="","",INDEX(Roster!$A$6:$A$505,Calc!$AW428)&amp;"")</f>
        <v/>
      </c>
      <c r="C428" s="21" t="str">
        <f ca="1">IF(Calc!$AW428="","",INDEX(Roster!$C$6:$C$505,Calc!$AW428)&amp;"")</f>
        <v/>
      </c>
      <c r="D428" s="19" t="str">
        <f ca="1">IF(Calc!$AW428="","",INDEX(Calc!$AP$6:$AP$505,Calc!$AW428))</f>
        <v/>
      </c>
      <c r="E428" s="21" t="str">
        <f ca="1">IF(Calc!$AW428="","",IF(INDEX(Calc!$AS$6:$AS$505,Calc!$AW428)="","Shout-out","Milestone"))</f>
        <v/>
      </c>
      <c r="F428" s="22" t="str">
        <f ca="1">IF(Calc!$AW428="","",IF($E428="Shout-out",SUBSTITUTE(SUBSTITUTE(SUBSTITUTE(SUBSTITUTE(Setup!$C$7&amp;"","{name}",IF($B428="","this employee",$B428)),"{years}",$D428),"{yearword}",IF($D428=1,"year","years")),"{company}",Setup!$C$4),IF(INDEX(Calc!$AT$6:$AT$505,Calc!$AW428),"Award ordered. Present it on the anniversary.","Order award by "&amp;TEXT(INDEX(Calc!$AU$6:$AU$505,Calc!$AW428),"mmm d, yyyy")&amp;IF(INDEX(Calc!$AU$6:$AU$505,Calc!$AW428)&lt;Setup!$C$5," (late, order today)",""))))</f>
        <v/>
      </c>
    </row>
    <row r="429" spans="1:6" x14ac:dyDescent="0.2">
      <c r="A429" s="20" t="str">
        <f ca="1">IF(Calc!$AW429="","",INT(Calc!$AV429))</f>
        <v/>
      </c>
      <c r="B429" s="21" t="str">
        <f ca="1">IF(Calc!$AW429="","",INDEX(Roster!$A$6:$A$505,Calc!$AW429)&amp;"")</f>
        <v/>
      </c>
      <c r="C429" s="21" t="str">
        <f ca="1">IF(Calc!$AW429="","",INDEX(Roster!$C$6:$C$505,Calc!$AW429)&amp;"")</f>
        <v/>
      </c>
      <c r="D429" s="19" t="str">
        <f ca="1">IF(Calc!$AW429="","",INDEX(Calc!$AP$6:$AP$505,Calc!$AW429))</f>
        <v/>
      </c>
      <c r="E429" s="21" t="str">
        <f ca="1">IF(Calc!$AW429="","",IF(INDEX(Calc!$AS$6:$AS$505,Calc!$AW429)="","Shout-out","Milestone"))</f>
        <v/>
      </c>
      <c r="F429" s="22" t="str">
        <f ca="1">IF(Calc!$AW429="","",IF($E429="Shout-out",SUBSTITUTE(SUBSTITUTE(SUBSTITUTE(SUBSTITUTE(Setup!$C$7&amp;"","{name}",IF($B429="","this employee",$B429)),"{years}",$D429),"{yearword}",IF($D429=1,"year","years")),"{company}",Setup!$C$4),IF(INDEX(Calc!$AT$6:$AT$505,Calc!$AW429),"Award ordered. Present it on the anniversary.","Order award by "&amp;TEXT(INDEX(Calc!$AU$6:$AU$505,Calc!$AW429),"mmm d, yyyy")&amp;IF(INDEX(Calc!$AU$6:$AU$505,Calc!$AW429)&lt;Setup!$C$5," (late, order today)",""))))</f>
        <v/>
      </c>
    </row>
    <row r="430" spans="1:6" x14ac:dyDescent="0.2">
      <c r="A430" s="20" t="str">
        <f ca="1">IF(Calc!$AW430="","",INT(Calc!$AV430))</f>
        <v/>
      </c>
      <c r="B430" s="21" t="str">
        <f ca="1">IF(Calc!$AW430="","",INDEX(Roster!$A$6:$A$505,Calc!$AW430)&amp;"")</f>
        <v/>
      </c>
      <c r="C430" s="21" t="str">
        <f ca="1">IF(Calc!$AW430="","",INDEX(Roster!$C$6:$C$505,Calc!$AW430)&amp;"")</f>
        <v/>
      </c>
      <c r="D430" s="19" t="str">
        <f ca="1">IF(Calc!$AW430="","",INDEX(Calc!$AP$6:$AP$505,Calc!$AW430))</f>
        <v/>
      </c>
      <c r="E430" s="21" t="str">
        <f ca="1">IF(Calc!$AW430="","",IF(INDEX(Calc!$AS$6:$AS$505,Calc!$AW430)="","Shout-out","Milestone"))</f>
        <v/>
      </c>
      <c r="F430" s="22" t="str">
        <f ca="1">IF(Calc!$AW430="","",IF($E430="Shout-out",SUBSTITUTE(SUBSTITUTE(SUBSTITUTE(SUBSTITUTE(Setup!$C$7&amp;"","{name}",IF($B430="","this employee",$B430)),"{years}",$D430),"{yearword}",IF($D430=1,"year","years")),"{company}",Setup!$C$4),IF(INDEX(Calc!$AT$6:$AT$505,Calc!$AW430),"Award ordered. Present it on the anniversary.","Order award by "&amp;TEXT(INDEX(Calc!$AU$6:$AU$505,Calc!$AW430),"mmm d, yyyy")&amp;IF(INDEX(Calc!$AU$6:$AU$505,Calc!$AW430)&lt;Setup!$C$5," (late, order today)",""))))</f>
        <v/>
      </c>
    </row>
    <row r="431" spans="1:6" x14ac:dyDescent="0.2">
      <c r="A431" s="20" t="str">
        <f ca="1">IF(Calc!$AW431="","",INT(Calc!$AV431))</f>
        <v/>
      </c>
      <c r="B431" s="21" t="str">
        <f ca="1">IF(Calc!$AW431="","",INDEX(Roster!$A$6:$A$505,Calc!$AW431)&amp;"")</f>
        <v/>
      </c>
      <c r="C431" s="21" t="str">
        <f ca="1">IF(Calc!$AW431="","",INDEX(Roster!$C$6:$C$505,Calc!$AW431)&amp;"")</f>
        <v/>
      </c>
      <c r="D431" s="19" t="str">
        <f ca="1">IF(Calc!$AW431="","",INDEX(Calc!$AP$6:$AP$505,Calc!$AW431))</f>
        <v/>
      </c>
      <c r="E431" s="21" t="str">
        <f ca="1">IF(Calc!$AW431="","",IF(INDEX(Calc!$AS$6:$AS$505,Calc!$AW431)="","Shout-out","Milestone"))</f>
        <v/>
      </c>
      <c r="F431" s="22" t="str">
        <f ca="1">IF(Calc!$AW431="","",IF($E431="Shout-out",SUBSTITUTE(SUBSTITUTE(SUBSTITUTE(SUBSTITUTE(Setup!$C$7&amp;"","{name}",IF($B431="","this employee",$B431)),"{years}",$D431),"{yearword}",IF($D431=1,"year","years")),"{company}",Setup!$C$4),IF(INDEX(Calc!$AT$6:$AT$505,Calc!$AW431),"Award ordered. Present it on the anniversary.","Order award by "&amp;TEXT(INDEX(Calc!$AU$6:$AU$505,Calc!$AW431),"mmm d, yyyy")&amp;IF(INDEX(Calc!$AU$6:$AU$505,Calc!$AW431)&lt;Setup!$C$5," (late, order today)",""))))</f>
        <v/>
      </c>
    </row>
    <row r="432" spans="1:6" x14ac:dyDescent="0.2">
      <c r="A432" s="20" t="str">
        <f ca="1">IF(Calc!$AW432="","",INT(Calc!$AV432))</f>
        <v/>
      </c>
      <c r="B432" s="21" t="str">
        <f ca="1">IF(Calc!$AW432="","",INDEX(Roster!$A$6:$A$505,Calc!$AW432)&amp;"")</f>
        <v/>
      </c>
      <c r="C432" s="21" t="str">
        <f ca="1">IF(Calc!$AW432="","",INDEX(Roster!$C$6:$C$505,Calc!$AW432)&amp;"")</f>
        <v/>
      </c>
      <c r="D432" s="19" t="str">
        <f ca="1">IF(Calc!$AW432="","",INDEX(Calc!$AP$6:$AP$505,Calc!$AW432))</f>
        <v/>
      </c>
      <c r="E432" s="21" t="str">
        <f ca="1">IF(Calc!$AW432="","",IF(INDEX(Calc!$AS$6:$AS$505,Calc!$AW432)="","Shout-out","Milestone"))</f>
        <v/>
      </c>
      <c r="F432" s="22" t="str">
        <f ca="1">IF(Calc!$AW432="","",IF($E432="Shout-out",SUBSTITUTE(SUBSTITUTE(SUBSTITUTE(SUBSTITUTE(Setup!$C$7&amp;"","{name}",IF($B432="","this employee",$B432)),"{years}",$D432),"{yearword}",IF($D432=1,"year","years")),"{company}",Setup!$C$4),IF(INDEX(Calc!$AT$6:$AT$505,Calc!$AW432),"Award ordered. Present it on the anniversary.","Order award by "&amp;TEXT(INDEX(Calc!$AU$6:$AU$505,Calc!$AW432),"mmm d, yyyy")&amp;IF(INDEX(Calc!$AU$6:$AU$505,Calc!$AW432)&lt;Setup!$C$5," (late, order today)",""))))</f>
        <v/>
      </c>
    </row>
    <row r="433" spans="1:6" x14ac:dyDescent="0.2">
      <c r="A433" s="20" t="str">
        <f ca="1">IF(Calc!$AW433="","",INT(Calc!$AV433))</f>
        <v/>
      </c>
      <c r="B433" s="21" t="str">
        <f ca="1">IF(Calc!$AW433="","",INDEX(Roster!$A$6:$A$505,Calc!$AW433)&amp;"")</f>
        <v/>
      </c>
      <c r="C433" s="21" t="str">
        <f ca="1">IF(Calc!$AW433="","",INDEX(Roster!$C$6:$C$505,Calc!$AW433)&amp;"")</f>
        <v/>
      </c>
      <c r="D433" s="19" t="str">
        <f ca="1">IF(Calc!$AW433="","",INDEX(Calc!$AP$6:$AP$505,Calc!$AW433))</f>
        <v/>
      </c>
      <c r="E433" s="21" t="str">
        <f ca="1">IF(Calc!$AW433="","",IF(INDEX(Calc!$AS$6:$AS$505,Calc!$AW433)="","Shout-out","Milestone"))</f>
        <v/>
      </c>
      <c r="F433" s="22" t="str">
        <f ca="1">IF(Calc!$AW433="","",IF($E433="Shout-out",SUBSTITUTE(SUBSTITUTE(SUBSTITUTE(SUBSTITUTE(Setup!$C$7&amp;"","{name}",IF($B433="","this employee",$B433)),"{years}",$D433),"{yearword}",IF($D433=1,"year","years")),"{company}",Setup!$C$4),IF(INDEX(Calc!$AT$6:$AT$505,Calc!$AW433),"Award ordered. Present it on the anniversary.","Order award by "&amp;TEXT(INDEX(Calc!$AU$6:$AU$505,Calc!$AW433),"mmm d, yyyy")&amp;IF(INDEX(Calc!$AU$6:$AU$505,Calc!$AW433)&lt;Setup!$C$5," (late, order today)",""))))</f>
        <v/>
      </c>
    </row>
    <row r="434" spans="1:6" x14ac:dyDescent="0.2">
      <c r="A434" s="20" t="str">
        <f ca="1">IF(Calc!$AW434="","",INT(Calc!$AV434))</f>
        <v/>
      </c>
      <c r="B434" s="21" t="str">
        <f ca="1">IF(Calc!$AW434="","",INDEX(Roster!$A$6:$A$505,Calc!$AW434)&amp;"")</f>
        <v/>
      </c>
      <c r="C434" s="21" t="str">
        <f ca="1">IF(Calc!$AW434="","",INDEX(Roster!$C$6:$C$505,Calc!$AW434)&amp;"")</f>
        <v/>
      </c>
      <c r="D434" s="19" t="str">
        <f ca="1">IF(Calc!$AW434="","",INDEX(Calc!$AP$6:$AP$505,Calc!$AW434))</f>
        <v/>
      </c>
      <c r="E434" s="21" t="str">
        <f ca="1">IF(Calc!$AW434="","",IF(INDEX(Calc!$AS$6:$AS$505,Calc!$AW434)="","Shout-out","Milestone"))</f>
        <v/>
      </c>
      <c r="F434" s="22" t="str">
        <f ca="1">IF(Calc!$AW434="","",IF($E434="Shout-out",SUBSTITUTE(SUBSTITUTE(SUBSTITUTE(SUBSTITUTE(Setup!$C$7&amp;"","{name}",IF($B434="","this employee",$B434)),"{years}",$D434),"{yearword}",IF($D434=1,"year","years")),"{company}",Setup!$C$4),IF(INDEX(Calc!$AT$6:$AT$505,Calc!$AW434),"Award ordered. Present it on the anniversary.","Order award by "&amp;TEXT(INDEX(Calc!$AU$6:$AU$505,Calc!$AW434),"mmm d, yyyy")&amp;IF(INDEX(Calc!$AU$6:$AU$505,Calc!$AW434)&lt;Setup!$C$5," (late, order today)",""))))</f>
        <v/>
      </c>
    </row>
    <row r="435" spans="1:6" x14ac:dyDescent="0.2">
      <c r="A435" s="20" t="str">
        <f ca="1">IF(Calc!$AW435="","",INT(Calc!$AV435))</f>
        <v/>
      </c>
      <c r="B435" s="21" t="str">
        <f ca="1">IF(Calc!$AW435="","",INDEX(Roster!$A$6:$A$505,Calc!$AW435)&amp;"")</f>
        <v/>
      </c>
      <c r="C435" s="21" t="str">
        <f ca="1">IF(Calc!$AW435="","",INDEX(Roster!$C$6:$C$505,Calc!$AW435)&amp;"")</f>
        <v/>
      </c>
      <c r="D435" s="19" t="str">
        <f ca="1">IF(Calc!$AW435="","",INDEX(Calc!$AP$6:$AP$505,Calc!$AW435))</f>
        <v/>
      </c>
      <c r="E435" s="21" t="str">
        <f ca="1">IF(Calc!$AW435="","",IF(INDEX(Calc!$AS$6:$AS$505,Calc!$AW435)="","Shout-out","Milestone"))</f>
        <v/>
      </c>
      <c r="F435" s="22" t="str">
        <f ca="1">IF(Calc!$AW435="","",IF($E435="Shout-out",SUBSTITUTE(SUBSTITUTE(SUBSTITUTE(SUBSTITUTE(Setup!$C$7&amp;"","{name}",IF($B435="","this employee",$B435)),"{years}",$D435),"{yearword}",IF($D435=1,"year","years")),"{company}",Setup!$C$4),IF(INDEX(Calc!$AT$6:$AT$505,Calc!$AW435),"Award ordered. Present it on the anniversary.","Order award by "&amp;TEXT(INDEX(Calc!$AU$6:$AU$505,Calc!$AW435),"mmm d, yyyy")&amp;IF(INDEX(Calc!$AU$6:$AU$505,Calc!$AW435)&lt;Setup!$C$5," (late, order today)",""))))</f>
        <v/>
      </c>
    </row>
    <row r="436" spans="1:6" x14ac:dyDescent="0.2">
      <c r="A436" s="20" t="str">
        <f ca="1">IF(Calc!$AW436="","",INT(Calc!$AV436))</f>
        <v/>
      </c>
      <c r="B436" s="21" t="str">
        <f ca="1">IF(Calc!$AW436="","",INDEX(Roster!$A$6:$A$505,Calc!$AW436)&amp;"")</f>
        <v/>
      </c>
      <c r="C436" s="21" t="str">
        <f ca="1">IF(Calc!$AW436="","",INDEX(Roster!$C$6:$C$505,Calc!$AW436)&amp;"")</f>
        <v/>
      </c>
      <c r="D436" s="19" t="str">
        <f ca="1">IF(Calc!$AW436="","",INDEX(Calc!$AP$6:$AP$505,Calc!$AW436))</f>
        <v/>
      </c>
      <c r="E436" s="21" t="str">
        <f ca="1">IF(Calc!$AW436="","",IF(INDEX(Calc!$AS$6:$AS$505,Calc!$AW436)="","Shout-out","Milestone"))</f>
        <v/>
      </c>
      <c r="F436" s="22" t="str">
        <f ca="1">IF(Calc!$AW436="","",IF($E436="Shout-out",SUBSTITUTE(SUBSTITUTE(SUBSTITUTE(SUBSTITUTE(Setup!$C$7&amp;"","{name}",IF($B436="","this employee",$B436)),"{years}",$D436),"{yearword}",IF($D436=1,"year","years")),"{company}",Setup!$C$4),IF(INDEX(Calc!$AT$6:$AT$505,Calc!$AW436),"Award ordered. Present it on the anniversary.","Order award by "&amp;TEXT(INDEX(Calc!$AU$6:$AU$505,Calc!$AW436),"mmm d, yyyy")&amp;IF(INDEX(Calc!$AU$6:$AU$505,Calc!$AW436)&lt;Setup!$C$5," (late, order today)",""))))</f>
        <v/>
      </c>
    </row>
    <row r="437" spans="1:6" x14ac:dyDescent="0.2">
      <c r="A437" s="20" t="str">
        <f ca="1">IF(Calc!$AW437="","",INT(Calc!$AV437))</f>
        <v/>
      </c>
      <c r="B437" s="21" t="str">
        <f ca="1">IF(Calc!$AW437="","",INDEX(Roster!$A$6:$A$505,Calc!$AW437)&amp;"")</f>
        <v/>
      </c>
      <c r="C437" s="21" t="str">
        <f ca="1">IF(Calc!$AW437="","",INDEX(Roster!$C$6:$C$505,Calc!$AW437)&amp;"")</f>
        <v/>
      </c>
      <c r="D437" s="19" t="str">
        <f ca="1">IF(Calc!$AW437="","",INDEX(Calc!$AP$6:$AP$505,Calc!$AW437))</f>
        <v/>
      </c>
      <c r="E437" s="21" t="str">
        <f ca="1">IF(Calc!$AW437="","",IF(INDEX(Calc!$AS$6:$AS$505,Calc!$AW437)="","Shout-out","Milestone"))</f>
        <v/>
      </c>
      <c r="F437" s="22" t="str">
        <f ca="1">IF(Calc!$AW437="","",IF($E437="Shout-out",SUBSTITUTE(SUBSTITUTE(SUBSTITUTE(SUBSTITUTE(Setup!$C$7&amp;"","{name}",IF($B437="","this employee",$B437)),"{years}",$D437),"{yearword}",IF($D437=1,"year","years")),"{company}",Setup!$C$4),IF(INDEX(Calc!$AT$6:$AT$505,Calc!$AW437),"Award ordered. Present it on the anniversary.","Order award by "&amp;TEXT(INDEX(Calc!$AU$6:$AU$505,Calc!$AW437),"mmm d, yyyy")&amp;IF(INDEX(Calc!$AU$6:$AU$505,Calc!$AW437)&lt;Setup!$C$5," (late, order today)",""))))</f>
        <v/>
      </c>
    </row>
    <row r="438" spans="1:6" x14ac:dyDescent="0.2">
      <c r="A438" s="20" t="str">
        <f ca="1">IF(Calc!$AW438="","",INT(Calc!$AV438))</f>
        <v/>
      </c>
      <c r="B438" s="21" t="str">
        <f ca="1">IF(Calc!$AW438="","",INDEX(Roster!$A$6:$A$505,Calc!$AW438)&amp;"")</f>
        <v/>
      </c>
      <c r="C438" s="21" t="str">
        <f ca="1">IF(Calc!$AW438="","",INDEX(Roster!$C$6:$C$505,Calc!$AW438)&amp;"")</f>
        <v/>
      </c>
      <c r="D438" s="19" t="str">
        <f ca="1">IF(Calc!$AW438="","",INDEX(Calc!$AP$6:$AP$505,Calc!$AW438))</f>
        <v/>
      </c>
      <c r="E438" s="21" t="str">
        <f ca="1">IF(Calc!$AW438="","",IF(INDEX(Calc!$AS$6:$AS$505,Calc!$AW438)="","Shout-out","Milestone"))</f>
        <v/>
      </c>
      <c r="F438" s="22" t="str">
        <f ca="1">IF(Calc!$AW438="","",IF($E438="Shout-out",SUBSTITUTE(SUBSTITUTE(SUBSTITUTE(SUBSTITUTE(Setup!$C$7&amp;"","{name}",IF($B438="","this employee",$B438)),"{years}",$D438),"{yearword}",IF($D438=1,"year","years")),"{company}",Setup!$C$4),IF(INDEX(Calc!$AT$6:$AT$505,Calc!$AW438),"Award ordered. Present it on the anniversary.","Order award by "&amp;TEXT(INDEX(Calc!$AU$6:$AU$505,Calc!$AW438),"mmm d, yyyy")&amp;IF(INDEX(Calc!$AU$6:$AU$505,Calc!$AW438)&lt;Setup!$C$5," (late, order today)",""))))</f>
        <v/>
      </c>
    </row>
    <row r="439" spans="1:6" x14ac:dyDescent="0.2">
      <c r="A439" s="20" t="str">
        <f ca="1">IF(Calc!$AW439="","",INT(Calc!$AV439))</f>
        <v/>
      </c>
      <c r="B439" s="21" t="str">
        <f ca="1">IF(Calc!$AW439="","",INDEX(Roster!$A$6:$A$505,Calc!$AW439)&amp;"")</f>
        <v/>
      </c>
      <c r="C439" s="21" t="str">
        <f ca="1">IF(Calc!$AW439="","",INDEX(Roster!$C$6:$C$505,Calc!$AW439)&amp;"")</f>
        <v/>
      </c>
      <c r="D439" s="19" t="str">
        <f ca="1">IF(Calc!$AW439="","",INDEX(Calc!$AP$6:$AP$505,Calc!$AW439))</f>
        <v/>
      </c>
      <c r="E439" s="21" t="str">
        <f ca="1">IF(Calc!$AW439="","",IF(INDEX(Calc!$AS$6:$AS$505,Calc!$AW439)="","Shout-out","Milestone"))</f>
        <v/>
      </c>
      <c r="F439" s="22" t="str">
        <f ca="1">IF(Calc!$AW439="","",IF($E439="Shout-out",SUBSTITUTE(SUBSTITUTE(SUBSTITUTE(SUBSTITUTE(Setup!$C$7&amp;"","{name}",IF($B439="","this employee",$B439)),"{years}",$D439),"{yearword}",IF($D439=1,"year","years")),"{company}",Setup!$C$4),IF(INDEX(Calc!$AT$6:$AT$505,Calc!$AW439),"Award ordered. Present it on the anniversary.","Order award by "&amp;TEXT(INDEX(Calc!$AU$6:$AU$505,Calc!$AW439),"mmm d, yyyy")&amp;IF(INDEX(Calc!$AU$6:$AU$505,Calc!$AW439)&lt;Setup!$C$5," (late, order today)",""))))</f>
        <v/>
      </c>
    </row>
    <row r="440" spans="1:6" x14ac:dyDescent="0.2">
      <c r="A440" s="20" t="str">
        <f ca="1">IF(Calc!$AW440="","",INT(Calc!$AV440))</f>
        <v/>
      </c>
      <c r="B440" s="21" t="str">
        <f ca="1">IF(Calc!$AW440="","",INDEX(Roster!$A$6:$A$505,Calc!$AW440)&amp;"")</f>
        <v/>
      </c>
      <c r="C440" s="21" t="str">
        <f ca="1">IF(Calc!$AW440="","",INDEX(Roster!$C$6:$C$505,Calc!$AW440)&amp;"")</f>
        <v/>
      </c>
      <c r="D440" s="19" t="str">
        <f ca="1">IF(Calc!$AW440="","",INDEX(Calc!$AP$6:$AP$505,Calc!$AW440))</f>
        <v/>
      </c>
      <c r="E440" s="21" t="str">
        <f ca="1">IF(Calc!$AW440="","",IF(INDEX(Calc!$AS$6:$AS$505,Calc!$AW440)="","Shout-out","Milestone"))</f>
        <v/>
      </c>
      <c r="F440" s="22" t="str">
        <f ca="1">IF(Calc!$AW440="","",IF($E440="Shout-out",SUBSTITUTE(SUBSTITUTE(SUBSTITUTE(SUBSTITUTE(Setup!$C$7&amp;"","{name}",IF($B440="","this employee",$B440)),"{years}",$D440),"{yearword}",IF($D440=1,"year","years")),"{company}",Setup!$C$4),IF(INDEX(Calc!$AT$6:$AT$505,Calc!$AW440),"Award ordered. Present it on the anniversary.","Order award by "&amp;TEXT(INDEX(Calc!$AU$6:$AU$505,Calc!$AW440),"mmm d, yyyy")&amp;IF(INDEX(Calc!$AU$6:$AU$505,Calc!$AW440)&lt;Setup!$C$5," (late, order today)",""))))</f>
        <v/>
      </c>
    </row>
    <row r="441" spans="1:6" x14ac:dyDescent="0.2">
      <c r="A441" s="20" t="str">
        <f ca="1">IF(Calc!$AW441="","",INT(Calc!$AV441))</f>
        <v/>
      </c>
      <c r="B441" s="21" t="str">
        <f ca="1">IF(Calc!$AW441="","",INDEX(Roster!$A$6:$A$505,Calc!$AW441)&amp;"")</f>
        <v/>
      </c>
      <c r="C441" s="21" t="str">
        <f ca="1">IF(Calc!$AW441="","",INDEX(Roster!$C$6:$C$505,Calc!$AW441)&amp;"")</f>
        <v/>
      </c>
      <c r="D441" s="19" t="str">
        <f ca="1">IF(Calc!$AW441="","",INDEX(Calc!$AP$6:$AP$505,Calc!$AW441))</f>
        <v/>
      </c>
      <c r="E441" s="21" t="str">
        <f ca="1">IF(Calc!$AW441="","",IF(INDEX(Calc!$AS$6:$AS$505,Calc!$AW441)="","Shout-out","Milestone"))</f>
        <v/>
      </c>
      <c r="F441" s="22" t="str">
        <f ca="1">IF(Calc!$AW441="","",IF($E441="Shout-out",SUBSTITUTE(SUBSTITUTE(SUBSTITUTE(SUBSTITUTE(Setup!$C$7&amp;"","{name}",IF($B441="","this employee",$B441)),"{years}",$D441),"{yearword}",IF($D441=1,"year","years")),"{company}",Setup!$C$4),IF(INDEX(Calc!$AT$6:$AT$505,Calc!$AW441),"Award ordered. Present it on the anniversary.","Order award by "&amp;TEXT(INDEX(Calc!$AU$6:$AU$505,Calc!$AW441),"mmm d, yyyy")&amp;IF(INDEX(Calc!$AU$6:$AU$505,Calc!$AW441)&lt;Setup!$C$5," (late, order today)",""))))</f>
        <v/>
      </c>
    </row>
    <row r="442" spans="1:6" x14ac:dyDescent="0.2">
      <c r="A442" s="20" t="str">
        <f ca="1">IF(Calc!$AW442="","",INT(Calc!$AV442))</f>
        <v/>
      </c>
      <c r="B442" s="21" t="str">
        <f ca="1">IF(Calc!$AW442="","",INDEX(Roster!$A$6:$A$505,Calc!$AW442)&amp;"")</f>
        <v/>
      </c>
      <c r="C442" s="21" t="str">
        <f ca="1">IF(Calc!$AW442="","",INDEX(Roster!$C$6:$C$505,Calc!$AW442)&amp;"")</f>
        <v/>
      </c>
      <c r="D442" s="19" t="str">
        <f ca="1">IF(Calc!$AW442="","",INDEX(Calc!$AP$6:$AP$505,Calc!$AW442))</f>
        <v/>
      </c>
      <c r="E442" s="21" t="str">
        <f ca="1">IF(Calc!$AW442="","",IF(INDEX(Calc!$AS$6:$AS$505,Calc!$AW442)="","Shout-out","Milestone"))</f>
        <v/>
      </c>
      <c r="F442" s="22" t="str">
        <f ca="1">IF(Calc!$AW442="","",IF($E442="Shout-out",SUBSTITUTE(SUBSTITUTE(SUBSTITUTE(SUBSTITUTE(Setup!$C$7&amp;"","{name}",IF($B442="","this employee",$B442)),"{years}",$D442),"{yearword}",IF($D442=1,"year","years")),"{company}",Setup!$C$4),IF(INDEX(Calc!$AT$6:$AT$505,Calc!$AW442),"Award ordered. Present it on the anniversary.","Order award by "&amp;TEXT(INDEX(Calc!$AU$6:$AU$505,Calc!$AW442),"mmm d, yyyy")&amp;IF(INDEX(Calc!$AU$6:$AU$505,Calc!$AW442)&lt;Setup!$C$5," (late, order today)",""))))</f>
        <v/>
      </c>
    </row>
    <row r="443" spans="1:6" x14ac:dyDescent="0.2">
      <c r="A443" s="20" t="str">
        <f ca="1">IF(Calc!$AW443="","",INT(Calc!$AV443))</f>
        <v/>
      </c>
      <c r="B443" s="21" t="str">
        <f ca="1">IF(Calc!$AW443="","",INDEX(Roster!$A$6:$A$505,Calc!$AW443)&amp;"")</f>
        <v/>
      </c>
      <c r="C443" s="21" t="str">
        <f ca="1">IF(Calc!$AW443="","",INDEX(Roster!$C$6:$C$505,Calc!$AW443)&amp;"")</f>
        <v/>
      </c>
      <c r="D443" s="19" t="str">
        <f ca="1">IF(Calc!$AW443="","",INDEX(Calc!$AP$6:$AP$505,Calc!$AW443))</f>
        <v/>
      </c>
      <c r="E443" s="21" t="str">
        <f ca="1">IF(Calc!$AW443="","",IF(INDEX(Calc!$AS$6:$AS$505,Calc!$AW443)="","Shout-out","Milestone"))</f>
        <v/>
      </c>
      <c r="F443" s="22" t="str">
        <f ca="1">IF(Calc!$AW443="","",IF($E443="Shout-out",SUBSTITUTE(SUBSTITUTE(SUBSTITUTE(SUBSTITUTE(Setup!$C$7&amp;"","{name}",IF($B443="","this employee",$B443)),"{years}",$D443),"{yearword}",IF($D443=1,"year","years")),"{company}",Setup!$C$4),IF(INDEX(Calc!$AT$6:$AT$505,Calc!$AW443),"Award ordered. Present it on the anniversary.","Order award by "&amp;TEXT(INDEX(Calc!$AU$6:$AU$505,Calc!$AW443),"mmm d, yyyy")&amp;IF(INDEX(Calc!$AU$6:$AU$505,Calc!$AW443)&lt;Setup!$C$5," (late, order today)",""))))</f>
        <v/>
      </c>
    </row>
    <row r="444" spans="1:6" x14ac:dyDescent="0.2">
      <c r="A444" s="20" t="str">
        <f ca="1">IF(Calc!$AW444="","",INT(Calc!$AV444))</f>
        <v/>
      </c>
      <c r="B444" s="21" t="str">
        <f ca="1">IF(Calc!$AW444="","",INDEX(Roster!$A$6:$A$505,Calc!$AW444)&amp;"")</f>
        <v/>
      </c>
      <c r="C444" s="21" t="str">
        <f ca="1">IF(Calc!$AW444="","",INDEX(Roster!$C$6:$C$505,Calc!$AW444)&amp;"")</f>
        <v/>
      </c>
      <c r="D444" s="19" t="str">
        <f ca="1">IF(Calc!$AW444="","",INDEX(Calc!$AP$6:$AP$505,Calc!$AW444))</f>
        <v/>
      </c>
      <c r="E444" s="21" t="str">
        <f ca="1">IF(Calc!$AW444="","",IF(INDEX(Calc!$AS$6:$AS$505,Calc!$AW444)="","Shout-out","Milestone"))</f>
        <v/>
      </c>
      <c r="F444" s="22" t="str">
        <f ca="1">IF(Calc!$AW444="","",IF($E444="Shout-out",SUBSTITUTE(SUBSTITUTE(SUBSTITUTE(SUBSTITUTE(Setup!$C$7&amp;"","{name}",IF($B444="","this employee",$B444)),"{years}",$D444),"{yearword}",IF($D444=1,"year","years")),"{company}",Setup!$C$4),IF(INDEX(Calc!$AT$6:$AT$505,Calc!$AW444),"Award ordered. Present it on the anniversary.","Order award by "&amp;TEXT(INDEX(Calc!$AU$6:$AU$505,Calc!$AW444),"mmm d, yyyy")&amp;IF(INDEX(Calc!$AU$6:$AU$505,Calc!$AW444)&lt;Setup!$C$5," (late, order today)",""))))</f>
        <v/>
      </c>
    </row>
    <row r="445" spans="1:6" x14ac:dyDescent="0.2">
      <c r="A445" s="20" t="str">
        <f ca="1">IF(Calc!$AW445="","",INT(Calc!$AV445))</f>
        <v/>
      </c>
      <c r="B445" s="21" t="str">
        <f ca="1">IF(Calc!$AW445="","",INDEX(Roster!$A$6:$A$505,Calc!$AW445)&amp;"")</f>
        <v/>
      </c>
      <c r="C445" s="21" t="str">
        <f ca="1">IF(Calc!$AW445="","",INDEX(Roster!$C$6:$C$505,Calc!$AW445)&amp;"")</f>
        <v/>
      </c>
      <c r="D445" s="19" t="str">
        <f ca="1">IF(Calc!$AW445="","",INDEX(Calc!$AP$6:$AP$505,Calc!$AW445))</f>
        <v/>
      </c>
      <c r="E445" s="21" t="str">
        <f ca="1">IF(Calc!$AW445="","",IF(INDEX(Calc!$AS$6:$AS$505,Calc!$AW445)="","Shout-out","Milestone"))</f>
        <v/>
      </c>
      <c r="F445" s="22" t="str">
        <f ca="1">IF(Calc!$AW445="","",IF($E445="Shout-out",SUBSTITUTE(SUBSTITUTE(SUBSTITUTE(SUBSTITUTE(Setup!$C$7&amp;"","{name}",IF($B445="","this employee",$B445)),"{years}",$D445),"{yearword}",IF($D445=1,"year","years")),"{company}",Setup!$C$4),IF(INDEX(Calc!$AT$6:$AT$505,Calc!$AW445),"Award ordered. Present it on the anniversary.","Order award by "&amp;TEXT(INDEX(Calc!$AU$6:$AU$505,Calc!$AW445),"mmm d, yyyy")&amp;IF(INDEX(Calc!$AU$6:$AU$505,Calc!$AW445)&lt;Setup!$C$5," (late, order today)",""))))</f>
        <v/>
      </c>
    </row>
    <row r="446" spans="1:6" x14ac:dyDescent="0.2">
      <c r="A446" s="20" t="str">
        <f ca="1">IF(Calc!$AW446="","",INT(Calc!$AV446))</f>
        <v/>
      </c>
      <c r="B446" s="21" t="str">
        <f ca="1">IF(Calc!$AW446="","",INDEX(Roster!$A$6:$A$505,Calc!$AW446)&amp;"")</f>
        <v/>
      </c>
      <c r="C446" s="21" t="str">
        <f ca="1">IF(Calc!$AW446="","",INDEX(Roster!$C$6:$C$505,Calc!$AW446)&amp;"")</f>
        <v/>
      </c>
      <c r="D446" s="19" t="str">
        <f ca="1">IF(Calc!$AW446="","",INDEX(Calc!$AP$6:$AP$505,Calc!$AW446))</f>
        <v/>
      </c>
      <c r="E446" s="21" t="str">
        <f ca="1">IF(Calc!$AW446="","",IF(INDEX(Calc!$AS$6:$AS$505,Calc!$AW446)="","Shout-out","Milestone"))</f>
        <v/>
      </c>
      <c r="F446" s="22" t="str">
        <f ca="1">IF(Calc!$AW446="","",IF($E446="Shout-out",SUBSTITUTE(SUBSTITUTE(SUBSTITUTE(SUBSTITUTE(Setup!$C$7&amp;"","{name}",IF($B446="","this employee",$B446)),"{years}",$D446),"{yearword}",IF($D446=1,"year","years")),"{company}",Setup!$C$4),IF(INDEX(Calc!$AT$6:$AT$505,Calc!$AW446),"Award ordered. Present it on the anniversary.","Order award by "&amp;TEXT(INDEX(Calc!$AU$6:$AU$505,Calc!$AW446),"mmm d, yyyy")&amp;IF(INDEX(Calc!$AU$6:$AU$505,Calc!$AW446)&lt;Setup!$C$5," (late, order today)",""))))</f>
        <v/>
      </c>
    </row>
    <row r="447" spans="1:6" x14ac:dyDescent="0.2">
      <c r="A447" s="20" t="str">
        <f ca="1">IF(Calc!$AW447="","",INT(Calc!$AV447))</f>
        <v/>
      </c>
      <c r="B447" s="21" t="str">
        <f ca="1">IF(Calc!$AW447="","",INDEX(Roster!$A$6:$A$505,Calc!$AW447)&amp;"")</f>
        <v/>
      </c>
      <c r="C447" s="21" t="str">
        <f ca="1">IF(Calc!$AW447="","",INDEX(Roster!$C$6:$C$505,Calc!$AW447)&amp;"")</f>
        <v/>
      </c>
      <c r="D447" s="19" t="str">
        <f ca="1">IF(Calc!$AW447="","",INDEX(Calc!$AP$6:$AP$505,Calc!$AW447))</f>
        <v/>
      </c>
      <c r="E447" s="21" t="str">
        <f ca="1">IF(Calc!$AW447="","",IF(INDEX(Calc!$AS$6:$AS$505,Calc!$AW447)="","Shout-out","Milestone"))</f>
        <v/>
      </c>
      <c r="F447" s="22" t="str">
        <f ca="1">IF(Calc!$AW447="","",IF($E447="Shout-out",SUBSTITUTE(SUBSTITUTE(SUBSTITUTE(SUBSTITUTE(Setup!$C$7&amp;"","{name}",IF($B447="","this employee",$B447)),"{years}",$D447),"{yearword}",IF($D447=1,"year","years")),"{company}",Setup!$C$4),IF(INDEX(Calc!$AT$6:$AT$505,Calc!$AW447),"Award ordered. Present it on the anniversary.","Order award by "&amp;TEXT(INDEX(Calc!$AU$6:$AU$505,Calc!$AW447),"mmm d, yyyy")&amp;IF(INDEX(Calc!$AU$6:$AU$505,Calc!$AW447)&lt;Setup!$C$5," (late, order today)",""))))</f>
        <v/>
      </c>
    </row>
    <row r="448" spans="1:6" x14ac:dyDescent="0.2">
      <c r="A448" s="20" t="str">
        <f ca="1">IF(Calc!$AW448="","",INT(Calc!$AV448))</f>
        <v/>
      </c>
      <c r="B448" s="21" t="str">
        <f ca="1">IF(Calc!$AW448="","",INDEX(Roster!$A$6:$A$505,Calc!$AW448)&amp;"")</f>
        <v/>
      </c>
      <c r="C448" s="21" t="str">
        <f ca="1">IF(Calc!$AW448="","",INDEX(Roster!$C$6:$C$505,Calc!$AW448)&amp;"")</f>
        <v/>
      </c>
      <c r="D448" s="19" t="str">
        <f ca="1">IF(Calc!$AW448="","",INDEX(Calc!$AP$6:$AP$505,Calc!$AW448))</f>
        <v/>
      </c>
      <c r="E448" s="21" t="str">
        <f ca="1">IF(Calc!$AW448="","",IF(INDEX(Calc!$AS$6:$AS$505,Calc!$AW448)="","Shout-out","Milestone"))</f>
        <v/>
      </c>
      <c r="F448" s="22" t="str">
        <f ca="1">IF(Calc!$AW448="","",IF($E448="Shout-out",SUBSTITUTE(SUBSTITUTE(SUBSTITUTE(SUBSTITUTE(Setup!$C$7&amp;"","{name}",IF($B448="","this employee",$B448)),"{years}",$D448),"{yearword}",IF($D448=1,"year","years")),"{company}",Setup!$C$4),IF(INDEX(Calc!$AT$6:$AT$505,Calc!$AW448),"Award ordered. Present it on the anniversary.","Order award by "&amp;TEXT(INDEX(Calc!$AU$6:$AU$505,Calc!$AW448),"mmm d, yyyy")&amp;IF(INDEX(Calc!$AU$6:$AU$505,Calc!$AW448)&lt;Setup!$C$5," (late, order today)",""))))</f>
        <v/>
      </c>
    </row>
    <row r="449" spans="1:6" x14ac:dyDescent="0.2">
      <c r="A449" s="20" t="str">
        <f ca="1">IF(Calc!$AW449="","",INT(Calc!$AV449))</f>
        <v/>
      </c>
      <c r="B449" s="21" t="str">
        <f ca="1">IF(Calc!$AW449="","",INDEX(Roster!$A$6:$A$505,Calc!$AW449)&amp;"")</f>
        <v/>
      </c>
      <c r="C449" s="21" t="str">
        <f ca="1">IF(Calc!$AW449="","",INDEX(Roster!$C$6:$C$505,Calc!$AW449)&amp;"")</f>
        <v/>
      </c>
      <c r="D449" s="19" t="str">
        <f ca="1">IF(Calc!$AW449="","",INDEX(Calc!$AP$6:$AP$505,Calc!$AW449))</f>
        <v/>
      </c>
      <c r="E449" s="21" t="str">
        <f ca="1">IF(Calc!$AW449="","",IF(INDEX(Calc!$AS$6:$AS$505,Calc!$AW449)="","Shout-out","Milestone"))</f>
        <v/>
      </c>
      <c r="F449" s="22" t="str">
        <f ca="1">IF(Calc!$AW449="","",IF($E449="Shout-out",SUBSTITUTE(SUBSTITUTE(SUBSTITUTE(SUBSTITUTE(Setup!$C$7&amp;"","{name}",IF($B449="","this employee",$B449)),"{years}",$D449),"{yearword}",IF($D449=1,"year","years")),"{company}",Setup!$C$4),IF(INDEX(Calc!$AT$6:$AT$505,Calc!$AW449),"Award ordered. Present it on the anniversary.","Order award by "&amp;TEXT(INDEX(Calc!$AU$6:$AU$505,Calc!$AW449),"mmm d, yyyy")&amp;IF(INDEX(Calc!$AU$6:$AU$505,Calc!$AW449)&lt;Setup!$C$5," (late, order today)",""))))</f>
        <v/>
      </c>
    </row>
    <row r="450" spans="1:6" x14ac:dyDescent="0.2">
      <c r="A450" s="20" t="str">
        <f ca="1">IF(Calc!$AW450="","",INT(Calc!$AV450))</f>
        <v/>
      </c>
      <c r="B450" s="21" t="str">
        <f ca="1">IF(Calc!$AW450="","",INDEX(Roster!$A$6:$A$505,Calc!$AW450)&amp;"")</f>
        <v/>
      </c>
      <c r="C450" s="21" t="str">
        <f ca="1">IF(Calc!$AW450="","",INDEX(Roster!$C$6:$C$505,Calc!$AW450)&amp;"")</f>
        <v/>
      </c>
      <c r="D450" s="19" t="str">
        <f ca="1">IF(Calc!$AW450="","",INDEX(Calc!$AP$6:$AP$505,Calc!$AW450))</f>
        <v/>
      </c>
      <c r="E450" s="21" t="str">
        <f ca="1">IF(Calc!$AW450="","",IF(INDEX(Calc!$AS$6:$AS$505,Calc!$AW450)="","Shout-out","Milestone"))</f>
        <v/>
      </c>
      <c r="F450" s="22" t="str">
        <f ca="1">IF(Calc!$AW450="","",IF($E450="Shout-out",SUBSTITUTE(SUBSTITUTE(SUBSTITUTE(SUBSTITUTE(Setup!$C$7&amp;"","{name}",IF($B450="","this employee",$B450)),"{years}",$D450),"{yearword}",IF($D450=1,"year","years")),"{company}",Setup!$C$4),IF(INDEX(Calc!$AT$6:$AT$505,Calc!$AW450),"Award ordered. Present it on the anniversary.","Order award by "&amp;TEXT(INDEX(Calc!$AU$6:$AU$505,Calc!$AW450),"mmm d, yyyy")&amp;IF(INDEX(Calc!$AU$6:$AU$505,Calc!$AW450)&lt;Setup!$C$5," (late, order today)",""))))</f>
        <v/>
      </c>
    </row>
    <row r="451" spans="1:6" x14ac:dyDescent="0.2">
      <c r="A451" s="20" t="str">
        <f ca="1">IF(Calc!$AW451="","",INT(Calc!$AV451))</f>
        <v/>
      </c>
      <c r="B451" s="21" t="str">
        <f ca="1">IF(Calc!$AW451="","",INDEX(Roster!$A$6:$A$505,Calc!$AW451)&amp;"")</f>
        <v/>
      </c>
      <c r="C451" s="21" t="str">
        <f ca="1">IF(Calc!$AW451="","",INDEX(Roster!$C$6:$C$505,Calc!$AW451)&amp;"")</f>
        <v/>
      </c>
      <c r="D451" s="19" t="str">
        <f ca="1">IF(Calc!$AW451="","",INDEX(Calc!$AP$6:$AP$505,Calc!$AW451))</f>
        <v/>
      </c>
      <c r="E451" s="21" t="str">
        <f ca="1">IF(Calc!$AW451="","",IF(INDEX(Calc!$AS$6:$AS$505,Calc!$AW451)="","Shout-out","Milestone"))</f>
        <v/>
      </c>
      <c r="F451" s="22" t="str">
        <f ca="1">IF(Calc!$AW451="","",IF($E451="Shout-out",SUBSTITUTE(SUBSTITUTE(SUBSTITUTE(SUBSTITUTE(Setup!$C$7&amp;"","{name}",IF($B451="","this employee",$B451)),"{years}",$D451),"{yearword}",IF($D451=1,"year","years")),"{company}",Setup!$C$4),IF(INDEX(Calc!$AT$6:$AT$505,Calc!$AW451),"Award ordered. Present it on the anniversary.","Order award by "&amp;TEXT(INDEX(Calc!$AU$6:$AU$505,Calc!$AW451),"mmm d, yyyy")&amp;IF(INDEX(Calc!$AU$6:$AU$505,Calc!$AW451)&lt;Setup!$C$5," (late, order today)",""))))</f>
        <v/>
      </c>
    </row>
    <row r="452" spans="1:6" x14ac:dyDescent="0.2">
      <c r="A452" s="20" t="str">
        <f ca="1">IF(Calc!$AW452="","",INT(Calc!$AV452))</f>
        <v/>
      </c>
      <c r="B452" s="21" t="str">
        <f ca="1">IF(Calc!$AW452="","",INDEX(Roster!$A$6:$A$505,Calc!$AW452)&amp;"")</f>
        <v/>
      </c>
      <c r="C452" s="21" t="str">
        <f ca="1">IF(Calc!$AW452="","",INDEX(Roster!$C$6:$C$505,Calc!$AW452)&amp;"")</f>
        <v/>
      </c>
      <c r="D452" s="19" t="str">
        <f ca="1">IF(Calc!$AW452="","",INDEX(Calc!$AP$6:$AP$505,Calc!$AW452))</f>
        <v/>
      </c>
      <c r="E452" s="21" t="str">
        <f ca="1">IF(Calc!$AW452="","",IF(INDEX(Calc!$AS$6:$AS$505,Calc!$AW452)="","Shout-out","Milestone"))</f>
        <v/>
      </c>
      <c r="F452" s="22" t="str">
        <f ca="1">IF(Calc!$AW452="","",IF($E452="Shout-out",SUBSTITUTE(SUBSTITUTE(SUBSTITUTE(SUBSTITUTE(Setup!$C$7&amp;"","{name}",IF($B452="","this employee",$B452)),"{years}",$D452),"{yearword}",IF($D452=1,"year","years")),"{company}",Setup!$C$4),IF(INDEX(Calc!$AT$6:$AT$505,Calc!$AW452),"Award ordered. Present it on the anniversary.","Order award by "&amp;TEXT(INDEX(Calc!$AU$6:$AU$505,Calc!$AW452),"mmm d, yyyy")&amp;IF(INDEX(Calc!$AU$6:$AU$505,Calc!$AW452)&lt;Setup!$C$5," (late, order today)",""))))</f>
        <v/>
      </c>
    </row>
    <row r="453" spans="1:6" x14ac:dyDescent="0.2">
      <c r="A453" s="20" t="str">
        <f ca="1">IF(Calc!$AW453="","",INT(Calc!$AV453))</f>
        <v/>
      </c>
      <c r="B453" s="21" t="str">
        <f ca="1">IF(Calc!$AW453="","",INDEX(Roster!$A$6:$A$505,Calc!$AW453)&amp;"")</f>
        <v/>
      </c>
      <c r="C453" s="21" t="str">
        <f ca="1">IF(Calc!$AW453="","",INDEX(Roster!$C$6:$C$505,Calc!$AW453)&amp;"")</f>
        <v/>
      </c>
      <c r="D453" s="19" t="str">
        <f ca="1">IF(Calc!$AW453="","",INDEX(Calc!$AP$6:$AP$505,Calc!$AW453))</f>
        <v/>
      </c>
      <c r="E453" s="21" t="str">
        <f ca="1">IF(Calc!$AW453="","",IF(INDEX(Calc!$AS$6:$AS$505,Calc!$AW453)="","Shout-out","Milestone"))</f>
        <v/>
      </c>
      <c r="F453" s="22" t="str">
        <f ca="1">IF(Calc!$AW453="","",IF($E453="Shout-out",SUBSTITUTE(SUBSTITUTE(SUBSTITUTE(SUBSTITUTE(Setup!$C$7&amp;"","{name}",IF($B453="","this employee",$B453)),"{years}",$D453),"{yearword}",IF($D453=1,"year","years")),"{company}",Setup!$C$4),IF(INDEX(Calc!$AT$6:$AT$505,Calc!$AW453),"Award ordered. Present it on the anniversary.","Order award by "&amp;TEXT(INDEX(Calc!$AU$6:$AU$505,Calc!$AW453),"mmm d, yyyy")&amp;IF(INDEX(Calc!$AU$6:$AU$505,Calc!$AW453)&lt;Setup!$C$5," (late, order today)",""))))</f>
        <v/>
      </c>
    </row>
    <row r="454" spans="1:6" x14ac:dyDescent="0.2">
      <c r="A454" s="20" t="str">
        <f ca="1">IF(Calc!$AW454="","",INT(Calc!$AV454))</f>
        <v/>
      </c>
      <c r="B454" s="21" t="str">
        <f ca="1">IF(Calc!$AW454="","",INDEX(Roster!$A$6:$A$505,Calc!$AW454)&amp;"")</f>
        <v/>
      </c>
      <c r="C454" s="21" t="str">
        <f ca="1">IF(Calc!$AW454="","",INDEX(Roster!$C$6:$C$505,Calc!$AW454)&amp;"")</f>
        <v/>
      </c>
      <c r="D454" s="19" t="str">
        <f ca="1">IF(Calc!$AW454="","",INDEX(Calc!$AP$6:$AP$505,Calc!$AW454))</f>
        <v/>
      </c>
      <c r="E454" s="21" t="str">
        <f ca="1">IF(Calc!$AW454="","",IF(INDEX(Calc!$AS$6:$AS$505,Calc!$AW454)="","Shout-out","Milestone"))</f>
        <v/>
      </c>
      <c r="F454" s="22" t="str">
        <f ca="1">IF(Calc!$AW454="","",IF($E454="Shout-out",SUBSTITUTE(SUBSTITUTE(SUBSTITUTE(SUBSTITUTE(Setup!$C$7&amp;"","{name}",IF($B454="","this employee",$B454)),"{years}",$D454),"{yearword}",IF($D454=1,"year","years")),"{company}",Setup!$C$4),IF(INDEX(Calc!$AT$6:$AT$505,Calc!$AW454),"Award ordered. Present it on the anniversary.","Order award by "&amp;TEXT(INDEX(Calc!$AU$6:$AU$505,Calc!$AW454),"mmm d, yyyy")&amp;IF(INDEX(Calc!$AU$6:$AU$505,Calc!$AW454)&lt;Setup!$C$5," (late, order today)",""))))</f>
        <v/>
      </c>
    </row>
    <row r="455" spans="1:6" x14ac:dyDescent="0.2">
      <c r="A455" s="20" t="str">
        <f ca="1">IF(Calc!$AW455="","",INT(Calc!$AV455))</f>
        <v/>
      </c>
      <c r="B455" s="21" t="str">
        <f ca="1">IF(Calc!$AW455="","",INDEX(Roster!$A$6:$A$505,Calc!$AW455)&amp;"")</f>
        <v/>
      </c>
      <c r="C455" s="21" t="str">
        <f ca="1">IF(Calc!$AW455="","",INDEX(Roster!$C$6:$C$505,Calc!$AW455)&amp;"")</f>
        <v/>
      </c>
      <c r="D455" s="19" t="str">
        <f ca="1">IF(Calc!$AW455="","",INDEX(Calc!$AP$6:$AP$505,Calc!$AW455))</f>
        <v/>
      </c>
      <c r="E455" s="21" t="str">
        <f ca="1">IF(Calc!$AW455="","",IF(INDEX(Calc!$AS$6:$AS$505,Calc!$AW455)="","Shout-out","Milestone"))</f>
        <v/>
      </c>
      <c r="F455" s="22" t="str">
        <f ca="1">IF(Calc!$AW455="","",IF($E455="Shout-out",SUBSTITUTE(SUBSTITUTE(SUBSTITUTE(SUBSTITUTE(Setup!$C$7&amp;"","{name}",IF($B455="","this employee",$B455)),"{years}",$D455),"{yearword}",IF($D455=1,"year","years")),"{company}",Setup!$C$4),IF(INDEX(Calc!$AT$6:$AT$505,Calc!$AW455),"Award ordered. Present it on the anniversary.","Order award by "&amp;TEXT(INDEX(Calc!$AU$6:$AU$505,Calc!$AW455),"mmm d, yyyy")&amp;IF(INDEX(Calc!$AU$6:$AU$505,Calc!$AW455)&lt;Setup!$C$5," (late, order today)",""))))</f>
        <v/>
      </c>
    </row>
    <row r="456" spans="1:6" x14ac:dyDescent="0.2">
      <c r="A456" s="20" t="str">
        <f ca="1">IF(Calc!$AW456="","",INT(Calc!$AV456))</f>
        <v/>
      </c>
      <c r="B456" s="21" t="str">
        <f ca="1">IF(Calc!$AW456="","",INDEX(Roster!$A$6:$A$505,Calc!$AW456)&amp;"")</f>
        <v/>
      </c>
      <c r="C456" s="21" t="str">
        <f ca="1">IF(Calc!$AW456="","",INDEX(Roster!$C$6:$C$505,Calc!$AW456)&amp;"")</f>
        <v/>
      </c>
      <c r="D456" s="19" t="str">
        <f ca="1">IF(Calc!$AW456="","",INDEX(Calc!$AP$6:$AP$505,Calc!$AW456))</f>
        <v/>
      </c>
      <c r="E456" s="21" t="str">
        <f ca="1">IF(Calc!$AW456="","",IF(INDEX(Calc!$AS$6:$AS$505,Calc!$AW456)="","Shout-out","Milestone"))</f>
        <v/>
      </c>
      <c r="F456" s="22" t="str">
        <f ca="1">IF(Calc!$AW456="","",IF($E456="Shout-out",SUBSTITUTE(SUBSTITUTE(SUBSTITUTE(SUBSTITUTE(Setup!$C$7&amp;"","{name}",IF($B456="","this employee",$B456)),"{years}",$D456),"{yearword}",IF($D456=1,"year","years")),"{company}",Setup!$C$4),IF(INDEX(Calc!$AT$6:$AT$505,Calc!$AW456),"Award ordered. Present it on the anniversary.","Order award by "&amp;TEXT(INDEX(Calc!$AU$6:$AU$505,Calc!$AW456),"mmm d, yyyy")&amp;IF(INDEX(Calc!$AU$6:$AU$505,Calc!$AW456)&lt;Setup!$C$5," (late, order today)",""))))</f>
        <v/>
      </c>
    </row>
    <row r="457" spans="1:6" x14ac:dyDescent="0.2">
      <c r="A457" s="20" t="str">
        <f ca="1">IF(Calc!$AW457="","",INT(Calc!$AV457))</f>
        <v/>
      </c>
      <c r="B457" s="21" t="str">
        <f ca="1">IF(Calc!$AW457="","",INDEX(Roster!$A$6:$A$505,Calc!$AW457)&amp;"")</f>
        <v/>
      </c>
      <c r="C457" s="21" t="str">
        <f ca="1">IF(Calc!$AW457="","",INDEX(Roster!$C$6:$C$505,Calc!$AW457)&amp;"")</f>
        <v/>
      </c>
      <c r="D457" s="19" t="str">
        <f ca="1">IF(Calc!$AW457="","",INDEX(Calc!$AP$6:$AP$505,Calc!$AW457))</f>
        <v/>
      </c>
      <c r="E457" s="21" t="str">
        <f ca="1">IF(Calc!$AW457="","",IF(INDEX(Calc!$AS$6:$AS$505,Calc!$AW457)="","Shout-out","Milestone"))</f>
        <v/>
      </c>
      <c r="F457" s="22" t="str">
        <f ca="1">IF(Calc!$AW457="","",IF($E457="Shout-out",SUBSTITUTE(SUBSTITUTE(SUBSTITUTE(SUBSTITUTE(Setup!$C$7&amp;"","{name}",IF($B457="","this employee",$B457)),"{years}",$D457),"{yearword}",IF($D457=1,"year","years")),"{company}",Setup!$C$4),IF(INDEX(Calc!$AT$6:$AT$505,Calc!$AW457),"Award ordered. Present it on the anniversary.","Order award by "&amp;TEXT(INDEX(Calc!$AU$6:$AU$505,Calc!$AW457),"mmm d, yyyy")&amp;IF(INDEX(Calc!$AU$6:$AU$505,Calc!$AW457)&lt;Setup!$C$5," (late, order today)",""))))</f>
        <v/>
      </c>
    </row>
    <row r="458" spans="1:6" x14ac:dyDescent="0.2">
      <c r="A458" s="20" t="str">
        <f ca="1">IF(Calc!$AW458="","",INT(Calc!$AV458))</f>
        <v/>
      </c>
      <c r="B458" s="21" t="str">
        <f ca="1">IF(Calc!$AW458="","",INDEX(Roster!$A$6:$A$505,Calc!$AW458)&amp;"")</f>
        <v/>
      </c>
      <c r="C458" s="21" t="str">
        <f ca="1">IF(Calc!$AW458="","",INDEX(Roster!$C$6:$C$505,Calc!$AW458)&amp;"")</f>
        <v/>
      </c>
      <c r="D458" s="19" t="str">
        <f ca="1">IF(Calc!$AW458="","",INDEX(Calc!$AP$6:$AP$505,Calc!$AW458))</f>
        <v/>
      </c>
      <c r="E458" s="21" t="str">
        <f ca="1">IF(Calc!$AW458="","",IF(INDEX(Calc!$AS$6:$AS$505,Calc!$AW458)="","Shout-out","Milestone"))</f>
        <v/>
      </c>
      <c r="F458" s="22" t="str">
        <f ca="1">IF(Calc!$AW458="","",IF($E458="Shout-out",SUBSTITUTE(SUBSTITUTE(SUBSTITUTE(SUBSTITUTE(Setup!$C$7&amp;"","{name}",IF($B458="","this employee",$B458)),"{years}",$D458),"{yearword}",IF($D458=1,"year","years")),"{company}",Setup!$C$4),IF(INDEX(Calc!$AT$6:$AT$505,Calc!$AW458),"Award ordered. Present it on the anniversary.","Order award by "&amp;TEXT(INDEX(Calc!$AU$6:$AU$505,Calc!$AW458),"mmm d, yyyy")&amp;IF(INDEX(Calc!$AU$6:$AU$505,Calc!$AW458)&lt;Setup!$C$5," (late, order today)",""))))</f>
        <v/>
      </c>
    </row>
    <row r="459" spans="1:6" x14ac:dyDescent="0.2">
      <c r="A459" s="20" t="str">
        <f ca="1">IF(Calc!$AW459="","",INT(Calc!$AV459))</f>
        <v/>
      </c>
      <c r="B459" s="21" t="str">
        <f ca="1">IF(Calc!$AW459="","",INDEX(Roster!$A$6:$A$505,Calc!$AW459)&amp;"")</f>
        <v/>
      </c>
      <c r="C459" s="21" t="str">
        <f ca="1">IF(Calc!$AW459="","",INDEX(Roster!$C$6:$C$505,Calc!$AW459)&amp;"")</f>
        <v/>
      </c>
      <c r="D459" s="19" t="str">
        <f ca="1">IF(Calc!$AW459="","",INDEX(Calc!$AP$6:$AP$505,Calc!$AW459))</f>
        <v/>
      </c>
      <c r="E459" s="21" t="str">
        <f ca="1">IF(Calc!$AW459="","",IF(INDEX(Calc!$AS$6:$AS$505,Calc!$AW459)="","Shout-out","Milestone"))</f>
        <v/>
      </c>
      <c r="F459" s="22" t="str">
        <f ca="1">IF(Calc!$AW459="","",IF($E459="Shout-out",SUBSTITUTE(SUBSTITUTE(SUBSTITUTE(SUBSTITUTE(Setup!$C$7&amp;"","{name}",IF($B459="","this employee",$B459)),"{years}",$D459),"{yearword}",IF($D459=1,"year","years")),"{company}",Setup!$C$4),IF(INDEX(Calc!$AT$6:$AT$505,Calc!$AW459),"Award ordered. Present it on the anniversary.","Order award by "&amp;TEXT(INDEX(Calc!$AU$6:$AU$505,Calc!$AW459),"mmm d, yyyy")&amp;IF(INDEX(Calc!$AU$6:$AU$505,Calc!$AW459)&lt;Setup!$C$5," (late, order today)",""))))</f>
        <v/>
      </c>
    </row>
    <row r="460" spans="1:6" x14ac:dyDescent="0.2">
      <c r="A460" s="20" t="str">
        <f ca="1">IF(Calc!$AW460="","",INT(Calc!$AV460))</f>
        <v/>
      </c>
      <c r="B460" s="21" t="str">
        <f ca="1">IF(Calc!$AW460="","",INDEX(Roster!$A$6:$A$505,Calc!$AW460)&amp;"")</f>
        <v/>
      </c>
      <c r="C460" s="21" t="str">
        <f ca="1">IF(Calc!$AW460="","",INDEX(Roster!$C$6:$C$505,Calc!$AW460)&amp;"")</f>
        <v/>
      </c>
      <c r="D460" s="19" t="str">
        <f ca="1">IF(Calc!$AW460="","",INDEX(Calc!$AP$6:$AP$505,Calc!$AW460))</f>
        <v/>
      </c>
      <c r="E460" s="21" t="str">
        <f ca="1">IF(Calc!$AW460="","",IF(INDEX(Calc!$AS$6:$AS$505,Calc!$AW460)="","Shout-out","Milestone"))</f>
        <v/>
      </c>
      <c r="F460" s="22" t="str">
        <f ca="1">IF(Calc!$AW460="","",IF($E460="Shout-out",SUBSTITUTE(SUBSTITUTE(SUBSTITUTE(SUBSTITUTE(Setup!$C$7&amp;"","{name}",IF($B460="","this employee",$B460)),"{years}",$D460),"{yearword}",IF($D460=1,"year","years")),"{company}",Setup!$C$4),IF(INDEX(Calc!$AT$6:$AT$505,Calc!$AW460),"Award ordered. Present it on the anniversary.","Order award by "&amp;TEXT(INDEX(Calc!$AU$6:$AU$505,Calc!$AW460),"mmm d, yyyy")&amp;IF(INDEX(Calc!$AU$6:$AU$505,Calc!$AW460)&lt;Setup!$C$5," (late, order today)",""))))</f>
        <v/>
      </c>
    </row>
    <row r="461" spans="1:6" x14ac:dyDescent="0.2">
      <c r="A461" s="20" t="str">
        <f ca="1">IF(Calc!$AW461="","",INT(Calc!$AV461))</f>
        <v/>
      </c>
      <c r="B461" s="21" t="str">
        <f ca="1">IF(Calc!$AW461="","",INDEX(Roster!$A$6:$A$505,Calc!$AW461)&amp;"")</f>
        <v/>
      </c>
      <c r="C461" s="21" t="str">
        <f ca="1">IF(Calc!$AW461="","",INDEX(Roster!$C$6:$C$505,Calc!$AW461)&amp;"")</f>
        <v/>
      </c>
      <c r="D461" s="19" t="str">
        <f ca="1">IF(Calc!$AW461="","",INDEX(Calc!$AP$6:$AP$505,Calc!$AW461))</f>
        <v/>
      </c>
      <c r="E461" s="21" t="str">
        <f ca="1">IF(Calc!$AW461="","",IF(INDEX(Calc!$AS$6:$AS$505,Calc!$AW461)="","Shout-out","Milestone"))</f>
        <v/>
      </c>
      <c r="F461" s="22" t="str">
        <f ca="1">IF(Calc!$AW461="","",IF($E461="Shout-out",SUBSTITUTE(SUBSTITUTE(SUBSTITUTE(SUBSTITUTE(Setup!$C$7&amp;"","{name}",IF($B461="","this employee",$B461)),"{years}",$D461),"{yearword}",IF($D461=1,"year","years")),"{company}",Setup!$C$4),IF(INDEX(Calc!$AT$6:$AT$505,Calc!$AW461),"Award ordered. Present it on the anniversary.","Order award by "&amp;TEXT(INDEX(Calc!$AU$6:$AU$505,Calc!$AW461),"mmm d, yyyy")&amp;IF(INDEX(Calc!$AU$6:$AU$505,Calc!$AW461)&lt;Setup!$C$5," (late, order today)",""))))</f>
        <v/>
      </c>
    </row>
    <row r="462" spans="1:6" x14ac:dyDescent="0.2">
      <c r="A462" s="20" t="str">
        <f ca="1">IF(Calc!$AW462="","",INT(Calc!$AV462))</f>
        <v/>
      </c>
      <c r="B462" s="21" t="str">
        <f ca="1">IF(Calc!$AW462="","",INDEX(Roster!$A$6:$A$505,Calc!$AW462)&amp;"")</f>
        <v/>
      </c>
      <c r="C462" s="21" t="str">
        <f ca="1">IF(Calc!$AW462="","",INDEX(Roster!$C$6:$C$505,Calc!$AW462)&amp;"")</f>
        <v/>
      </c>
      <c r="D462" s="19" t="str">
        <f ca="1">IF(Calc!$AW462="","",INDEX(Calc!$AP$6:$AP$505,Calc!$AW462))</f>
        <v/>
      </c>
      <c r="E462" s="21" t="str">
        <f ca="1">IF(Calc!$AW462="","",IF(INDEX(Calc!$AS$6:$AS$505,Calc!$AW462)="","Shout-out","Milestone"))</f>
        <v/>
      </c>
      <c r="F462" s="22" t="str">
        <f ca="1">IF(Calc!$AW462="","",IF($E462="Shout-out",SUBSTITUTE(SUBSTITUTE(SUBSTITUTE(SUBSTITUTE(Setup!$C$7&amp;"","{name}",IF($B462="","this employee",$B462)),"{years}",$D462),"{yearword}",IF($D462=1,"year","years")),"{company}",Setup!$C$4),IF(INDEX(Calc!$AT$6:$AT$505,Calc!$AW462),"Award ordered. Present it on the anniversary.","Order award by "&amp;TEXT(INDEX(Calc!$AU$6:$AU$505,Calc!$AW462),"mmm d, yyyy")&amp;IF(INDEX(Calc!$AU$6:$AU$505,Calc!$AW462)&lt;Setup!$C$5," (late, order today)",""))))</f>
        <v/>
      </c>
    </row>
    <row r="463" spans="1:6" x14ac:dyDescent="0.2">
      <c r="A463" s="20" t="str">
        <f ca="1">IF(Calc!$AW463="","",INT(Calc!$AV463))</f>
        <v/>
      </c>
      <c r="B463" s="21" t="str">
        <f ca="1">IF(Calc!$AW463="","",INDEX(Roster!$A$6:$A$505,Calc!$AW463)&amp;"")</f>
        <v/>
      </c>
      <c r="C463" s="21" t="str">
        <f ca="1">IF(Calc!$AW463="","",INDEX(Roster!$C$6:$C$505,Calc!$AW463)&amp;"")</f>
        <v/>
      </c>
      <c r="D463" s="19" t="str">
        <f ca="1">IF(Calc!$AW463="","",INDEX(Calc!$AP$6:$AP$505,Calc!$AW463))</f>
        <v/>
      </c>
      <c r="E463" s="21" t="str">
        <f ca="1">IF(Calc!$AW463="","",IF(INDEX(Calc!$AS$6:$AS$505,Calc!$AW463)="","Shout-out","Milestone"))</f>
        <v/>
      </c>
      <c r="F463" s="22" t="str">
        <f ca="1">IF(Calc!$AW463="","",IF($E463="Shout-out",SUBSTITUTE(SUBSTITUTE(SUBSTITUTE(SUBSTITUTE(Setup!$C$7&amp;"","{name}",IF($B463="","this employee",$B463)),"{years}",$D463),"{yearword}",IF($D463=1,"year","years")),"{company}",Setup!$C$4),IF(INDEX(Calc!$AT$6:$AT$505,Calc!$AW463),"Award ordered. Present it on the anniversary.","Order award by "&amp;TEXT(INDEX(Calc!$AU$6:$AU$505,Calc!$AW463),"mmm d, yyyy")&amp;IF(INDEX(Calc!$AU$6:$AU$505,Calc!$AW463)&lt;Setup!$C$5," (late, order today)",""))))</f>
        <v/>
      </c>
    </row>
    <row r="464" spans="1:6" x14ac:dyDescent="0.2">
      <c r="A464" s="20" t="str">
        <f ca="1">IF(Calc!$AW464="","",INT(Calc!$AV464))</f>
        <v/>
      </c>
      <c r="B464" s="21" t="str">
        <f ca="1">IF(Calc!$AW464="","",INDEX(Roster!$A$6:$A$505,Calc!$AW464)&amp;"")</f>
        <v/>
      </c>
      <c r="C464" s="21" t="str">
        <f ca="1">IF(Calc!$AW464="","",INDEX(Roster!$C$6:$C$505,Calc!$AW464)&amp;"")</f>
        <v/>
      </c>
      <c r="D464" s="19" t="str">
        <f ca="1">IF(Calc!$AW464="","",INDEX(Calc!$AP$6:$AP$505,Calc!$AW464))</f>
        <v/>
      </c>
      <c r="E464" s="21" t="str">
        <f ca="1">IF(Calc!$AW464="","",IF(INDEX(Calc!$AS$6:$AS$505,Calc!$AW464)="","Shout-out","Milestone"))</f>
        <v/>
      </c>
      <c r="F464" s="22" t="str">
        <f ca="1">IF(Calc!$AW464="","",IF($E464="Shout-out",SUBSTITUTE(SUBSTITUTE(SUBSTITUTE(SUBSTITUTE(Setup!$C$7&amp;"","{name}",IF($B464="","this employee",$B464)),"{years}",$D464),"{yearword}",IF($D464=1,"year","years")),"{company}",Setup!$C$4),IF(INDEX(Calc!$AT$6:$AT$505,Calc!$AW464),"Award ordered. Present it on the anniversary.","Order award by "&amp;TEXT(INDEX(Calc!$AU$6:$AU$505,Calc!$AW464),"mmm d, yyyy")&amp;IF(INDEX(Calc!$AU$6:$AU$505,Calc!$AW464)&lt;Setup!$C$5," (late, order today)",""))))</f>
        <v/>
      </c>
    </row>
    <row r="465" spans="1:6" x14ac:dyDescent="0.2">
      <c r="A465" s="20" t="str">
        <f ca="1">IF(Calc!$AW465="","",INT(Calc!$AV465))</f>
        <v/>
      </c>
      <c r="B465" s="21" t="str">
        <f ca="1">IF(Calc!$AW465="","",INDEX(Roster!$A$6:$A$505,Calc!$AW465)&amp;"")</f>
        <v/>
      </c>
      <c r="C465" s="21" t="str">
        <f ca="1">IF(Calc!$AW465="","",INDEX(Roster!$C$6:$C$505,Calc!$AW465)&amp;"")</f>
        <v/>
      </c>
      <c r="D465" s="19" t="str">
        <f ca="1">IF(Calc!$AW465="","",INDEX(Calc!$AP$6:$AP$505,Calc!$AW465))</f>
        <v/>
      </c>
      <c r="E465" s="21" t="str">
        <f ca="1">IF(Calc!$AW465="","",IF(INDEX(Calc!$AS$6:$AS$505,Calc!$AW465)="","Shout-out","Milestone"))</f>
        <v/>
      </c>
      <c r="F465" s="22" t="str">
        <f ca="1">IF(Calc!$AW465="","",IF($E465="Shout-out",SUBSTITUTE(SUBSTITUTE(SUBSTITUTE(SUBSTITUTE(Setup!$C$7&amp;"","{name}",IF($B465="","this employee",$B465)),"{years}",$D465),"{yearword}",IF($D465=1,"year","years")),"{company}",Setup!$C$4),IF(INDEX(Calc!$AT$6:$AT$505,Calc!$AW465),"Award ordered. Present it on the anniversary.","Order award by "&amp;TEXT(INDEX(Calc!$AU$6:$AU$505,Calc!$AW465),"mmm d, yyyy")&amp;IF(INDEX(Calc!$AU$6:$AU$505,Calc!$AW465)&lt;Setup!$C$5," (late, order today)",""))))</f>
        <v/>
      </c>
    </row>
    <row r="466" spans="1:6" x14ac:dyDescent="0.2">
      <c r="A466" s="20" t="str">
        <f ca="1">IF(Calc!$AW466="","",INT(Calc!$AV466))</f>
        <v/>
      </c>
      <c r="B466" s="21" t="str">
        <f ca="1">IF(Calc!$AW466="","",INDEX(Roster!$A$6:$A$505,Calc!$AW466)&amp;"")</f>
        <v/>
      </c>
      <c r="C466" s="21" t="str">
        <f ca="1">IF(Calc!$AW466="","",INDEX(Roster!$C$6:$C$505,Calc!$AW466)&amp;"")</f>
        <v/>
      </c>
      <c r="D466" s="19" t="str">
        <f ca="1">IF(Calc!$AW466="","",INDEX(Calc!$AP$6:$AP$505,Calc!$AW466))</f>
        <v/>
      </c>
      <c r="E466" s="21" t="str">
        <f ca="1">IF(Calc!$AW466="","",IF(INDEX(Calc!$AS$6:$AS$505,Calc!$AW466)="","Shout-out","Milestone"))</f>
        <v/>
      </c>
      <c r="F466" s="22" t="str">
        <f ca="1">IF(Calc!$AW466="","",IF($E466="Shout-out",SUBSTITUTE(SUBSTITUTE(SUBSTITUTE(SUBSTITUTE(Setup!$C$7&amp;"","{name}",IF($B466="","this employee",$B466)),"{years}",$D466),"{yearword}",IF($D466=1,"year","years")),"{company}",Setup!$C$4),IF(INDEX(Calc!$AT$6:$AT$505,Calc!$AW466),"Award ordered. Present it on the anniversary.","Order award by "&amp;TEXT(INDEX(Calc!$AU$6:$AU$505,Calc!$AW466),"mmm d, yyyy")&amp;IF(INDEX(Calc!$AU$6:$AU$505,Calc!$AW466)&lt;Setup!$C$5," (late, order today)",""))))</f>
        <v/>
      </c>
    </row>
    <row r="467" spans="1:6" x14ac:dyDescent="0.2">
      <c r="A467" s="20" t="str">
        <f ca="1">IF(Calc!$AW467="","",INT(Calc!$AV467))</f>
        <v/>
      </c>
      <c r="B467" s="21" t="str">
        <f ca="1">IF(Calc!$AW467="","",INDEX(Roster!$A$6:$A$505,Calc!$AW467)&amp;"")</f>
        <v/>
      </c>
      <c r="C467" s="21" t="str">
        <f ca="1">IF(Calc!$AW467="","",INDEX(Roster!$C$6:$C$505,Calc!$AW467)&amp;"")</f>
        <v/>
      </c>
      <c r="D467" s="19" t="str">
        <f ca="1">IF(Calc!$AW467="","",INDEX(Calc!$AP$6:$AP$505,Calc!$AW467))</f>
        <v/>
      </c>
      <c r="E467" s="21" t="str">
        <f ca="1">IF(Calc!$AW467="","",IF(INDEX(Calc!$AS$6:$AS$505,Calc!$AW467)="","Shout-out","Milestone"))</f>
        <v/>
      </c>
      <c r="F467" s="22" t="str">
        <f ca="1">IF(Calc!$AW467="","",IF($E467="Shout-out",SUBSTITUTE(SUBSTITUTE(SUBSTITUTE(SUBSTITUTE(Setup!$C$7&amp;"","{name}",IF($B467="","this employee",$B467)),"{years}",$D467),"{yearword}",IF($D467=1,"year","years")),"{company}",Setup!$C$4),IF(INDEX(Calc!$AT$6:$AT$505,Calc!$AW467),"Award ordered. Present it on the anniversary.","Order award by "&amp;TEXT(INDEX(Calc!$AU$6:$AU$505,Calc!$AW467),"mmm d, yyyy")&amp;IF(INDEX(Calc!$AU$6:$AU$505,Calc!$AW467)&lt;Setup!$C$5," (late, order today)",""))))</f>
        <v/>
      </c>
    </row>
    <row r="468" spans="1:6" x14ac:dyDescent="0.2">
      <c r="A468" s="20" t="str">
        <f ca="1">IF(Calc!$AW468="","",INT(Calc!$AV468))</f>
        <v/>
      </c>
      <c r="B468" s="21" t="str">
        <f ca="1">IF(Calc!$AW468="","",INDEX(Roster!$A$6:$A$505,Calc!$AW468)&amp;"")</f>
        <v/>
      </c>
      <c r="C468" s="21" t="str">
        <f ca="1">IF(Calc!$AW468="","",INDEX(Roster!$C$6:$C$505,Calc!$AW468)&amp;"")</f>
        <v/>
      </c>
      <c r="D468" s="19" t="str">
        <f ca="1">IF(Calc!$AW468="","",INDEX(Calc!$AP$6:$AP$505,Calc!$AW468))</f>
        <v/>
      </c>
      <c r="E468" s="21" t="str">
        <f ca="1">IF(Calc!$AW468="","",IF(INDEX(Calc!$AS$6:$AS$505,Calc!$AW468)="","Shout-out","Milestone"))</f>
        <v/>
      </c>
      <c r="F468" s="22" t="str">
        <f ca="1">IF(Calc!$AW468="","",IF($E468="Shout-out",SUBSTITUTE(SUBSTITUTE(SUBSTITUTE(SUBSTITUTE(Setup!$C$7&amp;"","{name}",IF($B468="","this employee",$B468)),"{years}",$D468),"{yearword}",IF($D468=1,"year","years")),"{company}",Setup!$C$4),IF(INDEX(Calc!$AT$6:$AT$505,Calc!$AW468),"Award ordered. Present it on the anniversary.","Order award by "&amp;TEXT(INDEX(Calc!$AU$6:$AU$505,Calc!$AW468),"mmm d, yyyy")&amp;IF(INDEX(Calc!$AU$6:$AU$505,Calc!$AW468)&lt;Setup!$C$5," (late, order today)",""))))</f>
        <v/>
      </c>
    </row>
    <row r="469" spans="1:6" x14ac:dyDescent="0.2">
      <c r="A469" s="20" t="str">
        <f ca="1">IF(Calc!$AW469="","",INT(Calc!$AV469))</f>
        <v/>
      </c>
      <c r="B469" s="21" t="str">
        <f ca="1">IF(Calc!$AW469="","",INDEX(Roster!$A$6:$A$505,Calc!$AW469)&amp;"")</f>
        <v/>
      </c>
      <c r="C469" s="21" t="str">
        <f ca="1">IF(Calc!$AW469="","",INDEX(Roster!$C$6:$C$505,Calc!$AW469)&amp;"")</f>
        <v/>
      </c>
      <c r="D469" s="19" t="str">
        <f ca="1">IF(Calc!$AW469="","",INDEX(Calc!$AP$6:$AP$505,Calc!$AW469))</f>
        <v/>
      </c>
      <c r="E469" s="21" t="str">
        <f ca="1">IF(Calc!$AW469="","",IF(INDEX(Calc!$AS$6:$AS$505,Calc!$AW469)="","Shout-out","Milestone"))</f>
        <v/>
      </c>
      <c r="F469" s="22" t="str">
        <f ca="1">IF(Calc!$AW469="","",IF($E469="Shout-out",SUBSTITUTE(SUBSTITUTE(SUBSTITUTE(SUBSTITUTE(Setup!$C$7&amp;"","{name}",IF($B469="","this employee",$B469)),"{years}",$D469),"{yearword}",IF($D469=1,"year","years")),"{company}",Setup!$C$4),IF(INDEX(Calc!$AT$6:$AT$505,Calc!$AW469),"Award ordered. Present it on the anniversary.","Order award by "&amp;TEXT(INDEX(Calc!$AU$6:$AU$505,Calc!$AW469),"mmm d, yyyy")&amp;IF(INDEX(Calc!$AU$6:$AU$505,Calc!$AW469)&lt;Setup!$C$5," (late, order today)",""))))</f>
        <v/>
      </c>
    </row>
    <row r="470" spans="1:6" x14ac:dyDescent="0.2">
      <c r="A470" s="20" t="str">
        <f ca="1">IF(Calc!$AW470="","",INT(Calc!$AV470))</f>
        <v/>
      </c>
      <c r="B470" s="21" t="str">
        <f ca="1">IF(Calc!$AW470="","",INDEX(Roster!$A$6:$A$505,Calc!$AW470)&amp;"")</f>
        <v/>
      </c>
      <c r="C470" s="21" t="str">
        <f ca="1">IF(Calc!$AW470="","",INDEX(Roster!$C$6:$C$505,Calc!$AW470)&amp;"")</f>
        <v/>
      </c>
      <c r="D470" s="19" t="str">
        <f ca="1">IF(Calc!$AW470="","",INDEX(Calc!$AP$6:$AP$505,Calc!$AW470))</f>
        <v/>
      </c>
      <c r="E470" s="21" t="str">
        <f ca="1">IF(Calc!$AW470="","",IF(INDEX(Calc!$AS$6:$AS$505,Calc!$AW470)="","Shout-out","Milestone"))</f>
        <v/>
      </c>
      <c r="F470" s="22" t="str">
        <f ca="1">IF(Calc!$AW470="","",IF($E470="Shout-out",SUBSTITUTE(SUBSTITUTE(SUBSTITUTE(SUBSTITUTE(Setup!$C$7&amp;"","{name}",IF($B470="","this employee",$B470)),"{years}",$D470),"{yearword}",IF($D470=1,"year","years")),"{company}",Setup!$C$4),IF(INDEX(Calc!$AT$6:$AT$505,Calc!$AW470),"Award ordered. Present it on the anniversary.","Order award by "&amp;TEXT(INDEX(Calc!$AU$6:$AU$505,Calc!$AW470),"mmm d, yyyy")&amp;IF(INDEX(Calc!$AU$6:$AU$505,Calc!$AW470)&lt;Setup!$C$5," (late, order today)",""))))</f>
        <v/>
      </c>
    </row>
    <row r="471" spans="1:6" x14ac:dyDescent="0.2">
      <c r="A471" s="20" t="str">
        <f ca="1">IF(Calc!$AW471="","",INT(Calc!$AV471))</f>
        <v/>
      </c>
      <c r="B471" s="21" t="str">
        <f ca="1">IF(Calc!$AW471="","",INDEX(Roster!$A$6:$A$505,Calc!$AW471)&amp;"")</f>
        <v/>
      </c>
      <c r="C471" s="21" t="str">
        <f ca="1">IF(Calc!$AW471="","",INDEX(Roster!$C$6:$C$505,Calc!$AW471)&amp;"")</f>
        <v/>
      </c>
      <c r="D471" s="19" t="str">
        <f ca="1">IF(Calc!$AW471="","",INDEX(Calc!$AP$6:$AP$505,Calc!$AW471))</f>
        <v/>
      </c>
      <c r="E471" s="21" t="str">
        <f ca="1">IF(Calc!$AW471="","",IF(INDEX(Calc!$AS$6:$AS$505,Calc!$AW471)="","Shout-out","Milestone"))</f>
        <v/>
      </c>
      <c r="F471" s="22" t="str">
        <f ca="1">IF(Calc!$AW471="","",IF($E471="Shout-out",SUBSTITUTE(SUBSTITUTE(SUBSTITUTE(SUBSTITUTE(Setup!$C$7&amp;"","{name}",IF($B471="","this employee",$B471)),"{years}",$D471),"{yearword}",IF($D471=1,"year","years")),"{company}",Setup!$C$4),IF(INDEX(Calc!$AT$6:$AT$505,Calc!$AW471),"Award ordered. Present it on the anniversary.","Order award by "&amp;TEXT(INDEX(Calc!$AU$6:$AU$505,Calc!$AW471),"mmm d, yyyy")&amp;IF(INDEX(Calc!$AU$6:$AU$505,Calc!$AW471)&lt;Setup!$C$5," (late, order today)",""))))</f>
        <v/>
      </c>
    </row>
    <row r="472" spans="1:6" x14ac:dyDescent="0.2">
      <c r="A472" s="20" t="str">
        <f ca="1">IF(Calc!$AW472="","",INT(Calc!$AV472))</f>
        <v/>
      </c>
      <c r="B472" s="21" t="str">
        <f ca="1">IF(Calc!$AW472="","",INDEX(Roster!$A$6:$A$505,Calc!$AW472)&amp;"")</f>
        <v/>
      </c>
      <c r="C472" s="21" t="str">
        <f ca="1">IF(Calc!$AW472="","",INDEX(Roster!$C$6:$C$505,Calc!$AW472)&amp;"")</f>
        <v/>
      </c>
      <c r="D472" s="19" t="str">
        <f ca="1">IF(Calc!$AW472="","",INDEX(Calc!$AP$6:$AP$505,Calc!$AW472))</f>
        <v/>
      </c>
      <c r="E472" s="21" t="str">
        <f ca="1">IF(Calc!$AW472="","",IF(INDEX(Calc!$AS$6:$AS$505,Calc!$AW472)="","Shout-out","Milestone"))</f>
        <v/>
      </c>
      <c r="F472" s="22" t="str">
        <f ca="1">IF(Calc!$AW472="","",IF($E472="Shout-out",SUBSTITUTE(SUBSTITUTE(SUBSTITUTE(SUBSTITUTE(Setup!$C$7&amp;"","{name}",IF($B472="","this employee",$B472)),"{years}",$D472),"{yearword}",IF($D472=1,"year","years")),"{company}",Setup!$C$4),IF(INDEX(Calc!$AT$6:$AT$505,Calc!$AW472),"Award ordered. Present it on the anniversary.","Order award by "&amp;TEXT(INDEX(Calc!$AU$6:$AU$505,Calc!$AW472),"mmm d, yyyy")&amp;IF(INDEX(Calc!$AU$6:$AU$505,Calc!$AW472)&lt;Setup!$C$5," (late, order today)",""))))</f>
        <v/>
      </c>
    </row>
    <row r="473" spans="1:6" x14ac:dyDescent="0.2">
      <c r="A473" s="20" t="str">
        <f ca="1">IF(Calc!$AW473="","",INT(Calc!$AV473))</f>
        <v/>
      </c>
      <c r="B473" s="21" t="str">
        <f ca="1">IF(Calc!$AW473="","",INDEX(Roster!$A$6:$A$505,Calc!$AW473)&amp;"")</f>
        <v/>
      </c>
      <c r="C473" s="21" t="str">
        <f ca="1">IF(Calc!$AW473="","",INDEX(Roster!$C$6:$C$505,Calc!$AW473)&amp;"")</f>
        <v/>
      </c>
      <c r="D473" s="19" t="str">
        <f ca="1">IF(Calc!$AW473="","",INDEX(Calc!$AP$6:$AP$505,Calc!$AW473))</f>
        <v/>
      </c>
      <c r="E473" s="21" t="str">
        <f ca="1">IF(Calc!$AW473="","",IF(INDEX(Calc!$AS$6:$AS$505,Calc!$AW473)="","Shout-out","Milestone"))</f>
        <v/>
      </c>
      <c r="F473" s="22" t="str">
        <f ca="1">IF(Calc!$AW473="","",IF($E473="Shout-out",SUBSTITUTE(SUBSTITUTE(SUBSTITUTE(SUBSTITUTE(Setup!$C$7&amp;"","{name}",IF($B473="","this employee",$B473)),"{years}",$D473),"{yearword}",IF($D473=1,"year","years")),"{company}",Setup!$C$4),IF(INDEX(Calc!$AT$6:$AT$505,Calc!$AW473),"Award ordered. Present it on the anniversary.","Order award by "&amp;TEXT(INDEX(Calc!$AU$6:$AU$505,Calc!$AW473),"mmm d, yyyy")&amp;IF(INDEX(Calc!$AU$6:$AU$505,Calc!$AW473)&lt;Setup!$C$5," (late, order today)",""))))</f>
        <v/>
      </c>
    </row>
    <row r="474" spans="1:6" x14ac:dyDescent="0.2">
      <c r="A474" s="20" t="str">
        <f ca="1">IF(Calc!$AW474="","",INT(Calc!$AV474))</f>
        <v/>
      </c>
      <c r="B474" s="21" t="str">
        <f ca="1">IF(Calc!$AW474="","",INDEX(Roster!$A$6:$A$505,Calc!$AW474)&amp;"")</f>
        <v/>
      </c>
      <c r="C474" s="21" t="str">
        <f ca="1">IF(Calc!$AW474="","",INDEX(Roster!$C$6:$C$505,Calc!$AW474)&amp;"")</f>
        <v/>
      </c>
      <c r="D474" s="19" t="str">
        <f ca="1">IF(Calc!$AW474="","",INDEX(Calc!$AP$6:$AP$505,Calc!$AW474))</f>
        <v/>
      </c>
      <c r="E474" s="21" t="str">
        <f ca="1">IF(Calc!$AW474="","",IF(INDEX(Calc!$AS$6:$AS$505,Calc!$AW474)="","Shout-out","Milestone"))</f>
        <v/>
      </c>
      <c r="F474" s="22" t="str">
        <f ca="1">IF(Calc!$AW474="","",IF($E474="Shout-out",SUBSTITUTE(SUBSTITUTE(SUBSTITUTE(SUBSTITUTE(Setup!$C$7&amp;"","{name}",IF($B474="","this employee",$B474)),"{years}",$D474),"{yearword}",IF($D474=1,"year","years")),"{company}",Setup!$C$4),IF(INDEX(Calc!$AT$6:$AT$505,Calc!$AW474),"Award ordered. Present it on the anniversary.","Order award by "&amp;TEXT(INDEX(Calc!$AU$6:$AU$505,Calc!$AW474),"mmm d, yyyy")&amp;IF(INDEX(Calc!$AU$6:$AU$505,Calc!$AW474)&lt;Setup!$C$5," (late, order today)",""))))</f>
        <v/>
      </c>
    </row>
    <row r="475" spans="1:6" x14ac:dyDescent="0.2">
      <c r="A475" s="20" t="str">
        <f ca="1">IF(Calc!$AW475="","",INT(Calc!$AV475))</f>
        <v/>
      </c>
      <c r="B475" s="21" t="str">
        <f ca="1">IF(Calc!$AW475="","",INDEX(Roster!$A$6:$A$505,Calc!$AW475)&amp;"")</f>
        <v/>
      </c>
      <c r="C475" s="21" t="str">
        <f ca="1">IF(Calc!$AW475="","",INDEX(Roster!$C$6:$C$505,Calc!$AW475)&amp;"")</f>
        <v/>
      </c>
      <c r="D475" s="19" t="str">
        <f ca="1">IF(Calc!$AW475="","",INDEX(Calc!$AP$6:$AP$505,Calc!$AW475))</f>
        <v/>
      </c>
      <c r="E475" s="21" t="str">
        <f ca="1">IF(Calc!$AW475="","",IF(INDEX(Calc!$AS$6:$AS$505,Calc!$AW475)="","Shout-out","Milestone"))</f>
        <v/>
      </c>
      <c r="F475" s="22" t="str">
        <f ca="1">IF(Calc!$AW475="","",IF($E475="Shout-out",SUBSTITUTE(SUBSTITUTE(SUBSTITUTE(SUBSTITUTE(Setup!$C$7&amp;"","{name}",IF($B475="","this employee",$B475)),"{years}",$D475),"{yearword}",IF($D475=1,"year","years")),"{company}",Setup!$C$4),IF(INDEX(Calc!$AT$6:$AT$505,Calc!$AW475),"Award ordered. Present it on the anniversary.","Order award by "&amp;TEXT(INDEX(Calc!$AU$6:$AU$505,Calc!$AW475),"mmm d, yyyy")&amp;IF(INDEX(Calc!$AU$6:$AU$505,Calc!$AW475)&lt;Setup!$C$5," (late, order today)",""))))</f>
        <v/>
      </c>
    </row>
    <row r="476" spans="1:6" x14ac:dyDescent="0.2">
      <c r="A476" s="20" t="str">
        <f ca="1">IF(Calc!$AW476="","",INT(Calc!$AV476))</f>
        <v/>
      </c>
      <c r="B476" s="21" t="str">
        <f ca="1">IF(Calc!$AW476="","",INDEX(Roster!$A$6:$A$505,Calc!$AW476)&amp;"")</f>
        <v/>
      </c>
      <c r="C476" s="21" t="str">
        <f ca="1">IF(Calc!$AW476="","",INDEX(Roster!$C$6:$C$505,Calc!$AW476)&amp;"")</f>
        <v/>
      </c>
      <c r="D476" s="19" t="str">
        <f ca="1">IF(Calc!$AW476="","",INDEX(Calc!$AP$6:$AP$505,Calc!$AW476))</f>
        <v/>
      </c>
      <c r="E476" s="21" t="str">
        <f ca="1">IF(Calc!$AW476="","",IF(INDEX(Calc!$AS$6:$AS$505,Calc!$AW476)="","Shout-out","Milestone"))</f>
        <v/>
      </c>
      <c r="F476" s="22" t="str">
        <f ca="1">IF(Calc!$AW476="","",IF($E476="Shout-out",SUBSTITUTE(SUBSTITUTE(SUBSTITUTE(SUBSTITUTE(Setup!$C$7&amp;"","{name}",IF($B476="","this employee",$B476)),"{years}",$D476),"{yearword}",IF($D476=1,"year","years")),"{company}",Setup!$C$4),IF(INDEX(Calc!$AT$6:$AT$505,Calc!$AW476),"Award ordered. Present it on the anniversary.","Order award by "&amp;TEXT(INDEX(Calc!$AU$6:$AU$505,Calc!$AW476),"mmm d, yyyy")&amp;IF(INDEX(Calc!$AU$6:$AU$505,Calc!$AW476)&lt;Setup!$C$5," (late, order today)",""))))</f>
        <v/>
      </c>
    </row>
    <row r="477" spans="1:6" x14ac:dyDescent="0.2">
      <c r="A477" s="20" t="str">
        <f ca="1">IF(Calc!$AW477="","",INT(Calc!$AV477))</f>
        <v/>
      </c>
      <c r="B477" s="21" t="str">
        <f ca="1">IF(Calc!$AW477="","",INDEX(Roster!$A$6:$A$505,Calc!$AW477)&amp;"")</f>
        <v/>
      </c>
      <c r="C477" s="21" t="str">
        <f ca="1">IF(Calc!$AW477="","",INDEX(Roster!$C$6:$C$505,Calc!$AW477)&amp;"")</f>
        <v/>
      </c>
      <c r="D477" s="19" t="str">
        <f ca="1">IF(Calc!$AW477="","",INDEX(Calc!$AP$6:$AP$505,Calc!$AW477))</f>
        <v/>
      </c>
      <c r="E477" s="21" t="str">
        <f ca="1">IF(Calc!$AW477="","",IF(INDEX(Calc!$AS$6:$AS$505,Calc!$AW477)="","Shout-out","Milestone"))</f>
        <v/>
      </c>
      <c r="F477" s="22" t="str">
        <f ca="1">IF(Calc!$AW477="","",IF($E477="Shout-out",SUBSTITUTE(SUBSTITUTE(SUBSTITUTE(SUBSTITUTE(Setup!$C$7&amp;"","{name}",IF($B477="","this employee",$B477)),"{years}",$D477),"{yearword}",IF($D477=1,"year","years")),"{company}",Setup!$C$4),IF(INDEX(Calc!$AT$6:$AT$505,Calc!$AW477),"Award ordered. Present it on the anniversary.","Order award by "&amp;TEXT(INDEX(Calc!$AU$6:$AU$505,Calc!$AW477),"mmm d, yyyy")&amp;IF(INDEX(Calc!$AU$6:$AU$505,Calc!$AW477)&lt;Setup!$C$5," (late, order today)",""))))</f>
        <v/>
      </c>
    </row>
    <row r="478" spans="1:6" x14ac:dyDescent="0.2">
      <c r="A478" s="20" t="str">
        <f ca="1">IF(Calc!$AW478="","",INT(Calc!$AV478))</f>
        <v/>
      </c>
      <c r="B478" s="21" t="str">
        <f ca="1">IF(Calc!$AW478="","",INDEX(Roster!$A$6:$A$505,Calc!$AW478)&amp;"")</f>
        <v/>
      </c>
      <c r="C478" s="21" t="str">
        <f ca="1">IF(Calc!$AW478="","",INDEX(Roster!$C$6:$C$505,Calc!$AW478)&amp;"")</f>
        <v/>
      </c>
      <c r="D478" s="19" t="str">
        <f ca="1">IF(Calc!$AW478="","",INDEX(Calc!$AP$6:$AP$505,Calc!$AW478))</f>
        <v/>
      </c>
      <c r="E478" s="21" t="str">
        <f ca="1">IF(Calc!$AW478="","",IF(INDEX(Calc!$AS$6:$AS$505,Calc!$AW478)="","Shout-out","Milestone"))</f>
        <v/>
      </c>
      <c r="F478" s="22" t="str">
        <f ca="1">IF(Calc!$AW478="","",IF($E478="Shout-out",SUBSTITUTE(SUBSTITUTE(SUBSTITUTE(SUBSTITUTE(Setup!$C$7&amp;"","{name}",IF($B478="","this employee",$B478)),"{years}",$D478),"{yearword}",IF($D478=1,"year","years")),"{company}",Setup!$C$4),IF(INDEX(Calc!$AT$6:$AT$505,Calc!$AW478),"Award ordered. Present it on the anniversary.","Order award by "&amp;TEXT(INDEX(Calc!$AU$6:$AU$505,Calc!$AW478),"mmm d, yyyy")&amp;IF(INDEX(Calc!$AU$6:$AU$505,Calc!$AW478)&lt;Setup!$C$5," (late, order today)",""))))</f>
        <v/>
      </c>
    </row>
    <row r="479" spans="1:6" x14ac:dyDescent="0.2">
      <c r="A479" s="20" t="str">
        <f ca="1">IF(Calc!$AW479="","",INT(Calc!$AV479))</f>
        <v/>
      </c>
      <c r="B479" s="21" t="str">
        <f ca="1">IF(Calc!$AW479="","",INDEX(Roster!$A$6:$A$505,Calc!$AW479)&amp;"")</f>
        <v/>
      </c>
      <c r="C479" s="21" t="str">
        <f ca="1">IF(Calc!$AW479="","",INDEX(Roster!$C$6:$C$505,Calc!$AW479)&amp;"")</f>
        <v/>
      </c>
      <c r="D479" s="19" t="str">
        <f ca="1">IF(Calc!$AW479="","",INDEX(Calc!$AP$6:$AP$505,Calc!$AW479))</f>
        <v/>
      </c>
      <c r="E479" s="21" t="str">
        <f ca="1">IF(Calc!$AW479="","",IF(INDEX(Calc!$AS$6:$AS$505,Calc!$AW479)="","Shout-out","Milestone"))</f>
        <v/>
      </c>
      <c r="F479" s="22" t="str">
        <f ca="1">IF(Calc!$AW479="","",IF($E479="Shout-out",SUBSTITUTE(SUBSTITUTE(SUBSTITUTE(SUBSTITUTE(Setup!$C$7&amp;"","{name}",IF($B479="","this employee",$B479)),"{years}",$D479),"{yearword}",IF($D479=1,"year","years")),"{company}",Setup!$C$4),IF(INDEX(Calc!$AT$6:$AT$505,Calc!$AW479),"Award ordered. Present it on the anniversary.","Order award by "&amp;TEXT(INDEX(Calc!$AU$6:$AU$505,Calc!$AW479),"mmm d, yyyy")&amp;IF(INDEX(Calc!$AU$6:$AU$505,Calc!$AW479)&lt;Setup!$C$5," (late, order today)",""))))</f>
        <v/>
      </c>
    </row>
    <row r="480" spans="1:6" x14ac:dyDescent="0.2">
      <c r="A480" s="20" t="str">
        <f ca="1">IF(Calc!$AW480="","",INT(Calc!$AV480))</f>
        <v/>
      </c>
      <c r="B480" s="21" t="str">
        <f ca="1">IF(Calc!$AW480="","",INDEX(Roster!$A$6:$A$505,Calc!$AW480)&amp;"")</f>
        <v/>
      </c>
      <c r="C480" s="21" t="str">
        <f ca="1">IF(Calc!$AW480="","",INDEX(Roster!$C$6:$C$505,Calc!$AW480)&amp;"")</f>
        <v/>
      </c>
      <c r="D480" s="19" t="str">
        <f ca="1">IF(Calc!$AW480="","",INDEX(Calc!$AP$6:$AP$505,Calc!$AW480))</f>
        <v/>
      </c>
      <c r="E480" s="21" t="str">
        <f ca="1">IF(Calc!$AW480="","",IF(INDEX(Calc!$AS$6:$AS$505,Calc!$AW480)="","Shout-out","Milestone"))</f>
        <v/>
      </c>
      <c r="F480" s="22" t="str">
        <f ca="1">IF(Calc!$AW480="","",IF($E480="Shout-out",SUBSTITUTE(SUBSTITUTE(SUBSTITUTE(SUBSTITUTE(Setup!$C$7&amp;"","{name}",IF($B480="","this employee",$B480)),"{years}",$D480),"{yearword}",IF($D480=1,"year","years")),"{company}",Setup!$C$4),IF(INDEX(Calc!$AT$6:$AT$505,Calc!$AW480),"Award ordered. Present it on the anniversary.","Order award by "&amp;TEXT(INDEX(Calc!$AU$6:$AU$505,Calc!$AW480),"mmm d, yyyy")&amp;IF(INDEX(Calc!$AU$6:$AU$505,Calc!$AW480)&lt;Setup!$C$5," (late, order today)",""))))</f>
        <v/>
      </c>
    </row>
    <row r="481" spans="1:6" x14ac:dyDescent="0.2">
      <c r="A481" s="20" t="str">
        <f ca="1">IF(Calc!$AW481="","",INT(Calc!$AV481))</f>
        <v/>
      </c>
      <c r="B481" s="21" t="str">
        <f ca="1">IF(Calc!$AW481="","",INDEX(Roster!$A$6:$A$505,Calc!$AW481)&amp;"")</f>
        <v/>
      </c>
      <c r="C481" s="21" t="str">
        <f ca="1">IF(Calc!$AW481="","",INDEX(Roster!$C$6:$C$505,Calc!$AW481)&amp;"")</f>
        <v/>
      </c>
      <c r="D481" s="19" t="str">
        <f ca="1">IF(Calc!$AW481="","",INDEX(Calc!$AP$6:$AP$505,Calc!$AW481))</f>
        <v/>
      </c>
      <c r="E481" s="21" t="str">
        <f ca="1">IF(Calc!$AW481="","",IF(INDEX(Calc!$AS$6:$AS$505,Calc!$AW481)="","Shout-out","Milestone"))</f>
        <v/>
      </c>
      <c r="F481" s="22" t="str">
        <f ca="1">IF(Calc!$AW481="","",IF($E481="Shout-out",SUBSTITUTE(SUBSTITUTE(SUBSTITUTE(SUBSTITUTE(Setup!$C$7&amp;"","{name}",IF($B481="","this employee",$B481)),"{years}",$D481),"{yearword}",IF($D481=1,"year","years")),"{company}",Setup!$C$4),IF(INDEX(Calc!$AT$6:$AT$505,Calc!$AW481),"Award ordered. Present it on the anniversary.","Order award by "&amp;TEXT(INDEX(Calc!$AU$6:$AU$505,Calc!$AW481),"mmm d, yyyy")&amp;IF(INDEX(Calc!$AU$6:$AU$505,Calc!$AW481)&lt;Setup!$C$5," (late, order today)",""))))</f>
        <v/>
      </c>
    </row>
    <row r="482" spans="1:6" x14ac:dyDescent="0.2">
      <c r="A482" s="20" t="str">
        <f ca="1">IF(Calc!$AW482="","",INT(Calc!$AV482))</f>
        <v/>
      </c>
      <c r="B482" s="21" t="str">
        <f ca="1">IF(Calc!$AW482="","",INDEX(Roster!$A$6:$A$505,Calc!$AW482)&amp;"")</f>
        <v/>
      </c>
      <c r="C482" s="21" t="str">
        <f ca="1">IF(Calc!$AW482="","",INDEX(Roster!$C$6:$C$505,Calc!$AW482)&amp;"")</f>
        <v/>
      </c>
      <c r="D482" s="19" t="str">
        <f ca="1">IF(Calc!$AW482="","",INDEX(Calc!$AP$6:$AP$505,Calc!$AW482))</f>
        <v/>
      </c>
      <c r="E482" s="21" t="str">
        <f ca="1">IF(Calc!$AW482="","",IF(INDEX(Calc!$AS$6:$AS$505,Calc!$AW482)="","Shout-out","Milestone"))</f>
        <v/>
      </c>
      <c r="F482" s="22" t="str">
        <f ca="1">IF(Calc!$AW482="","",IF($E482="Shout-out",SUBSTITUTE(SUBSTITUTE(SUBSTITUTE(SUBSTITUTE(Setup!$C$7&amp;"","{name}",IF($B482="","this employee",$B482)),"{years}",$D482),"{yearword}",IF($D482=1,"year","years")),"{company}",Setup!$C$4),IF(INDEX(Calc!$AT$6:$AT$505,Calc!$AW482),"Award ordered. Present it on the anniversary.","Order award by "&amp;TEXT(INDEX(Calc!$AU$6:$AU$505,Calc!$AW482),"mmm d, yyyy")&amp;IF(INDEX(Calc!$AU$6:$AU$505,Calc!$AW482)&lt;Setup!$C$5," (late, order today)",""))))</f>
        <v/>
      </c>
    </row>
    <row r="483" spans="1:6" x14ac:dyDescent="0.2">
      <c r="A483" s="20" t="str">
        <f ca="1">IF(Calc!$AW483="","",INT(Calc!$AV483))</f>
        <v/>
      </c>
      <c r="B483" s="21" t="str">
        <f ca="1">IF(Calc!$AW483="","",INDEX(Roster!$A$6:$A$505,Calc!$AW483)&amp;"")</f>
        <v/>
      </c>
      <c r="C483" s="21" t="str">
        <f ca="1">IF(Calc!$AW483="","",INDEX(Roster!$C$6:$C$505,Calc!$AW483)&amp;"")</f>
        <v/>
      </c>
      <c r="D483" s="19" t="str">
        <f ca="1">IF(Calc!$AW483="","",INDEX(Calc!$AP$6:$AP$505,Calc!$AW483))</f>
        <v/>
      </c>
      <c r="E483" s="21" t="str">
        <f ca="1">IF(Calc!$AW483="","",IF(INDEX(Calc!$AS$6:$AS$505,Calc!$AW483)="","Shout-out","Milestone"))</f>
        <v/>
      </c>
      <c r="F483" s="22" t="str">
        <f ca="1">IF(Calc!$AW483="","",IF($E483="Shout-out",SUBSTITUTE(SUBSTITUTE(SUBSTITUTE(SUBSTITUTE(Setup!$C$7&amp;"","{name}",IF($B483="","this employee",$B483)),"{years}",$D483),"{yearword}",IF($D483=1,"year","years")),"{company}",Setup!$C$4),IF(INDEX(Calc!$AT$6:$AT$505,Calc!$AW483),"Award ordered. Present it on the anniversary.","Order award by "&amp;TEXT(INDEX(Calc!$AU$6:$AU$505,Calc!$AW483),"mmm d, yyyy")&amp;IF(INDEX(Calc!$AU$6:$AU$505,Calc!$AW483)&lt;Setup!$C$5," (late, order today)",""))))</f>
        <v/>
      </c>
    </row>
    <row r="484" spans="1:6" x14ac:dyDescent="0.2">
      <c r="A484" s="20" t="str">
        <f ca="1">IF(Calc!$AW484="","",INT(Calc!$AV484))</f>
        <v/>
      </c>
      <c r="B484" s="21" t="str">
        <f ca="1">IF(Calc!$AW484="","",INDEX(Roster!$A$6:$A$505,Calc!$AW484)&amp;"")</f>
        <v/>
      </c>
      <c r="C484" s="21" t="str">
        <f ca="1">IF(Calc!$AW484="","",INDEX(Roster!$C$6:$C$505,Calc!$AW484)&amp;"")</f>
        <v/>
      </c>
      <c r="D484" s="19" t="str">
        <f ca="1">IF(Calc!$AW484="","",INDEX(Calc!$AP$6:$AP$505,Calc!$AW484))</f>
        <v/>
      </c>
      <c r="E484" s="21" t="str">
        <f ca="1">IF(Calc!$AW484="","",IF(INDEX(Calc!$AS$6:$AS$505,Calc!$AW484)="","Shout-out","Milestone"))</f>
        <v/>
      </c>
      <c r="F484" s="22" t="str">
        <f ca="1">IF(Calc!$AW484="","",IF($E484="Shout-out",SUBSTITUTE(SUBSTITUTE(SUBSTITUTE(SUBSTITUTE(Setup!$C$7&amp;"","{name}",IF($B484="","this employee",$B484)),"{years}",$D484),"{yearword}",IF($D484=1,"year","years")),"{company}",Setup!$C$4),IF(INDEX(Calc!$AT$6:$AT$505,Calc!$AW484),"Award ordered. Present it on the anniversary.","Order award by "&amp;TEXT(INDEX(Calc!$AU$6:$AU$505,Calc!$AW484),"mmm d, yyyy")&amp;IF(INDEX(Calc!$AU$6:$AU$505,Calc!$AW484)&lt;Setup!$C$5," (late, order today)",""))))</f>
        <v/>
      </c>
    </row>
    <row r="485" spans="1:6" x14ac:dyDescent="0.2">
      <c r="A485" s="20" t="str">
        <f ca="1">IF(Calc!$AW485="","",INT(Calc!$AV485))</f>
        <v/>
      </c>
      <c r="B485" s="21" t="str">
        <f ca="1">IF(Calc!$AW485="","",INDEX(Roster!$A$6:$A$505,Calc!$AW485)&amp;"")</f>
        <v/>
      </c>
      <c r="C485" s="21" t="str">
        <f ca="1">IF(Calc!$AW485="","",INDEX(Roster!$C$6:$C$505,Calc!$AW485)&amp;"")</f>
        <v/>
      </c>
      <c r="D485" s="19" t="str">
        <f ca="1">IF(Calc!$AW485="","",INDEX(Calc!$AP$6:$AP$505,Calc!$AW485))</f>
        <v/>
      </c>
      <c r="E485" s="21" t="str">
        <f ca="1">IF(Calc!$AW485="","",IF(INDEX(Calc!$AS$6:$AS$505,Calc!$AW485)="","Shout-out","Milestone"))</f>
        <v/>
      </c>
      <c r="F485" s="22" t="str">
        <f ca="1">IF(Calc!$AW485="","",IF($E485="Shout-out",SUBSTITUTE(SUBSTITUTE(SUBSTITUTE(SUBSTITUTE(Setup!$C$7&amp;"","{name}",IF($B485="","this employee",$B485)),"{years}",$D485),"{yearword}",IF($D485=1,"year","years")),"{company}",Setup!$C$4),IF(INDEX(Calc!$AT$6:$AT$505,Calc!$AW485),"Award ordered. Present it on the anniversary.","Order award by "&amp;TEXT(INDEX(Calc!$AU$6:$AU$505,Calc!$AW485),"mmm d, yyyy")&amp;IF(INDEX(Calc!$AU$6:$AU$505,Calc!$AW485)&lt;Setup!$C$5," (late, order today)",""))))</f>
        <v/>
      </c>
    </row>
    <row r="486" spans="1:6" x14ac:dyDescent="0.2">
      <c r="A486" s="20" t="str">
        <f ca="1">IF(Calc!$AW486="","",INT(Calc!$AV486))</f>
        <v/>
      </c>
      <c r="B486" s="21" t="str">
        <f ca="1">IF(Calc!$AW486="","",INDEX(Roster!$A$6:$A$505,Calc!$AW486)&amp;"")</f>
        <v/>
      </c>
      <c r="C486" s="21" t="str">
        <f ca="1">IF(Calc!$AW486="","",INDEX(Roster!$C$6:$C$505,Calc!$AW486)&amp;"")</f>
        <v/>
      </c>
      <c r="D486" s="19" t="str">
        <f ca="1">IF(Calc!$AW486="","",INDEX(Calc!$AP$6:$AP$505,Calc!$AW486))</f>
        <v/>
      </c>
      <c r="E486" s="21" t="str">
        <f ca="1">IF(Calc!$AW486="","",IF(INDEX(Calc!$AS$6:$AS$505,Calc!$AW486)="","Shout-out","Milestone"))</f>
        <v/>
      </c>
      <c r="F486" s="22" t="str">
        <f ca="1">IF(Calc!$AW486="","",IF($E486="Shout-out",SUBSTITUTE(SUBSTITUTE(SUBSTITUTE(SUBSTITUTE(Setup!$C$7&amp;"","{name}",IF($B486="","this employee",$B486)),"{years}",$D486),"{yearword}",IF($D486=1,"year","years")),"{company}",Setup!$C$4),IF(INDEX(Calc!$AT$6:$AT$505,Calc!$AW486),"Award ordered. Present it on the anniversary.","Order award by "&amp;TEXT(INDEX(Calc!$AU$6:$AU$505,Calc!$AW486),"mmm d, yyyy")&amp;IF(INDEX(Calc!$AU$6:$AU$505,Calc!$AW486)&lt;Setup!$C$5," (late, order today)",""))))</f>
        <v/>
      </c>
    </row>
    <row r="487" spans="1:6" x14ac:dyDescent="0.2">
      <c r="A487" s="20" t="str">
        <f ca="1">IF(Calc!$AW487="","",INT(Calc!$AV487))</f>
        <v/>
      </c>
      <c r="B487" s="21" t="str">
        <f ca="1">IF(Calc!$AW487="","",INDEX(Roster!$A$6:$A$505,Calc!$AW487)&amp;"")</f>
        <v/>
      </c>
      <c r="C487" s="21" t="str">
        <f ca="1">IF(Calc!$AW487="","",INDEX(Roster!$C$6:$C$505,Calc!$AW487)&amp;"")</f>
        <v/>
      </c>
      <c r="D487" s="19" t="str">
        <f ca="1">IF(Calc!$AW487="","",INDEX(Calc!$AP$6:$AP$505,Calc!$AW487))</f>
        <v/>
      </c>
      <c r="E487" s="21" t="str">
        <f ca="1">IF(Calc!$AW487="","",IF(INDEX(Calc!$AS$6:$AS$505,Calc!$AW487)="","Shout-out","Milestone"))</f>
        <v/>
      </c>
      <c r="F487" s="22" t="str">
        <f ca="1">IF(Calc!$AW487="","",IF($E487="Shout-out",SUBSTITUTE(SUBSTITUTE(SUBSTITUTE(SUBSTITUTE(Setup!$C$7&amp;"","{name}",IF($B487="","this employee",$B487)),"{years}",$D487),"{yearword}",IF($D487=1,"year","years")),"{company}",Setup!$C$4),IF(INDEX(Calc!$AT$6:$AT$505,Calc!$AW487),"Award ordered. Present it on the anniversary.","Order award by "&amp;TEXT(INDEX(Calc!$AU$6:$AU$505,Calc!$AW487),"mmm d, yyyy")&amp;IF(INDEX(Calc!$AU$6:$AU$505,Calc!$AW487)&lt;Setup!$C$5," (late, order today)",""))))</f>
        <v/>
      </c>
    </row>
    <row r="488" spans="1:6" x14ac:dyDescent="0.2">
      <c r="A488" s="20" t="str">
        <f ca="1">IF(Calc!$AW488="","",INT(Calc!$AV488))</f>
        <v/>
      </c>
      <c r="B488" s="21" t="str">
        <f ca="1">IF(Calc!$AW488="","",INDEX(Roster!$A$6:$A$505,Calc!$AW488)&amp;"")</f>
        <v/>
      </c>
      <c r="C488" s="21" t="str">
        <f ca="1">IF(Calc!$AW488="","",INDEX(Roster!$C$6:$C$505,Calc!$AW488)&amp;"")</f>
        <v/>
      </c>
      <c r="D488" s="19" t="str">
        <f ca="1">IF(Calc!$AW488="","",INDEX(Calc!$AP$6:$AP$505,Calc!$AW488))</f>
        <v/>
      </c>
      <c r="E488" s="21" t="str">
        <f ca="1">IF(Calc!$AW488="","",IF(INDEX(Calc!$AS$6:$AS$505,Calc!$AW488)="","Shout-out","Milestone"))</f>
        <v/>
      </c>
      <c r="F488" s="22" t="str">
        <f ca="1">IF(Calc!$AW488="","",IF($E488="Shout-out",SUBSTITUTE(SUBSTITUTE(SUBSTITUTE(SUBSTITUTE(Setup!$C$7&amp;"","{name}",IF($B488="","this employee",$B488)),"{years}",$D488),"{yearword}",IF($D488=1,"year","years")),"{company}",Setup!$C$4),IF(INDEX(Calc!$AT$6:$AT$505,Calc!$AW488),"Award ordered. Present it on the anniversary.","Order award by "&amp;TEXT(INDEX(Calc!$AU$6:$AU$505,Calc!$AW488),"mmm d, yyyy")&amp;IF(INDEX(Calc!$AU$6:$AU$505,Calc!$AW488)&lt;Setup!$C$5," (late, order today)",""))))</f>
        <v/>
      </c>
    </row>
    <row r="489" spans="1:6" x14ac:dyDescent="0.2">
      <c r="A489" s="20" t="str">
        <f ca="1">IF(Calc!$AW489="","",INT(Calc!$AV489))</f>
        <v/>
      </c>
      <c r="B489" s="21" t="str">
        <f ca="1">IF(Calc!$AW489="","",INDEX(Roster!$A$6:$A$505,Calc!$AW489)&amp;"")</f>
        <v/>
      </c>
      <c r="C489" s="21" t="str">
        <f ca="1">IF(Calc!$AW489="","",INDEX(Roster!$C$6:$C$505,Calc!$AW489)&amp;"")</f>
        <v/>
      </c>
      <c r="D489" s="19" t="str">
        <f ca="1">IF(Calc!$AW489="","",INDEX(Calc!$AP$6:$AP$505,Calc!$AW489))</f>
        <v/>
      </c>
      <c r="E489" s="21" t="str">
        <f ca="1">IF(Calc!$AW489="","",IF(INDEX(Calc!$AS$6:$AS$505,Calc!$AW489)="","Shout-out","Milestone"))</f>
        <v/>
      </c>
      <c r="F489" s="22" t="str">
        <f ca="1">IF(Calc!$AW489="","",IF($E489="Shout-out",SUBSTITUTE(SUBSTITUTE(SUBSTITUTE(SUBSTITUTE(Setup!$C$7&amp;"","{name}",IF($B489="","this employee",$B489)),"{years}",$D489),"{yearword}",IF($D489=1,"year","years")),"{company}",Setup!$C$4),IF(INDEX(Calc!$AT$6:$AT$505,Calc!$AW489),"Award ordered. Present it on the anniversary.","Order award by "&amp;TEXT(INDEX(Calc!$AU$6:$AU$505,Calc!$AW489),"mmm d, yyyy")&amp;IF(INDEX(Calc!$AU$6:$AU$505,Calc!$AW489)&lt;Setup!$C$5," (late, order today)",""))))</f>
        <v/>
      </c>
    </row>
    <row r="490" spans="1:6" x14ac:dyDescent="0.2">
      <c r="A490" s="20" t="str">
        <f ca="1">IF(Calc!$AW490="","",INT(Calc!$AV490))</f>
        <v/>
      </c>
      <c r="B490" s="21" t="str">
        <f ca="1">IF(Calc!$AW490="","",INDEX(Roster!$A$6:$A$505,Calc!$AW490)&amp;"")</f>
        <v/>
      </c>
      <c r="C490" s="21" t="str">
        <f ca="1">IF(Calc!$AW490="","",INDEX(Roster!$C$6:$C$505,Calc!$AW490)&amp;"")</f>
        <v/>
      </c>
      <c r="D490" s="19" t="str">
        <f ca="1">IF(Calc!$AW490="","",INDEX(Calc!$AP$6:$AP$505,Calc!$AW490))</f>
        <v/>
      </c>
      <c r="E490" s="21" t="str">
        <f ca="1">IF(Calc!$AW490="","",IF(INDEX(Calc!$AS$6:$AS$505,Calc!$AW490)="","Shout-out","Milestone"))</f>
        <v/>
      </c>
      <c r="F490" s="22" t="str">
        <f ca="1">IF(Calc!$AW490="","",IF($E490="Shout-out",SUBSTITUTE(SUBSTITUTE(SUBSTITUTE(SUBSTITUTE(Setup!$C$7&amp;"","{name}",IF($B490="","this employee",$B490)),"{years}",$D490),"{yearword}",IF($D490=1,"year","years")),"{company}",Setup!$C$4),IF(INDEX(Calc!$AT$6:$AT$505,Calc!$AW490),"Award ordered. Present it on the anniversary.","Order award by "&amp;TEXT(INDEX(Calc!$AU$6:$AU$505,Calc!$AW490),"mmm d, yyyy")&amp;IF(INDEX(Calc!$AU$6:$AU$505,Calc!$AW490)&lt;Setup!$C$5," (late, order today)",""))))</f>
        <v/>
      </c>
    </row>
    <row r="491" spans="1:6" x14ac:dyDescent="0.2">
      <c r="A491" s="20" t="str">
        <f ca="1">IF(Calc!$AW491="","",INT(Calc!$AV491))</f>
        <v/>
      </c>
      <c r="B491" s="21" t="str">
        <f ca="1">IF(Calc!$AW491="","",INDEX(Roster!$A$6:$A$505,Calc!$AW491)&amp;"")</f>
        <v/>
      </c>
      <c r="C491" s="21" t="str">
        <f ca="1">IF(Calc!$AW491="","",INDEX(Roster!$C$6:$C$505,Calc!$AW491)&amp;"")</f>
        <v/>
      </c>
      <c r="D491" s="19" t="str">
        <f ca="1">IF(Calc!$AW491="","",INDEX(Calc!$AP$6:$AP$505,Calc!$AW491))</f>
        <v/>
      </c>
      <c r="E491" s="21" t="str">
        <f ca="1">IF(Calc!$AW491="","",IF(INDEX(Calc!$AS$6:$AS$505,Calc!$AW491)="","Shout-out","Milestone"))</f>
        <v/>
      </c>
      <c r="F491" s="22" t="str">
        <f ca="1">IF(Calc!$AW491="","",IF($E491="Shout-out",SUBSTITUTE(SUBSTITUTE(SUBSTITUTE(SUBSTITUTE(Setup!$C$7&amp;"","{name}",IF($B491="","this employee",$B491)),"{years}",$D491),"{yearword}",IF($D491=1,"year","years")),"{company}",Setup!$C$4),IF(INDEX(Calc!$AT$6:$AT$505,Calc!$AW491),"Award ordered. Present it on the anniversary.","Order award by "&amp;TEXT(INDEX(Calc!$AU$6:$AU$505,Calc!$AW491),"mmm d, yyyy")&amp;IF(INDEX(Calc!$AU$6:$AU$505,Calc!$AW491)&lt;Setup!$C$5," (late, order today)",""))))</f>
        <v/>
      </c>
    </row>
    <row r="492" spans="1:6" x14ac:dyDescent="0.2">
      <c r="A492" s="20" t="str">
        <f ca="1">IF(Calc!$AW492="","",INT(Calc!$AV492))</f>
        <v/>
      </c>
      <c r="B492" s="21" t="str">
        <f ca="1">IF(Calc!$AW492="","",INDEX(Roster!$A$6:$A$505,Calc!$AW492)&amp;"")</f>
        <v/>
      </c>
      <c r="C492" s="21" t="str">
        <f ca="1">IF(Calc!$AW492="","",INDEX(Roster!$C$6:$C$505,Calc!$AW492)&amp;"")</f>
        <v/>
      </c>
      <c r="D492" s="19" t="str">
        <f ca="1">IF(Calc!$AW492="","",INDEX(Calc!$AP$6:$AP$505,Calc!$AW492))</f>
        <v/>
      </c>
      <c r="E492" s="21" t="str">
        <f ca="1">IF(Calc!$AW492="","",IF(INDEX(Calc!$AS$6:$AS$505,Calc!$AW492)="","Shout-out","Milestone"))</f>
        <v/>
      </c>
      <c r="F492" s="22" t="str">
        <f ca="1">IF(Calc!$AW492="","",IF($E492="Shout-out",SUBSTITUTE(SUBSTITUTE(SUBSTITUTE(SUBSTITUTE(Setup!$C$7&amp;"","{name}",IF($B492="","this employee",$B492)),"{years}",$D492),"{yearword}",IF($D492=1,"year","years")),"{company}",Setup!$C$4),IF(INDEX(Calc!$AT$6:$AT$505,Calc!$AW492),"Award ordered. Present it on the anniversary.","Order award by "&amp;TEXT(INDEX(Calc!$AU$6:$AU$505,Calc!$AW492),"mmm d, yyyy")&amp;IF(INDEX(Calc!$AU$6:$AU$505,Calc!$AW492)&lt;Setup!$C$5," (late, order today)",""))))</f>
        <v/>
      </c>
    </row>
    <row r="493" spans="1:6" x14ac:dyDescent="0.2">
      <c r="A493" s="20" t="str">
        <f ca="1">IF(Calc!$AW493="","",INT(Calc!$AV493))</f>
        <v/>
      </c>
      <c r="B493" s="21" t="str">
        <f ca="1">IF(Calc!$AW493="","",INDEX(Roster!$A$6:$A$505,Calc!$AW493)&amp;"")</f>
        <v/>
      </c>
      <c r="C493" s="21" t="str">
        <f ca="1">IF(Calc!$AW493="","",INDEX(Roster!$C$6:$C$505,Calc!$AW493)&amp;"")</f>
        <v/>
      </c>
      <c r="D493" s="19" t="str">
        <f ca="1">IF(Calc!$AW493="","",INDEX(Calc!$AP$6:$AP$505,Calc!$AW493))</f>
        <v/>
      </c>
      <c r="E493" s="21" t="str">
        <f ca="1">IF(Calc!$AW493="","",IF(INDEX(Calc!$AS$6:$AS$505,Calc!$AW493)="","Shout-out","Milestone"))</f>
        <v/>
      </c>
      <c r="F493" s="22" t="str">
        <f ca="1">IF(Calc!$AW493="","",IF($E493="Shout-out",SUBSTITUTE(SUBSTITUTE(SUBSTITUTE(SUBSTITUTE(Setup!$C$7&amp;"","{name}",IF($B493="","this employee",$B493)),"{years}",$D493),"{yearword}",IF($D493=1,"year","years")),"{company}",Setup!$C$4),IF(INDEX(Calc!$AT$6:$AT$505,Calc!$AW493),"Award ordered. Present it on the anniversary.","Order award by "&amp;TEXT(INDEX(Calc!$AU$6:$AU$505,Calc!$AW493),"mmm d, yyyy")&amp;IF(INDEX(Calc!$AU$6:$AU$505,Calc!$AW493)&lt;Setup!$C$5," (late, order today)",""))))</f>
        <v/>
      </c>
    </row>
    <row r="494" spans="1:6" x14ac:dyDescent="0.2">
      <c r="A494" s="20" t="str">
        <f ca="1">IF(Calc!$AW494="","",INT(Calc!$AV494))</f>
        <v/>
      </c>
      <c r="B494" s="21" t="str">
        <f ca="1">IF(Calc!$AW494="","",INDEX(Roster!$A$6:$A$505,Calc!$AW494)&amp;"")</f>
        <v/>
      </c>
      <c r="C494" s="21" t="str">
        <f ca="1">IF(Calc!$AW494="","",INDEX(Roster!$C$6:$C$505,Calc!$AW494)&amp;"")</f>
        <v/>
      </c>
      <c r="D494" s="19" t="str">
        <f ca="1">IF(Calc!$AW494="","",INDEX(Calc!$AP$6:$AP$505,Calc!$AW494))</f>
        <v/>
      </c>
      <c r="E494" s="21" t="str">
        <f ca="1">IF(Calc!$AW494="","",IF(INDEX(Calc!$AS$6:$AS$505,Calc!$AW494)="","Shout-out","Milestone"))</f>
        <v/>
      </c>
      <c r="F494" s="22" t="str">
        <f ca="1">IF(Calc!$AW494="","",IF($E494="Shout-out",SUBSTITUTE(SUBSTITUTE(SUBSTITUTE(SUBSTITUTE(Setup!$C$7&amp;"","{name}",IF($B494="","this employee",$B494)),"{years}",$D494),"{yearword}",IF($D494=1,"year","years")),"{company}",Setup!$C$4),IF(INDEX(Calc!$AT$6:$AT$505,Calc!$AW494),"Award ordered. Present it on the anniversary.","Order award by "&amp;TEXT(INDEX(Calc!$AU$6:$AU$505,Calc!$AW494),"mmm d, yyyy")&amp;IF(INDEX(Calc!$AU$6:$AU$505,Calc!$AW494)&lt;Setup!$C$5," (late, order today)",""))))</f>
        <v/>
      </c>
    </row>
    <row r="495" spans="1:6" x14ac:dyDescent="0.2">
      <c r="A495" s="20" t="str">
        <f ca="1">IF(Calc!$AW495="","",INT(Calc!$AV495))</f>
        <v/>
      </c>
      <c r="B495" s="21" t="str">
        <f ca="1">IF(Calc!$AW495="","",INDEX(Roster!$A$6:$A$505,Calc!$AW495)&amp;"")</f>
        <v/>
      </c>
      <c r="C495" s="21" t="str">
        <f ca="1">IF(Calc!$AW495="","",INDEX(Roster!$C$6:$C$505,Calc!$AW495)&amp;"")</f>
        <v/>
      </c>
      <c r="D495" s="19" t="str">
        <f ca="1">IF(Calc!$AW495="","",INDEX(Calc!$AP$6:$AP$505,Calc!$AW495))</f>
        <v/>
      </c>
      <c r="E495" s="21" t="str">
        <f ca="1">IF(Calc!$AW495="","",IF(INDEX(Calc!$AS$6:$AS$505,Calc!$AW495)="","Shout-out","Milestone"))</f>
        <v/>
      </c>
      <c r="F495" s="22" t="str">
        <f ca="1">IF(Calc!$AW495="","",IF($E495="Shout-out",SUBSTITUTE(SUBSTITUTE(SUBSTITUTE(SUBSTITUTE(Setup!$C$7&amp;"","{name}",IF($B495="","this employee",$B495)),"{years}",$D495),"{yearword}",IF($D495=1,"year","years")),"{company}",Setup!$C$4),IF(INDEX(Calc!$AT$6:$AT$505,Calc!$AW495),"Award ordered. Present it on the anniversary.","Order award by "&amp;TEXT(INDEX(Calc!$AU$6:$AU$505,Calc!$AW495),"mmm d, yyyy")&amp;IF(INDEX(Calc!$AU$6:$AU$505,Calc!$AW495)&lt;Setup!$C$5," (late, order today)",""))))</f>
        <v/>
      </c>
    </row>
    <row r="496" spans="1:6" x14ac:dyDescent="0.2">
      <c r="A496" s="20" t="str">
        <f ca="1">IF(Calc!$AW496="","",INT(Calc!$AV496))</f>
        <v/>
      </c>
      <c r="B496" s="21" t="str">
        <f ca="1">IF(Calc!$AW496="","",INDEX(Roster!$A$6:$A$505,Calc!$AW496)&amp;"")</f>
        <v/>
      </c>
      <c r="C496" s="21" t="str">
        <f ca="1">IF(Calc!$AW496="","",INDEX(Roster!$C$6:$C$505,Calc!$AW496)&amp;"")</f>
        <v/>
      </c>
      <c r="D496" s="19" t="str">
        <f ca="1">IF(Calc!$AW496="","",INDEX(Calc!$AP$6:$AP$505,Calc!$AW496))</f>
        <v/>
      </c>
      <c r="E496" s="21" t="str">
        <f ca="1">IF(Calc!$AW496="","",IF(INDEX(Calc!$AS$6:$AS$505,Calc!$AW496)="","Shout-out","Milestone"))</f>
        <v/>
      </c>
      <c r="F496" s="22" t="str">
        <f ca="1">IF(Calc!$AW496="","",IF($E496="Shout-out",SUBSTITUTE(SUBSTITUTE(SUBSTITUTE(SUBSTITUTE(Setup!$C$7&amp;"","{name}",IF($B496="","this employee",$B496)),"{years}",$D496),"{yearword}",IF($D496=1,"year","years")),"{company}",Setup!$C$4),IF(INDEX(Calc!$AT$6:$AT$505,Calc!$AW496),"Award ordered. Present it on the anniversary.","Order award by "&amp;TEXT(INDEX(Calc!$AU$6:$AU$505,Calc!$AW496),"mmm d, yyyy")&amp;IF(INDEX(Calc!$AU$6:$AU$505,Calc!$AW496)&lt;Setup!$C$5," (late, order today)",""))))</f>
        <v/>
      </c>
    </row>
    <row r="497" spans="1:6" x14ac:dyDescent="0.2">
      <c r="A497" s="20" t="str">
        <f ca="1">IF(Calc!$AW497="","",INT(Calc!$AV497))</f>
        <v/>
      </c>
      <c r="B497" s="21" t="str">
        <f ca="1">IF(Calc!$AW497="","",INDEX(Roster!$A$6:$A$505,Calc!$AW497)&amp;"")</f>
        <v/>
      </c>
      <c r="C497" s="21" t="str">
        <f ca="1">IF(Calc!$AW497="","",INDEX(Roster!$C$6:$C$505,Calc!$AW497)&amp;"")</f>
        <v/>
      </c>
      <c r="D497" s="19" t="str">
        <f ca="1">IF(Calc!$AW497="","",INDEX(Calc!$AP$6:$AP$505,Calc!$AW497))</f>
        <v/>
      </c>
      <c r="E497" s="21" t="str">
        <f ca="1">IF(Calc!$AW497="","",IF(INDEX(Calc!$AS$6:$AS$505,Calc!$AW497)="","Shout-out","Milestone"))</f>
        <v/>
      </c>
      <c r="F497" s="22" t="str">
        <f ca="1">IF(Calc!$AW497="","",IF($E497="Shout-out",SUBSTITUTE(SUBSTITUTE(SUBSTITUTE(SUBSTITUTE(Setup!$C$7&amp;"","{name}",IF($B497="","this employee",$B497)),"{years}",$D497),"{yearword}",IF($D497=1,"year","years")),"{company}",Setup!$C$4),IF(INDEX(Calc!$AT$6:$AT$505,Calc!$AW497),"Award ordered. Present it on the anniversary.","Order award by "&amp;TEXT(INDEX(Calc!$AU$6:$AU$505,Calc!$AW497),"mmm d, yyyy")&amp;IF(INDEX(Calc!$AU$6:$AU$505,Calc!$AW497)&lt;Setup!$C$5," (late, order today)",""))))</f>
        <v/>
      </c>
    </row>
    <row r="498" spans="1:6" x14ac:dyDescent="0.2">
      <c r="A498" s="20" t="str">
        <f ca="1">IF(Calc!$AW498="","",INT(Calc!$AV498))</f>
        <v/>
      </c>
      <c r="B498" s="21" t="str">
        <f ca="1">IF(Calc!$AW498="","",INDEX(Roster!$A$6:$A$505,Calc!$AW498)&amp;"")</f>
        <v/>
      </c>
      <c r="C498" s="21" t="str">
        <f ca="1">IF(Calc!$AW498="","",INDEX(Roster!$C$6:$C$505,Calc!$AW498)&amp;"")</f>
        <v/>
      </c>
      <c r="D498" s="19" t="str">
        <f ca="1">IF(Calc!$AW498="","",INDEX(Calc!$AP$6:$AP$505,Calc!$AW498))</f>
        <v/>
      </c>
      <c r="E498" s="21" t="str">
        <f ca="1">IF(Calc!$AW498="","",IF(INDEX(Calc!$AS$6:$AS$505,Calc!$AW498)="","Shout-out","Milestone"))</f>
        <v/>
      </c>
      <c r="F498" s="22" t="str">
        <f ca="1">IF(Calc!$AW498="","",IF($E498="Shout-out",SUBSTITUTE(SUBSTITUTE(SUBSTITUTE(SUBSTITUTE(Setup!$C$7&amp;"","{name}",IF($B498="","this employee",$B498)),"{years}",$D498),"{yearword}",IF($D498=1,"year","years")),"{company}",Setup!$C$4),IF(INDEX(Calc!$AT$6:$AT$505,Calc!$AW498),"Award ordered. Present it on the anniversary.","Order award by "&amp;TEXT(INDEX(Calc!$AU$6:$AU$505,Calc!$AW498),"mmm d, yyyy")&amp;IF(INDEX(Calc!$AU$6:$AU$505,Calc!$AW498)&lt;Setup!$C$5," (late, order today)",""))))</f>
        <v/>
      </c>
    </row>
    <row r="499" spans="1:6" x14ac:dyDescent="0.2">
      <c r="A499" s="20" t="str">
        <f ca="1">IF(Calc!$AW499="","",INT(Calc!$AV499))</f>
        <v/>
      </c>
      <c r="B499" s="21" t="str">
        <f ca="1">IF(Calc!$AW499="","",INDEX(Roster!$A$6:$A$505,Calc!$AW499)&amp;"")</f>
        <v/>
      </c>
      <c r="C499" s="21" t="str">
        <f ca="1">IF(Calc!$AW499="","",INDEX(Roster!$C$6:$C$505,Calc!$AW499)&amp;"")</f>
        <v/>
      </c>
      <c r="D499" s="19" t="str">
        <f ca="1">IF(Calc!$AW499="","",INDEX(Calc!$AP$6:$AP$505,Calc!$AW499))</f>
        <v/>
      </c>
      <c r="E499" s="21" t="str">
        <f ca="1">IF(Calc!$AW499="","",IF(INDEX(Calc!$AS$6:$AS$505,Calc!$AW499)="","Shout-out","Milestone"))</f>
        <v/>
      </c>
      <c r="F499" s="22" t="str">
        <f ca="1">IF(Calc!$AW499="","",IF($E499="Shout-out",SUBSTITUTE(SUBSTITUTE(SUBSTITUTE(SUBSTITUTE(Setup!$C$7&amp;"","{name}",IF($B499="","this employee",$B499)),"{years}",$D499),"{yearword}",IF($D499=1,"year","years")),"{company}",Setup!$C$4),IF(INDEX(Calc!$AT$6:$AT$505,Calc!$AW499),"Award ordered. Present it on the anniversary.","Order award by "&amp;TEXT(INDEX(Calc!$AU$6:$AU$505,Calc!$AW499),"mmm d, yyyy")&amp;IF(INDEX(Calc!$AU$6:$AU$505,Calc!$AW499)&lt;Setup!$C$5," (late, order today)",""))))</f>
        <v/>
      </c>
    </row>
    <row r="500" spans="1:6" x14ac:dyDescent="0.2">
      <c r="A500" s="20" t="str">
        <f ca="1">IF(Calc!$AW500="","",INT(Calc!$AV500))</f>
        <v/>
      </c>
      <c r="B500" s="21" t="str">
        <f ca="1">IF(Calc!$AW500="","",INDEX(Roster!$A$6:$A$505,Calc!$AW500)&amp;"")</f>
        <v/>
      </c>
      <c r="C500" s="21" t="str">
        <f ca="1">IF(Calc!$AW500="","",INDEX(Roster!$C$6:$C$505,Calc!$AW500)&amp;"")</f>
        <v/>
      </c>
      <c r="D500" s="19" t="str">
        <f ca="1">IF(Calc!$AW500="","",INDEX(Calc!$AP$6:$AP$505,Calc!$AW500))</f>
        <v/>
      </c>
      <c r="E500" s="21" t="str">
        <f ca="1">IF(Calc!$AW500="","",IF(INDEX(Calc!$AS$6:$AS$505,Calc!$AW500)="","Shout-out","Milestone"))</f>
        <v/>
      </c>
      <c r="F500" s="22" t="str">
        <f ca="1">IF(Calc!$AW500="","",IF($E500="Shout-out",SUBSTITUTE(SUBSTITUTE(SUBSTITUTE(SUBSTITUTE(Setup!$C$7&amp;"","{name}",IF($B500="","this employee",$B500)),"{years}",$D500),"{yearword}",IF($D500=1,"year","years")),"{company}",Setup!$C$4),IF(INDEX(Calc!$AT$6:$AT$505,Calc!$AW500),"Award ordered. Present it on the anniversary.","Order award by "&amp;TEXT(INDEX(Calc!$AU$6:$AU$505,Calc!$AW500),"mmm d, yyyy")&amp;IF(INDEX(Calc!$AU$6:$AU$505,Calc!$AW500)&lt;Setup!$C$5," (late, order today)",""))))</f>
        <v/>
      </c>
    </row>
    <row r="501" spans="1:6" x14ac:dyDescent="0.2">
      <c r="A501" s="20" t="str">
        <f ca="1">IF(Calc!$AW501="","",INT(Calc!$AV501))</f>
        <v/>
      </c>
      <c r="B501" s="21" t="str">
        <f ca="1">IF(Calc!$AW501="","",INDEX(Roster!$A$6:$A$505,Calc!$AW501)&amp;"")</f>
        <v/>
      </c>
      <c r="C501" s="21" t="str">
        <f ca="1">IF(Calc!$AW501="","",INDEX(Roster!$C$6:$C$505,Calc!$AW501)&amp;"")</f>
        <v/>
      </c>
      <c r="D501" s="19" t="str">
        <f ca="1">IF(Calc!$AW501="","",INDEX(Calc!$AP$6:$AP$505,Calc!$AW501))</f>
        <v/>
      </c>
      <c r="E501" s="21" t="str">
        <f ca="1">IF(Calc!$AW501="","",IF(INDEX(Calc!$AS$6:$AS$505,Calc!$AW501)="","Shout-out","Milestone"))</f>
        <v/>
      </c>
      <c r="F501" s="22" t="str">
        <f ca="1">IF(Calc!$AW501="","",IF($E501="Shout-out",SUBSTITUTE(SUBSTITUTE(SUBSTITUTE(SUBSTITUTE(Setup!$C$7&amp;"","{name}",IF($B501="","this employee",$B501)),"{years}",$D501),"{yearword}",IF($D501=1,"year","years")),"{company}",Setup!$C$4),IF(INDEX(Calc!$AT$6:$AT$505,Calc!$AW501),"Award ordered. Present it on the anniversary.","Order award by "&amp;TEXT(INDEX(Calc!$AU$6:$AU$505,Calc!$AW501),"mmm d, yyyy")&amp;IF(INDEX(Calc!$AU$6:$AU$505,Calc!$AW501)&lt;Setup!$C$5," (late, order today)",""))))</f>
        <v/>
      </c>
    </row>
    <row r="502" spans="1:6" x14ac:dyDescent="0.2">
      <c r="A502" s="20" t="str">
        <f ca="1">IF(Calc!$AW502="","",INT(Calc!$AV502))</f>
        <v/>
      </c>
      <c r="B502" s="21" t="str">
        <f ca="1">IF(Calc!$AW502="","",INDEX(Roster!$A$6:$A$505,Calc!$AW502)&amp;"")</f>
        <v/>
      </c>
      <c r="C502" s="21" t="str">
        <f ca="1">IF(Calc!$AW502="","",INDEX(Roster!$C$6:$C$505,Calc!$AW502)&amp;"")</f>
        <v/>
      </c>
      <c r="D502" s="19" t="str">
        <f ca="1">IF(Calc!$AW502="","",INDEX(Calc!$AP$6:$AP$505,Calc!$AW502))</f>
        <v/>
      </c>
      <c r="E502" s="21" t="str">
        <f ca="1">IF(Calc!$AW502="","",IF(INDEX(Calc!$AS$6:$AS$505,Calc!$AW502)="","Shout-out","Milestone"))</f>
        <v/>
      </c>
      <c r="F502" s="22" t="str">
        <f ca="1">IF(Calc!$AW502="","",IF($E502="Shout-out",SUBSTITUTE(SUBSTITUTE(SUBSTITUTE(SUBSTITUTE(Setup!$C$7&amp;"","{name}",IF($B502="","this employee",$B502)),"{years}",$D502),"{yearword}",IF($D502=1,"year","years")),"{company}",Setup!$C$4),IF(INDEX(Calc!$AT$6:$AT$505,Calc!$AW502),"Award ordered. Present it on the anniversary.","Order award by "&amp;TEXT(INDEX(Calc!$AU$6:$AU$505,Calc!$AW502),"mmm d, yyyy")&amp;IF(INDEX(Calc!$AU$6:$AU$505,Calc!$AW502)&lt;Setup!$C$5," (late, order today)",""))))</f>
        <v/>
      </c>
    </row>
    <row r="503" spans="1:6" x14ac:dyDescent="0.2">
      <c r="A503" s="20" t="str">
        <f ca="1">IF(Calc!$AW503="","",INT(Calc!$AV503))</f>
        <v/>
      </c>
      <c r="B503" s="21" t="str">
        <f ca="1">IF(Calc!$AW503="","",INDEX(Roster!$A$6:$A$505,Calc!$AW503)&amp;"")</f>
        <v/>
      </c>
      <c r="C503" s="21" t="str">
        <f ca="1">IF(Calc!$AW503="","",INDEX(Roster!$C$6:$C$505,Calc!$AW503)&amp;"")</f>
        <v/>
      </c>
      <c r="D503" s="19" t="str">
        <f ca="1">IF(Calc!$AW503="","",INDEX(Calc!$AP$6:$AP$505,Calc!$AW503))</f>
        <v/>
      </c>
      <c r="E503" s="21" t="str">
        <f ca="1">IF(Calc!$AW503="","",IF(INDEX(Calc!$AS$6:$AS$505,Calc!$AW503)="","Shout-out","Milestone"))</f>
        <v/>
      </c>
      <c r="F503" s="22" t="str">
        <f ca="1">IF(Calc!$AW503="","",IF($E503="Shout-out",SUBSTITUTE(SUBSTITUTE(SUBSTITUTE(SUBSTITUTE(Setup!$C$7&amp;"","{name}",IF($B503="","this employee",$B503)),"{years}",$D503),"{yearword}",IF($D503=1,"year","years")),"{company}",Setup!$C$4),IF(INDEX(Calc!$AT$6:$AT$505,Calc!$AW503),"Award ordered. Present it on the anniversary.","Order award by "&amp;TEXT(INDEX(Calc!$AU$6:$AU$505,Calc!$AW503),"mmm d, yyyy")&amp;IF(INDEX(Calc!$AU$6:$AU$505,Calc!$AW503)&lt;Setup!$C$5," (late, order today)",""))))</f>
        <v/>
      </c>
    </row>
    <row r="504" spans="1:6" x14ac:dyDescent="0.2">
      <c r="A504" s="20" t="str">
        <f ca="1">IF(Calc!$AW504="","",INT(Calc!$AV504))</f>
        <v/>
      </c>
      <c r="B504" s="21" t="str">
        <f ca="1">IF(Calc!$AW504="","",INDEX(Roster!$A$6:$A$505,Calc!$AW504)&amp;"")</f>
        <v/>
      </c>
      <c r="C504" s="21" t="str">
        <f ca="1">IF(Calc!$AW504="","",INDEX(Roster!$C$6:$C$505,Calc!$AW504)&amp;"")</f>
        <v/>
      </c>
      <c r="D504" s="19" t="str">
        <f ca="1">IF(Calc!$AW504="","",INDEX(Calc!$AP$6:$AP$505,Calc!$AW504))</f>
        <v/>
      </c>
      <c r="E504" s="21" t="str">
        <f ca="1">IF(Calc!$AW504="","",IF(INDEX(Calc!$AS$6:$AS$505,Calc!$AW504)="","Shout-out","Milestone"))</f>
        <v/>
      </c>
      <c r="F504" s="22" t="str">
        <f ca="1">IF(Calc!$AW504="","",IF($E504="Shout-out",SUBSTITUTE(SUBSTITUTE(SUBSTITUTE(SUBSTITUTE(Setup!$C$7&amp;"","{name}",IF($B504="","this employee",$B504)),"{years}",$D504),"{yearword}",IF($D504=1,"year","years")),"{company}",Setup!$C$4),IF(INDEX(Calc!$AT$6:$AT$505,Calc!$AW504),"Award ordered. Present it on the anniversary.","Order award by "&amp;TEXT(INDEX(Calc!$AU$6:$AU$505,Calc!$AW504),"mmm d, yyyy")&amp;IF(INDEX(Calc!$AU$6:$AU$505,Calc!$AW504)&lt;Setup!$C$5," (late, order today)",""))))</f>
        <v/>
      </c>
    </row>
    <row r="505" spans="1:6" x14ac:dyDescent="0.2">
      <c r="A505" s="20" t="str">
        <f ca="1">IF(Calc!$AW505="","",INT(Calc!$AV505))</f>
        <v/>
      </c>
      <c r="B505" s="21" t="str">
        <f ca="1">IF(Calc!$AW505="","",INDEX(Roster!$A$6:$A$505,Calc!$AW505)&amp;"")</f>
        <v/>
      </c>
      <c r="C505" s="21" t="str">
        <f ca="1">IF(Calc!$AW505="","",INDEX(Roster!$C$6:$C$505,Calc!$AW505)&amp;"")</f>
        <v/>
      </c>
      <c r="D505" s="19" t="str">
        <f ca="1">IF(Calc!$AW505="","",INDEX(Calc!$AP$6:$AP$505,Calc!$AW505))</f>
        <v/>
      </c>
      <c r="E505" s="21" t="str">
        <f ca="1">IF(Calc!$AW505="","",IF(INDEX(Calc!$AS$6:$AS$505,Calc!$AW505)="","Shout-out","Milestone"))</f>
        <v/>
      </c>
      <c r="F505" s="22" t="str">
        <f ca="1">IF(Calc!$AW505="","",IF($E505="Shout-out",SUBSTITUTE(SUBSTITUTE(SUBSTITUTE(SUBSTITUTE(Setup!$C$7&amp;"","{name}",IF($B505="","this employee",$B505)),"{years}",$D505),"{yearword}",IF($D505=1,"year","years")),"{company}",Setup!$C$4),IF(INDEX(Calc!$AT$6:$AT$505,Calc!$AW505),"Award ordered. Present it on the anniversary.","Order award by "&amp;TEXT(INDEX(Calc!$AU$6:$AU$505,Calc!$AW505),"mmm d, yyyy")&amp;IF(INDEX(Calc!$AU$6:$AU$505,Calc!$AW505)&lt;Setup!$C$5," (late, order today)",""))))</f>
        <v/>
      </c>
    </row>
  </sheetData>
  <conditionalFormatting sqref="F6:F505">
    <cfRule type="expression" dxfId="1" priority="1">
      <formula>ISNUMBER(SEARCH("(late",F6))</formula>
    </cfRule>
  </conditionalFormatting>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2D54"/>
    <pageSetUpPr fitToPage="1"/>
  </sheetPr>
  <dimension ref="A1:P305"/>
  <sheetViews>
    <sheetView showGridLines="0" workbookViewId="0">
      <pane xSplit="2" ySplit="5" topLeftCell="C6" activePane="bottomRight" state="frozen"/>
      <selection pane="topRight"/>
      <selection pane="bottomLeft"/>
      <selection pane="bottomRight"/>
    </sheetView>
  </sheetViews>
  <sheetFormatPr baseColWidth="10" defaultColWidth="8.83203125" defaultRowHeight="15" x14ac:dyDescent="0.2"/>
  <cols>
    <col min="1" max="1" width="8" customWidth="1"/>
    <col min="2" max="2" width="14" customWidth="1"/>
    <col min="3" max="3" width="42" customWidth="1"/>
    <col min="4" max="4" width="15" customWidth="1"/>
    <col min="5" max="5" width="24" customWidth="1"/>
    <col min="6" max="6" width="18" customWidth="1"/>
    <col min="7" max="7" width="10" customWidth="1"/>
    <col min="8" max="8" width="14" customWidth="1"/>
    <col min="9" max="9" width="13" customWidth="1"/>
    <col min="10" max="10" width="26" customWidth="1"/>
    <col min="11" max="11" width="10" customWidth="1"/>
    <col min="12" max="12" width="24" customWidth="1"/>
    <col min="13" max="13" width="34" customWidth="1"/>
    <col min="14" max="14" width="22" customWidth="1"/>
    <col min="15" max="15" width="18" customWidth="1"/>
    <col min="16" max="16" width="70" customWidth="1"/>
  </cols>
  <sheetData>
    <row r="1" spans="1:16" ht="26" customHeight="1" x14ac:dyDescent="0.2">
      <c r="A1" s="1" t="s">
        <v>141</v>
      </c>
      <c r="B1" s="1"/>
    </row>
    <row r="2" spans="1:16" x14ac:dyDescent="0.2">
      <c r="A2" s="10" t="s">
        <v>142</v>
      </c>
      <c r="B2" s="2"/>
      <c r="C2" s="3"/>
      <c r="D2" s="3"/>
      <c r="E2" s="3"/>
      <c r="F2" s="3"/>
      <c r="G2" s="3"/>
      <c r="H2" s="3"/>
      <c r="I2" s="3"/>
      <c r="J2" s="3"/>
    </row>
    <row r="3" spans="1:16" x14ac:dyDescent="0.2">
      <c r="A3" s="18" t="str">
        <f ca="1">IF(Calc!$AK$2=0,IF(COUNT(Roster!$B$6:$B$505)=0,"Nothing to order yet. Add people on the Roster tab.","Nothing to order in the next 12 months."),IF(Calc!$AK$2&gt;300,"Showing the first 300 of "&amp;Calc!$AK$2&amp;" orders. Your roster has outgrown this sheet.",Calc!$AK$2&amp;IF(Calc!$AK$2=1," award"," awards")&amp;" to order."))</f>
        <v>11 awards to order.</v>
      </c>
    </row>
    <row r="5" spans="1:16" ht="30" customHeight="1" x14ac:dyDescent="0.2">
      <c r="A5" s="15" t="s">
        <v>143</v>
      </c>
      <c r="B5" s="15" t="s">
        <v>117</v>
      </c>
      <c r="C5" s="15" t="s">
        <v>118</v>
      </c>
      <c r="D5" s="15" t="s">
        <v>144</v>
      </c>
      <c r="E5" s="15" t="s">
        <v>136</v>
      </c>
      <c r="F5" s="15" t="s">
        <v>137</v>
      </c>
      <c r="G5" s="15" t="s">
        <v>145</v>
      </c>
      <c r="H5" s="15" t="s">
        <v>116</v>
      </c>
      <c r="I5" s="15" t="s">
        <v>68</v>
      </c>
      <c r="J5" s="15" t="s">
        <v>69</v>
      </c>
      <c r="K5" s="15" t="s">
        <v>146</v>
      </c>
      <c r="L5" s="15" t="s">
        <v>72</v>
      </c>
      <c r="M5" s="15" t="s">
        <v>73</v>
      </c>
      <c r="N5" s="15" t="s">
        <v>74</v>
      </c>
      <c r="O5" s="15" t="s">
        <v>75</v>
      </c>
      <c r="P5" s="15" t="s">
        <v>147</v>
      </c>
    </row>
    <row r="6" spans="1:16" x14ac:dyDescent="0.2">
      <c r="A6" s="19">
        <f ca="1">IF(Calc!$AM6="","",ROW()-5)</f>
        <v>1</v>
      </c>
      <c r="B6" s="20">
        <f ca="1">IF(Calc!$AM6="","",INT(Calc!$AK6))</f>
        <v>46294</v>
      </c>
      <c r="C6" s="21" t="str">
        <f ca="1">IF(Calc!$AM6="","",IF($H6&lt;Setup!$C$5,"PAST DUE: milestone date has passed",IF($B6&lt;Setup!$C$5,"LATE: order today, ask about rush",IF($B6&lt;Setup!$C$5+14,"Order within 2 weeks","Scheduled"))))</f>
        <v>PAST DUE: milestone date has passed</v>
      </c>
      <c r="D6" s="21" t="str">
        <f ca="1">IF(Calc!$AM6="","",TEXT($B6,"mmmm yyyy"))</f>
        <v>September 2026</v>
      </c>
      <c r="E6" s="21" t="str">
        <f ca="1">IF(Calc!$AM6="","",INDEX(Roster!$A$6:$A$505,Calc!$AM6)&amp;"")</f>
        <v>Sample Person 10</v>
      </c>
      <c r="F6" s="21" t="str">
        <f ca="1">IF(Calc!$AM6="","",INDEX(Roster!$C$6:$C$505,Calc!$AM6)&amp;"")</f>
        <v>Sample Office A</v>
      </c>
      <c r="G6" s="19">
        <f ca="1">IF(Calc!$AM6="","",INDEX(Setup!$C$20:$C$34,Calc!$AN6))</f>
        <v>5</v>
      </c>
      <c r="H6" s="20">
        <f ca="1">IF(Calc!$AM6="","",INDEX(Calc!$B$6:$P$505,Calc!$AM6,Calc!$AN6))</f>
        <v>46315</v>
      </c>
      <c r="I6" s="21" t="str">
        <f ca="1">IF(Calc!$AM6="","",INDEX(Setup!$D$20:$D$34,Calc!$AN6)&amp;"")</f>
        <v>AWDV428-05</v>
      </c>
      <c r="J6" s="21" t="str">
        <f ca="1">IF(Calc!$AM6="","",INDEX(Setup!$E$20:$E$34,Calc!$AN6)&amp;"")</f>
        <v>Astoria VividPrint™ Award</v>
      </c>
      <c r="K6" s="23">
        <f ca="1">IF(Calc!$AM6="","",INDEX(Setup!$F$20:$F$34,Calc!$AN6))</f>
        <v>40.5</v>
      </c>
      <c r="L6" s="21" t="str">
        <f ca="1">IF(Calc!$AM6="","",SUBSTITUTE(SUBSTITUTE(SUBSTITUTE(SUBSTITUTE(INDEX(Setup!$H$20:$H$34,Calc!$AN6)&amp;"","{name}",$E6),"{years}",$G6),"{date}",TEXT($H6,"mmmm d, yyyy")),"{company}",Setup!$C$4))</f>
        <v>Your Company Name</v>
      </c>
      <c r="M6" s="21" t="str">
        <f ca="1">IF(Calc!$AM6="","",SUBSTITUTE(SUBSTITUTE(SUBSTITUTE(SUBSTITUTE(INDEX(Setup!$I$20:$I$34,Calc!$AN6)&amp;"","{name}",$E6),"{years}",$G6),"{date}",TEXT($H6,"mmmm d, yyyy")),"{company}",Setup!$C$4))</f>
        <v>In Recognition of 5 Years of Service</v>
      </c>
      <c r="N6" s="21" t="str">
        <f ca="1">IF(Calc!$AM6="","",SUBSTITUTE(SUBSTITUTE(SUBSTITUTE(SUBSTITUTE(INDEX(Setup!$J$20:$J$34,Calc!$AN6)&amp;"","{name}",$E6),"{years}",$G6),"{date}",TEXT($H6,"mmmm d, yyyy")),"{company}",Setup!$C$4))</f>
        <v>Sample Person 10</v>
      </c>
      <c r="O6" s="21" t="str">
        <f ca="1">IF(Calc!$AM6="","",SUBSTITUTE(SUBSTITUTE(SUBSTITUTE(SUBSTITUTE(INDEX(Setup!$K$20:$K$34,Calc!$AN6)&amp;"","{name}",$E6),"{years}",$G6),"{date}",TEXT($H6,"mmmm d, yyyy")),"{company}",Setup!$C$4))</f>
        <v>October 20, 2026</v>
      </c>
      <c r="P6" s="21" t="str">
        <f ca="1">IF(Calc!$AM6="","",SUBSTITUTE(SUBSTITUTE(TRIM(SUBSTITUTE($L6," ","~")&amp;" "&amp;SUBSTITUTE($M6," ","~")&amp;" "&amp;SUBSTITUTE($N6," ","~")&amp;" "&amp;SUBSTITUTE($O6," ","~"))," "," | "),"~"," "))</f>
        <v>Your Company Name | In Recognition of 5 Years of Service | Sample Person 10 | October 20, 2026</v>
      </c>
    </row>
    <row r="7" spans="1:16" x14ac:dyDescent="0.2">
      <c r="A7" s="19">
        <f ca="1">IF(Calc!$AM7="","",ROW()-5)</f>
        <v>2</v>
      </c>
      <c r="B7" s="20">
        <f ca="1">IF(Calc!$AM7="","",INT(Calc!$AK7))</f>
        <v>46311</v>
      </c>
      <c r="C7" s="21" t="str">
        <f ca="1">IF(Calc!$AM7="","",IF($H7&lt;Setup!$C$5,"PAST DUE: milestone date has passed",IF($B7&lt;Setup!$C$5,"LATE: order today, ask about rush",IF($B7&lt;Setup!$C$5+14,"Order within 2 weeks","Scheduled"))))</f>
        <v>LATE: order today, ask about rush</v>
      </c>
      <c r="D7" s="21" t="str">
        <f ca="1">IF(Calc!$AM7="","",TEXT($B7,"mmmm yyyy"))</f>
        <v>October 2026</v>
      </c>
      <c r="E7" s="21" t="str">
        <f ca="1">IF(Calc!$AM7="","",INDEX(Roster!$A$6:$A$505,Calc!$AM7)&amp;"")</f>
        <v>Sample Person 01</v>
      </c>
      <c r="F7" s="21" t="str">
        <f ca="1">IF(Calc!$AM7="","",INDEX(Roster!$C$6:$C$505,Calc!$AM7)&amp;"")</f>
        <v>Sample Office A</v>
      </c>
      <c r="G7" s="19">
        <f ca="1">IF(Calc!$AM7="","",INDEX(Setup!$C$20:$C$34,Calc!$AN7))</f>
        <v>1</v>
      </c>
      <c r="H7" s="20">
        <f ca="1">IF(Calc!$AM7="","",INDEX(Calc!$B$6:$P$505,Calc!$AM7,Calc!$AN7))</f>
        <v>46346</v>
      </c>
      <c r="I7" s="21" t="str">
        <f ca="1">IF(Calc!$AM7="","",INDEX(Setup!$D$20:$D$34,Calc!$AN7)&amp;"")</f>
        <v>AWDV428-01</v>
      </c>
      <c r="J7" s="21" t="str">
        <f ca="1">IF(Calc!$AM7="","",INDEX(Setup!$E$20:$E$34,Calc!$AN7)&amp;"")</f>
        <v>Astoria VividPrint™ Award</v>
      </c>
      <c r="K7" s="23">
        <f ca="1">IF(Calc!$AM7="","",INDEX(Setup!$F$20:$F$34,Calc!$AN7))</f>
        <v>37.5</v>
      </c>
      <c r="L7" s="21" t="str">
        <f ca="1">IF(Calc!$AM7="","",SUBSTITUTE(SUBSTITUTE(SUBSTITUTE(SUBSTITUTE(INDEX(Setup!$H$20:$H$34,Calc!$AN7)&amp;"","{name}",$E7),"{years}",$G7),"{date}",TEXT($H7,"mmmm d, yyyy")),"{company}",Setup!$C$4))</f>
        <v>Your Company Name</v>
      </c>
      <c r="M7" s="21" t="str">
        <f ca="1">IF(Calc!$AM7="","",SUBSTITUTE(SUBSTITUTE(SUBSTITUTE(SUBSTITUTE(INDEX(Setup!$I$20:$I$34,Calc!$AN7)&amp;"","{name}",$E7),"{years}",$G7),"{date}",TEXT($H7,"mmmm d, yyyy")),"{company}",Setup!$C$4))</f>
        <v>In Recognition of 1 Year of Service</v>
      </c>
      <c r="N7" s="21" t="str">
        <f ca="1">IF(Calc!$AM7="","",SUBSTITUTE(SUBSTITUTE(SUBSTITUTE(SUBSTITUTE(INDEX(Setup!$J$20:$J$34,Calc!$AN7)&amp;"","{name}",$E7),"{years}",$G7),"{date}",TEXT($H7,"mmmm d, yyyy")),"{company}",Setup!$C$4))</f>
        <v>Sample Person 01</v>
      </c>
      <c r="O7" s="21" t="str">
        <f ca="1">IF(Calc!$AM7="","",SUBSTITUTE(SUBSTITUTE(SUBSTITUTE(SUBSTITUTE(INDEX(Setup!$K$20:$K$34,Calc!$AN7)&amp;"","{name}",$E7),"{years}",$G7),"{date}",TEXT($H7,"mmmm d, yyyy")),"{company}",Setup!$C$4))</f>
        <v>November 20, 2026</v>
      </c>
      <c r="P7" s="21" t="str">
        <f ca="1">IF(Calc!$AM7="","",SUBSTITUTE(SUBSTITUTE(TRIM(SUBSTITUTE($L7," ","~")&amp;" "&amp;SUBSTITUTE($M7," ","~")&amp;" "&amp;SUBSTITUTE($N7," ","~")&amp;" "&amp;SUBSTITUTE($O7," ","~"))," "," | "),"~"," "))</f>
        <v>Your Company Name | In Recognition of 1 Year of Service | Sample Person 01 | November 20, 2026</v>
      </c>
    </row>
    <row r="8" spans="1:16" x14ac:dyDescent="0.2">
      <c r="A8" s="19">
        <f ca="1">IF(Calc!$AM8="","",ROW()-5)</f>
        <v>3</v>
      </c>
      <c r="B8" s="20">
        <f ca="1">IF(Calc!$AM8="","",INT(Calc!$AK8))</f>
        <v>46335</v>
      </c>
      <c r="C8" s="21" t="str">
        <f ca="1">IF(Calc!$AM8="","",IF($H8&lt;Setup!$C$5,"PAST DUE: milestone date has passed",IF($B8&lt;Setup!$C$5,"LATE: order today, ask about rush",IF($B8&lt;Setup!$C$5+14,"Order within 2 weeks","Scheduled"))))</f>
        <v>Order within 2 weeks</v>
      </c>
      <c r="D8" s="21" t="str">
        <f ca="1">IF(Calc!$AM8="","",TEXT($B8,"mmmm yyyy"))</f>
        <v>November 2026</v>
      </c>
      <c r="E8" s="21" t="str">
        <f ca="1">IF(Calc!$AM8="","",INDEX(Roster!$A$6:$A$505,Calc!$AM8)&amp;"")</f>
        <v>Sample Person 02</v>
      </c>
      <c r="F8" s="21" t="str">
        <f ca="1">IF(Calc!$AM8="","",INDEX(Roster!$C$6:$C$505,Calc!$AM8)&amp;"")</f>
        <v>Sample Office A</v>
      </c>
      <c r="G8" s="19">
        <f ca="1">IF(Calc!$AM8="","",INDEX(Setup!$C$20:$C$34,Calc!$AN8))</f>
        <v>3</v>
      </c>
      <c r="H8" s="20">
        <f ca="1">IF(Calc!$AM8="","",INDEX(Calc!$B$6:$P$505,Calc!$AM8,Calc!$AN8))</f>
        <v>46371</v>
      </c>
      <c r="I8" s="21" t="str">
        <f ca="1">IF(Calc!$AM8="","",INDEX(Setup!$D$20:$D$34,Calc!$AN8)&amp;"")</f>
        <v>AWDV428-03</v>
      </c>
      <c r="J8" s="21" t="str">
        <f ca="1">IF(Calc!$AM8="","",INDEX(Setup!$E$20:$E$34,Calc!$AN8)&amp;"")</f>
        <v>Astoria VividPrint™ Award</v>
      </c>
      <c r="K8" s="23">
        <f ca="1">IF(Calc!$AM8="","",INDEX(Setup!$F$20:$F$34,Calc!$AN8))</f>
        <v>40.5</v>
      </c>
      <c r="L8" s="21" t="str">
        <f ca="1">IF(Calc!$AM8="","",SUBSTITUTE(SUBSTITUTE(SUBSTITUTE(SUBSTITUTE(INDEX(Setup!$H$20:$H$34,Calc!$AN8)&amp;"","{name}",$E8),"{years}",$G8),"{date}",TEXT($H8,"mmmm d, yyyy")),"{company}",Setup!$C$4))</f>
        <v>Your Company Name</v>
      </c>
      <c r="M8" s="21" t="str">
        <f ca="1">IF(Calc!$AM8="","",SUBSTITUTE(SUBSTITUTE(SUBSTITUTE(SUBSTITUTE(INDEX(Setup!$I$20:$I$34,Calc!$AN8)&amp;"","{name}",$E8),"{years}",$G8),"{date}",TEXT($H8,"mmmm d, yyyy")),"{company}",Setup!$C$4))</f>
        <v>In Recognition of 3 Years of Service</v>
      </c>
      <c r="N8" s="21" t="str">
        <f ca="1">IF(Calc!$AM8="","",SUBSTITUTE(SUBSTITUTE(SUBSTITUTE(SUBSTITUTE(INDEX(Setup!$J$20:$J$34,Calc!$AN8)&amp;"","{name}",$E8),"{years}",$G8),"{date}",TEXT($H8,"mmmm d, yyyy")),"{company}",Setup!$C$4))</f>
        <v>Sample Person 02</v>
      </c>
      <c r="O8" s="21" t="str">
        <f ca="1">IF(Calc!$AM8="","",SUBSTITUTE(SUBSTITUTE(SUBSTITUTE(SUBSTITUTE(INDEX(Setup!$K$20:$K$34,Calc!$AN8)&amp;"","{name}",$E8),"{years}",$G8),"{date}",TEXT($H8,"mmmm d, yyyy")),"{company}",Setup!$C$4))</f>
        <v>December 15, 2026</v>
      </c>
      <c r="P8" s="21" t="str">
        <f ca="1">IF(Calc!$AM8="","",SUBSTITUTE(SUBSTITUTE(TRIM(SUBSTITUTE($L8," ","~")&amp;" "&amp;SUBSTITUTE($M8," ","~")&amp;" "&amp;SUBSTITUTE($N8," ","~")&amp;" "&amp;SUBSTITUTE($O8," ","~"))," "," | "),"~"," "))</f>
        <v>Your Company Name | In Recognition of 3 Years of Service | Sample Person 02 | December 15, 2026</v>
      </c>
    </row>
    <row r="9" spans="1:16" x14ac:dyDescent="0.2">
      <c r="A9" s="19">
        <f ca="1">IF(Calc!$AM9="","",ROW()-5)</f>
        <v>4</v>
      </c>
      <c r="B9" s="20">
        <f ca="1">IF(Calc!$AM9="","",INT(Calc!$AK9))</f>
        <v>46360</v>
      </c>
      <c r="C9" s="21" t="str">
        <f ca="1">IF(Calc!$AM9="","",IF($H9&lt;Setup!$C$5,"PAST DUE: milestone date has passed",IF($B9&lt;Setup!$C$5,"LATE: order today, ask about rush",IF($B9&lt;Setup!$C$5+14,"Order within 2 weeks","Scheduled"))))</f>
        <v>Scheduled</v>
      </c>
      <c r="D9" s="21" t="str">
        <f ca="1">IF(Calc!$AM9="","",TEXT($B9,"mmmm yyyy"))</f>
        <v>December 2026</v>
      </c>
      <c r="E9" s="21" t="str">
        <f ca="1">IF(Calc!$AM9="","",INDEX(Roster!$A$6:$A$505,Calc!$AM9)&amp;"")</f>
        <v>Sample Person 12</v>
      </c>
      <c r="F9" s="21" t="str">
        <f ca="1">IF(Calc!$AM9="","",INDEX(Roster!$C$6:$C$505,Calc!$AM9)&amp;"")</f>
        <v>Sample Office C</v>
      </c>
      <c r="G9" s="19">
        <f ca="1">IF(Calc!$AM9="","",INDEX(Setup!$C$20:$C$34,Calc!$AN9))</f>
        <v>1</v>
      </c>
      <c r="H9" s="20">
        <f ca="1">IF(Calc!$AM9="","",INDEX(Calc!$B$6:$P$505,Calc!$AM9,Calc!$AN9))</f>
        <v>46399</v>
      </c>
      <c r="I9" s="21" t="str">
        <f ca="1">IF(Calc!$AM9="","",INDEX(Setup!$D$20:$D$34,Calc!$AN9)&amp;"")</f>
        <v>AWDV428-01</v>
      </c>
      <c r="J9" s="21" t="str">
        <f ca="1">IF(Calc!$AM9="","",INDEX(Setup!$E$20:$E$34,Calc!$AN9)&amp;"")</f>
        <v>Astoria VividPrint™ Award</v>
      </c>
      <c r="K9" s="23">
        <f ca="1">IF(Calc!$AM9="","",INDEX(Setup!$F$20:$F$34,Calc!$AN9))</f>
        <v>37.5</v>
      </c>
      <c r="L9" s="21" t="str">
        <f ca="1">IF(Calc!$AM9="","",SUBSTITUTE(SUBSTITUTE(SUBSTITUTE(SUBSTITUTE(INDEX(Setup!$H$20:$H$34,Calc!$AN9)&amp;"","{name}",$E9),"{years}",$G9),"{date}",TEXT($H9,"mmmm d, yyyy")),"{company}",Setup!$C$4))</f>
        <v>Your Company Name</v>
      </c>
      <c r="M9" s="21" t="str">
        <f ca="1">IF(Calc!$AM9="","",SUBSTITUTE(SUBSTITUTE(SUBSTITUTE(SUBSTITUTE(INDEX(Setup!$I$20:$I$34,Calc!$AN9)&amp;"","{name}",$E9),"{years}",$G9),"{date}",TEXT($H9,"mmmm d, yyyy")),"{company}",Setup!$C$4))</f>
        <v>In Recognition of 1 Year of Service</v>
      </c>
      <c r="N9" s="21" t="str">
        <f ca="1">IF(Calc!$AM9="","",SUBSTITUTE(SUBSTITUTE(SUBSTITUTE(SUBSTITUTE(INDEX(Setup!$J$20:$J$34,Calc!$AN9)&amp;"","{name}",$E9),"{years}",$G9),"{date}",TEXT($H9,"mmmm d, yyyy")),"{company}",Setup!$C$4))</f>
        <v>Sample Person 12</v>
      </c>
      <c r="O9" s="21" t="str">
        <f ca="1">IF(Calc!$AM9="","",SUBSTITUTE(SUBSTITUTE(SUBSTITUTE(SUBSTITUTE(INDEX(Setup!$K$20:$K$34,Calc!$AN9)&amp;"","{name}",$E9),"{years}",$G9),"{date}",TEXT($H9,"mmmm d, yyyy")),"{company}",Setup!$C$4))</f>
        <v>January 12, 2027</v>
      </c>
      <c r="P9" s="21" t="str">
        <f ca="1">IF(Calc!$AM9="","",SUBSTITUTE(SUBSTITUTE(TRIM(SUBSTITUTE($L9," ","~")&amp;" "&amp;SUBSTITUTE($M9," ","~")&amp;" "&amp;SUBSTITUTE($N9," ","~")&amp;" "&amp;SUBSTITUTE($O9," ","~"))," "," | "),"~"," "))</f>
        <v>Your Company Name | In Recognition of 1 Year of Service | Sample Person 12 | January 12, 2027</v>
      </c>
    </row>
    <row r="10" spans="1:16" x14ac:dyDescent="0.2">
      <c r="A10" s="19">
        <f ca="1">IF(Calc!$AM10="","",ROW()-5)</f>
        <v>5</v>
      </c>
      <c r="B10" s="20">
        <f ca="1">IF(Calc!$AM10="","",INT(Calc!$AK10))</f>
        <v>46366</v>
      </c>
      <c r="C10" s="21" t="str">
        <f ca="1">IF(Calc!$AM10="","",IF($H10&lt;Setup!$C$5,"PAST DUE: milestone date has passed",IF($B10&lt;Setup!$C$5,"LATE: order today, ask about rush",IF($B10&lt;Setup!$C$5+14,"Order within 2 weeks","Scheduled"))))</f>
        <v>Scheduled</v>
      </c>
      <c r="D10" s="21" t="str">
        <f ca="1">IF(Calc!$AM10="","",TEXT($B10,"mmmm yyyy"))</f>
        <v>December 2026</v>
      </c>
      <c r="E10" s="21" t="str">
        <f ca="1">IF(Calc!$AM10="","",INDEX(Roster!$A$6:$A$505,Calc!$AM10)&amp;"")</f>
        <v>Sample Person 03</v>
      </c>
      <c r="F10" s="21" t="str">
        <f ca="1">IF(Calc!$AM10="","",INDEX(Roster!$C$6:$C$505,Calc!$AM10)&amp;"")</f>
        <v>Sample Office B</v>
      </c>
      <c r="G10" s="19">
        <f ca="1">IF(Calc!$AM10="","",INDEX(Setup!$C$20:$C$34,Calc!$AN10))</f>
        <v>5</v>
      </c>
      <c r="H10" s="20">
        <f ca="1">IF(Calc!$AM10="","",INDEX(Calc!$B$6:$P$505,Calc!$AM10,Calc!$AN10))</f>
        <v>46405</v>
      </c>
      <c r="I10" s="21" t="str">
        <f ca="1">IF(Calc!$AM10="","",INDEX(Setup!$D$20:$D$34,Calc!$AN10)&amp;"")</f>
        <v>AWDV428-05</v>
      </c>
      <c r="J10" s="21" t="str">
        <f ca="1">IF(Calc!$AM10="","",INDEX(Setup!$E$20:$E$34,Calc!$AN10)&amp;"")</f>
        <v>Astoria VividPrint™ Award</v>
      </c>
      <c r="K10" s="23">
        <f ca="1">IF(Calc!$AM10="","",INDEX(Setup!$F$20:$F$34,Calc!$AN10))</f>
        <v>40.5</v>
      </c>
      <c r="L10" s="21" t="str">
        <f ca="1">IF(Calc!$AM10="","",SUBSTITUTE(SUBSTITUTE(SUBSTITUTE(SUBSTITUTE(INDEX(Setup!$H$20:$H$34,Calc!$AN10)&amp;"","{name}",$E10),"{years}",$G10),"{date}",TEXT($H10,"mmmm d, yyyy")),"{company}",Setup!$C$4))</f>
        <v>Your Company Name</v>
      </c>
      <c r="M10" s="21" t="str">
        <f ca="1">IF(Calc!$AM10="","",SUBSTITUTE(SUBSTITUTE(SUBSTITUTE(SUBSTITUTE(INDEX(Setup!$I$20:$I$34,Calc!$AN10)&amp;"","{name}",$E10),"{years}",$G10),"{date}",TEXT($H10,"mmmm d, yyyy")),"{company}",Setup!$C$4))</f>
        <v>In Recognition of 5 Years of Service</v>
      </c>
      <c r="N10" s="21" t="str">
        <f ca="1">IF(Calc!$AM10="","",SUBSTITUTE(SUBSTITUTE(SUBSTITUTE(SUBSTITUTE(INDEX(Setup!$J$20:$J$34,Calc!$AN10)&amp;"","{name}",$E10),"{years}",$G10),"{date}",TEXT($H10,"mmmm d, yyyy")),"{company}",Setup!$C$4))</f>
        <v>Sample Person 03</v>
      </c>
      <c r="O10" s="21" t="str">
        <f ca="1">IF(Calc!$AM10="","",SUBSTITUTE(SUBSTITUTE(SUBSTITUTE(SUBSTITUTE(INDEX(Setup!$K$20:$K$34,Calc!$AN10)&amp;"","{name}",$E10),"{years}",$G10),"{date}",TEXT($H10,"mmmm d, yyyy")),"{company}",Setup!$C$4))</f>
        <v>January 18, 2027</v>
      </c>
      <c r="P10" s="21" t="str">
        <f ca="1">IF(Calc!$AM10="","",SUBSTITUTE(SUBSTITUTE(TRIM(SUBSTITUTE($L10," ","~")&amp;" "&amp;SUBSTITUTE($M10," ","~")&amp;" "&amp;SUBSTITUTE($N10," ","~")&amp;" "&amp;SUBSTITUTE($O10," ","~"))," "," | "),"~"," "))</f>
        <v>Your Company Name | In Recognition of 5 Years of Service | Sample Person 03 | January 18, 2027</v>
      </c>
    </row>
    <row r="11" spans="1:16" x14ac:dyDescent="0.2">
      <c r="A11" s="19">
        <f ca="1">IF(Calc!$AM11="","",ROW()-5)</f>
        <v>6</v>
      </c>
      <c r="B11" s="20">
        <f ca="1">IF(Calc!$AM11="","",INT(Calc!$AK11))</f>
        <v>46426</v>
      </c>
      <c r="C11" s="21" t="str">
        <f ca="1">IF(Calc!$AM11="","",IF($H11&lt;Setup!$C$5,"PAST DUE: milestone date has passed",IF($B11&lt;Setup!$C$5,"LATE: order today, ask about rush",IF($B11&lt;Setup!$C$5+14,"Order within 2 weeks","Scheduled"))))</f>
        <v>Scheduled</v>
      </c>
      <c r="D11" s="21" t="str">
        <f ca="1">IF(Calc!$AM11="","",TEXT($B11,"mmmm yyyy"))</f>
        <v>February 2027</v>
      </c>
      <c r="E11" s="21" t="str">
        <f ca="1">IF(Calc!$AM11="","",INDEX(Roster!$A$6:$A$505,Calc!$AM11)&amp;"")</f>
        <v>Sample Person 06</v>
      </c>
      <c r="F11" s="21" t="str">
        <f ca="1">IF(Calc!$AM11="","",INDEX(Roster!$C$6:$C$505,Calc!$AM11)&amp;"")</f>
        <v>Sample Office C</v>
      </c>
      <c r="G11" s="19">
        <f ca="1">IF(Calc!$AM11="","",INDEX(Setup!$C$20:$C$34,Calc!$AN11))</f>
        <v>3</v>
      </c>
      <c r="H11" s="20">
        <f ca="1">IF(Calc!$AM11="","",INDEX(Calc!$B$6:$P$505,Calc!$AM11,Calc!$AN11))</f>
        <v>46446</v>
      </c>
      <c r="I11" s="21" t="str">
        <f ca="1">IF(Calc!$AM11="","",INDEX(Setup!$D$20:$D$34,Calc!$AN11)&amp;"")</f>
        <v>AWDV428-03</v>
      </c>
      <c r="J11" s="21" t="str">
        <f ca="1">IF(Calc!$AM11="","",INDEX(Setup!$E$20:$E$34,Calc!$AN11)&amp;"")</f>
        <v>Astoria VividPrint™ Award</v>
      </c>
      <c r="K11" s="23">
        <f ca="1">IF(Calc!$AM11="","",INDEX(Setup!$F$20:$F$34,Calc!$AN11))</f>
        <v>40.5</v>
      </c>
      <c r="L11" s="21" t="str">
        <f ca="1">IF(Calc!$AM11="","",SUBSTITUTE(SUBSTITUTE(SUBSTITUTE(SUBSTITUTE(INDEX(Setup!$H$20:$H$34,Calc!$AN11)&amp;"","{name}",$E11),"{years}",$G11),"{date}",TEXT($H11,"mmmm d, yyyy")),"{company}",Setup!$C$4))</f>
        <v>Your Company Name</v>
      </c>
      <c r="M11" s="21" t="str">
        <f ca="1">IF(Calc!$AM11="","",SUBSTITUTE(SUBSTITUTE(SUBSTITUTE(SUBSTITUTE(INDEX(Setup!$I$20:$I$34,Calc!$AN11)&amp;"","{name}",$E11),"{years}",$G11),"{date}",TEXT($H11,"mmmm d, yyyy")),"{company}",Setup!$C$4))</f>
        <v>In Recognition of 3 Years of Service</v>
      </c>
      <c r="N11" s="21" t="str">
        <f ca="1">IF(Calc!$AM11="","",SUBSTITUTE(SUBSTITUTE(SUBSTITUTE(SUBSTITUTE(INDEX(Setup!$J$20:$J$34,Calc!$AN11)&amp;"","{name}",$E11),"{years}",$G11),"{date}",TEXT($H11,"mmmm d, yyyy")),"{company}",Setup!$C$4))</f>
        <v>Sample Person 06</v>
      </c>
      <c r="O11" s="21" t="str">
        <f ca="1">IF(Calc!$AM11="","",SUBSTITUTE(SUBSTITUTE(SUBSTITUTE(SUBSTITUTE(INDEX(Setup!$K$20:$K$34,Calc!$AN11)&amp;"","{name}",$E11),"{years}",$G11),"{date}",TEXT($H11,"mmmm d, yyyy")),"{company}",Setup!$C$4))</f>
        <v>February 28, 2027</v>
      </c>
      <c r="P11" s="21" t="str">
        <f ca="1">IF(Calc!$AM11="","",SUBSTITUTE(SUBSTITUTE(TRIM(SUBSTITUTE($L11," ","~")&amp;" "&amp;SUBSTITUTE($M11," ","~")&amp;" "&amp;SUBSTITUTE($N11," ","~")&amp;" "&amp;SUBSTITUTE($O11," ","~"))," "," | "),"~"," "))</f>
        <v>Your Company Name | In Recognition of 3 Years of Service | Sample Person 06 | February 28, 2027</v>
      </c>
    </row>
    <row r="12" spans="1:16" x14ac:dyDescent="0.2">
      <c r="A12" s="19">
        <f ca="1">IF(Calc!$AM12="","",ROW()-5)</f>
        <v>7</v>
      </c>
      <c r="B12" s="20">
        <f ca="1">IF(Calc!$AM12="","",INT(Calc!$AK12))</f>
        <v>46433</v>
      </c>
      <c r="C12" s="21" t="str">
        <f ca="1">IF(Calc!$AM12="","",IF($H12&lt;Setup!$C$5,"PAST DUE: milestone date has passed",IF($B12&lt;Setup!$C$5,"LATE: order today, ask about rush",IF($B12&lt;Setup!$C$5+14,"Order within 2 weeks","Scheduled"))))</f>
        <v>Scheduled</v>
      </c>
      <c r="D12" s="21" t="str">
        <f ca="1">IF(Calc!$AM12="","",TEXT($B12,"mmmm yyyy"))</f>
        <v>February 2027</v>
      </c>
      <c r="E12" s="21" t="str">
        <f ca="1">IF(Calc!$AM12="","",INDEX(Roster!$A$6:$A$505,Calc!$AM12)&amp;"")</f>
        <v>Sample Person 04</v>
      </c>
      <c r="F12" s="21" t="str">
        <f ca="1">IF(Calc!$AM12="","",INDEX(Roster!$C$6:$C$505,Calc!$AM12)&amp;"")</f>
        <v>Sample Office B</v>
      </c>
      <c r="G12" s="19">
        <f ca="1">IF(Calc!$AM12="","",INDEX(Setup!$C$20:$C$34,Calc!$AN12))</f>
        <v>10</v>
      </c>
      <c r="H12" s="20">
        <f ca="1">IF(Calc!$AM12="","",INDEX(Calc!$B$6:$P$505,Calc!$AM12,Calc!$AN12))</f>
        <v>46453</v>
      </c>
      <c r="I12" s="21" t="str">
        <f ca="1">IF(Calc!$AM12="","",INDEX(Setup!$D$20:$D$34,Calc!$AN12)&amp;"")</f>
        <v>AWDV428-10</v>
      </c>
      <c r="J12" s="21" t="str">
        <f ca="1">IF(Calc!$AM12="","",INDEX(Setup!$E$20:$E$34,Calc!$AN12)&amp;"")</f>
        <v>Astoria VividPrint™ Award</v>
      </c>
      <c r="K12" s="23">
        <f ca="1">IF(Calc!$AM12="","",INDEX(Setup!$F$20:$F$34,Calc!$AN12))</f>
        <v>48.5</v>
      </c>
      <c r="L12" s="21" t="str">
        <f ca="1">IF(Calc!$AM12="","",SUBSTITUTE(SUBSTITUTE(SUBSTITUTE(SUBSTITUTE(INDEX(Setup!$H$20:$H$34,Calc!$AN12)&amp;"","{name}",$E12),"{years}",$G12),"{date}",TEXT($H12,"mmmm d, yyyy")),"{company}",Setup!$C$4))</f>
        <v>Your Company Name</v>
      </c>
      <c r="M12" s="21" t="str">
        <f ca="1">IF(Calc!$AM12="","",SUBSTITUTE(SUBSTITUTE(SUBSTITUTE(SUBSTITUTE(INDEX(Setup!$I$20:$I$34,Calc!$AN12)&amp;"","{name}",$E12),"{years}",$G12),"{date}",TEXT($H12,"mmmm d, yyyy")),"{company}",Setup!$C$4))</f>
        <v>In Recognition of 10 Years of Service</v>
      </c>
      <c r="N12" s="21" t="str">
        <f ca="1">IF(Calc!$AM12="","",SUBSTITUTE(SUBSTITUTE(SUBSTITUTE(SUBSTITUTE(INDEX(Setup!$J$20:$J$34,Calc!$AN12)&amp;"","{name}",$E12),"{years}",$G12),"{date}",TEXT($H12,"mmmm d, yyyy")),"{company}",Setup!$C$4))</f>
        <v>Sample Person 04</v>
      </c>
      <c r="O12" s="21" t="str">
        <f ca="1">IF(Calc!$AM12="","",SUBSTITUTE(SUBSTITUTE(SUBSTITUTE(SUBSTITUTE(INDEX(Setup!$K$20:$K$34,Calc!$AN12)&amp;"","{name}",$E12),"{years}",$G12),"{date}",TEXT($H12,"mmmm d, yyyy")),"{company}",Setup!$C$4))</f>
        <v>March 7, 2027</v>
      </c>
      <c r="P12" s="21" t="str">
        <f ca="1">IF(Calc!$AM12="","",SUBSTITUTE(SUBSTITUTE(TRIM(SUBSTITUTE($L12," ","~")&amp;" "&amp;SUBSTITUTE($M12," ","~")&amp;" "&amp;SUBSTITUTE($N12," ","~")&amp;" "&amp;SUBSTITUTE($O12," ","~"))," "," | "),"~"," "))</f>
        <v>Your Company Name | In Recognition of 10 Years of Service | Sample Person 04 | March 7, 2027</v>
      </c>
    </row>
    <row r="13" spans="1:16" x14ac:dyDescent="0.2">
      <c r="A13" s="19">
        <f ca="1">IF(Calc!$AM13="","",ROW()-5)</f>
        <v>8</v>
      </c>
      <c r="B13" s="20">
        <f ca="1">IF(Calc!$AM13="","",INT(Calc!$AK13))</f>
        <v>46468</v>
      </c>
      <c r="C13" s="21" t="str">
        <f ca="1">IF(Calc!$AM13="","",IF($H13&lt;Setup!$C$5,"PAST DUE: milestone date has passed",IF($B13&lt;Setup!$C$5,"LATE: order today, ask about rush",IF($B13&lt;Setup!$C$5+14,"Order within 2 weeks","Scheduled"))))</f>
        <v>Scheduled</v>
      </c>
      <c r="D13" s="21" t="str">
        <f ca="1">IF(Calc!$AM13="","",TEXT($B13,"mmmm yyyy"))</f>
        <v>March 2027</v>
      </c>
      <c r="E13" s="21" t="str">
        <f ca="1">IF(Calc!$AM13="","",INDEX(Roster!$A$6:$A$505,Calc!$AM13)&amp;"")</f>
        <v>Sample Person 07</v>
      </c>
      <c r="F13" s="21" t="str">
        <f ca="1">IF(Calc!$AM13="","",INDEX(Roster!$C$6:$C$505,Calc!$AM13)&amp;"")</f>
        <v>Sample Office A</v>
      </c>
      <c r="G13" s="19">
        <f ca="1">IF(Calc!$AM13="","",INDEX(Setup!$C$20:$C$34,Calc!$AN13))</f>
        <v>20</v>
      </c>
      <c r="H13" s="20">
        <f ca="1">IF(Calc!$AM13="","",INDEX(Calc!$B$6:$P$505,Calc!$AM13,Calc!$AN13))</f>
        <v>46489</v>
      </c>
      <c r="I13" s="21" t="str">
        <f ca="1">IF(Calc!$AM13="","",INDEX(Setup!$D$20:$D$34,Calc!$AN13)&amp;"")</f>
        <v>AWDV428-20</v>
      </c>
      <c r="J13" s="21" t="str">
        <f ca="1">IF(Calc!$AM13="","",INDEX(Setup!$E$20:$E$34,Calc!$AN13)&amp;"")</f>
        <v>Astoria VividPrint™ Award</v>
      </c>
      <c r="K13" s="23">
        <f ca="1">IF(Calc!$AM13="","",INDEX(Setup!$F$20:$F$34,Calc!$AN13))</f>
        <v>55.5</v>
      </c>
      <c r="L13" s="21" t="str">
        <f ca="1">IF(Calc!$AM13="","",SUBSTITUTE(SUBSTITUTE(SUBSTITUTE(SUBSTITUTE(INDEX(Setup!$H$20:$H$34,Calc!$AN13)&amp;"","{name}",$E13),"{years}",$G13),"{date}",TEXT($H13,"mmmm d, yyyy")),"{company}",Setup!$C$4))</f>
        <v>Your Company Name</v>
      </c>
      <c r="M13" s="21" t="str">
        <f ca="1">IF(Calc!$AM13="","",SUBSTITUTE(SUBSTITUTE(SUBSTITUTE(SUBSTITUTE(INDEX(Setup!$I$20:$I$34,Calc!$AN13)&amp;"","{name}",$E13),"{years}",$G13),"{date}",TEXT($H13,"mmmm d, yyyy")),"{company}",Setup!$C$4))</f>
        <v>In Recognition of 20 Years of Service</v>
      </c>
      <c r="N13" s="21" t="str">
        <f ca="1">IF(Calc!$AM13="","",SUBSTITUTE(SUBSTITUTE(SUBSTITUTE(SUBSTITUTE(INDEX(Setup!$J$20:$J$34,Calc!$AN13)&amp;"","{name}",$E13),"{years}",$G13),"{date}",TEXT($H13,"mmmm d, yyyy")),"{company}",Setup!$C$4))</f>
        <v>Sample Person 07</v>
      </c>
      <c r="O13" s="21" t="str">
        <f ca="1">IF(Calc!$AM13="","",SUBSTITUTE(SUBSTITUTE(SUBSTITUTE(SUBSTITUTE(INDEX(Setup!$K$20:$K$34,Calc!$AN13)&amp;"","{name}",$E13),"{years}",$G13),"{date}",TEXT($H13,"mmmm d, yyyy")),"{company}",Setup!$C$4))</f>
        <v>April 12, 2027</v>
      </c>
      <c r="P13" s="21" t="str">
        <f ca="1">IF(Calc!$AM13="","",SUBSTITUTE(SUBSTITUTE(TRIM(SUBSTITUTE($L13," ","~")&amp;" "&amp;SUBSTITUTE($M13," ","~")&amp;" "&amp;SUBSTITUTE($N13," ","~")&amp;" "&amp;SUBSTITUTE($O13," ","~"))," "," | "),"~"," "))</f>
        <v>Your Company Name | In Recognition of 20 Years of Service | Sample Person 07 | April 12, 2027</v>
      </c>
    </row>
    <row r="14" spans="1:16" x14ac:dyDescent="0.2">
      <c r="A14" s="19">
        <f ca="1">IF(Calc!$AM14="","",ROW()-5)</f>
        <v>9</v>
      </c>
      <c r="B14" s="20">
        <f ca="1">IF(Calc!$AM14="","",INT(Calc!$AK14))</f>
        <v>46517</v>
      </c>
      <c r="C14" s="21" t="str">
        <f ca="1">IF(Calc!$AM14="","",IF($H14&lt;Setup!$C$5,"PAST DUE: milestone date has passed",IF($B14&lt;Setup!$C$5,"LATE: order today, ask about rush",IF($B14&lt;Setup!$C$5+14,"Order within 2 weeks","Scheduled"))))</f>
        <v>Scheduled</v>
      </c>
      <c r="D14" s="21" t="str">
        <f ca="1">IF(Calc!$AM14="","",TEXT($B14,"mmmm yyyy"))</f>
        <v>May 2027</v>
      </c>
      <c r="E14" s="21" t="str">
        <f ca="1">IF(Calc!$AM14="","",INDEX(Roster!$A$6:$A$505,Calc!$AM14)&amp;"")</f>
        <v>Sample Person 05</v>
      </c>
      <c r="F14" s="21" t="str">
        <f ca="1">IF(Calc!$AM14="","",INDEX(Roster!$C$6:$C$505,Calc!$AM14)&amp;"")</f>
        <v>Sample Office A</v>
      </c>
      <c r="G14" s="19">
        <f ca="1">IF(Calc!$AM14="","",INDEX(Setup!$C$20:$C$34,Calc!$AN14))</f>
        <v>15</v>
      </c>
      <c r="H14" s="20">
        <f ca="1">IF(Calc!$AM14="","",INDEX(Calc!$B$6:$P$505,Calc!$AM14,Calc!$AN14))</f>
        <v>46539</v>
      </c>
      <c r="I14" s="21" t="str">
        <f ca="1">IF(Calc!$AM14="","",INDEX(Setup!$D$20:$D$34,Calc!$AN14)&amp;"")</f>
        <v>AWDV428-15</v>
      </c>
      <c r="J14" s="21" t="str">
        <f ca="1">IF(Calc!$AM14="","",INDEX(Setup!$E$20:$E$34,Calc!$AN14)&amp;"")</f>
        <v>Astoria VividPrint™ Award</v>
      </c>
      <c r="K14" s="23">
        <f ca="1">IF(Calc!$AM14="","",INDEX(Setup!$F$20:$F$34,Calc!$AN14))</f>
        <v>48.5</v>
      </c>
      <c r="L14" s="21" t="str">
        <f ca="1">IF(Calc!$AM14="","",SUBSTITUTE(SUBSTITUTE(SUBSTITUTE(SUBSTITUTE(INDEX(Setup!$H$20:$H$34,Calc!$AN14)&amp;"","{name}",$E14),"{years}",$G14),"{date}",TEXT($H14,"mmmm d, yyyy")),"{company}",Setup!$C$4))</f>
        <v>Your Company Name</v>
      </c>
      <c r="M14" s="21" t="str">
        <f ca="1">IF(Calc!$AM14="","",SUBSTITUTE(SUBSTITUTE(SUBSTITUTE(SUBSTITUTE(INDEX(Setup!$I$20:$I$34,Calc!$AN14)&amp;"","{name}",$E14),"{years}",$G14),"{date}",TEXT($H14,"mmmm d, yyyy")),"{company}",Setup!$C$4))</f>
        <v>In Recognition of 15 Years of Service</v>
      </c>
      <c r="N14" s="21" t="str">
        <f ca="1">IF(Calc!$AM14="","",SUBSTITUTE(SUBSTITUTE(SUBSTITUTE(SUBSTITUTE(INDEX(Setup!$J$20:$J$34,Calc!$AN14)&amp;"","{name}",$E14),"{years}",$G14),"{date}",TEXT($H14,"mmmm d, yyyy")),"{company}",Setup!$C$4))</f>
        <v>Sample Person 05</v>
      </c>
      <c r="O14" s="21" t="str">
        <f ca="1">IF(Calc!$AM14="","",SUBSTITUTE(SUBSTITUTE(SUBSTITUTE(SUBSTITUTE(INDEX(Setup!$K$20:$K$34,Calc!$AN14)&amp;"","{name}",$E14),"{years}",$G14),"{date}",TEXT($H14,"mmmm d, yyyy")),"{company}",Setup!$C$4))</f>
        <v>June 1, 2027</v>
      </c>
      <c r="P14" s="21" t="str">
        <f ca="1">IF(Calc!$AM14="","",SUBSTITUTE(SUBSTITUTE(TRIM(SUBSTITUTE($L14," ","~")&amp;" "&amp;SUBSTITUTE($M14," ","~")&amp;" "&amp;SUBSTITUTE($N14," ","~")&amp;" "&amp;SUBSTITUTE($O14," ","~"))," "," | "),"~"," "))</f>
        <v>Your Company Name | In Recognition of 15 Years of Service | Sample Person 05 | June 1, 2027</v>
      </c>
    </row>
    <row r="15" spans="1:16" x14ac:dyDescent="0.2">
      <c r="A15" s="19">
        <f ca="1">IF(Calc!$AM15="","",ROW()-5)</f>
        <v>10</v>
      </c>
      <c r="B15" s="20">
        <f ca="1">IF(Calc!$AM15="","",INT(Calc!$AK15))</f>
        <v>46598</v>
      </c>
      <c r="C15" s="21" t="str">
        <f ca="1">IF(Calc!$AM15="","",IF($H15&lt;Setup!$C$5,"PAST DUE: milestone date has passed",IF($B15&lt;Setup!$C$5,"LATE: order today, ask about rush",IF($B15&lt;Setup!$C$5+14,"Order within 2 weeks","Scheduled"))))</f>
        <v>Scheduled</v>
      </c>
      <c r="D15" s="21" t="str">
        <f ca="1">IF(Calc!$AM15="","",TEXT($B15,"mmmm yyyy"))</f>
        <v>July 2027</v>
      </c>
      <c r="E15" s="21" t="str">
        <f ca="1">IF(Calc!$AM15="","",INDEX(Roster!$A$6:$A$505,Calc!$AM15)&amp;"")</f>
        <v>Sample Person 08</v>
      </c>
      <c r="F15" s="21" t="str">
        <f ca="1">IF(Calc!$AM15="","",INDEX(Roster!$C$6:$C$505,Calc!$AM15)&amp;"")</f>
        <v>Sample Office C</v>
      </c>
      <c r="G15" s="19">
        <f ca="1">IF(Calc!$AM15="","",INDEX(Setup!$C$20:$C$34,Calc!$AN15))</f>
        <v>25</v>
      </c>
      <c r="H15" s="20">
        <f ca="1">IF(Calc!$AM15="","",INDEX(Calc!$B$6:$P$505,Calc!$AM15,Calc!$AN15))</f>
        <v>46619</v>
      </c>
      <c r="I15" s="21" t="str">
        <f ca="1">IF(Calc!$AM15="","",INDEX(Setup!$D$20:$D$34,Calc!$AN15)&amp;"")</f>
        <v>AWDV428-25</v>
      </c>
      <c r="J15" s="21" t="str">
        <f ca="1">IF(Calc!$AM15="","",INDEX(Setup!$E$20:$E$34,Calc!$AN15)&amp;"")</f>
        <v>Astoria VividPrint™ Award</v>
      </c>
      <c r="K15" s="23">
        <f ca="1">IF(Calc!$AM15="","",INDEX(Setup!$F$20:$F$34,Calc!$AN15))</f>
        <v>55.5</v>
      </c>
      <c r="L15" s="21" t="str">
        <f ca="1">IF(Calc!$AM15="","",SUBSTITUTE(SUBSTITUTE(SUBSTITUTE(SUBSTITUTE(INDEX(Setup!$H$20:$H$34,Calc!$AN15)&amp;"","{name}",$E15),"{years}",$G15),"{date}",TEXT($H15,"mmmm d, yyyy")),"{company}",Setup!$C$4))</f>
        <v>Your Company Name</v>
      </c>
      <c r="M15" s="21" t="str">
        <f ca="1">IF(Calc!$AM15="","",SUBSTITUTE(SUBSTITUTE(SUBSTITUTE(SUBSTITUTE(INDEX(Setup!$I$20:$I$34,Calc!$AN15)&amp;"","{name}",$E15),"{years}",$G15),"{date}",TEXT($H15,"mmmm d, yyyy")),"{company}",Setup!$C$4))</f>
        <v>In Recognition of 25 Years of Service</v>
      </c>
      <c r="N15" s="21" t="str">
        <f ca="1">IF(Calc!$AM15="","",SUBSTITUTE(SUBSTITUTE(SUBSTITUTE(SUBSTITUTE(INDEX(Setup!$J$20:$J$34,Calc!$AN15)&amp;"","{name}",$E15),"{years}",$G15),"{date}",TEXT($H15,"mmmm d, yyyy")),"{company}",Setup!$C$4))</f>
        <v>Sample Person 08</v>
      </c>
      <c r="O15" s="21" t="str">
        <f ca="1">IF(Calc!$AM15="","",SUBSTITUTE(SUBSTITUTE(SUBSTITUTE(SUBSTITUTE(INDEX(Setup!$K$20:$K$34,Calc!$AN15)&amp;"","{name}",$E15),"{years}",$G15),"{date}",TEXT($H15,"mmmm d, yyyy")),"{company}",Setup!$C$4))</f>
        <v>August 20, 2027</v>
      </c>
      <c r="P15" s="21" t="str">
        <f ca="1">IF(Calc!$AM15="","",SUBSTITUTE(SUBSTITUTE(TRIM(SUBSTITUTE($L15," ","~")&amp;" "&amp;SUBSTITUTE($M15," ","~")&amp;" "&amp;SUBSTITUTE($N15," ","~")&amp;" "&amp;SUBSTITUTE($O15," ","~"))," "," | "),"~"," "))</f>
        <v>Your Company Name | In Recognition of 25 Years of Service | Sample Person 08 | August 20, 2027</v>
      </c>
    </row>
    <row r="16" spans="1:16" x14ac:dyDescent="0.2">
      <c r="A16" s="19">
        <f ca="1">IF(Calc!$AM16="","",ROW()-5)</f>
        <v>11</v>
      </c>
      <c r="B16" s="20">
        <f ca="1">IF(Calc!$AM16="","",INT(Calc!$AK16))</f>
        <v>46617</v>
      </c>
      <c r="C16" s="21" t="str">
        <f ca="1">IF(Calc!$AM16="","",IF($H16&lt;Setup!$C$5,"PAST DUE: milestone date has passed",IF($B16&lt;Setup!$C$5,"LATE: order today, ask about rush",IF($B16&lt;Setup!$C$5+14,"Order within 2 weeks","Scheduled"))))</f>
        <v>Scheduled</v>
      </c>
      <c r="D16" s="21" t="str">
        <f ca="1">IF(Calc!$AM16="","",TEXT($B16,"mmmm yyyy"))</f>
        <v>August 2027</v>
      </c>
      <c r="E16" s="21" t="str">
        <f ca="1">IF(Calc!$AM16="","",INDEX(Roster!$A$6:$A$505,Calc!$AM16)&amp;"")</f>
        <v>Sample Person 09</v>
      </c>
      <c r="F16" s="21" t="str">
        <f ca="1">IF(Calc!$AM16="","",INDEX(Roster!$C$6:$C$505,Calc!$AM16)&amp;"")</f>
        <v>Sample Office B</v>
      </c>
      <c r="G16" s="19">
        <f ca="1">IF(Calc!$AM16="","",INDEX(Setup!$C$20:$C$34,Calc!$AN16))</f>
        <v>30</v>
      </c>
      <c r="H16" s="20">
        <f ca="1">IF(Calc!$AM16="","",INDEX(Calc!$B$6:$P$505,Calc!$AM16,Calc!$AN16))</f>
        <v>46639</v>
      </c>
      <c r="I16" s="21" t="str">
        <f ca="1">IF(Calc!$AM16="","",INDEX(Setup!$D$20:$D$34,Calc!$AN16)&amp;"")</f>
        <v>AWDV428-30</v>
      </c>
      <c r="J16" s="21" t="str">
        <f ca="1">IF(Calc!$AM16="","",INDEX(Setup!$E$20:$E$34,Calc!$AN16)&amp;"")</f>
        <v>Astoria VividPrint™ Award</v>
      </c>
      <c r="K16" s="23">
        <f ca="1">IF(Calc!$AM16="","",INDEX(Setup!$F$20:$F$34,Calc!$AN16))</f>
        <v>55.5</v>
      </c>
      <c r="L16" s="21" t="str">
        <f ca="1">IF(Calc!$AM16="","",SUBSTITUTE(SUBSTITUTE(SUBSTITUTE(SUBSTITUTE(INDEX(Setup!$H$20:$H$34,Calc!$AN16)&amp;"","{name}",$E16),"{years}",$G16),"{date}",TEXT($H16,"mmmm d, yyyy")),"{company}",Setup!$C$4))</f>
        <v>Your Company Name</v>
      </c>
      <c r="M16" s="21" t="str">
        <f ca="1">IF(Calc!$AM16="","",SUBSTITUTE(SUBSTITUTE(SUBSTITUTE(SUBSTITUTE(INDEX(Setup!$I$20:$I$34,Calc!$AN16)&amp;"","{name}",$E16),"{years}",$G16),"{date}",TEXT($H16,"mmmm d, yyyy")),"{company}",Setup!$C$4))</f>
        <v>In Recognition of 30 Years of Service</v>
      </c>
      <c r="N16" s="21" t="str">
        <f ca="1">IF(Calc!$AM16="","",SUBSTITUTE(SUBSTITUTE(SUBSTITUTE(SUBSTITUTE(INDEX(Setup!$J$20:$J$34,Calc!$AN16)&amp;"","{name}",$E16),"{years}",$G16),"{date}",TEXT($H16,"mmmm d, yyyy")),"{company}",Setup!$C$4))</f>
        <v>Sample Person 09</v>
      </c>
      <c r="O16" s="21" t="str">
        <f ca="1">IF(Calc!$AM16="","",SUBSTITUTE(SUBSTITUTE(SUBSTITUTE(SUBSTITUTE(INDEX(Setup!$K$20:$K$34,Calc!$AN16)&amp;"","{name}",$E16),"{years}",$G16),"{date}",TEXT($H16,"mmmm d, yyyy")),"{company}",Setup!$C$4))</f>
        <v>September 9, 2027</v>
      </c>
      <c r="P16" s="21" t="str">
        <f ca="1">IF(Calc!$AM16="","",SUBSTITUTE(SUBSTITUTE(TRIM(SUBSTITUTE($L16," ","~")&amp;" "&amp;SUBSTITUTE($M16," ","~")&amp;" "&amp;SUBSTITUTE($N16," ","~")&amp;" "&amp;SUBSTITUTE($O16," ","~"))," "," | "),"~"," "))</f>
        <v>Your Company Name | In Recognition of 30 Years of Service | Sample Person 09 | September 9, 2027</v>
      </c>
    </row>
    <row r="17" spans="1:16" x14ac:dyDescent="0.2">
      <c r="A17" s="19" t="str">
        <f ca="1">IF(Calc!$AM17="","",ROW()-5)</f>
        <v/>
      </c>
      <c r="B17" s="20" t="str">
        <f ca="1">IF(Calc!$AM17="","",INT(Calc!$AK17))</f>
        <v/>
      </c>
      <c r="C17" s="21" t="str">
        <f ca="1">IF(Calc!$AM17="","",IF($H17&lt;Setup!$C$5,"PAST DUE: milestone date has passed",IF($B17&lt;Setup!$C$5,"LATE: order today, ask about rush",IF($B17&lt;Setup!$C$5+14,"Order within 2 weeks","Scheduled"))))</f>
        <v/>
      </c>
      <c r="D17" s="21" t="str">
        <f ca="1">IF(Calc!$AM17="","",TEXT($B17,"mmmm yyyy"))</f>
        <v/>
      </c>
      <c r="E17" s="21" t="str">
        <f ca="1">IF(Calc!$AM17="","",INDEX(Roster!$A$6:$A$505,Calc!$AM17)&amp;"")</f>
        <v/>
      </c>
      <c r="F17" s="21" t="str">
        <f ca="1">IF(Calc!$AM17="","",INDEX(Roster!$C$6:$C$505,Calc!$AM17)&amp;"")</f>
        <v/>
      </c>
      <c r="G17" s="19" t="str">
        <f ca="1">IF(Calc!$AM17="","",INDEX(Setup!$C$20:$C$34,Calc!$AN17))</f>
        <v/>
      </c>
      <c r="H17" s="20" t="str">
        <f ca="1">IF(Calc!$AM17="","",INDEX(Calc!$B$6:$P$505,Calc!$AM17,Calc!$AN17))</f>
        <v/>
      </c>
      <c r="I17" s="21" t="str">
        <f ca="1">IF(Calc!$AM17="","",INDEX(Setup!$D$20:$D$34,Calc!$AN17)&amp;"")</f>
        <v/>
      </c>
      <c r="J17" s="21" t="str">
        <f ca="1">IF(Calc!$AM17="","",INDEX(Setup!$E$20:$E$34,Calc!$AN17)&amp;"")</f>
        <v/>
      </c>
      <c r="K17" s="23" t="str">
        <f ca="1">IF(Calc!$AM17="","",INDEX(Setup!$F$20:$F$34,Calc!$AN17))</f>
        <v/>
      </c>
      <c r="L17" s="21" t="str">
        <f ca="1">IF(Calc!$AM17="","",SUBSTITUTE(SUBSTITUTE(SUBSTITUTE(SUBSTITUTE(INDEX(Setup!$H$20:$H$34,Calc!$AN17)&amp;"","{name}",$E17),"{years}",$G17),"{date}",TEXT($H17,"mmmm d, yyyy")),"{company}",Setup!$C$4))</f>
        <v/>
      </c>
      <c r="M17" s="21" t="str">
        <f ca="1">IF(Calc!$AM17="","",SUBSTITUTE(SUBSTITUTE(SUBSTITUTE(SUBSTITUTE(INDEX(Setup!$I$20:$I$34,Calc!$AN17)&amp;"","{name}",$E17),"{years}",$G17),"{date}",TEXT($H17,"mmmm d, yyyy")),"{company}",Setup!$C$4))</f>
        <v/>
      </c>
      <c r="N17" s="21" t="str">
        <f ca="1">IF(Calc!$AM17="","",SUBSTITUTE(SUBSTITUTE(SUBSTITUTE(SUBSTITUTE(INDEX(Setup!$J$20:$J$34,Calc!$AN17)&amp;"","{name}",$E17),"{years}",$G17),"{date}",TEXT($H17,"mmmm d, yyyy")),"{company}",Setup!$C$4))</f>
        <v/>
      </c>
      <c r="O17" s="21" t="str">
        <f ca="1">IF(Calc!$AM17="","",SUBSTITUTE(SUBSTITUTE(SUBSTITUTE(SUBSTITUTE(INDEX(Setup!$K$20:$K$34,Calc!$AN17)&amp;"","{name}",$E17),"{years}",$G17),"{date}",TEXT($H17,"mmmm d, yyyy")),"{company}",Setup!$C$4))</f>
        <v/>
      </c>
      <c r="P17" s="21" t="str">
        <f ca="1">IF(Calc!$AM17="","",SUBSTITUTE(SUBSTITUTE(TRIM(SUBSTITUTE($L17," ","~")&amp;" "&amp;SUBSTITUTE($M17," ","~")&amp;" "&amp;SUBSTITUTE($N17," ","~")&amp;" "&amp;SUBSTITUTE($O17," ","~"))," "," | "),"~"," "))</f>
        <v/>
      </c>
    </row>
    <row r="18" spans="1:16" x14ac:dyDescent="0.2">
      <c r="A18" s="19" t="str">
        <f ca="1">IF(Calc!$AM18="","",ROW()-5)</f>
        <v/>
      </c>
      <c r="B18" s="20" t="str">
        <f ca="1">IF(Calc!$AM18="","",INT(Calc!$AK18))</f>
        <v/>
      </c>
      <c r="C18" s="21" t="str">
        <f ca="1">IF(Calc!$AM18="","",IF($H18&lt;Setup!$C$5,"PAST DUE: milestone date has passed",IF($B18&lt;Setup!$C$5,"LATE: order today, ask about rush",IF($B18&lt;Setup!$C$5+14,"Order within 2 weeks","Scheduled"))))</f>
        <v/>
      </c>
      <c r="D18" s="21" t="str">
        <f ca="1">IF(Calc!$AM18="","",TEXT($B18,"mmmm yyyy"))</f>
        <v/>
      </c>
      <c r="E18" s="21" t="str">
        <f ca="1">IF(Calc!$AM18="","",INDEX(Roster!$A$6:$A$505,Calc!$AM18)&amp;"")</f>
        <v/>
      </c>
      <c r="F18" s="21" t="str">
        <f ca="1">IF(Calc!$AM18="","",INDEX(Roster!$C$6:$C$505,Calc!$AM18)&amp;"")</f>
        <v/>
      </c>
      <c r="G18" s="19" t="str">
        <f ca="1">IF(Calc!$AM18="","",INDEX(Setup!$C$20:$C$34,Calc!$AN18))</f>
        <v/>
      </c>
      <c r="H18" s="20" t="str">
        <f ca="1">IF(Calc!$AM18="","",INDEX(Calc!$B$6:$P$505,Calc!$AM18,Calc!$AN18))</f>
        <v/>
      </c>
      <c r="I18" s="21" t="str">
        <f ca="1">IF(Calc!$AM18="","",INDEX(Setup!$D$20:$D$34,Calc!$AN18)&amp;"")</f>
        <v/>
      </c>
      <c r="J18" s="21" t="str">
        <f ca="1">IF(Calc!$AM18="","",INDEX(Setup!$E$20:$E$34,Calc!$AN18)&amp;"")</f>
        <v/>
      </c>
      <c r="K18" s="23" t="str">
        <f ca="1">IF(Calc!$AM18="","",INDEX(Setup!$F$20:$F$34,Calc!$AN18))</f>
        <v/>
      </c>
      <c r="L18" s="21" t="str">
        <f ca="1">IF(Calc!$AM18="","",SUBSTITUTE(SUBSTITUTE(SUBSTITUTE(SUBSTITUTE(INDEX(Setup!$H$20:$H$34,Calc!$AN18)&amp;"","{name}",$E18),"{years}",$G18),"{date}",TEXT($H18,"mmmm d, yyyy")),"{company}",Setup!$C$4))</f>
        <v/>
      </c>
      <c r="M18" s="21" t="str">
        <f ca="1">IF(Calc!$AM18="","",SUBSTITUTE(SUBSTITUTE(SUBSTITUTE(SUBSTITUTE(INDEX(Setup!$I$20:$I$34,Calc!$AN18)&amp;"","{name}",$E18),"{years}",$G18),"{date}",TEXT($H18,"mmmm d, yyyy")),"{company}",Setup!$C$4))</f>
        <v/>
      </c>
      <c r="N18" s="21" t="str">
        <f ca="1">IF(Calc!$AM18="","",SUBSTITUTE(SUBSTITUTE(SUBSTITUTE(SUBSTITUTE(INDEX(Setup!$J$20:$J$34,Calc!$AN18)&amp;"","{name}",$E18),"{years}",$G18),"{date}",TEXT($H18,"mmmm d, yyyy")),"{company}",Setup!$C$4))</f>
        <v/>
      </c>
      <c r="O18" s="21" t="str">
        <f ca="1">IF(Calc!$AM18="","",SUBSTITUTE(SUBSTITUTE(SUBSTITUTE(SUBSTITUTE(INDEX(Setup!$K$20:$K$34,Calc!$AN18)&amp;"","{name}",$E18),"{years}",$G18),"{date}",TEXT($H18,"mmmm d, yyyy")),"{company}",Setup!$C$4))</f>
        <v/>
      </c>
      <c r="P18" s="21" t="str">
        <f ca="1">IF(Calc!$AM18="","",SUBSTITUTE(SUBSTITUTE(TRIM(SUBSTITUTE($L18," ","~")&amp;" "&amp;SUBSTITUTE($M18," ","~")&amp;" "&amp;SUBSTITUTE($N18," ","~")&amp;" "&amp;SUBSTITUTE($O18," ","~"))," "," | "),"~"," "))</f>
        <v/>
      </c>
    </row>
    <row r="19" spans="1:16" x14ac:dyDescent="0.2">
      <c r="A19" s="19" t="str">
        <f ca="1">IF(Calc!$AM19="","",ROW()-5)</f>
        <v/>
      </c>
      <c r="B19" s="20" t="str">
        <f ca="1">IF(Calc!$AM19="","",INT(Calc!$AK19))</f>
        <v/>
      </c>
      <c r="C19" s="21" t="str">
        <f ca="1">IF(Calc!$AM19="","",IF($H19&lt;Setup!$C$5,"PAST DUE: milestone date has passed",IF($B19&lt;Setup!$C$5,"LATE: order today, ask about rush",IF($B19&lt;Setup!$C$5+14,"Order within 2 weeks","Scheduled"))))</f>
        <v/>
      </c>
      <c r="D19" s="21" t="str">
        <f ca="1">IF(Calc!$AM19="","",TEXT($B19,"mmmm yyyy"))</f>
        <v/>
      </c>
      <c r="E19" s="21" t="str">
        <f ca="1">IF(Calc!$AM19="","",INDEX(Roster!$A$6:$A$505,Calc!$AM19)&amp;"")</f>
        <v/>
      </c>
      <c r="F19" s="21" t="str">
        <f ca="1">IF(Calc!$AM19="","",INDEX(Roster!$C$6:$C$505,Calc!$AM19)&amp;"")</f>
        <v/>
      </c>
      <c r="G19" s="19" t="str">
        <f ca="1">IF(Calc!$AM19="","",INDEX(Setup!$C$20:$C$34,Calc!$AN19))</f>
        <v/>
      </c>
      <c r="H19" s="20" t="str">
        <f ca="1">IF(Calc!$AM19="","",INDEX(Calc!$B$6:$P$505,Calc!$AM19,Calc!$AN19))</f>
        <v/>
      </c>
      <c r="I19" s="21" t="str">
        <f ca="1">IF(Calc!$AM19="","",INDEX(Setup!$D$20:$D$34,Calc!$AN19)&amp;"")</f>
        <v/>
      </c>
      <c r="J19" s="21" t="str">
        <f ca="1">IF(Calc!$AM19="","",INDEX(Setup!$E$20:$E$34,Calc!$AN19)&amp;"")</f>
        <v/>
      </c>
      <c r="K19" s="23" t="str">
        <f ca="1">IF(Calc!$AM19="","",INDEX(Setup!$F$20:$F$34,Calc!$AN19))</f>
        <v/>
      </c>
      <c r="L19" s="21" t="str">
        <f ca="1">IF(Calc!$AM19="","",SUBSTITUTE(SUBSTITUTE(SUBSTITUTE(SUBSTITUTE(INDEX(Setup!$H$20:$H$34,Calc!$AN19)&amp;"","{name}",$E19),"{years}",$G19),"{date}",TEXT($H19,"mmmm d, yyyy")),"{company}",Setup!$C$4))</f>
        <v/>
      </c>
      <c r="M19" s="21" t="str">
        <f ca="1">IF(Calc!$AM19="","",SUBSTITUTE(SUBSTITUTE(SUBSTITUTE(SUBSTITUTE(INDEX(Setup!$I$20:$I$34,Calc!$AN19)&amp;"","{name}",$E19),"{years}",$G19),"{date}",TEXT($H19,"mmmm d, yyyy")),"{company}",Setup!$C$4))</f>
        <v/>
      </c>
      <c r="N19" s="21" t="str">
        <f ca="1">IF(Calc!$AM19="","",SUBSTITUTE(SUBSTITUTE(SUBSTITUTE(SUBSTITUTE(INDEX(Setup!$J$20:$J$34,Calc!$AN19)&amp;"","{name}",$E19),"{years}",$G19),"{date}",TEXT($H19,"mmmm d, yyyy")),"{company}",Setup!$C$4))</f>
        <v/>
      </c>
      <c r="O19" s="21" t="str">
        <f ca="1">IF(Calc!$AM19="","",SUBSTITUTE(SUBSTITUTE(SUBSTITUTE(SUBSTITUTE(INDEX(Setup!$K$20:$K$34,Calc!$AN19)&amp;"","{name}",$E19),"{years}",$G19),"{date}",TEXT($H19,"mmmm d, yyyy")),"{company}",Setup!$C$4))</f>
        <v/>
      </c>
      <c r="P19" s="21" t="str">
        <f ca="1">IF(Calc!$AM19="","",SUBSTITUTE(SUBSTITUTE(TRIM(SUBSTITUTE($L19," ","~")&amp;" "&amp;SUBSTITUTE($M19," ","~")&amp;" "&amp;SUBSTITUTE($N19," ","~")&amp;" "&amp;SUBSTITUTE($O19," ","~"))," "," | "),"~"," "))</f>
        <v/>
      </c>
    </row>
    <row r="20" spans="1:16" x14ac:dyDescent="0.2">
      <c r="A20" s="19" t="str">
        <f ca="1">IF(Calc!$AM20="","",ROW()-5)</f>
        <v/>
      </c>
      <c r="B20" s="20" t="str">
        <f ca="1">IF(Calc!$AM20="","",INT(Calc!$AK20))</f>
        <v/>
      </c>
      <c r="C20" s="21" t="str">
        <f ca="1">IF(Calc!$AM20="","",IF($H20&lt;Setup!$C$5,"PAST DUE: milestone date has passed",IF($B20&lt;Setup!$C$5,"LATE: order today, ask about rush",IF($B20&lt;Setup!$C$5+14,"Order within 2 weeks","Scheduled"))))</f>
        <v/>
      </c>
      <c r="D20" s="21" t="str">
        <f ca="1">IF(Calc!$AM20="","",TEXT($B20,"mmmm yyyy"))</f>
        <v/>
      </c>
      <c r="E20" s="21" t="str">
        <f ca="1">IF(Calc!$AM20="","",INDEX(Roster!$A$6:$A$505,Calc!$AM20)&amp;"")</f>
        <v/>
      </c>
      <c r="F20" s="21" t="str">
        <f ca="1">IF(Calc!$AM20="","",INDEX(Roster!$C$6:$C$505,Calc!$AM20)&amp;"")</f>
        <v/>
      </c>
      <c r="G20" s="19" t="str">
        <f ca="1">IF(Calc!$AM20="","",INDEX(Setup!$C$20:$C$34,Calc!$AN20))</f>
        <v/>
      </c>
      <c r="H20" s="20" t="str">
        <f ca="1">IF(Calc!$AM20="","",INDEX(Calc!$B$6:$P$505,Calc!$AM20,Calc!$AN20))</f>
        <v/>
      </c>
      <c r="I20" s="21" t="str">
        <f ca="1">IF(Calc!$AM20="","",INDEX(Setup!$D$20:$D$34,Calc!$AN20)&amp;"")</f>
        <v/>
      </c>
      <c r="J20" s="21" t="str">
        <f ca="1">IF(Calc!$AM20="","",INDEX(Setup!$E$20:$E$34,Calc!$AN20)&amp;"")</f>
        <v/>
      </c>
      <c r="K20" s="23" t="str">
        <f ca="1">IF(Calc!$AM20="","",INDEX(Setup!$F$20:$F$34,Calc!$AN20))</f>
        <v/>
      </c>
      <c r="L20" s="21" t="str">
        <f ca="1">IF(Calc!$AM20="","",SUBSTITUTE(SUBSTITUTE(SUBSTITUTE(SUBSTITUTE(INDEX(Setup!$H$20:$H$34,Calc!$AN20)&amp;"","{name}",$E20),"{years}",$G20),"{date}",TEXT($H20,"mmmm d, yyyy")),"{company}",Setup!$C$4))</f>
        <v/>
      </c>
      <c r="M20" s="21" t="str">
        <f ca="1">IF(Calc!$AM20="","",SUBSTITUTE(SUBSTITUTE(SUBSTITUTE(SUBSTITUTE(INDEX(Setup!$I$20:$I$34,Calc!$AN20)&amp;"","{name}",$E20),"{years}",$G20),"{date}",TEXT($H20,"mmmm d, yyyy")),"{company}",Setup!$C$4))</f>
        <v/>
      </c>
      <c r="N20" s="21" t="str">
        <f ca="1">IF(Calc!$AM20="","",SUBSTITUTE(SUBSTITUTE(SUBSTITUTE(SUBSTITUTE(INDEX(Setup!$J$20:$J$34,Calc!$AN20)&amp;"","{name}",$E20),"{years}",$G20),"{date}",TEXT($H20,"mmmm d, yyyy")),"{company}",Setup!$C$4))</f>
        <v/>
      </c>
      <c r="O20" s="21" t="str">
        <f ca="1">IF(Calc!$AM20="","",SUBSTITUTE(SUBSTITUTE(SUBSTITUTE(SUBSTITUTE(INDEX(Setup!$K$20:$K$34,Calc!$AN20)&amp;"","{name}",$E20),"{years}",$G20),"{date}",TEXT($H20,"mmmm d, yyyy")),"{company}",Setup!$C$4))</f>
        <v/>
      </c>
      <c r="P20" s="21" t="str">
        <f ca="1">IF(Calc!$AM20="","",SUBSTITUTE(SUBSTITUTE(TRIM(SUBSTITUTE($L20," ","~")&amp;" "&amp;SUBSTITUTE($M20," ","~")&amp;" "&amp;SUBSTITUTE($N20," ","~")&amp;" "&amp;SUBSTITUTE($O20," ","~"))," "," | "),"~"," "))</f>
        <v/>
      </c>
    </row>
    <row r="21" spans="1:16" x14ac:dyDescent="0.2">
      <c r="A21" s="19" t="str">
        <f ca="1">IF(Calc!$AM21="","",ROW()-5)</f>
        <v/>
      </c>
      <c r="B21" s="20" t="str">
        <f ca="1">IF(Calc!$AM21="","",INT(Calc!$AK21))</f>
        <v/>
      </c>
      <c r="C21" s="21" t="str">
        <f ca="1">IF(Calc!$AM21="","",IF($H21&lt;Setup!$C$5,"PAST DUE: milestone date has passed",IF($B21&lt;Setup!$C$5,"LATE: order today, ask about rush",IF($B21&lt;Setup!$C$5+14,"Order within 2 weeks","Scheduled"))))</f>
        <v/>
      </c>
      <c r="D21" s="21" t="str">
        <f ca="1">IF(Calc!$AM21="","",TEXT($B21,"mmmm yyyy"))</f>
        <v/>
      </c>
      <c r="E21" s="21" t="str">
        <f ca="1">IF(Calc!$AM21="","",INDEX(Roster!$A$6:$A$505,Calc!$AM21)&amp;"")</f>
        <v/>
      </c>
      <c r="F21" s="21" t="str">
        <f ca="1">IF(Calc!$AM21="","",INDEX(Roster!$C$6:$C$505,Calc!$AM21)&amp;"")</f>
        <v/>
      </c>
      <c r="G21" s="19" t="str">
        <f ca="1">IF(Calc!$AM21="","",INDEX(Setup!$C$20:$C$34,Calc!$AN21))</f>
        <v/>
      </c>
      <c r="H21" s="20" t="str">
        <f ca="1">IF(Calc!$AM21="","",INDEX(Calc!$B$6:$P$505,Calc!$AM21,Calc!$AN21))</f>
        <v/>
      </c>
      <c r="I21" s="21" t="str">
        <f ca="1">IF(Calc!$AM21="","",INDEX(Setup!$D$20:$D$34,Calc!$AN21)&amp;"")</f>
        <v/>
      </c>
      <c r="J21" s="21" t="str">
        <f ca="1">IF(Calc!$AM21="","",INDEX(Setup!$E$20:$E$34,Calc!$AN21)&amp;"")</f>
        <v/>
      </c>
      <c r="K21" s="23" t="str">
        <f ca="1">IF(Calc!$AM21="","",INDEX(Setup!$F$20:$F$34,Calc!$AN21))</f>
        <v/>
      </c>
      <c r="L21" s="21" t="str">
        <f ca="1">IF(Calc!$AM21="","",SUBSTITUTE(SUBSTITUTE(SUBSTITUTE(SUBSTITUTE(INDEX(Setup!$H$20:$H$34,Calc!$AN21)&amp;"","{name}",$E21),"{years}",$G21),"{date}",TEXT($H21,"mmmm d, yyyy")),"{company}",Setup!$C$4))</f>
        <v/>
      </c>
      <c r="M21" s="21" t="str">
        <f ca="1">IF(Calc!$AM21="","",SUBSTITUTE(SUBSTITUTE(SUBSTITUTE(SUBSTITUTE(INDEX(Setup!$I$20:$I$34,Calc!$AN21)&amp;"","{name}",$E21),"{years}",$G21),"{date}",TEXT($H21,"mmmm d, yyyy")),"{company}",Setup!$C$4))</f>
        <v/>
      </c>
      <c r="N21" s="21" t="str">
        <f ca="1">IF(Calc!$AM21="","",SUBSTITUTE(SUBSTITUTE(SUBSTITUTE(SUBSTITUTE(INDEX(Setup!$J$20:$J$34,Calc!$AN21)&amp;"","{name}",$E21),"{years}",$G21),"{date}",TEXT($H21,"mmmm d, yyyy")),"{company}",Setup!$C$4))</f>
        <v/>
      </c>
      <c r="O21" s="21" t="str">
        <f ca="1">IF(Calc!$AM21="","",SUBSTITUTE(SUBSTITUTE(SUBSTITUTE(SUBSTITUTE(INDEX(Setup!$K$20:$K$34,Calc!$AN21)&amp;"","{name}",$E21),"{years}",$G21),"{date}",TEXT($H21,"mmmm d, yyyy")),"{company}",Setup!$C$4))</f>
        <v/>
      </c>
      <c r="P21" s="21" t="str">
        <f ca="1">IF(Calc!$AM21="","",SUBSTITUTE(SUBSTITUTE(TRIM(SUBSTITUTE($L21," ","~")&amp;" "&amp;SUBSTITUTE($M21," ","~")&amp;" "&amp;SUBSTITUTE($N21," ","~")&amp;" "&amp;SUBSTITUTE($O21," ","~"))," "," | "),"~"," "))</f>
        <v/>
      </c>
    </row>
    <row r="22" spans="1:16" x14ac:dyDescent="0.2">
      <c r="A22" s="19" t="str">
        <f ca="1">IF(Calc!$AM22="","",ROW()-5)</f>
        <v/>
      </c>
      <c r="B22" s="20" t="str">
        <f ca="1">IF(Calc!$AM22="","",INT(Calc!$AK22))</f>
        <v/>
      </c>
      <c r="C22" s="21" t="str">
        <f ca="1">IF(Calc!$AM22="","",IF($H22&lt;Setup!$C$5,"PAST DUE: milestone date has passed",IF($B22&lt;Setup!$C$5,"LATE: order today, ask about rush",IF($B22&lt;Setup!$C$5+14,"Order within 2 weeks","Scheduled"))))</f>
        <v/>
      </c>
      <c r="D22" s="21" t="str">
        <f ca="1">IF(Calc!$AM22="","",TEXT($B22,"mmmm yyyy"))</f>
        <v/>
      </c>
      <c r="E22" s="21" t="str">
        <f ca="1">IF(Calc!$AM22="","",INDEX(Roster!$A$6:$A$505,Calc!$AM22)&amp;"")</f>
        <v/>
      </c>
      <c r="F22" s="21" t="str">
        <f ca="1">IF(Calc!$AM22="","",INDEX(Roster!$C$6:$C$505,Calc!$AM22)&amp;"")</f>
        <v/>
      </c>
      <c r="G22" s="19" t="str">
        <f ca="1">IF(Calc!$AM22="","",INDEX(Setup!$C$20:$C$34,Calc!$AN22))</f>
        <v/>
      </c>
      <c r="H22" s="20" t="str">
        <f ca="1">IF(Calc!$AM22="","",INDEX(Calc!$B$6:$P$505,Calc!$AM22,Calc!$AN22))</f>
        <v/>
      </c>
      <c r="I22" s="21" t="str">
        <f ca="1">IF(Calc!$AM22="","",INDEX(Setup!$D$20:$D$34,Calc!$AN22)&amp;"")</f>
        <v/>
      </c>
      <c r="J22" s="21" t="str">
        <f ca="1">IF(Calc!$AM22="","",INDEX(Setup!$E$20:$E$34,Calc!$AN22)&amp;"")</f>
        <v/>
      </c>
      <c r="K22" s="23" t="str">
        <f ca="1">IF(Calc!$AM22="","",INDEX(Setup!$F$20:$F$34,Calc!$AN22))</f>
        <v/>
      </c>
      <c r="L22" s="21" t="str">
        <f ca="1">IF(Calc!$AM22="","",SUBSTITUTE(SUBSTITUTE(SUBSTITUTE(SUBSTITUTE(INDEX(Setup!$H$20:$H$34,Calc!$AN22)&amp;"","{name}",$E22),"{years}",$G22),"{date}",TEXT($H22,"mmmm d, yyyy")),"{company}",Setup!$C$4))</f>
        <v/>
      </c>
      <c r="M22" s="21" t="str">
        <f ca="1">IF(Calc!$AM22="","",SUBSTITUTE(SUBSTITUTE(SUBSTITUTE(SUBSTITUTE(INDEX(Setup!$I$20:$I$34,Calc!$AN22)&amp;"","{name}",$E22),"{years}",$G22),"{date}",TEXT($H22,"mmmm d, yyyy")),"{company}",Setup!$C$4))</f>
        <v/>
      </c>
      <c r="N22" s="21" t="str">
        <f ca="1">IF(Calc!$AM22="","",SUBSTITUTE(SUBSTITUTE(SUBSTITUTE(SUBSTITUTE(INDEX(Setup!$J$20:$J$34,Calc!$AN22)&amp;"","{name}",$E22),"{years}",$G22),"{date}",TEXT($H22,"mmmm d, yyyy")),"{company}",Setup!$C$4))</f>
        <v/>
      </c>
      <c r="O22" s="21" t="str">
        <f ca="1">IF(Calc!$AM22="","",SUBSTITUTE(SUBSTITUTE(SUBSTITUTE(SUBSTITUTE(INDEX(Setup!$K$20:$K$34,Calc!$AN22)&amp;"","{name}",$E22),"{years}",$G22),"{date}",TEXT($H22,"mmmm d, yyyy")),"{company}",Setup!$C$4))</f>
        <v/>
      </c>
      <c r="P22" s="21" t="str">
        <f ca="1">IF(Calc!$AM22="","",SUBSTITUTE(SUBSTITUTE(TRIM(SUBSTITUTE($L22," ","~")&amp;" "&amp;SUBSTITUTE($M22," ","~")&amp;" "&amp;SUBSTITUTE($N22," ","~")&amp;" "&amp;SUBSTITUTE($O22," ","~"))," "," | "),"~"," "))</f>
        <v/>
      </c>
    </row>
    <row r="23" spans="1:16" x14ac:dyDescent="0.2">
      <c r="A23" s="19" t="str">
        <f ca="1">IF(Calc!$AM23="","",ROW()-5)</f>
        <v/>
      </c>
      <c r="B23" s="20" t="str">
        <f ca="1">IF(Calc!$AM23="","",INT(Calc!$AK23))</f>
        <v/>
      </c>
      <c r="C23" s="21" t="str">
        <f ca="1">IF(Calc!$AM23="","",IF($H23&lt;Setup!$C$5,"PAST DUE: milestone date has passed",IF($B23&lt;Setup!$C$5,"LATE: order today, ask about rush",IF($B23&lt;Setup!$C$5+14,"Order within 2 weeks","Scheduled"))))</f>
        <v/>
      </c>
      <c r="D23" s="21" t="str">
        <f ca="1">IF(Calc!$AM23="","",TEXT($B23,"mmmm yyyy"))</f>
        <v/>
      </c>
      <c r="E23" s="21" t="str">
        <f ca="1">IF(Calc!$AM23="","",INDEX(Roster!$A$6:$A$505,Calc!$AM23)&amp;"")</f>
        <v/>
      </c>
      <c r="F23" s="21" t="str">
        <f ca="1">IF(Calc!$AM23="","",INDEX(Roster!$C$6:$C$505,Calc!$AM23)&amp;"")</f>
        <v/>
      </c>
      <c r="G23" s="19" t="str">
        <f ca="1">IF(Calc!$AM23="","",INDEX(Setup!$C$20:$C$34,Calc!$AN23))</f>
        <v/>
      </c>
      <c r="H23" s="20" t="str">
        <f ca="1">IF(Calc!$AM23="","",INDEX(Calc!$B$6:$P$505,Calc!$AM23,Calc!$AN23))</f>
        <v/>
      </c>
      <c r="I23" s="21" t="str">
        <f ca="1">IF(Calc!$AM23="","",INDEX(Setup!$D$20:$D$34,Calc!$AN23)&amp;"")</f>
        <v/>
      </c>
      <c r="J23" s="21" t="str">
        <f ca="1">IF(Calc!$AM23="","",INDEX(Setup!$E$20:$E$34,Calc!$AN23)&amp;"")</f>
        <v/>
      </c>
      <c r="K23" s="23" t="str">
        <f ca="1">IF(Calc!$AM23="","",INDEX(Setup!$F$20:$F$34,Calc!$AN23))</f>
        <v/>
      </c>
      <c r="L23" s="21" t="str">
        <f ca="1">IF(Calc!$AM23="","",SUBSTITUTE(SUBSTITUTE(SUBSTITUTE(SUBSTITUTE(INDEX(Setup!$H$20:$H$34,Calc!$AN23)&amp;"","{name}",$E23),"{years}",$G23),"{date}",TEXT($H23,"mmmm d, yyyy")),"{company}",Setup!$C$4))</f>
        <v/>
      </c>
      <c r="M23" s="21" t="str">
        <f ca="1">IF(Calc!$AM23="","",SUBSTITUTE(SUBSTITUTE(SUBSTITUTE(SUBSTITUTE(INDEX(Setup!$I$20:$I$34,Calc!$AN23)&amp;"","{name}",$E23),"{years}",$G23),"{date}",TEXT($H23,"mmmm d, yyyy")),"{company}",Setup!$C$4))</f>
        <v/>
      </c>
      <c r="N23" s="21" t="str">
        <f ca="1">IF(Calc!$AM23="","",SUBSTITUTE(SUBSTITUTE(SUBSTITUTE(SUBSTITUTE(INDEX(Setup!$J$20:$J$34,Calc!$AN23)&amp;"","{name}",$E23),"{years}",$G23),"{date}",TEXT($H23,"mmmm d, yyyy")),"{company}",Setup!$C$4))</f>
        <v/>
      </c>
      <c r="O23" s="21" t="str">
        <f ca="1">IF(Calc!$AM23="","",SUBSTITUTE(SUBSTITUTE(SUBSTITUTE(SUBSTITUTE(INDEX(Setup!$K$20:$K$34,Calc!$AN23)&amp;"","{name}",$E23),"{years}",$G23),"{date}",TEXT($H23,"mmmm d, yyyy")),"{company}",Setup!$C$4))</f>
        <v/>
      </c>
      <c r="P23" s="21" t="str">
        <f ca="1">IF(Calc!$AM23="","",SUBSTITUTE(SUBSTITUTE(TRIM(SUBSTITUTE($L23," ","~")&amp;" "&amp;SUBSTITUTE($M23," ","~")&amp;" "&amp;SUBSTITUTE($N23," ","~")&amp;" "&amp;SUBSTITUTE($O23," ","~"))," "," | "),"~"," "))</f>
        <v/>
      </c>
    </row>
    <row r="24" spans="1:16" x14ac:dyDescent="0.2">
      <c r="A24" s="19" t="str">
        <f ca="1">IF(Calc!$AM24="","",ROW()-5)</f>
        <v/>
      </c>
      <c r="B24" s="20" t="str">
        <f ca="1">IF(Calc!$AM24="","",INT(Calc!$AK24))</f>
        <v/>
      </c>
      <c r="C24" s="21" t="str">
        <f ca="1">IF(Calc!$AM24="","",IF($H24&lt;Setup!$C$5,"PAST DUE: milestone date has passed",IF($B24&lt;Setup!$C$5,"LATE: order today, ask about rush",IF($B24&lt;Setup!$C$5+14,"Order within 2 weeks","Scheduled"))))</f>
        <v/>
      </c>
      <c r="D24" s="21" t="str">
        <f ca="1">IF(Calc!$AM24="","",TEXT($B24,"mmmm yyyy"))</f>
        <v/>
      </c>
      <c r="E24" s="21" t="str">
        <f ca="1">IF(Calc!$AM24="","",INDEX(Roster!$A$6:$A$505,Calc!$AM24)&amp;"")</f>
        <v/>
      </c>
      <c r="F24" s="21" t="str">
        <f ca="1">IF(Calc!$AM24="","",INDEX(Roster!$C$6:$C$505,Calc!$AM24)&amp;"")</f>
        <v/>
      </c>
      <c r="G24" s="19" t="str">
        <f ca="1">IF(Calc!$AM24="","",INDEX(Setup!$C$20:$C$34,Calc!$AN24))</f>
        <v/>
      </c>
      <c r="H24" s="20" t="str">
        <f ca="1">IF(Calc!$AM24="","",INDEX(Calc!$B$6:$P$505,Calc!$AM24,Calc!$AN24))</f>
        <v/>
      </c>
      <c r="I24" s="21" t="str">
        <f ca="1">IF(Calc!$AM24="","",INDEX(Setup!$D$20:$D$34,Calc!$AN24)&amp;"")</f>
        <v/>
      </c>
      <c r="J24" s="21" t="str">
        <f ca="1">IF(Calc!$AM24="","",INDEX(Setup!$E$20:$E$34,Calc!$AN24)&amp;"")</f>
        <v/>
      </c>
      <c r="K24" s="23" t="str">
        <f ca="1">IF(Calc!$AM24="","",INDEX(Setup!$F$20:$F$34,Calc!$AN24))</f>
        <v/>
      </c>
      <c r="L24" s="21" t="str">
        <f ca="1">IF(Calc!$AM24="","",SUBSTITUTE(SUBSTITUTE(SUBSTITUTE(SUBSTITUTE(INDEX(Setup!$H$20:$H$34,Calc!$AN24)&amp;"","{name}",$E24),"{years}",$G24),"{date}",TEXT($H24,"mmmm d, yyyy")),"{company}",Setup!$C$4))</f>
        <v/>
      </c>
      <c r="M24" s="21" t="str">
        <f ca="1">IF(Calc!$AM24="","",SUBSTITUTE(SUBSTITUTE(SUBSTITUTE(SUBSTITUTE(INDEX(Setup!$I$20:$I$34,Calc!$AN24)&amp;"","{name}",$E24),"{years}",$G24),"{date}",TEXT($H24,"mmmm d, yyyy")),"{company}",Setup!$C$4))</f>
        <v/>
      </c>
      <c r="N24" s="21" t="str">
        <f ca="1">IF(Calc!$AM24="","",SUBSTITUTE(SUBSTITUTE(SUBSTITUTE(SUBSTITUTE(INDEX(Setup!$J$20:$J$34,Calc!$AN24)&amp;"","{name}",$E24),"{years}",$G24),"{date}",TEXT($H24,"mmmm d, yyyy")),"{company}",Setup!$C$4))</f>
        <v/>
      </c>
      <c r="O24" s="21" t="str">
        <f ca="1">IF(Calc!$AM24="","",SUBSTITUTE(SUBSTITUTE(SUBSTITUTE(SUBSTITUTE(INDEX(Setup!$K$20:$K$34,Calc!$AN24)&amp;"","{name}",$E24),"{years}",$G24),"{date}",TEXT($H24,"mmmm d, yyyy")),"{company}",Setup!$C$4))</f>
        <v/>
      </c>
      <c r="P24" s="21" t="str">
        <f ca="1">IF(Calc!$AM24="","",SUBSTITUTE(SUBSTITUTE(TRIM(SUBSTITUTE($L24," ","~")&amp;" "&amp;SUBSTITUTE($M24," ","~")&amp;" "&amp;SUBSTITUTE($N24," ","~")&amp;" "&amp;SUBSTITUTE($O24," ","~"))," "," | "),"~"," "))</f>
        <v/>
      </c>
    </row>
    <row r="25" spans="1:16" x14ac:dyDescent="0.2">
      <c r="A25" s="19" t="str">
        <f ca="1">IF(Calc!$AM25="","",ROW()-5)</f>
        <v/>
      </c>
      <c r="B25" s="20" t="str">
        <f ca="1">IF(Calc!$AM25="","",INT(Calc!$AK25))</f>
        <v/>
      </c>
      <c r="C25" s="21" t="str">
        <f ca="1">IF(Calc!$AM25="","",IF($H25&lt;Setup!$C$5,"PAST DUE: milestone date has passed",IF($B25&lt;Setup!$C$5,"LATE: order today, ask about rush",IF($B25&lt;Setup!$C$5+14,"Order within 2 weeks","Scheduled"))))</f>
        <v/>
      </c>
      <c r="D25" s="21" t="str">
        <f ca="1">IF(Calc!$AM25="","",TEXT($B25,"mmmm yyyy"))</f>
        <v/>
      </c>
      <c r="E25" s="21" t="str">
        <f ca="1">IF(Calc!$AM25="","",INDEX(Roster!$A$6:$A$505,Calc!$AM25)&amp;"")</f>
        <v/>
      </c>
      <c r="F25" s="21" t="str">
        <f ca="1">IF(Calc!$AM25="","",INDEX(Roster!$C$6:$C$505,Calc!$AM25)&amp;"")</f>
        <v/>
      </c>
      <c r="G25" s="19" t="str">
        <f ca="1">IF(Calc!$AM25="","",INDEX(Setup!$C$20:$C$34,Calc!$AN25))</f>
        <v/>
      </c>
      <c r="H25" s="20" t="str">
        <f ca="1">IF(Calc!$AM25="","",INDEX(Calc!$B$6:$P$505,Calc!$AM25,Calc!$AN25))</f>
        <v/>
      </c>
      <c r="I25" s="21" t="str">
        <f ca="1">IF(Calc!$AM25="","",INDEX(Setup!$D$20:$D$34,Calc!$AN25)&amp;"")</f>
        <v/>
      </c>
      <c r="J25" s="21" t="str">
        <f ca="1">IF(Calc!$AM25="","",INDEX(Setup!$E$20:$E$34,Calc!$AN25)&amp;"")</f>
        <v/>
      </c>
      <c r="K25" s="23" t="str">
        <f ca="1">IF(Calc!$AM25="","",INDEX(Setup!$F$20:$F$34,Calc!$AN25))</f>
        <v/>
      </c>
      <c r="L25" s="21" t="str">
        <f ca="1">IF(Calc!$AM25="","",SUBSTITUTE(SUBSTITUTE(SUBSTITUTE(SUBSTITUTE(INDEX(Setup!$H$20:$H$34,Calc!$AN25)&amp;"","{name}",$E25),"{years}",$G25),"{date}",TEXT($H25,"mmmm d, yyyy")),"{company}",Setup!$C$4))</f>
        <v/>
      </c>
      <c r="M25" s="21" t="str">
        <f ca="1">IF(Calc!$AM25="","",SUBSTITUTE(SUBSTITUTE(SUBSTITUTE(SUBSTITUTE(INDEX(Setup!$I$20:$I$34,Calc!$AN25)&amp;"","{name}",$E25),"{years}",$G25),"{date}",TEXT($H25,"mmmm d, yyyy")),"{company}",Setup!$C$4))</f>
        <v/>
      </c>
      <c r="N25" s="21" t="str">
        <f ca="1">IF(Calc!$AM25="","",SUBSTITUTE(SUBSTITUTE(SUBSTITUTE(SUBSTITUTE(INDEX(Setup!$J$20:$J$34,Calc!$AN25)&amp;"","{name}",$E25),"{years}",$G25),"{date}",TEXT($H25,"mmmm d, yyyy")),"{company}",Setup!$C$4))</f>
        <v/>
      </c>
      <c r="O25" s="21" t="str">
        <f ca="1">IF(Calc!$AM25="","",SUBSTITUTE(SUBSTITUTE(SUBSTITUTE(SUBSTITUTE(INDEX(Setup!$K$20:$K$34,Calc!$AN25)&amp;"","{name}",$E25),"{years}",$G25),"{date}",TEXT($H25,"mmmm d, yyyy")),"{company}",Setup!$C$4))</f>
        <v/>
      </c>
      <c r="P25" s="21" t="str">
        <f ca="1">IF(Calc!$AM25="","",SUBSTITUTE(SUBSTITUTE(TRIM(SUBSTITUTE($L25," ","~")&amp;" "&amp;SUBSTITUTE($M25," ","~")&amp;" "&amp;SUBSTITUTE($N25," ","~")&amp;" "&amp;SUBSTITUTE($O25," ","~"))," "," | "),"~"," "))</f>
        <v/>
      </c>
    </row>
    <row r="26" spans="1:16" x14ac:dyDescent="0.2">
      <c r="A26" s="19" t="str">
        <f ca="1">IF(Calc!$AM26="","",ROW()-5)</f>
        <v/>
      </c>
      <c r="B26" s="20" t="str">
        <f ca="1">IF(Calc!$AM26="","",INT(Calc!$AK26))</f>
        <v/>
      </c>
      <c r="C26" s="21" t="str">
        <f ca="1">IF(Calc!$AM26="","",IF($H26&lt;Setup!$C$5,"PAST DUE: milestone date has passed",IF($B26&lt;Setup!$C$5,"LATE: order today, ask about rush",IF($B26&lt;Setup!$C$5+14,"Order within 2 weeks","Scheduled"))))</f>
        <v/>
      </c>
      <c r="D26" s="21" t="str">
        <f ca="1">IF(Calc!$AM26="","",TEXT($B26,"mmmm yyyy"))</f>
        <v/>
      </c>
      <c r="E26" s="21" t="str">
        <f ca="1">IF(Calc!$AM26="","",INDEX(Roster!$A$6:$A$505,Calc!$AM26)&amp;"")</f>
        <v/>
      </c>
      <c r="F26" s="21" t="str">
        <f ca="1">IF(Calc!$AM26="","",INDEX(Roster!$C$6:$C$505,Calc!$AM26)&amp;"")</f>
        <v/>
      </c>
      <c r="G26" s="19" t="str">
        <f ca="1">IF(Calc!$AM26="","",INDEX(Setup!$C$20:$C$34,Calc!$AN26))</f>
        <v/>
      </c>
      <c r="H26" s="20" t="str">
        <f ca="1">IF(Calc!$AM26="","",INDEX(Calc!$B$6:$P$505,Calc!$AM26,Calc!$AN26))</f>
        <v/>
      </c>
      <c r="I26" s="21" t="str">
        <f ca="1">IF(Calc!$AM26="","",INDEX(Setup!$D$20:$D$34,Calc!$AN26)&amp;"")</f>
        <v/>
      </c>
      <c r="J26" s="21" t="str">
        <f ca="1">IF(Calc!$AM26="","",INDEX(Setup!$E$20:$E$34,Calc!$AN26)&amp;"")</f>
        <v/>
      </c>
      <c r="K26" s="23" t="str">
        <f ca="1">IF(Calc!$AM26="","",INDEX(Setup!$F$20:$F$34,Calc!$AN26))</f>
        <v/>
      </c>
      <c r="L26" s="21" t="str">
        <f ca="1">IF(Calc!$AM26="","",SUBSTITUTE(SUBSTITUTE(SUBSTITUTE(SUBSTITUTE(INDEX(Setup!$H$20:$H$34,Calc!$AN26)&amp;"","{name}",$E26),"{years}",$G26),"{date}",TEXT($H26,"mmmm d, yyyy")),"{company}",Setup!$C$4))</f>
        <v/>
      </c>
      <c r="M26" s="21" t="str">
        <f ca="1">IF(Calc!$AM26="","",SUBSTITUTE(SUBSTITUTE(SUBSTITUTE(SUBSTITUTE(INDEX(Setup!$I$20:$I$34,Calc!$AN26)&amp;"","{name}",$E26),"{years}",$G26),"{date}",TEXT($H26,"mmmm d, yyyy")),"{company}",Setup!$C$4))</f>
        <v/>
      </c>
      <c r="N26" s="21" t="str">
        <f ca="1">IF(Calc!$AM26="","",SUBSTITUTE(SUBSTITUTE(SUBSTITUTE(SUBSTITUTE(INDEX(Setup!$J$20:$J$34,Calc!$AN26)&amp;"","{name}",$E26),"{years}",$G26),"{date}",TEXT($H26,"mmmm d, yyyy")),"{company}",Setup!$C$4))</f>
        <v/>
      </c>
      <c r="O26" s="21" t="str">
        <f ca="1">IF(Calc!$AM26="","",SUBSTITUTE(SUBSTITUTE(SUBSTITUTE(SUBSTITUTE(INDEX(Setup!$K$20:$K$34,Calc!$AN26)&amp;"","{name}",$E26),"{years}",$G26),"{date}",TEXT($H26,"mmmm d, yyyy")),"{company}",Setup!$C$4))</f>
        <v/>
      </c>
      <c r="P26" s="21" t="str">
        <f ca="1">IF(Calc!$AM26="","",SUBSTITUTE(SUBSTITUTE(TRIM(SUBSTITUTE($L26," ","~")&amp;" "&amp;SUBSTITUTE($M26," ","~")&amp;" "&amp;SUBSTITUTE($N26," ","~")&amp;" "&amp;SUBSTITUTE($O26," ","~"))," "," | "),"~"," "))</f>
        <v/>
      </c>
    </row>
    <row r="27" spans="1:16" x14ac:dyDescent="0.2">
      <c r="A27" s="19" t="str">
        <f ca="1">IF(Calc!$AM27="","",ROW()-5)</f>
        <v/>
      </c>
      <c r="B27" s="20" t="str">
        <f ca="1">IF(Calc!$AM27="","",INT(Calc!$AK27))</f>
        <v/>
      </c>
      <c r="C27" s="21" t="str">
        <f ca="1">IF(Calc!$AM27="","",IF($H27&lt;Setup!$C$5,"PAST DUE: milestone date has passed",IF($B27&lt;Setup!$C$5,"LATE: order today, ask about rush",IF($B27&lt;Setup!$C$5+14,"Order within 2 weeks","Scheduled"))))</f>
        <v/>
      </c>
      <c r="D27" s="21" t="str">
        <f ca="1">IF(Calc!$AM27="","",TEXT($B27,"mmmm yyyy"))</f>
        <v/>
      </c>
      <c r="E27" s="21" t="str">
        <f ca="1">IF(Calc!$AM27="","",INDEX(Roster!$A$6:$A$505,Calc!$AM27)&amp;"")</f>
        <v/>
      </c>
      <c r="F27" s="21" t="str">
        <f ca="1">IF(Calc!$AM27="","",INDEX(Roster!$C$6:$C$505,Calc!$AM27)&amp;"")</f>
        <v/>
      </c>
      <c r="G27" s="19" t="str">
        <f ca="1">IF(Calc!$AM27="","",INDEX(Setup!$C$20:$C$34,Calc!$AN27))</f>
        <v/>
      </c>
      <c r="H27" s="20" t="str">
        <f ca="1">IF(Calc!$AM27="","",INDEX(Calc!$B$6:$P$505,Calc!$AM27,Calc!$AN27))</f>
        <v/>
      </c>
      <c r="I27" s="21" t="str">
        <f ca="1">IF(Calc!$AM27="","",INDEX(Setup!$D$20:$D$34,Calc!$AN27)&amp;"")</f>
        <v/>
      </c>
      <c r="J27" s="21" t="str">
        <f ca="1">IF(Calc!$AM27="","",INDEX(Setup!$E$20:$E$34,Calc!$AN27)&amp;"")</f>
        <v/>
      </c>
      <c r="K27" s="23" t="str">
        <f ca="1">IF(Calc!$AM27="","",INDEX(Setup!$F$20:$F$34,Calc!$AN27))</f>
        <v/>
      </c>
      <c r="L27" s="21" t="str">
        <f ca="1">IF(Calc!$AM27="","",SUBSTITUTE(SUBSTITUTE(SUBSTITUTE(SUBSTITUTE(INDEX(Setup!$H$20:$H$34,Calc!$AN27)&amp;"","{name}",$E27),"{years}",$G27),"{date}",TEXT($H27,"mmmm d, yyyy")),"{company}",Setup!$C$4))</f>
        <v/>
      </c>
      <c r="M27" s="21" t="str">
        <f ca="1">IF(Calc!$AM27="","",SUBSTITUTE(SUBSTITUTE(SUBSTITUTE(SUBSTITUTE(INDEX(Setup!$I$20:$I$34,Calc!$AN27)&amp;"","{name}",$E27),"{years}",$G27),"{date}",TEXT($H27,"mmmm d, yyyy")),"{company}",Setup!$C$4))</f>
        <v/>
      </c>
      <c r="N27" s="21" t="str">
        <f ca="1">IF(Calc!$AM27="","",SUBSTITUTE(SUBSTITUTE(SUBSTITUTE(SUBSTITUTE(INDEX(Setup!$J$20:$J$34,Calc!$AN27)&amp;"","{name}",$E27),"{years}",$G27),"{date}",TEXT($H27,"mmmm d, yyyy")),"{company}",Setup!$C$4))</f>
        <v/>
      </c>
      <c r="O27" s="21" t="str">
        <f ca="1">IF(Calc!$AM27="","",SUBSTITUTE(SUBSTITUTE(SUBSTITUTE(SUBSTITUTE(INDEX(Setup!$K$20:$K$34,Calc!$AN27)&amp;"","{name}",$E27),"{years}",$G27),"{date}",TEXT($H27,"mmmm d, yyyy")),"{company}",Setup!$C$4))</f>
        <v/>
      </c>
      <c r="P27" s="21" t="str">
        <f ca="1">IF(Calc!$AM27="","",SUBSTITUTE(SUBSTITUTE(TRIM(SUBSTITUTE($L27," ","~")&amp;" "&amp;SUBSTITUTE($M27," ","~")&amp;" "&amp;SUBSTITUTE($N27," ","~")&amp;" "&amp;SUBSTITUTE($O27," ","~"))," "," | "),"~"," "))</f>
        <v/>
      </c>
    </row>
    <row r="28" spans="1:16" x14ac:dyDescent="0.2">
      <c r="A28" s="19" t="str">
        <f ca="1">IF(Calc!$AM28="","",ROW()-5)</f>
        <v/>
      </c>
      <c r="B28" s="20" t="str">
        <f ca="1">IF(Calc!$AM28="","",INT(Calc!$AK28))</f>
        <v/>
      </c>
      <c r="C28" s="21" t="str">
        <f ca="1">IF(Calc!$AM28="","",IF($H28&lt;Setup!$C$5,"PAST DUE: milestone date has passed",IF($B28&lt;Setup!$C$5,"LATE: order today, ask about rush",IF($B28&lt;Setup!$C$5+14,"Order within 2 weeks","Scheduled"))))</f>
        <v/>
      </c>
      <c r="D28" s="21" t="str">
        <f ca="1">IF(Calc!$AM28="","",TEXT($B28,"mmmm yyyy"))</f>
        <v/>
      </c>
      <c r="E28" s="21" t="str">
        <f ca="1">IF(Calc!$AM28="","",INDEX(Roster!$A$6:$A$505,Calc!$AM28)&amp;"")</f>
        <v/>
      </c>
      <c r="F28" s="21" t="str">
        <f ca="1">IF(Calc!$AM28="","",INDEX(Roster!$C$6:$C$505,Calc!$AM28)&amp;"")</f>
        <v/>
      </c>
      <c r="G28" s="19" t="str">
        <f ca="1">IF(Calc!$AM28="","",INDEX(Setup!$C$20:$C$34,Calc!$AN28))</f>
        <v/>
      </c>
      <c r="H28" s="20" t="str">
        <f ca="1">IF(Calc!$AM28="","",INDEX(Calc!$B$6:$P$505,Calc!$AM28,Calc!$AN28))</f>
        <v/>
      </c>
      <c r="I28" s="21" t="str">
        <f ca="1">IF(Calc!$AM28="","",INDEX(Setup!$D$20:$D$34,Calc!$AN28)&amp;"")</f>
        <v/>
      </c>
      <c r="J28" s="21" t="str">
        <f ca="1">IF(Calc!$AM28="","",INDEX(Setup!$E$20:$E$34,Calc!$AN28)&amp;"")</f>
        <v/>
      </c>
      <c r="K28" s="23" t="str">
        <f ca="1">IF(Calc!$AM28="","",INDEX(Setup!$F$20:$F$34,Calc!$AN28))</f>
        <v/>
      </c>
      <c r="L28" s="21" t="str">
        <f ca="1">IF(Calc!$AM28="","",SUBSTITUTE(SUBSTITUTE(SUBSTITUTE(SUBSTITUTE(INDEX(Setup!$H$20:$H$34,Calc!$AN28)&amp;"","{name}",$E28),"{years}",$G28),"{date}",TEXT($H28,"mmmm d, yyyy")),"{company}",Setup!$C$4))</f>
        <v/>
      </c>
      <c r="M28" s="21" t="str">
        <f ca="1">IF(Calc!$AM28="","",SUBSTITUTE(SUBSTITUTE(SUBSTITUTE(SUBSTITUTE(INDEX(Setup!$I$20:$I$34,Calc!$AN28)&amp;"","{name}",$E28),"{years}",$G28),"{date}",TEXT($H28,"mmmm d, yyyy")),"{company}",Setup!$C$4))</f>
        <v/>
      </c>
      <c r="N28" s="21" t="str">
        <f ca="1">IF(Calc!$AM28="","",SUBSTITUTE(SUBSTITUTE(SUBSTITUTE(SUBSTITUTE(INDEX(Setup!$J$20:$J$34,Calc!$AN28)&amp;"","{name}",$E28),"{years}",$G28),"{date}",TEXT($H28,"mmmm d, yyyy")),"{company}",Setup!$C$4))</f>
        <v/>
      </c>
      <c r="O28" s="21" t="str">
        <f ca="1">IF(Calc!$AM28="","",SUBSTITUTE(SUBSTITUTE(SUBSTITUTE(SUBSTITUTE(INDEX(Setup!$K$20:$K$34,Calc!$AN28)&amp;"","{name}",$E28),"{years}",$G28),"{date}",TEXT($H28,"mmmm d, yyyy")),"{company}",Setup!$C$4))</f>
        <v/>
      </c>
      <c r="P28" s="21" t="str">
        <f ca="1">IF(Calc!$AM28="","",SUBSTITUTE(SUBSTITUTE(TRIM(SUBSTITUTE($L28," ","~")&amp;" "&amp;SUBSTITUTE($M28," ","~")&amp;" "&amp;SUBSTITUTE($N28," ","~")&amp;" "&amp;SUBSTITUTE($O28," ","~"))," "," | "),"~"," "))</f>
        <v/>
      </c>
    </row>
    <row r="29" spans="1:16" x14ac:dyDescent="0.2">
      <c r="A29" s="19" t="str">
        <f ca="1">IF(Calc!$AM29="","",ROW()-5)</f>
        <v/>
      </c>
      <c r="B29" s="20" t="str">
        <f ca="1">IF(Calc!$AM29="","",INT(Calc!$AK29))</f>
        <v/>
      </c>
      <c r="C29" s="21" t="str">
        <f ca="1">IF(Calc!$AM29="","",IF($H29&lt;Setup!$C$5,"PAST DUE: milestone date has passed",IF($B29&lt;Setup!$C$5,"LATE: order today, ask about rush",IF($B29&lt;Setup!$C$5+14,"Order within 2 weeks","Scheduled"))))</f>
        <v/>
      </c>
      <c r="D29" s="21" t="str">
        <f ca="1">IF(Calc!$AM29="","",TEXT($B29,"mmmm yyyy"))</f>
        <v/>
      </c>
      <c r="E29" s="21" t="str">
        <f ca="1">IF(Calc!$AM29="","",INDEX(Roster!$A$6:$A$505,Calc!$AM29)&amp;"")</f>
        <v/>
      </c>
      <c r="F29" s="21" t="str">
        <f ca="1">IF(Calc!$AM29="","",INDEX(Roster!$C$6:$C$505,Calc!$AM29)&amp;"")</f>
        <v/>
      </c>
      <c r="G29" s="19" t="str">
        <f ca="1">IF(Calc!$AM29="","",INDEX(Setup!$C$20:$C$34,Calc!$AN29))</f>
        <v/>
      </c>
      <c r="H29" s="20" t="str">
        <f ca="1">IF(Calc!$AM29="","",INDEX(Calc!$B$6:$P$505,Calc!$AM29,Calc!$AN29))</f>
        <v/>
      </c>
      <c r="I29" s="21" t="str">
        <f ca="1">IF(Calc!$AM29="","",INDEX(Setup!$D$20:$D$34,Calc!$AN29)&amp;"")</f>
        <v/>
      </c>
      <c r="J29" s="21" t="str">
        <f ca="1">IF(Calc!$AM29="","",INDEX(Setup!$E$20:$E$34,Calc!$AN29)&amp;"")</f>
        <v/>
      </c>
      <c r="K29" s="23" t="str">
        <f ca="1">IF(Calc!$AM29="","",INDEX(Setup!$F$20:$F$34,Calc!$AN29))</f>
        <v/>
      </c>
      <c r="L29" s="21" t="str">
        <f ca="1">IF(Calc!$AM29="","",SUBSTITUTE(SUBSTITUTE(SUBSTITUTE(SUBSTITUTE(INDEX(Setup!$H$20:$H$34,Calc!$AN29)&amp;"","{name}",$E29),"{years}",$G29),"{date}",TEXT($H29,"mmmm d, yyyy")),"{company}",Setup!$C$4))</f>
        <v/>
      </c>
      <c r="M29" s="21" t="str">
        <f ca="1">IF(Calc!$AM29="","",SUBSTITUTE(SUBSTITUTE(SUBSTITUTE(SUBSTITUTE(INDEX(Setup!$I$20:$I$34,Calc!$AN29)&amp;"","{name}",$E29),"{years}",$G29),"{date}",TEXT($H29,"mmmm d, yyyy")),"{company}",Setup!$C$4))</f>
        <v/>
      </c>
      <c r="N29" s="21" t="str">
        <f ca="1">IF(Calc!$AM29="","",SUBSTITUTE(SUBSTITUTE(SUBSTITUTE(SUBSTITUTE(INDEX(Setup!$J$20:$J$34,Calc!$AN29)&amp;"","{name}",$E29),"{years}",$G29),"{date}",TEXT($H29,"mmmm d, yyyy")),"{company}",Setup!$C$4))</f>
        <v/>
      </c>
      <c r="O29" s="21" t="str">
        <f ca="1">IF(Calc!$AM29="","",SUBSTITUTE(SUBSTITUTE(SUBSTITUTE(SUBSTITUTE(INDEX(Setup!$K$20:$K$34,Calc!$AN29)&amp;"","{name}",$E29),"{years}",$G29),"{date}",TEXT($H29,"mmmm d, yyyy")),"{company}",Setup!$C$4))</f>
        <v/>
      </c>
      <c r="P29" s="21" t="str">
        <f ca="1">IF(Calc!$AM29="","",SUBSTITUTE(SUBSTITUTE(TRIM(SUBSTITUTE($L29," ","~")&amp;" "&amp;SUBSTITUTE($M29," ","~")&amp;" "&amp;SUBSTITUTE($N29," ","~")&amp;" "&amp;SUBSTITUTE($O29," ","~"))," "," | "),"~"," "))</f>
        <v/>
      </c>
    </row>
    <row r="30" spans="1:16" x14ac:dyDescent="0.2">
      <c r="A30" s="19" t="str">
        <f ca="1">IF(Calc!$AM30="","",ROW()-5)</f>
        <v/>
      </c>
      <c r="B30" s="20" t="str">
        <f ca="1">IF(Calc!$AM30="","",INT(Calc!$AK30))</f>
        <v/>
      </c>
      <c r="C30" s="21" t="str">
        <f ca="1">IF(Calc!$AM30="","",IF($H30&lt;Setup!$C$5,"PAST DUE: milestone date has passed",IF($B30&lt;Setup!$C$5,"LATE: order today, ask about rush",IF($B30&lt;Setup!$C$5+14,"Order within 2 weeks","Scheduled"))))</f>
        <v/>
      </c>
      <c r="D30" s="21" t="str">
        <f ca="1">IF(Calc!$AM30="","",TEXT($B30,"mmmm yyyy"))</f>
        <v/>
      </c>
      <c r="E30" s="21" t="str">
        <f ca="1">IF(Calc!$AM30="","",INDEX(Roster!$A$6:$A$505,Calc!$AM30)&amp;"")</f>
        <v/>
      </c>
      <c r="F30" s="21" t="str">
        <f ca="1">IF(Calc!$AM30="","",INDEX(Roster!$C$6:$C$505,Calc!$AM30)&amp;"")</f>
        <v/>
      </c>
      <c r="G30" s="19" t="str">
        <f ca="1">IF(Calc!$AM30="","",INDEX(Setup!$C$20:$C$34,Calc!$AN30))</f>
        <v/>
      </c>
      <c r="H30" s="20" t="str">
        <f ca="1">IF(Calc!$AM30="","",INDEX(Calc!$B$6:$P$505,Calc!$AM30,Calc!$AN30))</f>
        <v/>
      </c>
      <c r="I30" s="21" t="str">
        <f ca="1">IF(Calc!$AM30="","",INDEX(Setup!$D$20:$D$34,Calc!$AN30)&amp;"")</f>
        <v/>
      </c>
      <c r="J30" s="21" t="str">
        <f ca="1">IF(Calc!$AM30="","",INDEX(Setup!$E$20:$E$34,Calc!$AN30)&amp;"")</f>
        <v/>
      </c>
      <c r="K30" s="23" t="str">
        <f ca="1">IF(Calc!$AM30="","",INDEX(Setup!$F$20:$F$34,Calc!$AN30))</f>
        <v/>
      </c>
      <c r="L30" s="21" t="str">
        <f ca="1">IF(Calc!$AM30="","",SUBSTITUTE(SUBSTITUTE(SUBSTITUTE(SUBSTITUTE(INDEX(Setup!$H$20:$H$34,Calc!$AN30)&amp;"","{name}",$E30),"{years}",$G30),"{date}",TEXT($H30,"mmmm d, yyyy")),"{company}",Setup!$C$4))</f>
        <v/>
      </c>
      <c r="M30" s="21" t="str">
        <f ca="1">IF(Calc!$AM30="","",SUBSTITUTE(SUBSTITUTE(SUBSTITUTE(SUBSTITUTE(INDEX(Setup!$I$20:$I$34,Calc!$AN30)&amp;"","{name}",$E30),"{years}",$G30),"{date}",TEXT($H30,"mmmm d, yyyy")),"{company}",Setup!$C$4))</f>
        <v/>
      </c>
      <c r="N30" s="21" t="str">
        <f ca="1">IF(Calc!$AM30="","",SUBSTITUTE(SUBSTITUTE(SUBSTITUTE(SUBSTITUTE(INDEX(Setup!$J$20:$J$34,Calc!$AN30)&amp;"","{name}",$E30),"{years}",$G30),"{date}",TEXT($H30,"mmmm d, yyyy")),"{company}",Setup!$C$4))</f>
        <v/>
      </c>
      <c r="O30" s="21" t="str">
        <f ca="1">IF(Calc!$AM30="","",SUBSTITUTE(SUBSTITUTE(SUBSTITUTE(SUBSTITUTE(INDEX(Setup!$K$20:$K$34,Calc!$AN30)&amp;"","{name}",$E30),"{years}",$G30),"{date}",TEXT($H30,"mmmm d, yyyy")),"{company}",Setup!$C$4))</f>
        <v/>
      </c>
      <c r="P30" s="21" t="str">
        <f ca="1">IF(Calc!$AM30="","",SUBSTITUTE(SUBSTITUTE(TRIM(SUBSTITUTE($L30," ","~")&amp;" "&amp;SUBSTITUTE($M30," ","~")&amp;" "&amp;SUBSTITUTE($N30," ","~")&amp;" "&amp;SUBSTITUTE($O30," ","~"))," "," | "),"~"," "))</f>
        <v/>
      </c>
    </row>
    <row r="31" spans="1:16" x14ac:dyDescent="0.2">
      <c r="A31" s="19" t="str">
        <f ca="1">IF(Calc!$AM31="","",ROW()-5)</f>
        <v/>
      </c>
      <c r="B31" s="20" t="str">
        <f ca="1">IF(Calc!$AM31="","",INT(Calc!$AK31))</f>
        <v/>
      </c>
      <c r="C31" s="21" t="str">
        <f ca="1">IF(Calc!$AM31="","",IF($H31&lt;Setup!$C$5,"PAST DUE: milestone date has passed",IF($B31&lt;Setup!$C$5,"LATE: order today, ask about rush",IF($B31&lt;Setup!$C$5+14,"Order within 2 weeks","Scheduled"))))</f>
        <v/>
      </c>
      <c r="D31" s="21" t="str">
        <f ca="1">IF(Calc!$AM31="","",TEXT($B31,"mmmm yyyy"))</f>
        <v/>
      </c>
      <c r="E31" s="21" t="str">
        <f ca="1">IF(Calc!$AM31="","",INDEX(Roster!$A$6:$A$505,Calc!$AM31)&amp;"")</f>
        <v/>
      </c>
      <c r="F31" s="21" t="str">
        <f ca="1">IF(Calc!$AM31="","",INDEX(Roster!$C$6:$C$505,Calc!$AM31)&amp;"")</f>
        <v/>
      </c>
      <c r="G31" s="19" t="str">
        <f ca="1">IF(Calc!$AM31="","",INDEX(Setup!$C$20:$C$34,Calc!$AN31))</f>
        <v/>
      </c>
      <c r="H31" s="20" t="str">
        <f ca="1">IF(Calc!$AM31="","",INDEX(Calc!$B$6:$P$505,Calc!$AM31,Calc!$AN31))</f>
        <v/>
      </c>
      <c r="I31" s="21" t="str">
        <f ca="1">IF(Calc!$AM31="","",INDEX(Setup!$D$20:$D$34,Calc!$AN31)&amp;"")</f>
        <v/>
      </c>
      <c r="J31" s="21" t="str">
        <f ca="1">IF(Calc!$AM31="","",INDEX(Setup!$E$20:$E$34,Calc!$AN31)&amp;"")</f>
        <v/>
      </c>
      <c r="K31" s="23" t="str">
        <f ca="1">IF(Calc!$AM31="","",INDEX(Setup!$F$20:$F$34,Calc!$AN31))</f>
        <v/>
      </c>
      <c r="L31" s="21" t="str">
        <f ca="1">IF(Calc!$AM31="","",SUBSTITUTE(SUBSTITUTE(SUBSTITUTE(SUBSTITUTE(INDEX(Setup!$H$20:$H$34,Calc!$AN31)&amp;"","{name}",$E31),"{years}",$G31),"{date}",TEXT($H31,"mmmm d, yyyy")),"{company}",Setup!$C$4))</f>
        <v/>
      </c>
      <c r="M31" s="21" t="str">
        <f ca="1">IF(Calc!$AM31="","",SUBSTITUTE(SUBSTITUTE(SUBSTITUTE(SUBSTITUTE(INDEX(Setup!$I$20:$I$34,Calc!$AN31)&amp;"","{name}",$E31),"{years}",$G31),"{date}",TEXT($H31,"mmmm d, yyyy")),"{company}",Setup!$C$4))</f>
        <v/>
      </c>
      <c r="N31" s="21" t="str">
        <f ca="1">IF(Calc!$AM31="","",SUBSTITUTE(SUBSTITUTE(SUBSTITUTE(SUBSTITUTE(INDEX(Setup!$J$20:$J$34,Calc!$AN31)&amp;"","{name}",$E31),"{years}",$G31),"{date}",TEXT($H31,"mmmm d, yyyy")),"{company}",Setup!$C$4))</f>
        <v/>
      </c>
      <c r="O31" s="21" t="str">
        <f ca="1">IF(Calc!$AM31="","",SUBSTITUTE(SUBSTITUTE(SUBSTITUTE(SUBSTITUTE(INDEX(Setup!$K$20:$K$34,Calc!$AN31)&amp;"","{name}",$E31),"{years}",$G31),"{date}",TEXT($H31,"mmmm d, yyyy")),"{company}",Setup!$C$4))</f>
        <v/>
      </c>
      <c r="P31" s="21" t="str">
        <f ca="1">IF(Calc!$AM31="","",SUBSTITUTE(SUBSTITUTE(TRIM(SUBSTITUTE($L31," ","~")&amp;" "&amp;SUBSTITUTE($M31," ","~")&amp;" "&amp;SUBSTITUTE($N31," ","~")&amp;" "&amp;SUBSTITUTE($O31," ","~"))," "," | "),"~"," "))</f>
        <v/>
      </c>
    </row>
    <row r="32" spans="1:16" x14ac:dyDescent="0.2">
      <c r="A32" s="19" t="str">
        <f ca="1">IF(Calc!$AM32="","",ROW()-5)</f>
        <v/>
      </c>
      <c r="B32" s="20" t="str">
        <f ca="1">IF(Calc!$AM32="","",INT(Calc!$AK32))</f>
        <v/>
      </c>
      <c r="C32" s="21" t="str">
        <f ca="1">IF(Calc!$AM32="","",IF($H32&lt;Setup!$C$5,"PAST DUE: milestone date has passed",IF($B32&lt;Setup!$C$5,"LATE: order today, ask about rush",IF($B32&lt;Setup!$C$5+14,"Order within 2 weeks","Scheduled"))))</f>
        <v/>
      </c>
      <c r="D32" s="21" t="str">
        <f ca="1">IF(Calc!$AM32="","",TEXT($B32,"mmmm yyyy"))</f>
        <v/>
      </c>
      <c r="E32" s="21" t="str">
        <f ca="1">IF(Calc!$AM32="","",INDEX(Roster!$A$6:$A$505,Calc!$AM32)&amp;"")</f>
        <v/>
      </c>
      <c r="F32" s="21" t="str">
        <f ca="1">IF(Calc!$AM32="","",INDEX(Roster!$C$6:$C$505,Calc!$AM32)&amp;"")</f>
        <v/>
      </c>
      <c r="G32" s="19" t="str">
        <f ca="1">IF(Calc!$AM32="","",INDEX(Setup!$C$20:$C$34,Calc!$AN32))</f>
        <v/>
      </c>
      <c r="H32" s="20" t="str">
        <f ca="1">IF(Calc!$AM32="","",INDEX(Calc!$B$6:$P$505,Calc!$AM32,Calc!$AN32))</f>
        <v/>
      </c>
      <c r="I32" s="21" t="str">
        <f ca="1">IF(Calc!$AM32="","",INDEX(Setup!$D$20:$D$34,Calc!$AN32)&amp;"")</f>
        <v/>
      </c>
      <c r="J32" s="21" t="str">
        <f ca="1">IF(Calc!$AM32="","",INDEX(Setup!$E$20:$E$34,Calc!$AN32)&amp;"")</f>
        <v/>
      </c>
      <c r="K32" s="23" t="str">
        <f ca="1">IF(Calc!$AM32="","",INDEX(Setup!$F$20:$F$34,Calc!$AN32))</f>
        <v/>
      </c>
      <c r="L32" s="21" t="str">
        <f ca="1">IF(Calc!$AM32="","",SUBSTITUTE(SUBSTITUTE(SUBSTITUTE(SUBSTITUTE(INDEX(Setup!$H$20:$H$34,Calc!$AN32)&amp;"","{name}",$E32),"{years}",$G32),"{date}",TEXT($H32,"mmmm d, yyyy")),"{company}",Setup!$C$4))</f>
        <v/>
      </c>
      <c r="M32" s="21" t="str">
        <f ca="1">IF(Calc!$AM32="","",SUBSTITUTE(SUBSTITUTE(SUBSTITUTE(SUBSTITUTE(INDEX(Setup!$I$20:$I$34,Calc!$AN32)&amp;"","{name}",$E32),"{years}",$G32),"{date}",TEXT($H32,"mmmm d, yyyy")),"{company}",Setup!$C$4))</f>
        <v/>
      </c>
      <c r="N32" s="21" t="str">
        <f ca="1">IF(Calc!$AM32="","",SUBSTITUTE(SUBSTITUTE(SUBSTITUTE(SUBSTITUTE(INDEX(Setup!$J$20:$J$34,Calc!$AN32)&amp;"","{name}",$E32),"{years}",$G32),"{date}",TEXT($H32,"mmmm d, yyyy")),"{company}",Setup!$C$4))</f>
        <v/>
      </c>
      <c r="O32" s="21" t="str">
        <f ca="1">IF(Calc!$AM32="","",SUBSTITUTE(SUBSTITUTE(SUBSTITUTE(SUBSTITUTE(INDEX(Setup!$K$20:$K$34,Calc!$AN32)&amp;"","{name}",$E32),"{years}",$G32),"{date}",TEXT($H32,"mmmm d, yyyy")),"{company}",Setup!$C$4))</f>
        <v/>
      </c>
      <c r="P32" s="21" t="str">
        <f ca="1">IF(Calc!$AM32="","",SUBSTITUTE(SUBSTITUTE(TRIM(SUBSTITUTE($L32," ","~")&amp;" "&amp;SUBSTITUTE($M32," ","~")&amp;" "&amp;SUBSTITUTE($N32," ","~")&amp;" "&amp;SUBSTITUTE($O32," ","~"))," "," | "),"~"," "))</f>
        <v/>
      </c>
    </row>
    <row r="33" spans="1:16" x14ac:dyDescent="0.2">
      <c r="A33" s="19" t="str">
        <f ca="1">IF(Calc!$AM33="","",ROW()-5)</f>
        <v/>
      </c>
      <c r="B33" s="20" t="str">
        <f ca="1">IF(Calc!$AM33="","",INT(Calc!$AK33))</f>
        <v/>
      </c>
      <c r="C33" s="21" t="str">
        <f ca="1">IF(Calc!$AM33="","",IF($H33&lt;Setup!$C$5,"PAST DUE: milestone date has passed",IF($B33&lt;Setup!$C$5,"LATE: order today, ask about rush",IF($B33&lt;Setup!$C$5+14,"Order within 2 weeks","Scheduled"))))</f>
        <v/>
      </c>
      <c r="D33" s="21" t="str">
        <f ca="1">IF(Calc!$AM33="","",TEXT($B33,"mmmm yyyy"))</f>
        <v/>
      </c>
      <c r="E33" s="21" t="str">
        <f ca="1">IF(Calc!$AM33="","",INDEX(Roster!$A$6:$A$505,Calc!$AM33)&amp;"")</f>
        <v/>
      </c>
      <c r="F33" s="21" t="str">
        <f ca="1">IF(Calc!$AM33="","",INDEX(Roster!$C$6:$C$505,Calc!$AM33)&amp;"")</f>
        <v/>
      </c>
      <c r="G33" s="19" t="str">
        <f ca="1">IF(Calc!$AM33="","",INDEX(Setup!$C$20:$C$34,Calc!$AN33))</f>
        <v/>
      </c>
      <c r="H33" s="20" t="str">
        <f ca="1">IF(Calc!$AM33="","",INDEX(Calc!$B$6:$P$505,Calc!$AM33,Calc!$AN33))</f>
        <v/>
      </c>
      <c r="I33" s="21" t="str">
        <f ca="1">IF(Calc!$AM33="","",INDEX(Setup!$D$20:$D$34,Calc!$AN33)&amp;"")</f>
        <v/>
      </c>
      <c r="J33" s="21" t="str">
        <f ca="1">IF(Calc!$AM33="","",INDEX(Setup!$E$20:$E$34,Calc!$AN33)&amp;"")</f>
        <v/>
      </c>
      <c r="K33" s="23" t="str">
        <f ca="1">IF(Calc!$AM33="","",INDEX(Setup!$F$20:$F$34,Calc!$AN33))</f>
        <v/>
      </c>
      <c r="L33" s="21" t="str">
        <f ca="1">IF(Calc!$AM33="","",SUBSTITUTE(SUBSTITUTE(SUBSTITUTE(SUBSTITUTE(INDEX(Setup!$H$20:$H$34,Calc!$AN33)&amp;"","{name}",$E33),"{years}",$G33),"{date}",TEXT($H33,"mmmm d, yyyy")),"{company}",Setup!$C$4))</f>
        <v/>
      </c>
      <c r="M33" s="21" t="str">
        <f ca="1">IF(Calc!$AM33="","",SUBSTITUTE(SUBSTITUTE(SUBSTITUTE(SUBSTITUTE(INDEX(Setup!$I$20:$I$34,Calc!$AN33)&amp;"","{name}",$E33),"{years}",$G33),"{date}",TEXT($H33,"mmmm d, yyyy")),"{company}",Setup!$C$4))</f>
        <v/>
      </c>
      <c r="N33" s="21" t="str">
        <f ca="1">IF(Calc!$AM33="","",SUBSTITUTE(SUBSTITUTE(SUBSTITUTE(SUBSTITUTE(INDEX(Setup!$J$20:$J$34,Calc!$AN33)&amp;"","{name}",$E33),"{years}",$G33),"{date}",TEXT($H33,"mmmm d, yyyy")),"{company}",Setup!$C$4))</f>
        <v/>
      </c>
      <c r="O33" s="21" t="str">
        <f ca="1">IF(Calc!$AM33="","",SUBSTITUTE(SUBSTITUTE(SUBSTITUTE(SUBSTITUTE(INDEX(Setup!$K$20:$K$34,Calc!$AN33)&amp;"","{name}",$E33),"{years}",$G33),"{date}",TEXT($H33,"mmmm d, yyyy")),"{company}",Setup!$C$4))</f>
        <v/>
      </c>
      <c r="P33" s="21" t="str">
        <f ca="1">IF(Calc!$AM33="","",SUBSTITUTE(SUBSTITUTE(TRIM(SUBSTITUTE($L33," ","~")&amp;" "&amp;SUBSTITUTE($M33," ","~")&amp;" "&amp;SUBSTITUTE($N33," ","~")&amp;" "&amp;SUBSTITUTE($O33," ","~"))," "," | "),"~"," "))</f>
        <v/>
      </c>
    </row>
    <row r="34" spans="1:16" x14ac:dyDescent="0.2">
      <c r="A34" s="19" t="str">
        <f ca="1">IF(Calc!$AM34="","",ROW()-5)</f>
        <v/>
      </c>
      <c r="B34" s="20" t="str">
        <f ca="1">IF(Calc!$AM34="","",INT(Calc!$AK34))</f>
        <v/>
      </c>
      <c r="C34" s="21" t="str">
        <f ca="1">IF(Calc!$AM34="","",IF($H34&lt;Setup!$C$5,"PAST DUE: milestone date has passed",IF($B34&lt;Setup!$C$5,"LATE: order today, ask about rush",IF($B34&lt;Setup!$C$5+14,"Order within 2 weeks","Scheduled"))))</f>
        <v/>
      </c>
      <c r="D34" s="21" t="str">
        <f ca="1">IF(Calc!$AM34="","",TEXT($B34,"mmmm yyyy"))</f>
        <v/>
      </c>
      <c r="E34" s="21" t="str">
        <f ca="1">IF(Calc!$AM34="","",INDEX(Roster!$A$6:$A$505,Calc!$AM34)&amp;"")</f>
        <v/>
      </c>
      <c r="F34" s="21" t="str">
        <f ca="1">IF(Calc!$AM34="","",INDEX(Roster!$C$6:$C$505,Calc!$AM34)&amp;"")</f>
        <v/>
      </c>
      <c r="G34" s="19" t="str">
        <f ca="1">IF(Calc!$AM34="","",INDEX(Setup!$C$20:$C$34,Calc!$AN34))</f>
        <v/>
      </c>
      <c r="H34" s="20" t="str">
        <f ca="1">IF(Calc!$AM34="","",INDEX(Calc!$B$6:$P$505,Calc!$AM34,Calc!$AN34))</f>
        <v/>
      </c>
      <c r="I34" s="21" t="str">
        <f ca="1">IF(Calc!$AM34="","",INDEX(Setup!$D$20:$D$34,Calc!$AN34)&amp;"")</f>
        <v/>
      </c>
      <c r="J34" s="21" t="str">
        <f ca="1">IF(Calc!$AM34="","",INDEX(Setup!$E$20:$E$34,Calc!$AN34)&amp;"")</f>
        <v/>
      </c>
      <c r="K34" s="23" t="str">
        <f ca="1">IF(Calc!$AM34="","",INDEX(Setup!$F$20:$F$34,Calc!$AN34))</f>
        <v/>
      </c>
      <c r="L34" s="21" t="str">
        <f ca="1">IF(Calc!$AM34="","",SUBSTITUTE(SUBSTITUTE(SUBSTITUTE(SUBSTITUTE(INDEX(Setup!$H$20:$H$34,Calc!$AN34)&amp;"","{name}",$E34),"{years}",$G34),"{date}",TEXT($H34,"mmmm d, yyyy")),"{company}",Setup!$C$4))</f>
        <v/>
      </c>
      <c r="M34" s="21" t="str">
        <f ca="1">IF(Calc!$AM34="","",SUBSTITUTE(SUBSTITUTE(SUBSTITUTE(SUBSTITUTE(INDEX(Setup!$I$20:$I$34,Calc!$AN34)&amp;"","{name}",$E34),"{years}",$G34),"{date}",TEXT($H34,"mmmm d, yyyy")),"{company}",Setup!$C$4))</f>
        <v/>
      </c>
      <c r="N34" s="21" t="str">
        <f ca="1">IF(Calc!$AM34="","",SUBSTITUTE(SUBSTITUTE(SUBSTITUTE(SUBSTITUTE(INDEX(Setup!$J$20:$J$34,Calc!$AN34)&amp;"","{name}",$E34),"{years}",$G34),"{date}",TEXT($H34,"mmmm d, yyyy")),"{company}",Setup!$C$4))</f>
        <v/>
      </c>
      <c r="O34" s="21" t="str">
        <f ca="1">IF(Calc!$AM34="","",SUBSTITUTE(SUBSTITUTE(SUBSTITUTE(SUBSTITUTE(INDEX(Setup!$K$20:$K$34,Calc!$AN34)&amp;"","{name}",$E34),"{years}",$G34),"{date}",TEXT($H34,"mmmm d, yyyy")),"{company}",Setup!$C$4))</f>
        <v/>
      </c>
      <c r="P34" s="21" t="str">
        <f ca="1">IF(Calc!$AM34="","",SUBSTITUTE(SUBSTITUTE(TRIM(SUBSTITUTE($L34," ","~")&amp;" "&amp;SUBSTITUTE($M34," ","~")&amp;" "&amp;SUBSTITUTE($N34," ","~")&amp;" "&amp;SUBSTITUTE($O34," ","~"))," "," | "),"~"," "))</f>
        <v/>
      </c>
    </row>
    <row r="35" spans="1:16" x14ac:dyDescent="0.2">
      <c r="A35" s="19" t="str">
        <f ca="1">IF(Calc!$AM35="","",ROW()-5)</f>
        <v/>
      </c>
      <c r="B35" s="20" t="str">
        <f ca="1">IF(Calc!$AM35="","",INT(Calc!$AK35))</f>
        <v/>
      </c>
      <c r="C35" s="21" t="str">
        <f ca="1">IF(Calc!$AM35="","",IF($H35&lt;Setup!$C$5,"PAST DUE: milestone date has passed",IF($B35&lt;Setup!$C$5,"LATE: order today, ask about rush",IF($B35&lt;Setup!$C$5+14,"Order within 2 weeks","Scheduled"))))</f>
        <v/>
      </c>
      <c r="D35" s="21" t="str">
        <f ca="1">IF(Calc!$AM35="","",TEXT($B35,"mmmm yyyy"))</f>
        <v/>
      </c>
      <c r="E35" s="21" t="str">
        <f ca="1">IF(Calc!$AM35="","",INDEX(Roster!$A$6:$A$505,Calc!$AM35)&amp;"")</f>
        <v/>
      </c>
      <c r="F35" s="21" t="str">
        <f ca="1">IF(Calc!$AM35="","",INDEX(Roster!$C$6:$C$505,Calc!$AM35)&amp;"")</f>
        <v/>
      </c>
      <c r="G35" s="19" t="str">
        <f ca="1">IF(Calc!$AM35="","",INDEX(Setup!$C$20:$C$34,Calc!$AN35))</f>
        <v/>
      </c>
      <c r="H35" s="20" t="str">
        <f ca="1">IF(Calc!$AM35="","",INDEX(Calc!$B$6:$P$505,Calc!$AM35,Calc!$AN35))</f>
        <v/>
      </c>
      <c r="I35" s="21" t="str">
        <f ca="1">IF(Calc!$AM35="","",INDEX(Setup!$D$20:$D$34,Calc!$AN35)&amp;"")</f>
        <v/>
      </c>
      <c r="J35" s="21" t="str">
        <f ca="1">IF(Calc!$AM35="","",INDEX(Setup!$E$20:$E$34,Calc!$AN35)&amp;"")</f>
        <v/>
      </c>
      <c r="K35" s="23" t="str">
        <f ca="1">IF(Calc!$AM35="","",INDEX(Setup!$F$20:$F$34,Calc!$AN35))</f>
        <v/>
      </c>
      <c r="L35" s="21" t="str">
        <f ca="1">IF(Calc!$AM35="","",SUBSTITUTE(SUBSTITUTE(SUBSTITUTE(SUBSTITUTE(INDEX(Setup!$H$20:$H$34,Calc!$AN35)&amp;"","{name}",$E35),"{years}",$G35),"{date}",TEXT($H35,"mmmm d, yyyy")),"{company}",Setup!$C$4))</f>
        <v/>
      </c>
      <c r="M35" s="21" t="str">
        <f ca="1">IF(Calc!$AM35="","",SUBSTITUTE(SUBSTITUTE(SUBSTITUTE(SUBSTITUTE(INDEX(Setup!$I$20:$I$34,Calc!$AN35)&amp;"","{name}",$E35),"{years}",$G35),"{date}",TEXT($H35,"mmmm d, yyyy")),"{company}",Setup!$C$4))</f>
        <v/>
      </c>
      <c r="N35" s="21" t="str">
        <f ca="1">IF(Calc!$AM35="","",SUBSTITUTE(SUBSTITUTE(SUBSTITUTE(SUBSTITUTE(INDEX(Setup!$J$20:$J$34,Calc!$AN35)&amp;"","{name}",$E35),"{years}",$G35),"{date}",TEXT($H35,"mmmm d, yyyy")),"{company}",Setup!$C$4))</f>
        <v/>
      </c>
      <c r="O35" s="21" t="str">
        <f ca="1">IF(Calc!$AM35="","",SUBSTITUTE(SUBSTITUTE(SUBSTITUTE(SUBSTITUTE(INDEX(Setup!$K$20:$K$34,Calc!$AN35)&amp;"","{name}",$E35),"{years}",$G35),"{date}",TEXT($H35,"mmmm d, yyyy")),"{company}",Setup!$C$4))</f>
        <v/>
      </c>
      <c r="P35" s="21" t="str">
        <f ca="1">IF(Calc!$AM35="","",SUBSTITUTE(SUBSTITUTE(TRIM(SUBSTITUTE($L35," ","~")&amp;" "&amp;SUBSTITUTE($M35," ","~")&amp;" "&amp;SUBSTITUTE($N35," ","~")&amp;" "&amp;SUBSTITUTE($O35," ","~"))," "," | "),"~"," "))</f>
        <v/>
      </c>
    </row>
    <row r="36" spans="1:16" x14ac:dyDescent="0.2">
      <c r="A36" s="19" t="str">
        <f ca="1">IF(Calc!$AM36="","",ROW()-5)</f>
        <v/>
      </c>
      <c r="B36" s="20" t="str">
        <f ca="1">IF(Calc!$AM36="","",INT(Calc!$AK36))</f>
        <v/>
      </c>
      <c r="C36" s="21" t="str">
        <f ca="1">IF(Calc!$AM36="","",IF($H36&lt;Setup!$C$5,"PAST DUE: milestone date has passed",IF($B36&lt;Setup!$C$5,"LATE: order today, ask about rush",IF($B36&lt;Setup!$C$5+14,"Order within 2 weeks","Scheduled"))))</f>
        <v/>
      </c>
      <c r="D36" s="21" t="str">
        <f ca="1">IF(Calc!$AM36="","",TEXT($B36,"mmmm yyyy"))</f>
        <v/>
      </c>
      <c r="E36" s="21" t="str">
        <f ca="1">IF(Calc!$AM36="","",INDEX(Roster!$A$6:$A$505,Calc!$AM36)&amp;"")</f>
        <v/>
      </c>
      <c r="F36" s="21" t="str">
        <f ca="1">IF(Calc!$AM36="","",INDEX(Roster!$C$6:$C$505,Calc!$AM36)&amp;"")</f>
        <v/>
      </c>
      <c r="G36" s="19" t="str">
        <f ca="1">IF(Calc!$AM36="","",INDEX(Setup!$C$20:$C$34,Calc!$AN36))</f>
        <v/>
      </c>
      <c r="H36" s="20" t="str">
        <f ca="1">IF(Calc!$AM36="","",INDEX(Calc!$B$6:$P$505,Calc!$AM36,Calc!$AN36))</f>
        <v/>
      </c>
      <c r="I36" s="21" t="str">
        <f ca="1">IF(Calc!$AM36="","",INDEX(Setup!$D$20:$D$34,Calc!$AN36)&amp;"")</f>
        <v/>
      </c>
      <c r="J36" s="21" t="str">
        <f ca="1">IF(Calc!$AM36="","",INDEX(Setup!$E$20:$E$34,Calc!$AN36)&amp;"")</f>
        <v/>
      </c>
      <c r="K36" s="23" t="str">
        <f ca="1">IF(Calc!$AM36="","",INDEX(Setup!$F$20:$F$34,Calc!$AN36))</f>
        <v/>
      </c>
      <c r="L36" s="21" t="str">
        <f ca="1">IF(Calc!$AM36="","",SUBSTITUTE(SUBSTITUTE(SUBSTITUTE(SUBSTITUTE(INDEX(Setup!$H$20:$H$34,Calc!$AN36)&amp;"","{name}",$E36),"{years}",$G36),"{date}",TEXT($H36,"mmmm d, yyyy")),"{company}",Setup!$C$4))</f>
        <v/>
      </c>
      <c r="M36" s="21" t="str">
        <f ca="1">IF(Calc!$AM36="","",SUBSTITUTE(SUBSTITUTE(SUBSTITUTE(SUBSTITUTE(INDEX(Setup!$I$20:$I$34,Calc!$AN36)&amp;"","{name}",$E36),"{years}",$G36),"{date}",TEXT($H36,"mmmm d, yyyy")),"{company}",Setup!$C$4))</f>
        <v/>
      </c>
      <c r="N36" s="21" t="str">
        <f ca="1">IF(Calc!$AM36="","",SUBSTITUTE(SUBSTITUTE(SUBSTITUTE(SUBSTITUTE(INDEX(Setup!$J$20:$J$34,Calc!$AN36)&amp;"","{name}",$E36),"{years}",$G36),"{date}",TEXT($H36,"mmmm d, yyyy")),"{company}",Setup!$C$4))</f>
        <v/>
      </c>
      <c r="O36" s="21" t="str">
        <f ca="1">IF(Calc!$AM36="","",SUBSTITUTE(SUBSTITUTE(SUBSTITUTE(SUBSTITUTE(INDEX(Setup!$K$20:$K$34,Calc!$AN36)&amp;"","{name}",$E36),"{years}",$G36),"{date}",TEXT($H36,"mmmm d, yyyy")),"{company}",Setup!$C$4))</f>
        <v/>
      </c>
      <c r="P36" s="21" t="str">
        <f ca="1">IF(Calc!$AM36="","",SUBSTITUTE(SUBSTITUTE(TRIM(SUBSTITUTE($L36," ","~")&amp;" "&amp;SUBSTITUTE($M36," ","~")&amp;" "&amp;SUBSTITUTE($N36," ","~")&amp;" "&amp;SUBSTITUTE($O36," ","~"))," "," | "),"~"," "))</f>
        <v/>
      </c>
    </row>
    <row r="37" spans="1:16" x14ac:dyDescent="0.2">
      <c r="A37" s="19" t="str">
        <f ca="1">IF(Calc!$AM37="","",ROW()-5)</f>
        <v/>
      </c>
      <c r="B37" s="20" t="str">
        <f ca="1">IF(Calc!$AM37="","",INT(Calc!$AK37))</f>
        <v/>
      </c>
      <c r="C37" s="21" t="str">
        <f ca="1">IF(Calc!$AM37="","",IF($H37&lt;Setup!$C$5,"PAST DUE: milestone date has passed",IF($B37&lt;Setup!$C$5,"LATE: order today, ask about rush",IF($B37&lt;Setup!$C$5+14,"Order within 2 weeks","Scheduled"))))</f>
        <v/>
      </c>
      <c r="D37" s="21" t="str">
        <f ca="1">IF(Calc!$AM37="","",TEXT($B37,"mmmm yyyy"))</f>
        <v/>
      </c>
      <c r="E37" s="21" t="str">
        <f ca="1">IF(Calc!$AM37="","",INDEX(Roster!$A$6:$A$505,Calc!$AM37)&amp;"")</f>
        <v/>
      </c>
      <c r="F37" s="21" t="str">
        <f ca="1">IF(Calc!$AM37="","",INDEX(Roster!$C$6:$C$505,Calc!$AM37)&amp;"")</f>
        <v/>
      </c>
      <c r="G37" s="19" t="str">
        <f ca="1">IF(Calc!$AM37="","",INDEX(Setup!$C$20:$C$34,Calc!$AN37))</f>
        <v/>
      </c>
      <c r="H37" s="20" t="str">
        <f ca="1">IF(Calc!$AM37="","",INDEX(Calc!$B$6:$P$505,Calc!$AM37,Calc!$AN37))</f>
        <v/>
      </c>
      <c r="I37" s="21" t="str">
        <f ca="1">IF(Calc!$AM37="","",INDEX(Setup!$D$20:$D$34,Calc!$AN37)&amp;"")</f>
        <v/>
      </c>
      <c r="J37" s="21" t="str">
        <f ca="1">IF(Calc!$AM37="","",INDEX(Setup!$E$20:$E$34,Calc!$AN37)&amp;"")</f>
        <v/>
      </c>
      <c r="K37" s="23" t="str">
        <f ca="1">IF(Calc!$AM37="","",INDEX(Setup!$F$20:$F$34,Calc!$AN37))</f>
        <v/>
      </c>
      <c r="L37" s="21" t="str">
        <f ca="1">IF(Calc!$AM37="","",SUBSTITUTE(SUBSTITUTE(SUBSTITUTE(SUBSTITUTE(INDEX(Setup!$H$20:$H$34,Calc!$AN37)&amp;"","{name}",$E37),"{years}",$G37),"{date}",TEXT($H37,"mmmm d, yyyy")),"{company}",Setup!$C$4))</f>
        <v/>
      </c>
      <c r="M37" s="21" t="str">
        <f ca="1">IF(Calc!$AM37="","",SUBSTITUTE(SUBSTITUTE(SUBSTITUTE(SUBSTITUTE(INDEX(Setup!$I$20:$I$34,Calc!$AN37)&amp;"","{name}",$E37),"{years}",$G37),"{date}",TEXT($H37,"mmmm d, yyyy")),"{company}",Setup!$C$4))</f>
        <v/>
      </c>
      <c r="N37" s="21" t="str">
        <f ca="1">IF(Calc!$AM37="","",SUBSTITUTE(SUBSTITUTE(SUBSTITUTE(SUBSTITUTE(INDEX(Setup!$J$20:$J$34,Calc!$AN37)&amp;"","{name}",$E37),"{years}",$G37),"{date}",TEXT($H37,"mmmm d, yyyy")),"{company}",Setup!$C$4))</f>
        <v/>
      </c>
      <c r="O37" s="21" t="str">
        <f ca="1">IF(Calc!$AM37="","",SUBSTITUTE(SUBSTITUTE(SUBSTITUTE(SUBSTITUTE(INDEX(Setup!$K$20:$K$34,Calc!$AN37)&amp;"","{name}",$E37),"{years}",$G37),"{date}",TEXT($H37,"mmmm d, yyyy")),"{company}",Setup!$C$4))</f>
        <v/>
      </c>
      <c r="P37" s="21" t="str">
        <f ca="1">IF(Calc!$AM37="","",SUBSTITUTE(SUBSTITUTE(TRIM(SUBSTITUTE($L37," ","~")&amp;" "&amp;SUBSTITUTE($M37," ","~")&amp;" "&amp;SUBSTITUTE($N37," ","~")&amp;" "&amp;SUBSTITUTE($O37," ","~"))," "," | "),"~"," "))</f>
        <v/>
      </c>
    </row>
    <row r="38" spans="1:16" x14ac:dyDescent="0.2">
      <c r="A38" s="19" t="str">
        <f ca="1">IF(Calc!$AM38="","",ROW()-5)</f>
        <v/>
      </c>
      <c r="B38" s="20" t="str">
        <f ca="1">IF(Calc!$AM38="","",INT(Calc!$AK38))</f>
        <v/>
      </c>
      <c r="C38" s="21" t="str">
        <f ca="1">IF(Calc!$AM38="","",IF($H38&lt;Setup!$C$5,"PAST DUE: milestone date has passed",IF($B38&lt;Setup!$C$5,"LATE: order today, ask about rush",IF($B38&lt;Setup!$C$5+14,"Order within 2 weeks","Scheduled"))))</f>
        <v/>
      </c>
      <c r="D38" s="21" t="str">
        <f ca="1">IF(Calc!$AM38="","",TEXT($B38,"mmmm yyyy"))</f>
        <v/>
      </c>
      <c r="E38" s="21" t="str">
        <f ca="1">IF(Calc!$AM38="","",INDEX(Roster!$A$6:$A$505,Calc!$AM38)&amp;"")</f>
        <v/>
      </c>
      <c r="F38" s="21" t="str">
        <f ca="1">IF(Calc!$AM38="","",INDEX(Roster!$C$6:$C$505,Calc!$AM38)&amp;"")</f>
        <v/>
      </c>
      <c r="G38" s="19" t="str">
        <f ca="1">IF(Calc!$AM38="","",INDEX(Setup!$C$20:$C$34,Calc!$AN38))</f>
        <v/>
      </c>
      <c r="H38" s="20" t="str">
        <f ca="1">IF(Calc!$AM38="","",INDEX(Calc!$B$6:$P$505,Calc!$AM38,Calc!$AN38))</f>
        <v/>
      </c>
      <c r="I38" s="21" t="str">
        <f ca="1">IF(Calc!$AM38="","",INDEX(Setup!$D$20:$D$34,Calc!$AN38)&amp;"")</f>
        <v/>
      </c>
      <c r="J38" s="21" t="str">
        <f ca="1">IF(Calc!$AM38="","",INDEX(Setup!$E$20:$E$34,Calc!$AN38)&amp;"")</f>
        <v/>
      </c>
      <c r="K38" s="23" t="str">
        <f ca="1">IF(Calc!$AM38="","",INDEX(Setup!$F$20:$F$34,Calc!$AN38))</f>
        <v/>
      </c>
      <c r="L38" s="21" t="str">
        <f ca="1">IF(Calc!$AM38="","",SUBSTITUTE(SUBSTITUTE(SUBSTITUTE(SUBSTITUTE(INDEX(Setup!$H$20:$H$34,Calc!$AN38)&amp;"","{name}",$E38),"{years}",$G38),"{date}",TEXT($H38,"mmmm d, yyyy")),"{company}",Setup!$C$4))</f>
        <v/>
      </c>
      <c r="M38" s="21" t="str">
        <f ca="1">IF(Calc!$AM38="","",SUBSTITUTE(SUBSTITUTE(SUBSTITUTE(SUBSTITUTE(INDEX(Setup!$I$20:$I$34,Calc!$AN38)&amp;"","{name}",$E38),"{years}",$G38),"{date}",TEXT($H38,"mmmm d, yyyy")),"{company}",Setup!$C$4))</f>
        <v/>
      </c>
      <c r="N38" s="21" t="str">
        <f ca="1">IF(Calc!$AM38="","",SUBSTITUTE(SUBSTITUTE(SUBSTITUTE(SUBSTITUTE(INDEX(Setup!$J$20:$J$34,Calc!$AN38)&amp;"","{name}",$E38),"{years}",$G38),"{date}",TEXT($H38,"mmmm d, yyyy")),"{company}",Setup!$C$4))</f>
        <v/>
      </c>
      <c r="O38" s="21" t="str">
        <f ca="1">IF(Calc!$AM38="","",SUBSTITUTE(SUBSTITUTE(SUBSTITUTE(SUBSTITUTE(INDEX(Setup!$K$20:$K$34,Calc!$AN38)&amp;"","{name}",$E38),"{years}",$G38),"{date}",TEXT($H38,"mmmm d, yyyy")),"{company}",Setup!$C$4))</f>
        <v/>
      </c>
      <c r="P38" s="21" t="str">
        <f ca="1">IF(Calc!$AM38="","",SUBSTITUTE(SUBSTITUTE(TRIM(SUBSTITUTE($L38," ","~")&amp;" "&amp;SUBSTITUTE($M38," ","~")&amp;" "&amp;SUBSTITUTE($N38," ","~")&amp;" "&amp;SUBSTITUTE($O38," ","~"))," "," | "),"~"," "))</f>
        <v/>
      </c>
    </row>
    <row r="39" spans="1:16" x14ac:dyDescent="0.2">
      <c r="A39" s="19" t="str">
        <f ca="1">IF(Calc!$AM39="","",ROW()-5)</f>
        <v/>
      </c>
      <c r="B39" s="20" t="str">
        <f ca="1">IF(Calc!$AM39="","",INT(Calc!$AK39))</f>
        <v/>
      </c>
      <c r="C39" s="21" t="str">
        <f ca="1">IF(Calc!$AM39="","",IF($H39&lt;Setup!$C$5,"PAST DUE: milestone date has passed",IF($B39&lt;Setup!$C$5,"LATE: order today, ask about rush",IF($B39&lt;Setup!$C$5+14,"Order within 2 weeks","Scheduled"))))</f>
        <v/>
      </c>
      <c r="D39" s="21" t="str">
        <f ca="1">IF(Calc!$AM39="","",TEXT($B39,"mmmm yyyy"))</f>
        <v/>
      </c>
      <c r="E39" s="21" t="str">
        <f ca="1">IF(Calc!$AM39="","",INDEX(Roster!$A$6:$A$505,Calc!$AM39)&amp;"")</f>
        <v/>
      </c>
      <c r="F39" s="21" t="str">
        <f ca="1">IF(Calc!$AM39="","",INDEX(Roster!$C$6:$C$505,Calc!$AM39)&amp;"")</f>
        <v/>
      </c>
      <c r="G39" s="19" t="str">
        <f ca="1">IF(Calc!$AM39="","",INDEX(Setup!$C$20:$C$34,Calc!$AN39))</f>
        <v/>
      </c>
      <c r="H39" s="20" t="str">
        <f ca="1">IF(Calc!$AM39="","",INDEX(Calc!$B$6:$P$505,Calc!$AM39,Calc!$AN39))</f>
        <v/>
      </c>
      <c r="I39" s="21" t="str">
        <f ca="1">IF(Calc!$AM39="","",INDEX(Setup!$D$20:$D$34,Calc!$AN39)&amp;"")</f>
        <v/>
      </c>
      <c r="J39" s="21" t="str">
        <f ca="1">IF(Calc!$AM39="","",INDEX(Setup!$E$20:$E$34,Calc!$AN39)&amp;"")</f>
        <v/>
      </c>
      <c r="K39" s="23" t="str">
        <f ca="1">IF(Calc!$AM39="","",INDEX(Setup!$F$20:$F$34,Calc!$AN39))</f>
        <v/>
      </c>
      <c r="L39" s="21" t="str">
        <f ca="1">IF(Calc!$AM39="","",SUBSTITUTE(SUBSTITUTE(SUBSTITUTE(SUBSTITUTE(INDEX(Setup!$H$20:$H$34,Calc!$AN39)&amp;"","{name}",$E39),"{years}",$G39),"{date}",TEXT($H39,"mmmm d, yyyy")),"{company}",Setup!$C$4))</f>
        <v/>
      </c>
      <c r="M39" s="21" t="str">
        <f ca="1">IF(Calc!$AM39="","",SUBSTITUTE(SUBSTITUTE(SUBSTITUTE(SUBSTITUTE(INDEX(Setup!$I$20:$I$34,Calc!$AN39)&amp;"","{name}",$E39),"{years}",$G39),"{date}",TEXT($H39,"mmmm d, yyyy")),"{company}",Setup!$C$4))</f>
        <v/>
      </c>
      <c r="N39" s="21" t="str">
        <f ca="1">IF(Calc!$AM39="","",SUBSTITUTE(SUBSTITUTE(SUBSTITUTE(SUBSTITUTE(INDEX(Setup!$J$20:$J$34,Calc!$AN39)&amp;"","{name}",$E39),"{years}",$G39),"{date}",TEXT($H39,"mmmm d, yyyy")),"{company}",Setup!$C$4))</f>
        <v/>
      </c>
      <c r="O39" s="21" t="str">
        <f ca="1">IF(Calc!$AM39="","",SUBSTITUTE(SUBSTITUTE(SUBSTITUTE(SUBSTITUTE(INDEX(Setup!$K$20:$K$34,Calc!$AN39)&amp;"","{name}",$E39),"{years}",$G39),"{date}",TEXT($H39,"mmmm d, yyyy")),"{company}",Setup!$C$4))</f>
        <v/>
      </c>
      <c r="P39" s="21" t="str">
        <f ca="1">IF(Calc!$AM39="","",SUBSTITUTE(SUBSTITUTE(TRIM(SUBSTITUTE($L39," ","~")&amp;" "&amp;SUBSTITUTE($M39," ","~")&amp;" "&amp;SUBSTITUTE($N39," ","~")&amp;" "&amp;SUBSTITUTE($O39," ","~"))," "," | "),"~"," "))</f>
        <v/>
      </c>
    </row>
    <row r="40" spans="1:16" x14ac:dyDescent="0.2">
      <c r="A40" s="19" t="str">
        <f ca="1">IF(Calc!$AM40="","",ROW()-5)</f>
        <v/>
      </c>
      <c r="B40" s="20" t="str">
        <f ca="1">IF(Calc!$AM40="","",INT(Calc!$AK40))</f>
        <v/>
      </c>
      <c r="C40" s="21" t="str">
        <f ca="1">IF(Calc!$AM40="","",IF($H40&lt;Setup!$C$5,"PAST DUE: milestone date has passed",IF($B40&lt;Setup!$C$5,"LATE: order today, ask about rush",IF($B40&lt;Setup!$C$5+14,"Order within 2 weeks","Scheduled"))))</f>
        <v/>
      </c>
      <c r="D40" s="21" t="str">
        <f ca="1">IF(Calc!$AM40="","",TEXT($B40,"mmmm yyyy"))</f>
        <v/>
      </c>
      <c r="E40" s="21" t="str">
        <f ca="1">IF(Calc!$AM40="","",INDEX(Roster!$A$6:$A$505,Calc!$AM40)&amp;"")</f>
        <v/>
      </c>
      <c r="F40" s="21" t="str">
        <f ca="1">IF(Calc!$AM40="","",INDEX(Roster!$C$6:$C$505,Calc!$AM40)&amp;"")</f>
        <v/>
      </c>
      <c r="G40" s="19" t="str">
        <f ca="1">IF(Calc!$AM40="","",INDEX(Setup!$C$20:$C$34,Calc!$AN40))</f>
        <v/>
      </c>
      <c r="H40" s="20" t="str">
        <f ca="1">IF(Calc!$AM40="","",INDEX(Calc!$B$6:$P$505,Calc!$AM40,Calc!$AN40))</f>
        <v/>
      </c>
      <c r="I40" s="21" t="str">
        <f ca="1">IF(Calc!$AM40="","",INDEX(Setup!$D$20:$D$34,Calc!$AN40)&amp;"")</f>
        <v/>
      </c>
      <c r="J40" s="21" t="str">
        <f ca="1">IF(Calc!$AM40="","",INDEX(Setup!$E$20:$E$34,Calc!$AN40)&amp;"")</f>
        <v/>
      </c>
      <c r="K40" s="23" t="str">
        <f ca="1">IF(Calc!$AM40="","",INDEX(Setup!$F$20:$F$34,Calc!$AN40))</f>
        <v/>
      </c>
      <c r="L40" s="21" t="str">
        <f ca="1">IF(Calc!$AM40="","",SUBSTITUTE(SUBSTITUTE(SUBSTITUTE(SUBSTITUTE(INDEX(Setup!$H$20:$H$34,Calc!$AN40)&amp;"","{name}",$E40),"{years}",$G40),"{date}",TEXT($H40,"mmmm d, yyyy")),"{company}",Setup!$C$4))</f>
        <v/>
      </c>
      <c r="M40" s="21" t="str">
        <f ca="1">IF(Calc!$AM40="","",SUBSTITUTE(SUBSTITUTE(SUBSTITUTE(SUBSTITUTE(INDEX(Setup!$I$20:$I$34,Calc!$AN40)&amp;"","{name}",$E40),"{years}",$G40),"{date}",TEXT($H40,"mmmm d, yyyy")),"{company}",Setup!$C$4))</f>
        <v/>
      </c>
      <c r="N40" s="21" t="str">
        <f ca="1">IF(Calc!$AM40="","",SUBSTITUTE(SUBSTITUTE(SUBSTITUTE(SUBSTITUTE(INDEX(Setup!$J$20:$J$34,Calc!$AN40)&amp;"","{name}",$E40),"{years}",$G40),"{date}",TEXT($H40,"mmmm d, yyyy")),"{company}",Setup!$C$4))</f>
        <v/>
      </c>
      <c r="O40" s="21" t="str">
        <f ca="1">IF(Calc!$AM40="","",SUBSTITUTE(SUBSTITUTE(SUBSTITUTE(SUBSTITUTE(INDEX(Setup!$K$20:$K$34,Calc!$AN40)&amp;"","{name}",$E40),"{years}",$G40),"{date}",TEXT($H40,"mmmm d, yyyy")),"{company}",Setup!$C$4))</f>
        <v/>
      </c>
      <c r="P40" s="21" t="str">
        <f ca="1">IF(Calc!$AM40="","",SUBSTITUTE(SUBSTITUTE(TRIM(SUBSTITUTE($L40," ","~")&amp;" "&amp;SUBSTITUTE($M40," ","~")&amp;" "&amp;SUBSTITUTE($N40," ","~")&amp;" "&amp;SUBSTITUTE($O40," ","~"))," "," | "),"~"," "))</f>
        <v/>
      </c>
    </row>
    <row r="41" spans="1:16" x14ac:dyDescent="0.2">
      <c r="A41" s="19" t="str">
        <f ca="1">IF(Calc!$AM41="","",ROW()-5)</f>
        <v/>
      </c>
      <c r="B41" s="20" t="str">
        <f ca="1">IF(Calc!$AM41="","",INT(Calc!$AK41))</f>
        <v/>
      </c>
      <c r="C41" s="21" t="str">
        <f ca="1">IF(Calc!$AM41="","",IF($H41&lt;Setup!$C$5,"PAST DUE: milestone date has passed",IF($B41&lt;Setup!$C$5,"LATE: order today, ask about rush",IF($B41&lt;Setup!$C$5+14,"Order within 2 weeks","Scheduled"))))</f>
        <v/>
      </c>
      <c r="D41" s="21" t="str">
        <f ca="1">IF(Calc!$AM41="","",TEXT($B41,"mmmm yyyy"))</f>
        <v/>
      </c>
      <c r="E41" s="21" t="str">
        <f ca="1">IF(Calc!$AM41="","",INDEX(Roster!$A$6:$A$505,Calc!$AM41)&amp;"")</f>
        <v/>
      </c>
      <c r="F41" s="21" t="str">
        <f ca="1">IF(Calc!$AM41="","",INDEX(Roster!$C$6:$C$505,Calc!$AM41)&amp;"")</f>
        <v/>
      </c>
      <c r="G41" s="19" t="str">
        <f ca="1">IF(Calc!$AM41="","",INDEX(Setup!$C$20:$C$34,Calc!$AN41))</f>
        <v/>
      </c>
      <c r="H41" s="20" t="str">
        <f ca="1">IF(Calc!$AM41="","",INDEX(Calc!$B$6:$P$505,Calc!$AM41,Calc!$AN41))</f>
        <v/>
      </c>
      <c r="I41" s="21" t="str">
        <f ca="1">IF(Calc!$AM41="","",INDEX(Setup!$D$20:$D$34,Calc!$AN41)&amp;"")</f>
        <v/>
      </c>
      <c r="J41" s="21" t="str">
        <f ca="1">IF(Calc!$AM41="","",INDEX(Setup!$E$20:$E$34,Calc!$AN41)&amp;"")</f>
        <v/>
      </c>
      <c r="K41" s="23" t="str">
        <f ca="1">IF(Calc!$AM41="","",INDEX(Setup!$F$20:$F$34,Calc!$AN41))</f>
        <v/>
      </c>
      <c r="L41" s="21" t="str">
        <f ca="1">IF(Calc!$AM41="","",SUBSTITUTE(SUBSTITUTE(SUBSTITUTE(SUBSTITUTE(INDEX(Setup!$H$20:$H$34,Calc!$AN41)&amp;"","{name}",$E41),"{years}",$G41),"{date}",TEXT($H41,"mmmm d, yyyy")),"{company}",Setup!$C$4))</f>
        <v/>
      </c>
      <c r="M41" s="21" t="str">
        <f ca="1">IF(Calc!$AM41="","",SUBSTITUTE(SUBSTITUTE(SUBSTITUTE(SUBSTITUTE(INDEX(Setup!$I$20:$I$34,Calc!$AN41)&amp;"","{name}",$E41),"{years}",$G41),"{date}",TEXT($H41,"mmmm d, yyyy")),"{company}",Setup!$C$4))</f>
        <v/>
      </c>
      <c r="N41" s="21" t="str">
        <f ca="1">IF(Calc!$AM41="","",SUBSTITUTE(SUBSTITUTE(SUBSTITUTE(SUBSTITUTE(INDEX(Setup!$J$20:$J$34,Calc!$AN41)&amp;"","{name}",$E41),"{years}",$G41),"{date}",TEXT($H41,"mmmm d, yyyy")),"{company}",Setup!$C$4))</f>
        <v/>
      </c>
      <c r="O41" s="21" t="str">
        <f ca="1">IF(Calc!$AM41="","",SUBSTITUTE(SUBSTITUTE(SUBSTITUTE(SUBSTITUTE(INDEX(Setup!$K$20:$K$34,Calc!$AN41)&amp;"","{name}",$E41),"{years}",$G41),"{date}",TEXT($H41,"mmmm d, yyyy")),"{company}",Setup!$C$4))</f>
        <v/>
      </c>
      <c r="P41" s="21" t="str">
        <f ca="1">IF(Calc!$AM41="","",SUBSTITUTE(SUBSTITUTE(TRIM(SUBSTITUTE($L41," ","~")&amp;" "&amp;SUBSTITUTE($M41," ","~")&amp;" "&amp;SUBSTITUTE($N41," ","~")&amp;" "&amp;SUBSTITUTE($O41," ","~"))," "," | "),"~"," "))</f>
        <v/>
      </c>
    </row>
    <row r="42" spans="1:16" x14ac:dyDescent="0.2">
      <c r="A42" s="19" t="str">
        <f ca="1">IF(Calc!$AM42="","",ROW()-5)</f>
        <v/>
      </c>
      <c r="B42" s="20" t="str">
        <f ca="1">IF(Calc!$AM42="","",INT(Calc!$AK42))</f>
        <v/>
      </c>
      <c r="C42" s="21" t="str">
        <f ca="1">IF(Calc!$AM42="","",IF($H42&lt;Setup!$C$5,"PAST DUE: milestone date has passed",IF($B42&lt;Setup!$C$5,"LATE: order today, ask about rush",IF($B42&lt;Setup!$C$5+14,"Order within 2 weeks","Scheduled"))))</f>
        <v/>
      </c>
      <c r="D42" s="21" t="str">
        <f ca="1">IF(Calc!$AM42="","",TEXT($B42,"mmmm yyyy"))</f>
        <v/>
      </c>
      <c r="E42" s="21" t="str">
        <f ca="1">IF(Calc!$AM42="","",INDEX(Roster!$A$6:$A$505,Calc!$AM42)&amp;"")</f>
        <v/>
      </c>
      <c r="F42" s="21" t="str">
        <f ca="1">IF(Calc!$AM42="","",INDEX(Roster!$C$6:$C$505,Calc!$AM42)&amp;"")</f>
        <v/>
      </c>
      <c r="G42" s="19" t="str">
        <f ca="1">IF(Calc!$AM42="","",INDEX(Setup!$C$20:$C$34,Calc!$AN42))</f>
        <v/>
      </c>
      <c r="H42" s="20" t="str">
        <f ca="1">IF(Calc!$AM42="","",INDEX(Calc!$B$6:$P$505,Calc!$AM42,Calc!$AN42))</f>
        <v/>
      </c>
      <c r="I42" s="21" t="str">
        <f ca="1">IF(Calc!$AM42="","",INDEX(Setup!$D$20:$D$34,Calc!$AN42)&amp;"")</f>
        <v/>
      </c>
      <c r="J42" s="21" t="str">
        <f ca="1">IF(Calc!$AM42="","",INDEX(Setup!$E$20:$E$34,Calc!$AN42)&amp;"")</f>
        <v/>
      </c>
      <c r="K42" s="23" t="str">
        <f ca="1">IF(Calc!$AM42="","",INDEX(Setup!$F$20:$F$34,Calc!$AN42))</f>
        <v/>
      </c>
      <c r="L42" s="21" t="str">
        <f ca="1">IF(Calc!$AM42="","",SUBSTITUTE(SUBSTITUTE(SUBSTITUTE(SUBSTITUTE(INDEX(Setup!$H$20:$H$34,Calc!$AN42)&amp;"","{name}",$E42),"{years}",$G42),"{date}",TEXT($H42,"mmmm d, yyyy")),"{company}",Setup!$C$4))</f>
        <v/>
      </c>
      <c r="M42" s="21" t="str">
        <f ca="1">IF(Calc!$AM42="","",SUBSTITUTE(SUBSTITUTE(SUBSTITUTE(SUBSTITUTE(INDEX(Setup!$I$20:$I$34,Calc!$AN42)&amp;"","{name}",$E42),"{years}",$G42),"{date}",TEXT($H42,"mmmm d, yyyy")),"{company}",Setup!$C$4))</f>
        <v/>
      </c>
      <c r="N42" s="21" t="str">
        <f ca="1">IF(Calc!$AM42="","",SUBSTITUTE(SUBSTITUTE(SUBSTITUTE(SUBSTITUTE(INDEX(Setup!$J$20:$J$34,Calc!$AN42)&amp;"","{name}",$E42),"{years}",$G42),"{date}",TEXT($H42,"mmmm d, yyyy")),"{company}",Setup!$C$4))</f>
        <v/>
      </c>
      <c r="O42" s="21" t="str">
        <f ca="1">IF(Calc!$AM42="","",SUBSTITUTE(SUBSTITUTE(SUBSTITUTE(SUBSTITUTE(INDEX(Setup!$K$20:$K$34,Calc!$AN42)&amp;"","{name}",$E42),"{years}",$G42),"{date}",TEXT($H42,"mmmm d, yyyy")),"{company}",Setup!$C$4))</f>
        <v/>
      </c>
      <c r="P42" s="21" t="str">
        <f ca="1">IF(Calc!$AM42="","",SUBSTITUTE(SUBSTITUTE(TRIM(SUBSTITUTE($L42," ","~")&amp;" "&amp;SUBSTITUTE($M42," ","~")&amp;" "&amp;SUBSTITUTE($N42," ","~")&amp;" "&amp;SUBSTITUTE($O42," ","~"))," "," | "),"~"," "))</f>
        <v/>
      </c>
    </row>
    <row r="43" spans="1:16" x14ac:dyDescent="0.2">
      <c r="A43" s="19" t="str">
        <f ca="1">IF(Calc!$AM43="","",ROW()-5)</f>
        <v/>
      </c>
      <c r="B43" s="20" t="str">
        <f ca="1">IF(Calc!$AM43="","",INT(Calc!$AK43))</f>
        <v/>
      </c>
      <c r="C43" s="21" t="str">
        <f ca="1">IF(Calc!$AM43="","",IF($H43&lt;Setup!$C$5,"PAST DUE: milestone date has passed",IF($B43&lt;Setup!$C$5,"LATE: order today, ask about rush",IF($B43&lt;Setup!$C$5+14,"Order within 2 weeks","Scheduled"))))</f>
        <v/>
      </c>
      <c r="D43" s="21" t="str">
        <f ca="1">IF(Calc!$AM43="","",TEXT($B43,"mmmm yyyy"))</f>
        <v/>
      </c>
      <c r="E43" s="21" t="str">
        <f ca="1">IF(Calc!$AM43="","",INDEX(Roster!$A$6:$A$505,Calc!$AM43)&amp;"")</f>
        <v/>
      </c>
      <c r="F43" s="21" t="str">
        <f ca="1">IF(Calc!$AM43="","",INDEX(Roster!$C$6:$C$505,Calc!$AM43)&amp;"")</f>
        <v/>
      </c>
      <c r="G43" s="19" t="str">
        <f ca="1">IF(Calc!$AM43="","",INDEX(Setup!$C$20:$C$34,Calc!$AN43))</f>
        <v/>
      </c>
      <c r="H43" s="20" t="str">
        <f ca="1">IF(Calc!$AM43="","",INDEX(Calc!$B$6:$P$505,Calc!$AM43,Calc!$AN43))</f>
        <v/>
      </c>
      <c r="I43" s="21" t="str">
        <f ca="1">IF(Calc!$AM43="","",INDEX(Setup!$D$20:$D$34,Calc!$AN43)&amp;"")</f>
        <v/>
      </c>
      <c r="J43" s="21" t="str">
        <f ca="1">IF(Calc!$AM43="","",INDEX(Setup!$E$20:$E$34,Calc!$AN43)&amp;"")</f>
        <v/>
      </c>
      <c r="K43" s="23" t="str">
        <f ca="1">IF(Calc!$AM43="","",INDEX(Setup!$F$20:$F$34,Calc!$AN43))</f>
        <v/>
      </c>
      <c r="L43" s="21" t="str">
        <f ca="1">IF(Calc!$AM43="","",SUBSTITUTE(SUBSTITUTE(SUBSTITUTE(SUBSTITUTE(INDEX(Setup!$H$20:$H$34,Calc!$AN43)&amp;"","{name}",$E43),"{years}",$G43),"{date}",TEXT($H43,"mmmm d, yyyy")),"{company}",Setup!$C$4))</f>
        <v/>
      </c>
      <c r="M43" s="21" t="str">
        <f ca="1">IF(Calc!$AM43="","",SUBSTITUTE(SUBSTITUTE(SUBSTITUTE(SUBSTITUTE(INDEX(Setup!$I$20:$I$34,Calc!$AN43)&amp;"","{name}",$E43),"{years}",$G43),"{date}",TEXT($H43,"mmmm d, yyyy")),"{company}",Setup!$C$4))</f>
        <v/>
      </c>
      <c r="N43" s="21" t="str">
        <f ca="1">IF(Calc!$AM43="","",SUBSTITUTE(SUBSTITUTE(SUBSTITUTE(SUBSTITUTE(INDEX(Setup!$J$20:$J$34,Calc!$AN43)&amp;"","{name}",$E43),"{years}",$G43),"{date}",TEXT($H43,"mmmm d, yyyy")),"{company}",Setup!$C$4))</f>
        <v/>
      </c>
      <c r="O43" s="21" t="str">
        <f ca="1">IF(Calc!$AM43="","",SUBSTITUTE(SUBSTITUTE(SUBSTITUTE(SUBSTITUTE(INDEX(Setup!$K$20:$K$34,Calc!$AN43)&amp;"","{name}",$E43),"{years}",$G43),"{date}",TEXT($H43,"mmmm d, yyyy")),"{company}",Setup!$C$4))</f>
        <v/>
      </c>
      <c r="P43" s="21" t="str">
        <f ca="1">IF(Calc!$AM43="","",SUBSTITUTE(SUBSTITUTE(TRIM(SUBSTITUTE($L43," ","~")&amp;" "&amp;SUBSTITUTE($M43," ","~")&amp;" "&amp;SUBSTITUTE($N43," ","~")&amp;" "&amp;SUBSTITUTE($O43," ","~"))," "," | "),"~"," "))</f>
        <v/>
      </c>
    </row>
    <row r="44" spans="1:16" x14ac:dyDescent="0.2">
      <c r="A44" s="19" t="str">
        <f ca="1">IF(Calc!$AM44="","",ROW()-5)</f>
        <v/>
      </c>
      <c r="B44" s="20" t="str">
        <f ca="1">IF(Calc!$AM44="","",INT(Calc!$AK44))</f>
        <v/>
      </c>
      <c r="C44" s="21" t="str">
        <f ca="1">IF(Calc!$AM44="","",IF($H44&lt;Setup!$C$5,"PAST DUE: milestone date has passed",IF($B44&lt;Setup!$C$5,"LATE: order today, ask about rush",IF($B44&lt;Setup!$C$5+14,"Order within 2 weeks","Scheduled"))))</f>
        <v/>
      </c>
      <c r="D44" s="21" t="str">
        <f ca="1">IF(Calc!$AM44="","",TEXT($B44,"mmmm yyyy"))</f>
        <v/>
      </c>
      <c r="E44" s="21" t="str">
        <f ca="1">IF(Calc!$AM44="","",INDEX(Roster!$A$6:$A$505,Calc!$AM44)&amp;"")</f>
        <v/>
      </c>
      <c r="F44" s="21" t="str">
        <f ca="1">IF(Calc!$AM44="","",INDEX(Roster!$C$6:$C$505,Calc!$AM44)&amp;"")</f>
        <v/>
      </c>
      <c r="G44" s="19" t="str">
        <f ca="1">IF(Calc!$AM44="","",INDEX(Setup!$C$20:$C$34,Calc!$AN44))</f>
        <v/>
      </c>
      <c r="H44" s="20" t="str">
        <f ca="1">IF(Calc!$AM44="","",INDEX(Calc!$B$6:$P$505,Calc!$AM44,Calc!$AN44))</f>
        <v/>
      </c>
      <c r="I44" s="21" t="str">
        <f ca="1">IF(Calc!$AM44="","",INDEX(Setup!$D$20:$D$34,Calc!$AN44)&amp;"")</f>
        <v/>
      </c>
      <c r="J44" s="21" t="str">
        <f ca="1">IF(Calc!$AM44="","",INDEX(Setup!$E$20:$E$34,Calc!$AN44)&amp;"")</f>
        <v/>
      </c>
      <c r="K44" s="23" t="str">
        <f ca="1">IF(Calc!$AM44="","",INDEX(Setup!$F$20:$F$34,Calc!$AN44))</f>
        <v/>
      </c>
      <c r="L44" s="21" t="str">
        <f ca="1">IF(Calc!$AM44="","",SUBSTITUTE(SUBSTITUTE(SUBSTITUTE(SUBSTITUTE(INDEX(Setup!$H$20:$H$34,Calc!$AN44)&amp;"","{name}",$E44),"{years}",$G44),"{date}",TEXT($H44,"mmmm d, yyyy")),"{company}",Setup!$C$4))</f>
        <v/>
      </c>
      <c r="M44" s="21" t="str">
        <f ca="1">IF(Calc!$AM44="","",SUBSTITUTE(SUBSTITUTE(SUBSTITUTE(SUBSTITUTE(INDEX(Setup!$I$20:$I$34,Calc!$AN44)&amp;"","{name}",$E44),"{years}",$G44),"{date}",TEXT($H44,"mmmm d, yyyy")),"{company}",Setup!$C$4))</f>
        <v/>
      </c>
      <c r="N44" s="21" t="str">
        <f ca="1">IF(Calc!$AM44="","",SUBSTITUTE(SUBSTITUTE(SUBSTITUTE(SUBSTITUTE(INDEX(Setup!$J$20:$J$34,Calc!$AN44)&amp;"","{name}",$E44),"{years}",$G44),"{date}",TEXT($H44,"mmmm d, yyyy")),"{company}",Setup!$C$4))</f>
        <v/>
      </c>
      <c r="O44" s="21" t="str">
        <f ca="1">IF(Calc!$AM44="","",SUBSTITUTE(SUBSTITUTE(SUBSTITUTE(SUBSTITUTE(INDEX(Setup!$K$20:$K$34,Calc!$AN44)&amp;"","{name}",$E44),"{years}",$G44),"{date}",TEXT($H44,"mmmm d, yyyy")),"{company}",Setup!$C$4))</f>
        <v/>
      </c>
      <c r="P44" s="21" t="str">
        <f ca="1">IF(Calc!$AM44="","",SUBSTITUTE(SUBSTITUTE(TRIM(SUBSTITUTE($L44," ","~")&amp;" "&amp;SUBSTITUTE($M44," ","~")&amp;" "&amp;SUBSTITUTE($N44," ","~")&amp;" "&amp;SUBSTITUTE($O44," ","~"))," "," | "),"~"," "))</f>
        <v/>
      </c>
    </row>
    <row r="45" spans="1:16" x14ac:dyDescent="0.2">
      <c r="A45" s="19" t="str">
        <f ca="1">IF(Calc!$AM45="","",ROW()-5)</f>
        <v/>
      </c>
      <c r="B45" s="20" t="str">
        <f ca="1">IF(Calc!$AM45="","",INT(Calc!$AK45))</f>
        <v/>
      </c>
      <c r="C45" s="21" t="str">
        <f ca="1">IF(Calc!$AM45="","",IF($H45&lt;Setup!$C$5,"PAST DUE: milestone date has passed",IF($B45&lt;Setup!$C$5,"LATE: order today, ask about rush",IF($B45&lt;Setup!$C$5+14,"Order within 2 weeks","Scheduled"))))</f>
        <v/>
      </c>
      <c r="D45" s="21" t="str">
        <f ca="1">IF(Calc!$AM45="","",TEXT($B45,"mmmm yyyy"))</f>
        <v/>
      </c>
      <c r="E45" s="21" t="str">
        <f ca="1">IF(Calc!$AM45="","",INDEX(Roster!$A$6:$A$505,Calc!$AM45)&amp;"")</f>
        <v/>
      </c>
      <c r="F45" s="21" t="str">
        <f ca="1">IF(Calc!$AM45="","",INDEX(Roster!$C$6:$C$505,Calc!$AM45)&amp;"")</f>
        <v/>
      </c>
      <c r="G45" s="19" t="str">
        <f ca="1">IF(Calc!$AM45="","",INDEX(Setup!$C$20:$C$34,Calc!$AN45))</f>
        <v/>
      </c>
      <c r="H45" s="20" t="str">
        <f ca="1">IF(Calc!$AM45="","",INDEX(Calc!$B$6:$P$505,Calc!$AM45,Calc!$AN45))</f>
        <v/>
      </c>
      <c r="I45" s="21" t="str">
        <f ca="1">IF(Calc!$AM45="","",INDEX(Setup!$D$20:$D$34,Calc!$AN45)&amp;"")</f>
        <v/>
      </c>
      <c r="J45" s="21" t="str">
        <f ca="1">IF(Calc!$AM45="","",INDEX(Setup!$E$20:$E$34,Calc!$AN45)&amp;"")</f>
        <v/>
      </c>
      <c r="K45" s="23" t="str">
        <f ca="1">IF(Calc!$AM45="","",INDEX(Setup!$F$20:$F$34,Calc!$AN45))</f>
        <v/>
      </c>
      <c r="L45" s="21" t="str">
        <f ca="1">IF(Calc!$AM45="","",SUBSTITUTE(SUBSTITUTE(SUBSTITUTE(SUBSTITUTE(INDEX(Setup!$H$20:$H$34,Calc!$AN45)&amp;"","{name}",$E45),"{years}",$G45),"{date}",TEXT($H45,"mmmm d, yyyy")),"{company}",Setup!$C$4))</f>
        <v/>
      </c>
      <c r="M45" s="21" t="str">
        <f ca="1">IF(Calc!$AM45="","",SUBSTITUTE(SUBSTITUTE(SUBSTITUTE(SUBSTITUTE(INDEX(Setup!$I$20:$I$34,Calc!$AN45)&amp;"","{name}",$E45),"{years}",$G45),"{date}",TEXT($H45,"mmmm d, yyyy")),"{company}",Setup!$C$4))</f>
        <v/>
      </c>
      <c r="N45" s="21" t="str">
        <f ca="1">IF(Calc!$AM45="","",SUBSTITUTE(SUBSTITUTE(SUBSTITUTE(SUBSTITUTE(INDEX(Setup!$J$20:$J$34,Calc!$AN45)&amp;"","{name}",$E45),"{years}",$G45),"{date}",TEXT($H45,"mmmm d, yyyy")),"{company}",Setup!$C$4))</f>
        <v/>
      </c>
      <c r="O45" s="21" t="str">
        <f ca="1">IF(Calc!$AM45="","",SUBSTITUTE(SUBSTITUTE(SUBSTITUTE(SUBSTITUTE(INDEX(Setup!$K$20:$K$34,Calc!$AN45)&amp;"","{name}",$E45),"{years}",$G45),"{date}",TEXT($H45,"mmmm d, yyyy")),"{company}",Setup!$C$4))</f>
        <v/>
      </c>
      <c r="P45" s="21" t="str">
        <f ca="1">IF(Calc!$AM45="","",SUBSTITUTE(SUBSTITUTE(TRIM(SUBSTITUTE($L45," ","~")&amp;" "&amp;SUBSTITUTE($M45," ","~")&amp;" "&amp;SUBSTITUTE($N45," ","~")&amp;" "&amp;SUBSTITUTE($O45," ","~"))," "," | "),"~"," "))</f>
        <v/>
      </c>
    </row>
    <row r="46" spans="1:16" x14ac:dyDescent="0.2">
      <c r="A46" s="19" t="str">
        <f ca="1">IF(Calc!$AM46="","",ROW()-5)</f>
        <v/>
      </c>
      <c r="B46" s="20" t="str">
        <f ca="1">IF(Calc!$AM46="","",INT(Calc!$AK46))</f>
        <v/>
      </c>
      <c r="C46" s="21" t="str">
        <f ca="1">IF(Calc!$AM46="","",IF($H46&lt;Setup!$C$5,"PAST DUE: milestone date has passed",IF($B46&lt;Setup!$C$5,"LATE: order today, ask about rush",IF($B46&lt;Setup!$C$5+14,"Order within 2 weeks","Scheduled"))))</f>
        <v/>
      </c>
      <c r="D46" s="21" t="str">
        <f ca="1">IF(Calc!$AM46="","",TEXT($B46,"mmmm yyyy"))</f>
        <v/>
      </c>
      <c r="E46" s="21" t="str">
        <f ca="1">IF(Calc!$AM46="","",INDEX(Roster!$A$6:$A$505,Calc!$AM46)&amp;"")</f>
        <v/>
      </c>
      <c r="F46" s="21" t="str">
        <f ca="1">IF(Calc!$AM46="","",INDEX(Roster!$C$6:$C$505,Calc!$AM46)&amp;"")</f>
        <v/>
      </c>
      <c r="G46" s="19" t="str">
        <f ca="1">IF(Calc!$AM46="","",INDEX(Setup!$C$20:$C$34,Calc!$AN46))</f>
        <v/>
      </c>
      <c r="H46" s="20" t="str">
        <f ca="1">IF(Calc!$AM46="","",INDEX(Calc!$B$6:$P$505,Calc!$AM46,Calc!$AN46))</f>
        <v/>
      </c>
      <c r="I46" s="21" t="str">
        <f ca="1">IF(Calc!$AM46="","",INDEX(Setup!$D$20:$D$34,Calc!$AN46)&amp;"")</f>
        <v/>
      </c>
      <c r="J46" s="21" t="str">
        <f ca="1">IF(Calc!$AM46="","",INDEX(Setup!$E$20:$E$34,Calc!$AN46)&amp;"")</f>
        <v/>
      </c>
      <c r="K46" s="23" t="str">
        <f ca="1">IF(Calc!$AM46="","",INDEX(Setup!$F$20:$F$34,Calc!$AN46))</f>
        <v/>
      </c>
      <c r="L46" s="21" t="str">
        <f ca="1">IF(Calc!$AM46="","",SUBSTITUTE(SUBSTITUTE(SUBSTITUTE(SUBSTITUTE(INDEX(Setup!$H$20:$H$34,Calc!$AN46)&amp;"","{name}",$E46),"{years}",$G46),"{date}",TEXT($H46,"mmmm d, yyyy")),"{company}",Setup!$C$4))</f>
        <v/>
      </c>
      <c r="M46" s="21" t="str">
        <f ca="1">IF(Calc!$AM46="","",SUBSTITUTE(SUBSTITUTE(SUBSTITUTE(SUBSTITUTE(INDEX(Setup!$I$20:$I$34,Calc!$AN46)&amp;"","{name}",$E46),"{years}",$G46),"{date}",TEXT($H46,"mmmm d, yyyy")),"{company}",Setup!$C$4))</f>
        <v/>
      </c>
      <c r="N46" s="21" t="str">
        <f ca="1">IF(Calc!$AM46="","",SUBSTITUTE(SUBSTITUTE(SUBSTITUTE(SUBSTITUTE(INDEX(Setup!$J$20:$J$34,Calc!$AN46)&amp;"","{name}",$E46),"{years}",$G46),"{date}",TEXT($H46,"mmmm d, yyyy")),"{company}",Setup!$C$4))</f>
        <v/>
      </c>
      <c r="O46" s="21" t="str">
        <f ca="1">IF(Calc!$AM46="","",SUBSTITUTE(SUBSTITUTE(SUBSTITUTE(SUBSTITUTE(INDEX(Setup!$K$20:$K$34,Calc!$AN46)&amp;"","{name}",$E46),"{years}",$G46),"{date}",TEXT($H46,"mmmm d, yyyy")),"{company}",Setup!$C$4))</f>
        <v/>
      </c>
      <c r="P46" s="21" t="str">
        <f ca="1">IF(Calc!$AM46="","",SUBSTITUTE(SUBSTITUTE(TRIM(SUBSTITUTE($L46," ","~")&amp;" "&amp;SUBSTITUTE($M46," ","~")&amp;" "&amp;SUBSTITUTE($N46," ","~")&amp;" "&amp;SUBSTITUTE($O46," ","~"))," "," | "),"~"," "))</f>
        <v/>
      </c>
    </row>
    <row r="47" spans="1:16" x14ac:dyDescent="0.2">
      <c r="A47" s="19" t="str">
        <f ca="1">IF(Calc!$AM47="","",ROW()-5)</f>
        <v/>
      </c>
      <c r="B47" s="20" t="str">
        <f ca="1">IF(Calc!$AM47="","",INT(Calc!$AK47))</f>
        <v/>
      </c>
      <c r="C47" s="21" t="str">
        <f ca="1">IF(Calc!$AM47="","",IF($H47&lt;Setup!$C$5,"PAST DUE: milestone date has passed",IF($B47&lt;Setup!$C$5,"LATE: order today, ask about rush",IF($B47&lt;Setup!$C$5+14,"Order within 2 weeks","Scheduled"))))</f>
        <v/>
      </c>
      <c r="D47" s="21" t="str">
        <f ca="1">IF(Calc!$AM47="","",TEXT($B47,"mmmm yyyy"))</f>
        <v/>
      </c>
      <c r="E47" s="21" t="str">
        <f ca="1">IF(Calc!$AM47="","",INDEX(Roster!$A$6:$A$505,Calc!$AM47)&amp;"")</f>
        <v/>
      </c>
      <c r="F47" s="21" t="str">
        <f ca="1">IF(Calc!$AM47="","",INDEX(Roster!$C$6:$C$505,Calc!$AM47)&amp;"")</f>
        <v/>
      </c>
      <c r="G47" s="19" t="str">
        <f ca="1">IF(Calc!$AM47="","",INDEX(Setup!$C$20:$C$34,Calc!$AN47))</f>
        <v/>
      </c>
      <c r="H47" s="20" t="str">
        <f ca="1">IF(Calc!$AM47="","",INDEX(Calc!$B$6:$P$505,Calc!$AM47,Calc!$AN47))</f>
        <v/>
      </c>
      <c r="I47" s="21" t="str">
        <f ca="1">IF(Calc!$AM47="","",INDEX(Setup!$D$20:$D$34,Calc!$AN47)&amp;"")</f>
        <v/>
      </c>
      <c r="J47" s="21" t="str">
        <f ca="1">IF(Calc!$AM47="","",INDEX(Setup!$E$20:$E$34,Calc!$AN47)&amp;"")</f>
        <v/>
      </c>
      <c r="K47" s="23" t="str">
        <f ca="1">IF(Calc!$AM47="","",INDEX(Setup!$F$20:$F$34,Calc!$AN47))</f>
        <v/>
      </c>
      <c r="L47" s="21" t="str">
        <f ca="1">IF(Calc!$AM47="","",SUBSTITUTE(SUBSTITUTE(SUBSTITUTE(SUBSTITUTE(INDEX(Setup!$H$20:$H$34,Calc!$AN47)&amp;"","{name}",$E47),"{years}",$G47),"{date}",TEXT($H47,"mmmm d, yyyy")),"{company}",Setup!$C$4))</f>
        <v/>
      </c>
      <c r="M47" s="21" t="str">
        <f ca="1">IF(Calc!$AM47="","",SUBSTITUTE(SUBSTITUTE(SUBSTITUTE(SUBSTITUTE(INDEX(Setup!$I$20:$I$34,Calc!$AN47)&amp;"","{name}",$E47),"{years}",$G47),"{date}",TEXT($H47,"mmmm d, yyyy")),"{company}",Setup!$C$4))</f>
        <v/>
      </c>
      <c r="N47" s="21" t="str">
        <f ca="1">IF(Calc!$AM47="","",SUBSTITUTE(SUBSTITUTE(SUBSTITUTE(SUBSTITUTE(INDEX(Setup!$J$20:$J$34,Calc!$AN47)&amp;"","{name}",$E47),"{years}",$G47),"{date}",TEXT($H47,"mmmm d, yyyy")),"{company}",Setup!$C$4))</f>
        <v/>
      </c>
      <c r="O47" s="21" t="str">
        <f ca="1">IF(Calc!$AM47="","",SUBSTITUTE(SUBSTITUTE(SUBSTITUTE(SUBSTITUTE(INDEX(Setup!$K$20:$K$34,Calc!$AN47)&amp;"","{name}",$E47),"{years}",$G47),"{date}",TEXT($H47,"mmmm d, yyyy")),"{company}",Setup!$C$4))</f>
        <v/>
      </c>
      <c r="P47" s="21" t="str">
        <f ca="1">IF(Calc!$AM47="","",SUBSTITUTE(SUBSTITUTE(TRIM(SUBSTITUTE($L47," ","~")&amp;" "&amp;SUBSTITUTE($M47," ","~")&amp;" "&amp;SUBSTITUTE($N47," ","~")&amp;" "&amp;SUBSTITUTE($O47," ","~"))," "," | "),"~"," "))</f>
        <v/>
      </c>
    </row>
    <row r="48" spans="1:16" x14ac:dyDescent="0.2">
      <c r="A48" s="19" t="str">
        <f ca="1">IF(Calc!$AM48="","",ROW()-5)</f>
        <v/>
      </c>
      <c r="B48" s="20" t="str">
        <f ca="1">IF(Calc!$AM48="","",INT(Calc!$AK48))</f>
        <v/>
      </c>
      <c r="C48" s="21" t="str">
        <f ca="1">IF(Calc!$AM48="","",IF($H48&lt;Setup!$C$5,"PAST DUE: milestone date has passed",IF($B48&lt;Setup!$C$5,"LATE: order today, ask about rush",IF($B48&lt;Setup!$C$5+14,"Order within 2 weeks","Scheduled"))))</f>
        <v/>
      </c>
      <c r="D48" s="21" t="str">
        <f ca="1">IF(Calc!$AM48="","",TEXT($B48,"mmmm yyyy"))</f>
        <v/>
      </c>
      <c r="E48" s="21" t="str">
        <f ca="1">IF(Calc!$AM48="","",INDEX(Roster!$A$6:$A$505,Calc!$AM48)&amp;"")</f>
        <v/>
      </c>
      <c r="F48" s="21" t="str">
        <f ca="1">IF(Calc!$AM48="","",INDEX(Roster!$C$6:$C$505,Calc!$AM48)&amp;"")</f>
        <v/>
      </c>
      <c r="G48" s="19" t="str">
        <f ca="1">IF(Calc!$AM48="","",INDEX(Setup!$C$20:$C$34,Calc!$AN48))</f>
        <v/>
      </c>
      <c r="H48" s="20" t="str">
        <f ca="1">IF(Calc!$AM48="","",INDEX(Calc!$B$6:$P$505,Calc!$AM48,Calc!$AN48))</f>
        <v/>
      </c>
      <c r="I48" s="21" t="str">
        <f ca="1">IF(Calc!$AM48="","",INDEX(Setup!$D$20:$D$34,Calc!$AN48)&amp;"")</f>
        <v/>
      </c>
      <c r="J48" s="21" t="str">
        <f ca="1">IF(Calc!$AM48="","",INDEX(Setup!$E$20:$E$34,Calc!$AN48)&amp;"")</f>
        <v/>
      </c>
      <c r="K48" s="23" t="str">
        <f ca="1">IF(Calc!$AM48="","",INDEX(Setup!$F$20:$F$34,Calc!$AN48))</f>
        <v/>
      </c>
      <c r="L48" s="21" t="str">
        <f ca="1">IF(Calc!$AM48="","",SUBSTITUTE(SUBSTITUTE(SUBSTITUTE(SUBSTITUTE(INDEX(Setup!$H$20:$H$34,Calc!$AN48)&amp;"","{name}",$E48),"{years}",$G48),"{date}",TEXT($H48,"mmmm d, yyyy")),"{company}",Setup!$C$4))</f>
        <v/>
      </c>
      <c r="M48" s="21" t="str">
        <f ca="1">IF(Calc!$AM48="","",SUBSTITUTE(SUBSTITUTE(SUBSTITUTE(SUBSTITUTE(INDEX(Setup!$I$20:$I$34,Calc!$AN48)&amp;"","{name}",$E48),"{years}",$G48),"{date}",TEXT($H48,"mmmm d, yyyy")),"{company}",Setup!$C$4))</f>
        <v/>
      </c>
      <c r="N48" s="21" t="str">
        <f ca="1">IF(Calc!$AM48="","",SUBSTITUTE(SUBSTITUTE(SUBSTITUTE(SUBSTITUTE(INDEX(Setup!$J$20:$J$34,Calc!$AN48)&amp;"","{name}",$E48),"{years}",$G48),"{date}",TEXT($H48,"mmmm d, yyyy")),"{company}",Setup!$C$4))</f>
        <v/>
      </c>
      <c r="O48" s="21" t="str">
        <f ca="1">IF(Calc!$AM48="","",SUBSTITUTE(SUBSTITUTE(SUBSTITUTE(SUBSTITUTE(INDEX(Setup!$K$20:$K$34,Calc!$AN48)&amp;"","{name}",$E48),"{years}",$G48),"{date}",TEXT($H48,"mmmm d, yyyy")),"{company}",Setup!$C$4))</f>
        <v/>
      </c>
      <c r="P48" s="21" t="str">
        <f ca="1">IF(Calc!$AM48="","",SUBSTITUTE(SUBSTITUTE(TRIM(SUBSTITUTE($L48," ","~")&amp;" "&amp;SUBSTITUTE($M48," ","~")&amp;" "&amp;SUBSTITUTE($N48," ","~")&amp;" "&amp;SUBSTITUTE($O48," ","~"))," "," | "),"~"," "))</f>
        <v/>
      </c>
    </row>
    <row r="49" spans="1:16" x14ac:dyDescent="0.2">
      <c r="A49" s="19" t="str">
        <f ca="1">IF(Calc!$AM49="","",ROW()-5)</f>
        <v/>
      </c>
      <c r="B49" s="20" t="str">
        <f ca="1">IF(Calc!$AM49="","",INT(Calc!$AK49))</f>
        <v/>
      </c>
      <c r="C49" s="21" t="str">
        <f ca="1">IF(Calc!$AM49="","",IF($H49&lt;Setup!$C$5,"PAST DUE: milestone date has passed",IF($B49&lt;Setup!$C$5,"LATE: order today, ask about rush",IF($B49&lt;Setup!$C$5+14,"Order within 2 weeks","Scheduled"))))</f>
        <v/>
      </c>
      <c r="D49" s="21" t="str">
        <f ca="1">IF(Calc!$AM49="","",TEXT($B49,"mmmm yyyy"))</f>
        <v/>
      </c>
      <c r="E49" s="21" t="str">
        <f ca="1">IF(Calc!$AM49="","",INDEX(Roster!$A$6:$A$505,Calc!$AM49)&amp;"")</f>
        <v/>
      </c>
      <c r="F49" s="21" t="str">
        <f ca="1">IF(Calc!$AM49="","",INDEX(Roster!$C$6:$C$505,Calc!$AM49)&amp;"")</f>
        <v/>
      </c>
      <c r="G49" s="19" t="str">
        <f ca="1">IF(Calc!$AM49="","",INDEX(Setup!$C$20:$C$34,Calc!$AN49))</f>
        <v/>
      </c>
      <c r="H49" s="20" t="str">
        <f ca="1">IF(Calc!$AM49="","",INDEX(Calc!$B$6:$P$505,Calc!$AM49,Calc!$AN49))</f>
        <v/>
      </c>
      <c r="I49" s="21" t="str">
        <f ca="1">IF(Calc!$AM49="","",INDEX(Setup!$D$20:$D$34,Calc!$AN49)&amp;"")</f>
        <v/>
      </c>
      <c r="J49" s="21" t="str">
        <f ca="1">IF(Calc!$AM49="","",INDEX(Setup!$E$20:$E$34,Calc!$AN49)&amp;"")</f>
        <v/>
      </c>
      <c r="K49" s="23" t="str">
        <f ca="1">IF(Calc!$AM49="","",INDEX(Setup!$F$20:$F$34,Calc!$AN49))</f>
        <v/>
      </c>
      <c r="L49" s="21" t="str">
        <f ca="1">IF(Calc!$AM49="","",SUBSTITUTE(SUBSTITUTE(SUBSTITUTE(SUBSTITUTE(INDEX(Setup!$H$20:$H$34,Calc!$AN49)&amp;"","{name}",$E49),"{years}",$G49),"{date}",TEXT($H49,"mmmm d, yyyy")),"{company}",Setup!$C$4))</f>
        <v/>
      </c>
      <c r="M49" s="21" t="str">
        <f ca="1">IF(Calc!$AM49="","",SUBSTITUTE(SUBSTITUTE(SUBSTITUTE(SUBSTITUTE(INDEX(Setup!$I$20:$I$34,Calc!$AN49)&amp;"","{name}",$E49),"{years}",$G49),"{date}",TEXT($H49,"mmmm d, yyyy")),"{company}",Setup!$C$4))</f>
        <v/>
      </c>
      <c r="N49" s="21" t="str">
        <f ca="1">IF(Calc!$AM49="","",SUBSTITUTE(SUBSTITUTE(SUBSTITUTE(SUBSTITUTE(INDEX(Setup!$J$20:$J$34,Calc!$AN49)&amp;"","{name}",$E49),"{years}",$G49),"{date}",TEXT($H49,"mmmm d, yyyy")),"{company}",Setup!$C$4))</f>
        <v/>
      </c>
      <c r="O49" s="21" t="str">
        <f ca="1">IF(Calc!$AM49="","",SUBSTITUTE(SUBSTITUTE(SUBSTITUTE(SUBSTITUTE(INDEX(Setup!$K$20:$K$34,Calc!$AN49)&amp;"","{name}",$E49),"{years}",$G49),"{date}",TEXT($H49,"mmmm d, yyyy")),"{company}",Setup!$C$4))</f>
        <v/>
      </c>
      <c r="P49" s="21" t="str">
        <f ca="1">IF(Calc!$AM49="","",SUBSTITUTE(SUBSTITUTE(TRIM(SUBSTITUTE($L49," ","~")&amp;" "&amp;SUBSTITUTE($M49," ","~")&amp;" "&amp;SUBSTITUTE($N49," ","~")&amp;" "&amp;SUBSTITUTE($O49," ","~"))," "," | "),"~"," "))</f>
        <v/>
      </c>
    </row>
    <row r="50" spans="1:16" x14ac:dyDescent="0.2">
      <c r="A50" s="19" t="str">
        <f ca="1">IF(Calc!$AM50="","",ROW()-5)</f>
        <v/>
      </c>
      <c r="B50" s="20" t="str">
        <f ca="1">IF(Calc!$AM50="","",INT(Calc!$AK50))</f>
        <v/>
      </c>
      <c r="C50" s="21" t="str">
        <f ca="1">IF(Calc!$AM50="","",IF($H50&lt;Setup!$C$5,"PAST DUE: milestone date has passed",IF($B50&lt;Setup!$C$5,"LATE: order today, ask about rush",IF($B50&lt;Setup!$C$5+14,"Order within 2 weeks","Scheduled"))))</f>
        <v/>
      </c>
      <c r="D50" s="21" t="str">
        <f ca="1">IF(Calc!$AM50="","",TEXT($B50,"mmmm yyyy"))</f>
        <v/>
      </c>
      <c r="E50" s="21" t="str">
        <f ca="1">IF(Calc!$AM50="","",INDEX(Roster!$A$6:$A$505,Calc!$AM50)&amp;"")</f>
        <v/>
      </c>
      <c r="F50" s="21" t="str">
        <f ca="1">IF(Calc!$AM50="","",INDEX(Roster!$C$6:$C$505,Calc!$AM50)&amp;"")</f>
        <v/>
      </c>
      <c r="G50" s="19" t="str">
        <f ca="1">IF(Calc!$AM50="","",INDEX(Setup!$C$20:$C$34,Calc!$AN50))</f>
        <v/>
      </c>
      <c r="H50" s="20" t="str">
        <f ca="1">IF(Calc!$AM50="","",INDEX(Calc!$B$6:$P$505,Calc!$AM50,Calc!$AN50))</f>
        <v/>
      </c>
      <c r="I50" s="21" t="str">
        <f ca="1">IF(Calc!$AM50="","",INDEX(Setup!$D$20:$D$34,Calc!$AN50)&amp;"")</f>
        <v/>
      </c>
      <c r="J50" s="21" t="str">
        <f ca="1">IF(Calc!$AM50="","",INDEX(Setup!$E$20:$E$34,Calc!$AN50)&amp;"")</f>
        <v/>
      </c>
      <c r="K50" s="23" t="str">
        <f ca="1">IF(Calc!$AM50="","",INDEX(Setup!$F$20:$F$34,Calc!$AN50))</f>
        <v/>
      </c>
      <c r="L50" s="21" t="str">
        <f ca="1">IF(Calc!$AM50="","",SUBSTITUTE(SUBSTITUTE(SUBSTITUTE(SUBSTITUTE(INDEX(Setup!$H$20:$H$34,Calc!$AN50)&amp;"","{name}",$E50),"{years}",$G50),"{date}",TEXT($H50,"mmmm d, yyyy")),"{company}",Setup!$C$4))</f>
        <v/>
      </c>
      <c r="M50" s="21" t="str">
        <f ca="1">IF(Calc!$AM50="","",SUBSTITUTE(SUBSTITUTE(SUBSTITUTE(SUBSTITUTE(INDEX(Setup!$I$20:$I$34,Calc!$AN50)&amp;"","{name}",$E50),"{years}",$G50),"{date}",TEXT($H50,"mmmm d, yyyy")),"{company}",Setup!$C$4))</f>
        <v/>
      </c>
      <c r="N50" s="21" t="str">
        <f ca="1">IF(Calc!$AM50="","",SUBSTITUTE(SUBSTITUTE(SUBSTITUTE(SUBSTITUTE(INDEX(Setup!$J$20:$J$34,Calc!$AN50)&amp;"","{name}",$E50),"{years}",$G50),"{date}",TEXT($H50,"mmmm d, yyyy")),"{company}",Setup!$C$4))</f>
        <v/>
      </c>
      <c r="O50" s="21" t="str">
        <f ca="1">IF(Calc!$AM50="","",SUBSTITUTE(SUBSTITUTE(SUBSTITUTE(SUBSTITUTE(INDEX(Setup!$K$20:$K$34,Calc!$AN50)&amp;"","{name}",$E50),"{years}",$G50),"{date}",TEXT($H50,"mmmm d, yyyy")),"{company}",Setup!$C$4))</f>
        <v/>
      </c>
      <c r="P50" s="21" t="str">
        <f ca="1">IF(Calc!$AM50="","",SUBSTITUTE(SUBSTITUTE(TRIM(SUBSTITUTE($L50," ","~")&amp;" "&amp;SUBSTITUTE($M50," ","~")&amp;" "&amp;SUBSTITUTE($N50," ","~")&amp;" "&amp;SUBSTITUTE($O50," ","~"))," "," | "),"~"," "))</f>
        <v/>
      </c>
    </row>
    <row r="51" spans="1:16" x14ac:dyDescent="0.2">
      <c r="A51" s="19" t="str">
        <f ca="1">IF(Calc!$AM51="","",ROW()-5)</f>
        <v/>
      </c>
      <c r="B51" s="20" t="str">
        <f ca="1">IF(Calc!$AM51="","",INT(Calc!$AK51))</f>
        <v/>
      </c>
      <c r="C51" s="21" t="str">
        <f ca="1">IF(Calc!$AM51="","",IF($H51&lt;Setup!$C$5,"PAST DUE: milestone date has passed",IF($B51&lt;Setup!$C$5,"LATE: order today, ask about rush",IF($B51&lt;Setup!$C$5+14,"Order within 2 weeks","Scheduled"))))</f>
        <v/>
      </c>
      <c r="D51" s="21" t="str">
        <f ca="1">IF(Calc!$AM51="","",TEXT($B51,"mmmm yyyy"))</f>
        <v/>
      </c>
      <c r="E51" s="21" t="str">
        <f ca="1">IF(Calc!$AM51="","",INDEX(Roster!$A$6:$A$505,Calc!$AM51)&amp;"")</f>
        <v/>
      </c>
      <c r="F51" s="21" t="str">
        <f ca="1">IF(Calc!$AM51="","",INDEX(Roster!$C$6:$C$505,Calc!$AM51)&amp;"")</f>
        <v/>
      </c>
      <c r="G51" s="19" t="str">
        <f ca="1">IF(Calc!$AM51="","",INDEX(Setup!$C$20:$C$34,Calc!$AN51))</f>
        <v/>
      </c>
      <c r="H51" s="20" t="str">
        <f ca="1">IF(Calc!$AM51="","",INDEX(Calc!$B$6:$P$505,Calc!$AM51,Calc!$AN51))</f>
        <v/>
      </c>
      <c r="I51" s="21" t="str">
        <f ca="1">IF(Calc!$AM51="","",INDEX(Setup!$D$20:$D$34,Calc!$AN51)&amp;"")</f>
        <v/>
      </c>
      <c r="J51" s="21" t="str">
        <f ca="1">IF(Calc!$AM51="","",INDEX(Setup!$E$20:$E$34,Calc!$AN51)&amp;"")</f>
        <v/>
      </c>
      <c r="K51" s="23" t="str">
        <f ca="1">IF(Calc!$AM51="","",INDEX(Setup!$F$20:$F$34,Calc!$AN51))</f>
        <v/>
      </c>
      <c r="L51" s="21" t="str">
        <f ca="1">IF(Calc!$AM51="","",SUBSTITUTE(SUBSTITUTE(SUBSTITUTE(SUBSTITUTE(INDEX(Setup!$H$20:$H$34,Calc!$AN51)&amp;"","{name}",$E51),"{years}",$G51),"{date}",TEXT($H51,"mmmm d, yyyy")),"{company}",Setup!$C$4))</f>
        <v/>
      </c>
      <c r="M51" s="21" t="str">
        <f ca="1">IF(Calc!$AM51="","",SUBSTITUTE(SUBSTITUTE(SUBSTITUTE(SUBSTITUTE(INDEX(Setup!$I$20:$I$34,Calc!$AN51)&amp;"","{name}",$E51),"{years}",$G51),"{date}",TEXT($H51,"mmmm d, yyyy")),"{company}",Setup!$C$4))</f>
        <v/>
      </c>
      <c r="N51" s="21" t="str">
        <f ca="1">IF(Calc!$AM51="","",SUBSTITUTE(SUBSTITUTE(SUBSTITUTE(SUBSTITUTE(INDEX(Setup!$J$20:$J$34,Calc!$AN51)&amp;"","{name}",$E51),"{years}",$G51),"{date}",TEXT($H51,"mmmm d, yyyy")),"{company}",Setup!$C$4))</f>
        <v/>
      </c>
      <c r="O51" s="21" t="str">
        <f ca="1">IF(Calc!$AM51="","",SUBSTITUTE(SUBSTITUTE(SUBSTITUTE(SUBSTITUTE(INDEX(Setup!$K$20:$K$34,Calc!$AN51)&amp;"","{name}",$E51),"{years}",$G51),"{date}",TEXT($H51,"mmmm d, yyyy")),"{company}",Setup!$C$4))</f>
        <v/>
      </c>
      <c r="P51" s="21" t="str">
        <f ca="1">IF(Calc!$AM51="","",SUBSTITUTE(SUBSTITUTE(TRIM(SUBSTITUTE($L51," ","~")&amp;" "&amp;SUBSTITUTE($M51," ","~")&amp;" "&amp;SUBSTITUTE($N51," ","~")&amp;" "&amp;SUBSTITUTE($O51," ","~"))," "," | "),"~"," "))</f>
        <v/>
      </c>
    </row>
    <row r="52" spans="1:16" x14ac:dyDescent="0.2">
      <c r="A52" s="19" t="str">
        <f ca="1">IF(Calc!$AM52="","",ROW()-5)</f>
        <v/>
      </c>
      <c r="B52" s="20" t="str">
        <f ca="1">IF(Calc!$AM52="","",INT(Calc!$AK52))</f>
        <v/>
      </c>
      <c r="C52" s="21" t="str">
        <f ca="1">IF(Calc!$AM52="","",IF($H52&lt;Setup!$C$5,"PAST DUE: milestone date has passed",IF($B52&lt;Setup!$C$5,"LATE: order today, ask about rush",IF($B52&lt;Setup!$C$5+14,"Order within 2 weeks","Scheduled"))))</f>
        <v/>
      </c>
      <c r="D52" s="21" t="str">
        <f ca="1">IF(Calc!$AM52="","",TEXT($B52,"mmmm yyyy"))</f>
        <v/>
      </c>
      <c r="E52" s="21" t="str">
        <f ca="1">IF(Calc!$AM52="","",INDEX(Roster!$A$6:$A$505,Calc!$AM52)&amp;"")</f>
        <v/>
      </c>
      <c r="F52" s="21" t="str">
        <f ca="1">IF(Calc!$AM52="","",INDEX(Roster!$C$6:$C$505,Calc!$AM52)&amp;"")</f>
        <v/>
      </c>
      <c r="G52" s="19" t="str">
        <f ca="1">IF(Calc!$AM52="","",INDEX(Setup!$C$20:$C$34,Calc!$AN52))</f>
        <v/>
      </c>
      <c r="H52" s="20" t="str">
        <f ca="1">IF(Calc!$AM52="","",INDEX(Calc!$B$6:$P$505,Calc!$AM52,Calc!$AN52))</f>
        <v/>
      </c>
      <c r="I52" s="21" t="str">
        <f ca="1">IF(Calc!$AM52="","",INDEX(Setup!$D$20:$D$34,Calc!$AN52)&amp;"")</f>
        <v/>
      </c>
      <c r="J52" s="21" t="str">
        <f ca="1">IF(Calc!$AM52="","",INDEX(Setup!$E$20:$E$34,Calc!$AN52)&amp;"")</f>
        <v/>
      </c>
      <c r="K52" s="23" t="str">
        <f ca="1">IF(Calc!$AM52="","",INDEX(Setup!$F$20:$F$34,Calc!$AN52))</f>
        <v/>
      </c>
      <c r="L52" s="21" t="str">
        <f ca="1">IF(Calc!$AM52="","",SUBSTITUTE(SUBSTITUTE(SUBSTITUTE(SUBSTITUTE(INDEX(Setup!$H$20:$H$34,Calc!$AN52)&amp;"","{name}",$E52),"{years}",$G52),"{date}",TEXT($H52,"mmmm d, yyyy")),"{company}",Setup!$C$4))</f>
        <v/>
      </c>
      <c r="M52" s="21" t="str">
        <f ca="1">IF(Calc!$AM52="","",SUBSTITUTE(SUBSTITUTE(SUBSTITUTE(SUBSTITUTE(INDEX(Setup!$I$20:$I$34,Calc!$AN52)&amp;"","{name}",$E52),"{years}",$G52),"{date}",TEXT($H52,"mmmm d, yyyy")),"{company}",Setup!$C$4))</f>
        <v/>
      </c>
      <c r="N52" s="21" t="str">
        <f ca="1">IF(Calc!$AM52="","",SUBSTITUTE(SUBSTITUTE(SUBSTITUTE(SUBSTITUTE(INDEX(Setup!$J$20:$J$34,Calc!$AN52)&amp;"","{name}",$E52),"{years}",$G52),"{date}",TEXT($H52,"mmmm d, yyyy")),"{company}",Setup!$C$4))</f>
        <v/>
      </c>
      <c r="O52" s="21" t="str">
        <f ca="1">IF(Calc!$AM52="","",SUBSTITUTE(SUBSTITUTE(SUBSTITUTE(SUBSTITUTE(INDEX(Setup!$K$20:$K$34,Calc!$AN52)&amp;"","{name}",$E52),"{years}",$G52),"{date}",TEXT($H52,"mmmm d, yyyy")),"{company}",Setup!$C$4))</f>
        <v/>
      </c>
      <c r="P52" s="21" t="str">
        <f ca="1">IF(Calc!$AM52="","",SUBSTITUTE(SUBSTITUTE(TRIM(SUBSTITUTE($L52," ","~")&amp;" "&amp;SUBSTITUTE($M52," ","~")&amp;" "&amp;SUBSTITUTE($N52," ","~")&amp;" "&amp;SUBSTITUTE($O52," ","~"))," "," | "),"~"," "))</f>
        <v/>
      </c>
    </row>
    <row r="53" spans="1:16" x14ac:dyDescent="0.2">
      <c r="A53" s="19" t="str">
        <f ca="1">IF(Calc!$AM53="","",ROW()-5)</f>
        <v/>
      </c>
      <c r="B53" s="20" t="str">
        <f ca="1">IF(Calc!$AM53="","",INT(Calc!$AK53))</f>
        <v/>
      </c>
      <c r="C53" s="21" t="str">
        <f ca="1">IF(Calc!$AM53="","",IF($H53&lt;Setup!$C$5,"PAST DUE: milestone date has passed",IF($B53&lt;Setup!$C$5,"LATE: order today, ask about rush",IF($B53&lt;Setup!$C$5+14,"Order within 2 weeks","Scheduled"))))</f>
        <v/>
      </c>
      <c r="D53" s="21" t="str">
        <f ca="1">IF(Calc!$AM53="","",TEXT($B53,"mmmm yyyy"))</f>
        <v/>
      </c>
      <c r="E53" s="21" t="str">
        <f ca="1">IF(Calc!$AM53="","",INDEX(Roster!$A$6:$A$505,Calc!$AM53)&amp;"")</f>
        <v/>
      </c>
      <c r="F53" s="21" t="str">
        <f ca="1">IF(Calc!$AM53="","",INDEX(Roster!$C$6:$C$505,Calc!$AM53)&amp;"")</f>
        <v/>
      </c>
      <c r="G53" s="19" t="str">
        <f ca="1">IF(Calc!$AM53="","",INDEX(Setup!$C$20:$C$34,Calc!$AN53))</f>
        <v/>
      </c>
      <c r="H53" s="20" t="str">
        <f ca="1">IF(Calc!$AM53="","",INDEX(Calc!$B$6:$P$505,Calc!$AM53,Calc!$AN53))</f>
        <v/>
      </c>
      <c r="I53" s="21" t="str">
        <f ca="1">IF(Calc!$AM53="","",INDEX(Setup!$D$20:$D$34,Calc!$AN53)&amp;"")</f>
        <v/>
      </c>
      <c r="J53" s="21" t="str">
        <f ca="1">IF(Calc!$AM53="","",INDEX(Setup!$E$20:$E$34,Calc!$AN53)&amp;"")</f>
        <v/>
      </c>
      <c r="K53" s="23" t="str">
        <f ca="1">IF(Calc!$AM53="","",INDEX(Setup!$F$20:$F$34,Calc!$AN53))</f>
        <v/>
      </c>
      <c r="L53" s="21" t="str">
        <f ca="1">IF(Calc!$AM53="","",SUBSTITUTE(SUBSTITUTE(SUBSTITUTE(SUBSTITUTE(INDEX(Setup!$H$20:$H$34,Calc!$AN53)&amp;"","{name}",$E53),"{years}",$G53),"{date}",TEXT($H53,"mmmm d, yyyy")),"{company}",Setup!$C$4))</f>
        <v/>
      </c>
      <c r="M53" s="21" t="str">
        <f ca="1">IF(Calc!$AM53="","",SUBSTITUTE(SUBSTITUTE(SUBSTITUTE(SUBSTITUTE(INDEX(Setup!$I$20:$I$34,Calc!$AN53)&amp;"","{name}",$E53),"{years}",$G53),"{date}",TEXT($H53,"mmmm d, yyyy")),"{company}",Setup!$C$4))</f>
        <v/>
      </c>
      <c r="N53" s="21" t="str">
        <f ca="1">IF(Calc!$AM53="","",SUBSTITUTE(SUBSTITUTE(SUBSTITUTE(SUBSTITUTE(INDEX(Setup!$J$20:$J$34,Calc!$AN53)&amp;"","{name}",$E53),"{years}",$G53),"{date}",TEXT($H53,"mmmm d, yyyy")),"{company}",Setup!$C$4))</f>
        <v/>
      </c>
      <c r="O53" s="21" t="str">
        <f ca="1">IF(Calc!$AM53="","",SUBSTITUTE(SUBSTITUTE(SUBSTITUTE(SUBSTITUTE(INDEX(Setup!$K$20:$K$34,Calc!$AN53)&amp;"","{name}",$E53),"{years}",$G53),"{date}",TEXT($H53,"mmmm d, yyyy")),"{company}",Setup!$C$4))</f>
        <v/>
      </c>
      <c r="P53" s="21" t="str">
        <f ca="1">IF(Calc!$AM53="","",SUBSTITUTE(SUBSTITUTE(TRIM(SUBSTITUTE($L53," ","~")&amp;" "&amp;SUBSTITUTE($M53," ","~")&amp;" "&amp;SUBSTITUTE($N53," ","~")&amp;" "&amp;SUBSTITUTE($O53," ","~"))," "," | "),"~"," "))</f>
        <v/>
      </c>
    </row>
    <row r="54" spans="1:16" x14ac:dyDescent="0.2">
      <c r="A54" s="19" t="str">
        <f ca="1">IF(Calc!$AM54="","",ROW()-5)</f>
        <v/>
      </c>
      <c r="B54" s="20" t="str">
        <f ca="1">IF(Calc!$AM54="","",INT(Calc!$AK54))</f>
        <v/>
      </c>
      <c r="C54" s="21" t="str">
        <f ca="1">IF(Calc!$AM54="","",IF($H54&lt;Setup!$C$5,"PAST DUE: milestone date has passed",IF($B54&lt;Setup!$C$5,"LATE: order today, ask about rush",IF($B54&lt;Setup!$C$5+14,"Order within 2 weeks","Scheduled"))))</f>
        <v/>
      </c>
      <c r="D54" s="21" t="str">
        <f ca="1">IF(Calc!$AM54="","",TEXT($B54,"mmmm yyyy"))</f>
        <v/>
      </c>
      <c r="E54" s="21" t="str">
        <f ca="1">IF(Calc!$AM54="","",INDEX(Roster!$A$6:$A$505,Calc!$AM54)&amp;"")</f>
        <v/>
      </c>
      <c r="F54" s="21" t="str">
        <f ca="1">IF(Calc!$AM54="","",INDEX(Roster!$C$6:$C$505,Calc!$AM54)&amp;"")</f>
        <v/>
      </c>
      <c r="G54" s="19" t="str">
        <f ca="1">IF(Calc!$AM54="","",INDEX(Setup!$C$20:$C$34,Calc!$AN54))</f>
        <v/>
      </c>
      <c r="H54" s="20" t="str">
        <f ca="1">IF(Calc!$AM54="","",INDEX(Calc!$B$6:$P$505,Calc!$AM54,Calc!$AN54))</f>
        <v/>
      </c>
      <c r="I54" s="21" t="str">
        <f ca="1">IF(Calc!$AM54="","",INDEX(Setup!$D$20:$D$34,Calc!$AN54)&amp;"")</f>
        <v/>
      </c>
      <c r="J54" s="21" t="str">
        <f ca="1">IF(Calc!$AM54="","",INDEX(Setup!$E$20:$E$34,Calc!$AN54)&amp;"")</f>
        <v/>
      </c>
      <c r="K54" s="23" t="str">
        <f ca="1">IF(Calc!$AM54="","",INDEX(Setup!$F$20:$F$34,Calc!$AN54))</f>
        <v/>
      </c>
      <c r="L54" s="21" t="str">
        <f ca="1">IF(Calc!$AM54="","",SUBSTITUTE(SUBSTITUTE(SUBSTITUTE(SUBSTITUTE(INDEX(Setup!$H$20:$H$34,Calc!$AN54)&amp;"","{name}",$E54),"{years}",$G54),"{date}",TEXT($H54,"mmmm d, yyyy")),"{company}",Setup!$C$4))</f>
        <v/>
      </c>
      <c r="M54" s="21" t="str">
        <f ca="1">IF(Calc!$AM54="","",SUBSTITUTE(SUBSTITUTE(SUBSTITUTE(SUBSTITUTE(INDEX(Setup!$I$20:$I$34,Calc!$AN54)&amp;"","{name}",$E54),"{years}",$G54),"{date}",TEXT($H54,"mmmm d, yyyy")),"{company}",Setup!$C$4))</f>
        <v/>
      </c>
      <c r="N54" s="21" t="str">
        <f ca="1">IF(Calc!$AM54="","",SUBSTITUTE(SUBSTITUTE(SUBSTITUTE(SUBSTITUTE(INDEX(Setup!$J$20:$J$34,Calc!$AN54)&amp;"","{name}",$E54),"{years}",$G54),"{date}",TEXT($H54,"mmmm d, yyyy")),"{company}",Setup!$C$4))</f>
        <v/>
      </c>
      <c r="O54" s="21" t="str">
        <f ca="1">IF(Calc!$AM54="","",SUBSTITUTE(SUBSTITUTE(SUBSTITUTE(SUBSTITUTE(INDEX(Setup!$K$20:$K$34,Calc!$AN54)&amp;"","{name}",$E54),"{years}",$G54),"{date}",TEXT($H54,"mmmm d, yyyy")),"{company}",Setup!$C$4))</f>
        <v/>
      </c>
      <c r="P54" s="21" t="str">
        <f ca="1">IF(Calc!$AM54="","",SUBSTITUTE(SUBSTITUTE(TRIM(SUBSTITUTE($L54," ","~")&amp;" "&amp;SUBSTITUTE($M54," ","~")&amp;" "&amp;SUBSTITUTE($N54," ","~")&amp;" "&amp;SUBSTITUTE($O54," ","~"))," "," | "),"~"," "))</f>
        <v/>
      </c>
    </row>
    <row r="55" spans="1:16" x14ac:dyDescent="0.2">
      <c r="A55" s="19" t="str">
        <f ca="1">IF(Calc!$AM55="","",ROW()-5)</f>
        <v/>
      </c>
      <c r="B55" s="20" t="str">
        <f ca="1">IF(Calc!$AM55="","",INT(Calc!$AK55))</f>
        <v/>
      </c>
      <c r="C55" s="21" t="str">
        <f ca="1">IF(Calc!$AM55="","",IF($H55&lt;Setup!$C$5,"PAST DUE: milestone date has passed",IF($B55&lt;Setup!$C$5,"LATE: order today, ask about rush",IF($B55&lt;Setup!$C$5+14,"Order within 2 weeks","Scheduled"))))</f>
        <v/>
      </c>
      <c r="D55" s="21" t="str">
        <f ca="1">IF(Calc!$AM55="","",TEXT($B55,"mmmm yyyy"))</f>
        <v/>
      </c>
      <c r="E55" s="21" t="str">
        <f ca="1">IF(Calc!$AM55="","",INDEX(Roster!$A$6:$A$505,Calc!$AM55)&amp;"")</f>
        <v/>
      </c>
      <c r="F55" s="21" t="str">
        <f ca="1">IF(Calc!$AM55="","",INDEX(Roster!$C$6:$C$505,Calc!$AM55)&amp;"")</f>
        <v/>
      </c>
      <c r="G55" s="19" t="str">
        <f ca="1">IF(Calc!$AM55="","",INDEX(Setup!$C$20:$C$34,Calc!$AN55))</f>
        <v/>
      </c>
      <c r="H55" s="20" t="str">
        <f ca="1">IF(Calc!$AM55="","",INDEX(Calc!$B$6:$P$505,Calc!$AM55,Calc!$AN55))</f>
        <v/>
      </c>
      <c r="I55" s="21" t="str">
        <f ca="1">IF(Calc!$AM55="","",INDEX(Setup!$D$20:$D$34,Calc!$AN55)&amp;"")</f>
        <v/>
      </c>
      <c r="J55" s="21" t="str">
        <f ca="1">IF(Calc!$AM55="","",INDEX(Setup!$E$20:$E$34,Calc!$AN55)&amp;"")</f>
        <v/>
      </c>
      <c r="K55" s="23" t="str">
        <f ca="1">IF(Calc!$AM55="","",INDEX(Setup!$F$20:$F$34,Calc!$AN55))</f>
        <v/>
      </c>
      <c r="L55" s="21" t="str">
        <f ca="1">IF(Calc!$AM55="","",SUBSTITUTE(SUBSTITUTE(SUBSTITUTE(SUBSTITUTE(INDEX(Setup!$H$20:$H$34,Calc!$AN55)&amp;"","{name}",$E55),"{years}",$G55),"{date}",TEXT($H55,"mmmm d, yyyy")),"{company}",Setup!$C$4))</f>
        <v/>
      </c>
      <c r="M55" s="21" t="str">
        <f ca="1">IF(Calc!$AM55="","",SUBSTITUTE(SUBSTITUTE(SUBSTITUTE(SUBSTITUTE(INDEX(Setup!$I$20:$I$34,Calc!$AN55)&amp;"","{name}",$E55),"{years}",$G55),"{date}",TEXT($H55,"mmmm d, yyyy")),"{company}",Setup!$C$4))</f>
        <v/>
      </c>
      <c r="N55" s="21" t="str">
        <f ca="1">IF(Calc!$AM55="","",SUBSTITUTE(SUBSTITUTE(SUBSTITUTE(SUBSTITUTE(INDEX(Setup!$J$20:$J$34,Calc!$AN55)&amp;"","{name}",$E55),"{years}",$G55),"{date}",TEXT($H55,"mmmm d, yyyy")),"{company}",Setup!$C$4))</f>
        <v/>
      </c>
      <c r="O55" s="21" t="str">
        <f ca="1">IF(Calc!$AM55="","",SUBSTITUTE(SUBSTITUTE(SUBSTITUTE(SUBSTITUTE(INDEX(Setup!$K$20:$K$34,Calc!$AN55)&amp;"","{name}",$E55),"{years}",$G55),"{date}",TEXT($H55,"mmmm d, yyyy")),"{company}",Setup!$C$4))</f>
        <v/>
      </c>
      <c r="P55" s="21" t="str">
        <f ca="1">IF(Calc!$AM55="","",SUBSTITUTE(SUBSTITUTE(TRIM(SUBSTITUTE($L55," ","~")&amp;" "&amp;SUBSTITUTE($M55," ","~")&amp;" "&amp;SUBSTITUTE($N55," ","~")&amp;" "&amp;SUBSTITUTE($O55," ","~"))," "," | "),"~"," "))</f>
        <v/>
      </c>
    </row>
    <row r="56" spans="1:16" x14ac:dyDescent="0.2">
      <c r="A56" s="19" t="str">
        <f ca="1">IF(Calc!$AM56="","",ROW()-5)</f>
        <v/>
      </c>
      <c r="B56" s="20" t="str">
        <f ca="1">IF(Calc!$AM56="","",INT(Calc!$AK56))</f>
        <v/>
      </c>
      <c r="C56" s="21" t="str">
        <f ca="1">IF(Calc!$AM56="","",IF($H56&lt;Setup!$C$5,"PAST DUE: milestone date has passed",IF($B56&lt;Setup!$C$5,"LATE: order today, ask about rush",IF($B56&lt;Setup!$C$5+14,"Order within 2 weeks","Scheduled"))))</f>
        <v/>
      </c>
      <c r="D56" s="21" t="str">
        <f ca="1">IF(Calc!$AM56="","",TEXT($B56,"mmmm yyyy"))</f>
        <v/>
      </c>
      <c r="E56" s="21" t="str">
        <f ca="1">IF(Calc!$AM56="","",INDEX(Roster!$A$6:$A$505,Calc!$AM56)&amp;"")</f>
        <v/>
      </c>
      <c r="F56" s="21" t="str">
        <f ca="1">IF(Calc!$AM56="","",INDEX(Roster!$C$6:$C$505,Calc!$AM56)&amp;"")</f>
        <v/>
      </c>
      <c r="G56" s="19" t="str">
        <f ca="1">IF(Calc!$AM56="","",INDEX(Setup!$C$20:$C$34,Calc!$AN56))</f>
        <v/>
      </c>
      <c r="H56" s="20" t="str">
        <f ca="1">IF(Calc!$AM56="","",INDEX(Calc!$B$6:$P$505,Calc!$AM56,Calc!$AN56))</f>
        <v/>
      </c>
      <c r="I56" s="21" t="str">
        <f ca="1">IF(Calc!$AM56="","",INDEX(Setup!$D$20:$D$34,Calc!$AN56)&amp;"")</f>
        <v/>
      </c>
      <c r="J56" s="21" t="str">
        <f ca="1">IF(Calc!$AM56="","",INDEX(Setup!$E$20:$E$34,Calc!$AN56)&amp;"")</f>
        <v/>
      </c>
      <c r="K56" s="23" t="str">
        <f ca="1">IF(Calc!$AM56="","",INDEX(Setup!$F$20:$F$34,Calc!$AN56))</f>
        <v/>
      </c>
      <c r="L56" s="21" t="str">
        <f ca="1">IF(Calc!$AM56="","",SUBSTITUTE(SUBSTITUTE(SUBSTITUTE(SUBSTITUTE(INDEX(Setup!$H$20:$H$34,Calc!$AN56)&amp;"","{name}",$E56),"{years}",$G56),"{date}",TEXT($H56,"mmmm d, yyyy")),"{company}",Setup!$C$4))</f>
        <v/>
      </c>
      <c r="M56" s="21" t="str">
        <f ca="1">IF(Calc!$AM56="","",SUBSTITUTE(SUBSTITUTE(SUBSTITUTE(SUBSTITUTE(INDEX(Setup!$I$20:$I$34,Calc!$AN56)&amp;"","{name}",$E56),"{years}",$G56),"{date}",TEXT($H56,"mmmm d, yyyy")),"{company}",Setup!$C$4))</f>
        <v/>
      </c>
      <c r="N56" s="21" t="str">
        <f ca="1">IF(Calc!$AM56="","",SUBSTITUTE(SUBSTITUTE(SUBSTITUTE(SUBSTITUTE(INDEX(Setup!$J$20:$J$34,Calc!$AN56)&amp;"","{name}",$E56),"{years}",$G56),"{date}",TEXT($H56,"mmmm d, yyyy")),"{company}",Setup!$C$4))</f>
        <v/>
      </c>
      <c r="O56" s="21" t="str">
        <f ca="1">IF(Calc!$AM56="","",SUBSTITUTE(SUBSTITUTE(SUBSTITUTE(SUBSTITUTE(INDEX(Setup!$K$20:$K$34,Calc!$AN56)&amp;"","{name}",$E56),"{years}",$G56),"{date}",TEXT($H56,"mmmm d, yyyy")),"{company}",Setup!$C$4))</f>
        <v/>
      </c>
      <c r="P56" s="21" t="str">
        <f ca="1">IF(Calc!$AM56="","",SUBSTITUTE(SUBSTITUTE(TRIM(SUBSTITUTE($L56," ","~")&amp;" "&amp;SUBSTITUTE($M56," ","~")&amp;" "&amp;SUBSTITUTE($N56," ","~")&amp;" "&amp;SUBSTITUTE($O56," ","~"))," "," | "),"~"," "))</f>
        <v/>
      </c>
    </row>
    <row r="57" spans="1:16" x14ac:dyDescent="0.2">
      <c r="A57" s="19" t="str">
        <f ca="1">IF(Calc!$AM57="","",ROW()-5)</f>
        <v/>
      </c>
      <c r="B57" s="20" t="str">
        <f ca="1">IF(Calc!$AM57="","",INT(Calc!$AK57))</f>
        <v/>
      </c>
      <c r="C57" s="21" t="str">
        <f ca="1">IF(Calc!$AM57="","",IF($H57&lt;Setup!$C$5,"PAST DUE: milestone date has passed",IF($B57&lt;Setup!$C$5,"LATE: order today, ask about rush",IF($B57&lt;Setup!$C$5+14,"Order within 2 weeks","Scheduled"))))</f>
        <v/>
      </c>
      <c r="D57" s="21" t="str">
        <f ca="1">IF(Calc!$AM57="","",TEXT($B57,"mmmm yyyy"))</f>
        <v/>
      </c>
      <c r="E57" s="21" t="str">
        <f ca="1">IF(Calc!$AM57="","",INDEX(Roster!$A$6:$A$505,Calc!$AM57)&amp;"")</f>
        <v/>
      </c>
      <c r="F57" s="21" t="str">
        <f ca="1">IF(Calc!$AM57="","",INDEX(Roster!$C$6:$C$505,Calc!$AM57)&amp;"")</f>
        <v/>
      </c>
      <c r="G57" s="19" t="str">
        <f ca="1">IF(Calc!$AM57="","",INDEX(Setup!$C$20:$C$34,Calc!$AN57))</f>
        <v/>
      </c>
      <c r="H57" s="20" t="str">
        <f ca="1">IF(Calc!$AM57="","",INDEX(Calc!$B$6:$P$505,Calc!$AM57,Calc!$AN57))</f>
        <v/>
      </c>
      <c r="I57" s="21" t="str">
        <f ca="1">IF(Calc!$AM57="","",INDEX(Setup!$D$20:$D$34,Calc!$AN57)&amp;"")</f>
        <v/>
      </c>
      <c r="J57" s="21" t="str">
        <f ca="1">IF(Calc!$AM57="","",INDEX(Setup!$E$20:$E$34,Calc!$AN57)&amp;"")</f>
        <v/>
      </c>
      <c r="K57" s="23" t="str">
        <f ca="1">IF(Calc!$AM57="","",INDEX(Setup!$F$20:$F$34,Calc!$AN57))</f>
        <v/>
      </c>
      <c r="L57" s="21" t="str">
        <f ca="1">IF(Calc!$AM57="","",SUBSTITUTE(SUBSTITUTE(SUBSTITUTE(SUBSTITUTE(INDEX(Setup!$H$20:$H$34,Calc!$AN57)&amp;"","{name}",$E57),"{years}",$G57),"{date}",TEXT($H57,"mmmm d, yyyy")),"{company}",Setup!$C$4))</f>
        <v/>
      </c>
      <c r="M57" s="21" t="str">
        <f ca="1">IF(Calc!$AM57="","",SUBSTITUTE(SUBSTITUTE(SUBSTITUTE(SUBSTITUTE(INDEX(Setup!$I$20:$I$34,Calc!$AN57)&amp;"","{name}",$E57),"{years}",$G57),"{date}",TEXT($H57,"mmmm d, yyyy")),"{company}",Setup!$C$4))</f>
        <v/>
      </c>
      <c r="N57" s="21" t="str">
        <f ca="1">IF(Calc!$AM57="","",SUBSTITUTE(SUBSTITUTE(SUBSTITUTE(SUBSTITUTE(INDEX(Setup!$J$20:$J$34,Calc!$AN57)&amp;"","{name}",$E57),"{years}",$G57),"{date}",TEXT($H57,"mmmm d, yyyy")),"{company}",Setup!$C$4))</f>
        <v/>
      </c>
      <c r="O57" s="21" t="str">
        <f ca="1">IF(Calc!$AM57="","",SUBSTITUTE(SUBSTITUTE(SUBSTITUTE(SUBSTITUTE(INDEX(Setup!$K$20:$K$34,Calc!$AN57)&amp;"","{name}",$E57),"{years}",$G57),"{date}",TEXT($H57,"mmmm d, yyyy")),"{company}",Setup!$C$4))</f>
        <v/>
      </c>
      <c r="P57" s="21" t="str">
        <f ca="1">IF(Calc!$AM57="","",SUBSTITUTE(SUBSTITUTE(TRIM(SUBSTITUTE($L57," ","~")&amp;" "&amp;SUBSTITUTE($M57," ","~")&amp;" "&amp;SUBSTITUTE($N57," ","~")&amp;" "&amp;SUBSTITUTE($O57," ","~"))," "," | "),"~"," "))</f>
        <v/>
      </c>
    </row>
    <row r="58" spans="1:16" x14ac:dyDescent="0.2">
      <c r="A58" s="19" t="str">
        <f ca="1">IF(Calc!$AM58="","",ROW()-5)</f>
        <v/>
      </c>
      <c r="B58" s="20" t="str">
        <f ca="1">IF(Calc!$AM58="","",INT(Calc!$AK58))</f>
        <v/>
      </c>
      <c r="C58" s="21" t="str">
        <f ca="1">IF(Calc!$AM58="","",IF($H58&lt;Setup!$C$5,"PAST DUE: milestone date has passed",IF($B58&lt;Setup!$C$5,"LATE: order today, ask about rush",IF($B58&lt;Setup!$C$5+14,"Order within 2 weeks","Scheduled"))))</f>
        <v/>
      </c>
      <c r="D58" s="21" t="str">
        <f ca="1">IF(Calc!$AM58="","",TEXT($B58,"mmmm yyyy"))</f>
        <v/>
      </c>
      <c r="E58" s="21" t="str">
        <f ca="1">IF(Calc!$AM58="","",INDEX(Roster!$A$6:$A$505,Calc!$AM58)&amp;"")</f>
        <v/>
      </c>
      <c r="F58" s="21" t="str">
        <f ca="1">IF(Calc!$AM58="","",INDEX(Roster!$C$6:$C$505,Calc!$AM58)&amp;"")</f>
        <v/>
      </c>
      <c r="G58" s="19" t="str">
        <f ca="1">IF(Calc!$AM58="","",INDEX(Setup!$C$20:$C$34,Calc!$AN58))</f>
        <v/>
      </c>
      <c r="H58" s="20" t="str">
        <f ca="1">IF(Calc!$AM58="","",INDEX(Calc!$B$6:$P$505,Calc!$AM58,Calc!$AN58))</f>
        <v/>
      </c>
      <c r="I58" s="21" t="str">
        <f ca="1">IF(Calc!$AM58="","",INDEX(Setup!$D$20:$D$34,Calc!$AN58)&amp;"")</f>
        <v/>
      </c>
      <c r="J58" s="21" t="str">
        <f ca="1">IF(Calc!$AM58="","",INDEX(Setup!$E$20:$E$34,Calc!$AN58)&amp;"")</f>
        <v/>
      </c>
      <c r="K58" s="23" t="str">
        <f ca="1">IF(Calc!$AM58="","",INDEX(Setup!$F$20:$F$34,Calc!$AN58))</f>
        <v/>
      </c>
      <c r="L58" s="21" t="str">
        <f ca="1">IF(Calc!$AM58="","",SUBSTITUTE(SUBSTITUTE(SUBSTITUTE(SUBSTITUTE(INDEX(Setup!$H$20:$H$34,Calc!$AN58)&amp;"","{name}",$E58),"{years}",$G58),"{date}",TEXT($H58,"mmmm d, yyyy")),"{company}",Setup!$C$4))</f>
        <v/>
      </c>
      <c r="M58" s="21" t="str">
        <f ca="1">IF(Calc!$AM58="","",SUBSTITUTE(SUBSTITUTE(SUBSTITUTE(SUBSTITUTE(INDEX(Setup!$I$20:$I$34,Calc!$AN58)&amp;"","{name}",$E58),"{years}",$G58),"{date}",TEXT($H58,"mmmm d, yyyy")),"{company}",Setup!$C$4))</f>
        <v/>
      </c>
      <c r="N58" s="21" t="str">
        <f ca="1">IF(Calc!$AM58="","",SUBSTITUTE(SUBSTITUTE(SUBSTITUTE(SUBSTITUTE(INDEX(Setup!$J$20:$J$34,Calc!$AN58)&amp;"","{name}",$E58),"{years}",$G58),"{date}",TEXT($H58,"mmmm d, yyyy")),"{company}",Setup!$C$4))</f>
        <v/>
      </c>
      <c r="O58" s="21" t="str">
        <f ca="1">IF(Calc!$AM58="","",SUBSTITUTE(SUBSTITUTE(SUBSTITUTE(SUBSTITUTE(INDEX(Setup!$K$20:$K$34,Calc!$AN58)&amp;"","{name}",$E58),"{years}",$G58),"{date}",TEXT($H58,"mmmm d, yyyy")),"{company}",Setup!$C$4))</f>
        <v/>
      </c>
      <c r="P58" s="21" t="str">
        <f ca="1">IF(Calc!$AM58="","",SUBSTITUTE(SUBSTITUTE(TRIM(SUBSTITUTE($L58," ","~")&amp;" "&amp;SUBSTITUTE($M58," ","~")&amp;" "&amp;SUBSTITUTE($N58," ","~")&amp;" "&amp;SUBSTITUTE($O58," ","~"))," "," | "),"~"," "))</f>
        <v/>
      </c>
    </row>
    <row r="59" spans="1:16" x14ac:dyDescent="0.2">
      <c r="A59" s="19" t="str">
        <f ca="1">IF(Calc!$AM59="","",ROW()-5)</f>
        <v/>
      </c>
      <c r="B59" s="20" t="str">
        <f ca="1">IF(Calc!$AM59="","",INT(Calc!$AK59))</f>
        <v/>
      </c>
      <c r="C59" s="21" t="str">
        <f ca="1">IF(Calc!$AM59="","",IF($H59&lt;Setup!$C$5,"PAST DUE: milestone date has passed",IF($B59&lt;Setup!$C$5,"LATE: order today, ask about rush",IF($B59&lt;Setup!$C$5+14,"Order within 2 weeks","Scheduled"))))</f>
        <v/>
      </c>
      <c r="D59" s="21" t="str">
        <f ca="1">IF(Calc!$AM59="","",TEXT($B59,"mmmm yyyy"))</f>
        <v/>
      </c>
      <c r="E59" s="21" t="str">
        <f ca="1">IF(Calc!$AM59="","",INDEX(Roster!$A$6:$A$505,Calc!$AM59)&amp;"")</f>
        <v/>
      </c>
      <c r="F59" s="21" t="str">
        <f ca="1">IF(Calc!$AM59="","",INDEX(Roster!$C$6:$C$505,Calc!$AM59)&amp;"")</f>
        <v/>
      </c>
      <c r="G59" s="19" t="str">
        <f ca="1">IF(Calc!$AM59="","",INDEX(Setup!$C$20:$C$34,Calc!$AN59))</f>
        <v/>
      </c>
      <c r="H59" s="20" t="str">
        <f ca="1">IF(Calc!$AM59="","",INDEX(Calc!$B$6:$P$505,Calc!$AM59,Calc!$AN59))</f>
        <v/>
      </c>
      <c r="I59" s="21" t="str">
        <f ca="1">IF(Calc!$AM59="","",INDEX(Setup!$D$20:$D$34,Calc!$AN59)&amp;"")</f>
        <v/>
      </c>
      <c r="J59" s="21" t="str">
        <f ca="1">IF(Calc!$AM59="","",INDEX(Setup!$E$20:$E$34,Calc!$AN59)&amp;"")</f>
        <v/>
      </c>
      <c r="K59" s="23" t="str">
        <f ca="1">IF(Calc!$AM59="","",INDEX(Setup!$F$20:$F$34,Calc!$AN59))</f>
        <v/>
      </c>
      <c r="L59" s="21" t="str">
        <f ca="1">IF(Calc!$AM59="","",SUBSTITUTE(SUBSTITUTE(SUBSTITUTE(SUBSTITUTE(INDEX(Setup!$H$20:$H$34,Calc!$AN59)&amp;"","{name}",$E59),"{years}",$G59),"{date}",TEXT($H59,"mmmm d, yyyy")),"{company}",Setup!$C$4))</f>
        <v/>
      </c>
      <c r="M59" s="21" t="str">
        <f ca="1">IF(Calc!$AM59="","",SUBSTITUTE(SUBSTITUTE(SUBSTITUTE(SUBSTITUTE(INDEX(Setup!$I$20:$I$34,Calc!$AN59)&amp;"","{name}",$E59),"{years}",$G59),"{date}",TEXT($H59,"mmmm d, yyyy")),"{company}",Setup!$C$4))</f>
        <v/>
      </c>
      <c r="N59" s="21" t="str">
        <f ca="1">IF(Calc!$AM59="","",SUBSTITUTE(SUBSTITUTE(SUBSTITUTE(SUBSTITUTE(INDEX(Setup!$J$20:$J$34,Calc!$AN59)&amp;"","{name}",$E59),"{years}",$G59),"{date}",TEXT($H59,"mmmm d, yyyy")),"{company}",Setup!$C$4))</f>
        <v/>
      </c>
      <c r="O59" s="21" t="str">
        <f ca="1">IF(Calc!$AM59="","",SUBSTITUTE(SUBSTITUTE(SUBSTITUTE(SUBSTITUTE(INDEX(Setup!$K$20:$K$34,Calc!$AN59)&amp;"","{name}",$E59),"{years}",$G59),"{date}",TEXT($H59,"mmmm d, yyyy")),"{company}",Setup!$C$4))</f>
        <v/>
      </c>
      <c r="P59" s="21" t="str">
        <f ca="1">IF(Calc!$AM59="","",SUBSTITUTE(SUBSTITUTE(TRIM(SUBSTITUTE($L59," ","~")&amp;" "&amp;SUBSTITUTE($M59," ","~")&amp;" "&amp;SUBSTITUTE($N59," ","~")&amp;" "&amp;SUBSTITUTE($O59," ","~"))," "," | "),"~"," "))</f>
        <v/>
      </c>
    </row>
    <row r="60" spans="1:16" x14ac:dyDescent="0.2">
      <c r="A60" s="19" t="str">
        <f ca="1">IF(Calc!$AM60="","",ROW()-5)</f>
        <v/>
      </c>
      <c r="B60" s="20" t="str">
        <f ca="1">IF(Calc!$AM60="","",INT(Calc!$AK60))</f>
        <v/>
      </c>
      <c r="C60" s="21" t="str">
        <f ca="1">IF(Calc!$AM60="","",IF($H60&lt;Setup!$C$5,"PAST DUE: milestone date has passed",IF($B60&lt;Setup!$C$5,"LATE: order today, ask about rush",IF($B60&lt;Setup!$C$5+14,"Order within 2 weeks","Scheduled"))))</f>
        <v/>
      </c>
      <c r="D60" s="21" t="str">
        <f ca="1">IF(Calc!$AM60="","",TEXT($B60,"mmmm yyyy"))</f>
        <v/>
      </c>
      <c r="E60" s="21" t="str">
        <f ca="1">IF(Calc!$AM60="","",INDEX(Roster!$A$6:$A$505,Calc!$AM60)&amp;"")</f>
        <v/>
      </c>
      <c r="F60" s="21" t="str">
        <f ca="1">IF(Calc!$AM60="","",INDEX(Roster!$C$6:$C$505,Calc!$AM60)&amp;"")</f>
        <v/>
      </c>
      <c r="G60" s="19" t="str">
        <f ca="1">IF(Calc!$AM60="","",INDEX(Setup!$C$20:$C$34,Calc!$AN60))</f>
        <v/>
      </c>
      <c r="H60" s="20" t="str">
        <f ca="1">IF(Calc!$AM60="","",INDEX(Calc!$B$6:$P$505,Calc!$AM60,Calc!$AN60))</f>
        <v/>
      </c>
      <c r="I60" s="21" t="str">
        <f ca="1">IF(Calc!$AM60="","",INDEX(Setup!$D$20:$D$34,Calc!$AN60)&amp;"")</f>
        <v/>
      </c>
      <c r="J60" s="21" t="str">
        <f ca="1">IF(Calc!$AM60="","",INDEX(Setup!$E$20:$E$34,Calc!$AN60)&amp;"")</f>
        <v/>
      </c>
      <c r="K60" s="23" t="str">
        <f ca="1">IF(Calc!$AM60="","",INDEX(Setup!$F$20:$F$34,Calc!$AN60))</f>
        <v/>
      </c>
      <c r="L60" s="21" t="str">
        <f ca="1">IF(Calc!$AM60="","",SUBSTITUTE(SUBSTITUTE(SUBSTITUTE(SUBSTITUTE(INDEX(Setup!$H$20:$H$34,Calc!$AN60)&amp;"","{name}",$E60),"{years}",$G60),"{date}",TEXT($H60,"mmmm d, yyyy")),"{company}",Setup!$C$4))</f>
        <v/>
      </c>
      <c r="M60" s="21" t="str">
        <f ca="1">IF(Calc!$AM60="","",SUBSTITUTE(SUBSTITUTE(SUBSTITUTE(SUBSTITUTE(INDEX(Setup!$I$20:$I$34,Calc!$AN60)&amp;"","{name}",$E60),"{years}",$G60),"{date}",TEXT($H60,"mmmm d, yyyy")),"{company}",Setup!$C$4))</f>
        <v/>
      </c>
      <c r="N60" s="21" t="str">
        <f ca="1">IF(Calc!$AM60="","",SUBSTITUTE(SUBSTITUTE(SUBSTITUTE(SUBSTITUTE(INDEX(Setup!$J$20:$J$34,Calc!$AN60)&amp;"","{name}",$E60),"{years}",$G60),"{date}",TEXT($H60,"mmmm d, yyyy")),"{company}",Setup!$C$4))</f>
        <v/>
      </c>
      <c r="O60" s="21" t="str">
        <f ca="1">IF(Calc!$AM60="","",SUBSTITUTE(SUBSTITUTE(SUBSTITUTE(SUBSTITUTE(INDEX(Setup!$K$20:$K$34,Calc!$AN60)&amp;"","{name}",$E60),"{years}",$G60),"{date}",TEXT($H60,"mmmm d, yyyy")),"{company}",Setup!$C$4))</f>
        <v/>
      </c>
      <c r="P60" s="21" t="str">
        <f ca="1">IF(Calc!$AM60="","",SUBSTITUTE(SUBSTITUTE(TRIM(SUBSTITUTE($L60," ","~")&amp;" "&amp;SUBSTITUTE($M60," ","~")&amp;" "&amp;SUBSTITUTE($N60," ","~")&amp;" "&amp;SUBSTITUTE($O60," ","~"))," "," | "),"~"," "))</f>
        <v/>
      </c>
    </row>
    <row r="61" spans="1:16" x14ac:dyDescent="0.2">
      <c r="A61" s="19" t="str">
        <f ca="1">IF(Calc!$AM61="","",ROW()-5)</f>
        <v/>
      </c>
      <c r="B61" s="20" t="str">
        <f ca="1">IF(Calc!$AM61="","",INT(Calc!$AK61))</f>
        <v/>
      </c>
      <c r="C61" s="21" t="str">
        <f ca="1">IF(Calc!$AM61="","",IF($H61&lt;Setup!$C$5,"PAST DUE: milestone date has passed",IF($B61&lt;Setup!$C$5,"LATE: order today, ask about rush",IF($B61&lt;Setup!$C$5+14,"Order within 2 weeks","Scheduled"))))</f>
        <v/>
      </c>
      <c r="D61" s="21" t="str">
        <f ca="1">IF(Calc!$AM61="","",TEXT($B61,"mmmm yyyy"))</f>
        <v/>
      </c>
      <c r="E61" s="21" t="str">
        <f ca="1">IF(Calc!$AM61="","",INDEX(Roster!$A$6:$A$505,Calc!$AM61)&amp;"")</f>
        <v/>
      </c>
      <c r="F61" s="21" t="str">
        <f ca="1">IF(Calc!$AM61="","",INDEX(Roster!$C$6:$C$505,Calc!$AM61)&amp;"")</f>
        <v/>
      </c>
      <c r="G61" s="19" t="str">
        <f ca="1">IF(Calc!$AM61="","",INDEX(Setup!$C$20:$C$34,Calc!$AN61))</f>
        <v/>
      </c>
      <c r="H61" s="20" t="str">
        <f ca="1">IF(Calc!$AM61="","",INDEX(Calc!$B$6:$P$505,Calc!$AM61,Calc!$AN61))</f>
        <v/>
      </c>
      <c r="I61" s="21" t="str">
        <f ca="1">IF(Calc!$AM61="","",INDEX(Setup!$D$20:$D$34,Calc!$AN61)&amp;"")</f>
        <v/>
      </c>
      <c r="J61" s="21" t="str">
        <f ca="1">IF(Calc!$AM61="","",INDEX(Setup!$E$20:$E$34,Calc!$AN61)&amp;"")</f>
        <v/>
      </c>
      <c r="K61" s="23" t="str">
        <f ca="1">IF(Calc!$AM61="","",INDEX(Setup!$F$20:$F$34,Calc!$AN61))</f>
        <v/>
      </c>
      <c r="L61" s="21" t="str">
        <f ca="1">IF(Calc!$AM61="","",SUBSTITUTE(SUBSTITUTE(SUBSTITUTE(SUBSTITUTE(INDEX(Setup!$H$20:$H$34,Calc!$AN61)&amp;"","{name}",$E61),"{years}",$G61),"{date}",TEXT($H61,"mmmm d, yyyy")),"{company}",Setup!$C$4))</f>
        <v/>
      </c>
      <c r="M61" s="21" t="str">
        <f ca="1">IF(Calc!$AM61="","",SUBSTITUTE(SUBSTITUTE(SUBSTITUTE(SUBSTITUTE(INDEX(Setup!$I$20:$I$34,Calc!$AN61)&amp;"","{name}",$E61),"{years}",$G61),"{date}",TEXT($H61,"mmmm d, yyyy")),"{company}",Setup!$C$4))</f>
        <v/>
      </c>
      <c r="N61" s="21" t="str">
        <f ca="1">IF(Calc!$AM61="","",SUBSTITUTE(SUBSTITUTE(SUBSTITUTE(SUBSTITUTE(INDEX(Setup!$J$20:$J$34,Calc!$AN61)&amp;"","{name}",$E61),"{years}",$G61),"{date}",TEXT($H61,"mmmm d, yyyy")),"{company}",Setup!$C$4))</f>
        <v/>
      </c>
      <c r="O61" s="21" t="str">
        <f ca="1">IF(Calc!$AM61="","",SUBSTITUTE(SUBSTITUTE(SUBSTITUTE(SUBSTITUTE(INDEX(Setup!$K$20:$K$34,Calc!$AN61)&amp;"","{name}",$E61),"{years}",$G61),"{date}",TEXT($H61,"mmmm d, yyyy")),"{company}",Setup!$C$4))</f>
        <v/>
      </c>
      <c r="P61" s="21" t="str">
        <f ca="1">IF(Calc!$AM61="","",SUBSTITUTE(SUBSTITUTE(TRIM(SUBSTITUTE($L61," ","~")&amp;" "&amp;SUBSTITUTE($M61," ","~")&amp;" "&amp;SUBSTITUTE($N61," ","~")&amp;" "&amp;SUBSTITUTE($O61," ","~"))," "," | "),"~"," "))</f>
        <v/>
      </c>
    </row>
    <row r="62" spans="1:16" x14ac:dyDescent="0.2">
      <c r="A62" s="19" t="str">
        <f ca="1">IF(Calc!$AM62="","",ROW()-5)</f>
        <v/>
      </c>
      <c r="B62" s="20" t="str">
        <f ca="1">IF(Calc!$AM62="","",INT(Calc!$AK62))</f>
        <v/>
      </c>
      <c r="C62" s="21" t="str">
        <f ca="1">IF(Calc!$AM62="","",IF($H62&lt;Setup!$C$5,"PAST DUE: milestone date has passed",IF($B62&lt;Setup!$C$5,"LATE: order today, ask about rush",IF($B62&lt;Setup!$C$5+14,"Order within 2 weeks","Scheduled"))))</f>
        <v/>
      </c>
      <c r="D62" s="21" t="str">
        <f ca="1">IF(Calc!$AM62="","",TEXT($B62,"mmmm yyyy"))</f>
        <v/>
      </c>
      <c r="E62" s="21" t="str">
        <f ca="1">IF(Calc!$AM62="","",INDEX(Roster!$A$6:$A$505,Calc!$AM62)&amp;"")</f>
        <v/>
      </c>
      <c r="F62" s="21" t="str">
        <f ca="1">IF(Calc!$AM62="","",INDEX(Roster!$C$6:$C$505,Calc!$AM62)&amp;"")</f>
        <v/>
      </c>
      <c r="G62" s="19" t="str">
        <f ca="1">IF(Calc!$AM62="","",INDEX(Setup!$C$20:$C$34,Calc!$AN62))</f>
        <v/>
      </c>
      <c r="H62" s="20" t="str">
        <f ca="1">IF(Calc!$AM62="","",INDEX(Calc!$B$6:$P$505,Calc!$AM62,Calc!$AN62))</f>
        <v/>
      </c>
      <c r="I62" s="21" t="str">
        <f ca="1">IF(Calc!$AM62="","",INDEX(Setup!$D$20:$D$34,Calc!$AN62)&amp;"")</f>
        <v/>
      </c>
      <c r="J62" s="21" t="str">
        <f ca="1">IF(Calc!$AM62="","",INDEX(Setup!$E$20:$E$34,Calc!$AN62)&amp;"")</f>
        <v/>
      </c>
      <c r="K62" s="23" t="str">
        <f ca="1">IF(Calc!$AM62="","",INDEX(Setup!$F$20:$F$34,Calc!$AN62))</f>
        <v/>
      </c>
      <c r="L62" s="21" t="str">
        <f ca="1">IF(Calc!$AM62="","",SUBSTITUTE(SUBSTITUTE(SUBSTITUTE(SUBSTITUTE(INDEX(Setup!$H$20:$H$34,Calc!$AN62)&amp;"","{name}",$E62),"{years}",$G62),"{date}",TEXT($H62,"mmmm d, yyyy")),"{company}",Setup!$C$4))</f>
        <v/>
      </c>
      <c r="M62" s="21" t="str">
        <f ca="1">IF(Calc!$AM62="","",SUBSTITUTE(SUBSTITUTE(SUBSTITUTE(SUBSTITUTE(INDEX(Setup!$I$20:$I$34,Calc!$AN62)&amp;"","{name}",$E62),"{years}",$G62),"{date}",TEXT($H62,"mmmm d, yyyy")),"{company}",Setup!$C$4))</f>
        <v/>
      </c>
      <c r="N62" s="21" t="str">
        <f ca="1">IF(Calc!$AM62="","",SUBSTITUTE(SUBSTITUTE(SUBSTITUTE(SUBSTITUTE(INDEX(Setup!$J$20:$J$34,Calc!$AN62)&amp;"","{name}",$E62),"{years}",$G62),"{date}",TEXT($H62,"mmmm d, yyyy")),"{company}",Setup!$C$4))</f>
        <v/>
      </c>
      <c r="O62" s="21" t="str">
        <f ca="1">IF(Calc!$AM62="","",SUBSTITUTE(SUBSTITUTE(SUBSTITUTE(SUBSTITUTE(INDEX(Setup!$K$20:$K$34,Calc!$AN62)&amp;"","{name}",$E62),"{years}",$G62),"{date}",TEXT($H62,"mmmm d, yyyy")),"{company}",Setup!$C$4))</f>
        <v/>
      </c>
      <c r="P62" s="21" t="str">
        <f ca="1">IF(Calc!$AM62="","",SUBSTITUTE(SUBSTITUTE(TRIM(SUBSTITUTE($L62," ","~")&amp;" "&amp;SUBSTITUTE($M62," ","~")&amp;" "&amp;SUBSTITUTE($N62," ","~")&amp;" "&amp;SUBSTITUTE($O62," ","~"))," "," | "),"~"," "))</f>
        <v/>
      </c>
    </row>
    <row r="63" spans="1:16" x14ac:dyDescent="0.2">
      <c r="A63" s="19" t="str">
        <f ca="1">IF(Calc!$AM63="","",ROW()-5)</f>
        <v/>
      </c>
      <c r="B63" s="20" t="str">
        <f ca="1">IF(Calc!$AM63="","",INT(Calc!$AK63))</f>
        <v/>
      </c>
      <c r="C63" s="21" t="str">
        <f ca="1">IF(Calc!$AM63="","",IF($H63&lt;Setup!$C$5,"PAST DUE: milestone date has passed",IF($B63&lt;Setup!$C$5,"LATE: order today, ask about rush",IF($B63&lt;Setup!$C$5+14,"Order within 2 weeks","Scheduled"))))</f>
        <v/>
      </c>
      <c r="D63" s="21" t="str">
        <f ca="1">IF(Calc!$AM63="","",TEXT($B63,"mmmm yyyy"))</f>
        <v/>
      </c>
      <c r="E63" s="21" t="str">
        <f ca="1">IF(Calc!$AM63="","",INDEX(Roster!$A$6:$A$505,Calc!$AM63)&amp;"")</f>
        <v/>
      </c>
      <c r="F63" s="21" t="str">
        <f ca="1">IF(Calc!$AM63="","",INDEX(Roster!$C$6:$C$505,Calc!$AM63)&amp;"")</f>
        <v/>
      </c>
      <c r="G63" s="19" t="str">
        <f ca="1">IF(Calc!$AM63="","",INDEX(Setup!$C$20:$C$34,Calc!$AN63))</f>
        <v/>
      </c>
      <c r="H63" s="20" t="str">
        <f ca="1">IF(Calc!$AM63="","",INDEX(Calc!$B$6:$P$505,Calc!$AM63,Calc!$AN63))</f>
        <v/>
      </c>
      <c r="I63" s="21" t="str">
        <f ca="1">IF(Calc!$AM63="","",INDEX(Setup!$D$20:$D$34,Calc!$AN63)&amp;"")</f>
        <v/>
      </c>
      <c r="J63" s="21" t="str">
        <f ca="1">IF(Calc!$AM63="","",INDEX(Setup!$E$20:$E$34,Calc!$AN63)&amp;"")</f>
        <v/>
      </c>
      <c r="K63" s="23" t="str">
        <f ca="1">IF(Calc!$AM63="","",INDEX(Setup!$F$20:$F$34,Calc!$AN63))</f>
        <v/>
      </c>
      <c r="L63" s="21" t="str">
        <f ca="1">IF(Calc!$AM63="","",SUBSTITUTE(SUBSTITUTE(SUBSTITUTE(SUBSTITUTE(INDEX(Setup!$H$20:$H$34,Calc!$AN63)&amp;"","{name}",$E63),"{years}",$G63),"{date}",TEXT($H63,"mmmm d, yyyy")),"{company}",Setup!$C$4))</f>
        <v/>
      </c>
      <c r="M63" s="21" t="str">
        <f ca="1">IF(Calc!$AM63="","",SUBSTITUTE(SUBSTITUTE(SUBSTITUTE(SUBSTITUTE(INDEX(Setup!$I$20:$I$34,Calc!$AN63)&amp;"","{name}",$E63),"{years}",$G63),"{date}",TEXT($H63,"mmmm d, yyyy")),"{company}",Setup!$C$4))</f>
        <v/>
      </c>
      <c r="N63" s="21" t="str">
        <f ca="1">IF(Calc!$AM63="","",SUBSTITUTE(SUBSTITUTE(SUBSTITUTE(SUBSTITUTE(INDEX(Setup!$J$20:$J$34,Calc!$AN63)&amp;"","{name}",$E63),"{years}",$G63),"{date}",TEXT($H63,"mmmm d, yyyy")),"{company}",Setup!$C$4))</f>
        <v/>
      </c>
      <c r="O63" s="21" t="str">
        <f ca="1">IF(Calc!$AM63="","",SUBSTITUTE(SUBSTITUTE(SUBSTITUTE(SUBSTITUTE(INDEX(Setup!$K$20:$K$34,Calc!$AN63)&amp;"","{name}",$E63),"{years}",$G63),"{date}",TEXT($H63,"mmmm d, yyyy")),"{company}",Setup!$C$4))</f>
        <v/>
      </c>
      <c r="P63" s="21" t="str">
        <f ca="1">IF(Calc!$AM63="","",SUBSTITUTE(SUBSTITUTE(TRIM(SUBSTITUTE($L63," ","~")&amp;" "&amp;SUBSTITUTE($M63," ","~")&amp;" "&amp;SUBSTITUTE($N63," ","~")&amp;" "&amp;SUBSTITUTE($O63," ","~"))," "," | "),"~"," "))</f>
        <v/>
      </c>
    </row>
    <row r="64" spans="1:16" x14ac:dyDescent="0.2">
      <c r="A64" s="19" t="str">
        <f ca="1">IF(Calc!$AM64="","",ROW()-5)</f>
        <v/>
      </c>
      <c r="B64" s="20" t="str">
        <f ca="1">IF(Calc!$AM64="","",INT(Calc!$AK64))</f>
        <v/>
      </c>
      <c r="C64" s="21" t="str">
        <f ca="1">IF(Calc!$AM64="","",IF($H64&lt;Setup!$C$5,"PAST DUE: milestone date has passed",IF($B64&lt;Setup!$C$5,"LATE: order today, ask about rush",IF($B64&lt;Setup!$C$5+14,"Order within 2 weeks","Scheduled"))))</f>
        <v/>
      </c>
      <c r="D64" s="21" t="str">
        <f ca="1">IF(Calc!$AM64="","",TEXT($B64,"mmmm yyyy"))</f>
        <v/>
      </c>
      <c r="E64" s="21" t="str">
        <f ca="1">IF(Calc!$AM64="","",INDEX(Roster!$A$6:$A$505,Calc!$AM64)&amp;"")</f>
        <v/>
      </c>
      <c r="F64" s="21" t="str">
        <f ca="1">IF(Calc!$AM64="","",INDEX(Roster!$C$6:$C$505,Calc!$AM64)&amp;"")</f>
        <v/>
      </c>
      <c r="G64" s="19" t="str">
        <f ca="1">IF(Calc!$AM64="","",INDEX(Setup!$C$20:$C$34,Calc!$AN64))</f>
        <v/>
      </c>
      <c r="H64" s="20" t="str">
        <f ca="1">IF(Calc!$AM64="","",INDEX(Calc!$B$6:$P$505,Calc!$AM64,Calc!$AN64))</f>
        <v/>
      </c>
      <c r="I64" s="21" t="str">
        <f ca="1">IF(Calc!$AM64="","",INDEX(Setup!$D$20:$D$34,Calc!$AN64)&amp;"")</f>
        <v/>
      </c>
      <c r="J64" s="21" t="str">
        <f ca="1">IF(Calc!$AM64="","",INDEX(Setup!$E$20:$E$34,Calc!$AN64)&amp;"")</f>
        <v/>
      </c>
      <c r="K64" s="23" t="str">
        <f ca="1">IF(Calc!$AM64="","",INDEX(Setup!$F$20:$F$34,Calc!$AN64))</f>
        <v/>
      </c>
      <c r="L64" s="21" t="str">
        <f ca="1">IF(Calc!$AM64="","",SUBSTITUTE(SUBSTITUTE(SUBSTITUTE(SUBSTITUTE(INDEX(Setup!$H$20:$H$34,Calc!$AN64)&amp;"","{name}",$E64),"{years}",$G64),"{date}",TEXT($H64,"mmmm d, yyyy")),"{company}",Setup!$C$4))</f>
        <v/>
      </c>
      <c r="M64" s="21" t="str">
        <f ca="1">IF(Calc!$AM64="","",SUBSTITUTE(SUBSTITUTE(SUBSTITUTE(SUBSTITUTE(INDEX(Setup!$I$20:$I$34,Calc!$AN64)&amp;"","{name}",$E64),"{years}",$G64),"{date}",TEXT($H64,"mmmm d, yyyy")),"{company}",Setup!$C$4))</f>
        <v/>
      </c>
      <c r="N64" s="21" t="str">
        <f ca="1">IF(Calc!$AM64="","",SUBSTITUTE(SUBSTITUTE(SUBSTITUTE(SUBSTITUTE(INDEX(Setup!$J$20:$J$34,Calc!$AN64)&amp;"","{name}",$E64),"{years}",$G64),"{date}",TEXT($H64,"mmmm d, yyyy")),"{company}",Setup!$C$4))</f>
        <v/>
      </c>
      <c r="O64" s="21" t="str">
        <f ca="1">IF(Calc!$AM64="","",SUBSTITUTE(SUBSTITUTE(SUBSTITUTE(SUBSTITUTE(INDEX(Setup!$K$20:$K$34,Calc!$AN64)&amp;"","{name}",$E64),"{years}",$G64),"{date}",TEXT($H64,"mmmm d, yyyy")),"{company}",Setup!$C$4))</f>
        <v/>
      </c>
      <c r="P64" s="21" t="str">
        <f ca="1">IF(Calc!$AM64="","",SUBSTITUTE(SUBSTITUTE(TRIM(SUBSTITUTE($L64," ","~")&amp;" "&amp;SUBSTITUTE($M64," ","~")&amp;" "&amp;SUBSTITUTE($N64," ","~")&amp;" "&amp;SUBSTITUTE($O64," ","~"))," "," | "),"~"," "))</f>
        <v/>
      </c>
    </row>
    <row r="65" spans="1:16" x14ac:dyDescent="0.2">
      <c r="A65" s="19" t="str">
        <f ca="1">IF(Calc!$AM65="","",ROW()-5)</f>
        <v/>
      </c>
      <c r="B65" s="20" t="str">
        <f ca="1">IF(Calc!$AM65="","",INT(Calc!$AK65))</f>
        <v/>
      </c>
      <c r="C65" s="21" t="str">
        <f ca="1">IF(Calc!$AM65="","",IF($H65&lt;Setup!$C$5,"PAST DUE: milestone date has passed",IF($B65&lt;Setup!$C$5,"LATE: order today, ask about rush",IF($B65&lt;Setup!$C$5+14,"Order within 2 weeks","Scheduled"))))</f>
        <v/>
      </c>
      <c r="D65" s="21" t="str">
        <f ca="1">IF(Calc!$AM65="","",TEXT($B65,"mmmm yyyy"))</f>
        <v/>
      </c>
      <c r="E65" s="21" t="str">
        <f ca="1">IF(Calc!$AM65="","",INDEX(Roster!$A$6:$A$505,Calc!$AM65)&amp;"")</f>
        <v/>
      </c>
      <c r="F65" s="21" t="str">
        <f ca="1">IF(Calc!$AM65="","",INDEX(Roster!$C$6:$C$505,Calc!$AM65)&amp;"")</f>
        <v/>
      </c>
      <c r="G65" s="19" t="str">
        <f ca="1">IF(Calc!$AM65="","",INDEX(Setup!$C$20:$C$34,Calc!$AN65))</f>
        <v/>
      </c>
      <c r="H65" s="20" t="str">
        <f ca="1">IF(Calc!$AM65="","",INDEX(Calc!$B$6:$P$505,Calc!$AM65,Calc!$AN65))</f>
        <v/>
      </c>
      <c r="I65" s="21" t="str">
        <f ca="1">IF(Calc!$AM65="","",INDEX(Setup!$D$20:$D$34,Calc!$AN65)&amp;"")</f>
        <v/>
      </c>
      <c r="J65" s="21" t="str">
        <f ca="1">IF(Calc!$AM65="","",INDEX(Setup!$E$20:$E$34,Calc!$AN65)&amp;"")</f>
        <v/>
      </c>
      <c r="K65" s="23" t="str">
        <f ca="1">IF(Calc!$AM65="","",INDEX(Setup!$F$20:$F$34,Calc!$AN65))</f>
        <v/>
      </c>
      <c r="L65" s="21" t="str">
        <f ca="1">IF(Calc!$AM65="","",SUBSTITUTE(SUBSTITUTE(SUBSTITUTE(SUBSTITUTE(INDEX(Setup!$H$20:$H$34,Calc!$AN65)&amp;"","{name}",$E65),"{years}",$G65),"{date}",TEXT($H65,"mmmm d, yyyy")),"{company}",Setup!$C$4))</f>
        <v/>
      </c>
      <c r="M65" s="21" t="str">
        <f ca="1">IF(Calc!$AM65="","",SUBSTITUTE(SUBSTITUTE(SUBSTITUTE(SUBSTITUTE(INDEX(Setup!$I$20:$I$34,Calc!$AN65)&amp;"","{name}",$E65),"{years}",$G65),"{date}",TEXT($H65,"mmmm d, yyyy")),"{company}",Setup!$C$4))</f>
        <v/>
      </c>
      <c r="N65" s="21" t="str">
        <f ca="1">IF(Calc!$AM65="","",SUBSTITUTE(SUBSTITUTE(SUBSTITUTE(SUBSTITUTE(INDEX(Setup!$J$20:$J$34,Calc!$AN65)&amp;"","{name}",$E65),"{years}",$G65),"{date}",TEXT($H65,"mmmm d, yyyy")),"{company}",Setup!$C$4))</f>
        <v/>
      </c>
      <c r="O65" s="21" t="str">
        <f ca="1">IF(Calc!$AM65="","",SUBSTITUTE(SUBSTITUTE(SUBSTITUTE(SUBSTITUTE(INDEX(Setup!$K$20:$K$34,Calc!$AN65)&amp;"","{name}",$E65),"{years}",$G65),"{date}",TEXT($H65,"mmmm d, yyyy")),"{company}",Setup!$C$4))</f>
        <v/>
      </c>
      <c r="P65" s="21" t="str">
        <f ca="1">IF(Calc!$AM65="","",SUBSTITUTE(SUBSTITUTE(TRIM(SUBSTITUTE($L65," ","~")&amp;" "&amp;SUBSTITUTE($M65," ","~")&amp;" "&amp;SUBSTITUTE($N65," ","~")&amp;" "&amp;SUBSTITUTE($O65," ","~"))," "," | "),"~"," "))</f>
        <v/>
      </c>
    </row>
    <row r="66" spans="1:16" x14ac:dyDescent="0.2">
      <c r="A66" s="19" t="str">
        <f ca="1">IF(Calc!$AM66="","",ROW()-5)</f>
        <v/>
      </c>
      <c r="B66" s="20" t="str">
        <f ca="1">IF(Calc!$AM66="","",INT(Calc!$AK66))</f>
        <v/>
      </c>
      <c r="C66" s="21" t="str">
        <f ca="1">IF(Calc!$AM66="","",IF($H66&lt;Setup!$C$5,"PAST DUE: milestone date has passed",IF($B66&lt;Setup!$C$5,"LATE: order today, ask about rush",IF($B66&lt;Setup!$C$5+14,"Order within 2 weeks","Scheduled"))))</f>
        <v/>
      </c>
      <c r="D66" s="21" t="str">
        <f ca="1">IF(Calc!$AM66="","",TEXT($B66,"mmmm yyyy"))</f>
        <v/>
      </c>
      <c r="E66" s="21" t="str">
        <f ca="1">IF(Calc!$AM66="","",INDEX(Roster!$A$6:$A$505,Calc!$AM66)&amp;"")</f>
        <v/>
      </c>
      <c r="F66" s="21" t="str">
        <f ca="1">IF(Calc!$AM66="","",INDEX(Roster!$C$6:$C$505,Calc!$AM66)&amp;"")</f>
        <v/>
      </c>
      <c r="G66" s="19" t="str">
        <f ca="1">IF(Calc!$AM66="","",INDEX(Setup!$C$20:$C$34,Calc!$AN66))</f>
        <v/>
      </c>
      <c r="H66" s="20" t="str">
        <f ca="1">IF(Calc!$AM66="","",INDEX(Calc!$B$6:$P$505,Calc!$AM66,Calc!$AN66))</f>
        <v/>
      </c>
      <c r="I66" s="21" t="str">
        <f ca="1">IF(Calc!$AM66="","",INDEX(Setup!$D$20:$D$34,Calc!$AN66)&amp;"")</f>
        <v/>
      </c>
      <c r="J66" s="21" t="str">
        <f ca="1">IF(Calc!$AM66="","",INDEX(Setup!$E$20:$E$34,Calc!$AN66)&amp;"")</f>
        <v/>
      </c>
      <c r="K66" s="23" t="str">
        <f ca="1">IF(Calc!$AM66="","",INDEX(Setup!$F$20:$F$34,Calc!$AN66))</f>
        <v/>
      </c>
      <c r="L66" s="21" t="str">
        <f ca="1">IF(Calc!$AM66="","",SUBSTITUTE(SUBSTITUTE(SUBSTITUTE(SUBSTITUTE(INDEX(Setup!$H$20:$H$34,Calc!$AN66)&amp;"","{name}",$E66),"{years}",$G66),"{date}",TEXT($H66,"mmmm d, yyyy")),"{company}",Setup!$C$4))</f>
        <v/>
      </c>
      <c r="M66" s="21" t="str">
        <f ca="1">IF(Calc!$AM66="","",SUBSTITUTE(SUBSTITUTE(SUBSTITUTE(SUBSTITUTE(INDEX(Setup!$I$20:$I$34,Calc!$AN66)&amp;"","{name}",$E66),"{years}",$G66),"{date}",TEXT($H66,"mmmm d, yyyy")),"{company}",Setup!$C$4))</f>
        <v/>
      </c>
      <c r="N66" s="21" t="str">
        <f ca="1">IF(Calc!$AM66="","",SUBSTITUTE(SUBSTITUTE(SUBSTITUTE(SUBSTITUTE(INDEX(Setup!$J$20:$J$34,Calc!$AN66)&amp;"","{name}",$E66),"{years}",$G66),"{date}",TEXT($H66,"mmmm d, yyyy")),"{company}",Setup!$C$4))</f>
        <v/>
      </c>
      <c r="O66" s="21" t="str">
        <f ca="1">IF(Calc!$AM66="","",SUBSTITUTE(SUBSTITUTE(SUBSTITUTE(SUBSTITUTE(INDEX(Setup!$K$20:$K$34,Calc!$AN66)&amp;"","{name}",$E66),"{years}",$G66),"{date}",TEXT($H66,"mmmm d, yyyy")),"{company}",Setup!$C$4))</f>
        <v/>
      </c>
      <c r="P66" s="21" t="str">
        <f ca="1">IF(Calc!$AM66="","",SUBSTITUTE(SUBSTITUTE(TRIM(SUBSTITUTE($L66," ","~")&amp;" "&amp;SUBSTITUTE($M66," ","~")&amp;" "&amp;SUBSTITUTE($N66," ","~")&amp;" "&amp;SUBSTITUTE($O66," ","~"))," "," | "),"~"," "))</f>
        <v/>
      </c>
    </row>
    <row r="67" spans="1:16" x14ac:dyDescent="0.2">
      <c r="A67" s="19" t="str">
        <f ca="1">IF(Calc!$AM67="","",ROW()-5)</f>
        <v/>
      </c>
      <c r="B67" s="20" t="str">
        <f ca="1">IF(Calc!$AM67="","",INT(Calc!$AK67))</f>
        <v/>
      </c>
      <c r="C67" s="21" t="str">
        <f ca="1">IF(Calc!$AM67="","",IF($H67&lt;Setup!$C$5,"PAST DUE: milestone date has passed",IF($B67&lt;Setup!$C$5,"LATE: order today, ask about rush",IF($B67&lt;Setup!$C$5+14,"Order within 2 weeks","Scheduled"))))</f>
        <v/>
      </c>
      <c r="D67" s="21" t="str">
        <f ca="1">IF(Calc!$AM67="","",TEXT($B67,"mmmm yyyy"))</f>
        <v/>
      </c>
      <c r="E67" s="21" t="str">
        <f ca="1">IF(Calc!$AM67="","",INDEX(Roster!$A$6:$A$505,Calc!$AM67)&amp;"")</f>
        <v/>
      </c>
      <c r="F67" s="21" t="str">
        <f ca="1">IF(Calc!$AM67="","",INDEX(Roster!$C$6:$C$505,Calc!$AM67)&amp;"")</f>
        <v/>
      </c>
      <c r="G67" s="19" t="str">
        <f ca="1">IF(Calc!$AM67="","",INDEX(Setup!$C$20:$C$34,Calc!$AN67))</f>
        <v/>
      </c>
      <c r="H67" s="20" t="str">
        <f ca="1">IF(Calc!$AM67="","",INDEX(Calc!$B$6:$P$505,Calc!$AM67,Calc!$AN67))</f>
        <v/>
      </c>
      <c r="I67" s="21" t="str">
        <f ca="1">IF(Calc!$AM67="","",INDEX(Setup!$D$20:$D$34,Calc!$AN67)&amp;"")</f>
        <v/>
      </c>
      <c r="J67" s="21" t="str">
        <f ca="1">IF(Calc!$AM67="","",INDEX(Setup!$E$20:$E$34,Calc!$AN67)&amp;"")</f>
        <v/>
      </c>
      <c r="K67" s="23" t="str">
        <f ca="1">IF(Calc!$AM67="","",INDEX(Setup!$F$20:$F$34,Calc!$AN67))</f>
        <v/>
      </c>
      <c r="L67" s="21" t="str">
        <f ca="1">IF(Calc!$AM67="","",SUBSTITUTE(SUBSTITUTE(SUBSTITUTE(SUBSTITUTE(INDEX(Setup!$H$20:$H$34,Calc!$AN67)&amp;"","{name}",$E67),"{years}",$G67),"{date}",TEXT($H67,"mmmm d, yyyy")),"{company}",Setup!$C$4))</f>
        <v/>
      </c>
      <c r="M67" s="21" t="str">
        <f ca="1">IF(Calc!$AM67="","",SUBSTITUTE(SUBSTITUTE(SUBSTITUTE(SUBSTITUTE(INDEX(Setup!$I$20:$I$34,Calc!$AN67)&amp;"","{name}",$E67),"{years}",$G67),"{date}",TEXT($H67,"mmmm d, yyyy")),"{company}",Setup!$C$4))</f>
        <v/>
      </c>
      <c r="N67" s="21" t="str">
        <f ca="1">IF(Calc!$AM67="","",SUBSTITUTE(SUBSTITUTE(SUBSTITUTE(SUBSTITUTE(INDEX(Setup!$J$20:$J$34,Calc!$AN67)&amp;"","{name}",$E67),"{years}",$G67),"{date}",TEXT($H67,"mmmm d, yyyy")),"{company}",Setup!$C$4))</f>
        <v/>
      </c>
      <c r="O67" s="21" t="str">
        <f ca="1">IF(Calc!$AM67="","",SUBSTITUTE(SUBSTITUTE(SUBSTITUTE(SUBSTITUTE(INDEX(Setup!$K$20:$K$34,Calc!$AN67)&amp;"","{name}",$E67),"{years}",$G67),"{date}",TEXT($H67,"mmmm d, yyyy")),"{company}",Setup!$C$4))</f>
        <v/>
      </c>
      <c r="P67" s="21" t="str">
        <f ca="1">IF(Calc!$AM67="","",SUBSTITUTE(SUBSTITUTE(TRIM(SUBSTITUTE($L67," ","~")&amp;" "&amp;SUBSTITUTE($M67," ","~")&amp;" "&amp;SUBSTITUTE($N67," ","~")&amp;" "&amp;SUBSTITUTE($O67," ","~"))," "," | "),"~"," "))</f>
        <v/>
      </c>
    </row>
    <row r="68" spans="1:16" x14ac:dyDescent="0.2">
      <c r="A68" s="19" t="str">
        <f ca="1">IF(Calc!$AM68="","",ROW()-5)</f>
        <v/>
      </c>
      <c r="B68" s="20" t="str">
        <f ca="1">IF(Calc!$AM68="","",INT(Calc!$AK68))</f>
        <v/>
      </c>
      <c r="C68" s="21" t="str">
        <f ca="1">IF(Calc!$AM68="","",IF($H68&lt;Setup!$C$5,"PAST DUE: milestone date has passed",IF($B68&lt;Setup!$C$5,"LATE: order today, ask about rush",IF($B68&lt;Setup!$C$5+14,"Order within 2 weeks","Scheduled"))))</f>
        <v/>
      </c>
      <c r="D68" s="21" t="str">
        <f ca="1">IF(Calc!$AM68="","",TEXT($B68,"mmmm yyyy"))</f>
        <v/>
      </c>
      <c r="E68" s="21" t="str">
        <f ca="1">IF(Calc!$AM68="","",INDEX(Roster!$A$6:$A$505,Calc!$AM68)&amp;"")</f>
        <v/>
      </c>
      <c r="F68" s="21" t="str">
        <f ca="1">IF(Calc!$AM68="","",INDEX(Roster!$C$6:$C$505,Calc!$AM68)&amp;"")</f>
        <v/>
      </c>
      <c r="G68" s="19" t="str">
        <f ca="1">IF(Calc!$AM68="","",INDEX(Setup!$C$20:$C$34,Calc!$AN68))</f>
        <v/>
      </c>
      <c r="H68" s="20" t="str">
        <f ca="1">IF(Calc!$AM68="","",INDEX(Calc!$B$6:$P$505,Calc!$AM68,Calc!$AN68))</f>
        <v/>
      </c>
      <c r="I68" s="21" t="str">
        <f ca="1">IF(Calc!$AM68="","",INDEX(Setup!$D$20:$D$34,Calc!$AN68)&amp;"")</f>
        <v/>
      </c>
      <c r="J68" s="21" t="str">
        <f ca="1">IF(Calc!$AM68="","",INDEX(Setup!$E$20:$E$34,Calc!$AN68)&amp;"")</f>
        <v/>
      </c>
      <c r="K68" s="23" t="str">
        <f ca="1">IF(Calc!$AM68="","",INDEX(Setup!$F$20:$F$34,Calc!$AN68))</f>
        <v/>
      </c>
      <c r="L68" s="21" t="str">
        <f ca="1">IF(Calc!$AM68="","",SUBSTITUTE(SUBSTITUTE(SUBSTITUTE(SUBSTITUTE(INDEX(Setup!$H$20:$H$34,Calc!$AN68)&amp;"","{name}",$E68),"{years}",$G68),"{date}",TEXT($H68,"mmmm d, yyyy")),"{company}",Setup!$C$4))</f>
        <v/>
      </c>
      <c r="M68" s="21" t="str">
        <f ca="1">IF(Calc!$AM68="","",SUBSTITUTE(SUBSTITUTE(SUBSTITUTE(SUBSTITUTE(INDEX(Setup!$I$20:$I$34,Calc!$AN68)&amp;"","{name}",$E68),"{years}",$G68),"{date}",TEXT($H68,"mmmm d, yyyy")),"{company}",Setup!$C$4))</f>
        <v/>
      </c>
      <c r="N68" s="21" t="str">
        <f ca="1">IF(Calc!$AM68="","",SUBSTITUTE(SUBSTITUTE(SUBSTITUTE(SUBSTITUTE(INDEX(Setup!$J$20:$J$34,Calc!$AN68)&amp;"","{name}",$E68),"{years}",$G68),"{date}",TEXT($H68,"mmmm d, yyyy")),"{company}",Setup!$C$4))</f>
        <v/>
      </c>
      <c r="O68" s="21" t="str">
        <f ca="1">IF(Calc!$AM68="","",SUBSTITUTE(SUBSTITUTE(SUBSTITUTE(SUBSTITUTE(INDEX(Setup!$K$20:$K$34,Calc!$AN68)&amp;"","{name}",$E68),"{years}",$G68),"{date}",TEXT($H68,"mmmm d, yyyy")),"{company}",Setup!$C$4))</f>
        <v/>
      </c>
      <c r="P68" s="21" t="str">
        <f ca="1">IF(Calc!$AM68="","",SUBSTITUTE(SUBSTITUTE(TRIM(SUBSTITUTE($L68," ","~")&amp;" "&amp;SUBSTITUTE($M68," ","~")&amp;" "&amp;SUBSTITUTE($N68," ","~")&amp;" "&amp;SUBSTITUTE($O68," ","~"))," "," | "),"~"," "))</f>
        <v/>
      </c>
    </row>
    <row r="69" spans="1:16" x14ac:dyDescent="0.2">
      <c r="A69" s="19" t="str">
        <f ca="1">IF(Calc!$AM69="","",ROW()-5)</f>
        <v/>
      </c>
      <c r="B69" s="20" t="str">
        <f ca="1">IF(Calc!$AM69="","",INT(Calc!$AK69))</f>
        <v/>
      </c>
      <c r="C69" s="21" t="str">
        <f ca="1">IF(Calc!$AM69="","",IF($H69&lt;Setup!$C$5,"PAST DUE: milestone date has passed",IF($B69&lt;Setup!$C$5,"LATE: order today, ask about rush",IF($B69&lt;Setup!$C$5+14,"Order within 2 weeks","Scheduled"))))</f>
        <v/>
      </c>
      <c r="D69" s="21" t="str">
        <f ca="1">IF(Calc!$AM69="","",TEXT($B69,"mmmm yyyy"))</f>
        <v/>
      </c>
      <c r="E69" s="21" t="str">
        <f ca="1">IF(Calc!$AM69="","",INDEX(Roster!$A$6:$A$505,Calc!$AM69)&amp;"")</f>
        <v/>
      </c>
      <c r="F69" s="21" t="str">
        <f ca="1">IF(Calc!$AM69="","",INDEX(Roster!$C$6:$C$505,Calc!$AM69)&amp;"")</f>
        <v/>
      </c>
      <c r="G69" s="19" t="str">
        <f ca="1">IF(Calc!$AM69="","",INDEX(Setup!$C$20:$C$34,Calc!$AN69))</f>
        <v/>
      </c>
      <c r="H69" s="20" t="str">
        <f ca="1">IF(Calc!$AM69="","",INDEX(Calc!$B$6:$P$505,Calc!$AM69,Calc!$AN69))</f>
        <v/>
      </c>
      <c r="I69" s="21" t="str">
        <f ca="1">IF(Calc!$AM69="","",INDEX(Setup!$D$20:$D$34,Calc!$AN69)&amp;"")</f>
        <v/>
      </c>
      <c r="J69" s="21" t="str">
        <f ca="1">IF(Calc!$AM69="","",INDEX(Setup!$E$20:$E$34,Calc!$AN69)&amp;"")</f>
        <v/>
      </c>
      <c r="K69" s="23" t="str">
        <f ca="1">IF(Calc!$AM69="","",INDEX(Setup!$F$20:$F$34,Calc!$AN69))</f>
        <v/>
      </c>
      <c r="L69" s="21" t="str">
        <f ca="1">IF(Calc!$AM69="","",SUBSTITUTE(SUBSTITUTE(SUBSTITUTE(SUBSTITUTE(INDEX(Setup!$H$20:$H$34,Calc!$AN69)&amp;"","{name}",$E69),"{years}",$G69),"{date}",TEXT($H69,"mmmm d, yyyy")),"{company}",Setup!$C$4))</f>
        <v/>
      </c>
      <c r="M69" s="21" t="str">
        <f ca="1">IF(Calc!$AM69="","",SUBSTITUTE(SUBSTITUTE(SUBSTITUTE(SUBSTITUTE(INDEX(Setup!$I$20:$I$34,Calc!$AN69)&amp;"","{name}",$E69),"{years}",$G69),"{date}",TEXT($H69,"mmmm d, yyyy")),"{company}",Setup!$C$4))</f>
        <v/>
      </c>
      <c r="N69" s="21" t="str">
        <f ca="1">IF(Calc!$AM69="","",SUBSTITUTE(SUBSTITUTE(SUBSTITUTE(SUBSTITUTE(INDEX(Setup!$J$20:$J$34,Calc!$AN69)&amp;"","{name}",$E69),"{years}",$G69),"{date}",TEXT($H69,"mmmm d, yyyy")),"{company}",Setup!$C$4))</f>
        <v/>
      </c>
      <c r="O69" s="21" t="str">
        <f ca="1">IF(Calc!$AM69="","",SUBSTITUTE(SUBSTITUTE(SUBSTITUTE(SUBSTITUTE(INDEX(Setup!$K$20:$K$34,Calc!$AN69)&amp;"","{name}",$E69),"{years}",$G69),"{date}",TEXT($H69,"mmmm d, yyyy")),"{company}",Setup!$C$4))</f>
        <v/>
      </c>
      <c r="P69" s="21" t="str">
        <f ca="1">IF(Calc!$AM69="","",SUBSTITUTE(SUBSTITUTE(TRIM(SUBSTITUTE($L69," ","~")&amp;" "&amp;SUBSTITUTE($M69," ","~")&amp;" "&amp;SUBSTITUTE($N69," ","~")&amp;" "&amp;SUBSTITUTE($O69," ","~"))," "," | "),"~"," "))</f>
        <v/>
      </c>
    </row>
    <row r="70" spans="1:16" x14ac:dyDescent="0.2">
      <c r="A70" s="19" t="str">
        <f ca="1">IF(Calc!$AM70="","",ROW()-5)</f>
        <v/>
      </c>
      <c r="B70" s="20" t="str">
        <f ca="1">IF(Calc!$AM70="","",INT(Calc!$AK70))</f>
        <v/>
      </c>
      <c r="C70" s="21" t="str">
        <f ca="1">IF(Calc!$AM70="","",IF($H70&lt;Setup!$C$5,"PAST DUE: milestone date has passed",IF($B70&lt;Setup!$C$5,"LATE: order today, ask about rush",IF($B70&lt;Setup!$C$5+14,"Order within 2 weeks","Scheduled"))))</f>
        <v/>
      </c>
      <c r="D70" s="21" t="str">
        <f ca="1">IF(Calc!$AM70="","",TEXT($B70,"mmmm yyyy"))</f>
        <v/>
      </c>
      <c r="E70" s="21" t="str">
        <f ca="1">IF(Calc!$AM70="","",INDEX(Roster!$A$6:$A$505,Calc!$AM70)&amp;"")</f>
        <v/>
      </c>
      <c r="F70" s="21" t="str">
        <f ca="1">IF(Calc!$AM70="","",INDEX(Roster!$C$6:$C$505,Calc!$AM70)&amp;"")</f>
        <v/>
      </c>
      <c r="G70" s="19" t="str">
        <f ca="1">IF(Calc!$AM70="","",INDEX(Setup!$C$20:$C$34,Calc!$AN70))</f>
        <v/>
      </c>
      <c r="H70" s="20" t="str">
        <f ca="1">IF(Calc!$AM70="","",INDEX(Calc!$B$6:$P$505,Calc!$AM70,Calc!$AN70))</f>
        <v/>
      </c>
      <c r="I70" s="21" t="str">
        <f ca="1">IF(Calc!$AM70="","",INDEX(Setup!$D$20:$D$34,Calc!$AN70)&amp;"")</f>
        <v/>
      </c>
      <c r="J70" s="21" t="str">
        <f ca="1">IF(Calc!$AM70="","",INDEX(Setup!$E$20:$E$34,Calc!$AN70)&amp;"")</f>
        <v/>
      </c>
      <c r="K70" s="23" t="str">
        <f ca="1">IF(Calc!$AM70="","",INDEX(Setup!$F$20:$F$34,Calc!$AN70))</f>
        <v/>
      </c>
      <c r="L70" s="21" t="str">
        <f ca="1">IF(Calc!$AM70="","",SUBSTITUTE(SUBSTITUTE(SUBSTITUTE(SUBSTITUTE(INDEX(Setup!$H$20:$H$34,Calc!$AN70)&amp;"","{name}",$E70),"{years}",$G70),"{date}",TEXT($H70,"mmmm d, yyyy")),"{company}",Setup!$C$4))</f>
        <v/>
      </c>
      <c r="M70" s="21" t="str">
        <f ca="1">IF(Calc!$AM70="","",SUBSTITUTE(SUBSTITUTE(SUBSTITUTE(SUBSTITUTE(INDEX(Setup!$I$20:$I$34,Calc!$AN70)&amp;"","{name}",$E70),"{years}",$G70),"{date}",TEXT($H70,"mmmm d, yyyy")),"{company}",Setup!$C$4))</f>
        <v/>
      </c>
      <c r="N70" s="21" t="str">
        <f ca="1">IF(Calc!$AM70="","",SUBSTITUTE(SUBSTITUTE(SUBSTITUTE(SUBSTITUTE(INDEX(Setup!$J$20:$J$34,Calc!$AN70)&amp;"","{name}",$E70),"{years}",$G70),"{date}",TEXT($H70,"mmmm d, yyyy")),"{company}",Setup!$C$4))</f>
        <v/>
      </c>
      <c r="O70" s="21" t="str">
        <f ca="1">IF(Calc!$AM70="","",SUBSTITUTE(SUBSTITUTE(SUBSTITUTE(SUBSTITUTE(INDEX(Setup!$K$20:$K$34,Calc!$AN70)&amp;"","{name}",$E70),"{years}",$G70),"{date}",TEXT($H70,"mmmm d, yyyy")),"{company}",Setup!$C$4))</f>
        <v/>
      </c>
      <c r="P70" s="21" t="str">
        <f ca="1">IF(Calc!$AM70="","",SUBSTITUTE(SUBSTITUTE(TRIM(SUBSTITUTE($L70," ","~")&amp;" "&amp;SUBSTITUTE($M70," ","~")&amp;" "&amp;SUBSTITUTE($N70," ","~")&amp;" "&amp;SUBSTITUTE($O70," ","~"))," "," | "),"~"," "))</f>
        <v/>
      </c>
    </row>
    <row r="71" spans="1:16" x14ac:dyDescent="0.2">
      <c r="A71" s="19" t="str">
        <f ca="1">IF(Calc!$AM71="","",ROW()-5)</f>
        <v/>
      </c>
      <c r="B71" s="20" t="str">
        <f ca="1">IF(Calc!$AM71="","",INT(Calc!$AK71))</f>
        <v/>
      </c>
      <c r="C71" s="21" t="str">
        <f ca="1">IF(Calc!$AM71="","",IF($H71&lt;Setup!$C$5,"PAST DUE: milestone date has passed",IF($B71&lt;Setup!$C$5,"LATE: order today, ask about rush",IF($B71&lt;Setup!$C$5+14,"Order within 2 weeks","Scheduled"))))</f>
        <v/>
      </c>
      <c r="D71" s="21" t="str">
        <f ca="1">IF(Calc!$AM71="","",TEXT($B71,"mmmm yyyy"))</f>
        <v/>
      </c>
      <c r="E71" s="21" t="str">
        <f ca="1">IF(Calc!$AM71="","",INDEX(Roster!$A$6:$A$505,Calc!$AM71)&amp;"")</f>
        <v/>
      </c>
      <c r="F71" s="21" t="str">
        <f ca="1">IF(Calc!$AM71="","",INDEX(Roster!$C$6:$C$505,Calc!$AM71)&amp;"")</f>
        <v/>
      </c>
      <c r="G71" s="19" t="str">
        <f ca="1">IF(Calc!$AM71="","",INDEX(Setup!$C$20:$C$34,Calc!$AN71))</f>
        <v/>
      </c>
      <c r="H71" s="20" t="str">
        <f ca="1">IF(Calc!$AM71="","",INDEX(Calc!$B$6:$P$505,Calc!$AM71,Calc!$AN71))</f>
        <v/>
      </c>
      <c r="I71" s="21" t="str">
        <f ca="1">IF(Calc!$AM71="","",INDEX(Setup!$D$20:$D$34,Calc!$AN71)&amp;"")</f>
        <v/>
      </c>
      <c r="J71" s="21" t="str">
        <f ca="1">IF(Calc!$AM71="","",INDEX(Setup!$E$20:$E$34,Calc!$AN71)&amp;"")</f>
        <v/>
      </c>
      <c r="K71" s="23" t="str">
        <f ca="1">IF(Calc!$AM71="","",INDEX(Setup!$F$20:$F$34,Calc!$AN71))</f>
        <v/>
      </c>
      <c r="L71" s="21" t="str">
        <f ca="1">IF(Calc!$AM71="","",SUBSTITUTE(SUBSTITUTE(SUBSTITUTE(SUBSTITUTE(INDEX(Setup!$H$20:$H$34,Calc!$AN71)&amp;"","{name}",$E71),"{years}",$G71),"{date}",TEXT($H71,"mmmm d, yyyy")),"{company}",Setup!$C$4))</f>
        <v/>
      </c>
      <c r="M71" s="21" t="str">
        <f ca="1">IF(Calc!$AM71="","",SUBSTITUTE(SUBSTITUTE(SUBSTITUTE(SUBSTITUTE(INDEX(Setup!$I$20:$I$34,Calc!$AN71)&amp;"","{name}",$E71),"{years}",$G71),"{date}",TEXT($H71,"mmmm d, yyyy")),"{company}",Setup!$C$4))</f>
        <v/>
      </c>
      <c r="N71" s="21" t="str">
        <f ca="1">IF(Calc!$AM71="","",SUBSTITUTE(SUBSTITUTE(SUBSTITUTE(SUBSTITUTE(INDEX(Setup!$J$20:$J$34,Calc!$AN71)&amp;"","{name}",$E71),"{years}",$G71),"{date}",TEXT($H71,"mmmm d, yyyy")),"{company}",Setup!$C$4))</f>
        <v/>
      </c>
      <c r="O71" s="21" t="str">
        <f ca="1">IF(Calc!$AM71="","",SUBSTITUTE(SUBSTITUTE(SUBSTITUTE(SUBSTITUTE(INDEX(Setup!$K$20:$K$34,Calc!$AN71)&amp;"","{name}",$E71),"{years}",$G71),"{date}",TEXT($H71,"mmmm d, yyyy")),"{company}",Setup!$C$4))</f>
        <v/>
      </c>
      <c r="P71" s="21" t="str">
        <f ca="1">IF(Calc!$AM71="","",SUBSTITUTE(SUBSTITUTE(TRIM(SUBSTITUTE($L71," ","~")&amp;" "&amp;SUBSTITUTE($M71," ","~")&amp;" "&amp;SUBSTITUTE($N71," ","~")&amp;" "&amp;SUBSTITUTE($O71," ","~"))," "," | "),"~"," "))</f>
        <v/>
      </c>
    </row>
    <row r="72" spans="1:16" x14ac:dyDescent="0.2">
      <c r="A72" s="19" t="str">
        <f ca="1">IF(Calc!$AM72="","",ROW()-5)</f>
        <v/>
      </c>
      <c r="B72" s="20" t="str">
        <f ca="1">IF(Calc!$AM72="","",INT(Calc!$AK72))</f>
        <v/>
      </c>
      <c r="C72" s="21" t="str">
        <f ca="1">IF(Calc!$AM72="","",IF($H72&lt;Setup!$C$5,"PAST DUE: milestone date has passed",IF($B72&lt;Setup!$C$5,"LATE: order today, ask about rush",IF($B72&lt;Setup!$C$5+14,"Order within 2 weeks","Scheduled"))))</f>
        <v/>
      </c>
      <c r="D72" s="21" t="str">
        <f ca="1">IF(Calc!$AM72="","",TEXT($B72,"mmmm yyyy"))</f>
        <v/>
      </c>
      <c r="E72" s="21" t="str">
        <f ca="1">IF(Calc!$AM72="","",INDEX(Roster!$A$6:$A$505,Calc!$AM72)&amp;"")</f>
        <v/>
      </c>
      <c r="F72" s="21" t="str">
        <f ca="1">IF(Calc!$AM72="","",INDEX(Roster!$C$6:$C$505,Calc!$AM72)&amp;"")</f>
        <v/>
      </c>
      <c r="G72" s="19" t="str">
        <f ca="1">IF(Calc!$AM72="","",INDEX(Setup!$C$20:$C$34,Calc!$AN72))</f>
        <v/>
      </c>
      <c r="H72" s="20" t="str">
        <f ca="1">IF(Calc!$AM72="","",INDEX(Calc!$B$6:$P$505,Calc!$AM72,Calc!$AN72))</f>
        <v/>
      </c>
      <c r="I72" s="21" t="str">
        <f ca="1">IF(Calc!$AM72="","",INDEX(Setup!$D$20:$D$34,Calc!$AN72)&amp;"")</f>
        <v/>
      </c>
      <c r="J72" s="21" t="str">
        <f ca="1">IF(Calc!$AM72="","",INDEX(Setup!$E$20:$E$34,Calc!$AN72)&amp;"")</f>
        <v/>
      </c>
      <c r="K72" s="23" t="str">
        <f ca="1">IF(Calc!$AM72="","",INDEX(Setup!$F$20:$F$34,Calc!$AN72))</f>
        <v/>
      </c>
      <c r="L72" s="21" t="str">
        <f ca="1">IF(Calc!$AM72="","",SUBSTITUTE(SUBSTITUTE(SUBSTITUTE(SUBSTITUTE(INDEX(Setup!$H$20:$H$34,Calc!$AN72)&amp;"","{name}",$E72),"{years}",$G72),"{date}",TEXT($H72,"mmmm d, yyyy")),"{company}",Setup!$C$4))</f>
        <v/>
      </c>
      <c r="M72" s="21" t="str">
        <f ca="1">IF(Calc!$AM72="","",SUBSTITUTE(SUBSTITUTE(SUBSTITUTE(SUBSTITUTE(INDEX(Setup!$I$20:$I$34,Calc!$AN72)&amp;"","{name}",$E72),"{years}",$G72),"{date}",TEXT($H72,"mmmm d, yyyy")),"{company}",Setup!$C$4))</f>
        <v/>
      </c>
      <c r="N72" s="21" t="str">
        <f ca="1">IF(Calc!$AM72="","",SUBSTITUTE(SUBSTITUTE(SUBSTITUTE(SUBSTITUTE(INDEX(Setup!$J$20:$J$34,Calc!$AN72)&amp;"","{name}",$E72),"{years}",$G72),"{date}",TEXT($H72,"mmmm d, yyyy")),"{company}",Setup!$C$4))</f>
        <v/>
      </c>
      <c r="O72" s="21" t="str">
        <f ca="1">IF(Calc!$AM72="","",SUBSTITUTE(SUBSTITUTE(SUBSTITUTE(SUBSTITUTE(INDEX(Setup!$K$20:$K$34,Calc!$AN72)&amp;"","{name}",$E72),"{years}",$G72),"{date}",TEXT($H72,"mmmm d, yyyy")),"{company}",Setup!$C$4))</f>
        <v/>
      </c>
      <c r="P72" s="21" t="str">
        <f ca="1">IF(Calc!$AM72="","",SUBSTITUTE(SUBSTITUTE(TRIM(SUBSTITUTE($L72," ","~")&amp;" "&amp;SUBSTITUTE($M72," ","~")&amp;" "&amp;SUBSTITUTE($N72," ","~")&amp;" "&amp;SUBSTITUTE($O72," ","~"))," "," | "),"~"," "))</f>
        <v/>
      </c>
    </row>
    <row r="73" spans="1:16" x14ac:dyDescent="0.2">
      <c r="A73" s="19" t="str">
        <f ca="1">IF(Calc!$AM73="","",ROW()-5)</f>
        <v/>
      </c>
      <c r="B73" s="20" t="str">
        <f ca="1">IF(Calc!$AM73="","",INT(Calc!$AK73))</f>
        <v/>
      </c>
      <c r="C73" s="21" t="str">
        <f ca="1">IF(Calc!$AM73="","",IF($H73&lt;Setup!$C$5,"PAST DUE: milestone date has passed",IF($B73&lt;Setup!$C$5,"LATE: order today, ask about rush",IF($B73&lt;Setup!$C$5+14,"Order within 2 weeks","Scheduled"))))</f>
        <v/>
      </c>
      <c r="D73" s="21" t="str">
        <f ca="1">IF(Calc!$AM73="","",TEXT($B73,"mmmm yyyy"))</f>
        <v/>
      </c>
      <c r="E73" s="21" t="str">
        <f ca="1">IF(Calc!$AM73="","",INDEX(Roster!$A$6:$A$505,Calc!$AM73)&amp;"")</f>
        <v/>
      </c>
      <c r="F73" s="21" t="str">
        <f ca="1">IF(Calc!$AM73="","",INDEX(Roster!$C$6:$C$505,Calc!$AM73)&amp;"")</f>
        <v/>
      </c>
      <c r="G73" s="19" t="str">
        <f ca="1">IF(Calc!$AM73="","",INDEX(Setup!$C$20:$C$34,Calc!$AN73))</f>
        <v/>
      </c>
      <c r="H73" s="20" t="str">
        <f ca="1">IF(Calc!$AM73="","",INDEX(Calc!$B$6:$P$505,Calc!$AM73,Calc!$AN73))</f>
        <v/>
      </c>
      <c r="I73" s="21" t="str">
        <f ca="1">IF(Calc!$AM73="","",INDEX(Setup!$D$20:$D$34,Calc!$AN73)&amp;"")</f>
        <v/>
      </c>
      <c r="J73" s="21" t="str">
        <f ca="1">IF(Calc!$AM73="","",INDEX(Setup!$E$20:$E$34,Calc!$AN73)&amp;"")</f>
        <v/>
      </c>
      <c r="K73" s="23" t="str">
        <f ca="1">IF(Calc!$AM73="","",INDEX(Setup!$F$20:$F$34,Calc!$AN73))</f>
        <v/>
      </c>
      <c r="L73" s="21" t="str">
        <f ca="1">IF(Calc!$AM73="","",SUBSTITUTE(SUBSTITUTE(SUBSTITUTE(SUBSTITUTE(INDEX(Setup!$H$20:$H$34,Calc!$AN73)&amp;"","{name}",$E73),"{years}",$G73),"{date}",TEXT($H73,"mmmm d, yyyy")),"{company}",Setup!$C$4))</f>
        <v/>
      </c>
      <c r="M73" s="21" t="str">
        <f ca="1">IF(Calc!$AM73="","",SUBSTITUTE(SUBSTITUTE(SUBSTITUTE(SUBSTITUTE(INDEX(Setup!$I$20:$I$34,Calc!$AN73)&amp;"","{name}",$E73),"{years}",$G73),"{date}",TEXT($H73,"mmmm d, yyyy")),"{company}",Setup!$C$4))</f>
        <v/>
      </c>
      <c r="N73" s="21" t="str">
        <f ca="1">IF(Calc!$AM73="","",SUBSTITUTE(SUBSTITUTE(SUBSTITUTE(SUBSTITUTE(INDEX(Setup!$J$20:$J$34,Calc!$AN73)&amp;"","{name}",$E73),"{years}",$G73),"{date}",TEXT($H73,"mmmm d, yyyy")),"{company}",Setup!$C$4))</f>
        <v/>
      </c>
      <c r="O73" s="21" t="str">
        <f ca="1">IF(Calc!$AM73="","",SUBSTITUTE(SUBSTITUTE(SUBSTITUTE(SUBSTITUTE(INDEX(Setup!$K$20:$K$34,Calc!$AN73)&amp;"","{name}",$E73),"{years}",$G73),"{date}",TEXT($H73,"mmmm d, yyyy")),"{company}",Setup!$C$4))</f>
        <v/>
      </c>
      <c r="P73" s="21" t="str">
        <f ca="1">IF(Calc!$AM73="","",SUBSTITUTE(SUBSTITUTE(TRIM(SUBSTITUTE($L73," ","~")&amp;" "&amp;SUBSTITUTE($M73," ","~")&amp;" "&amp;SUBSTITUTE($N73," ","~")&amp;" "&amp;SUBSTITUTE($O73," ","~"))," "," | "),"~"," "))</f>
        <v/>
      </c>
    </row>
    <row r="74" spans="1:16" x14ac:dyDescent="0.2">
      <c r="A74" s="19" t="str">
        <f ca="1">IF(Calc!$AM74="","",ROW()-5)</f>
        <v/>
      </c>
      <c r="B74" s="20" t="str">
        <f ca="1">IF(Calc!$AM74="","",INT(Calc!$AK74))</f>
        <v/>
      </c>
      <c r="C74" s="21" t="str">
        <f ca="1">IF(Calc!$AM74="","",IF($H74&lt;Setup!$C$5,"PAST DUE: milestone date has passed",IF($B74&lt;Setup!$C$5,"LATE: order today, ask about rush",IF($B74&lt;Setup!$C$5+14,"Order within 2 weeks","Scheduled"))))</f>
        <v/>
      </c>
      <c r="D74" s="21" t="str">
        <f ca="1">IF(Calc!$AM74="","",TEXT($B74,"mmmm yyyy"))</f>
        <v/>
      </c>
      <c r="E74" s="21" t="str">
        <f ca="1">IF(Calc!$AM74="","",INDEX(Roster!$A$6:$A$505,Calc!$AM74)&amp;"")</f>
        <v/>
      </c>
      <c r="F74" s="21" t="str">
        <f ca="1">IF(Calc!$AM74="","",INDEX(Roster!$C$6:$C$505,Calc!$AM74)&amp;"")</f>
        <v/>
      </c>
      <c r="G74" s="19" t="str">
        <f ca="1">IF(Calc!$AM74="","",INDEX(Setup!$C$20:$C$34,Calc!$AN74))</f>
        <v/>
      </c>
      <c r="H74" s="20" t="str">
        <f ca="1">IF(Calc!$AM74="","",INDEX(Calc!$B$6:$P$505,Calc!$AM74,Calc!$AN74))</f>
        <v/>
      </c>
      <c r="I74" s="21" t="str">
        <f ca="1">IF(Calc!$AM74="","",INDEX(Setup!$D$20:$D$34,Calc!$AN74)&amp;"")</f>
        <v/>
      </c>
      <c r="J74" s="21" t="str">
        <f ca="1">IF(Calc!$AM74="","",INDEX(Setup!$E$20:$E$34,Calc!$AN74)&amp;"")</f>
        <v/>
      </c>
      <c r="K74" s="23" t="str">
        <f ca="1">IF(Calc!$AM74="","",INDEX(Setup!$F$20:$F$34,Calc!$AN74))</f>
        <v/>
      </c>
      <c r="L74" s="21" t="str">
        <f ca="1">IF(Calc!$AM74="","",SUBSTITUTE(SUBSTITUTE(SUBSTITUTE(SUBSTITUTE(INDEX(Setup!$H$20:$H$34,Calc!$AN74)&amp;"","{name}",$E74),"{years}",$G74),"{date}",TEXT($H74,"mmmm d, yyyy")),"{company}",Setup!$C$4))</f>
        <v/>
      </c>
      <c r="M74" s="21" t="str">
        <f ca="1">IF(Calc!$AM74="","",SUBSTITUTE(SUBSTITUTE(SUBSTITUTE(SUBSTITUTE(INDEX(Setup!$I$20:$I$34,Calc!$AN74)&amp;"","{name}",$E74),"{years}",$G74),"{date}",TEXT($H74,"mmmm d, yyyy")),"{company}",Setup!$C$4))</f>
        <v/>
      </c>
      <c r="N74" s="21" t="str">
        <f ca="1">IF(Calc!$AM74="","",SUBSTITUTE(SUBSTITUTE(SUBSTITUTE(SUBSTITUTE(INDEX(Setup!$J$20:$J$34,Calc!$AN74)&amp;"","{name}",$E74),"{years}",$G74),"{date}",TEXT($H74,"mmmm d, yyyy")),"{company}",Setup!$C$4))</f>
        <v/>
      </c>
      <c r="O74" s="21" t="str">
        <f ca="1">IF(Calc!$AM74="","",SUBSTITUTE(SUBSTITUTE(SUBSTITUTE(SUBSTITUTE(INDEX(Setup!$K$20:$K$34,Calc!$AN74)&amp;"","{name}",$E74),"{years}",$G74),"{date}",TEXT($H74,"mmmm d, yyyy")),"{company}",Setup!$C$4))</f>
        <v/>
      </c>
      <c r="P74" s="21" t="str">
        <f ca="1">IF(Calc!$AM74="","",SUBSTITUTE(SUBSTITUTE(TRIM(SUBSTITUTE($L74," ","~")&amp;" "&amp;SUBSTITUTE($M74," ","~")&amp;" "&amp;SUBSTITUTE($N74," ","~")&amp;" "&amp;SUBSTITUTE($O74," ","~"))," "," | "),"~"," "))</f>
        <v/>
      </c>
    </row>
    <row r="75" spans="1:16" x14ac:dyDescent="0.2">
      <c r="A75" s="19" t="str">
        <f ca="1">IF(Calc!$AM75="","",ROW()-5)</f>
        <v/>
      </c>
      <c r="B75" s="20" t="str">
        <f ca="1">IF(Calc!$AM75="","",INT(Calc!$AK75))</f>
        <v/>
      </c>
      <c r="C75" s="21" t="str">
        <f ca="1">IF(Calc!$AM75="","",IF($H75&lt;Setup!$C$5,"PAST DUE: milestone date has passed",IF($B75&lt;Setup!$C$5,"LATE: order today, ask about rush",IF($B75&lt;Setup!$C$5+14,"Order within 2 weeks","Scheduled"))))</f>
        <v/>
      </c>
      <c r="D75" s="21" t="str">
        <f ca="1">IF(Calc!$AM75="","",TEXT($B75,"mmmm yyyy"))</f>
        <v/>
      </c>
      <c r="E75" s="21" t="str">
        <f ca="1">IF(Calc!$AM75="","",INDEX(Roster!$A$6:$A$505,Calc!$AM75)&amp;"")</f>
        <v/>
      </c>
      <c r="F75" s="21" t="str">
        <f ca="1">IF(Calc!$AM75="","",INDEX(Roster!$C$6:$C$505,Calc!$AM75)&amp;"")</f>
        <v/>
      </c>
      <c r="G75" s="19" t="str">
        <f ca="1">IF(Calc!$AM75="","",INDEX(Setup!$C$20:$C$34,Calc!$AN75))</f>
        <v/>
      </c>
      <c r="H75" s="20" t="str">
        <f ca="1">IF(Calc!$AM75="","",INDEX(Calc!$B$6:$P$505,Calc!$AM75,Calc!$AN75))</f>
        <v/>
      </c>
      <c r="I75" s="21" t="str">
        <f ca="1">IF(Calc!$AM75="","",INDEX(Setup!$D$20:$D$34,Calc!$AN75)&amp;"")</f>
        <v/>
      </c>
      <c r="J75" s="21" t="str">
        <f ca="1">IF(Calc!$AM75="","",INDEX(Setup!$E$20:$E$34,Calc!$AN75)&amp;"")</f>
        <v/>
      </c>
      <c r="K75" s="23" t="str">
        <f ca="1">IF(Calc!$AM75="","",INDEX(Setup!$F$20:$F$34,Calc!$AN75))</f>
        <v/>
      </c>
      <c r="L75" s="21" t="str">
        <f ca="1">IF(Calc!$AM75="","",SUBSTITUTE(SUBSTITUTE(SUBSTITUTE(SUBSTITUTE(INDEX(Setup!$H$20:$H$34,Calc!$AN75)&amp;"","{name}",$E75),"{years}",$G75),"{date}",TEXT($H75,"mmmm d, yyyy")),"{company}",Setup!$C$4))</f>
        <v/>
      </c>
      <c r="M75" s="21" t="str">
        <f ca="1">IF(Calc!$AM75="","",SUBSTITUTE(SUBSTITUTE(SUBSTITUTE(SUBSTITUTE(INDEX(Setup!$I$20:$I$34,Calc!$AN75)&amp;"","{name}",$E75),"{years}",$G75),"{date}",TEXT($H75,"mmmm d, yyyy")),"{company}",Setup!$C$4))</f>
        <v/>
      </c>
      <c r="N75" s="21" t="str">
        <f ca="1">IF(Calc!$AM75="","",SUBSTITUTE(SUBSTITUTE(SUBSTITUTE(SUBSTITUTE(INDEX(Setup!$J$20:$J$34,Calc!$AN75)&amp;"","{name}",$E75),"{years}",$G75),"{date}",TEXT($H75,"mmmm d, yyyy")),"{company}",Setup!$C$4))</f>
        <v/>
      </c>
      <c r="O75" s="21" t="str">
        <f ca="1">IF(Calc!$AM75="","",SUBSTITUTE(SUBSTITUTE(SUBSTITUTE(SUBSTITUTE(INDEX(Setup!$K$20:$K$34,Calc!$AN75)&amp;"","{name}",$E75),"{years}",$G75),"{date}",TEXT($H75,"mmmm d, yyyy")),"{company}",Setup!$C$4))</f>
        <v/>
      </c>
      <c r="P75" s="21" t="str">
        <f ca="1">IF(Calc!$AM75="","",SUBSTITUTE(SUBSTITUTE(TRIM(SUBSTITUTE($L75," ","~")&amp;" "&amp;SUBSTITUTE($M75," ","~")&amp;" "&amp;SUBSTITUTE($N75," ","~")&amp;" "&amp;SUBSTITUTE($O75," ","~"))," "," | "),"~"," "))</f>
        <v/>
      </c>
    </row>
    <row r="76" spans="1:16" x14ac:dyDescent="0.2">
      <c r="A76" s="19" t="str">
        <f ca="1">IF(Calc!$AM76="","",ROW()-5)</f>
        <v/>
      </c>
      <c r="B76" s="20" t="str">
        <f ca="1">IF(Calc!$AM76="","",INT(Calc!$AK76))</f>
        <v/>
      </c>
      <c r="C76" s="21" t="str">
        <f ca="1">IF(Calc!$AM76="","",IF($H76&lt;Setup!$C$5,"PAST DUE: milestone date has passed",IF($B76&lt;Setup!$C$5,"LATE: order today, ask about rush",IF($B76&lt;Setup!$C$5+14,"Order within 2 weeks","Scheduled"))))</f>
        <v/>
      </c>
      <c r="D76" s="21" t="str">
        <f ca="1">IF(Calc!$AM76="","",TEXT($B76,"mmmm yyyy"))</f>
        <v/>
      </c>
      <c r="E76" s="21" t="str">
        <f ca="1">IF(Calc!$AM76="","",INDEX(Roster!$A$6:$A$505,Calc!$AM76)&amp;"")</f>
        <v/>
      </c>
      <c r="F76" s="21" t="str">
        <f ca="1">IF(Calc!$AM76="","",INDEX(Roster!$C$6:$C$505,Calc!$AM76)&amp;"")</f>
        <v/>
      </c>
      <c r="G76" s="19" t="str">
        <f ca="1">IF(Calc!$AM76="","",INDEX(Setup!$C$20:$C$34,Calc!$AN76))</f>
        <v/>
      </c>
      <c r="H76" s="20" t="str">
        <f ca="1">IF(Calc!$AM76="","",INDEX(Calc!$B$6:$P$505,Calc!$AM76,Calc!$AN76))</f>
        <v/>
      </c>
      <c r="I76" s="21" t="str">
        <f ca="1">IF(Calc!$AM76="","",INDEX(Setup!$D$20:$D$34,Calc!$AN76)&amp;"")</f>
        <v/>
      </c>
      <c r="J76" s="21" t="str">
        <f ca="1">IF(Calc!$AM76="","",INDEX(Setup!$E$20:$E$34,Calc!$AN76)&amp;"")</f>
        <v/>
      </c>
      <c r="K76" s="23" t="str">
        <f ca="1">IF(Calc!$AM76="","",INDEX(Setup!$F$20:$F$34,Calc!$AN76))</f>
        <v/>
      </c>
      <c r="L76" s="21" t="str">
        <f ca="1">IF(Calc!$AM76="","",SUBSTITUTE(SUBSTITUTE(SUBSTITUTE(SUBSTITUTE(INDEX(Setup!$H$20:$H$34,Calc!$AN76)&amp;"","{name}",$E76),"{years}",$G76),"{date}",TEXT($H76,"mmmm d, yyyy")),"{company}",Setup!$C$4))</f>
        <v/>
      </c>
      <c r="M76" s="21" t="str">
        <f ca="1">IF(Calc!$AM76="","",SUBSTITUTE(SUBSTITUTE(SUBSTITUTE(SUBSTITUTE(INDEX(Setup!$I$20:$I$34,Calc!$AN76)&amp;"","{name}",$E76),"{years}",$G76),"{date}",TEXT($H76,"mmmm d, yyyy")),"{company}",Setup!$C$4))</f>
        <v/>
      </c>
      <c r="N76" s="21" t="str">
        <f ca="1">IF(Calc!$AM76="","",SUBSTITUTE(SUBSTITUTE(SUBSTITUTE(SUBSTITUTE(INDEX(Setup!$J$20:$J$34,Calc!$AN76)&amp;"","{name}",$E76),"{years}",$G76),"{date}",TEXT($H76,"mmmm d, yyyy")),"{company}",Setup!$C$4))</f>
        <v/>
      </c>
      <c r="O76" s="21" t="str">
        <f ca="1">IF(Calc!$AM76="","",SUBSTITUTE(SUBSTITUTE(SUBSTITUTE(SUBSTITUTE(INDEX(Setup!$K$20:$K$34,Calc!$AN76)&amp;"","{name}",$E76),"{years}",$G76),"{date}",TEXT($H76,"mmmm d, yyyy")),"{company}",Setup!$C$4))</f>
        <v/>
      </c>
      <c r="P76" s="21" t="str">
        <f ca="1">IF(Calc!$AM76="","",SUBSTITUTE(SUBSTITUTE(TRIM(SUBSTITUTE($L76," ","~")&amp;" "&amp;SUBSTITUTE($M76," ","~")&amp;" "&amp;SUBSTITUTE($N76," ","~")&amp;" "&amp;SUBSTITUTE($O76," ","~"))," "," | "),"~"," "))</f>
        <v/>
      </c>
    </row>
    <row r="77" spans="1:16" x14ac:dyDescent="0.2">
      <c r="A77" s="19" t="str">
        <f ca="1">IF(Calc!$AM77="","",ROW()-5)</f>
        <v/>
      </c>
      <c r="B77" s="20" t="str">
        <f ca="1">IF(Calc!$AM77="","",INT(Calc!$AK77))</f>
        <v/>
      </c>
      <c r="C77" s="21" t="str">
        <f ca="1">IF(Calc!$AM77="","",IF($H77&lt;Setup!$C$5,"PAST DUE: milestone date has passed",IF($B77&lt;Setup!$C$5,"LATE: order today, ask about rush",IF($B77&lt;Setup!$C$5+14,"Order within 2 weeks","Scheduled"))))</f>
        <v/>
      </c>
      <c r="D77" s="21" t="str">
        <f ca="1">IF(Calc!$AM77="","",TEXT($B77,"mmmm yyyy"))</f>
        <v/>
      </c>
      <c r="E77" s="21" t="str">
        <f ca="1">IF(Calc!$AM77="","",INDEX(Roster!$A$6:$A$505,Calc!$AM77)&amp;"")</f>
        <v/>
      </c>
      <c r="F77" s="21" t="str">
        <f ca="1">IF(Calc!$AM77="","",INDEX(Roster!$C$6:$C$505,Calc!$AM77)&amp;"")</f>
        <v/>
      </c>
      <c r="G77" s="19" t="str">
        <f ca="1">IF(Calc!$AM77="","",INDEX(Setup!$C$20:$C$34,Calc!$AN77))</f>
        <v/>
      </c>
      <c r="H77" s="20" t="str">
        <f ca="1">IF(Calc!$AM77="","",INDEX(Calc!$B$6:$P$505,Calc!$AM77,Calc!$AN77))</f>
        <v/>
      </c>
      <c r="I77" s="21" t="str">
        <f ca="1">IF(Calc!$AM77="","",INDEX(Setup!$D$20:$D$34,Calc!$AN77)&amp;"")</f>
        <v/>
      </c>
      <c r="J77" s="21" t="str">
        <f ca="1">IF(Calc!$AM77="","",INDEX(Setup!$E$20:$E$34,Calc!$AN77)&amp;"")</f>
        <v/>
      </c>
      <c r="K77" s="23" t="str">
        <f ca="1">IF(Calc!$AM77="","",INDEX(Setup!$F$20:$F$34,Calc!$AN77))</f>
        <v/>
      </c>
      <c r="L77" s="21" t="str">
        <f ca="1">IF(Calc!$AM77="","",SUBSTITUTE(SUBSTITUTE(SUBSTITUTE(SUBSTITUTE(INDEX(Setup!$H$20:$H$34,Calc!$AN77)&amp;"","{name}",$E77),"{years}",$G77),"{date}",TEXT($H77,"mmmm d, yyyy")),"{company}",Setup!$C$4))</f>
        <v/>
      </c>
      <c r="M77" s="21" t="str">
        <f ca="1">IF(Calc!$AM77="","",SUBSTITUTE(SUBSTITUTE(SUBSTITUTE(SUBSTITUTE(INDEX(Setup!$I$20:$I$34,Calc!$AN77)&amp;"","{name}",$E77),"{years}",$G77),"{date}",TEXT($H77,"mmmm d, yyyy")),"{company}",Setup!$C$4))</f>
        <v/>
      </c>
      <c r="N77" s="21" t="str">
        <f ca="1">IF(Calc!$AM77="","",SUBSTITUTE(SUBSTITUTE(SUBSTITUTE(SUBSTITUTE(INDEX(Setup!$J$20:$J$34,Calc!$AN77)&amp;"","{name}",$E77),"{years}",$G77),"{date}",TEXT($H77,"mmmm d, yyyy")),"{company}",Setup!$C$4))</f>
        <v/>
      </c>
      <c r="O77" s="21" t="str">
        <f ca="1">IF(Calc!$AM77="","",SUBSTITUTE(SUBSTITUTE(SUBSTITUTE(SUBSTITUTE(INDEX(Setup!$K$20:$K$34,Calc!$AN77)&amp;"","{name}",$E77),"{years}",$G77),"{date}",TEXT($H77,"mmmm d, yyyy")),"{company}",Setup!$C$4))</f>
        <v/>
      </c>
      <c r="P77" s="21" t="str">
        <f ca="1">IF(Calc!$AM77="","",SUBSTITUTE(SUBSTITUTE(TRIM(SUBSTITUTE($L77," ","~")&amp;" "&amp;SUBSTITUTE($M77," ","~")&amp;" "&amp;SUBSTITUTE($N77," ","~")&amp;" "&amp;SUBSTITUTE($O77," ","~"))," "," | "),"~"," "))</f>
        <v/>
      </c>
    </row>
    <row r="78" spans="1:16" x14ac:dyDescent="0.2">
      <c r="A78" s="19" t="str">
        <f ca="1">IF(Calc!$AM78="","",ROW()-5)</f>
        <v/>
      </c>
      <c r="B78" s="20" t="str">
        <f ca="1">IF(Calc!$AM78="","",INT(Calc!$AK78))</f>
        <v/>
      </c>
      <c r="C78" s="21" t="str">
        <f ca="1">IF(Calc!$AM78="","",IF($H78&lt;Setup!$C$5,"PAST DUE: milestone date has passed",IF($B78&lt;Setup!$C$5,"LATE: order today, ask about rush",IF($B78&lt;Setup!$C$5+14,"Order within 2 weeks","Scheduled"))))</f>
        <v/>
      </c>
      <c r="D78" s="21" t="str">
        <f ca="1">IF(Calc!$AM78="","",TEXT($B78,"mmmm yyyy"))</f>
        <v/>
      </c>
      <c r="E78" s="21" t="str">
        <f ca="1">IF(Calc!$AM78="","",INDEX(Roster!$A$6:$A$505,Calc!$AM78)&amp;"")</f>
        <v/>
      </c>
      <c r="F78" s="21" t="str">
        <f ca="1">IF(Calc!$AM78="","",INDEX(Roster!$C$6:$C$505,Calc!$AM78)&amp;"")</f>
        <v/>
      </c>
      <c r="G78" s="19" t="str">
        <f ca="1">IF(Calc!$AM78="","",INDEX(Setup!$C$20:$C$34,Calc!$AN78))</f>
        <v/>
      </c>
      <c r="H78" s="20" t="str">
        <f ca="1">IF(Calc!$AM78="","",INDEX(Calc!$B$6:$P$505,Calc!$AM78,Calc!$AN78))</f>
        <v/>
      </c>
      <c r="I78" s="21" t="str">
        <f ca="1">IF(Calc!$AM78="","",INDEX(Setup!$D$20:$D$34,Calc!$AN78)&amp;"")</f>
        <v/>
      </c>
      <c r="J78" s="21" t="str">
        <f ca="1">IF(Calc!$AM78="","",INDEX(Setup!$E$20:$E$34,Calc!$AN78)&amp;"")</f>
        <v/>
      </c>
      <c r="K78" s="23" t="str">
        <f ca="1">IF(Calc!$AM78="","",INDEX(Setup!$F$20:$F$34,Calc!$AN78))</f>
        <v/>
      </c>
      <c r="L78" s="21" t="str">
        <f ca="1">IF(Calc!$AM78="","",SUBSTITUTE(SUBSTITUTE(SUBSTITUTE(SUBSTITUTE(INDEX(Setup!$H$20:$H$34,Calc!$AN78)&amp;"","{name}",$E78),"{years}",$G78),"{date}",TEXT($H78,"mmmm d, yyyy")),"{company}",Setup!$C$4))</f>
        <v/>
      </c>
      <c r="M78" s="21" t="str">
        <f ca="1">IF(Calc!$AM78="","",SUBSTITUTE(SUBSTITUTE(SUBSTITUTE(SUBSTITUTE(INDEX(Setup!$I$20:$I$34,Calc!$AN78)&amp;"","{name}",$E78),"{years}",$G78),"{date}",TEXT($H78,"mmmm d, yyyy")),"{company}",Setup!$C$4))</f>
        <v/>
      </c>
      <c r="N78" s="21" t="str">
        <f ca="1">IF(Calc!$AM78="","",SUBSTITUTE(SUBSTITUTE(SUBSTITUTE(SUBSTITUTE(INDEX(Setup!$J$20:$J$34,Calc!$AN78)&amp;"","{name}",$E78),"{years}",$G78),"{date}",TEXT($H78,"mmmm d, yyyy")),"{company}",Setup!$C$4))</f>
        <v/>
      </c>
      <c r="O78" s="21" t="str">
        <f ca="1">IF(Calc!$AM78="","",SUBSTITUTE(SUBSTITUTE(SUBSTITUTE(SUBSTITUTE(INDEX(Setup!$K$20:$K$34,Calc!$AN78)&amp;"","{name}",$E78),"{years}",$G78),"{date}",TEXT($H78,"mmmm d, yyyy")),"{company}",Setup!$C$4))</f>
        <v/>
      </c>
      <c r="P78" s="21" t="str">
        <f ca="1">IF(Calc!$AM78="","",SUBSTITUTE(SUBSTITUTE(TRIM(SUBSTITUTE($L78," ","~")&amp;" "&amp;SUBSTITUTE($M78," ","~")&amp;" "&amp;SUBSTITUTE($N78," ","~")&amp;" "&amp;SUBSTITUTE($O78," ","~"))," "," | "),"~"," "))</f>
        <v/>
      </c>
    </row>
    <row r="79" spans="1:16" x14ac:dyDescent="0.2">
      <c r="A79" s="19" t="str">
        <f ca="1">IF(Calc!$AM79="","",ROW()-5)</f>
        <v/>
      </c>
      <c r="B79" s="20" t="str">
        <f ca="1">IF(Calc!$AM79="","",INT(Calc!$AK79))</f>
        <v/>
      </c>
      <c r="C79" s="21" t="str">
        <f ca="1">IF(Calc!$AM79="","",IF($H79&lt;Setup!$C$5,"PAST DUE: milestone date has passed",IF($B79&lt;Setup!$C$5,"LATE: order today, ask about rush",IF($B79&lt;Setup!$C$5+14,"Order within 2 weeks","Scheduled"))))</f>
        <v/>
      </c>
      <c r="D79" s="21" t="str">
        <f ca="1">IF(Calc!$AM79="","",TEXT($B79,"mmmm yyyy"))</f>
        <v/>
      </c>
      <c r="E79" s="21" t="str">
        <f ca="1">IF(Calc!$AM79="","",INDEX(Roster!$A$6:$A$505,Calc!$AM79)&amp;"")</f>
        <v/>
      </c>
      <c r="F79" s="21" t="str">
        <f ca="1">IF(Calc!$AM79="","",INDEX(Roster!$C$6:$C$505,Calc!$AM79)&amp;"")</f>
        <v/>
      </c>
      <c r="G79" s="19" t="str">
        <f ca="1">IF(Calc!$AM79="","",INDEX(Setup!$C$20:$C$34,Calc!$AN79))</f>
        <v/>
      </c>
      <c r="H79" s="20" t="str">
        <f ca="1">IF(Calc!$AM79="","",INDEX(Calc!$B$6:$P$505,Calc!$AM79,Calc!$AN79))</f>
        <v/>
      </c>
      <c r="I79" s="21" t="str">
        <f ca="1">IF(Calc!$AM79="","",INDEX(Setup!$D$20:$D$34,Calc!$AN79)&amp;"")</f>
        <v/>
      </c>
      <c r="J79" s="21" t="str">
        <f ca="1">IF(Calc!$AM79="","",INDEX(Setup!$E$20:$E$34,Calc!$AN79)&amp;"")</f>
        <v/>
      </c>
      <c r="K79" s="23" t="str">
        <f ca="1">IF(Calc!$AM79="","",INDEX(Setup!$F$20:$F$34,Calc!$AN79))</f>
        <v/>
      </c>
      <c r="L79" s="21" t="str">
        <f ca="1">IF(Calc!$AM79="","",SUBSTITUTE(SUBSTITUTE(SUBSTITUTE(SUBSTITUTE(INDEX(Setup!$H$20:$H$34,Calc!$AN79)&amp;"","{name}",$E79),"{years}",$G79),"{date}",TEXT($H79,"mmmm d, yyyy")),"{company}",Setup!$C$4))</f>
        <v/>
      </c>
      <c r="M79" s="21" t="str">
        <f ca="1">IF(Calc!$AM79="","",SUBSTITUTE(SUBSTITUTE(SUBSTITUTE(SUBSTITUTE(INDEX(Setup!$I$20:$I$34,Calc!$AN79)&amp;"","{name}",$E79),"{years}",$G79),"{date}",TEXT($H79,"mmmm d, yyyy")),"{company}",Setup!$C$4))</f>
        <v/>
      </c>
      <c r="N79" s="21" t="str">
        <f ca="1">IF(Calc!$AM79="","",SUBSTITUTE(SUBSTITUTE(SUBSTITUTE(SUBSTITUTE(INDEX(Setup!$J$20:$J$34,Calc!$AN79)&amp;"","{name}",$E79),"{years}",$G79),"{date}",TEXT($H79,"mmmm d, yyyy")),"{company}",Setup!$C$4))</f>
        <v/>
      </c>
      <c r="O79" s="21" t="str">
        <f ca="1">IF(Calc!$AM79="","",SUBSTITUTE(SUBSTITUTE(SUBSTITUTE(SUBSTITUTE(INDEX(Setup!$K$20:$K$34,Calc!$AN79)&amp;"","{name}",$E79),"{years}",$G79),"{date}",TEXT($H79,"mmmm d, yyyy")),"{company}",Setup!$C$4))</f>
        <v/>
      </c>
      <c r="P79" s="21" t="str">
        <f ca="1">IF(Calc!$AM79="","",SUBSTITUTE(SUBSTITUTE(TRIM(SUBSTITUTE($L79," ","~")&amp;" "&amp;SUBSTITUTE($M79," ","~")&amp;" "&amp;SUBSTITUTE($N79," ","~")&amp;" "&amp;SUBSTITUTE($O79," ","~"))," "," | "),"~"," "))</f>
        <v/>
      </c>
    </row>
    <row r="80" spans="1:16" x14ac:dyDescent="0.2">
      <c r="A80" s="19" t="str">
        <f ca="1">IF(Calc!$AM80="","",ROW()-5)</f>
        <v/>
      </c>
      <c r="B80" s="20" t="str">
        <f ca="1">IF(Calc!$AM80="","",INT(Calc!$AK80))</f>
        <v/>
      </c>
      <c r="C80" s="21" t="str">
        <f ca="1">IF(Calc!$AM80="","",IF($H80&lt;Setup!$C$5,"PAST DUE: milestone date has passed",IF($B80&lt;Setup!$C$5,"LATE: order today, ask about rush",IF($B80&lt;Setup!$C$5+14,"Order within 2 weeks","Scheduled"))))</f>
        <v/>
      </c>
      <c r="D80" s="21" t="str">
        <f ca="1">IF(Calc!$AM80="","",TEXT($B80,"mmmm yyyy"))</f>
        <v/>
      </c>
      <c r="E80" s="21" t="str">
        <f ca="1">IF(Calc!$AM80="","",INDEX(Roster!$A$6:$A$505,Calc!$AM80)&amp;"")</f>
        <v/>
      </c>
      <c r="F80" s="21" t="str">
        <f ca="1">IF(Calc!$AM80="","",INDEX(Roster!$C$6:$C$505,Calc!$AM80)&amp;"")</f>
        <v/>
      </c>
      <c r="G80" s="19" t="str">
        <f ca="1">IF(Calc!$AM80="","",INDEX(Setup!$C$20:$C$34,Calc!$AN80))</f>
        <v/>
      </c>
      <c r="H80" s="20" t="str">
        <f ca="1">IF(Calc!$AM80="","",INDEX(Calc!$B$6:$P$505,Calc!$AM80,Calc!$AN80))</f>
        <v/>
      </c>
      <c r="I80" s="21" t="str">
        <f ca="1">IF(Calc!$AM80="","",INDEX(Setup!$D$20:$D$34,Calc!$AN80)&amp;"")</f>
        <v/>
      </c>
      <c r="J80" s="21" t="str">
        <f ca="1">IF(Calc!$AM80="","",INDEX(Setup!$E$20:$E$34,Calc!$AN80)&amp;"")</f>
        <v/>
      </c>
      <c r="K80" s="23" t="str">
        <f ca="1">IF(Calc!$AM80="","",INDEX(Setup!$F$20:$F$34,Calc!$AN80))</f>
        <v/>
      </c>
      <c r="L80" s="21" t="str">
        <f ca="1">IF(Calc!$AM80="","",SUBSTITUTE(SUBSTITUTE(SUBSTITUTE(SUBSTITUTE(INDEX(Setup!$H$20:$H$34,Calc!$AN80)&amp;"","{name}",$E80),"{years}",$G80),"{date}",TEXT($H80,"mmmm d, yyyy")),"{company}",Setup!$C$4))</f>
        <v/>
      </c>
      <c r="M80" s="21" t="str">
        <f ca="1">IF(Calc!$AM80="","",SUBSTITUTE(SUBSTITUTE(SUBSTITUTE(SUBSTITUTE(INDEX(Setup!$I$20:$I$34,Calc!$AN80)&amp;"","{name}",$E80),"{years}",$G80),"{date}",TEXT($H80,"mmmm d, yyyy")),"{company}",Setup!$C$4))</f>
        <v/>
      </c>
      <c r="N80" s="21" t="str">
        <f ca="1">IF(Calc!$AM80="","",SUBSTITUTE(SUBSTITUTE(SUBSTITUTE(SUBSTITUTE(INDEX(Setup!$J$20:$J$34,Calc!$AN80)&amp;"","{name}",$E80),"{years}",$G80),"{date}",TEXT($H80,"mmmm d, yyyy")),"{company}",Setup!$C$4))</f>
        <v/>
      </c>
      <c r="O80" s="21" t="str">
        <f ca="1">IF(Calc!$AM80="","",SUBSTITUTE(SUBSTITUTE(SUBSTITUTE(SUBSTITUTE(INDEX(Setup!$K$20:$K$34,Calc!$AN80)&amp;"","{name}",$E80),"{years}",$G80),"{date}",TEXT($H80,"mmmm d, yyyy")),"{company}",Setup!$C$4))</f>
        <v/>
      </c>
      <c r="P80" s="21" t="str">
        <f ca="1">IF(Calc!$AM80="","",SUBSTITUTE(SUBSTITUTE(TRIM(SUBSTITUTE($L80," ","~")&amp;" "&amp;SUBSTITUTE($M80," ","~")&amp;" "&amp;SUBSTITUTE($N80," ","~")&amp;" "&amp;SUBSTITUTE($O80," ","~"))," "," | "),"~"," "))</f>
        <v/>
      </c>
    </row>
    <row r="81" spans="1:16" x14ac:dyDescent="0.2">
      <c r="A81" s="19" t="str">
        <f ca="1">IF(Calc!$AM81="","",ROW()-5)</f>
        <v/>
      </c>
      <c r="B81" s="20" t="str">
        <f ca="1">IF(Calc!$AM81="","",INT(Calc!$AK81))</f>
        <v/>
      </c>
      <c r="C81" s="21" t="str">
        <f ca="1">IF(Calc!$AM81="","",IF($H81&lt;Setup!$C$5,"PAST DUE: milestone date has passed",IF($B81&lt;Setup!$C$5,"LATE: order today, ask about rush",IF($B81&lt;Setup!$C$5+14,"Order within 2 weeks","Scheduled"))))</f>
        <v/>
      </c>
      <c r="D81" s="21" t="str">
        <f ca="1">IF(Calc!$AM81="","",TEXT($B81,"mmmm yyyy"))</f>
        <v/>
      </c>
      <c r="E81" s="21" t="str">
        <f ca="1">IF(Calc!$AM81="","",INDEX(Roster!$A$6:$A$505,Calc!$AM81)&amp;"")</f>
        <v/>
      </c>
      <c r="F81" s="21" t="str">
        <f ca="1">IF(Calc!$AM81="","",INDEX(Roster!$C$6:$C$505,Calc!$AM81)&amp;"")</f>
        <v/>
      </c>
      <c r="G81" s="19" t="str">
        <f ca="1">IF(Calc!$AM81="","",INDEX(Setup!$C$20:$C$34,Calc!$AN81))</f>
        <v/>
      </c>
      <c r="H81" s="20" t="str">
        <f ca="1">IF(Calc!$AM81="","",INDEX(Calc!$B$6:$P$505,Calc!$AM81,Calc!$AN81))</f>
        <v/>
      </c>
      <c r="I81" s="21" t="str">
        <f ca="1">IF(Calc!$AM81="","",INDEX(Setup!$D$20:$D$34,Calc!$AN81)&amp;"")</f>
        <v/>
      </c>
      <c r="J81" s="21" t="str">
        <f ca="1">IF(Calc!$AM81="","",INDEX(Setup!$E$20:$E$34,Calc!$AN81)&amp;"")</f>
        <v/>
      </c>
      <c r="K81" s="23" t="str">
        <f ca="1">IF(Calc!$AM81="","",INDEX(Setup!$F$20:$F$34,Calc!$AN81))</f>
        <v/>
      </c>
      <c r="L81" s="21" t="str">
        <f ca="1">IF(Calc!$AM81="","",SUBSTITUTE(SUBSTITUTE(SUBSTITUTE(SUBSTITUTE(INDEX(Setup!$H$20:$H$34,Calc!$AN81)&amp;"","{name}",$E81),"{years}",$G81),"{date}",TEXT($H81,"mmmm d, yyyy")),"{company}",Setup!$C$4))</f>
        <v/>
      </c>
      <c r="M81" s="21" t="str">
        <f ca="1">IF(Calc!$AM81="","",SUBSTITUTE(SUBSTITUTE(SUBSTITUTE(SUBSTITUTE(INDEX(Setup!$I$20:$I$34,Calc!$AN81)&amp;"","{name}",$E81),"{years}",$G81),"{date}",TEXT($H81,"mmmm d, yyyy")),"{company}",Setup!$C$4))</f>
        <v/>
      </c>
      <c r="N81" s="21" t="str">
        <f ca="1">IF(Calc!$AM81="","",SUBSTITUTE(SUBSTITUTE(SUBSTITUTE(SUBSTITUTE(INDEX(Setup!$J$20:$J$34,Calc!$AN81)&amp;"","{name}",$E81),"{years}",$G81),"{date}",TEXT($H81,"mmmm d, yyyy")),"{company}",Setup!$C$4))</f>
        <v/>
      </c>
      <c r="O81" s="21" t="str">
        <f ca="1">IF(Calc!$AM81="","",SUBSTITUTE(SUBSTITUTE(SUBSTITUTE(SUBSTITUTE(INDEX(Setup!$K$20:$K$34,Calc!$AN81)&amp;"","{name}",$E81),"{years}",$G81),"{date}",TEXT($H81,"mmmm d, yyyy")),"{company}",Setup!$C$4))</f>
        <v/>
      </c>
      <c r="P81" s="21" t="str">
        <f ca="1">IF(Calc!$AM81="","",SUBSTITUTE(SUBSTITUTE(TRIM(SUBSTITUTE($L81," ","~")&amp;" "&amp;SUBSTITUTE($M81," ","~")&amp;" "&amp;SUBSTITUTE($N81," ","~")&amp;" "&amp;SUBSTITUTE($O81," ","~"))," "," | "),"~"," "))</f>
        <v/>
      </c>
    </row>
    <row r="82" spans="1:16" x14ac:dyDescent="0.2">
      <c r="A82" s="19" t="str">
        <f ca="1">IF(Calc!$AM82="","",ROW()-5)</f>
        <v/>
      </c>
      <c r="B82" s="20" t="str">
        <f ca="1">IF(Calc!$AM82="","",INT(Calc!$AK82))</f>
        <v/>
      </c>
      <c r="C82" s="21" t="str">
        <f ca="1">IF(Calc!$AM82="","",IF($H82&lt;Setup!$C$5,"PAST DUE: milestone date has passed",IF($B82&lt;Setup!$C$5,"LATE: order today, ask about rush",IF($B82&lt;Setup!$C$5+14,"Order within 2 weeks","Scheduled"))))</f>
        <v/>
      </c>
      <c r="D82" s="21" t="str">
        <f ca="1">IF(Calc!$AM82="","",TEXT($B82,"mmmm yyyy"))</f>
        <v/>
      </c>
      <c r="E82" s="21" t="str">
        <f ca="1">IF(Calc!$AM82="","",INDEX(Roster!$A$6:$A$505,Calc!$AM82)&amp;"")</f>
        <v/>
      </c>
      <c r="F82" s="21" t="str">
        <f ca="1">IF(Calc!$AM82="","",INDEX(Roster!$C$6:$C$505,Calc!$AM82)&amp;"")</f>
        <v/>
      </c>
      <c r="G82" s="19" t="str">
        <f ca="1">IF(Calc!$AM82="","",INDEX(Setup!$C$20:$C$34,Calc!$AN82))</f>
        <v/>
      </c>
      <c r="H82" s="20" t="str">
        <f ca="1">IF(Calc!$AM82="","",INDEX(Calc!$B$6:$P$505,Calc!$AM82,Calc!$AN82))</f>
        <v/>
      </c>
      <c r="I82" s="21" t="str">
        <f ca="1">IF(Calc!$AM82="","",INDEX(Setup!$D$20:$D$34,Calc!$AN82)&amp;"")</f>
        <v/>
      </c>
      <c r="J82" s="21" t="str">
        <f ca="1">IF(Calc!$AM82="","",INDEX(Setup!$E$20:$E$34,Calc!$AN82)&amp;"")</f>
        <v/>
      </c>
      <c r="K82" s="23" t="str">
        <f ca="1">IF(Calc!$AM82="","",INDEX(Setup!$F$20:$F$34,Calc!$AN82))</f>
        <v/>
      </c>
      <c r="L82" s="21" t="str">
        <f ca="1">IF(Calc!$AM82="","",SUBSTITUTE(SUBSTITUTE(SUBSTITUTE(SUBSTITUTE(INDEX(Setup!$H$20:$H$34,Calc!$AN82)&amp;"","{name}",$E82),"{years}",$G82),"{date}",TEXT($H82,"mmmm d, yyyy")),"{company}",Setup!$C$4))</f>
        <v/>
      </c>
      <c r="M82" s="21" t="str">
        <f ca="1">IF(Calc!$AM82="","",SUBSTITUTE(SUBSTITUTE(SUBSTITUTE(SUBSTITUTE(INDEX(Setup!$I$20:$I$34,Calc!$AN82)&amp;"","{name}",$E82),"{years}",$G82),"{date}",TEXT($H82,"mmmm d, yyyy")),"{company}",Setup!$C$4))</f>
        <v/>
      </c>
      <c r="N82" s="21" t="str">
        <f ca="1">IF(Calc!$AM82="","",SUBSTITUTE(SUBSTITUTE(SUBSTITUTE(SUBSTITUTE(INDEX(Setup!$J$20:$J$34,Calc!$AN82)&amp;"","{name}",$E82),"{years}",$G82),"{date}",TEXT($H82,"mmmm d, yyyy")),"{company}",Setup!$C$4))</f>
        <v/>
      </c>
      <c r="O82" s="21" t="str">
        <f ca="1">IF(Calc!$AM82="","",SUBSTITUTE(SUBSTITUTE(SUBSTITUTE(SUBSTITUTE(INDEX(Setup!$K$20:$K$34,Calc!$AN82)&amp;"","{name}",$E82),"{years}",$G82),"{date}",TEXT($H82,"mmmm d, yyyy")),"{company}",Setup!$C$4))</f>
        <v/>
      </c>
      <c r="P82" s="21" t="str">
        <f ca="1">IF(Calc!$AM82="","",SUBSTITUTE(SUBSTITUTE(TRIM(SUBSTITUTE($L82," ","~")&amp;" "&amp;SUBSTITUTE($M82," ","~")&amp;" "&amp;SUBSTITUTE($N82," ","~")&amp;" "&amp;SUBSTITUTE($O82," ","~"))," "," | "),"~"," "))</f>
        <v/>
      </c>
    </row>
    <row r="83" spans="1:16" x14ac:dyDescent="0.2">
      <c r="A83" s="19" t="str">
        <f ca="1">IF(Calc!$AM83="","",ROW()-5)</f>
        <v/>
      </c>
      <c r="B83" s="20" t="str">
        <f ca="1">IF(Calc!$AM83="","",INT(Calc!$AK83))</f>
        <v/>
      </c>
      <c r="C83" s="21" t="str">
        <f ca="1">IF(Calc!$AM83="","",IF($H83&lt;Setup!$C$5,"PAST DUE: milestone date has passed",IF($B83&lt;Setup!$C$5,"LATE: order today, ask about rush",IF($B83&lt;Setup!$C$5+14,"Order within 2 weeks","Scheduled"))))</f>
        <v/>
      </c>
      <c r="D83" s="21" t="str">
        <f ca="1">IF(Calc!$AM83="","",TEXT($B83,"mmmm yyyy"))</f>
        <v/>
      </c>
      <c r="E83" s="21" t="str">
        <f ca="1">IF(Calc!$AM83="","",INDEX(Roster!$A$6:$A$505,Calc!$AM83)&amp;"")</f>
        <v/>
      </c>
      <c r="F83" s="21" t="str">
        <f ca="1">IF(Calc!$AM83="","",INDEX(Roster!$C$6:$C$505,Calc!$AM83)&amp;"")</f>
        <v/>
      </c>
      <c r="G83" s="19" t="str">
        <f ca="1">IF(Calc!$AM83="","",INDEX(Setup!$C$20:$C$34,Calc!$AN83))</f>
        <v/>
      </c>
      <c r="H83" s="20" t="str">
        <f ca="1">IF(Calc!$AM83="","",INDEX(Calc!$B$6:$P$505,Calc!$AM83,Calc!$AN83))</f>
        <v/>
      </c>
      <c r="I83" s="21" t="str">
        <f ca="1">IF(Calc!$AM83="","",INDEX(Setup!$D$20:$D$34,Calc!$AN83)&amp;"")</f>
        <v/>
      </c>
      <c r="J83" s="21" t="str">
        <f ca="1">IF(Calc!$AM83="","",INDEX(Setup!$E$20:$E$34,Calc!$AN83)&amp;"")</f>
        <v/>
      </c>
      <c r="K83" s="23" t="str">
        <f ca="1">IF(Calc!$AM83="","",INDEX(Setup!$F$20:$F$34,Calc!$AN83))</f>
        <v/>
      </c>
      <c r="L83" s="21" t="str">
        <f ca="1">IF(Calc!$AM83="","",SUBSTITUTE(SUBSTITUTE(SUBSTITUTE(SUBSTITUTE(INDEX(Setup!$H$20:$H$34,Calc!$AN83)&amp;"","{name}",$E83),"{years}",$G83),"{date}",TEXT($H83,"mmmm d, yyyy")),"{company}",Setup!$C$4))</f>
        <v/>
      </c>
      <c r="M83" s="21" t="str">
        <f ca="1">IF(Calc!$AM83="","",SUBSTITUTE(SUBSTITUTE(SUBSTITUTE(SUBSTITUTE(INDEX(Setup!$I$20:$I$34,Calc!$AN83)&amp;"","{name}",$E83),"{years}",$G83),"{date}",TEXT($H83,"mmmm d, yyyy")),"{company}",Setup!$C$4))</f>
        <v/>
      </c>
      <c r="N83" s="21" t="str">
        <f ca="1">IF(Calc!$AM83="","",SUBSTITUTE(SUBSTITUTE(SUBSTITUTE(SUBSTITUTE(INDEX(Setup!$J$20:$J$34,Calc!$AN83)&amp;"","{name}",$E83),"{years}",$G83),"{date}",TEXT($H83,"mmmm d, yyyy")),"{company}",Setup!$C$4))</f>
        <v/>
      </c>
      <c r="O83" s="21" t="str">
        <f ca="1">IF(Calc!$AM83="","",SUBSTITUTE(SUBSTITUTE(SUBSTITUTE(SUBSTITUTE(INDEX(Setup!$K$20:$K$34,Calc!$AN83)&amp;"","{name}",$E83),"{years}",$G83),"{date}",TEXT($H83,"mmmm d, yyyy")),"{company}",Setup!$C$4))</f>
        <v/>
      </c>
      <c r="P83" s="21" t="str">
        <f ca="1">IF(Calc!$AM83="","",SUBSTITUTE(SUBSTITUTE(TRIM(SUBSTITUTE($L83," ","~")&amp;" "&amp;SUBSTITUTE($M83," ","~")&amp;" "&amp;SUBSTITUTE($N83," ","~")&amp;" "&amp;SUBSTITUTE($O83," ","~"))," "," | "),"~"," "))</f>
        <v/>
      </c>
    </row>
    <row r="84" spans="1:16" x14ac:dyDescent="0.2">
      <c r="A84" s="19" t="str">
        <f ca="1">IF(Calc!$AM84="","",ROW()-5)</f>
        <v/>
      </c>
      <c r="B84" s="20" t="str">
        <f ca="1">IF(Calc!$AM84="","",INT(Calc!$AK84))</f>
        <v/>
      </c>
      <c r="C84" s="21" t="str">
        <f ca="1">IF(Calc!$AM84="","",IF($H84&lt;Setup!$C$5,"PAST DUE: milestone date has passed",IF($B84&lt;Setup!$C$5,"LATE: order today, ask about rush",IF($B84&lt;Setup!$C$5+14,"Order within 2 weeks","Scheduled"))))</f>
        <v/>
      </c>
      <c r="D84" s="21" t="str">
        <f ca="1">IF(Calc!$AM84="","",TEXT($B84,"mmmm yyyy"))</f>
        <v/>
      </c>
      <c r="E84" s="21" t="str">
        <f ca="1">IF(Calc!$AM84="","",INDEX(Roster!$A$6:$A$505,Calc!$AM84)&amp;"")</f>
        <v/>
      </c>
      <c r="F84" s="21" t="str">
        <f ca="1">IF(Calc!$AM84="","",INDEX(Roster!$C$6:$C$505,Calc!$AM84)&amp;"")</f>
        <v/>
      </c>
      <c r="G84" s="19" t="str">
        <f ca="1">IF(Calc!$AM84="","",INDEX(Setup!$C$20:$C$34,Calc!$AN84))</f>
        <v/>
      </c>
      <c r="H84" s="20" t="str">
        <f ca="1">IF(Calc!$AM84="","",INDEX(Calc!$B$6:$P$505,Calc!$AM84,Calc!$AN84))</f>
        <v/>
      </c>
      <c r="I84" s="21" t="str">
        <f ca="1">IF(Calc!$AM84="","",INDEX(Setup!$D$20:$D$34,Calc!$AN84)&amp;"")</f>
        <v/>
      </c>
      <c r="J84" s="21" t="str">
        <f ca="1">IF(Calc!$AM84="","",INDEX(Setup!$E$20:$E$34,Calc!$AN84)&amp;"")</f>
        <v/>
      </c>
      <c r="K84" s="23" t="str">
        <f ca="1">IF(Calc!$AM84="","",INDEX(Setup!$F$20:$F$34,Calc!$AN84))</f>
        <v/>
      </c>
      <c r="L84" s="21" t="str">
        <f ca="1">IF(Calc!$AM84="","",SUBSTITUTE(SUBSTITUTE(SUBSTITUTE(SUBSTITUTE(INDEX(Setup!$H$20:$H$34,Calc!$AN84)&amp;"","{name}",$E84),"{years}",$G84),"{date}",TEXT($H84,"mmmm d, yyyy")),"{company}",Setup!$C$4))</f>
        <v/>
      </c>
      <c r="M84" s="21" t="str">
        <f ca="1">IF(Calc!$AM84="","",SUBSTITUTE(SUBSTITUTE(SUBSTITUTE(SUBSTITUTE(INDEX(Setup!$I$20:$I$34,Calc!$AN84)&amp;"","{name}",$E84),"{years}",$G84),"{date}",TEXT($H84,"mmmm d, yyyy")),"{company}",Setup!$C$4))</f>
        <v/>
      </c>
      <c r="N84" s="21" t="str">
        <f ca="1">IF(Calc!$AM84="","",SUBSTITUTE(SUBSTITUTE(SUBSTITUTE(SUBSTITUTE(INDEX(Setup!$J$20:$J$34,Calc!$AN84)&amp;"","{name}",$E84),"{years}",$G84),"{date}",TEXT($H84,"mmmm d, yyyy")),"{company}",Setup!$C$4))</f>
        <v/>
      </c>
      <c r="O84" s="21" t="str">
        <f ca="1">IF(Calc!$AM84="","",SUBSTITUTE(SUBSTITUTE(SUBSTITUTE(SUBSTITUTE(INDEX(Setup!$K$20:$K$34,Calc!$AN84)&amp;"","{name}",$E84),"{years}",$G84),"{date}",TEXT($H84,"mmmm d, yyyy")),"{company}",Setup!$C$4))</f>
        <v/>
      </c>
      <c r="P84" s="21" t="str">
        <f ca="1">IF(Calc!$AM84="","",SUBSTITUTE(SUBSTITUTE(TRIM(SUBSTITUTE($L84," ","~")&amp;" "&amp;SUBSTITUTE($M84," ","~")&amp;" "&amp;SUBSTITUTE($N84," ","~")&amp;" "&amp;SUBSTITUTE($O84," ","~"))," "," | "),"~"," "))</f>
        <v/>
      </c>
    </row>
    <row r="85" spans="1:16" x14ac:dyDescent="0.2">
      <c r="A85" s="19" t="str">
        <f ca="1">IF(Calc!$AM85="","",ROW()-5)</f>
        <v/>
      </c>
      <c r="B85" s="20" t="str">
        <f ca="1">IF(Calc!$AM85="","",INT(Calc!$AK85))</f>
        <v/>
      </c>
      <c r="C85" s="21" t="str">
        <f ca="1">IF(Calc!$AM85="","",IF($H85&lt;Setup!$C$5,"PAST DUE: milestone date has passed",IF($B85&lt;Setup!$C$5,"LATE: order today, ask about rush",IF($B85&lt;Setup!$C$5+14,"Order within 2 weeks","Scheduled"))))</f>
        <v/>
      </c>
      <c r="D85" s="21" t="str">
        <f ca="1">IF(Calc!$AM85="","",TEXT($B85,"mmmm yyyy"))</f>
        <v/>
      </c>
      <c r="E85" s="21" t="str">
        <f ca="1">IF(Calc!$AM85="","",INDEX(Roster!$A$6:$A$505,Calc!$AM85)&amp;"")</f>
        <v/>
      </c>
      <c r="F85" s="21" t="str">
        <f ca="1">IF(Calc!$AM85="","",INDEX(Roster!$C$6:$C$505,Calc!$AM85)&amp;"")</f>
        <v/>
      </c>
      <c r="G85" s="19" t="str">
        <f ca="1">IF(Calc!$AM85="","",INDEX(Setup!$C$20:$C$34,Calc!$AN85))</f>
        <v/>
      </c>
      <c r="H85" s="20" t="str">
        <f ca="1">IF(Calc!$AM85="","",INDEX(Calc!$B$6:$P$505,Calc!$AM85,Calc!$AN85))</f>
        <v/>
      </c>
      <c r="I85" s="21" t="str">
        <f ca="1">IF(Calc!$AM85="","",INDEX(Setup!$D$20:$D$34,Calc!$AN85)&amp;"")</f>
        <v/>
      </c>
      <c r="J85" s="21" t="str">
        <f ca="1">IF(Calc!$AM85="","",INDEX(Setup!$E$20:$E$34,Calc!$AN85)&amp;"")</f>
        <v/>
      </c>
      <c r="K85" s="23" t="str">
        <f ca="1">IF(Calc!$AM85="","",INDEX(Setup!$F$20:$F$34,Calc!$AN85))</f>
        <v/>
      </c>
      <c r="L85" s="21" t="str">
        <f ca="1">IF(Calc!$AM85="","",SUBSTITUTE(SUBSTITUTE(SUBSTITUTE(SUBSTITUTE(INDEX(Setup!$H$20:$H$34,Calc!$AN85)&amp;"","{name}",$E85),"{years}",$G85),"{date}",TEXT($H85,"mmmm d, yyyy")),"{company}",Setup!$C$4))</f>
        <v/>
      </c>
      <c r="M85" s="21" t="str">
        <f ca="1">IF(Calc!$AM85="","",SUBSTITUTE(SUBSTITUTE(SUBSTITUTE(SUBSTITUTE(INDEX(Setup!$I$20:$I$34,Calc!$AN85)&amp;"","{name}",$E85),"{years}",$G85),"{date}",TEXT($H85,"mmmm d, yyyy")),"{company}",Setup!$C$4))</f>
        <v/>
      </c>
      <c r="N85" s="21" t="str">
        <f ca="1">IF(Calc!$AM85="","",SUBSTITUTE(SUBSTITUTE(SUBSTITUTE(SUBSTITUTE(INDEX(Setup!$J$20:$J$34,Calc!$AN85)&amp;"","{name}",$E85),"{years}",$G85),"{date}",TEXT($H85,"mmmm d, yyyy")),"{company}",Setup!$C$4))</f>
        <v/>
      </c>
      <c r="O85" s="21" t="str">
        <f ca="1">IF(Calc!$AM85="","",SUBSTITUTE(SUBSTITUTE(SUBSTITUTE(SUBSTITUTE(INDEX(Setup!$K$20:$K$34,Calc!$AN85)&amp;"","{name}",$E85),"{years}",$G85),"{date}",TEXT($H85,"mmmm d, yyyy")),"{company}",Setup!$C$4))</f>
        <v/>
      </c>
      <c r="P85" s="21" t="str">
        <f ca="1">IF(Calc!$AM85="","",SUBSTITUTE(SUBSTITUTE(TRIM(SUBSTITUTE($L85," ","~")&amp;" "&amp;SUBSTITUTE($M85," ","~")&amp;" "&amp;SUBSTITUTE($N85," ","~")&amp;" "&amp;SUBSTITUTE($O85," ","~"))," "," | "),"~"," "))</f>
        <v/>
      </c>
    </row>
    <row r="86" spans="1:16" x14ac:dyDescent="0.2">
      <c r="A86" s="19" t="str">
        <f ca="1">IF(Calc!$AM86="","",ROW()-5)</f>
        <v/>
      </c>
      <c r="B86" s="20" t="str">
        <f ca="1">IF(Calc!$AM86="","",INT(Calc!$AK86))</f>
        <v/>
      </c>
      <c r="C86" s="21" t="str">
        <f ca="1">IF(Calc!$AM86="","",IF($H86&lt;Setup!$C$5,"PAST DUE: milestone date has passed",IF($B86&lt;Setup!$C$5,"LATE: order today, ask about rush",IF($B86&lt;Setup!$C$5+14,"Order within 2 weeks","Scheduled"))))</f>
        <v/>
      </c>
      <c r="D86" s="21" t="str">
        <f ca="1">IF(Calc!$AM86="","",TEXT($B86,"mmmm yyyy"))</f>
        <v/>
      </c>
      <c r="E86" s="21" t="str">
        <f ca="1">IF(Calc!$AM86="","",INDEX(Roster!$A$6:$A$505,Calc!$AM86)&amp;"")</f>
        <v/>
      </c>
      <c r="F86" s="21" t="str">
        <f ca="1">IF(Calc!$AM86="","",INDEX(Roster!$C$6:$C$505,Calc!$AM86)&amp;"")</f>
        <v/>
      </c>
      <c r="G86" s="19" t="str">
        <f ca="1">IF(Calc!$AM86="","",INDEX(Setup!$C$20:$C$34,Calc!$AN86))</f>
        <v/>
      </c>
      <c r="H86" s="20" t="str">
        <f ca="1">IF(Calc!$AM86="","",INDEX(Calc!$B$6:$P$505,Calc!$AM86,Calc!$AN86))</f>
        <v/>
      </c>
      <c r="I86" s="21" t="str">
        <f ca="1">IF(Calc!$AM86="","",INDEX(Setup!$D$20:$D$34,Calc!$AN86)&amp;"")</f>
        <v/>
      </c>
      <c r="J86" s="21" t="str">
        <f ca="1">IF(Calc!$AM86="","",INDEX(Setup!$E$20:$E$34,Calc!$AN86)&amp;"")</f>
        <v/>
      </c>
      <c r="K86" s="23" t="str">
        <f ca="1">IF(Calc!$AM86="","",INDEX(Setup!$F$20:$F$34,Calc!$AN86))</f>
        <v/>
      </c>
      <c r="L86" s="21" t="str">
        <f ca="1">IF(Calc!$AM86="","",SUBSTITUTE(SUBSTITUTE(SUBSTITUTE(SUBSTITUTE(INDEX(Setup!$H$20:$H$34,Calc!$AN86)&amp;"","{name}",$E86),"{years}",$G86),"{date}",TEXT($H86,"mmmm d, yyyy")),"{company}",Setup!$C$4))</f>
        <v/>
      </c>
      <c r="M86" s="21" t="str">
        <f ca="1">IF(Calc!$AM86="","",SUBSTITUTE(SUBSTITUTE(SUBSTITUTE(SUBSTITUTE(INDEX(Setup!$I$20:$I$34,Calc!$AN86)&amp;"","{name}",$E86),"{years}",$G86),"{date}",TEXT($H86,"mmmm d, yyyy")),"{company}",Setup!$C$4))</f>
        <v/>
      </c>
      <c r="N86" s="21" t="str">
        <f ca="1">IF(Calc!$AM86="","",SUBSTITUTE(SUBSTITUTE(SUBSTITUTE(SUBSTITUTE(INDEX(Setup!$J$20:$J$34,Calc!$AN86)&amp;"","{name}",$E86),"{years}",$G86),"{date}",TEXT($H86,"mmmm d, yyyy")),"{company}",Setup!$C$4))</f>
        <v/>
      </c>
      <c r="O86" s="21" t="str">
        <f ca="1">IF(Calc!$AM86="","",SUBSTITUTE(SUBSTITUTE(SUBSTITUTE(SUBSTITUTE(INDEX(Setup!$K$20:$K$34,Calc!$AN86)&amp;"","{name}",$E86),"{years}",$G86),"{date}",TEXT($H86,"mmmm d, yyyy")),"{company}",Setup!$C$4))</f>
        <v/>
      </c>
      <c r="P86" s="21" t="str">
        <f ca="1">IF(Calc!$AM86="","",SUBSTITUTE(SUBSTITUTE(TRIM(SUBSTITUTE($L86," ","~")&amp;" "&amp;SUBSTITUTE($M86," ","~")&amp;" "&amp;SUBSTITUTE($N86," ","~")&amp;" "&amp;SUBSTITUTE($O86," ","~"))," "," | "),"~"," "))</f>
        <v/>
      </c>
    </row>
    <row r="87" spans="1:16" x14ac:dyDescent="0.2">
      <c r="A87" s="19" t="str">
        <f ca="1">IF(Calc!$AM87="","",ROW()-5)</f>
        <v/>
      </c>
      <c r="B87" s="20" t="str">
        <f ca="1">IF(Calc!$AM87="","",INT(Calc!$AK87))</f>
        <v/>
      </c>
      <c r="C87" s="21" t="str">
        <f ca="1">IF(Calc!$AM87="","",IF($H87&lt;Setup!$C$5,"PAST DUE: milestone date has passed",IF($B87&lt;Setup!$C$5,"LATE: order today, ask about rush",IF($B87&lt;Setup!$C$5+14,"Order within 2 weeks","Scheduled"))))</f>
        <v/>
      </c>
      <c r="D87" s="21" t="str">
        <f ca="1">IF(Calc!$AM87="","",TEXT($B87,"mmmm yyyy"))</f>
        <v/>
      </c>
      <c r="E87" s="21" t="str">
        <f ca="1">IF(Calc!$AM87="","",INDEX(Roster!$A$6:$A$505,Calc!$AM87)&amp;"")</f>
        <v/>
      </c>
      <c r="F87" s="21" t="str">
        <f ca="1">IF(Calc!$AM87="","",INDEX(Roster!$C$6:$C$505,Calc!$AM87)&amp;"")</f>
        <v/>
      </c>
      <c r="G87" s="19" t="str">
        <f ca="1">IF(Calc!$AM87="","",INDEX(Setup!$C$20:$C$34,Calc!$AN87))</f>
        <v/>
      </c>
      <c r="H87" s="20" t="str">
        <f ca="1">IF(Calc!$AM87="","",INDEX(Calc!$B$6:$P$505,Calc!$AM87,Calc!$AN87))</f>
        <v/>
      </c>
      <c r="I87" s="21" t="str">
        <f ca="1">IF(Calc!$AM87="","",INDEX(Setup!$D$20:$D$34,Calc!$AN87)&amp;"")</f>
        <v/>
      </c>
      <c r="J87" s="21" t="str">
        <f ca="1">IF(Calc!$AM87="","",INDEX(Setup!$E$20:$E$34,Calc!$AN87)&amp;"")</f>
        <v/>
      </c>
      <c r="K87" s="23" t="str">
        <f ca="1">IF(Calc!$AM87="","",INDEX(Setup!$F$20:$F$34,Calc!$AN87))</f>
        <v/>
      </c>
      <c r="L87" s="21" t="str">
        <f ca="1">IF(Calc!$AM87="","",SUBSTITUTE(SUBSTITUTE(SUBSTITUTE(SUBSTITUTE(INDEX(Setup!$H$20:$H$34,Calc!$AN87)&amp;"","{name}",$E87),"{years}",$G87),"{date}",TEXT($H87,"mmmm d, yyyy")),"{company}",Setup!$C$4))</f>
        <v/>
      </c>
      <c r="M87" s="21" t="str">
        <f ca="1">IF(Calc!$AM87="","",SUBSTITUTE(SUBSTITUTE(SUBSTITUTE(SUBSTITUTE(INDEX(Setup!$I$20:$I$34,Calc!$AN87)&amp;"","{name}",$E87),"{years}",$G87),"{date}",TEXT($H87,"mmmm d, yyyy")),"{company}",Setup!$C$4))</f>
        <v/>
      </c>
      <c r="N87" s="21" t="str">
        <f ca="1">IF(Calc!$AM87="","",SUBSTITUTE(SUBSTITUTE(SUBSTITUTE(SUBSTITUTE(INDEX(Setup!$J$20:$J$34,Calc!$AN87)&amp;"","{name}",$E87),"{years}",$G87),"{date}",TEXT($H87,"mmmm d, yyyy")),"{company}",Setup!$C$4))</f>
        <v/>
      </c>
      <c r="O87" s="21" t="str">
        <f ca="1">IF(Calc!$AM87="","",SUBSTITUTE(SUBSTITUTE(SUBSTITUTE(SUBSTITUTE(INDEX(Setup!$K$20:$K$34,Calc!$AN87)&amp;"","{name}",$E87),"{years}",$G87),"{date}",TEXT($H87,"mmmm d, yyyy")),"{company}",Setup!$C$4))</f>
        <v/>
      </c>
      <c r="P87" s="21" t="str">
        <f ca="1">IF(Calc!$AM87="","",SUBSTITUTE(SUBSTITUTE(TRIM(SUBSTITUTE($L87," ","~")&amp;" "&amp;SUBSTITUTE($M87," ","~")&amp;" "&amp;SUBSTITUTE($N87," ","~")&amp;" "&amp;SUBSTITUTE($O87," ","~"))," "," | "),"~"," "))</f>
        <v/>
      </c>
    </row>
    <row r="88" spans="1:16" x14ac:dyDescent="0.2">
      <c r="A88" s="19" t="str">
        <f ca="1">IF(Calc!$AM88="","",ROW()-5)</f>
        <v/>
      </c>
      <c r="B88" s="20" t="str">
        <f ca="1">IF(Calc!$AM88="","",INT(Calc!$AK88))</f>
        <v/>
      </c>
      <c r="C88" s="21" t="str">
        <f ca="1">IF(Calc!$AM88="","",IF($H88&lt;Setup!$C$5,"PAST DUE: milestone date has passed",IF($B88&lt;Setup!$C$5,"LATE: order today, ask about rush",IF($B88&lt;Setup!$C$5+14,"Order within 2 weeks","Scheduled"))))</f>
        <v/>
      </c>
      <c r="D88" s="21" t="str">
        <f ca="1">IF(Calc!$AM88="","",TEXT($B88,"mmmm yyyy"))</f>
        <v/>
      </c>
      <c r="E88" s="21" t="str">
        <f ca="1">IF(Calc!$AM88="","",INDEX(Roster!$A$6:$A$505,Calc!$AM88)&amp;"")</f>
        <v/>
      </c>
      <c r="F88" s="21" t="str">
        <f ca="1">IF(Calc!$AM88="","",INDEX(Roster!$C$6:$C$505,Calc!$AM88)&amp;"")</f>
        <v/>
      </c>
      <c r="G88" s="19" t="str">
        <f ca="1">IF(Calc!$AM88="","",INDEX(Setup!$C$20:$C$34,Calc!$AN88))</f>
        <v/>
      </c>
      <c r="H88" s="20" t="str">
        <f ca="1">IF(Calc!$AM88="","",INDEX(Calc!$B$6:$P$505,Calc!$AM88,Calc!$AN88))</f>
        <v/>
      </c>
      <c r="I88" s="21" t="str">
        <f ca="1">IF(Calc!$AM88="","",INDEX(Setup!$D$20:$D$34,Calc!$AN88)&amp;"")</f>
        <v/>
      </c>
      <c r="J88" s="21" t="str">
        <f ca="1">IF(Calc!$AM88="","",INDEX(Setup!$E$20:$E$34,Calc!$AN88)&amp;"")</f>
        <v/>
      </c>
      <c r="K88" s="23" t="str">
        <f ca="1">IF(Calc!$AM88="","",INDEX(Setup!$F$20:$F$34,Calc!$AN88))</f>
        <v/>
      </c>
      <c r="L88" s="21" t="str">
        <f ca="1">IF(Calc!$AM88="","",SUBSTITUTE(SUBSTITUTE(SUBSTITUTE(SUBSTITUTE(INDEX(Setup!$H$20:$H$34,Calc!$AN88)&amp;"","{name}",$E88),"{years}",$G88),"{date}",TEXT($H88,"mmmm d, yyyy")),"{company}",Setup!$C$4))</f>
        <v/>
      </c>
      <c r="M88" s="21" t="str">
        <f ca="1">IF(Calc!$AM88="","",SUBSTITUTE(SUBSTITUTE(SUBSTITUTE(SUBSTITUTE(INDEX(Setup!$I$20:$I$34,Calc!$AN88)&amp;"","{name}",$E88),"{years}",$G88),"{date}",TEXT($H88,"mmmm d, yyyy")),"{company}",Setup!$C$4))</f>
        <v/>
      </c>
      <c r="N88" s="21" t="str">
        <f ca="1">IF(Calc!$AM88="","",SUBSTITUTE(SUBSTITUTE(SUBSTITUTE(SUBSTITUTE(INDEX(Setup!$J$20:$J$34,Calc!$AN88)&amp;"","{name}",$E88),"{years}",$G88),"{date}",TEXT($H88,"mmmm d, yyyy")),"{company}",Setup!$C$4))</f>
        <v/>
      </c>
      <c r="O88" s="21" t="str">
        <f ca="1">IF(Calc!$AM88="","",SUBSTITUTE(SUBSTITUTE(SUBSTITUTE(SUBSTITUTE(INDEX(Setup!$K$20:$K$34,Calc!$AN88)&amp;"","{name}",$E88),"{years}",$G88),"{date}",TEXT($H88,"mmmm d, yyyy")),"{company}",Setup!$C$4))</f>
        <v/>
      </c>
      <c r="P88" s="21" t="str">
        <f ca="1">IF(Calc!$AM88="","",SUBSTITUTE(SUBSTITUTE(TRIM(SUBSTITUTE($L88," ","~")&amp;" "&amp;SUBSTITUTE($M88," ","~")&amp;" "&amp;SUBSTITUTE($N88," ","~")&amp;" "&amp;SUBSTITUTE($O88," ","~"))," "," | "),"~"," "))</f>
        <v/>
      </c>
    </row>
    <row r="89" spans="1:16" x14ac:dyDescent="0.2">
      <c r="A89" s="19" t="str">
        <f ca="1">IF(Calc!$AM89="","",ROW()-5)</f>
        <v/>
      </c>
      <c r="B89" s="20" t="str">
        <f ca="1">IF(Calc!$AM89="","",INT(Calc!$AK89))</f>
        <v/>
      </c>
      <c r="C89" s="21" t="str">
        <f ca="1">IF(Calc!$AM89="","",IF($H89&lt;Setup!$C$5,"PAST DUE: milestone date has passed",IF($B89&lt;Setup!$C$5,"LATE: order today, ask about rush",IF($B89&lt;Setup!$C$5+14,"Order within 2 weeks","Scheduled"))))</f>
        <v/>
      </c>
      <c r="D89" s="21" t="str">
        <f ca="1">IF(Calc!$AM89="","",TEXT($B89,"mmmm yyyy"))</f>
        <v/>
      </c>
      <c r="E89" s="21" t="str">
        <f ca="1">IF(Calc!$AM89="","",INDEX(Roster!$A$6:$A$505,Calc!$AM89)&amp;"")</f>
        <v/>
      </c>
      <c r="F89" s="21" t="str">
        <f ca="1">IF(Calc!$AM89="","",INDEX(Roster!$C$6:$C$505,Calc!$AM89)&amp;"")</f>
        <v/>
      </c>
      <c r="G89" s="19" t="str">
        <f ca="1">IF(Calc!$AM89="","",INDEX(Setup!$C$20:$C$34,Calc!$AN89))</f>
        <v/>
      </c>
      <c r="H89" s="20" t="str">
        <f ca="1">IF(Calc!$AM89="","",INDEX(Calc!$B$6:$P$505,Calc!$AM89,Calc!$AN89))</f>
        <v/>
      </c>
      <c r="I89" s="21" t="str">
        <f ca="1">IF(Calc!$AM89="","",INDEX(Setup!$D$20:$D$34,Calc!$AN89)&amp;"")</f>
        <v/>
      </c>
      <c r="J89" s="21" t="str">
        <f ca="1">IF(Calc!$AM89="","",INDEX(Setup!$E$20:$E$34,Calc!$AN89)&amp;"")</f>
        <v/>
      </c>
      <c r="K89" s="23" t="str">
        <f ca="1">IF(Calc!$AM89="","",INDEX(Setup!$F$20:$F$34,Calc!$AN89))</f>
        <v/>
      </c>
      <c r="L89" s="21" t="str">
        <f ca="1">IF(Calc!$AM89="","",SUBSTITUTE(SUBSTITUTE(SUBSTITUTE(SUBSTITUTE(INDEX(Setup!$H$20:$H$34,Calc!$AN89)&amp;"","{name}",$E89),"{years}",$G89),"{date}",TEXT($H89,"mmmm d, yyyy")),"{company}",Setup!$C$4))</f>
        <v/>
      </c>
      <c r="M89" s="21" t="str">
        <f ca="1">IF(Calc!$AM89="","",SUBSTITUTE(SUBSTITUTE(SUBSTITUTE(SUBSTITUTE(INDEX(Setup!$I$20:$I$34,Calc!$AN89)&amp;"","{name}",$E89),"{years}",$G89),"{date}",TEXT($H89,"mmmm d, yyyy")),"{company}",Setup!$C$4))</f>
        <v/>
      </c>
      <c r="N89" s="21" t="str">
        <f ca="1">IF(Calc!$AM89="","",SUBSTITUTE(SUBSTITUTE(SUBSTITUTE(SUBSTITUTE(INDEX(Setup!$J$20:$J$34,Calc!$AN89)&amp;"","{name}",$E89),"{years}",$G89),"{date}",TEXT($H89,"mmmm d, yyyy")),"{company}",Setup!$C$4))</f>
        <v/>
      </c>
      <c r="O89" s="21" t="str">
        <f ca="1">IF(Calc!$AM89="","",SUBSTITUTE(SUBSTITUTE(SUBSTITUTE(SUBSTITUTE(INDEX(Setup!$K$20:$K$34,Calc!$AN89)&amp;"","{name}",$E89),"{years}",$G89),"{date}",TEXT($H89,"mmmm d, yyyy")),"{company}",Setup!$C$4))</f>
        <v/>
      </c>
      <c r="P89" s="21" t="str">
        <f ca="1">IF(Calc!$AM89="","",SUBSTITUTE(SUBSTITUTE(TRIM(SUBSTITUTE($L89," ","~")&amp;" "&amp;SUBSTITUTE($M89," ","~")&amp;" "&amp;SUBSTITUTE($N89," ","~")&amp;" "&amp;SUBSTITUTE($O89," ","~"))," "," | "),"~"," "))</f>
        <v/>
      </c>
    </row>
    <row r="90" spans="1:16" x14ac:dyDescent="0.2">
      <c r="A90" s="19" t="str">
        <f ca="1">IF(Calc!$AM90="","",ROW()-5)</f>
        <v/>
      </c>
      <c r="B90" s="20" t="str">
        <f ca="1">IF(Calc!$AM90="","",INT(Calc!$AK90))</f>
        <v/>
      </c>
      <c r="C90" s="21" t="str">
        <f ca="1">IF(Calc!$AM90="","",IF($H90&lt;Setup!$C$5,"PAST DUE: milestone date has passed",IF($B90&lt;Setup!$C$5,"LATE: order today, ask about rush",IF($B90&lt;Setup!$C$5+14,"Order within 2 weeks","Scheduled"))))</f>
        <v/>
      </c>
      <c r="D90" s="21" t="str">
        <f ca="1">IF(Calc!$AM90="","",TEXT($B90,"mmmm yyyy"))</f>
        <v/>
      </c>
      <c r="E90" s="21" t="str">
        <f ca="1">IF(Calc!$AM90="","",INDEX(Roster!$A$6:$A$505,Calc!$AM90)&amp;"")</f>
        <v/>
      </c>
      <c r="F90" s="21" t="str">
        <f ca="1">IF(Calc!$AM90="","",INDEX(Roster!$C$6:$C$505,Calc!$AM90)&amp;"")</f>
        <v/>
      </c>
      <c r="G90" s="19" t="str">
        <f ca="1">IF(Calc!$AM90="","",INDEX(Setup!$C$20:$C$34,Calc!$AN90))</f>
        <v/>
      </c>
      <c r="H90" s="20" t="str">
        <f ca="1">IF(Calc!$AM90="","",INDEX(Calc!$B$6:$P$505,Calc!$AM90,Calc!$AN90))</f>
        <v/>
      </c>
      <c r="I90" s="21" t="str">
        <f ca="1">IF(Calc!$AM90="","",INDEX(Setup!$D$20:$D$34,Calc!$AN90)&amp;"")</f>
        <v/>
      </c>
      <c r="J90" s="21" t="str">
        <f ca="1">IF(Calc!$AM90="","",INDEX(Setup!$E$20:$E$34,Calc!$AN90)&amp;"")</f>
        <v/>
      </c>
      <c r="K90" s="23" t="str">
        <f ca="1">IF(Calc!$AM90="","",INDEX(Setup!$F$20:$F$34,Calc!$AN90))</f>
        <v/>
      </c>
      <c r="L90" s="21" t="str">
        <f ca="1">IF(Calc!$AM90="","",SUBSTITUTE(SUBSTITUTE(SUBSTITUTE(SUBSTITUTE(INDEX(Setup!$H$20:$H$34,Calc!$AN90)&amp;"","{name}",$E90),"{years}",$G90),"{date}",TEXT($H90,"mmmm d, yyyy")),"{company}",Setup!$C$4))</f>
        <v/>
      </c>
      <c r="M90" s="21" t="str">
        <f ca="1">IF(Calc!$AM90="","",SUBSTITUTE(SUBSTITUTE(SUBSTITUTE(SUBSTITUTE(INDEX(Setup!$I$20:$I$34,Calc!$AN90)&amp;"","{name}",$E90),"{years}",$G90),"{date}",TEXT($H90,"mmmm d, yyyy")),"{company}",Setup!$C$4))</f>
        <v/>
      </c>
      <c r="N90" s="21" t="str">
        <f ca="1">IF(Calc!$AM90="","",SUBSTITUTE(SUBSTITUTE(SUBSTITUTE(SUBSTITUTE(INDEX(Setup!$J$20:$J$34,Calc!$AN90)&amp;"","{name}",$E90),"{years}",$G90),"{date}",TEXT($H90,"mmmm d, yyyy")),"{company}",Setup!$C$4))</f>
        <v/>
      </c>
      <c r="O90" s="21" t="str">
        <f ca="1">IF(Calc!$AM90="","",SUBSTITUTE(SUBSTITUTE(SUBSTITUTE(SUBSTITUTE(INDEX(Setup!$K$20:$K$34,Calc!$AN90)&amp;"","{name}",$E90),"{years}",$G90),"{date}",TEXT($H90,"mmmm d, yyyy")),"{company}",Setup!$C$4))</f>
        <v/>
      </c>
      <c r="P90" s="21" t="str">
        <f ca="1">IF(Calc!$AM90="","",SUBSTITUTE(SUBSTITUTE(TRIM(SUBSTITUTE($L90," ","~")&amp;" "&amp;SUBSTITUTE($M90," ","~")&amp;" "&amp;SUBSTITUTE($N90," ","~")&amp;" "&amp;SUBSTITUTE($O90," ","~"))," "," | "),"~"," "))</f>
        <v/>
      </c>
    </row>
    <row r="91" spans="1:16" x14ac:dyDescent="0.2">
      <c r="A91" s="19" t="str">
        <f ca="1">IF(Calc!$AM91="","",ROW()-5)</f>
        <v/>
      </c>
      <c r="B91" s="20" t="str">
        <f ca="1">IF(Calc!$AM91="","",INT(Calc!$AK91))</f>
        <v/>
      </c>
      <c r="C91" s="21" t="str">
        <f ca="1">IF(Calc!$AM91="","",IF($H91&lt;Setup!$C$5,"PAST DUE: milestone date has passed",IF($B91&lt;Setup!$C$5,"LATE: order today, ask about rush",IF($B91&lt;Setup!$C$5+14,"Order within 2 weeks","Scheduled"))))</f>
        <v/>
      </c>
      <c r="D91" s="21" t="str">
        <f ca="1">IF(Calc!$AM91="","",TEXT($B91,"mmmm yyyy"))</f>
        <v/>
      </c>
      <c r="E91" s="21" t="str">
        <f ca="1">IF(Calc!$AM91="","",INDEX(Roster!$A$6:$A$505,Calc!$AM91)&amp;"")</f>
        <v/>
      </c>
      <c r="F91" s="21" t="str">
        <f ca="1">IF(Calc!$AM91="","",INDEX(Roster!$C$6:$C$505,Calc!$AM91)&amp;"")</f>
        <v/>
      </c>
      <c r="G91" s="19" t="str">
        <f ca="1">IF(Calc!$AM91="","",INDEX(Setup!$C$20:$C$34,Calc!$AN91))</f>
        <v/>
      </c>
      <c r="H91" s="20" t="str">
        <f ca="1">IF(Calc!$AM91="","",INDEX(Calc!$B$6:$P$505,Calc!$AM91,Calc!$AN91))</f>
        <v/>
      </c>
      <c r="I91" s="21" t="str">
        <f ca="1">IF(Calc!$AM91="","",INDEX(Setup!$D$20:$D$34,Calc!$AN91)&amp;"")</f>
        <v/>
      </c>
      <c r="J91" s="21" t="str">
        <f ca="1">IF(Calc!$AM91="","",INDEX(Setup!$E$20:$E$34,Calc!$AN91)&amp;"")</f>
        <v/>
      </c>
      <c r="K91" s="23" t="str">
        <f ca="1">IF(Calc!$AM91="","",INDEX(Setup!$F$20:$F$34,Calc!$AN91))</f>
        <v/>
      </c>
      <c r="L91" s="21" t="str">
        <f ca="1">IF(Calc!$AM91="","",SUBSTITUTE(SUBSTITUTE(SUBSTITUTE(SUBSTITUTE(INDEX(Setup!$H$20:$H$34,Calc!$AN91)&amp;"","{name}",$E91),"{years}",$G91),"{date}",TEXT($H91,"mmmm d, yyyy")),"{company}",Setup!$C$4))</f>
        <v/>
      </c>
      <c r="M91" s="21" t="str">
        <f ca="1">IF(Calc!$AM91="","",SUBSTITUTE(SUBSTITUTE(SUBSTITUTE(SUBSTITUTE(INDEX(Setup!$I$20:$I$34,Calc!$AN91)&amp;"","{name}",$E91),"{years}",$G91),"{date}",TEXT($H91,"mmmm d, yyyy")),"{company}",Setup!$C$4))</f>
        <v/>
      </c>
      <c r="N91" s="21" t="str">
        <f ca="1">IF(Calc!$AM91="","",SUBSTITUTE(SUBSTITUTE(SUBSTITUTE(SUBSTITUTE(INDEX(Setup!$J$20:$J$34,Calc!$AN91)&amp;"","{name}",$E91),"{years}",$G91),"{date}",TEXT($H91,"mmmm d, yyyy")),"{company}",Setup!$C$4))</f>
        <v/>
      </c>
      <c r="O91" s="21" t="str">
        <f ca="1">IF(Calc!$AM91="","",SUBSTITUTE(SUBSTITUTE(SUBSTITUTE(SUBSTITUTE(INDEX(Setup!$K$20:$K$34,Calc!$AN91)&amp;"","{name}",$E91),"{years}",$G91),"{date}",TEXT($H91,"mmmm d, yyyy")),"{company}",Setup!$C$4))</f>
        <v/>
      </c>
      <c r="P91" s="21" t="str">
        <f ca="1">IF(Calc!$AM91="","",SUBSTITUTE(SUBSTITUTE(TRIM(SUBSTITUTE($L91," ","~")&amp;" "&amp;SUBSTITUTE($M91," ","~")&amp;" "&amp;SUBSTITUTE($N91," ","~")&amp;" "&amp;SUBSTITUTE($O91," ","~"))," "," | "),"~"," "))</f>
        <v/>
      </c>
    </row>
    <row r="92" spans="1:16" x14ac:dyDescent="0.2">
      <c r="A92" s="19" t="str">
        <f ca="1">IF(Calc!$AM92="","",ROW()-5)</f>
        <v/>
      </c>
      <c r="B92" s="20" t="str">
        <f ca="1">IF(Calc!$AM92="","",INT(Calc!$AK92))</f>
        <v/>
      </c>
      <c r="C92" s="21" t="str">
        <f ca="1">IF(Calc!$AM92="","",IF($H92&lt;Setup!$C$5,"PAST DUE: milestone date has passed",IF($B92&lt;Setup!$C$5,"LATE: order today, ask about rush",IF($B92&lt;Setup!$C$5+14,"Order within 2 weeks","Scheduled"))))</f>
        <v/>
      </c>
      <c r="D92" s="21" t="str">
        <f ca="1">IF(Calc!$AM92="","",TEXT($B92,"mmmm yyyy"))</f>
        <v/>
      </c>
      <c r="E92" s="21" t="str">
        <f ca="1">IF(Calc!$AM92="","",INDEX(Roster!$A$6:$A$505,Calc!$AM92)&amp;"")</f>
        <v/>
      </c>
      <c r="F92" s="21" t="str">
        <f ca="1">IF(Calc!$AM92="","",INDEX(Roster!$C$6:$C$505,Calc!$AM92)&amp;"")</f>
        <v/>
      </c>
      <c r="G92" s="19" t="str">
        <f ca="1">IF(Calc!$AM92="","",INDEX(Setup!$C$20:$C$34,Calc!$AN92))</f>
        <v/>
      </c>
      <c r="H92" s="20" t="str">
        <f ca="1">IF(Calc!$AM92="","",INDEX(Calc!$B$6:$P$505,Calc!$AM92,Calc!$AN92))</f>
        <v/>
      </c>
      <c r="I92" s="21" t="str">
        <f ca="1">IF(Calc!$AM92="","",INDEX(Setup!$D$20:$D$34,Calc!$AN92)&amp;"")</f>
        <v/>
      </c>
      <c r="J92" s="21" t="str">
        <f ca="1">IF(Calc!$AM92="","",INDEX(Setup!$E$20:$E$34,Calc!$AN92)&amp;"")</f>
        <v/>
      </c>
      <c r="K92" s="23" t="str">
        <f ca="1">IF(Calc!$AM92="","",INDEX(Setup!$F$20:$F$34,Calc!$AN92))</f>
        <v/>
      </c>
      <c r="L92" s="21" t="str">
        <f ca="1">IF(Calc!$AM92="","",SUBSTITUTE(SUBSTITUTE(SUBSTITUTE(SUBSTITUTE(INDEX(Setup!$H$20:$H$34,Calc!$AN92)&amp;"","{name}",$E92),"{years}",$G92),"{date}",TEXT($H92,"mmmm d, yyyy")),"{company}",Setup!$C$4))</f>
        <v/>
      </c>
      <c r="M92" s="21" t="str">
        <f ca="1">IF(Calc!$AM92="","",SUBSTITUTE(SUBSTITUTE(SUBSTITUTE(SUBSTITUTE(INDEX(Setup!$I$20:$I$34,Calc!$AN92)&amp;"","{name}",$E92),"{years}",$G92),"{date}",TEXT($H92,"mmmm d, yyyy")),"{company}",Setup!$C$4))</f>
        <v/>
      </c>
      <c r="N92" s="21" t="str">
        <f ca="1">IF(Calc!$AM92="","",SUBSTITUTE(SUBSTITUTE(SUBSTITUTE(SUBSTITUTE(INDEX(Setup!$J$20:$J$34,Calc!$AN92)&amp;"","{name}",$E92),"{years}",$G92),"{date}",TEXT($H92,"mmmm d, yyyy")),"{company}",Setup!$C$4))</f>
        <v/>
      </c>
      <c r="O92" s="21" t="str">
        <f ca="1">IF(Calc!$AM92="","",SUBSTITUTE(SUBSTITUTE(SUBSTITUTE(SUBSTITUTE(INDEX(Setup!$K$20:$K$34,Calc!$AN92)&amp;"","{name}",$E92),"{years}",$G92),"{date}",TEXT($H92,"mmmm d, yyyy")),"{company}",Setup!$C$4))</f>
        <v/>
      </c>
      <c r="P92" s="21" t="str">
        <f ca="1">IF(Calc!$AM92="","",SUBSTITUTE(SUBSTITUTE(TRIM(SUBSTITUTE($L92," ","~")&amp;" "&amp;SUBSTITUTE($M92," ","~")&amp;" "&amp;SUBSTITUTE($N92," ","~")&amp;" "&amp;SUBSTITUTE($O92," ","~"))," "," | "),"~"," "))</f>
        <v/>
      </c>
    </row>
    <row r="93" spans="1:16" x14ac:dyDescent="0.2">
      <c r="A93" s="19" t="str">
        <f ca="1">IF(Calc!$AM93="","",ROW()-5)</f>
        <v/>
      </c>
      <c r="B93" s="20" t="str">
        <f ca="1">IF(Calc!$AM93="","",INT(Calc!$AK93))</f>
        <v/>
      </c>
      <c r="C93" s="21" t="str">
        <f ca="1">IF(Calc!$AM93="","",IF($H93&lt;Setup!$C$5,"PAST DUE: milestone date has passed",IF($B93&lt;Setup!$C$5,"LATE: order today, ask about rush",IF($B93&lt;Setup!$C$5+14,"Order within 2 weeks","Scheduled"))))</f>
        <v/>
      </c>
      <c r="D93" s="21" t="str">
        <f ca="1">IF(Calc!$AM93="","",TEXT($B93,"mmmm yyyy"))</f>
        <v/>
      </c>
      <c r="E93" s="21" t="str">
        <f ca="1">IF(Calc!$AM93="","",INDEX(Roster!$A$6:$A$505,Calc!$AM93)&amp;"")</f>
        <v/>
      </c>
      <c r="F93" s="21" t="str">
        <f ca="1">IF(Calc!$AM93="","",INDEX(Roster!$C$6:$C$505,Calc!$AM93)&amp;"")</f>
        <v/>
      </c>
      <c r="G93" s="19" t="str">
        <f ca="1">IF(Calc!$AM93="","",INDEX(Setup!$C$20:$C$34,Calc!$AN93))</f>
        <v/>
      </c>
      <c r="H93" s="20" t="str">
        <f ca="1">IF(Calc!$AM93="","",INDEX(Calc!$B$6:$P$505,Calc!$AM93,Calc!$AN93))</f>
        <v/>
      </c>
      <c r="I93" s="21" t="str">
        <f ca="1">IF(Calc!$AM93="","",INDEX(Setup!$D$20:$D$34,Calc!$AN93)&amp;"")</f>
        <v/>
      </c>
      <c r="J93" s="21" t="str">
        <f ca="1">IF(Calc!$AM93="","",INDEX(Setup!$E$20:$E$34,Calc!$AN93)&amp;"")</f>
        <v/>
      </c>
      <c r="K93" s="23" t="str">
        <f ca="1">IF(Calc!$AM93="","",INDEX(Setup!$F$20:$F$34,Calc!$AN93))</f>
        <v/>
      </c>
      <c r="L93" s="21" t="str">
        <f ca="1">IF(Calc!$AM93="","",SUBSTITUTE(SUBSTITUTE(SUBSTITUTE(SUBSTITUTE(INDEX(Setup!$H$20:$H$34,Calc!$AN93)&amp;"","{name}",$E93),"{years}",$G93),"{date}",TEXT($H93,"mmmm d, yyyy")),"{company}",Setup!$C$4))</f>
        <v/>
      </c>
      <c r="M93" s="21" t="str">
        <f ca="1">IF(Calc!$AM93="","",SUBSTITUTE(SUBSTITUTE(SUBSTITUTE(SUBSTITUTE(INDEX(Setup!$I$20:$I$34,Calc!$AN93)&amp;"","{name}",$E93),"{years}",$G93),"{date}",TEXT($H93,"mmmm d, yyyy")),"{company}",Setup!$C$4))</f>
        <v/>
      </c>
      <c r="N93" s="21" t="str">
        <f ca="1">IF(Calc!$AM93="","",SUBSTITUTE(SUBSTITUTE(SUBSTITUTE(SUBSTITUTE(INDEX(Setup!$J$20:$J$34,Calc!$AN93)&amp;"","{name}",$E93),"{years}",$G93),"{date}",TEXT($H93,"mmmm d, yyyy")),"{company}",Setup!$C$4))</f>
        <v/>
      </c>
      <c r="O93" s="21" t="str">
        <f ca="1">IF(Calc!$AM93="","",SUBSTITUTE(SUBSTITUTE(SUBSTITUTE(SUBSTITUTE(INDEX(Setup!$K$20:$K$34,Calc!$AN93)&amp;"","{name}",$E93),"{years}",$G93),"{date}",TEXT($H93,"mmmm d, yyyy")),"{company}",Setup!$C$4))</f>
        <v/>
      </c>
      <c r="P93" s="21" t="str">
        <f ca="1">IF(Calc!$AM93="","",SUBSTITUTE(SUBSTITUTE(TRIM(SUBSTITUTE($L93," ","~")&amp;" "&amp;SUBSTITUTE($M93," ","~")&amp;" "&amp;SUBSTITUTE($N93," ","~")&amp;" "&amp;SUBSTITUTE($O93," ","~"))," "," | "),"~"," "))</f>
        <v/>
      </c>
    </row>
    <row r="94" spans="1:16" x14ac:dyDescent="0.2">
      <c r="A94" s="19" t="str">
        <f ca="1">IF(Calc!$AM94="","",ROW()-5)</f>
        <v/>
      </c>
      <c r="B94" s="20" t="str">
        <f ca="1">IF(Calc!$AM94="","",INT(Calc!$AK94))</f>
        <v/>
      </c>
      <c r="C94" s="21" t="str">
        <f ca="1">IF(Calc!$AM94="","",IF($H94&lt;Setup!$C$5,"PAST DUE: milestone date has passed",IF($B94&lt;Setup!$C$5,"LATE: order today, ask about rush",IF($B94&lt;Setup!$C$5+14,"Order within 2 weeks","Scheduled"))))</f>
        <v/>
      </c>
      <c r="D94" s="21" t="str">
        <f ca="1">IF(Calc!$AM94="","",TEXT($B94,"mmmm yyyy"))</f>
        <v/>
      </c>
      <c r="E94" s="21" t="str">
        <f ca="1">IF(Calc!$AM94="","",INDEX(Roster!$A$6:$A$505,Calc!$AM94)&amp;"")</f>
        <v/>
      </c>
      <c r="F94" s="21" t="str">
        <f ca="1">IF(Calc!$AM94="","",INDEX(Roster!$C$6:$C$505,Calc!$AM94)&amp;"")</f>
        <v/>
      </c>
      <c r="G94" s="19" t="str">
        <f ca="1">IF(Calc!$AM94="","",INDEX(Setup!$C$20:$C$34,Calc!$AN94))</f>
        <v/>
      </c>
      <c r="H94" s="20" t="str">
        <f ca="1">IF(Calc!$AM94="","",INDEX(Calc!$B$6:$P$505,Calc!$AM94,Calc!$AN94))</f>
        <v/>
      </c>
      <c r="I94" s="21" t="str">
        <f ca="1">IF(Calc!$AM94="","",INDEX(Setup!$D$20:$D$34,Calc!$AN94)&amp;"")</f>
        <v/>
      </c>
      <c r="J94" s="21" t="str">
        <f ca="1">IF(Calc!$AM94="","",INDEX(Setup!$E$20:$E$34,Calc!$AN94)&amp;"")</f>
        <v/>
      </c>
      <c r="K94" s="23" t="str">
        <f ca="1">IF(Calc!$AM94="","",INDEX(Setup!$F$20:$F$34,Calc!$AN94))</f>
        <v/>
      </c>
      <c r="L94" s="21" t="str">
        <f ca="1">IF(Calc!$AM94="","",SUBSTITUTE(SUBSTITUTE(SUBSTITUTE(SUBSTITUTE(INDEX(Setup!$H$20:$H$34,Calc!$AN94)&amp;"","{name}",$E94),"{years}",$G94),"{date}",TEXT($H94,"mmmm d, yyyy")),"{company}",Setup!$C$4))</f>
        <v/>
      </c>
      <c r="M94" s="21" t="str">
        <f ca="1">IF(Calc!$AM94="","",SUBSTITUTE(SUBSTITUTE(SUBSTITUTE(SUBSTITUTE(INDEX(Setup!$I$20:$I$34,Calc!$AN94)&amp;"","{name}",$E94),"{years}",$G94),"{date}",TEXT($H94,"mmmm d, yyyy")),"{company}",Setup!$C$4))</f>
        <v/>
      </c>
      <c r="N94" s="21" t="str">
        <f ca="1">IF(Calc!$AM94="","",SUBSTITUTE(SUBSTITUTE(SUBSTITUTE(SUBSTITUTE(INDEX(Setup!$J$20:$J$34,Calc!$AN94)&amp;"","{name}",$E94),"{years}",$G94),"{date}",TEXT($H94,"mmmm d, yyyy")),"{company}",Setup!$C$4))</f>
        <v/>
      </c>
      <c r="O94" s="21" t="str">
        <f ca="1">IF(Calc!$AM94="","",SUBSTITUTE(SUBSTITUTE(SUBSTITUTE(SUBSTITUTE(INDEX(Setup!$K$20:$K$34,Calc!$AN94)&amp;"","{name}",$E94),"{years}",$G94),"{date}",TEXT($H94,"mmmm d, yyyy")),"{company}",Setup!$C$4))</f>
        <v/>
      </c>
      <c r="P94" s="21" t="str">
        <f ca="1">IF(Calc!$AM94="","",SUBSTITUTE(SUBSTITUTE(TRIM(SUBSTITUTE($L94," ","~")&amp;" "&amp;SUBSTITUTE($M94," ","~")&amp;" "&amp;SUBSTITUTE($N94," ","~")&amp;" "&amp;SUBSTITUTE($O94," ","~"))," "," | "),"~"," "))</f>
        <v/>
      </c>
    </row>
    <row r="95" spans="1:16" x14ac:dyDescent="0.2">
      <c r="A95" s="19" t="str">
        <f ca="1">IF(Calc!$AM95="","",ROW()-5)</f>
        <v/>
      </c>
      <c r="B95" s="20" t="str">
        <f ca="1">IF(Calc!$AM95="","",INT(Calc!$AK95))</f>
        <v/>
      </c>
      <c r="C95" s="21" t="str">
        <f ca="1">IF(Calc!$AM95="","",IF($H95&lt;Setup!$C$5,"PAST DUE: milestone date has passed",IF($B95&lt;Setup!$C$5,"LATE: order today, ask about rush",IF($B95&lt;Setup!$C$5+14,"Order within 2 weeks","Scheduled"))))</f>
        <v/>
      </c>
      <c r="D95" s="21" t="str">
        <f ca="1">IF(Calc!$AM95="","",TEXT($B95,"mmmm yyyy"))</f>
        <v/>
      </c>
      <c r="E95" s="21" t="str">
        <f ca="1">IF(Calc!$AM95="","",INDEX(Roster!$A$6:$A$505,Calc!$AM95)&amp;"")</f>
        <v/>
      </c>
      <c r="F95" s="21" t="str">
        <f ca="1">IF(Calc!$AM95="","",INDEX(Roster!$C$6:$C$505,Calc!$AM95)&amp;"")</f>
        <v/>
      </c>
      <c r="G95" s="19" t="str">
        <f ca="1">IF(Calc!$AM95="","",INDEX(Setup!$C$20:$C$34,Calc!$AN95))</f>
        <v/>
      </c>
      <c r="H95" s="20" t="str">
        <f ca="1">IF(Calc!$AM95="","",INDEX(Calc!$B$6:$P$505,Calc!$AM95,Calc!$AN95))</f>
        <v/>
      </c>
      <c r="I95" s="21" t="str">
        <f ca="1">IF(Calc!$AM95="","",INDEX(Setup!$D$20:$D$34,Calc!$AN95)&amp;"")</f>
        <v/>
      </c>
      <c r="J95" s="21" t="str">
        <f ca="1">IF(Calc!$AM95="","",INDEX(Setup!$E$20:$E$34,Calc!$AN95)&amp;"")</f>
        <v/>
      </c>
      <c r="K95" s="23" t="str">
        <f ca="1">IF(Calc!$AM95="","",INDEX(Setup!$F$20:$F$34,Calc!$AN95))</f>
        <v/>
      </c>
      <c r="L95" s="21" t="str">
        <f ca="1">IF(Calc!$AM95="","",SUBSTITUTE(SUBSTITUTE(SUBSTITUTE(SUBSTITUTE(INDEX(Setup!$H$20:$H$34,Calc!$AN95)&amp;"","{name}",$E95),"{years}",$G95),"{date}",TEXT($H95,"mmmm d, yyyy")),"{company}",Setup!$C$4))</f>
        <v/>
      </c>
      <c r="M95" s="21" t="str">
        <f ca="1">IF(Calc!$AM95="","",SUBSTITUTE(SUBSTITUTE(SUBSTITUTE(SUBSTITUTE(INDEX(Setup!$I$20:$I$34,Calc!$AN95)&amp;"","{name}",$E95),"{years}",$G95),"{date}",TEXT($H95,"mmmm d, yyyy")),"{company}",Setup!$C$4))</f>
        <v/>
      </c>
      <c r="N95" s="21" t="str">
        <f ca="1">IF(Calc!$AM95="","",SUBSTITUTE(SUBSTITUTE(SUBSTITUTE(SUBSTITUTE(INDEX(Setup!$J$20:$J$34,Calc!$AN95)&amp;"","{name}",$E95),"{years}",$G95),"{date}",TEXT($H95,"mmmm d, yyyy")),"{company}",Setup!$C$4))</f>
        <v/>
      </c>
      <c r="O95" s="21" t="str">
        <f ca="1">IF(Calc!$AM95="","",SUBSTITUTE(SUBSTITUTE(SUBSTITUTE(SUBSTITUTE(INDEX(Setup!$K$20:$K$34,Calc!$AN95)&amp;"","{name}",$E95),"{years}",$G95),"{date}",TEXT($H95,"mmmm d, yyyy")),"{company}",Setup!$C$4))</f>
        <v/>
      </c>
      <c r="P95" s="21" t="str">
        <f ca="1">IF(Calc!$AM95="","",SUBSTITUTE(SUBSTITUTE(TRIM(SUBSTITUTE($L95," ","~")&amp;" "&amp;SUBSTITUTE($M95," ","~")&amp;" "&amp;SUBSTITUTE($N95," ","~")&amp;" "&amp;SUBSTITUTE($O95," ","~"))," "," | "),"~"," "))</f>
        <v/>
      </c>
    </row>
    <row r="96" spans="1:16" x14ac:dyDescent="0.2">
      <c r="A96" s="19" t="str">
        <f ca="1">IF(Calc!$AM96="","",ROW()-5)</f>
        <v/>
      </c>
      <c r="B96" s="20" t="str">
        <f ca="1">IF(Calc!$AM96="","",INT(Calc!$AK96))</f>
        <v/>
      </c>
      <c r="C96" s="21" t="str">
        <f ca="1">IF(Calc!$AM96="","",IF($H96&lt;Setup!$C$5,"PAST DUE: milestone date has passed",IF($B96&lt;Setup!$C$5,"LATE: order today, ask about rush",IF($B96&lt;Setup!$C$5+14,"Order within 2 weeks","Scheduled"))))</f>
        <v/>
      </c>
      <c r="D96" s="21" t="str">
        <f ca="1">IF(Calc!$AM96="","",TEXT($B96,"mmmm yyyy"))</f>
        <v/>
      </c>
      <c r="E96" s="21" t="str">
        <f ca="1">IF(Calc!$AM96="","",INDEX(Roster!$A$6:$A$505,Calc!$AM96)&amp;"")</f>
        <v/>
      </c>
      <c r="F96" s="21" t="str">
        <f ca="1">IF(Calc!$AM96="","",INDEX(Roster!$C$6:$C$505,Calc!$AM96)&amp;"")</f>
        <v/>
      </c>
      <c r="G96" s="19" t="str">
        <f ca="1">IF(Calc!$AM96="","",INDEX(Setup!$C$20:$C$34,Calc!$AN96))</f>
        <v/>
      </c>
      <c r="H96" s="20" t="str">
        <f ca="1">IF(Calc!$AM96="","",INDEX(Calc!$B$6:$P$505,Calc!$AM96,Calc!$AN96))</f>
        <v/>
      </c>
      <c r="I96" s="21" t="str">
        <f ca="1">IF(Calc!$AM96="","",INDEX(Setup!$D$20:$D$34,Calc!$AN96)&amp;"")</f>
        <v/>
      </c>
      <c r="J96" s="21" t="str">
        <f ca="1">IF(Calc!$AM96="","",INDEX(Setup!$E$20:$E$34,Calc!$AN96)&amp;"")</f>
        <v/>
      </c>
      <c r="K96" s="23" t="str">
        <f ca="1">IF(Calc!$AM96="","",INDEX(Setup!$F$20:$F$34,Calc!$AN96))</f>
        <v/>
      </c>
      <c r="L96" s="21" t="str">
        <f ca="1">IF(Calc!$AM96="","",SUBSTITUTE(SUBSTITUTE(SUBSTITUTE(SUBSTITUTE(INDEX(Setup!$H$20:$H$34,Calc!$AN96)&amp;"","{name}",$E96),"{years}",$G96),"{date}",TEXT($H96,"mmmm d, yyyy")),"{company}",Setup!$C$4))</f>
        <v/>
      </c>
      <c r="M96" s="21" t="str">
        <f ca="1">IF(Calc!$AM96="","",SUBSTITUTE(SUBSTITUTE(SUBSTITUTE(SUBSTITUTE(INDEX(Setup!$I$20:$I$34,Calc!$AN96)&amp;"","{name}",$E96),"{years}",$G96),"{date}",TEXT($H96,"mmmm d, yyyy")),"{company}",Setup!$C$4))</f>
        <v/>
      </c>
      <c r="N96" s="21" t="str">
        <f ca="1">IF(Calc!$AM96="","",SUBSTITUTE(SUBSTITUTE(SUBSTITUTE(SUBSTITUTE(INDEX(Setup!$J$20:$J$34,Calc!$AN96)&amp;"","{name}",$E96),"{years}",$G96),"{date}",TEXT($H96,"mmmm d, yyyy")),"{company}",Setup!$C$4))</f>
        <v/>
      </c>
      <c r="O96" s="21" t="str">
        <f ca="1">IF(Calc!$AM96="","",SUBSTITUTE(SUBSTITUTE(SUBSTITUTE(SUBSTITUTE(INDEX(Setup!$K$20:$K$34,Calc!$AN96)&amp;"","{name}",$E96),"{years}",$G96),"{date}",TEXT($H96,"mmmm d, yyyy")),"{company}",Setup!$C$4))</f>
        <v/>
      </c>
      <c r="P96" s="21" t="str">
        <f ca="1">IF(Calc!$AM96="","",SUBSTITUTE(SUBSTITUTE(TRIM(SUBSTITUTE($L96," ","~")&amp;" "&amp;SUBSTITUTE($M96," ","~")&amp;" "&amp;SUBSTITUTE($N96," ","~")&amp;" "&amp;SUBSTITUTE($O96," ","~"))," "," | "),"~"," "))</f>
        <v/>
      </c>
    </row>
    <row r="97" spans="1:16" x14ac:dyDescent="0.2">
      <c r="A97" s="19" t="str">
        <f ca="1">IF(Calc!$AM97="","",ROW()-5)</f>
        <v/>
      </c>
      <c r="B97" s="20" t="str">
        <f ca="1">IF(Calc!$AM97="","",INT(Calc!$AK97))</f>
        <v/>
      </c>
      <c r="C97" s="21" t="str">
        <f ca="1">IF(Calc!$AM97="","",IF($H97&lt;Setup!$C$5,"PAST DUE: milestone date has passed",IF($B97&lt;Setup!$C$5,"LATE: order today, ask about rush",IF($B97&lt;Setup!$C$5+14,"Order within 2 weeks","Scheduled"))))</f>
        <v/>
      </c>
      <c r="D97" s="21" t="str">
        <f ca="1">IF(Calc!$AM97="","",TEXT($B97,"mmmm yyyy"))</f>
        <v/>
      </c>
      <c r="E97" s="21" t="str">
        <f ca="1">IF(Calc!$AM97="","",INDEX(Roster!$A$6:$A$505,Calc!$AM97)&amp;"")</f>
        <v/>
      </c>
      <c r="F97" s="21" t="str">
        <f ca="1">IF(Calc!$AM97="","",INDEX(Roster!$C$6:$C$505,Calc!$AM97)&amp;"")</f>
        <v/>
      </c>
      <c r="G97" s="19" t="str">
        <f ca="1">IF(Calc!$AM97="","",INDEX(Setup!$C$20:$C$34,Calc!$AN97))</f>
        <v/>
      </c>
      <c r="H97" s="20" t="str">
        <f ca="1">IF(Calc!$AM97="","",INDEX(Calc!$B$6:$P$505,Calc!$AM97,Calc!$AN97))</f>
        <v/>
      </c>
      <c r="I97" s="21" t="str">
        <f ca="1">IF(Calc!$AM97="","",INDEX(Setup!$D$20:$D$34,Calc!$AN97)&amp;"")</f>
        <v/>
      </c>
      <c r="J97" s="21" t="str">
        <f ca="1">IF(Calc!$AM97="","",INDEX(Setup!$E$20:$E$34,Calc!$AN97)&amp;"")</f>
        <v/>
      </c>
      <c r="K97" s="23" t="str">
        <f ca="1">IF(Calc!$AM97="","",INDEX(Setup!$F$20:$F$34,Calc!$AN97))</f>
        <v/>
      </c>
      <c r="L97" s="21" t="str">
        <f ca="1">IF(Calc!$AM97="","",SUBSTITUTE(SUBSTITUTE(SUBSTITUTE(SUBSTITUTE(INDEX(Setup!$H$20:$H$34,Calc!$AN97)&amp;"","{name}",$E97),"{years}",$G97),"{date}",TEXT($H97,"mmmm d, yyyy")),"{company}",Setup!$C$4))</f>
        <v/>
      </c>
      <c r="M97" s="21" t="str">
        <f ca="1">IF(Calc!$AM97="","",SUBSTITUTE(SUBSTITUTE(SUBSTITUTE(SUBSTITUTE(INDEX(Setup!$I$20:$I$34,Calc!$AN97)&amp;"","{name}",$E97),"{years}",$G97),"{date}",TEXT($H97,"mmmm d, yyyy")),"{company}",Setup!$C$4))</f>
        <v/>
      </c>
      <c r="N97" s="21" t="str">
        <f ca="1">IF(Calc!$AM97="","",SUBSTITUTE(SUBSTITUTE(SUBSTITUTE(SUBSTITUTE(INDEX(Setup!$J$20:$J$34,Calc!$AN97)&amp;"","{name}",$E97),"{years}",$G97),"{date}",TEXT($H97,"mmmm d, yyyy")),"{company}",Setup!$C$4))</f>
        <v/>
      </c>
      <c r="O97" s="21" t="str">
        <f ca="1">IF(Calc!$AM97="","",SUBSTITUTE(SUBSTITUTE(SUBSTITUTE(SUBSTITUTE(INDEX(Setup!$K$20:$K$34,Calc!$AN97)&amp;"","{name}",$E97),"{years}",$G97),"{date}",TEXT($H97,"mmmm d, yyyy")),"{company}",Setup!$C$4))</f>
        <v/>
      </c>
      <c r="P97" s="21" t="str">
        <f ca="1">IF(Calc!$AM97="","",SUBSTITUTE(SUBSTITUTE(TRIM(SUBSTITUTE($L97," ","~")&amp;" "&amp;SUBSTITUTE($M97," ","~")&amp;" "&amp;SUBSTITUTE($N97," ","~")&amp;" "&amp;SUBSTITUTE($O97," ","~"))," "," | "),"~"," "))</f>
        <v/>
      </c>
    </row>
    <row r="98" spans="1:16" x14ac:dyDescent="0.2">
      <c r="A98" s="19" t="str">
        <f ca="1">IF(Calc!$AM98="","",ROW()-5)</f>
        <v/>
      </c>
      <c r="B98" s="20" t="str">
        <f ca="1">IF(Calc!$AM98="","",INT(Calc!$AK98))</f>
        <v/>
      </c>
      <c r="C98" s="21" t="str">
        <f ca="1">IF(Calc!$AM98="","",IF($H98&lt;Setup!$C$5,"PAST DUE: milestone date has passed",IF($B98&lt;Setup!$C$5,"LATE: order today, ask about rush",IF($B98&lt;Setup!$C$5+14,"Order within 2 weeks","Scheduled"))))</f>
        <v/>
      </c>
      <c r="D98" s="21" t="str">
        <f ca="1">IF(Calc!$AM98="","",TEXT($B98,"mmmm yyyy"))</f>
        <v/>
      </c>
      <c r="E98" s="21" t="str">
        <f ca="1">IF(Calc!$AM98="","",INDEX(Roster!$A$6:$A$505,Calc!$AM98)&amp;"")</f>
        <v/>
      </c>
      <c r="F98" s="21" t="str">
        <f ca="1">IF(Calc!$AM98="","",INDEX(Roster!$C$6:$C$505,Calc!$AM98)&amp;"")</f>
        <v/>
      </c>
      <c r="G98" s="19" t="str">
        <f ca="1">IF(Calc!$AM98="","",INDEX(Setup!$C$20:$C$34,Calc!$AN98))</f>
        <v/>
      </c>
      <c r="H98" s="20" t="str">
        <f ca="1">IF(Calc!$AM98="","",INDEX(Calc!$B$6:$P$505,Calc!$AM98,Calc!$AN98))</f>
        <v/>
      </c>
      <c r="I98" s="21" t="str">
        <f ca="1">IF(Calc!$AM98="","",INDEX(Setup!$D$20:$D$34,Calc!$AN98)&amp;"")</f>
        <v/>
      </c>
      <c r="J98" s="21" t="str">
        <f ca="1">IF(Calc!$AM98="","",INDEX(Setup!$E$20:$E$34,Calc!$AN98)&amp;"")</f>
        <v/>
      </c>
      <c r="K98" s="23" t="str">
        <f ca="1">IF(Calc!$AM98="","",INDEX(Setup!$F$20:$F$34,Calc!$AN98))</f>
        <v/>
      </c>
      <c r="L98" s="21" t="str">
        <f ca="1">IF(Calc!$AM98="","",SUBSTITUTE(SUBSTITUTE(SUBSTITUTE(SUBSTITUTE(INDEX(Setup!$H$20:$H$34,Calc!$AN98)&amp;"","{name}",$E98),"{years}",$G98),"{date}",TEXT($H98,"mmmm d, yyyy")),"{company}",Setup!$C$4))</f>
        <v/>
      </c>
      <c r="M98" s="21" t="str">
        <f ca="1">IF(Calc!$AM98="","",SUBSTITUTE(SUBSTITUTE(SUBSTITUTE(SUBSTITUTE(INDEX(Setup!$I$20:$I$34,Calc!$AN98)&amp;"","{name}",$E98),"{years}",$G98),"{date}",TEXT($H98,"mmmm d, yyyy")),"{company}",Setup!$C$4))</f>
        <v/>
      </c>
      <c r="N98" s="21" t="str">
        <f ca="1">IF(Calc!$AM98="","",SUBSTITUTE(SUBSTITUTE(SUBSTITUTE(SUBSTITUTE(INDEX(Setup!$J$20:$J$34,Calc!$AN98)&amp;"","{name}",$E98),"{years}",$G98),"{date}",TEXT($H98,"mmmm d, yyyy")),"{company}",Setup!$C$4))</f>
        <v/>
      </c>
      <c r="O98" s="21" t="str">
        <f ca="1">IF(Calc!$AM98="","",SUBSTITUTE(SUBSTITUTE(SUBSTITUTE(SUBSTITUTE(INDEX(Setup!$K$20:$K$34,Calc!$AN98)&amp;"","{name}",$E98),"{years}",$G98),"{date}",TEXT($H98,"mmmm d, yyyy")),"{company}",Setup!$C$4))</f>
        <v/>
      </c>
      <c r="P98" s="21" t="str">
        <f ca="1">IF(Calc!$AM98="","",SUBSTITUTE(SUBSTITUTE(TRIM(SUBSTITUTE($L98," ","~")&amp;" "&amp;SUBSTITUTE($M98," ","~")&amp;" "&amp;SUBSTITUTE($N98," ","~")&amp;" "&amp;SUBSTITUTE($O98," ","~"))," "," | "),"~"," "))</f>
        <v/>
      </c>
    </row>
    <row r="99" spans="1:16" x14ac:dyDescent="0.2">
      <c r="A99" s="19" t="str">
        <f ca="1">IF(Calc!$AM99="","",ROW()-5)</f>
        <v/>
      </c>
      <c r="B99" s="20" t="str">
        <f ca="1">IF(Calc!$AM99="","",INT(Calc!$AK99))</f>
        <v/>
      </c>
      <c r="C99" s="21" t="str">
        <f ca="1">IF(Calc!$AM99="","",IF($H99&lt;Setup!$C$5,"PAST DUE: milestone date has passed",IF($B99&lt;Setup!$C$5,"LATE: order today, ask about rush",IF($B99&lt;Setup!$C$5+14,"Order within 2 weeks","Scheduled"))))</f>
        <v/>
      </c>
      <c r="D99" s="21" t="str">
        <f ca="1">IF(Calc!$AM99="","",TEXT($B99,"mmmm yyyy"))</f>
        <v/>
      </c>
      <c r="E99" s="21" t="str">
        <f ca="1">IF(Calc!$AM99="","",INDEX(Roster!$A$6:$A$505,Calc!$AM99)&amp;"")</f>
        <v/>
      </c>
      <c r="F99" s="21" t="str">
        <f ca="1">IF(Calc!$AM99="","",INDEX(Roster!$C$6:$C$505,Calc!$AM99)&amp;"")</f>
        <v/>
      </c>
      <c r="G99" s="19" t="str">
        <f ca="1">IF(Calc!$AM99="","",INDEX(Setup!$C$20:$C$34,Calc!$AN99))</f>
        <v/>
      </c>
      <c r="H99" s="20" t="str">
        <f ca="1">IF(Calc!$AM99="","",INDEX(Calc!$B$6:$P$505,Calc!$AM99,Calc!$AN99))</f>
        <v/>
      </c>
      <c r="I99" s="21" t="str">
        <f ca="1">IF(Calc!$AM99="","",INDEX(Setup!$D$20:$D$34,Calc!$AN99)&amp;"")</f>
        <v/>
      </c>
      <c r="J99" s="21" t="str">
        <f ca="1">IF(Calc!$AM99="","",INDEX(Setup!$E$20:$E$34,Calc!$AN99)&amp;"")</f>
        <v/>
      </c>
      <c r="K99" s="23" t="str">
        <f ca="1">IF(Calc!$AM99="","",INDEX(Setup!$F$20:$F$34,Calc!$AN99))</f>
        <v/>
      </c>
      <c r="L99" s="21" t="str">
        <f ca="1">IF(Calc!$AM99="","",SUBSTITUTE(SUBSTITUTE(SUBSTITUTE(SUBSTITUTE(INDEX(Setup!$H$20:$H$34,Calc!$AN99)&amp;"","{name}",$E99),"{years}",$G99),"{date}",TEXT($H99,"mmmm d, yyyy")),"{company}",Setup!$C$4))</f>
        <v/>
      </c>
      <c r="M99" s="21" t="str">
        <f ca="1">IF(Calc!$AM99="","",SUBSTITUTE(SUBSTITUTE(SUBSTITUTE(SUBSTITUTE(INDEX(Setup!$I$20:$I$34,Calc!$AN99)&amp;"","{name}",$E99),"{years}",$G99),"{date}",TEXT($H99,"mmmm d, yyyy")),"{company}",Setup!$C$4))</f>
        <v/>
      </c>
      <c r="N99" s="21" t="str">
        <f ca="1">IF(Calc!$AM99="","",SUBSTITUTE(SUBSTITUTE(SUBSTITUTE(SUBSTITUTE(INDEX(Setup!$J$20:$J$34,Calc!$AN99)&amp;"","{name}",$E99),"{years}",$G99),"{date}",TEXT($H99,"mmmm d, yyyy")),"{company}",Setup!$C$4))</f>
        <v/>
      </c>
      <c r="O99" s="21" t="str">
        <f ca="1">IF(Calc!$AM99="","",SUBSTITUTE(SUBSTITUTE(SUBSTITUTE(SUBSTITUTE(INDEX(Setup!$K$20:$K$34,Calc!$AN99)&amp;"","{name}",$E99),"{years}",$G99),"{date}",TEXT($H99,"mmmm d, yyyy")),"{company}",Setup!$C$4))</f>
        <v/>
      </c>
      <c r="P99" s="21" t="str">
        <f ca="1">IF(Calc!$AM99="","",SUBSTITUTE(SUBSTITUTE(TRIM(SUBSTITUTE($L99," ","~")&amp;" "&amp;SUBSTITUTE($M99," ","~")&amp;" "&amp;SUBSTITUTE($N99," ","~")&amp;" "&amp;SUBSTITUTE($O99," ","~"))," "," | "),"~"," "))</f>
        <v/>
      </c>
    </row>
    <row r="100" spans="1:16" x14ac:dyDescent="0.2">
      <c r="A100" s="19" t="str">
        <f ca="1">IF(Calc!$AM100="","",ROW()-5)</f>
        <v/>
      </c>
      <c r="B100" s="20" t="str">
        <f ca="1">IF(Calc!$AM100="","",INT(Calc!$AK100))</f>
        <v/>
      </c>
      <c r="C100" s="21" t="str">
        <f ca="1">IF(Calc!$AM100="","",IF($H100&lt;Setup!$C$5,"PAST DUE: milestone date has passed",IF($B100&lt;Setup!$C$5,"LATE: order today, ask about rush",IF($B100&lt;Setup!$C$5+14,"Order within 2 weeks","Scheduled"))))</f>
        <v/>
      </c>
      <c r="D100" s="21" t="str">
        <f ca="1">IF(Calc!$AM100="","",TEXT($B100,"mmmm yyyy"))</f>
        <v/>
      </c>
      <c r="E100" s="21" t="str">
        <f ca="1">IF(Calc!$AM100="","",INDEX(Roster!$A$6:$A$505,Calc!$AM100)&amp;"")</f>
        <v/>
      </c>
      <c r="F100" s="21" t="str">
        <f ca="1">IF(Calc!$AM100="","",INDEX(Roster!$C$6:$C$505,Calc!$AM100)&amp;"")</f>
        <v/>
      </c>
      <c r="G100" s="19" t="str">
        <f ca="1">IF(Calc!$AM100="","",INDEX(Setup!$C$20:$C$34,Calc!$AN100))</f>
        <v/>
      </c>
      <c r="H100" s="20" t="str">
        <f ca="1">IF(Calc!$AM100="","",INDEX(Calc!$B$6:$P$505,Calc!$AM100,Calc!$AN100))</f>
        <v/>
      </c>
      <c r="I100" s="21" t="str">
        <f ca="1">IF(Calc!$AM100="","",INDEX(Setup!$D$20:$D$34,Calc!$AN100)&amp;"")</f>
        <v/>
      </c>
      <c r="J100" s="21" t="str">
        <f ca="1">IF(Calc!$AM100="","",INDEX(Setup!$E$20:$E$34,Calc!$AN100)&amp;"")</f>
        <v/>
      </c>
      <c r="K100" s="23" t="str">
        <f ca="1">IF(Calc!$AM100="","",INDEX(Setup!$F$20:$F$34,Calc!$AN100))</f>
        <v/>
      </c>
      <c r="L100" s="21" t="str">
        <f ca="1">IF(Calc!$AM100="","",SUBSTITUTE(SUBSTITUTE(SUBSTITUTE(SUBSTITUTE(INDEX(Setup!$H$20:$H$34,Calc!$AN100)&amp;"","{name}",$E100),"{years}",$G100),"{date}",TEXT($H100,"mmmm d, yyyy")),"{company}",Setup!$C$4))</f>
        <v/>
      </c>
      <c r="M100" s="21" t="str">
        <f ca="1">IF(Calc!$AM100="","",SUBSTITUTE(SUBSTITUTE(SUBSTITUTE(SUBSTITUTE(INDEX(Setup!$I$20:$I$34,Calc!$AN100)&amp;"","{name}",$E100),"{years}",$G100),"{date}",TEXT($H100,"mmmm d, yyyy")),"{company}",Setup!$C$4))</f>
        <v/>
      </c>
      <c r="N100" s="21" t="str">
        <f ca="1">IF(Calc!$AM100="","",SUBSTITUTE(SUBSTITUTE(SUBSTITUTE(SUBSTITUTE(INDEX(Setup!$J$20:$J$34,Calc!$AN100)&amp;"","{name}",$E100),"{years}",$G100),"{date}",TEXT($H100,"mmmm d, yyyy")),"{company}",Setup!$C$4))</f>
        <v/>
      </c>
      <c r="O100" s="21" t="str">
        <f ca="1">IF(Calc!$AM100="","",SUBSTITUTE(SUBSTITUTE(SUBSTITUTE(SUBSTITUTE(INDEX(Setup!$K$20:$K$34,Calc!$AN100)&amp;"","{name}",$E100),"{years}",$G100),"{date}",TEXT($H100,"mmmm d, yyyy")),"{company}",Setup!$C$4))</f>
        <v/>
      </c>
      <c r="P100" s="21" t="str">
        <f ca="1">IF(Calc!$AM100="","",SUBSTITUTE(SUBSTITUTE(TRIM(SUBSTITUTE($L100," ","~")&amp;" "&amp;SUBSTITUTE($M100," ","~")&amp;" "&amp;SUBSTITUTE($N100," ","~")&amp;" "&amp;SUBSTITUTE($O100," ","~"))," "," | "),"~"," "))</f>
        <v/>
      </c>
    </row>
    <row r="101" spans="1:16" x14ac:dyDescent="0.2">
      <c r="A101" s="19" t="str">
        <f ca="1">IF(Calc!$AM101="","",ROW()-5)</f>
        <v/>
      </c>
      <c r="B101" s="20" t="str">
        <f ca="1">IF(Calc!$AM101="","",INT(Calc!$AK101))</f>
        <v/>
      </c>
      <c r="C101" s="21" t="str">
        <f ca="1">IF(Calc!$AM101="","",IF($H101&lt;Setup!$C$5,"PAST DUE: milestone date has passed",IF($B101&lt;Setup!$C$5,"LATE: order today, ask about rush",IF($B101&lt;Setup!$C$5+14,"Order within 2 weeks","Scheduled"))))</f>
        <v/>
      </c>
      <c r="D101" s="21" t="str">
        <f ca="1">IF(Calc!$AM101="","",TEXT($B101,"mmmm yyyy"))</f>
        <v/>
      </c>
      <c r="E101" s="21" t="str">
        <f ca="1">IF(Calc!$AM101="","",INDEX(Roster!$A$6:$A$505,Calc!$AM101)&amp;"")</f>
        <v/>
      </c>
      <c r="F101" s="21" t="str">
        <f ca="1">IF(Calc!$AM101="","",INDEX(Roster!$C$6:$C$505,Calc!$AM101)&amp;"")</f>
        <v/>
      </c>
      <c r="G101" s="19" t="str">
        <f ca="1">IF(Calc!$AM101="","",INDEX(Setup!$C$20:$C$34,Calc!$AN101))</f>
        <v/>
      </c>
      <c r="H101" s="20" t="str">
        <f ca="1">IF(Calc!$AM101="","",INDEX(Calc!$B$6:$P$505,Calc!$AM101,Calc!$AN101))</f>
        <v/>
      </c>
      <c r="I101" s="21" t="str">
        <f ca="1">IF(Calc!$AM101="","",INDEX(Setup!$D$20:$D$34,Calc!$AN101)&amp;"")</f>
        <v/>
      </c>
      <c r="J101" s="21" t="str">
        <f ca="1">IF(Calc!$AM101="","",INDEX(Setup!$E$20:$E$34,Calc!$AN101)&amp;"")</f>
        <v/>
      </c>
      <c r="K101" s="23" t="str">
        <f ca="1">IF(Calc!$AM101="","",INDEX(Setup!$F$20:$F$34,Calc!$AN101))</f>
        <v/>
      </c>
      <c r="L101" s="21" t="str">
        <f ca="1">IF(Calc!$AM101="","",SUBSTITUTE(SUBSTITUTE(SUBSTITUTE(SUBSTITUTE(INDEX(Setup!$H$20:$H$34,Calc!$AN101)&amp;"","{name}",$E101),"{years}",$G101),"{date}",TEXT($H101,"mmmm d, yyyy")),"{company}",Setup!$C$4))</f>
        <v/>
      </c>
      <c r="M101" s="21" t="str">
        <f ca="1">IF(Calc!$AM101="","",SUBSTITUTE(SUBSTITUTE(SUBSTITUTE(SUBSTITUTE(INDEX(Setup!$I$20:$I$34,Calc!$AN101)&amp;"","{name}",$E101),"{years}",$G101),"{date}",TEXT($H101,"mmmm d, yyyy")),"{company}",Setup!$C$4))</f>
        <v/>
      </c>
      <c r="N101" s="21" t="str">
        <f ca="1">IF(Calc!$AM101="","",SUBSTITUTE(SUBSTITUTE(SUBSTITUTE(SUBSTITUTE(INDEX(Setup!$J$20:$J$34,Calc!$AN101)&amp;"","{name}",$E101),"{years}",$G101),"{date}",TEXT($H101,"mmmm d, yyyy")),"{company}",Setup!$C$4))</f>
        <v/>
      </c>
      <c r="O101" s="21" t="str">
        <f ca="1">IF(Calc!$AM101="","",SUBSTITUTE(SUBSTITUTE(SUBSTITUTE(SUBSTITUTE(INDEX(Setup!$K$20:$K$34,Calc!$AN101)&amp;"","{name}",$E101),"{years}",$G101),"{date}",TEXT($H101,"mmmm d, yyyy")),"{company}",Setup!$C$4))</f>
        <v/>
      </c>
      <c r="P101" s="21" t="str">
        <f ca="1">IF(Calc!$AM101="","",SUBSTITUTE(SUBSTITUTE(TRIM(SUBSTITUTE($L101," ","~")&amp;" "&amp;SUBSTITUTE($M101," ","~")&amp;" "&amp;SUBSTITUTE($N101," ","~")&amp;" "&amp;SUBSTITUTE($O101," ","~"))," "," | "),"~"," "))</f>
        <v/>
      </c>
    </row>
    <row r="102" spans="1:16" x14ac:dyDescent="0.2">
      <c r="A102" s="19" t="str">
        <f ca="1">IF(Calc!$AM102="","",ROW()-5)</f>
        <v/>
      </c>
      <c r="B102" s="20" t="str">
        <f ca="1">IF(Calc!$AM102="","",INT(Calc!$AK102))</f>
        <v/>
      </c>
      <c r="C102" s="21" t="str">
        <f ca="1">IF(Calc!$AM102="","",IF($H102&lt;Setup!$C$5,"PAST DUE: milestone date has passed",IF($B102&lt;Setup!$C$5,"LATE: order today, ask about rush",IF($B102&lt;Setup!$C$5+14,"Order within 2 weeks","Scheduled"))))</f>
        <v/>
      </c>
      <c r="D102" s="21" t="str">
        <f ca="1">IF(Calc!$AM102="","",TEXT($B102,"mmmm yyyy"))</f>
        <v/>
      </c>
      <c r="E102" s="21" t="str">
        <f ca="1">IF(Calc!$AM102="","",INDEX(Roster!$A$6:$A$505,Calc!$AM102)&amp;"")</f>
        <v/>
      </c>
      <c r="F102" s="21" t="str">
        <f ca="1">IF(Calc!$AM102="","",INDEX(Roster!$C$6:$C$505,Calc!$AM102)&amp;"")</f>
        <v/>
      </c>
      <c r="G102" s="19" t="str">
        <f ca="1">IF(Calc!$AM102="","",INDEX(Setup!$C$20:$C$34,Calc!$AN102))</f>
        <v/>
      </c>
      <c r="H102" s="20" t="str">
        <f ca="1">IF(Calc!$AM102="","",INDEX(Calc!$B$6:$P$505,Calc!$AM102,Calc!$AN102))</f>
        <v/>
      </c>
      <c r="I102" s="21" t="str">
        <f ca="1">IF(Calc!$AM102="","",INDEX(Setup!$D$20:$D$34,Calc!$AN102)&amp;"")</f>
        <v/>
      </c>
      <c r="J102" s="21" t="str">
        <f ca="1">IF(Calc!$AM102="","",INDEX(Setup!$E$20:$E$34,Calc!$AN102)&amp;"")</f>
        <v/>
      </c>
      <c r="K102" s="23" t="str">
        <f ca="1">IF(Calc!$AM102="","",INDEX(Setup!$F$20:$F$34,Calc!$AN102))</f>
        <v/>
      </c>
      <c r="L102" s="21" t="str">
        <f ca="1">IF(Calc!$AM102="","",SUBSTITUTE(SUBSTITUTE(SUBSTITUTE(SUBSTITUTE(INDEX(Setup!$H$20:$H$34,Calc!$AN102)&amp;"","{name}",$E102),"{years}",$G102),"{date}",TEXT($H102,"mmmm d, yyyy")),"{company}",Setup!$C$4))</f>
        <v/>
      </c>
      <c r="M102" s="21" t="str">
        <f ca="1">IF(Calc!$AM102="","",SUBSTITUTE(SUBSTITUTE(SUBSTITUTE(SUBSTITUTE(INDEX(Setup!$I$20:$I$34,Calc!$AN102)&amp;"","{name}",$E102),"{years}",$G102),"{date}",TEXT($H102,"mmmm d, yyyy")),"{company}",Setup!$C$4))</f>
        <v/>
      </c>
      <c r="N102" s="21" t="str">
        <f ca="1">IF(Calc!$AM102="","",SUBSTITUTE(SUBSTITUTE(SUBSTITUTE(SUBSTITUTE(INDEX(Setup!$J$20:$J$34,Calc!$AN102)&amp;"","{name}",$E102),"{years}",$G102),"{date}",TEXT($H102,"mmmm d, yyyy")),"{company}",Setup!$C$4))</f>
        <v/>
      </c>
      <c r="O102" s="21" t="str">
        <f ca="1">IF(Calc!$AM102="","",SUBSTITUTE(SUBSTITUTE(SUBSTITUTE(SUBSTITUTE(INDEX(Setup!$K$20:$K$34,Calc!$AN102)&amp;"","{name}",$E102),"{years}",$G102),"{date}",TEXT($H102,"mmmm d, yyyy")),"{company}",Setup!$C$4))</f>
        <v/>
      </c>
      <c r="P102" s="21" t="str">
        <f ca="1">IF(Calc!$AM102="","",SUBSTITUTE(SUBSTITUTE(TRIM(SUBSTITUTE($L102," ","~")&amp;" "&amp;SUBSTITUTE($M102," ","~")&amp;" "&amp;SUBSTITUTE($N102," ","~")&amp;" "&amp;SUBSTITUTE($O102," ","~"))," "," | "),"~"," "))</f>
        <v/>
      </c>
    </row>
    <row r="103" spans="1:16" x14ac:dyDescent="0.2">
      <c r="A103" s="19" t="str">
        <f ca="1">IF(Calc!$AM103="","",ROW()-5)</f>
        <v/>
      </c>
      <c r="B103" s="20" t="str">
        <f ca="1">IF(Calc!$AM103="","",INT(Calc!$AK103))</f>
        <v/>
      </c>
      <c r="C103" s="21" t="str">
        <f ca="1">IF(Calc!$AM103="","",IF($H103&lt;Setup!$C$5,"PAST DUE: milestone date has passed",IF($B103&lt;Setup!$C$5,"LATE: order today, ask about rush",IF($B103&lt;Setup!$C$5+14,"Order within 2 weeks","Scheduled"))))</f>
        <v/>
      </c>
      <c r="D103" s="21" t="str">
        <f ca="1">IF(Calc!$AM103="","",TEXT($B103,"mmmm yyyy"))</f>
        <v/>
      </c>
      <c r="E103" s="21" t="str">
        <f ca="1">IF(Calc!$AM103="","",INDEX(Roster!$A$6:$A$505,Calc!$AM103)&amp;"")</f>
        <v/>
      </c>
      <c r="F103" s="21" t="str">
        <f ca="1">IF(Calc!$AM103="","",INDEX(Roster!$C$6:$C$505,Calc!$AM103)&amp;"")</f>
        <v/>
      </c>
      <c r="G103" s="19" t="str">
        <f ca="1">IF(Calc!$AM103="","",INDEX(Setup!$C$20:$C$34,Calc!$AN103))</f>
        <v/>
      </c>
      <c r="H103" s="20" t="str">
        <f ca="1">IF(Calc!$AM103="","",INDEX(Calc!$B$6:$P$505,Calc!$AM103,Calc!$AN103))</f>
        <v/>
      </c>
      <c r="I103" s="21" t="str">
        <f ca="1">IF(Calc!$AM103="","",INDEX(Setup!$D$20:$D$34,Calc!$AN103)&amp;"")</f>
        <v/>
      </c>
      <c r="J103" s="21" t="str">
        <f ca="1">IF(Calc!$AM103="","",INDEX(Setup!$E$20:$E$34,Calc!$AN103)&amp;"")</f>
        <v/>
      </c>
      <c r="K103" s="23" t="str">
        <f ca="1">IF(Calc!$AM103="","",INDEX(Setup!$F$20:$F$34,Calc!$AN103))</f>
        <v/>
      </c>
      <c r="L103" s="21" t="str">
        <f ca="1">IF(Calc!$AM103="","",SUBSTITUTE(SUBSTITUTE(SUBSTITUTE(SUBSTITUTE(INDEX(Setup!$H$20:$H$34,Calc!$AN103)&amp;"","{name}",$E103),"{years}",$G103),"{date}",TEXT($H103,"mmmm d, yyyy")),"{company}",Setup!$C$4))</f>
        <v/>
      </c>
      <c r="M103" s="21" t="str">
        <f ca="1">IF(Calc!$AM103="","",SUBSTITUTE(SUBSTITUTE(SUBSTITUTE(SUBSTITUTE(INDEX(Setup!$I$20:$I$34,Calc!$AN103)&amp;"","{name}",$E103),"{years}",$G103),"{date}",TEXT($H103,"mmmm d, yyyy")),"{company}",Setup!$C$4))</f>
        <v/>
      </c>
      <c r="N103" s="21" t="str">
        <f ca="1">IF(Calc!$AM103="","",SUBSTITUTE(SUBSTITUTE(SUBSTITUTE(SUBSTITUTE(INDEX(Setup!$J$20:$J$34,Calc!$AN103)&amp;"","{name}",$E103),"{years}",$G103),"{date}",TEXT($H103,"mmmm d, yyyy")),"{company}",Setup!$C$4))</f>
        <v/>
      </c>
      <c r="O103" s="21" t="str">
        <f ca="1">IF(Calc!$AM103="","",SUBSTITUTE(SUBSTITUTE(SUBSTITUTE(SUBSTITUTE(INDEX(Setup!$K$20:$K$34,Calc!$AN103)&amp;"","{name}",$E103),"{years}",$G103),"{date}",TEXT($H103,"mmmm d, yyyy")),"{company}",Setup!$C$4))</f>
        <v/>
      </c>
      <c r="P103" s="21" t="str">
        <f ca="1">IF(Calc!$AM103="","",SUBSTITUTE(SUBSTITUTE(TRIM(SUBSTITUTE($L103," ","~")&amp;" "&amp;SUBSTITUTE($M103," ","~")&amp;" "&amp;SUBSTITUTE($N103," ","~")&amp;" "&amp;SUBSTITUTE($O103," ","~"))," "," | "),"~"," "))</f>
        <v/>
      </c>
    </row>
    <row r="104" spans="1:16" x14ac:dyDescent="0.2">
      <c r="A104" s="19" t="str">
        <f ca="1">IF(Calc!$AM104="","",ROW()-5)</f>
        <v/>
      </c>
      <c r="B104" s="20" t="str">
        <f ca="1">IF(Calc!$AM104="","",INT(Calc!$AK104))</f>
        <v/>
      </c>
      <c r="C104" s="21" t="str">
        <f ca="1">IF(Calc!$AM104="","",IF($H104&lt;Setup!$C$5,"PAST DUE: milestone date has passed",IF($B104&lt;Setup!$C$5,"LATE: order today, ask about rush",IF($B104&lt;Setup!$C$5+14,"Order within 2 weeks","Scheduled"))))</f>
        <v/>
      </c>
      <c r="D104" s="21" t="str">
        <f ca="1">IF(Calc!$AM104="","",TEXT($B104,"mmmm yyyy"))</f>
        <v/>
      </c>
      <c r="E104" s="21" t="str">
        <f ca="1">IF(Calc!$AM104="","",INDEX(Roster!$A$6:$A$505,Calc!$AM104)&amp;"")</f>
        <v/>
      </c>
      <c r="F104" s="21" t="str">
        <f ca="1">IF(Calc!$AM104="","",INDEX(Roster!$C$6:$C$505,Calc!$AM104)&amp;"")</f>
        <v/>
      </c>
      <c r="G104" s="19" t="str">
        <f ca="1">IF(Calc!$AM104="","",INDEX(Setup!$C$20:$C$34,Calc!$AN104))</f>
        <v/>
      </c>
      <c r="H104" s="20" t="str">
        <f ca="1">IF(Calc!$AM104="","",INDEX(Calc!$B$6:$P$505,Calc!$AM104,Calc!$AN104))</f>
        <v/>
      </c>
      <c r="I104" s="21" t="str">
        <f ca="1">IF(Calc!$AM104="","",INDEX(Setup!$D$20:$D$34,Calc!$AN104)&amp;"")</f>
        <v/>
      </c>
      <c r="J104" s="21" t="str">
        <f ca="1">IF(Calc!$AM104="","",INDEX(Setup!$E$20:$E$34,Calc!$AN104)&amp;"")</f>
        <v/>
      </c>
      <c r="K104" s="23" t="str">
        <f ca="1">IF(Calc!$AM104="","",INDEX(Setup!$F$20:$F$34,Calc!$AN104))</f>
        <v/>
      </c>
      <c r="L104" s="21" t="str">
        <f ca="1">IF(Calc!$AM104="","",SUBSTITUTE(SUBSTITUTE(SUBSTITUTE(SUBSTITUTE(INDEX(Setup!$H$20:$H$34,Calc!$AN104)&amp;"","{name}",$E104),"{years}",$G104),"{date}",TEXT($H104,"mmmm d, yyyy")),"{company}",Setup!$C$4))</f>
        <v/>
      </c>
      <c r="M104" s="21" t="str">
        <f ca="1">IF(Calc!$AM104="","",SUBSTITUTE(SUBSTITUTE(SUBSTITUTE(SUBSTITUTE(INDEX(Setup!$I$20:$I$34,Calc!$AN104)&amp;"","{name}",$E104),"{years}",$G104),"{date}",TEXT($H104,"mmmm d, yyyy")),"{company}",Setup!$C$4))</f>
        <v/>
      </c>
      <c r="N104" s="21" t="str">
        <f ca="1">IF(Calc!$AM104="","",SUBSTITUTE(SUBSTITUTE(SUBSTITUTE(SUBSTITUTE(INDEX(Setup!$J$20:$J$34,Calc!$AN104)&amp;"","{name}",$E104),"{years}",$G104),"{date}",TEXT($H104,"mmmm d, yyyy")),"{company}",Setup!$C$4))</f>
        <v/>
      </c>
      <c r="O104" s="21" t="str">
        <f ca="1">IF(Calc!$AM104="","",SUBSTITUTE(SUBSTITUTE(SUBSTITUTE(SUBSTITUTE(INDEX(Setup!$K$20:$K$34,Calc!$AN104)&amp;"","{name}",$E104),"{years}",$G104),"{date}",TEXT($H104,"mmmm d, yyyy")),"{company}",Setup!$C$4))</f>
        <v/>
      </c>
      <c r="P104" s="21" t="str">
        <f ca="1">IF(Calc!$AM104="","",SUBSTITUTE(SUBSTITUTE(TRIM(SUBSTITUTE($L104," ","~")&amp;" "&amp;SUBSTITUTE($M104," ","~")&amp;" "&amp;SUBSTITUTE($N104," ","~")&amp;" "&amp;SUBSTITUTE($O104," ","~"))," "," | "),"~"," "))</f>
        <v/>
      </c>
    </row>
    <row r="105" spans="1:16" x14ac:dyDescent="0.2">
      <c r="A105" s="19" t="str">
        <f ca="1">IF(Calc!$AM105="","",ROW()-5)</f>
        <v/>
      </c>
      <c r="B105" s="20" t="str">
        <f ca="1">IF(Calc!$AM105="","",INT(Calc!$AK105))</f>
        <v/>
      </c>
      <c r="C105" s="21" t="str">
        <f ca="1">IF(Calc!$AM105="","",IF($H105&lt;Setup!$C$5,"PAST DUE: milestone date has passed",IF($B105&lt;Setup!$C$5,"LATE: order today, ask about rush",IF($B105&lt;Setup!$C$5+14,"Order within 2 weeks","Scheduled"))))</f>
        <v/>
      </c>
      <c r="D105" s="21" t="str">
        <f ca="1">IF(Calc!$AM105="","",TEXT($B105,"mmmm yyyy"))</f>
        <v/>
      </c>
      <c r="E105" s="21" t="str">
        <f ca="1">IF(Calc!$AM105="","",INDEX(Roster!$A$6:$A$505,Calc!$AM105)&amp;"")</f>
        <v/>
      </c>
      <c r="F105" s="21" t="str">
        <f ca="1">IF(Calc!$AM105="","",INDEX(Roster!$C$6:$C$505,Calc!$AM105)&amp;"")</f>
        <v/>
      </c>
      <c r="G105" s="19" t="str">
        <f ca="1">IF(Calc!$AM105="","",INDEX(Setup!$C$20:$C$34,Calc!$AN105))</f>
        <v/>
      </c>
      <c r="H105" s="20" t="str">
        <f ca="1">IF(Calc!$AM105="","",INDEX(Calc!$B$6:$P$505,Calc!$AM105,Calc!$AN105))</f>
        <v/>
      </c>
      <c r="I105" s="21" t="str">
        <f ca="1">IF(Calc!$AM105="","",INDEX(Setup!$D$20:$D$34,Calc!$AN105)&amp;"")</f>
        <v/>
      </c>
      <c r="J105" s="21" t="str">
        <f ca="1">IF(Calc!$AM105="","",INDEX(Setup!$E$20:$E$34,Calc!$AN105)&amp;"")</f>
        <v/>
      </c>
      <c r="K105" s="23" t="str">
        <f ca="1">IF(Calc!$AM105="","",INDEX(Setup!$F$20:$F$34,Calc!$AN105))</f>
        <v/>
      </c>
      <c r="L105" s="21" t="str">
        <f ca="1">IF(Calc!$AM105="","",SUBSTITUTE(SUBSTITUTE(SUBSTITUTE(SUBSTITUTE(INDEX(Setup!$H$20:$H$34,Calc!$AN105)&amp;"","{name}",$E105),"{years}",$G105),"{date}",TEXT($H105,"mmmm d, yyyy")),"{company}",Setup!$C$4))</f>
        <v/>
      </c>
      <c r="M105" s="21" t="str">
        <f ca="1">IF(Calc!$AM105="","",SUBSTITUTE(SUBSTITUTE(SUBSTITUTE(SUBSTITUTE(INDEX(Setup!$I$20:$I$34,Calc!$AN105)&amp;"","{name}",$E105),"{years}",$G105),"{date}",TEXT($H105,"mmmm d, yyyy")),"{company}",Setup!$C$4))</f>
        <v/>
      </c>
      <c r="N105" s="21" t="str">
        <f ca="1">IF(Calc!$AM105="","",SUBSTITUTE(SUBSTITUTE(SUBSTITUTE(SUBSTITUTE(INDEX(Setup!$J$20:$J$34,Calc!$AN105)&amp;"","{name}",$E105),"{years}",$G105),"{date}",TEXT($H105,"mmmm d, yyyy")),"{company}",Setup!$C$4))</f>
        <v/>
      </c>
      <c r="O105" s="21" t="str">
        <f ca="1">IF(Calc!$AM105="","",SUBSTITUTE(SUBSTITUTE(SUBSTITUTE(SUBSTITUTE(INDEX(Setup!$K$20:$K$34,Calc!$AN105)&amp;"","{name}",$E105),"{years}",$G105),"{date}",TEXT($H105,"mmmm d, yyyy")),"{company}",Setup!$C$4))</f>
        <v/>
      </c>
      <c r="P105" s="21" t="str">
        <f ca="1">IF(Calc!$AM105="","",SUBSTITUTE(SUBSTITUTE(TRIM(SUBSTITUTE($L105," ","~")&amp;" "&amp;SUBSTITUTE($M105," ","~")&amp;" "&amp;SUBSTITUTE($N105," ","~")&amp;" "&amp;SUBSTITUTE($O105," ","~"))," "," | "),"~"," "))</f>
        <v/>
      </c>
    </row>
    <row r="106" spans="1:16" x14ac:dyDescent="0.2">
      <c r="A106" s="19" t="str">
        <f ca="1">IF(Calc!$AM106="","",ROW()-5)</f>
        <v/>
      </c>
      <c r="B106" s="20" t="str">
        <f ca="1">IF(Calc!$AM106="","",INT(Calc!$AK106))</f>
        <v/>
      </c>
      <c r="C106" s="21" t="str">
        <f ca="1">IF(Calc!$AM106="","",IF($H106&lt;Setup!$C$5,"PAST DUE: milestone date has passed",IF($B106&lt;Setup!$C$5,"LATE: order today, ask about rush",IF($B106&lt;Setup!$C$5+14,"Order within 2 weeks","Scheduled"))))</f>
        <v/>
      </c>
      <c r="D106" s="21" t="str">
        <f ca="1">IF(Calc!$AM106="","",TEXT($B106,"mmmm yyyy"))</f>
        <v/>
      </c>
      <c r="E106" s="21" t="str">
        <f ca="1">IF(Calc!$AM106="","",INDEX(Roster!$A$6:$A$505,Calc!$AM106)&amp;"")</f>
        <v/>
      </c>
      <c r="F106" s="21" t="str">
        <f ca="1">IF(Calc!$AM106="","",INDEX(Roster!$C$6:$C$505,Calc!$AM106)&amp;"")</f>
        <v/>
      </c>
      <c r="G106" s="19" t="str">
        <f ca="1">IF(Calc!$AM106="","",INDEX(Setup!$C$20:$C$34,Calc!$AN106))</f>
        <v/>
      </c>
      <c r="H106" s="20" t="str">
        <f ca="1">IF(Calc!$AM106="","",INDEX(Calc!$B$6:$P$505,Calc!$AM106,Calc!$AN106))</f>
        <v/>
      </c>
      <c r="I106" s="21" t="str">
        <f ca="1">IF(Calc!$AM106="","",INDEX(Setup!$D$20:$D$34,Calc!$AN106)&amp;"")</f>
        <v/>
      </c>
      <c r="J106" s="21" t="str">
        <f ca="1">IF(Calc!$AM106="","",INDEX(Setup!$E$20:$E$34,Calc!$AN106)&amp;"")</f>
        <v/>
      </c>
      <c r="K106" s="23" t="str">
        <f ca="1">IF(Calc!$AM106="","",INDEX(Setup!$F$20:$F$34,Calc!$AN106))</f>
        <v/>
      </c>
      <c r="L106" s="21" t="str">
        <f ca="1">IF(Calc!$AM106="","",SUBSTITUTE(SUBSTITUTE(SUBSTITUTE(SUBSTITUTE(INDEX(Setup!$H$20:$H$34,Calc!$AN106)&amp;"","{name}",$E106),"{years}",$G106),"{date}",TEXT($H106,"mmmm d, yyyy")),"{company}",Setup!$C$4))</f>
        <v/>
      </c>
      <c r="M106" s="21" t="str">
        <f ca="1">IF(Calc!$AM106="","",SUBSTITUTE(SUBSTITUTE(SUBSTITUTE(SUBSTITUTE(INDEX(Setup!$I$20:$I$34,Calc!$AN106)&amp;"","{name}",$E106),"{years}",$G106),"{date}",TEXT($H106,"mmmm d, yyyy")),"{company}",Setup!$C$4))</f>
        <v/>
      </c>
      <c r="N106" s="21" t="str">
        <f ca="1">IF(Calc!$AM106="","",SUBSTITUTE(SUBSTITUTE(SUBSTITUTE(SUBSTITUTE(INDEX(Setup!$J$20:$J$34,Calc!$AN106)&amp;"","{name}",$E106),"{years}",$G106),"{date}",TEXT($H106,"mmmm d, yyyy")),"{company}",Setup!$C$4))</f>
        <v/>
      </c>
      <c r="O106" s="21" t="str">
        <f ca="1">IF(Calc!$AM106="","",SUBSTITUTE(SUBSTITUTE(SUBSTITUTE(SUBSTITUTE(INDEX(Setup!$K$20:$K$34,Calc!$AN106)&amp;"","{name}",$E106),"{years}",$G106),"{date}",TEXT($H106,"mmmm d, yyyy")),"{company}",Setup!$C$4))</f>
        <v/>
      </c>
      <c r="P106" s="21" t="str">
        <f ca="1">IF(Calc!$AM106="","",SUBSTITUTE(SUBSTITUTE(TRIM(SUBSTITUTE($L106," ","~")&amp;" "&amp;SUBSTITUTE($M106," ","~")&amp;" "&amp;SUBSTITUTE($N106," ","~")&amp;" "&amp;SUBSTITUTE($O106," ","~"))," "," | "),"~"," "))</f>
        <v/>
      </c>
    </row>
    <row r="107" spans="1:16" x14ac:dyDescent="0.2">
      <c r="A107" s="19" t="str">
        <f ca="1">IF(Calc!$AM107="","",ROW()-5)</f>
        <v/>
      </c>
      <c r="B107" s="20" t="str">
        <f ca="1">IF(Calc!$AM107="","",INT(Calc!$AK107))</f>
        <v/>
      </c>
      <c r="C107" s="21" t="str">
        <f ca="1">IF(Calc!$AM107="","",IF($H107&lt;Setup!$C$5,"PAST DUE: milestone date has passed",IF($B107&lt;Setup!$C$5,"LATE: order today, ask about rush",IF($B107&lt;Setup!$C$5+14,"Order within 2 weeks","Scheduled"))))</f>
        <v/>
      </c>
      <c r="D107" s="21" t="str">
        <f ca="1">IF(Calc!$AM107="","",TEXT($B107,"mmmm yyyy"))</f>
        <v/>
      </c>
      <c r="E107" s="21" t="str">
        <f ca="1">IF(Calc!$AM107="","",INDEX(Roster!$A$6:$A$505,Calc!$AM107)&amp;"")</f>
        <v/>
      </c>
      <c r="F107" s="21" t="str">
        <f ca="1">IF(Calc!$AM107="","",INDEX(Roster!$C$6:$C$505,Calc!$AM107)&amp;"")</f>
        <v/>
      </c>
      <c r="G107" s="19" t="str">
        <f ca="1">IF(Calc!$AM107="","",INDEX(Setup!$C$20:$C$34,Calc!$AN107))</f>
        <v/>
      </c>
      <c r="H107" s="20" t="str">
        <f ca="1">IF(Calc!$AM107="","",INDEX(Calc!$B$6:$P$505,Calc!$AM107,Calc!$AN107))</f>
        <v/>
      </c>
      <c r="I107" s="21" t="str">
        <f ca="1">IF(Calc!$AM107="","",INDEX(Setup!$D$20:$D$34,Calc!$AN107)&amp;"")</f>
        <v/>
      </c>
      <c r="J107" s="21" t="str">
        <f ca="1">IF(Calc!$AM107="","",INDEX(Setup!$E$20:$E$34,Calc!$AN107)&amp;"")</f>
        <v/>
      </c>
      <c r="K107" s="23" t="str">
        <f ca="1">IF(Calc!$AM107="","",INDEX(Setup!$F$20:$F$34,Calc!$AN107))</f>
        <v/>
      </c>
      <c r="L107" s="21" t="str">
        <f ca="1">IF(Calc!$AM107="","",SUBSTITUTE(SUBSTITUTE(SUBSTITUTE(SUBSTITUTE(INDEX(Setup!$H$20:$H$34,Calc!$AN107)&amp;"","{name}",$E107),"{years}",$G107),"{date}",TEXT($H107,"mmmm d, yyyy")),"{company}",Setup!$C$4))</f>
        <v/>
      </c>
      <c r="M107" s="21" t="str">
        <f ca="1">IF(Calc!$AM107="","",SUBSTITUTE(SUBSTITUTE(SUBSTITUTE(SUBSTITUTE(INDEX(Setup!$I$20:$I$34,Calc!$AN107)&amp;"","{name}",$E107),"{years}",$G107),"{date}",TEXT($H107,"mmmm d, yyyy")),"{company}",Setup!$C$4))</f>
        <v/>
      </c>
      <c r="N107" s="21" t="str">
        <f ca="1">IF(Calc!$AM107="","",SUBSTITUTE(SUBSTITUTE(SUBSTITUTE(SUBSTITUTE(INDEX(Setup!$J$20:$J$34,Calc!$AN107)&amp;"","{name}",$E107),"{years}",$G107),"{date}",TEXT($H107,"mmmm d, yyyy")),"{company}",Setup!$C$4))</f>
        <v/>
      </c>
      <c r="O107" s="21" t="str">
        <f ca="1">IF(Calc!$AM107="","",SUBSTITUTE(SUBSTITUTE(SUBSTITUTE(SUBSTITUTE(INDEX(Setup!$K$20:$K$34,Calc!$AN107)&amp;"","{name}",$E107),"{years}",$G107),"{date}",TEXT($H107,"mmmm d, yyyy")),"{company}",Setup!$C$4))</f>
        <v/>
      </c>
      <c r="P107" s="21" t="str">
        <f ca="1">IF(Calc!$AM107="","",SUBSTITUTE(SUBSTITUTE(TRIM(SUBSTITUTE($L107," ","~")&amp;" "&amp;SUBSTITUTE($M107," ","~")&amp;" "&amp;SUBSTITUTE($N107," ","~")&amp;" "&amp;SUBSTITUTE($O107," ","~"))," "," | "),"~"," "))</f>
        <v/>
      </c>
    </row>
    <row r="108" spans="1:16" x14ac:dyDescent="0.2">
      <c r="A108" s="19" t="str">
        <f ca="1">IF(Calc!$AM108="","",ROW()-5)</f>
        <v/>
      </c>
      <c r="B108" s="20" t="str">
        <f ca="1">IF(Calc!$AM108="","",INT(Calc!$AK108))</f>
        <v/>
      </c>
      <c r="C108" s="21" t="str">
        <f ca="1">IF(Calc!$AM108="","",IF($H108&lt;Setup!$C$5,"PAST DUE: milestone date has passed",IF($B108&lt;Setup!$C$5,"LATE: order today, ask about rush",IF($B108&lt;Setup!$C$5+14,"Order within 2 weeks","Scheduled"))))</f>
        <v/>
      </c>
      <c r="D108" s="21" t="str">
        <f ca="1">IF(Calc!$AM108="","",TEXT($B108,"mmmm yyyy"))</f>
        <v/>
      </c>
      <c r="E108" s="21" t="str">
        <f ca="1">IF(Calc!$AM108="","",INDEX(Roster!$A$6:$A$505,Calc!$AM108)&amp;"")</f>
        <v/>
      </c>
      <c r="F108" s="21" t="str">
        <f ca="1">IF(Calc!$AM108="","",INDEX(Roster!$C$6:$C$505,Calc!$AM108)&amp;"")</f>
        <v/>
      </c>
      <c r="G108" s="19" t="str">
        <f ca="1">IF(Calc!$AM108="","",INDEX(Setup!$C$20:$C$34,Calc!$AN108))</f>
        <v/>
      </c>
      <c r="H108" s="20" t="str">
        <f ca="1">IF(Calc!$AM108="","",INDEX(Calc!$B$6:$P$505,Calc!$AM108,Calc!$AN108))</f>
        <v/>
      </c>
      <c r="I108" s="21" t="str">
        <f ca="1">IF(Calc!$AM108="","",INDEX(Setup!$D$20:$D$34,Calc!$AN108)&amp;"")</f>
        <v/>
      </c>
      <c r="J108" s="21" t="str">
        <f ca="1">IF(Calc!$AM108="","",INDEX(Setup!$E$20:$E$34,Calc!$AN108)&amp;"")</f>
        <v/>
      </c>
      <c r="K108" s="23" t="str">
        <f ca="1">IF(Calc!$AM108="","",INDEX(Setup!$F$20:$F$34,Calc!$AN108))</f>
        <v/>
      </c>
      <c r="L108" s="21" t="str">
        <f ca="1">IF(Calc!$AM108="","",SUBSTITUTE(SUBSTITUTE(SUBSTITUTE(SUBSTITUTE(INDEX(Setup!$H$20:$H$34,Calc!$AN108)&amp;"","{name}",$E108),"{years}",$G108),"{date}",TEXT($H108,"mmmm d, yyyy")),"{company}",Setup!$C$4))</f>
        <v/>
      </c>
      <c r="M108" s="21" t="str">
        <f ca="1">IF(Calc!$AM108="","",SUBSTITUTE(SUBSTITUTE(SUBSTITUTE(SUBSTITUTE(INDEX(Setup!$I$20:$I$34,Calc!$AN108)&amp;"","{name}",$E108),"{years}",$G108),"{date}",TEXT($H108,"mmmm d, yyyy")),"{company}",Setup!$C$4))</f>
        <v/>
      </c>
      <c r="N108" s="21" t="str">
        <f ca="1">IF(Calc!$AM108="","",SUBSTITUTE(SUBSTITUTE(SUBSTITUTE(SUBSTITUTE(INDEX(Setup!$J$20:$J$34,Calc!$AN108)&amp;"","{name}",$E108),"{years}",$G108),"{date}",TEXT($H108,"mmmm d, yyyy")),"{company}",Setup!$C$4))</f>
        <v/>
      </c>
      <c r="O108" s="21" t="str">
        <f ca="1">IF(Calc!$AM108="","",SUBSTITUTE(SUBSTITUTE(SUBSTITUTE(SUBSTITUTE(INDEX(Setup!$K$20:$K$34,Calc!$AN108)&amp;"","{name}",$E108),"{years}",$G108),"{date}",TEXT($H108,"mmmm d, yyyy")),"{company}",Setup!$C$4))</f>
        <v/>
      </c>
      <c r="P108" s="21" t="str">
        <f ca="1">IF(Calc!$AM108="","",SUBSTITUTE(SUBSTITUTE(TRIM(SUBSTITUTE($L108," ","~")&amp;" "&amp;SUBSTITUTE($M108," ","~")&amp;" "&amp;SUBSTITUTE($N108," ","~")&amp;" "&amp;SUBSTITUTE($O108," ","~"))," "," | "),"~"," "))</f>
        <v/>
      </c>
    </row>
    <row r="109" spans="1:16" x14ac:dyDescent="0.2">
      <c r="A109" s="19" t="str">
        <f ca="1">IF(Calc!$AM109="","",ROW()-5)</f>
        <v/>
      </c>
      <c r="B109" s="20" t="str">
        <f ca="1">IF(Calc!$AM109="","",INT(Calc!$AK109))</f>
        <v/>
      </c>
      <c r="C109" s="21" t="str">
        <f ca="1">IF(Calc!$AM109="","",IF($H109&lt;Setup!$C$5,"PAST DUE: milestone date has passed",IF($B109&lt;Setup!$C$5,"LATE: order today, ask about rush",IF($B109&lt;Setup!$C$5+14,"Order within 2 weeks","Scheduled"))))</f>
        <v/>
      </c>
      <c r="D109" s="21" t="str">
        <f ca="1">IF(Calc!$AM109="","",TEXT($B109,"mmmm yyyy"))</f>
        <v/>
      </c>
      <c r="E109" s="21" t="str">
        <f ca="1">IF(Calc!$AM109="","",INDEX(Roster!$A$6:$A$505,Calc!$AM109)&amp;"")</f>
        <v/>
      </c>
      <c r="F109" s="21" t="str">
        <f ca="1">IF(Calc!$AM109="","",INDEX(Roster!$C$6:$C$505,Calc!$AM109)&amp;"")</f>
        <v/>
      </c>
      <c r="G109" s="19" t="str">
        <f ca="1">IF(Calc!$AM109="","",INDEX(Setup!$C$20:$C$34,Calc!$AN109))</f>
        <v/>
      </c>
      <c r="H109" s="20" t="str">
        <f ca="1">IF(Calc!$AM109="","",INDEX(Calc!$B$6:$P$505,Calc!$AM109,Calc!$AN109))</f>
        <v/>
      </c>
      <c r="I109" s="21" t="str">
        <f ca="1">IF(Calc!$AM109="","",INDEX(Setup!$D$20:$D$34,Calc!$AN109)&amp;"")</f>
        <v/>
      </c>
      <c r="J109" s="21" t="str">
        <f ca="1">IF(Calc!$AM109="","",INDEX(Setup!$E$20:$E$34,Calc!$AN109)&amp;"")</f>
        <v/>
      </c>
      <c r="K109" s="23" t="str">
        <f ca="1">IF(Calc!$AM109="","",INDEX(Setup!$F$20:$F$34,Calc!$AN109))</f>
        <v/>
      </c>
      <c r="L109" s="21" t="str">
        <f ca="1">IF(Calc!$AM109="","",SUBSTITUTE(SUBSTITUTE(SUBSTITUTE(SUBSTITUTE(INDEX(Setup!$H$20:$H$34,Calc!$AN109)&amp;"","{name}",$E109),"{years}",$G109),"{date}",TEXT($H109,"mmmm d, yyyy")),"{company}",Setup!$C$4))</f>
        <v/>
      </c>
      <c r="M109" s="21" t="str">
        <f ca="1">IF(Calc!$AM109="","",SUBSTITUTE(SUBSTITUTE(SUBSTITUTE(SUBSTITUTE(INDEX(Setup!$I$20:$I$34,Calc!$AN109)&amp;"","{name}",$E109),"{years}",$G109),"{date}",TEXT($H109,"mmmm d, yyyy")),"{company}",Setup!$C$4))</f>
        <v/>
      </c>
      <c r="N109" s="21" t="str">
        <f ca="1">IF(Calc!$AM109="","",SUBSTITUTE(SUBSTITUTE(SUBSTITUTE(SUBSTITUTE(INDEX(Setup!$J$20:$J$34,Calc!$AN109)&amp;"","{name}",$E109),"{years}",$G109),"{date}",TEXT($H109,"mmmm d, yyyy")),"{company}",Setup!$C$4))</f>
        <v/>
      </c>
      <c r="O109" s="21" t="str">
        <f ca="1">IF(Calc!$AM109="","",SUBSTITUTE(SUBSTITUTE(SUBSTITUTE(SUBSTITUTE(INDEX(Setup!$K$20:$K$34,Calc!$AN109)&amp;"","{name}",$E109),"{years}",$G109),"{date}",TEXT($H109,"mmmm d, yyyy")),"{company}",Setup!$C$4))</f>
        <v/>
      </c>
      <c r="P109" s="21" t="str">
        <f ca="1">IF(Calc!$AM109="","",SUBSTITUTE(SUBSTITUTE(TRIM(SUBSTITUTE($L109," ","~")&amp;" "&amp;SUBSTITUTE($M109," ","~")&amp;" "&amp;SUBSTITUTE($N109," ","~")&amp;" "&amp;SUBSTITUTE($O109," ","~"))," "," | "),"~"," "))</f>
        <v/>
      </c>
    </row>
    <row r="110" spans="1:16" x14ac:dyDescent="0.2">
      <c r="A110" s="19" t="str">
        <f ca="1">IF(Calc!$AM110="","",ROW()-5)</f>
        <v/>
      </c>
      <c r="B110" s="20" t="str">
        <f ca="1">IF(Calc!$AM110="","",INT(Calc!$AK110))</f>
        <v/>
      </c>
      <c r="C110" s="21" t="str">
        <f ca="1">IF(Calc!$AM110="","",IF($H110&lt;Setup!$C$5,"PAST DUE: milestone date has passed",IF($B110&lt;Setup!$C$5,"LATE: order today, ask about rush",IF($B110&lt;Setup!$C$5+14,"Order within 2 weeks","Scheduled"))))</f>
        <v/>
      </c>
      <c r="D110" s="21" t="str">
        <f ca="1">IF(Calc!$AM110="","",TEXT($B110,"mmmm yyyy"))</f>
        <v/>
      </c>
      <c r="E110" s="21" t="str">
        <f ca="1">IF(Calc!$AM110="","",INDEX(Roster!$A$6:$A$505,Calc!$AM110)&amp;"")</f>
        <v/>
      </c>
      <c r="F110" s="21" t="str">
        <f ca="1">IF(Calc!$AM110="","",INDEX(Roster!$C$6:$C$505,Calc!$AM110)&amp;"")</f>
        <v/>
      </c>
      <c r="G110" s="19" t="str">
        <f ca="1">IF(Calc!$AM110="","",INDEX(Setup!$C$20:$C$34,Calc!$AN110))</f>
        <v/>
      </c>
      <c r="H110" s="20" t="str">
        <f ca="1">IF(Calc!$AM110="","",INDEX(Calc!$B$6:$P$505,Calc!$AM110,Calc!$AN110))</f>
        <v/>
      </c>
      <c r="I110" s="21" t="str">
        <f ca="1">IF(Calc!$AM110="","",INDEX(Setup!$D$20:$D$34,Calc!$AN110)&amp;"")</f>
        <v/>
      </c>
      <c r="J110" s="21" t="str">
        <f ca="1">IF(Calc!$AM110="","",INDEX(Setup!$E$20:$E$34,Calc!$AN110)&amp;"")</f>
        <v/>
      </c>
      <c r="K110" s="23" t="str">
        <f ca="1">IF(Calc!$AM110="","",INDEX(Setup!$F$20:$F$34,Calc!$AN110))</f>
        <v/>
      </c>
      <c r="L110" s="21" t="str">
        <f ca="1">IF(Calc!$AM110="","",SUBSTITUTE(SUBSTITUTE(SUBSTITUTE(SUBSTITUTE(INDEX(Setup!$H$20:$H$34,Calc!$AN110)&amp;"","{name}",$E110),"{years}",$G110),"{date}",TEXT($H110,"mmmm d, yyyy")),"{company}",Setup!$C$4))</f>
        <v/>
      </c>
      <c r="M110" s="21" t="str">
        <f ca="1">IF(Calc!$AM110="","",SUBSTITUTE(SUBSTITUTE(SUBSTITUTE(SUBSTITUTE(INDEX(Setup!$I$20:$I$34,Calc!$AN110)&amp;"","{name}",$E110),"{years}",$G110),"{date}",TEXT($H110,"mmmm d, yyyy")),"{company}",Setup!$C$4))</f>
        <v/>
      </c>
      <c r="N110" s="21" t="str">
        <f ca="1">IF(Calc!$AM110="","",SUBSTITUTE(SUBSTITUTE(SUBSTITUTE(SUBSTITUTE(INDEX(Setup!$J$20:$J$34,Calc!$AN110)&amp;"","{name}",$E110),"{years}",$G110),"{date}",TEXT($H110,"mmmm d, yyyy")),"{company}",Setup!$C$4))</f>
        <v/>
      </c>
      <c r="O110" s="21" t="str">
        <f ca="1">IF(Calc!$AM110="","",SUBSTITUTE(SUBSTITUTE(SUBSTITUTE(SUBSTITUTE(INDEX(Setup!$K$20:$K$34,Calc!$AN110)&amp;"","{name}",$E110),"{years}",$G110),"{date}",TEXT($H110,"mmmm d, yyyy")),"{company}",Setup!$C$4))</f>
        <v/>
      </c>
      <c r="P110" s="21" t="str">
        <f ca="1">IF(Calc!$AM110="","",SUBSTITUTE(SUBSTITUTE(TRIM(SUBSTITUTE($L110," ","~")&amp;" "&amp;SUBSTITUTE($M110," ","~")&amp;" "&amp;SUBSTITUTE($N110," ","~")&amp;" "&amp;SUBSTITUTE($O110," ","~"))," "," | "),"~"," "))</f>
        <v/>
      </c>
    </row>
    <row r="111" spans="1:16" x14ac:dyDescent="0.2">
      <c r="A111" s="19" t="str">
        <f ca="1">IF(Calc!$AM111="","",ROW()-5)</f>
        <v/>
      </c>
      <c r="B111" s="20" t="str">
        <f ca="1">IF(Calc!$AM111="","",INT(Calc!$AK111))</f>
        <v/>
      </c>
      <c r="C111" s="21" t="str">
        <f ca="1">IF(Calc!$AM111="","",IF($H111&lt;Setup!$C$5,"PAST DUE: milestone date has passed",IF($B111&lt;Setup!$C$5,"LATE: order today, ask about rush",IF($B111&lt;Setup!$C$5+14,"Order within 2 weeks","Scheduled"))))</f>
        <v/>
      </c>
      <c r="D111" s="21" t="str">
        <f ca="1">IF(Calc!$AM111="","",TEXT($B111,"mmmm yyyy"))</f>
        <v/>
      </c>
      <c r="E111" s="21" t="str">
        <f ca="1">IF(Calc!$AM111="","",INDEX(Roster!$A$6:$A$505,Calc!$AM111)&amp;"")</f>
        <v/>
      </c>
      <c r="F111" s="21" t="str">
        <f ca="1">IF(Calc!$AM111="","",INDEX(Roster!$C$6:$C$505,Calc!$AM111)&amp;"")</f>
        <v/>
      </c>
      <c r="G111" s="19" t="str">
        <f ca="1">IF(Calc!$AM111="","",INDEX(Setup!$C$20:$C$34,Calc!$AN111))</f>
        <v/>
      </c>
      <c r="H111" s="20" t="str">
        <f ca="1">IF(Calc!$AM111="","",INDEX(Calc!$B$6:$P$505,Calc!$AM111,Calc!$AN111))</f>
        <v/>
      </c>
      <c r="I111" s="21" t="str">
        <f ca="1">IF(Calc!$AM111="","",INDEX(Setup!$D$20:$D$34,Calc!$AN111)&amp;"")</f>
        <v/>
      </c>
      <c r="J111" s="21" t="str">
        <f ca="1">IF(Calc!$AM111="","",INDEX(Setup!$E$20:$E$34,Calc!$AN111)&amp;"")</f>
        <v/>
      </c>
      <c r="K111" s="23" t="str">
        <f ca="1">IF(Calc!$AM111="","",INDEX(Setup!$F$20:$F$34,Calc!$AN111))</f>
        <v/>
      </c>
      <c r="L111" s="21" t="str">
        <f ca="1">IF(Calc!$AM111="","",SUBSTITUTE(SUBSTITUTE(SUBSTITUTE(SUBSTITUTE(INDEX(Setup!$H$20:$H$34,Calc!$AN111)&amp;"","{name}",$E111),"{years}",$G111),"{date}",TEXT($H111,"mmmm d, yyyy")),"{company}",Setup!$C$4))</f>
        <v/>
      </c>
      <c r="M111" s="21" t="str">
        <f ca="1">IF(Calc!$AM111="","",SUBSTITUTE(SUBSTITUTE(SUBSTITUTE(SUBSTITUTE(INDEX(Setup!$I$20:$I$34,Calc!$AN111)&amp;"","{name}",$E111),"{years}",$G111),"{date}",TEXT($H111,"mmmm d, yyyy")),"{company}",Setup!$C$4))</f>
        <v/>
      </c>
      <c r="N111" s="21" t="str">
        <f ca="1">IF(Calc!$AM111="","",SUBSTITUTE(SUBSTITUTE(SUBSTITUTE(SUBSTITUTE(INDEX(Setup!$J$20:$J$34,Calc!$AN111)&amp;"","{name}",$E111),"{years}",$G111),"{date}",TEXT($H111,"mmmm d, yyyy")),"{company}",Setup!$C$4))</f>
        <v/>
      </c>
      <c r="O111" s="21" t="str">
        <f ca="1">IF(Calc!$AM111="","",SUBSTITUTE(SUBSTITUTE(SUBSTITUTE(SUBSTITUTE(INDEX(Setup!$K$20:$K$34,Calc!$AN111)&amp;"","{name}",$E111),"{years}",$G111),"{date}",TEXT($H111,"mmmm d, yyyy")),"{company}",Setup!$C$4))</f>
        <v/>
      </c>
      <c r="P111" s="21" t="str">
        <f ca="1">IF(Calc!$AM111="","",SUBSTITUTE(SUBSTITUTE(TRIM(SUBSTITUTE($L111," ","~")&amp;" "&amp;SUBSTITUTE($M111," ","~")&amp;" "&amp;SUBSTITUTE($N111," ","~")&amp;" "&amp;SUBSTITUTE($O111," ","~"))," "," | "),"~"," "))</f>
        <v/>
      </c>
    </row>
    <row r="112" spans="1:16" x14ac:dyDescent="0.2">
      <c r="A112" s="19" t="str">
        <f ca="1">IF(Calc!$AM112="","",ROW()-5)</f>
        <v/>
      </c>
      <c r="B112" s="20" t="str">
        <f ca="1">IF(Calc!$AM112="","",INT(Calc!$AK112))</f>
        <v/>
      </c>
      <c r="C112" s="21" t="str">
        <f ca="1">IF(Calc!$AM112="","",IF($H112&lt;Setup!$C$5,"PAST DUE: milestone date has passed",IF($B112&lt;Setup!$C$5,"LATE: order today, ask about rush",IF($B112&lt;Setup!$C$5+14,"Order within 2 weeks","Scheduled"))))</f>
        <v/>
      </c>
      <c r="D112" s="21" t="str">
        <f ca="1">IF(Calc!$AM112="","",TEXT($B112,"mmmm yyyy"))</f>
        <v/>
      </c>
      <c r="E112" s="21" t="str">
        <f ca="1">IF(Calc!$AM112="","",INDEX(Roster!$A$6:$A$505,Calc!$AM112)&amp;"")</f>
        <v/>
      </c>
      <c r="F112" s="21" t="str">
        <f ca="1">IF(Calc!$AM112="","",INDEX(Roster!$C$6:$C$505,Calc!$AM112)&amp;"")</f>
        <v/>
      </c>
      <c r="G112" s="19" t="str">
        <f ca="1">IF(Calc!$AM112="","",INDEX(Setup!$C$20:$C$34,Calc!$AN112))</f>
        <v/>
      </c>
      <c r="H112" s="20" t="str">
        <f ca="1">IF(Calc!$AM112="","",INDEX(Calc!$B$6:$P$505,Calc!$AM112,Calc!$AN112))</f>
        <v/>
      </c>
      <c r="I112" s="21" t="str">
        <f ca="1">IF(Calc!$AM112="","",INDEX(Setup!$D$20:$D$34,Calc!$AN112)&amp;"")</f>
        <v/>
      </c>
      <c r="J112" s="21" t="str">
        <f ca="1">IF(Calc!$AM112="","",INDEX(Setup!$E$20:$E$34,Calc!$AN112)&amp;"")</f>
        <v/>
      </c>
      <c r="K112" s="23" t="str">
        <f ca="1">IF(Calc!$AM112="","",INDEX(Setup!$F$20:$F$34,Calc!$AN112))</f>
        <v/>
      </c>
      <c r="L112" s="21" t="str">
        <f ca="1">IF(Calc!$AM112="","",SUBSTITUTE(SUBSTITUTE(SUBSTITUTE(SUBSTITUTE(INDEX(Setup!$H$20:$H$34,Calc!$AN112)&amp;"","{name}",$E112),"{years}",$G112),"{date}",TEXT($H112,"mmmm d, yyyy")),"{company}",Setup!$C$4))</f>
        <v/>
      </c>
      <c r="M112" s="21" t="str">
        <f ca="1">IF(Calc!$AM112="","",SUBSTITUTE(SUBSTITUTE(SUBSTITUTE(SUBSTITUTE(INDEX(Setup!$I$20:$I$34,Calc!$AN112)&amp;"","{name}",$E112),"{years}",$G112),"{date}",TEXT($H112,"mmmm d, yyyy")),"{company}",Setup!$C$4))</f>
        <v/>
      </c>
      <c r="N112" s="21" t="str">
        <f ca="1">IF(Calc!$AM112="","",SUBSTITUTE(SUBSTITUTE(SUBSTITUTE(SUBSTITUTE(INDEX(Setup!$J$20:$J$34,Calc!$AN112)&amp;"","{name}",$E112),"{years}",$G112),"{date}",TEXT($H112,"mmmm d, yyyy")),"{company}",Setup!$C$4))</f>
        <v/>
      </c>
      <c r="O112" s="21" t="str">
        <f ca="1">IF(Calc!$AM112="","",SUBSTITUTE(SUBSTITUTE(SUBSTITUTE(SUBSTITUTE(INDEX(Setup!$K$20:$K$34,Calc!$AN112)&amp;"","{name}",$E112),"{years}",$G112),"{date}",TEXT($H112,"mmmm d, yyyy")),"{company}",Setup!$C$4))</f>
        <v/>
      </c>
      <c r="P112" s="21" t="str">
        <f ca="1">IF(Calc!$AM112="","",SUBSTITUTE(SUBSTITUTE(TRIM(SUBSTITUTE($L112," ","~")&amp;" "&amp;SUBSTITUTE($M112," ","~")&amp;" "&amp;SUBSTITUTE($N112," ","~")&amp;" "&amp;SUBSTITUTE($O112," ","~"))," "," | "),"~"," "))</f>
        <v/>
      </c>
    </row>
    <row r="113" spans="1:16" x14ac:dyDescent="0.2">
      <c r="A113" s="19" t="str">
        <f ca="1">IF(Calc!$AM113="","",ROW()-5)</f>
        <v/>
      </c>
      <c r="B113" s="20" t="str">
        <f ca="1">IF(Calc!$AM113="","",INT(Calc!$AK113))</f>
        <v/>
      </c>
      <c r="C113" s="21" t="str">
        <f ca="1">IF(Calc!$AM113="","",IF($H113&lt;Setup!$C$5,"PAST DUE: milestone date has passed",IF($B113&lt;Setup!$C$5,"LATE: order today, ask about rush",IF($B113&lt;Setup!$C$5+14,"Order within 2 weeks","Scheduled"))))</f>
        <v/>
      </c>
      <c r="D113" s="21" t="str">
        <f ca="1">IF(Calc!$AM113="","",TEXT($B113,"mmmm yyyy"))</f>
        <v/>
      </c>
      <c r="E113" s="21" t="str">
        <f ca="1">IF(Calc!$AM113="","",INDEX(Roster!$A$6:$A$505,Calc!$AM113)&amp;"")</f>
        <v/>
      </c>
      <c r="F113" s="21" t="str">
        <f ca="1">IF(Calc!$AM113="","",INDEX(Roster!$C$6:$C$505,Calc!$AM113)&amp;"")</f>
        <v/>
      </c>
      <c r="G113" s="19" t="str">
        <f ca="1">IF(Calc!$AM113="","",INDEX(Setup!$C$20:$C$34,Calc!$AN113))</f>
        <v/>
      </c>
      <c r="H113" s="20" t="str">
        <f ca="1">IF(Calc!$AM113="","",INDEX(Calc!$B$6:$P$505,Calc!$AM113,Calc!$AN113))</f>
        <v/>
      </c>
      <c r="I113" s="21" t="str">
        <f ca="1">IF(Calc!$AM113="","",INDEX(Setup!$D$20:$D$34,Calc!$AN113)&amp;"")</f>
        <v/>
      </c>
      <c r="J113" s="21" t="str">
        <f ca="1">IF(Calc!$AM113="","",INDEX(Setup!$E$20:$E$34,Calc!$AN113)&amp;"")</f>
        <v/>
      </c>
      <c r="K113" s="23" t="str">
        <f ca="1">IF(Calc!$AM113="","",INDEX(Setup!$F$20:$F$34,Calc!$AN113))</f>
        <v/>
      </c>
      <c r="L113" s="21" t="str">
        <f ca="1">IF(Calc!$AM113="","",SUBSTITUTE(SUBSTITUTE(SUBSTITUTE(SUBSTITUTE(INDEX(Setup!$H$20:$H$34,Calc!$AN113)&amp;"","{name}",$E113),"{years}",$G113),"{date}",TEXT($H113,"mmmm d, yyyy")),"{company}",Setup!$C$4))</f>
        <v/>
      </c>
      <c r="M113" s="21" t="str">
        <f ca="1">IF(Calc!$AM113="","",SUBSTITUTE(SUBSTITUTE(SUBSTITUTE(SUBSTITUTE(INDEX(Setup!$I$20:$I$34,Calc!$AN113)&amp;"","{name}",$E113),"{years}",$G113),"{date}",TEXT($H113,"mmmm d, yyyy")),"{company}",Setup!$C$4))</f>
        <v/>
      </c>
      <c r="N113" s="21" t="str">
        <f ca="1">IF(Calc!$AM113="","",SUBSTITUTE(SUBSTITUTE(SUBSTITUTE(SUBSTITUTE(INDEX(Setup!$J$20:$J$34,Calc!$AN113)&amp;"","{name}",$E113),"{years}",$G113),"{date}",TEXT($H113,"mmmm d, yyyy")),"{company}",Setup!$C$4))</f>
        <v/>
      </c>
      <c r="O113" s="21" t="str">
        <f ca="1">IF(Calc!$AM113="","",SUBSTITUTE(SUBSTITUTE(SUBSTITUTE(SUBSTITUTE(INDEX(Setup!$K$20:$K$34,Calc!$AN113)&amp;"","{name}",$E113),"{years}",$G113),"{date}",TEXT($H113,"mmmm d, yyyy")),"{company}",Setup!$C$4))</f>
        <v/>
      </c>
      <c r="P113" s="21" t="str">
        <f ca="1">IF(Calc!$AM113="","",SUBSTITUTE(SUBSTITUTE(TRIM(SUBSTITUTE($L113," ","~")&amp;" "&amp;SUBSTITUTE($M113," ","~")&amp;" "&amp;SUBSTITUTE($N113," ","~")&amp;" "&amp;SUBSTITUTE($O113," ","~"))," "," | "),"~"," "))</f>
        <v/>
      </c>
    </row>
    <row r="114" spans="1:16" x14ac:dyDescent="0.2">
      <c r="A114" s="19" t="str">
        <f ca="1">IF(Calc!$AM114="","",ROW()-5)</f>
        <v/>
      </c>
      <c r="B114" s="20" t="str">
        <f ca="1">IF(Calc!$AM114="","",INT(Calc!$AK114))</f>
        <v/>
      </c>
      <c r="C114" s="21" t="str">
        <f ca="1">IF(Calc!$AM114="","",IF($H114&lt;Setup!$C$5,"PAST DUE: milestone date has passed",IF($B114&lt;Setup!$C$5,"LATE: order today, ask about rush",IF($B114&lt;Setup!$C$5+14,"Order within 2 weeks","Scheduled"))))</f>
        <v/>
      </c>
      <c r="D114" s="21" t="str">
        <f ca="1">IF(Calc!$AM114="","",TEXT($B114,"mmmm yyyy"))</f>
        <v/>
      </c>
      <c r="E114" s="21" t="str">
        <f ca="1">IF(Calc!$AM114="","",INDEX(Roster!$A$6:$A$505,Calc!$AM114)&amp;"")</f>
        <v/>
      </c>
      <c r="F114" s="21" t="str">
        <f ca="1">IF(Calc!$AM114="","",INDEX(Roster!$C$6:$C$505,Calc!$AM114)&amp;"")</f>
        <v/>
      </c>
      <c r="G114" s="19" t="str">
        <f ca="1">IF(Calc!$AM114="","",INDEX(Setup!$C$20:$C$34,Calc!$AN114))</f>
        <v/>
      </c>
      <c r="H114" s="20" t="str">
        <f ca="1">IF(Calc!$AM114="","",INDEX(Calc!$B$6:$P$505,Calc!$AM114,Calc!$AN114))</f>
        <v/>
      </c>
      <c r="I114" s="21" t="str">
        <f ca="1">IF(Calc!$AM114="","",INDEX(Setup!$D$20:$D$34,Calc!$AN114)&amp;"")</f>
        <v/>
      </c>
      <c r="J114" s="21" t="str">
        <f ca="1">IF(Calc!$AM114="","",INDEX(Setup!$E$20:$E$34,Calc!$AN114)&amp;"")</f>
        <v/>
      </c>
      <c r="K114" s="23" t="str">
        <f ca="1">IF(Calc!$AM114="","",INDEX(Setup!$F$20:$F$34,Calc!$AN114))</f>
        <v/>
      </c>
      <c r="L114" s="21" t="str">
        <f ca="1">IF(Calc!$AM114="","",SUBSTITUTE(SUBSTITUTE(SUBSTITUTE(SUBSTITUTE(INDEX(Setup!$H$20:$H$34,Calc!$AN114)&amp;"","{name}",$E114),"{years}",$G114),"{date}",TEXT($H114,"mmmm d, yyyy")),"{company}",Setup!$C$4))</f>
        <v/>
      </c>
      <c r="M114" s="21" t="str">
        <f ca="1">IF(Calc!$AM114="","",SUBSTITUTE(SUBSTITUTE(SUBSTITUTE(SUBSTITUTE(INDEX(Setup!$I$20:$I$34,Calc!$AN114)&amp;"","{name}",$E114),"{years}",$G114),"{date}",TEXT($H114,"mmmm d, yyyy")),"{company}",Setup!$C$4))</f>
        <v/>
      </c>
      <c r="N114" s="21" t="str">
        <f ca="1">IF(Calc!$AM114="","",SUBSTITUTE(SUBSTITUTE(SUBSTITUTE(SUBSTITUTE(INDEX(Setup!$J$20:$J$34,Calc!$AN114)&amp;"","{name}",$E114),"{years}",$G114),"{date}",TEXT($H114,"mmmm d, yyyy")),"{company}",Setup!$C$4))</f>
        <v/>
      </c>
      <c r="O114" s="21" t="str">
        <f ca="1">IF(Calc!$AM114="","",SUBSTITUTE(SUBSTITUTE(SUBSTITUTE(SUBSTITUTE(INDEX(Setup!$K$20:$K$34,Calc!$AN114)&amp;"","{name}",$E114),"{years}",$G114),"{date}",TEXT($H114,"mmmm d, yyyy")),"{company}",Setup!$C$4))</f>
        <v/>
      </c>
      <c r="P114" s="21" t="str">
        <f ca="1">IF(Calc!$AM114="","",SUBSTITUTE(SUBSTITUTE(TRIM(SUBSTITUTE($L114," ","~")&amp;" "&amp;SUBSTITUTE($M114," ","~")&amp;" "&amp;SUBSTITUTE($N114," ","~")&amp;" "&amp;SUBSTITUTE($O114," ","~"))," "," | "),"~"," "))</f>
        <v/>
      </c>
    </row>
    <row r="115" spans="1:16" x14ac:dyDescent="0.2">
      <c r="A115" s="19" t="str">
        <f ca="1">IF(Calc!$AM115="","",ROW()-5)</f>
        <v/>
      </c>
      <c r="B115" s="20" t="str">
        <f ca="1">IF(Calc!$AM115="","",INT(Calc!$AK115))</f>
        <v/>
      </c>
      <c r="C115" s="21" t="str">
        <f ca="1">IF(Calc!$AM115="","",IF($H115&lt;Setup!$C$5,"PAST DUE: milestone date has passed",IF($B115&lt;Setup!$C$5,"LATE: order today, ask about rush",IF($B115&lt;Setup!$C$5+14,"Order within 2 weeks","Scheduled"))))</f>
        <v/>
      </c>
      <c r="D115" s="21" t="str">
        <f ca="1">IF(Calc!$AM115="","",TEXT($B115,"mmmm yyyy"))</f>
        <v/>
      </c>
      <c r="E115" s="21" t="str">
        <f ca="1">IF(Calc!$AM115="","",INDEX(Roster!$A$6:$A$505,Calc!$AM115)&amp;"")</f>
        <v/>
      </c>
      <c r="F115" s="21" t="str">
        <f ca="1">IF(Calc!$AM115="","",INDEX(Roster!$C$6:$C$505,Calc!$AM115)&amp;"")</f>
        <v/>
      </c>
      <c r="G115" s="19" t="str">
        <f ca="1">IF(Calc!$AM115="","",INDEX(Setup!$C$20:$C$34,Calc!$AN115))</f>
        <v/>
      </c>
      <c r="H115" s="20" t="str">
        <f ca="1">IF(Calc!$AM115="","",INDEX(Calc!$B$6:$P$505,Calc!$AM115,Calc!$AN115))</f>
        <v/>
      </c>
      <c r="I115" s="21" t="str">
        <f ca="1">IF(Calc!$AM115="","",INDEX(Setup!$D$20:$D$34,Calc!$AN115)&amp;"")</f>
        <v/>
      </c>
      <c r="J115" s="21" t="str">
        <f ca="1">IF(Calc!$AM115="","",INDEX(Setup!$E$20:$E$34,Calc!$AN115)&amp;"")</f>
        <v/>
      </c>
      <c r="K115" s="23" t="str">
        <f ca="1">IF(Calc!$AM115="","",INDEX(Setup!$F$20:$F$34,Calc!$AN115))</f>
        <v/>
      </c>
      <c r="L115" s="21" t="str">
        <f ca="1">IF(Calc!$AM115="","",SUBSTITUTE(SUBSTITUTE(SUBSTITUTE(SUBSTITUTE(INDEX(Setup!$H$20:$H$34,Calc!$AN115)&amp;"","{name}",$E115),"{years}",$G115),"{date}",TEXT($H115,"mmmm d, yyyy")),"{company}",Setup!$C$4))</f>
        <v/>
      </c>
      <c r="M115" s="21" t="str">
        <f ca="1">IF(Calc!$AM115="","",SUBSTITUTE(SUBSTITUTE(SUBSTITUTE(SUBSTITUTE(INDEX(Setup!$I$20:$I$34,Calc!$AN115)&amp;"","{name}",$E115),"{years}",$G115),"{date}",TEXT($H115,"mmmm d, yyyy")),"{company}",Setup!$C$4))</f>
        <v/>
      </c>
      <c r="N115" s="21" t="str">
        <f ca="1">IF(Calc!$AM115="","",SUBSTITUTE(SUBSTITUTE(SUBSTITUTE(SUBSTITUTE(INDEX(Setup!$J$20:$J$34,Calc!$AN115)&amp;"","{name}",$E115),"{years}",$G115),"{date}",TEXT($H115,"mmmm d, yyyy")),"{company}",Setup!$C$4))</f>
        <v/>
      </c>
      <c r="O115" s="21" t="str">
        <f ca="1">IF(Calc!$AM115="","",SUBSTITUTE(SUBSTITUTE(SUBSTITUTE(SUBSTITUTE(INDEX(Setup!$K$20:$K$34,Calc!$AN115)&amp;"","{name}",$E115),"{years}",$G115),"{date}",TEXT($H115,"mmmm d, yyyy")),"{company}",Setup!$C$4))</f>
        <v/>
      </c>
      <c r="P115" s="21" t="str">
        <f ca="1">IF(Calc!$AM115="","",SUBSTITUTE(SUBSTITUTE(TRIM(SUBSTITUTE($L115," ","~")&amp;" "&amp;SUBSTITUTE($M115," ","~")&amp;" "&amp;SUBSTITUTE($N115," ","~")&amp;" "&amp;SUBSTITUTE($O115," ","~"))," "," | "),"~"," "))</f>
        <v/>
      </c>
    </row>
    <row r="116" spans="1:16" x14ac:dyDescent="0.2">
      <c r="A116" s="19" t="str">
        <f ca="1">IF(Calc!$AM116="","",ROW()-5)</f>
        <v/>
      </c>
      <c r="B116" s="20" t="str">
        <f ca="1">IF(Calc!$AM116="","",INT(Calc!$AK116))</f>
        <v/>
      </c>
      <c r="C116" s="21" t="str">
        <f ca="1">IF(Calc!$AM116="","",IF($H116&lt;Setup!$C$5,"PAST DUE: milestone date has passed",IF($B116&lt;Setup!$C$5,"LATE: order today, ask about rush",IF($B116&lt;Setup!$C$5+14,"Order within 2 weeks","Scheduled"))))</f>
        <v/>
      </c>
      <c r="D116" s="21" t="str">
        <f ca="1">IF(Calc!$AM116="","",TEXT($B116,"mmmm yyyy"))</f>
        <v/>
      </c>
      <c r="E116" s="21" t="str">
        <f ca="1">IF(Calc!$AM116="","",INDEX(Roster!$A$6:$A$505,Calc!$AM116)&amp;"")</f>
        <v/>
      </c>
      <c r="F116" s="21" t="str">
        <f ca="1">IF(Calc!$AM116="","",INDEX(Roster!$C$6:$C$505,Calc!$AM116)&amp;"")</f>
        <v/>
      </c>
      <c r="G116" s="19" t="str">
        <f ca="1">IF(Calc!$AM116="","",INDEX(Setup!$C$20:$C$34,Calc!$AN116))</f>
        <v/>
      </c>
      <c r="H116" s="20" t="str">
        <f ca="1">IF(Calc!$AM116="","",INDEX(Calc!$B$6:$P$505,Calc!$AM116,Calc!$AN116))</f>
        <v/>
      </c>
      <c r="I116" s="21" t="str">
        <f ca="1">IF(Calc!$AM116="","",INDEX(Setup!$D$20:$D$34,Calc!$AN116)&amp;"")</f>
        <v/>
      </c>
      <c r="J116" s="21" t="str">
        <f ca="1">IF(Calc!$AM116="","",INDEX(Setup!$E$20:$E$34,Calc!$AN116)&amp;"")</f>
        <v/>
      </c>
      <c r="K116" s="23" t="str">
        <f ca="1">IF(Calc!$AM116="","",INDEX(Setup!$F$20:$F$34,Calc!$AN116))</f>
        <v/>
      </c>
      <c r="L116" s="21" t="str">
        <f ca="1">IF(Calc!$AM116="","",SUBSTITUTE(SUBSTITUTE(SUBSTITUTE(SUBSTITUTE(INDEX(Setup!$H$20:$H$34,Calc!$AN116)&amp;"","{name}",$E116),"{years}",$G116),"{date}",TEXT($H116,"mmmm d, yyyy")),"{company}",Setup!$C$4))</f>
        <v/>
      </c>
      <c r="M116" s="21" t="str">
        <f ca="1">IF(Calc!$AM116="","",SUBSTITUTE(SUBSTITUTE(SUBSTITUTE(SUBSTITUTE(INDEX(Setup!$I$20:$I$34,Calc!$AN116)&amp;"","{name}",$E116),"{years}",$G116),"{date}",TEXT($H116,"mmmm d, yyyy")),"{company}",Setup!$C$4))</f>
        <v/>
      </c>
      <c r="N116" s="21" t="str">
        <f ca="1">IF(Calc!$AM116="","",SUBSTITUTE(SUBSTITUTE(SUBSTITUTE(SUBSTITUTE(INDEX(Setup!$J$20:$J$34,Calc!$AN116)&amp;"","{name}",$E116),"{years}",$G116),"{date}",TEXT($H116,"mmmm d, yyyy")),"{company}",Setup!$C$4))</f>
        <v/>
      </c>
      <c r="O116" s="21" t="str">
        <f ca="1">IF(Calc!$AM116="","",SUBSTITUTE(SUBSTITUTE(SUBSTITUTE(SUBSTITUTE(INDEX(Setup!$K$20:$K$34,Calc!$AN116)&amp;"","{name}",$E116),"{years}",$G116),"{date}",TEXT($H116,"mmmm d, yyyy")),"{company}",Setup!$C$4))</f>
        <v/>
      </c>
      <c r="P116" s="21" t="str">
        <f ca="1">IF(Calc!$AM116="","",SUBSTITUTE(SUBSTITUTE(TRIM(SUBSTITUTE($L116," ","~")&amp;" "&amp;SUBSTITUTE($M116," ","~")&amp;" "&amp;SUBSTITUTE($N116," ","~")&amp;" "&amp;SUBSTITUTE($O116," ","~"))," "," | "),"~"," "))</f>
        <v/>
      </c>
    </row>
    <row r="117" spans="1:16" x14ac:dyDescent="0.2">
      <c r="A117" s="19" t="str">
        <f ca="1">IF(Calc!$AM117="","",ROW()-5)</f>
        <v/>
      </c>
      <c r="B117" s="20" t="str">
        <f ca="1">IF(Calc!$AM117="","",INT(Calc!$AK117))</f>
        <v/>
      </c>
      <c r="C117" s="21" t="str">
        <f ca="1">IF(Calc!$AM117="","",IF($H117&lt;Setup!$C$5,"PAST DUE: milestone date has passed",IF($B117&lt;Setup!$C$5,"LATE: order today, ask about rush",IF($B117&lt;Setup!$C$5+14,"Order within 2 weeks","Scheduled"))))</f>
        <v/>
      </c>
      <c r="D117" s="21" t="str">
        <f ca="1">IF(Calc!$AM117="","",TEXT($B117,"mmmm yyyy"))</f>
        <v/>
      </c>
      <c r="E117" s="21" t="str">
        <f ca="1">IF(Calc!$AM117="","",INDEX(Roster!$A$6:$A$505,Calc!$AM117)&amp;"")</f>
        <v/>
      </c>
      <c r="F117" s="21" t="str">
        <f ca="1">IF(Calc!$AM117="","",INDEX(Roster!$C$6:$C$505,Calc!$AM117)&amp;"")</f>
        <v/>
      </c>
      <c r="G117" s="19" t="str">
        <f ca="1">IF(Calc!$AM117="","",INDEX(Setup!$C$20:$C$34,Calc!$AN117))</f>
        <v/>
      </c>
      <c r="H117" s="20" t="str">
        <f ca="1">IF(Calc!$AM117="","",INDEX(Calc!$B$6:$P$505,Calc!$AM117,Calc!$AN117))</f>
        <v/>
      </c>
      <c r="I117" s="21" t="str">
        <f ca="1">IF(Calc!$AM117="","",INDEX(Setup!$D$20:$D$34,Calc!$AN117)&amp;"")</f>
        <v/>
      </c>
      <c r="J117" s="21" t="str">
        <f ca="1">IF(Calc!$AM117="","",INDEX(Setup!$E$20:$E$34,Calc!$AN117)&amp;"")</f>
        <v/>
      </c>
      <c r="K117" s="23" t="str">
        <f ca="1">IF(Calc!$AM117="","",INDEX(Setup!$F$20:$F$34,Calc!$AN117))</f>
        <v/>
      </c>
      <c r="L117" s="21" t="str">
        <f ca="1">IF(Calc!$AM117="","",SUBSTITUTE(SUBSTITUTE(SUBSTITUTE(SUBSTITUTE(INDEX(Setup!$H$20:$H$34,Calc!$AN117)&amp;"","{name}",$E117),"{years}",$G117),"{date}",TEXT($H117,"mmmm d, yyyy")),"{company}",Setup!$C$4))</f>
        <v/>
      </c>
      <c r="M117" s="21" t="str">
        <f ca="1">IF(Calc!$AM117="","",SUBSTITUTE(SUBSTITUTE(SUBSTITUTE(SUBSTITUTE(INDEX(Setup!$I$20:$I$34,Calc!$AN117)&amp;"","{name}",$E117),"{years}",$G117),"{date}",TEXT($H117,"mmmm d, yyyy")),"{company}",Setup!$C$4))</f>
        <v/>
      </c>
      <c r="N117" s="21" t="str">
        <f ca="1">IF(Calc!$AM117="","",SUBSTITUTE(SUBSTITUTE(SUBSTITUTE(SUBSTITUTE(INDEX(Setup!$J$20:$J$34,Calc!$AN117)&amp;"","{name}",$E117),"{years}",$G117),"{date}",TEXT($H117,"mmmm d, yyyy")),"{company}",Setup!$C$4))</f>
        <v/>
      </c>
      <c r="O117" s="21" t="str">
        <f ca="1">IF(Calc!$AM117="","",SUBSTITUTE(SUBSTITUTE(SUBSTITUTE(SUBSTITUTE(INDEX(Setup!$K$20:$K$34,Calc!$AN117)&amp;"","{name}",$E117),"{years}",$G117),"{date}",TEXT($H117,"mmmm d, yyyy")),"{company}",Setup!$C$4))</f>
        <v/>
      </c>
      <c r="P117" s="21" t="str">
        <f ca="1">IF(Calc!$AM117="","",SUBSTITUTE(SUBSTITUTE(TRIM(SUBSTITUTE($L117," ","~")&amp;" "&amp;SUBSTITUTE($M117," ","~")&amp;" "&amp;SUBSTITUTE($N117," ","~")&amp;" "&amp;SUBSTITUTE($O117," ","~"))," "," | "),"~"," "))</f>
        <v/>
      </c>
    </row>
    <row r="118" spans="1:16" x14ac:dyDescent="0.2">
      <c r="A118" s="19" t="str">
        <f ca="1">IF(Calc!$AM118="","",ROW()-5)</f>
        <v/>
      </c>
      <c r="B118" s="20" t="str">
        <f ca="1">IF(Calc!$AM118="","",INT(Calc!$AK118))</f>
        <v/>
      </c>
      <c r="C118" s="21" t="str">
        <f ca="1">IF(Calc!$AM118="","",IF($H118&lt;Setup!$C$5,"PAST DUE: milestone date has passed",IF($B118&lt;Setup!$C$5,"LATE: order today, ask about rush",IF($B118&lt;Setup!$C$5+14,"Order within 2 weeks","Scheduled"))))</f>
        <v/>
      </c>
      <c r="D118" s="21" t="str">
        <f ca="1">IF(Calc!$AM118="","",TEXT($B118,"mmmm yyyy"))</f>
        <v/>
      </c>
      <c r="E118" s="21" t="str">
        <f ca="1">IF(Calc!$AM118="","",INDEX(Roster!$A$6:$A$505,Calc!$AM118)&amp;"")</f>
        <v/>
      </c>
      <c r="F118" s="21" t="str">
        <f ca="1">IF(Calc!$AM118="","",INDEX(Roster!$C$6:$C$505,Calc!$AM118)&amp;"")</f>
        <v/>
      </c>
      <c r="G118" s="19" t="str">
        <f ca="1">IF(Calc!$AM118="","",INDEX(Setup!$C$20:$C$34,Calc!$AN118))</f>
        <v/>
      </c>
      <c r="H118" s="20" t="str">
        <f ca="1">IF(Calc!$AM118="","",INDEX(Calc!$B$6:$P$505,Calc!$AM118,Calc!$AN118))</f>
        <v/>
      </c>
      <c r="I118" s="21" t="str">
        <f ca="1">IF(Calc!$AM118="","",INDEX(Setup!$D$20:$D$34,Calc!$AN118)&amp;"")</f>
        <v/>
      </c>
      <c r="J118" s="21" t="str">
        <f ca="1">IF(Calc!$AM118="","",INDEX(Setup!$E$20:$E$34,Calc!$AN118)&amp;"")</f>
        <v/>
      </c>
      <c r="K118" s="23" t="str">
        <f ca="1">IF(Calc!$AM118="","",INDEX(Setup!$F$20:$F$34,Calc!$AN118))</f>
        <v/>
      </c>
      <c r="L118" s="21" t="str">
        <f ca="1">IF(Calc!$AM118="","",SUBSTITUTE(SUBSTITUTE(SUBSTITUTE(SUBSTITUTE(INDEX(Setup!$H$20:$H$34,Calc!$AN118)&amp;"","{name}",$E118),"{years}",$G118),"{date}",TEXT($H118,"mmmm d, yyyy")),"{company}",Setup!$C$4))</f>
        <v/>
      </c>
      <c r="M118" s="21" t="str">
        <f ca="1">IF(Calc!$AM118="","",SUBSTITUTE(SUBSTITUTE(SUBSTITUTE(SUBSTITUTE(INDEX(Setup!$I$20:$I$34,Calc!$AN118)&amp;"","{name}",$E118),"{years}",$G118),"{date}",TEXT($H118,"mmmm d, yyyy")),"{company}",Setup!$C$4))</f>
        <v/>
      </c>
      <c r="N118" s="21" t="str">
        <f ca="1">IF(Calc!$AM118="","",SUBSTITUTE(SUBSTITUTE(SUBSTITUTE(SUBSTITUTE(INDEX(Setup!$J$20:$J$34,Calc!$AN118)&amp;"","{name}",$E118),"{years}",$G118),"{date}",TEXT($H118,"mmmm d, yyyy")),"{company}",Setup!$C$4))</f>
        <v/>
      </c>
      <c r="O118" s="21" t="str">
        <f ca="1">IF(Calc!$AM118="","",SUBSTITUTE(SUBSTITUTE(SUBSTITUTE(SUBSTITUTE(INDEX(Setup!$K$20:$K$34,Calc!$AN118)&amp;"","{name}",$E118),"{years}",$G118),"{date}",TEXT($H118,"mmmm d, yyyy")),"{company}",Setup!$C$4))</f>
        <v/>
      </c>
      <c r="P118" s="21" t="str">
        <f ca="1">IF(Calc!$AM118="","",SUBSTITUTE(SUBSTITUTE(TRIM(SUBSTITUTE($L118," ","~")&amp;" "&amp;SUBSTITUTE($M118," ","~")&amp;" "&amp;SUBSTITUTE($N118," ","~")&amp;" "&amp;SUBSTITUTE($O118," ","~"))," "," | "),"~"," "))</f>
        <v/>
      </c>
    </row>
    <row r="119" spans="1:16" x14ac:dyDescent="0.2">
      <c r="A119" s="19" t="str">
        <f ca="1">IF(Calc!$AM119="","",ROW()-5)</f>
        <v/>
      </c>
      <c r="B119" s="20" t="str">
        <f ca="1">IF(Calc!$AM119="","",INT(Calc!$AK119))</f>
        <v/>
      </c>
      <c r="C119" s="21" t="str">
        <f ca="1">IF(Calc!$AM119="","",IF($H119&lt;Setup!$C$5,"PAST DUE: milestone date has passed",IF($B119&lt;Setup!$C$5,"LATE: order today, ask about rush",IF($B119&lt;Setup!$C$5+14,"Order within 2 weeks","Scheduled"))))</f>
        <v/>
      </c>
      <c r="D119" s="21" t="str">
        <f ca="1">IF(Calc!$AM119="","",TEXT($B119,"mmmm yyyy"))</f>
        <v/>
      </c>
      <c r="E119" s="21" t="str">
        <f ca="1">IF(Calc!$AM119="","",INDEX(Roster!$A$6:$A$505,Calc!$AM119)&amp;"")</f>
        <v/>
      </c>
      <c r="F119" s="21" t="str">
        <f ca="1">IF(Calc!$AM119="","",INDEX(Roster!$C$6:$C$505,Calc!$AM119)&amp;"")</f>
        <v/>
      </c>
      <c r="G119" s="19" t="str">
        <f ca="1">IF(Calc!$AM119="","",INDEX(Setup!$C$20:$C$34,Calc!$AN119))</f>
        <v/>
      </c>
      <c r="H119" s="20" t="str">
        <f ca="1">IF(Calc!$AM119="","",INDEX(Calc!$B$6:$P$505,Calc!$AM119,Calc!$AN119))</f>
        <v/>
      </c>
      <c r="I119" s="21" t="str">
        <f ca="1">IF(Calc!$AM119="","",INDEX(Setup!$D$20:$D$34,Calc!$AN119)&amp;"")</f>
        <v/>
      </c>
      <c r="J119" s="21" t="str">
        <f ca="1">IF(Calc!$AM119="","",INDEX(Setup!$E$20:$E$34,Calc!$AN119)&amp;"")</f>
        <v/>
      </c>
      <c r="K119" s="23" t="str">
        <f ca="1">IF(Calc!$AM119="","",INDEX(Setup!$F$20:$F$34,Calc!$AN119))</f>
        <v/>
      </c>
      <c r="L119" s="21" t="str">
        <f ca="1">IF(Calc!$AM119="","",SUBSTITUTE(SUBSTITUTE(SUBSTITUTE(SUBSTITUTE(INDEX(Setup!$H$20:$H$34,Calc!$AN119)&amp;"","{name}",$E119),"{years}",$G119),"{date}",TEXT($H119,"mmmm d, yyyy")),"{company}",Setup!$C$4))</f>
        <v/>
      </c>
      <c r="M119" s="21" t="str">
        <f ca="1">IF(Calc!$AM119="","",SUBSTITUTE(SUBSTITUTE(SUBSTITUTE(SUBSTITUTE(INDEX(Setup!$I$20:$I$34,Calc!$AN119)&amp;"","{name}",$E119),"{years}",$G119),"{date}",TEXT($H119,"mmmm d, yyyy")),"{company}",Setup!$C$4))</f>
        <v/>
      </c>
      <c r="N119" s="21" t="str">
        <f ca="1">IF(Calc!$AM119="","",SUBSTITUTE(SUBSTITUTE(SUBSTITUTE(SUBSTITUTE(INDEX(Setup!$J$20:$J$34,Calc!$AN119)&amp;"","{name}",$E119),"{years}",$G119),"{date}",TEXT($H119,"mmmm d, yyyy")),"{company}",Setup!$C$4))</f>
        <v/>
      </c>
      <c r="O119" s="21" t="str">
        <f ca="1">IF(Calc!$AM119="","",SUBSTITUTE(SUBSTITUTE(SUBSTITUTE(SUBSTITUTE(INDEX(Setup!$K$20:$K$34,Calc!$AN119)&amp;"","{name}",$E119),"{years}",$G119),"{date}",TEXT($H119,"mmmm d, yyyy")),"{company}",Setup!$C$4))</f>
        <v/>
      </c>
      <c r="P119" s="21" t="str">
        <f ca="1">IF(Calc!$AM119="","",SUBSTITUTE(SUBSTITUTE(TRIM(SUBSTITUTE($L119," ","~")&amp;" "&amp;SUBSTITUTE($M119," ","~")&amp;" "&amp;SUBSTITUTE($N119," ","~")&amp;" "&amp;SUBSTITUTE($O119," ","~"))," "," | "),"~"," "))</f>
        <v/>
      </c>
    </row>
    <row r="120" spans="1:16" x14ac:dyDescent="0.2">
      <c r="A120" s="19" t="str">
        <f ca="1">IF(Calc!$AM120="","",ROW()-5)</f>
        <v/>
      </c>
      <c r="B120" s="20" t="str">
        <f ca="1">IF(Calc!$AM120="","",INT(Calc!$AK120))</f>
        <v/>
      </c>
      <c r="C120" s="21" t="str">
        <f ca="1">IF(Calc!$AM120="","",IF($H120&lt;Setup!$C$5,"PAST DUE: milestone date has passed",IF($B120&lt;Setup!$C$5,"LATE: order today, ask about rush",IF($B120&lt;Setup!$C$5+14,"Order within 2 weeks","Scheduled"))))</f>
        <v/>
      </c>
      <c r="D120" s="21" t="str">
        <f ca="1">IF(Calc!$AM120="","",TEXT($B120,"mmmm yyyy"))</f>
        <v/>
      </c>
      <c r="E120" s="21" t="str">
        <f ca="1">IF(Calc!$AM120="","",INDEX(Roster!$A$6:$A$505,Calc!$AM120)&amp;"")</f>
        <v/>
      </c>
      <c r="F120" s="21" t="str">
        <f ca="1">IF(Calc!$AM120="","",INDEX(Roster!$C$6:$C$505,Calc!$AM120)&amp;"")</f>
        <v/>
      </c>
      <c r="G120" s="19" t="str">
        <f ca="1">IF(Calc!$AM120="","",INDEX(Setup!$C$20:$C$34,Calc!$AN120))</f>
        <v/>
      </c>
      <c r="H120" s="20" t="str">
        <f ca="1">IF(Calc!$AM120="","",INDEX(Calc!$B$6:$P$505,Calc!$AM120,Calc!$AN120))</f>
        <v/>
      </c>
      <c r="I120" s="21" t="str">
        <f ca="1">IF(Calc!$AM120="","",INDEX(Setup!$D$20:$D$34,Calc!$AN120)&amp;"")</f>
        <v/>
      </c>
      <c r="J120" s="21" t="str">
        <f ca="1">IF(Calc!$AM120="","",INDEX(Setup!$E$20:$E$34,Calc!$AN120)&amp;"")</f>
        <v/>
      </c>
      <c r="K120" s="23" t="str">
        <f ca="1">IF(Calc!$AM120="","",INDEX(Setup!$F$20:$F$34,Calc!$AN120))</f>
        <v/>
      </c>
      <c r="L120" s="21" t="str">
        <f ca="1">IF(Calc!$AM120="","",SUBSTITUTE(SUBSTITUTE(SUBSTITUTE(SUBSTITUTE(INDEX(Setup!$H$20:$H$34,Calc!$AN120)&amp;"","{name}",$E120),"{years}",$G120),"{date}",TEXT($H120,"mmmm d, yyyy")),"{company}",Setup!$C$4))</f>
        <v/>
      </c>
      <c r="M120" s="21" t="str">
        <f ca="1">IF(Calc!$AM120="","",SUBSTITUTE(SUBSTITUTE(SUBSTITUTE(SUBSTITUTE(INDEX(Setup!$I$20:$I$34,Calc!$AN120)&amp;"","{name}",$E120),"{years}",$G120),"{date}",TEXT($H120,"mmmm d, yyyy")),"{company}",Setup!$C$4))</f>
        <v/>
      </c>
      <c r="N120" s="21" t="str">
        <f ca="1">IF(Calc!$AM120="","",SUBSTITUTE(SUBSTITUTE(SUBSTITUTE(SUBSTITUTE(INDEX(Setup!$J$20:$J$34,Calc!$AN120)&amp;"","{name}",$E120),"{years}",$G120),"{date}",TEXT($H120,"mmmm d, yyyy")),"{company}",Setup!$C$4))</f>
        <v/>
      </c>
      <c r="O120" s="21" t="str">
        <f ca="1">IF(Calc!$AM120="","",SUBSTITUTE(SUBSTITUTE(SUBSTITUTE(SUBSTITUTE(INDEX(Setup!$K$20:$K$34,Calc!$AN120)&amp;"","{name}",$E120),"{years}",$G120),"{date}",TEXT($H120,"mmmm d, yyyy")),"{company}",Setup!$C$4))</f>
        <v/>
      </c>
      <c r="P120" s="21" t="str">
        <f ca="1">IF(Calc!$AM120="","",SUBSTITUTE(SUBSTITUTE(TRIM(SUBSTITUTE($L120," ","~")&amp;" "&amp;SUBSTITUTE($M120," ","~")&amp;" "&amp;SUBSTITUTE($N120," ","~")&amp;" "&amp;SUBSTITUTE($O120," ","~"))," "," | "),"~"," "))</f>
        <v/>
      </c>
    </row>
    <row r="121" spans="1:16" x14ac:dyDescent="0.2">
      <c r="A121" s="19" t="str">
        <f ca="1">IF(Calc!$AM121="","",ROW()-5)</f>
        <v/>
      </c>
      <c r="B121" s="20" t="str">
        <f ca="1">IF(Calc!$AM121="","",INT(Calc!$AK121))</f>
        <v/>
      </c>
      <c r="C121" s="21" t="str">
        <f ca="1">IF(Calc!$AM121="","",IF($H121&lt;Setup!$C$5,"PAST DUE: milestone date has passed",IF($B121&lt;Setup!$C$5,"LATE: order today, ask about rush",IF($B121&lt;Setup!$C$5+14,"Order within 2 weeks","Scheduled"))))</f>
        <v/>
      </c>
      <c r="D121" s="21" t="str">
        <f ca="1">IF(Calc!$AM121="","",TEXT($B121,"mmmm yyyy"))</f>
        <v/>
      </c>
      <c r="E121" s="21" t="str">
        <f ca="1">IF(Calc!$AM121="","",INDEX(Roster!$A$6:$A$505,Calc!$AM121)&amp;"")</f>
        <v/>
      </c>
      <c r="F121" s="21" t="str">
        <f ca="1">IF(Calc!$AM121="","",INDEX(Roster!$C$6:$C$505,Calc!$AM121)&amp;"")</f>
        <v/>
      </c>
      <c r="G121" s="19" t="str">
        <f ca="1">IF(Calc!$AM121="","",INDEX(Setup!$C$20:$C$34,Calc!$AN121))</f>
        <v/>
      </c>
      <c r="H121" s="20" t="str">
        <f ca="1">IF(Calc!$AM121="","",INDEX(Calc!$B$6:$P$505,Calc!$AM121,Calc!$AN121))</f>
        <v/>
      </c>
      <c r="I121" s="21" t="str">
        <f ca="1">IF(Calc!$AM121="","",INDEX(Setup!$D$20:$D$34,Calc!$AN121)&amp;"")</f>
        <v/>
      </c>
      <c r="J121" s="21" t="str">
        <f ca="1">IF(Calc!$AM121="","",INDEX(Setup!$E$20:$E$34,Calc!$AN121)&amp;"")</f>
        <v/>
      </c>
      <c r="K121" s="23" t="str">
        <f ca="1">IF(Calc!$AM121="","",INDEX(Setup!$F$20:$F$34,Calc!$AN121))</f>
        <v/>
      </c>
      <c r="L121" s="21" t="str">
        <f ca="1">IF(Calc!$AM121="","",SUBSTITUTE(SUBSTITUTE(SUBSTITUTE(SUBSTITUTE(INDEX(Setup!$H$20:$H$34,Calc!$AN121)&amp;"","{name}",$E121),"{years}",$G121),"{date}",TEXT($H121,"mmmm d, yyyy")),"{company}",Setup!$C$4))</f>
        <v/>
      </c>
      <c r="M121" s="21" t="str">
        <f ca="1">IF(Calc!$AM121="","",SUBSTITUTE(SUBSTITUTE(SUBSTITUTE(SUBSTITUTE(INDEX(Setup!$I$20:$I$34,Calc!$AN121)&amp;"","{name}",$E121),"{years}",$G121),"{date}",TEXT($H121,"mmmm d, yyyy")),"{company}",Setup!$C$4))</f>
        <v/>
      </c>
      <c r="N121" s="21" t="str">
        <f ca="1">IF(Calc!$AM121="","",SUBSTITUTE(SUBSTITUTE(SUBSTITUTE(SUBSTITUTE(INDEX(Setup!$J$20:$J$34,Calc!$AN121)&amp;"","{name}",$E121),"{years}",$G121),"{date}",TEXT($H121,"mmmm d, yyyy")),"{company}",Setup!$C$4))</f>
        <v/>
      </c>
      <c r="O121" s="21" t="str">
        <f ca="1">IF(Calc!$AM121="","",SUBSTITUTE(SUBSTITUTE(SUBSTITUTE(SUBSTITUTE(INDEX(Setup!$K$20:$K$34,Calc!$AN121)&amp;"","{name}",$E121),"{years}",$G121),"{date}",TEXT($H121,"mmmm d, yyyy")),"{company}",Setup!$C$4))</f>
        <v/>
      </c>
      <c r="P121" s="21" t="str">
        <f ca="1">IF(Calc!$AM121="","",SUBSTITUTE(SUBSTITUTE(TRIM(SUBSTITUTE($L121," ","~")&amp;" "&amp;SUBSTITUTE($M121," ","~")&amp;" "&amp;SUBSTITUTE($N121," ","~")&amp;" "&amp;SUBSTITUTE($O121," ","~"))," "," | "),"~"," "))</f>
        <v/>
      </c>
    </row>
    <row r="122" spans="1:16" x14ac:dyDescent="0.2">
      <c r="A122" s="19" t="str">
        <f ca="1">IF(Calc!$AM122="","",ROW()-5)</f>
        <v/>
      </c>
      <c r="B122" s="20" t="str">
        <f ca="1">IF(Calc!$AM122="","",INT(Calc!$AK122))</f>
        <v/>
      </c>
      <c r="C122" s="21" t="str">
        <f ca="1">IF(Calc!$AM122="","",IF($H122&lt;Setup!$C$5,"PAST DUE: milestone date has passed",IF($B122&lt;Setup!$C$5,"LATE: order today, ask about rush",IF($B122&lt;Setup!$C$5+14,"Order within 2 weeks","Scheduled"))))</f>
        <v/>
      </c>
      <c r="D122" s="21" t="str">
        <f ca="1">IF(Calc!$AM122="","",TEXT($B122,"mmmm yyyy"))</f>
        <v/>
      </c>
      <c r="E122" s="21" t="str">
        <f ca="1">IF(Calc!$AM122="","",INDEX(Roster!$A$6:$A$505,Calc!$AM122)&amp;"")</f>
        <v/>
      </c>
      <c r="F122" s="21" t="str">
        <f ca="1">IF(Calc!$AM122="","",INDEX(Roster!$C$6:$C$505,Calc!$AM122)&amp;"")</f>
        <v/>
      </c>
      <c r="G122" s="19" t="str">
        <f ca="1">IF(Calc!$AM122="","",INDEX(Setup!$C$20:$C$34,Calc!$AN122))</f>
        <v/>
      </c>
      <c r="H122" s="20" t="str">
        <f ca="1">IF(Calc!$AM122="","",INDEX(Calc!$B$6:$P$505,Calc!$AM122,Calc!$AN122))</f>
        <v/>
      </c>
      <c r="I122" s="21" t="str">
        <f ca="1">IF(Calc!$AM122="","",INDEX(Setup!$D$20:$D$34,Calc!$AN122)&amp;"")</f>
        <v/>
      </c>
      <c r="J122" s="21" t="str">
        <f ca="1">IF(Calc!$AM122="","",INDEX(Setup!$E$20:$E$34,Calc!$AN122)&amp;"")</f>
        <v/>
      </c>
      <c r="K122" s="23" t="str">
        <f ca="1">IF(Calc!$AM122="","",INDEX(Setup!$F$20:$F$34,Calc!$AN122))</f>
        <v/>
      </c>
      <c r="L122" s="21" t="str">
        <f ca="1">IF(Calc!$AM122="","",SUBSTITUTE(SUBSTITUTE(SUBSTITUTE(SUBSTITUTE(INDEX(Setup!$H$20:$H$34,Calc!$AN122)&amp;"","{name}",$E122),"{years}",$G122),"{date}",TEXT($H122,"mmmm d, yyyy")),"{company}",Setup!$C$4))</f>
        <v/>
      </c>
      <c r="M122" s="21" t="str">
        <f ca="1">IF(Calc!$AM122="","",SUBSTITUTE(SUBSTITUTE(SUBSTITUTE(SUBSTITUTE(INDEX(Setup!$I$20:$I$34,Calc!$AN122)&amp;"","{name}",$E122),"{years}",$G122),"{date}",TEXT($H122,"mmmm d, yyyy")),"{company}",Setup!$C$4))</f>
        <v/>
      </c>
      <c r="N122" s="21" t="str">
        <f ca="1">IF(Calc!$AM122="","",SUBSTITUTE(SUBSTITUTE(SUBSTITUTE(SUBSTITUTE(INDEX(Setup!$J$20:$J$34,Calc!$AN122)&amp;"","{name}",$E122),"{years}",$G122),"{date}",TEXT($H122,"mmmm d, yyyy")),"{company}",Setup!$C$4))</f>
        <v/>
      </c>
      <c r="O122" s="21" t="str">
        <f ca="1">IF(Calc!$AM122="","",SUBSTITUTE(SUBSTITUTE(SUBSTITUTE(SUBSTITUTE(INDEX(Setup!$K$20:$K$34,Calc!$AN122)&amp;"","{name}",$E122),"{years}",$G122),"{date}",TEXT($H122,"mmmm d, yyyy")),"{company}",Setup!$C$4))</f>
        <v/>
      </c>
      <c r="P122" s="21" t="str">
        <f ca="1">IF(Calc!$AM122="","",SUBSTITUTE(SUBSTITUTE(TRIM(SUBSTITUTE($L122," ","~")&amp;" "&amp;SUBSTITUTE($M122," ","~")&amp;" "&amp;SUBSTITUTE($N122," ","~")&amp;" "&amp;SUBSTITUTE($O122," ","~"))," "," | "),"~"," "))</f>
        <v/>
      </c>
    </row>
    <row r="123" spans="1:16" x14ac:dyDescent="0.2">
      <c r="A123" s="19" t="str">
        <f ca="1">IF(Calc!$AM123="","",ROW()-5)</f>
        <v/>
      </c>
      <c r="B123" s="20" t="str">
        <f ca="1">IF(Calc!$AM123="","",INT(Calc!$AK123))</f>
        <v/>
      </c>
      <c r="C123" s="21" t="str">
        <f ca="1">IF(Calc!$AM123="","",IF($H123&lt;Setup!$C$5,"PAST DUE: milestone date has passed",IF($B123&lt;Setup!$C$5,"LATE: order today, ask about rush",IF($B123&lt;Setup!$C$5+14,"Order within 2 weeks","Scheduled"))))</f>
        <v/>
      </c>
      <c r="D123" s="21" t="str">
        <f ca="1">IF(Calc!$AM123="","",TEXT($B123,"mmmm yyyy"))</f>
        <v/>
      </c>
      <c r="E123" s="21" t="str">
        <f ca="1">IF(Calc!$AM123="","",INDEX(Roster!$A$6:$A$505,Calc!$AM123)&amp;"")</f>
        <v/>
      </c>
      <c r="F123" s="21" t="str">
        <f ca="1">IF(Calc!$AM123="","",INDEX(Roster!$C$6:$C$505,Calc!$AM123)&amp;"")</f>
        <v/>
      </c>
      <c r="G123" s="19" t="str">
        <f ca="1">IF(Calc!$AM123="","",INDEX(Setup!$C$20:$C$34,Calc!$AN123))</f>
        <v/>
      </c>
      <c r="H123" s="20" t="str">
        <f ca="1">IF(Calc!$AM123="","",INDEX(Calc!$B$6:$P$505,Calc!$AM123,Calc!$AN123))</f>
        <v/>
      </c>
      <c r="I123" s="21" t="str">
        <f ca="1">IF(Calc!$AM123="","",INDEX(Setup!$D$20:$D$34,Calc!$AN123)&amp;"")</f>
        <v/>
      </c>
      <c r="J123" s="21" t="str">
        <f ca="1">IF(Calc!$AM123="","",INDEX(Setup!$E$20:$E$34,Calc!$AN123)&amp;"")</f>
        <v/>
      </c>
      <c r="K123" s="23" t="str">
        <f ca="1">IF(Calc!$AM123="","",INDEX(Setup!$F$20:$F$34,Calc!$AN123))</f>
        <v/>
      </c>
      <c r="L123" s="21" t="str">
        <f ca="1">IF(Calc!$AM123="","",SUBSTITUTE(SUBSTITUTE(SUBSTITUTE(SUBSTITUTE(INDEX(Setup!$H$20:$H$34,Calc!$AN123)&amp;"","{name}",$E123),"{years}",$G123),"{date}",TEXT($H123,"mmmm d, yyyy")),"{company}",Setup!$C$4))</f>
        <v/>
      </c>
      <c r="M123" s="21" t="str">
        <f ca="1">IF(Calc!$AM123="","",SUBSTITUTE(SUBSTITUTE(SUBSTITUTE(SUBSTITUTE(INDEX(Setup!$I$20:$I$34,Calc!$AN123)&amp;"","{name}",$E123),"{years}",$G123),"{date}",TEXT($H123,"mmmm d, yyyy")),"{company}",Setup!$C$4))</f>
        <v/>
      </c>
      <c r="N123" s="21" t="str">
        <f ca="1">IF(Calc!$AM123="","",SUBSTITUTE(SUBSTITUTE(SUBSTITUTE(SUBSTITUTE(INDEX(Setup!$J$20:$J$34,Calc!$AN123)&amp;"","{name}",$E123),"{years}",$G123),"{date}",TEXT($H123,"mmmm d, yyyy")),"{company}",Setup!$C$4))</f>
        <v/>
      </c>
      <c r="O123" s="21" t="str">
        <f ca="1">IF(Calc!$AM123="","",SUBSTITUTE(SUBSTITUTE(SUBSTITUTE(SUBSTITUTE(INDEX(Setup!$K$20:$K$34,Calc!$AN123)&amp;"","{name}",$E123),"{years}",$G123),"{date}",TEXT($H123,"mmmm d, yyyy")),"{company}",Setup!$C$4))</f>
        <v/>
      </c>
      <c r="P123" s="21" t="str">
        <f ca="1">IF(Calc!$AM123="","",SUBSTITUTE(SUBSTITUTE(TRIM(SUBSTITUTE($L123," ","~")&amp;" "&amp;SUBSTITUTE($M123," ","~")&amp;" "&amp;SUBSTITUTE($N123," ","~")&amp;" "&amp;SUBSTITUTE($O123," ","~"))," "," | "),"~"," "))</f>
        <v/>
      </c>
    </row>
    <row r="124" spans="1:16" x14ac:dyDescent="0.2">
      <c r="A124" s="19" t="str">
        <f ca="1">IF(Calc!$AM124="","",ROW()-5)</f>
        <v/>
      </c>
      <c r="B124" s="20" t="str">
        <f ca="1">IF(Calc!$AM124="","",INT(Calc!$AK124))</f>
        <v/>
      </c>
      <c r="C124" s="21" t="str">
        <f ca="1">IF(Calc!$AM124="","",IF($H124&lt;Setup!$C$5,"PAST DUE: milestone date has passed",IF($B124&lt;Setup!$C$5,"LATE: order today, ask about rush",IF($B124&lt;Setup!$C$5+14,"Order within 2 weeks","Scheduled"))))</f>
        <v/>
      </c>
      <c r="D124" s="21" t="str">
        <f ca="1">IF(Calc!$AM124="","",TEXT($B124,"mmmm yyyy"))</f>
        <v/>
      </c>
      <c r="E124" s="21" t="str">
        <f ca="1">IF(Calc!$AM124="","",INDEX(Roster!$A$6:$A$505,Calc!$AM124)&amp;"")</f>
        <v/>
      </c>
      <c r="F124" s="21" t="str">
        <f ca="1">IF(Calc!$AM124="","",INDEX(Roster!$C$6:$C$505,Calc!$AM124)&amp;"")</f>
        <v/>
      </c>
      <c r="G124" s="19" t="str">
        <f ca="1">IF(Calc!$AM124="","",INDEX(Setup!$C$20:$C$34,Calc!$AN124))</f>
        <v/>
      </c>
      <c r="H124" s="20" t="str">
        <f ca="1">IF(Calc!$AM124="","",INDEX(Calc!$B$6:$P$505,Calc!$AM124,Calc!$AN124))</f>
        <v/>
      </c>
      <c r="I124" s="21" t="str">
        <f ca="1">IF(Calc!$AM124="","",INDEX(Setup!$D$20:$D$34,Calc!$AN124)&amp;"")</f>
        <v/>
      </c>
      <c r="J124" s="21" t="str">
        <f ca="1">IF(Calc!$AM124="","",INDEX(Setup!$E$20:$E$34,Calc!$AN124)&amp;"")</f>
        <v/>
      </c>
      <c r="K124" s="23" t="str">
        <f ca="1">IF(Calc!$AM124="","",INDEX(Setup!$F$20:$F$34,Calc!$AN124))</f>
        <v/>
      </c>
      <c r="L124" s="21" t="str">
        <f ca="1">IF(Calc!$AM124="","",SUBSTITUTE(SUBSTITUTE(SUBSTITUTE(SUBSTITUTE(INDEX(Setup!$H$20:$H$34,Calc!$AN124)&amp;"","{name}",$E124),"{years}",$G124),"{date}",TEXT($H124,"mmmm d, yyyy")),"{company}",Setup!$C$4))</f>
        <v/>
      </c>
      <c r="M124" s="21" t="str">
        <f ca="1">IF(Calc!$AM124="","",SUBSTITUTE(SUBSTITUTE(SUBSTITUTE(SUBSTITUTE(INDEX(Setup!$I$20:$I$34,Calc!$AN124)&amp;"","{name}",$E124),"{years}",$G124),"{date}",TEXT($H124,"mmmm d, yyyy")),"{company}",Setup!$C$4))</f>
        <v/>
      </c>
      <c r="N124" s="21" t="str">
        <f ca="1">IF(Calc!$AM124="","",SUBSTITUTE(SUBSTITUTE(SUBSTITUTE(SUBSTITUTE(INDEX(Setup!$J$20:$J$34,Calc!$AN124)&amp;"","{name}",$E124),"{years}",$G124),"{date}",TEXT($H124,"mmmm d, yyyy")),"{company}",Setup!$C$4))</f>
        <v/>
      </c>
      <c r="O124" s="21" t="str">
        <f ca="1">IF(Calc!$AM124="","",SUBSTITUTE(SUBSTITUTE(SUBSTITUTE(SUBSTITUTE(INDEX(Setup!$K$20:$K$34,Calc!$AN124)&amp;"","{name}",$E124),"{years}",$G124),"{date}",TEXT($H124,"mmmm d, yyyy")),"{company}",Setup!$C$4))</f>
        <v/>
      </c>
      <c r="P124" s="21" t="str">
        <f ca="1">IF(Calc!$AM124="","",SUBSTITUTE(SUBSTITUTE(TRIM(SUBSTITUTE($L124," ","~")&amp;" "&amp;SUBSTITUTE($M124," ","~")&amp;" "&amp;SUBSTITUTE($N124," ","~")&amp;" "&amp;SUBSTITUTE($O124," ","~"))," "," | "),"~"," "))</f>
        <v/>
      </c>
    </row>
    <row r="125" spans="1:16" x14ac:dyDescent="0.2">
      <c r="A125" s="19" t="str">
        <f ca="1">IF(Calc!$AM125="","",ROW()-5)</f>
        <v/>
      </c>
      <c r="B125" s="20" t="str">
        <f ca="1">IF(Calc!$AM125="","",INT(Calc!$AK125))</f>
        <v/>
      </c>
      <c r="C125" s="21" t="str">
        <f ca="1">IF(Calc!$AM125="","",IF($H125&lt;Setup!$C$5,"PAST DUE: milestone date has passed",IF($B125&lt;Setup!$C$5,"LATE: order today, ask about rush",IF($B125&lt;Setup!$C$5+14,"Order within 2 weeks","Scheduled"))))</f>
        <v/>
      </c>
      <c r="D125" s="21" t="str">
        <f ca="1">IF(Calc!$AM125="","",TEXT($B125,"mmmm yyyy"))</f>
        <v/>
      </c>
      <c r="E125" s="21" t="str">
        <f ca="1">IF(Calc!$AM125="","",INDEX(Roster!$A$6:$A$505,Calc!$AM125)&amp;"")</f>
        <v/>
      </c>
      <c r="F125" s="21" t="str">
        <f ca="1">IF(Calc!$AM125="","",INDEX(Roster!$C$6:$C$505,Calc!$AM125)&amp;"")</f>
        <v/>
      </c>
      <c r="G125" s="19" t="str">
        <f ca="1">IF(Calc!$AM125="","",INDEX(Setup!$C$20:$C$34,Calc!$AN125))</f>
        <v/>
      </c>
      <c r="H125" s="20" t="str">
        <f ca="1">IF(Calc!$AM125="","",INDEX(Calc!$B$6:$P$505,Calc!$AM125,Calc!$AN125))</f>
        <v/>
      </c>
      <c r="I125" s="21" t="str">
        <f ca="1">IF(Calc!$AM125="","",INDEX(Setup!$D$20:$D$34,Calc!$AN125)&amp;"")</f>
        <v/>
      </c>
      <c r="J125" s="21" t="str">
        <f ca="1">IF(Calc!$AM125="","",INDEX(Setup!$E$20:$E$34,Calc!$AN125)&amp;"")</f>
        <v/>
      </c>
      <c r="K125" s="23" t="str">
        <f ca="1">IF(Calc!$AM125="","",INDEX(Setup!$F$20:$F$34,Calc!$AN125))</f>
        <v/>
      </c>
      <c r="L125" s="21" t="str">
        <f ca="1">IF(Calc!$AM125="","",SUBSTITUTE(SUBSTITUTE(SUBSTITUTE(SUBSTITUTE(INDEX(Setup!$H$20:$H$34,Calc!$AN125)&amp;"","{name}",$E125),"{years}",$G125),"{date}",TEXT($H125,"mmmm d, yyyy")),"{company}",Setup!$C$4))</f>
        <v/>
      </c>
      <c r="M125" s="21" t="str">
        <f ca="1">IF(Calc!$AM125="","",SUBSTITUTE(SUBSTITUTE(SUBSTITUTE(SUBSTITUTE(INDEX(Setup!$I$20:$I$34,Calc!$AN125)&amp;"","{name}",$E125),"{years}",$G125),"{date}",TEXT($H125,"mmmm d, yyyy")),"{company}",Setup!$C$4))</f>
        <v/>
      </c>
      <c r="N125" s="21" t="str">
        <f ca="1">IF(Calc!$AM125="","",SUBSTITUTE(SUBSTITUTE(SUBSTITUTE(SUBSTITUTE(INDEX(Setup!$J$20:$J$34,Calc!$AN125)&amp;"","{name}",$E125),"{years}",$G125),"{date}",TEXT($H125,"mmmm d, yyyy")),"{company}",Setup!$C$4))</f>
        <v/>
      </c>
      <c r="O125" s="21" t="str">
        <f ca="1">IF(Calc!$AM125="","",SUBSTITUTE(SUBSTITUTE(SUBSTITUTE(SUBSTITUTE(INDEX(Setup!$K$20:$K$34,Calc!$AN125)&amp;"","{name}",$E125),"{years}",$G125),"{date}",TEXT($H125,"mmmm d, yyyy")),"{company}",Setup!$C$4))</f>
        <v/>
      </c>
      <c r="P125" s="21" t="str">
        <f ca="1">IF(Calc!$AM125="","",SUBSTITUTE(SUBSTITUTE(TRIM(SUBSTITUTE($L125," ","~")&amp;" "&amp;SUBSTITUTE($M125," ","~")&amp;" "&amp;SUBSTITUTE($N125," ","~")&amp;" "&amp;SUBSTITUTE($O125," ","~"))," "," | "),"~"," "))</f>
        <v/>
      </c>
    </row>
    <row r="126" spans="1:16" x14ac:dyDescent="0.2">
      <c r="A126" s="19" t="str">
        <f ca="1">IF(Calc!$AM126="","",ROW()-5)</f>
        <v/>
      </c>
      <c r="B126" s="20" t="str">
        <f ca="1">IF(Calc!$AM126="","",INT(Calc!$AK126))</f>
        <v/>
      </c>
      <c r="C126" s="21" t="str">
        <f ca="1">IF(Calc!$AM126="","",IF($H126&lt;Setup!$C$5,"PAST DUE: milestone date has passed",IF($B126&lt;Setup!$C$5,"LATE: order today, ask about rush",IF($B126&lt;Setup!$C$5+14,"Order within 2 weeks","Scheduled"))))</f>
        <v/>
      </c>
      <c r="D126" s="21" t="str">
        <f ca="1">IF(Calc!$AM126="","",TEXT($B126,"mmmm yyyy"))</f>
        <v/>
      </c>
      <c r="E126" s="21" t="str">
        <f ca="1">IF(Calc!$AM126="","",INDEX(Roster!$A$6:$A$505,Calc!$AM126)&amp;"")</f>
        <v/>
      </c>
      <c r="F126" s="21" t="str">
        <f ca="1">IF(Calc!$AM126="","",INDEX(Roster!$C$6:$C$505,Calc!$AM126)&amp;"")</f>
        <v/>
      </c>
      <c r="G126" s="19" t="str">
        <f ca="1">IF(Calc!$AM126="","",INDEX(Setup!$C$20:$C$34,Calc!$AN126))</f>
        <v/>
      </c>
      <c r="H126" s="20" t="str">
        <f ca="1">IF(Calc!$AM126="","",INDEX(Calc!$B$6:$P$505,Calc!$AM126,Calc!$AN126))</f>
        <v/>
      </c>
      <c r="I126" s="21" t="str">
        <f ca="1">IF(Calc!$AM126="","",INDEX(Setup!$D$20:$D$34,Calc!$AN126)&amp;"")</f>
        <v/>
      </c>
      <c r="J126" s="21" t="str">
        <f ca="1">IF(Calc!$AM126="","",INDEX(Setup!$E$20:$E$34,Calc!$AN126)&amp;"")</f>
        <v/>
      </c>
      <c r="K126" s="23" t="str">
        <f ca="1">IF(Calc!$AM126="","",INDEX(Setup!$F$20:$F$34,Calc!$AN126))</f>
        <v/>
      </c>
      <c r="L126" s="21" t="str">
        <f ca="1">IF(Calc!$AM126="","",SUBSTITUTE(SUBSTITUTE(SUBSTITUTE(SUBSTITUTE(INDEX(Setup!$H$20:$H$34,Calc!$AN126)&amp;"","{name}",$E126),"{years}",$G126),"{date}",TEXT($H126,"mmmm d, yyyy")),"{company}",Setup!$C$4))</f>
        <v/>
      </c>
      <c r="M126" s="21" t="str">
        <f ca="1">IF(Calc!$AM126="","",SUBSTITUTE(SUBSTITUTE(SUBSTITUTE(SUBSTITUTE(INDEX(Setup!$I$20:$I$34,Calc!$AN126)&amp;"","{name}",$E126),"{years}",$G126),"{date}",TEXT($H126,"mmmm d, yyyy")),"{company}",Setup!$C$4))</f>
        <v/>
      </c>
      <c r="N126" s="21" t="str">
        <f ca="1">IF(Calc!$AM126="","",SUBSTITUTE(SUBSTITUTE(SUBSTITUTE(SUBSTITUTE(INDEX(Setup!$J$20:$J$34,Calc!$AN126)&amp;"","{name}",$E126),"{years}",$G126),"{date}",TEXT($H126,"mmmm d, yyyy")),"{company}",Setup!$C$4))</f>
        <v/>
      </c>
      <c r="O126" s="21" t="str">
        <f ca="1">IF(Calc!$AM126="","",SUBSTITUTE(SUBSTITUTE(SUBSTITUTE(SUBSTITUTE(INDEX(Setup!$K$20:$K$34,Calc!$AN126)&amp;"","{name}",$E126),"{years}",$G126),"{date}",TEXT($H126,"mmmm d, yyyy")),"{company}",Setup!$C$4))</f>
        <v/>
      </c>
      <c r="P126" s="21" t="str">
        <f ca="1">IF(Calc!$AM126="","",SUBSTITUTE(SUBSTITUTE(TRIM(SUBSTITUTE($L126," ","~")&amp;" "&amp;SUBSTITUTE($M126," ","~")&amp;" "&amp;SUBSTITUTE($N126," ","~")&amp;" "&amp;SUBSTITUTE($O126," ","~"))," "," | "),"~"," "))</f>
        <v/>
      </c>
    </row>
    <row r="127" spans="1:16" x14ac:dyDescent="0.2">
      <c r="A127" s="19" t="str">
        <f ca="1">IF(Calc!$AM127="","",ROW()-5)</f>
        <v/>
      </c>
      <c r="B127" s="20" t="str">
        <f ca="1">IF(Calc!$AM127="","",INT(Calc!$AK127))</f>
        <v/>
      </c>
      <c r="C127" s="21" t="str">
        <f ca="1">IF(Calc!$AM127="","",IF($H127&lt;Setup!$C$5,"PAST DUE: milestone date has passed",IF($B127&lt;Setup!$C$5,"LATE: order today, ask about rush",IF($B127&lt;Setup!$C$5+14,"Order within 2 weeks","Scheduled"))))</f>
        <v/>
      </c>
      <c r="D127" s="21" t="str">
        <f ca="1">IF(Calc!$AM127="","",TEXT($B127,"mmmm yyyy"))</f>
        <v/>
      </c>
      <c r="E127" s="21" t="str">
        <f ca="1">IF(Calc!$AM127="","",INDEX(Roster!$A$6:$A$505,Calc!$AM127)&amp;"")</f>
        <v/>
      </c>
      <c r="F127" s="21" t="str">
        <f ca="1">IF(Calc!$AM127="","",INDEX(Roster!$C$6:$C$505,Calc!$AM127)&amp;"")</f>
        <v/>
      </c>
      <c r="G127" s="19" t="str">
        <f ca="1">IF(Calc!$AM127="","",INDEX(Setup!$C$20:$C$34,Calc!$AN127))</f>
        <v/>
      </c>
      <c r="H127" s="20" t="str">
        <f ca="1">IF(Calc!$AM127="","",INDEX(Calc!$B$6:$P$505,Calc!$AM127,Calc!$AN127))</f>
        <v/>
      </c>
      <c r="I127" s="21" t="str">
        <f ca="1">IF(Calc!$AM127="","",INDEX(Setup!$D$20:$D$34,Calc!$AN127)&amp;"")</f>
        <v/>
      </c>
      <c r="J127" s="21" t="str">
        <f ca="1">IF(Calc!$AM127="","",INDEX(Setup!$E$20:$E$34,Calc!$AN127)&amp;"")</f>
        <v/>
      </c>
      <c r="K127" s="23" t="str">
        <f ca="1">IF(Calc!$AM127="","",INDEX(Setup!$F$20:$F$34,Calc!$AN127))</f>
        <v/>
      </c>
      <c r="L127" s="21" t="str">
        <f ca="1">IF(Calc!$AM127="","",SUBSTITUTE(SUBSTITUTE(SUBSTITUTE(SUBSTITUTE(INDEX(Setup!$H$20:$H$34,Calc!$AN127)&amp;"","{name}",$E127),"{years}",$G127),"{date}",TEXT($H127,"mmmm d, yyyy")),"{company}",Setup!$C$4))</f>
        <v/>
      </c>
      <c r="M127" s="21" t="str">
        <f ca="1">IF(Calc!$AM127="","",SUBSTITUTE(SUBSTITUTE(SUBSTITUTE(SUBSTITUTE(INDEX(Setup!$I$20:$I$34,Calc!$AN127)&amp;"","{name}",$E127),"{years}",$G127),"{date}",TEXT($H127,"mmmm d, yyyy")),"{company}",Setup!$C$4))</f>
        <v/>
      </c>
      <c r="N127" s="21" t="str">
        <f ca="1">IF(Calc!$AM127="","",SUBSTITUTE(SUBSTITUTE(SUBSTITUTE(SUBSTITUTE(INDEX(Setup!$J$20:$J$34,Calc!$AN127)&amp;"","{name}",$E127),"{years}",$G127),"{date}",TEXT($H127,"mmmm d, yyyy")),"{company}",Setup!$C$4))</f>
        <v/>
      </c>
      <c r="O127" s="21" t="str">
        <f ca="1">IF(Calc!$AM127="","",SUBSTITUTE(SUBSTITUTE(SUBSTITUTE(SUBSTITUTE(INDEX(Setup!$K$20:$K$34,Calc!$AN127)&amp;"","{name}",$E127),"{years}",$G127),"{date}",TEXT($H127,"mmmm d, yyyy")),"{company}",Setup!$C$4))</f>
        <v/>
      </c>
      <c r="P127" s="21" t="str">
        <f ca="1">IF(Calc!$AM127="","",SUBSTITUTE(SUBSTITUTE(TRIM(SUBSTITUTE($L127," ","~")&amp;" "&amp;SUBSTITUTE($M127," ","~")&amp;" "&amp;SUBSTITUTE($N127," ","~")&amp;" "&amp;SUBSTITUTE($O127," ","~"))," "," | "),"~"," "))</f>
        <v/>
      </c>
    </row>
    <row r="128" spans="1:16" x14ac:dyDescent="0.2">
      <c r="A128" s="19" t="str">
        <f ca="1">IF(Calc!$AM128="","",ROW()-5)</f>
        <v/>
      </c>
      <c r="B128" s="20" t="str">
        <f ca="1">IF(Calc!$AM128="","",INT(Calc!$AK128))</f>
        <v/>
      </c>
      <c r="C128" s="21" t="str">
        <f ca="1">IF(Calc!$AM128="","",IF($H128&lt;Setup!$C$5,"PAST DUE: milestone date has passed",IF($B128&lt;Setup!$C$5,"LATE: order today, ask about rush",IF($B128&lt;Setup!$C$5+14,"Order within 2 weeks","Scheduled"))))</f>
        <v/>
      </c>
      <c r="D128" s="21" t="str">
        <f ca="1">IF(Calc!$AM128="","",TEXT($B128,"mmmm yyyy"))</f>
        <v/>
      </c>
      <c r="E128" s="21" t="str">
        <f ca="1">IF(Calc!$AM128="","",INDEX(Roster!$A$6:$A$505,Calc!$AM128)&amp;"")</f>
        <v/>
      </c>
      <c r="F128" s="21" t="str">
        <f ca="1">IF(Calc!$AM128="","",INDEX(Roster!$C$6:$C$505,Calc!$AM128)&amp;"")</f>
        <v/>
      </c>
      <c r="G128" s="19" t="str">
        <f ca="1">IF(Calc!$AM128="","",INDEX(Setup!$C$20:$C$34,Calc!$AN128))</f>
        <v/>
      </c>
      <c r="H128" s="20" t="str">
        <f ca="1">IF(Calc!$AM128="","",INDEX(Calc!$B$6:$P$505,Calc!$AM128,Calc!$AN128))</f>
        <v/>
      </c>
      <c r="I128" s="21" t="str">
        <f ca="1">IF(Calc!$AM128="","",INDEX(Setup!$D$20:$D$34,Calc!$AN128)&amp;"")</f>
        <v/>
      </c>
      <c r="J128" s="21" t="str">
        <f ca="1">IF(Calc!$AM128="","",INDEX(Setup!$E$20:$E$34,Calc!$AN128)&amp;"")</f>
        <v/>
      </c>
      <c r="K128" s="23" t="str">
        <f ca="1">IF(Calc!$AM128="","",INDEX(Setup!$F$20:$F$34,Calc!$AN128))</f>
        <v/>
      </c>
      <c r="L128" s="21" t="str">
        <f ca="1">IF(Calc!$AM128="","",SUBSTITUTE(SUBSTITUTE(SUBSTITUTE(SUBSTITUTE(INDEX(Setup!$H$20:$H$34,Calc!$AN128)&amp;"","{name}",$E128),"{years}",$G128),"{date}",TEXT($H128,"mmmm d, yyyy")),"{company}",Setup!$C$4))</f>
        <v/>
      </c>
      <c r="M128" s="21" t="str">
        <f ca="1">IF(Calc!$AM128="","",SUBSTITUTE(SUBSTITUTE(SUBSTITUTE(SUBSTITUTE(INDEX(Setup!$I$20:$I$34,Calc!$AN128)&amp;"","{name}",$E128),"{years}",$G128),"{date}",TEXT($H128,"mmmm d, yyyy")),"{company}",Setup!$C$4))</f>
        <v/>
      </c>
      <c r="N128" s="21" t="str">
        <f ca="1">IF(Calc!$AM128="","",SUBSTITUTE(SUBSTITUTE(SUBSTITUTE(SUBSTITUTE(INDEX(Setup!$J$20:$J$34,Calc!$AN128)&amp;"","{name}",$E128),"{years}",$G128),"{date}",TEXT($H128,"mmmm d, yyyy")),"{company}",Setup!$C$4))</f>
        <v/>
      </c>
      <c r="O128" s="21" t="str">
        <f ca="1">IF(Calc!$AM128="","",SUBSTITUTE(SUBSTITUTE(SUBSTITUTE(SUBSTITUTE(INDEX(Setup!$K$20:$K$34,Calc!$AN128)&amp;"","{name}",$E128),"{years}",$G128),"{date}",TEXT($H128,"mmmm d, yyyy")),"{company}",Setup!$C$4))</f>
        <v/>
      </c>
      <c r="P128" s="21" t="str">
        <f ca="1">IF(Calc!$AM128="","",SUBSTITUTE(SUBSTITUTE(TRIM(SUBSTITUTE($L128," ","~")&amp;" "&amp;SUBSTITUTE($M128," ","~")&amp;" "&amp;SUBSTITUTE($N128," ","~")&amp;" "&amp;SUBSTITUTE($O128," ","~"))," "," | "),"~"," "))</f>
        <v/>
      </c>
    </row>
    <row r="129" spans="1:16" x14ac:dyDescent="0.2">
      <c r="A129" s="19" t="str">
        <f ca="1">IF(Calc!$AM129="","",ROW()-5)</f>
        <v/>
      </c>
      <c r="B129" s="20" t="str">
        <f ca="1">IF(Calc!$AM129="","",INT(Calc!$AK129))</f>
        <v/>
      </c>
      <c r="C129" s="21" t="str">
        <f ca="1">IF(Calc!$AM129="","",IF($H129&lt;Setup!$C$5,"PAST DUE: milestone date has passed",IF($B129&lt;Setup!$C$5,"LATE: order today, ask about rush",IF($B129&lt;Setup!$C$5+14,"Order within 2 weeks","Scheduled"))))</f>
        <v/>
      </c>
      <c r="D129" s="21" t="str">
        <f ca="1">IF(Calc!$AM129="","",TEXT($B129,"mmmm yyyy"))</f>
        <v/>
      </c>
      <c r="E129" s="21" t="str">
        <f ca="1">IF(Calc!$AM129="","",INDEX(Roster!$A$6:$A$505,Calc!$AM129)&amp;"")</f>
        <v/>
      </c>
      <c r="F129" s="21" t="str">
        <f ca="1">IF(Calc!$AM129="","",INDEX(Roster!$C$6:$C$505,Calc!$AM129)&amp;"")</f>
        <v/>
      </c>
      <c r="G129" s="19" t="str">
        <f ca="1">IF(Calc!$AM129="","",INDEX(Setup!$C$20:$C$34,Calc!$AN129))</f>
        <v/>
      </c>
      <c r="H129" s="20" t="str">
        <f ca="1">IF(Calc!$AM129="","",INDEX(Calc!$B$6:$P$505,Calc!$AM129,Calc!$AN129))</f>
        <v/>
      </c>
      <c r="I129" s="21" t="str">
        <f ca="1">IF(Calc!$AM129="","",INDEX(Setup!$D$20:$D$34,Calc!$AN129)&amp;"")</f>
        <v/>
      </c>
      <c r="J129" s="21" t="str">
        <f ca="1">IF(Calc!$AM129="","",INDEX(Setup!$E$20:$E$34,Calc!$AN129)&amp;"")</f>
        <v/>
      </c>
      <c r="K129" s="23" t="str">
        <f ca="1">IF(Calc!$AM129="","",INDEX(Setup!$F$20:$F$34,Calc!$AN129))</f>
        <v/>
      </c>
      <c r="L129" s="21" t="str">
        <f ca="1">IF(Calc!$AM129="","",SUBSTITUTE(SUBSTITUTE(SUBSTITUTE(SUBSTITUTE(INDEX(Setup!$H$20:$H$34,Calc!$AN129)&amp;"","{name}",$E129),"{years}",$G129),"{date}",TEXT($H129,"mmmm d, yyyy")),"{company}",Setup!$C$4))</f>
        <v/>
      </c>
      <c r="M129" s="21" t="str">
        <f ca="1">IF(Calc!$AM129="","",SUBSTITUTE(SUBSTITUTE(SUBSTITUTE(SUBSTITUTE(INDEX(Setup!$I$20:$I$34,Calc!$AN129)&amp;"","{name}",$E129),"{years}",$G129),"{date}",TEXT($H129,"mmmm d, yyyy")),"{company}",Setup!$C$4))</f>
        <v/>
      </c>
      <c r="N129" s="21" t="str">
        <f ca="1">IF(Calc!$AM129="","",SUBSTITUTE(SUBSTITUTE(SUBSTITUTE(SUBSTITUTE(INDEX(Setup!$J$20:$J$34,Calc!$AN129)&amp;"","{name}",$E129),"{years}",$G129),"{date}",TEXT($H129,"mmmm d, yyyy")),"{company}",Setup!$C$4))</f>
        <v/>
      </c>
      <c r="O129" s="21" t="str">
        <f ca="1">IF(Calc!$AM129="","",SUBSTITUTE(SUBSTITUTE(SUBSTITUTE(SUBSTITUTE(INDEX(Setup!$K$20:$K$34,Calc!$AN129)&amp;"","{name}",$E129),"{years}",$G129),"{date}",TEXT($H129,"mmmm d, yyyy")),"{company}",Setup!$C$4))</f>
        <v/>
      </c>
      <c r="P129" s="21" t="str">
        <f ca="1">IF(Calc!$AM129="","",SUBSTITUTE(SUBSTITUTE(TRIM(SUBSTITUTE($L129," ","~")&amp;" "&amp;SUBSTITUTE($M129," ","~")&amp;" "&amp;SUBSTITUTE($N129," ","~")&amp;" "&amp;SUBSTITUTE($O129," ","~"))," "," | "),"~"," "))</f>
        <v/>
      </c>
    </row>
    <row r="130" spans="1:16" x14ac:dyDescent="0.2">
      <c r="A130" s="19" t="str">
        <f ca="1">IF(Calc!$AM130="","",ROW()-5)</f>
        <v/>
      </c>
      <c r="B130" s="20" t="str">
        <f ca="1">IF(Calc!$AM130="","",INT(Calc!$AK130))</f>
        <v/>
      </c>
      <c r="C130" s="21" t="str">
        <f ca="1">IF(Calc!$AM130="","",IF($H130&lt;Setup!$C$5,"PAST DUE: milestone date has passed",IF($B130&lt;Setup!$C$5,"LATE: order today, ask about rush",IF($B130&lt;Setup!$C$5+14,"Order within 2 weeks","Scheduled"))))</f>
        <v/>
      </c>
      <c r="D130" s="21" t="str">
        <f ca="1">IF(Calc!$AM130="","",TEXT($B130,"mmmm yyyy"))</f>
        <v/>
      </c>
      <c r="E130" s="21" t="str">
        <f ca="1">IF(Calc!$AM130="","",INDEX(Roster!$A$6:$A$505,Calc!$AM130)&amp;"")</f>
        <v/>
      </c>
      <c r="F130" s="21" t="str">
        <f ca="1">IF(Calc!$AM130="","",INDEX(Roster!$C$6:$C$505,Calc!$AM130)&amp;"")</f>
        <v/>
      </c>
      <c r="G130" s="19" t="str">
        <f ca="1">IF(Calc!$AM130="","",INDEX(Setup!$C$20:$C$34,Calc!$AN130))</f>
        <v/>
      </c>
      <c r="H130" s="20" t="str">
        <f ca="1">IF(Calc!$AM130="","",INDEX(Calc!$B$6:$P$505,Calc!$AM130,Calc!$AN130))</f>
        <v/>
      </c>
      <c r="I130" s="21" t="str">
        <f ca="1">IF(Calc!$AM130="","",INDEX(Setup!$D$20:$D$34,Calc!$AN130)&amp;"")</f>
        <v/>
      </c>
      <c r="J130" s="21" t="str">
        <f ca="1">IF(Calc!$AM130="","",INDEX(Setup!$E$20:$E$34,Calc!$AN130)&amp;"")</f>
        <v/>
      </c>
      <c r="K130" s="23" t="str">
        <f ca="1">IF(Calc!$AM130="","",INDEX(Setup!$F$20:$F$34,Calc!$AN130))</f>
        <v/>
      </c>
      <c r="L130" s="21" t="str">
        <f ca="1">IF(Calc!$AM130="","",SUBSTITUTE(SUBSTITUTE(SUBSTITUTE(SUBSTITUTE(INDEX(Setup!$H$20:$H$34,Calc!$AN130)&amp;"","{name}",$E130),"{years}",$G130),"{date}",TEXT($H130,"mmmm d, yyyy")),"{company}",Setup!$C$4))</f>
        <v/>
      </c>
      <c r="M130" s="21" t="str">
        <f ca="1">IF(Calc!$AM130="","",SUBSTITUTE(SUBSTITUTE(SUBSTITUTE(SUBSTITUTE(INDEX(Setup!$I$20:$I$34,Calc!$AN130)&amp;"","{name}",$E130),"{years}",$G130),"{date}",TEXT($H130,"mmmm d, yyyy")),"{company}",Setup!$C$4))</f>
        <v/>
      </c>
      <c r="N130" s="21" t="str">
        <f ca="1">IF(Calc!$AM130="","",SUBSTITUTE(SUBSTITUTE(SUBSTITUTE(SUBSTITUTE(INDEX(Setup!$J$20:$J$34,Calc!$AN130)&amp;"","{name}",$E130),"{years}",$G130),"{date}",TEXT($H130,"mmmm d, yyyy")),"{company}",Setup!$C$4))</f>
        <v/>
      </c>
      <c r="O130" s="21" t="str">
        <f ca="1">IF(Calc!$AM130="","",SUBSTITUTE(SUBSTITUTE(SUBSTITUTE(SUBSTITUTE(INDEX(Setup!$K$20:$K$34,Calc!$AN130)&amp;"","{name}",$E130),"{years}",$G130),"{date}",TEXT($H130,"mmmm d, yyyy")),"{company}",Setup!$C$4))</f>
        <v/>
      </c>
      <c r="P130" s="21" t="str">
        <f ca="1">IF(Calc!$AM130="","",SUBSTITUTE(SUBSTITUTE(TRIM(SUBSTITUTE($L130," ","~")&amp;" "&amp;SUBSTITUTE($M130," ","~")&amp;" "&amp;SUBSTITUTE($N130," ","~")&amp;" "&amp;SUBSTITUTE($O130," ","~"))," "," | "),"~"," "))</f>
        <v/>
      </c>
    </row>
    <row r="131" spans="1:16" x14ac:dyDescent="0.2">
      <c r="A131" s="19" t="str">
        <f ca="1">IF(Calc!$AM131="","",ROW()-5)</f>
        <v/>
      </c>
      <c r="B131" s="20" t="str">
        <f ca="1">IF(Calc!$AM131="","",INT(Calc!$AK131))</f>
        <v/>
      </c>
      <c r="C131" s="21" t="str">
        <f ca="1">IF(Calc!$AM131="","",IF($H131&lt;Setup!$C$5,"PAST DUE: milestone date has passed",IF($B131&lt;Setup!$C$5,"LATE: order today, ask about rush",IF($B131&lt;Setup!$C$5+14,"Order within 2 weeks","Scheduled"))))</f>
        <v/>
      </c>
      <c r="D131" s="21" t="str">
        <f ca="1">IF(Calc!$AM131="","",TEXT($B131,"mmmm yyyy"))</f>
        <v/>
      </c>
      <c r="E131" s="21" t="str">
        <f ca="1">IF(Calc!$AM131="","",INDEX(Roster!$A$6:$A$505,Calc!$AM131)&amp;"")</f>
        <v/>
      </c>
      <c r="F131" s="21" t="str">
        <f ca="1">IF(Calc!$AM131="","",INDEX(Roster!$C$6:$C$505,Calc!$AM131)&amp;"")</f>
        <v/>
      </c>
      <c r="G131" s="19" t="str">
        <f ca="1">IF(Calc!$AM131="","",INDEX(Setup!$C$20:$C$34,Calc!$AN131))</f>
        <v/>
      </c>
      <c r="H131" s="20" t="str">
        <f ca="1">IF(Calc!$AM131="","",INDEX(Calc!$B$6:$P$505,Calc!$AM131,Calc!$AN131))</f>
        <v/>
      </c>
      <c r="I131" s="21" t="str">
        <f ca="1">IF(Calc!$AM131="","",INDEX(Setup!$D$20:$D$34,Calc!$AN131)&amp;"")</f>
        <v/>
      </c>
      <c r="J131" s="21" t="str">
        <f ca="1">IF(Calc!$AM131="","",INDEX(Setup!$E$20:$E$34,Calc!$AN131)&amp;"")</f>
        <v/>
      </c>
      <c r="K131" s="23" t="str">
        <f ca="1">IF(Calc!$AM131="","",INDEX(Setup!$F$20:$F$34,Calc!$AN131))</f>
        <v/>
      </c>
      <c r="L131" s="21" t="str">
        <f ca="1">IF(Calc!$AM131="","",SUBSTITUTE(SUBSTITUTE(SUBSTITUTE(SUBSTITUTE(INDEX(Setup!$H$20:$H$34,Calc!$AN131)&amp;"","{name}",$E131),"{years}",$G131),"{date}",TEXT($H131,"mmmm d, yyyy")),"{company}",Setup!$C$4))</f>
        <v/>
      </c>
      <c r="M131" s="21" t="str">
        <f ca="1">IF(Calc!$AM131="","",SUBSTITUTE(SUBSTITUTE(SUBSTITUTE(SUBSTITUTE(INDEX(Setup!$I$20:$I$34,Calc!$AN131)&amp;"","{name}",$E131),"{years}",$G131),"{date}",TEXT($H131,"mmmm d, yyyy")),"{company}",Setup!$C$4))</f>
        <v/>
      </c>
      <c r="N131" s="21" t="str">
        <f ca="1">IF(Calc!$AM131="","",SUBSTITUTE(SUBSTITUTE(SUBSTITUTE(SUBSTITUTE(INDEX(Setup!$J$20:$J$34,Calc!$AN131)&amp;"","{name}",$E131),"{years}",$G131),"{date}",TEXT($H131,"mmmm d, yyyy")),"{company}",Setup!$C$4))</f>
        <v/>
      </c>
      <c r="O131" s="21" t="str">
        <f ca="1">IF(Calc!$AM131="","",SUBSTITUTE(SUBSTITUTE(SUBSTITUTE(SUBSTITUTE(INDEX(Setup!$K$20:$K$34,Calc!$AN131)&amp;"","{name}",$E131),"{years}",$G131),"{date}",TEXT($H131,"mmmm d, yyyy")),"{company}",Setup!$C$4))</f>
        <v/>
      </c>
      <c r="P131" s="21" t="str">
        <f ca="1">IF(Calc!$AM131="","",SUBSTITUTE(SUBSTITUTE(TRIM(SUBSTITUTE($L131," ","~")&amp;" "&amp;SUBSTITUTE($M131," ","~")&amp;" "&amp;SUBSTITUTE($N131," ","~")&amp;" "&amp;SUBSTITUTE($O131," ","~"))," "," | "),"~"," "))</f>
        <v/>
      </c>
    </row>
    <row r="132" spans="1:16" x14ac:dyDescent="0.2">
      <c r="A132" s="19" t="str">
        <f ca="1">IF(Calc!$AM132="","",ROW()-5)</f>
        <v/>
      </c>
      <c r="B132" s="20" t="str">
        <f ca="1">IF(Calc!$AM132="","",INT(Calc!$AK132))</f>
        <v/>
      </c>
      <c r="C132" s="21" t="str">
        <f ca="1">IF(Calc!$AM132="","",IF($H132&lt;Setup!$C$5,"PAST DUE: milestone date has passed",IF($B132&lt;Setup!$C$5,"LATE: order today, ask about rush",IF($B132&lt;Setup!$C$5+14,"Order within 2 weeks","Scheduled"))))</f>
        <v/>
      </c>
      <c r="D132" s="21" t="str">
        <f ca="1">IF(Calc!$AM132="","",TEXT($B132,"mmmm yyyy"))</f>
        <v/>
      </c>
      <c r="E132" s="21" t="str">
        <f ca="1">IF(Calc!$AM132="","",INDEX(Roster!$A$6:$A$505,Calc!$AM132)&amp;"")</f>
        <v/>
      </c>
      <c r="F132" s="21" t="str">
        <f ca="1">IF(Calc!$AM132="","",INDEX(Roster!$C$6:$C$505,Calc!$AM132)&amp;"")</f>
        <v/>
      </c>
      <c r="G132" s="19" t="str">
        <f ca="1">IF(Calc!$AM132="","",INDEX(Setup!$C$20:$C$34,Calc!$AN132))</f>
        <v/>
      </c>
      <c r="H132" s="20" t="str">
        <f ca="1">IF(Calc!$AM132="","",INDEX(Calc!$B$6:$P$505,Calc!$AM132,Calc!$AN132))</f>
        <v/>
      </c>
      <c r="I132" s="21" t="str">
        <f ca="1">IF(Calc!$AM132="","",INDEX(Setup!$D$20:$D$34,Calc!$AN132)&amp;"")</f>
        <v/>
      </c>
      <c r="J132" s="21" t="str">
        <f ca="1">IF(Calc!$AM132="","",INDEX(Setup!$E$20:$E$34,Calc!$AN132)&amp;"")</f>
        <v/>
      </c>
      <c r="K132" s="23" t="str">
        <f ca="1">IF(Calc!$AM132="","",INDEX(Setup!$F$20:$F$34,Calc!$AN132))</f>
        <v/>
      </c>
      <c r="L132" s="21" t="str">
        <f ca="1">IF(Calc!$AM132="","",SUBSTITUTE(SUBSTITUTE(SUBSTITUTE(SUBSTITUTE(INDEX(Setup!$H$20:$H$34,Calc!$AN132)&amp;"","{name}",$E132),"{years}",$G132),"{date}",TEXT($H132,"mmmm d, yyyy")),"{company}",Setup!$C$4))</f>
        <v/>
      </c>
      <c r="M132" s="21" t="str">
        <f ca="1">IF(Calc!$AM132="","",SUBSTITUTE(SUBSTITUTE(SUBSTITUTE(SUBSTITUTE(INDEX(Setup!$I$20:$I$34,Calc!$AN132)&amp;"","{name}",$E132),"{years}",$G132),"{date}",TEXT($H132,"mmmm d, yyyy")),"{company}",Setup!$C$4))</f>
        <v/>
      </c>
      <c r="N132" s="21" t="str">
        <f ca="1">IF(Calc!$AM132="","",SUBSTITUTE(SUBSTITUTE(SUBSTITUTE(SUBSTITUTE(INDEX(Setup!$J$20:$J$34,Calc!$AN132)&amp;"","{name}",$E132),"{years}",$G132),"{date}",TEXT($H132,"mmmm d, yyyy")),"{company}",Setup!$C$4))</f>
        <v/>
      </c>
      <c r="O132" s="21" t="str">
        <f ca="1">IF(Calc!$AM132="","",SUBSTITUTE(SUBSTITUTE(SUBSTITUTE(SUBSTITUTE(INDEX(Setup!$K$20:$K$34,Calc!$AN132)&amp;"","{name}",$E132),"{years}",$G132),"{date}",TEXT($H132,"mmmm d, yyyy")),"{company}",Setup!$C$4))</f>
        <v/>
      </c>
      <c r="P132" s="21" t="str">
        <f ca="1">IF(Calc!$AM132="","",SUBSTITUTE(SUBSTITUTE(TRIM(SUBSTITUTE($L132," ","~")&amp;" "&amp;SUBSTITUTE($M132," ","~")&amp;" "&amp;SUBSTITUTE($N132," ","~")&amp;" "&amp;SUBSTITUTE($O132," ","~"))," "," | "),"~"," "))</f>
        <v/>
      </c>
    </row>
    <row r="133" spans="1:16" x14ac:dyDescent="0.2">
      <c r="A133" s="19" t="str">
        <f ca="1">IF(Calc!$AM133="","",ROW()-5)</f>
        <v/>
      </c>
      <c r="B133" s="20" t="str">
        <f ca="1">IF(Calc!$AM133="","",INT(Calc!$AK133))</f>
        <v/>
      </c>
      <c r="C133" s="21" t="str">
        <f ca="1">IF(Calc!$AM133="","",IF($H133&lt;Setup!$C$5,"PAST DUE: milestone date has passed",IF($B133&lt;Setup!$C$5,"LATE: order today, ask about rush",IF($B133&lt;Setup!$C$5+14,"Order within 2 weeks","Scheduled"))))</f>
        <v/>
      </c>
      <c r="D133" s="21" t="str">
        <f ca="1">IF(Calc!$AM133="","",TEXT($B133,"mmmm yyyy"))</f>
        <v/>
      </c>
      <c r="E133" s="21" t="str">
        <f ca="1">IF(Calc!$AM133="","",INDEX(Roster!$A$6:$A$505,Calc!$AM133)&amp;"")</f>
        <v/>
      </c>
      <c r="F133" s="21" t="str">
        <f ca="1">IF(Calc!$AM133="","",INDEX(Roster!$C$6:$C$505,Calc!$AM133)&amp;"")</f>
        <v/>
      </c>
      <c r="G133" s="19" t="str">
        <f ca="1">IF(Calc!$AM133="","",INDEX(Setup!$C$20:$C$34,Calc!$AN133))</f>
        <v/>
      </c>
      <c r="H133" s="20" t="str">
        <f ca="1">IF(Calc!$AM133="","",INDEX(Calc!$B$6:$P$505,Calc!$AM133,Calc!$AN133))</f>
        <v/>
      </c>
      <c r="I133" s="21" t="str">
        <f ca="1">IF(Calc!$AM133="","",INDEX(Setup!$D$20:$D$34,Calc!$AN133)&amp;"")</f>
        <v/>
      </c>
      <c r="J133" s="21" t="str">
        <f ca="1">IF(Calc!$AM133="","",INDEX(Setup!$E$20:$E$34,Calc!$AN133)&amp;"")</f>
        <v/>
      </c>
      <c r="K133" s="23" t="str">
        <f ca="1">IF(Calc!$AM133="","",INDEX(Setup!$F$20:$F$34,Calc!$AN133))</f>
        <v/>
      </c>
      <c r="L133" s="21" t="str">
        <f ca="1">IF(Calc!$AM133="","",SUBSTITUTE(SUBSTITUTE(SUBSTITUTE(SUBSTITUTE(INDEX(Setup!$H$20:$H$34,Calc!$AN133)&amp;"","{name}",$E133),"{years}",$G133),"{date}",TEXT($H133,"mmmm d, yyyy")),"{company}",Setup!$C$4))</f>
        <v/>
      </c>
      <c r="M133" s="21" t="str">
        <f ca="1">IF(Calc!$AM133="","",SUBSTITUTE(SUBSTITUTE(SUBSTITUTE(SUBSTITUTE(INDEX(Setup!$I$20:$I$34,Calc!$AN133)&amp;"","{name}",$E133),"{years}",$G133),"{date}",TEXT($H133,"mmmm d, yyyy")),"{company}",Setup!$C$4))</f>
        <v/>
      </c>
      <c r="N133" s="21" t="str">
        <f ca="1">IF(Calc!$AM133="","",SUBSTITUTE(SUBSTITUTE(SUBSTITUTE(SUBSTITUTE(INDEX(Setup!$J$20:$J$34,Calc!$AN133)&amp;"","{name}",$E133),"{years}",$G133),"{date}",TEXT($H133,"mmmm d, yyyy")),"{company}",Setup!$C$4))</f>
        <v/>
      </c>
      <c r="O133" s="21" t="str">
        <f ca="1">IF(Calc!$AM133="","",SUBSTITUTE(SUBSTITUTE(SUBSTITUTE(SUBSTITUTE(INDEX(Setup!$K$20:$K$34,Calc!$AN133)&amp;"","{name}",$E133),"{years}",$G133),"{date}",TEXT($H133,"mmmm d, yyyy")),"{company}",Setup!$C$4))</f>
        <v/>
      </c>
      <c r="P133" s="21" t="str">
        <f ca="1">IF(Calc!$AM133="","",SUBSTITUTE(SUBSTITUTE(TRIM(SUBSTITUTE($L133," ","~")&amp;" "&amp;SUBSTITUTE($M133," ","~")&amp;" "&amp;SUBSTITUTE($N133," ","~")&amp;" "&amp;SUBSTITUTE($O133," ","~"))," "," | "),"~"," "))</f>
        <v/>
      </c>
    </row>
    <row r="134" spans="1:16" x14ac:dyDescent="0.2">
      <c r="A134" s="19" t="str">
        <f ca="1">IF(Calc!$AM134="","",ROW()-5)</f>
        <v/>
      </c>
      <c r="B134" s="20" t="str">
        <f ca="1">IF(Calc!$AM134="","",INT(Calc!$AK134))</f>
        <v/>
      </c>
      <c r="C134" s="21" t="str">
        <f ca="1">IF(Calc!$AM134="","",IF($H134&lt;Setup!$C$5,"PAST DUE: milestone date has passed",IF($B134&lt;Setup!$C$5,"LATE: order today, ask about rush",IF($B134&lt;Setup!$C$5+14,"Order within 2 weeks","Scheduled"))))</f>
        <v/>
      </c>
      <c r="D134" s="21" t="str">
        <f ca="1">IF(Calc!$AM134="","",TEXT($B134,"mmmm yyyy"))</f>
        <v/>
      </c>
      <c r="E134" s="21" t="str">
        <f ca="1">IF(Calc!$AM134="","",INDEX(Roster!$A$6:$A$505,Calc!$AM134)&amp;"")</f>
        <v/>
      </c>
      <c r="F134" s="21" t="str">
        <f ca="1">IF(Calc!$AM134="","",INDEX(Roster!$C$6:$C$505,Calc!$AM134)&amp;"")</f>
        <v/>
      </c>
      <c r="G134" s="19" t="str">
        <f ca="1">IF(Calc!$AM134="","",INDEX(Setup!$C$20:$C$34,Calc!$AN134))</f>
        <v/>
      </c>
      <c r="H134" s="20" t="str">
        <f ca="1">IF(Calc!$AM134="","",INDEX(Calc!$B$6:$P$505,Calc!$AM134,Calc!$AN134))</f>
        <v/>
      </c>
      <c r="I134" s="21" t="str">
        <f ca="1">IF(Calc!$AM134="","",INDEX(Setup!$D$20:$D$34,Calc!$AN134)&amp;"")</f>
        <v/>
      </c>
      <c r="J134" s="21" t="str">
        <f ca="1">IF(Calc!$AM134="","",INDEX(Setup!$E$20:$E$34,Calc!$AN134)&amp;"")</f>
        <v/>
      </c>
      <c r="K134" s="23" t="str">
        <f ca="1">IF(Calc!$AM134="","",INDEX(Setup!$F$20:$F$34,Calc!$AN134))</f>
        <v/>
      </c>
      <c r="L134" s="21" t="str">
        <f ca="1">IF(Calc!$AM134="","",SUBSTITUTE(SUBSTITUTE(SUBSTITUTE(SUBSTITUTE(INDEX(Setup!$H$20:$H$34,Calc!$AN134)&amp;"","{name}",$E134),"{years}",$G134),"{date}",TEXT($H134,"mmmm d, yyyy")),"{company}",Setup!$C$4))</f>
        <v/>
      </c>
      <c r="M134" s="21" t="str">
        <f ca="1">IF(Calc!$AM134="","",SUBSTITUTE(SUBSTITUTE(SUBSTITUTE(SUBSTITUTE(INDEX(Setup!$I$20:$I$34,Calc!$AN134)&amp;"","{name}",$E134),"{years}",$G134),"{date}",TEXT($H134,"mmmm d, yyyy")),"{company}",Setup!$C$4))</f>
        <v/>
      </c>
      <c r="N134" s="21" t="str">
        <f ca="1">IF(Calc!$AM134="","",SUBSTITUTE(SUBSTITUTE(SUBSTITUTE(SUBSTITUTE(INDEX(Setup!$J$20:$J$34,Calc!$AN134)&amp;"","{name}",$E134),"{years}",$G134),"{date}",TEXT($H134,"mmmm d, yyyy")),"{company}",Setup!$C$4))</f>
        <v/>
      </c>
      <c r="O134" s="21" t="str">
        <f ca="1">IF(Calc!$AM134="","",SUBSTITUTE(SUBSTITUTE(SUBSTITUTE(SUBSTITUTE(INDEX(Setup!$K$20:$K$34,Calc!$AN134)&amp;"","{name}",$E134),"{years}",$G134),"{date}",TEXT($H134,"mmmm d, yyyy")),"{company}",Setup!$C$4))</f>
        <v/>
      </c>
      <c r="P134" s="21" t="str">
        <f ca="1">IF(Calc!$AM134="","",SUBSTITUTE(SUBSTITUTE(TRIM(SUBSTITUTE($L134," ","~")&amp;" "&amp;SUBSTITUTE($M134," ","~")&amp;" "&amp;SUBSTITUTE($N134," ","~")&amp;" "&amp;SUBSTITUTE($O134," ","~"))," "," | "),"~"," "))</f>
        <v/>
      </c>
    </row>
    <row r="135" spans="1:16" x14ac:dyDescent="0.2">
      <c r="A135" s="19" t="str">
        <f ca="1">IF(Calc!$AM135="","",ROW()-5)</f>
        <v/>
      </c>
      <c r="B135" s="20" t="str">
        <f ca="1">IF(Calc!$AM135="","",INT(Calc!$AK135))</f>
        <v/>
      </c>
      <c r="C135" s="21" t="str">
        <f ca="1">IF(Calc!$AM135="","",IF($H135&lt;Setup!$C$5,"PAST DUE: milestone date has passed",IF($B135&lt;Setup!$C$5,"LATE: order today, ask about rush",IF($B135&lt;Setup!$C$5+14,"Order within 2 weeks","Scheduled"))))</f>
        <v/>
      </c>
      <c r="D135" s="21" t="str">
        <f ca="1">IF(Calc!$AM135="","",TEXT($B135,"mmmm yyyy"))</f>
        <v/>
      </c>
      <c r="E135" s="21" t="str">
        <f ca="1">IF(Calc!$AM135="","",INDEX(Roster!$A$6:$A$505,Calc!$AM135)&amp;"")</f>
        <v/>
      </c>
      <c r="F135" s="21" t="str">
        <f ca="1">IF(Calc!$AM135="","",INDEX(Roster!$C$6:$C$505,Calc!$AM135)&amp;"")</f>
        <v/>
      </c>
      <c r="G135" s="19" t="str">
        <f ca="1">IF(Calc!$AM135="","",INDEX(Setup!$C$20:$C$34,Calc!$AN135))</f>
        <v/>
      </c>
      <c r="H135" s="20" t="str">
        <f ca="1">IF(Calc!$AM135="","",INDEX(Calc!$B$6:$P$505,Calc!$AM135,Calc!$AN135))</f>
        <v/>
      </c>
      <c r="I135" s="21" t="str">
        <f ca="1">IF(Calc!$AM135="","",INDEX(Setup!$D$20:$D$34,Calc!$AN135)&amp;"")</f>
        <v/>
      </c>
      <c r="J135" s="21" t="str">
        <f ca="1">IF(Calc!$AM135="","",INDEX(Setup!$E$20:$E$34,Calc!$AN135)&amp;"")</f>
        <v/>
      </c>
      <c r="K135" s="23" t="str">
        <f ca="1">IF(Calc!$AM135="","",INDEX(Setup!$F$20:$F$34,Calc!$AN135))</f>
        <v/>
      </c>
      <c r="L135" s="21" t="str">
        <f ca="1">IF(Calc!$AM135="","",SUBSTITUTE(SUBSTITUTE(SUBSTITUTE(SUBSTITUTE(INDEX(Setup!$H$20:$H$34,Calc!$AN135)&amp;"","{name}",$E135),"{years}",$G135),"{date}",TEXT($H135,"mmmm d, yyyy")),"{company}",Setup!$C$4))</f>
        <v/>
      </c>
      <c r="M135" s="21" t="str">
        <f ca="1">IF(Calc!$AM135="","",SUBSTITUTE(SUBSTITUTE(SUBSTITUTE(SUBSTITUTE(INDEX(Setup!$I$20:$I$34,Calc!$AN135)&amp;"","{name}",$E135),"{years}",$G135),"{date}",TEXT($H135,"mmmm d, yyyy")),"{company}",Setup!$C$4))</f>
        <v/>
      </c>
      <c r="N135" s="21" t="str">
        <f ca="1">IF(Calc!$AM135="","",SUBSTITUTE(SUBSTITUTE(SUBSTITUTE(SUBSTITUTE(INDEX(Setup!$J$20:$J$34,Calc!$AN135)&amp;"","{name}",$E135),"{years}",$G135),"{date}",TEXT($H135,"mmmm d, yyyy")),"{company}",Setup!$C$4))</f>
        <v/>
      </c>
      <c r="O135" s="21" t="str">
        <f ca="1">IF(Calc!$AM135="","",SUBSTITUTE(SUBSTITUTE(SUBSTITUTE(SUBSTITUTE(INDEX(Setup!$K$20:$K$34,Calc!$AN135)&amp;"","{name}",$E135),"{years}",$G135),"{date}",TEXT($H135,"mmmm d, yyyy")),"{company}",Setup!$C$4))</f>
        <v/>
      </c>
      <c r="P135" s="21" t="str">
        <f ca="1">IF(Calc!$AM135="","",SUBSTITUTE(SUBSTITUTE(TRIM(SUBSTITUTE($L135," ","~")&amp;" "&amp;SUBSTITUTE($M135," ","~")&amp;" "&amp;SUBSTITUTE($N135," ","~")&amp;" "&amp;SUBSTITUTE($O135," ","~"))," "," | "),"~"," "))</f>
        <v/>
      </c>
    </row>
    <row r="136" spans="1:16" x14ac:dyDescent="0.2">
      <c r="A136" s="19" t="str">
        <f ca="1">IF(Calc!$AM136="","",ROW()-5)</f>
        <v/>
      </c>
      <c r="B136" s="20" t="str">
        <f ca="1">IF(Calc!$AM136="","",INT(Calc!$AK136))</f>
        <v/>
      </c>
      <c r="C136" s="21" t="str">
        <f ca="1">IF(Calc!$AM136="","",IF($H136&lt;Setup!$C$5,"PAST DUE: milestone date has passed",IF($B136&lt;Setup!$C$5,"LATE: order today, ask about rush",IF($B136&lt;Setup!$C$5+14,"Order within 2 weeks","Scheduled"))))</f>
        <v/>
      </c>
      <c r="D136" s="21" t="str">
        <f ca="1">IF(Calc!$AM136="","",TEXT($B136,"mmmm yyyy"))</f>
        <v/>
      </c>
      <c r="E136" s="21" t="str">
        <f ca="1">IF(Calc!$AM136="","",INDEX(Roster!$A$6:$A$505,Calc!$AM136)&amp;"")</f>
        <v/>
      </c>
      <c r="F136" s="21" t="str">
        <f ca="1">IF(Calc!$AM136="","",INDEX(Roster!$C$6:$C$505,Calc!$AM136)&amp;"")</f>
        <v/>
      </c>
      <c r="G136" s="19" t="str">
        <f ca="1">IF(Calc!$AM136="","",INDEX(Setup!$C$20:$C$34,Calc!$AN136))</f>
        <v/>
      </c>
      <c r="H136" s="20" t="str">
        <f ca="1">IF(Calc!$AM136="","",INDEX(Calc!$B$6:$P$505,Calc!$AM136,Calc!$AN136))</f>
        <v/>
      </c>
      <c r="I136" s="21" t="str">
        <f ca="1">IF(Calc!$AM136="","",INDEX(Setup!$D$20:$D$34,Calc!$AN136)&amp;"")</f>
        <v/>
      </c>
      <c r="J136" s="21" t="str">
        <f ca="1">IF(Calc!$AM136="","",INDEX(Setup!$E$20:$E$34,Calc!$AN136)&amp;"")</f>
        <v/>
      </c>
      <c r="K136" s="23" t="str">
        <f ca="1">IF(Calc!$AM136="","",INDEX(Setup!$F$20:$F$34,Calc!$AN136))</f>
        <v/>
      </c>
      <c r="L136" s="21" t="str">
        <f ca="1">IF(Calc!$AM136="","",SUBSTITUTE(SUBSTITUTE(SUBSTITUTE(SUBSTITUTE(INDEX(Setup!$H$20:$H$34,Calc!$AN136)&amp;"","{name}",$E136),"{years}",$G136),"{date}",TEXT($H136,"mmmm d, yyyy")),"{company}",Setup!$C$4))</f>
        <v/>
      </c>
      <c r="M136" s="21" t="str">
        <f ca="1">IF(Calc!$AM136="","",SUBSTITUTE(SUBSTITUTE(SUBSTITUTE(SUBSTITUTE(INDEX(Setup!$I$20:$I$34,Calc!$AN136)&amp;"","{name}",$E136),"{years}",$G136),"{date}",TEXT($H136,"mmmm d, yyyy")),"{company}",Setup!$C$4))</f>
        <v/>
      </c>
      <c r="N136" s="21" t="str">
        <f ca="1">IF(Calc!$AM136="","",SUBSTITUTE(SUBSTITUTE(SUBSTITUTE(SUBSTITUTE(INDEX(Setup!$J$20:$J$34,Calc!$AN136)&amp;"","{name}",$E136),"{years}",$G136),"{date}",TEXT($H136,"mmmm d, yyyy")),"{company}",Setup!$C$4))</f>
        <v/>
      </c>
      <c r="O136" s="21" t="str">
        <f ca="1">IF(Calc!$AM136="","",SUBSTITUTE(SUBSTITUTE(SUBSTITUTE(SUBSTITUTE(INDEX(Setup!$K$20:$K$34,Calc!$AN136)&amp;"","{name}",$E136),"{years}",$G136),"{date}",TEXT($H136,"mmmm d, yyyy")),"{company}",Setup!$C$4))</f>
        <v/>
      </c>
      <c r="P136" s="21" t="str">
        <f ca="1">IF(Calc!$AM136="","",SUBSTITUTE(SUBSTITUTE(TRIM(SUBSTITUTE($L136," ","~")&amp;" "&amp;SUBSTITUTE($M136," ","~")&amp;" "&amp;SUBSTITUTE($N136," ","~")&amp;" "&amp;SUBSTITUTE($O136," ","~"))," "," | "),"~"," "))</f>
        <v/>
      </c>
    </row>
    <row r="137" spans="1:16" x14ac:dyDescent="0.2">
      <c r="A137" s="19" t="str">
        <f ca="1">IF(Calc!$AM137="","",ROW()-5)</f>
        <v/>
      </c>
      <c r="B137" s="20" t="str">
        <f ca="1">IF(Calc!$AM137="","",INT(Calc!$AK137))</f>
        <v/>
      </c>
      <c r="C137" s="21" t="str">
        <f ca="1">IF(Calc!$AM137="","",IF($H137&lt;Setup!$C$5,"PAST DUE: milestone date has passed",IF($B137&lt;Setup!$C$5,"LATE: order today, ask about rush",IF($B137&lt;Setup!$C$5+14,"Order within 2 weeks","Scheduled"))))</f>
        <v/>
      </c>
      <c r="D137" s="21" t="str">
        <f ca="1">IF(Calc!$AM137="","",TEXT($B137,"mmmm yyyy"))</f>
        <v/>
      </c>
      <c r="E137" s="21" t="str">
        <f ca="1">IF(Calc!$AM137="","",INDEX(Roster!$A$6:$A$505,Calc!$AM137)&amp;"")</f>
        <v/>
      </c>
      <c r="F137" s="21" t="str">
        <f ca="1">IF(Calc!$AM137="","",INDEX(Roster!$C$6:$C$505,Calc!$AM137)&amp;"")</f>
        <v/>
      </c>
      <c r="G137" s="19" t="str">
        <f ca="1">IF(Calc!$AM137="","",INDEX(Setup!$C$20:$C$34,Calc!$AN137))</f>
        <v/>
      </c>
      <c r="H137" s="20" t="str">
        <f ca="1">IF(Calc!$AM137="","",INDEX(Calc!$B$6:$P$505,Calc!$AM137,Calc!$AN137))</f>
        <v/>
      </c>
      <c r="I137" s="21" t="str">
        <f ca="1">IF(Calc!$AM137="","",INDEX(Setup!$D$20:$D$34,Calc!$AN137)&amp;"")</f>
        <v/>
      </c>
      <c r="J137" s="21" t="str">
        <f ca="1">IF(Calc!$AM137="","",INDEX(Setup!$E$20:$E$34,Calc!$AN137)&amp;"")</f>
        <v/>
      </c>
      <c r="K137" s="23" t="str">
        <f ca="1">IF(Calc!$AM137="","",INDEX(Setup!$F$20:$F$34,Calc!$AN137))</f>
        <v/>
      </c>
      <c r="L137" s="21" t="str">
        <f ca="1">IF(Calc!$AM137="","",SUBSTITUTE(SUBSTITUTE(SUBSTITUTE(SUBSTITUTE(INDEX(Setup!$H$20:$H$34,Calc!$AN137)&amp;"","{name}",$E137),"{years}",$G137),"{date}",TEXT($H137,"mmmm d, yyyy")),"{company}",Setup!$C$4))</f>
        <v/>
      </c>
      <c r="M137" s="21" t="str">
        <f ca="1">IF(Calc!$AM137="","",SUBSTITUTE(SUBSTITUTE(SUBSTITUTE(SUBSTITUTE(INDEX(Setup!$I$20:$I$34,Calc!$AN137)&amp;"","{name}",$E137),"{years}",$G137),"{date}",TEXT($H137,"mmmm d, yyyy")),"{company}",Setup!$C$4))</f>
        <v/>
      </c>
      <c r="N137" s="21" t="str">
        <f ca="1">IF(Calc!$AM137="","",SUBSTITUTE(SUBSTITUTE(SUBSTITUTE(SUBSTITUTE(INDEX(Setup!$J$20:$J$34,Calc!$AN137)&amp;"","{name}",$E137),"{years}",$G137),"{date}",TEXT($H137,"mmmm d, yyyy")),"{company}",Setup!$C$4))</f>
        <v/>
      </c>
      <c r="O137" s="21" t="str">
        <f ca="1">IF(Calc!$AM137="","",SUBSTITUTE(SUBSTITUTE(SUBSTITUTE(SUBSTITUTE(INDEX(Setup!$K$20:$K$34,Calc!$AN137)&amp;"","{name}",$E137),"{years}",$G137),"{date}",TEXT($H137,"mmmm d, yyyy")),"{company}",Setup!$C$4))</f>
        <v/>
      </c>
      <c r="P137" s="21" t="str">
        <f ca="1">IF(Calc!$AM137="","",SUBSTITUTE(SUBSTITUTE(TRIM(SUBSTITUTE($L137," ","~")&amp;" "&amp;SUBSTITUTE($M137," ","~")&amp;" "&amp;SUBSTITUTE($N137," ","~")&amp;" "&amp;SUBSTITUTE($O137," ","~"))," "," | "),"~"," "))</f>
        <v/>
      </c>
    </row>
    <row r="138" spans="1:16" x14ac:dyDescent="0.2">
      <c r="A138" s="19" t="str">
        <f ca="1">IF(Calc!$AM138="","",ROW()-5)</f>
        <v/>
      </c>
      <c r="B138" s="20" t="str">
        <f ca="1">IF(Calc!$AM138="","",INT(Calc!$AK138))</f>
        <v/>
      </c>
      <c r="C138" s="21" t="str">
        <f ca="1">IF(Calc!$AM138="","",IF($H138&lt;Setup!$C$5,"PAST DUE: milestone date has passed",IF($B138&lt;Setup!$C$5,"LATE: order today, ask about rush",IF($B138&lt;Setup!$C$5+14,"Order within 2 weeks","Scheduled"))))</f>
        <v/>
      </c>
      <c r="D138" s="21" t="str">
        <f ca="1">IF(Calc!$AM138="","",TEXT($B138,"mmmm yyyy"))</f>
        <v/>
      </c>
      <c r="E138" s="21" t="str">
        <f ca="1">IF(Calc!$AM138="","",INDEX(Roster!$A$6:$A$505,Calc!$AM138)&amp;"")</f>
        <v/>
      </c>
      <c r="F138" s="21" t="str">
        <f ca="1">IF(Calc!$AM138="","",INDEX(Roster!$C$6:$C$505,Calc!$AM138)&amp;"")</f>
        <v/>
      </c>
      <c r="G138" s="19" t="str">
        <f ca="1">IF(Calc!$AM138="","",INDEX(Setup!$C$20:$C$34,Calc!$AN138))</f>
        <v/>
      </c>
      <c r="H138" s="20" t="str">
        <f ca="1">IF(Calc!$AM138="","",INDEX(Calc!$B$6:$P$505,Calc!$AM138,Calc!$AN138))</f>
        <v/>
      </c>
      <c r="I138" s="21" t="str">
        <f ca="1">IF(Calc!$AM138="","",INDEX(Setup!$D$20:$D$34,Calc!$AN138)&amp;"")</f>
        <v/>
      </c>
      <c r="J138" s="21" t="str">
        <f ca="1">IF(Calc!$AM138="","",INDEX(Setup!$E$20:$E$34,Calc!$AN138)&amp;"")</f>
        <v/>
      </c>
      <c r="K138" s="23" t="str">
        <f ca="1">IF(Calc!$AM138="","",INDEX(Setup!$F$20:$F$34,Calc!$AN138))</f>
        <v/>
      </c>
      <c r="L138" s="21" t="str">
        <f ca="1">IF(Calc!$AM138="","",SUBSTITUTE(SUBSTITUTE(SUBSTITUTE(SUBSTITUTE(INDEX(Setup!$H$20:$H$34,Calc!$AN138)&amp;"","{name}",$E138),"{years}",$G138),"{date}",TEXT($H138,"mmmm d, yyyy")),"{company}",Setup!$C$4))</f>
        <v/>
      </c>
      <c r="M138" s="21" t="str">
        <f ca="1">IF(Calc!$AM138="","",SUBSTITUTE(SUBSTITUTE(SUBSTITUTE(SUBSTITUTE(INDEX(Setup!$I$20:$I$34,Calc!$AN138)&amp;"","{name}",$E138),"{years}",$G138),"{date}",TEXT($H138,"mmmm d, yyyy")),"{company}",Setup!$C$4))</f>
        <v/>
      </c>
      <c r="N138" s="21" t="str">
        <f ca="1">IF(Calc!$AM138="","",SUBSTITUTE(SUBSTITUTE(SUBSTITUTE(SUBSTITUTE(INDEX(Setup!$J$20:$J$34,Calc!$AN138)&amp;"","{name}",$E138),"{years}",$G138),"{date}",TEXT($H138,"mmmm d, yyyy")),"{company}",Setup!$C$4))</f>
        <v/>
      </c>
      <c r="O138" s="21" t="str">
        <f ca="1">IF(Calc!$AM138="","",SUBSTITUTE(SUBSTITUTE(SUBSTITUTE(SUBSTITUTE(INDEX(Setup!$K$20:$K$34,Calc!$AN138)&amp;"","{name}",$E138),"{years}",$G138),"{date}",TEXT($H138,"mmmm d, yyyy")),"{company}",Setup!$C$4))</f>
        <v/>
      </c>
      <c r="P138" s="21" t="str">
        <f ca="1">IF(Calc!$AM138="","",SUBSTITUTE(SUBSTITUTE(TRIM(SUBSTITUTE($L138," ","~")&amp;" "&amp;SUBSTITUTE($M138," ","~")&amp;" "&amp;SUBSTITUTE($N138," ","~")&amp;" "&amp;SUBSTITUTE($O138," ","~"))," "," | "),"~"," "))</f>
        <v/>
      </c>
    </row>
    <row r="139" spans="1:16" x14ac:dyDescent="0.2">
      <c r="A139" s="19" t="str">
        <f ca="1">IF(Calc!$AM139="","",ROW()-5)</f>
        <v/>
      </c>
      <c r="B139" s="20" t="str">
        <f ca="1">IF(Calc!$AM139="","",INT(Calc!$AK139))</f>
        <v/>
      </c>
      <c r="C139" s="21" t="str">
        <f ca="1">IF(Calc!$AM139="","",IF($H139&lt;Setup!$C$5,"PAST DUE: milestone date has passed",IF($B139&lt;Setup!$C$5,"LATE: order today, ask about rush",IF($B139&lt;Setup!$C$5+14,"Order within 2 weeks","Scheduled"))))</f>
        <v/>
      </c>
      <c r="D139" s="21" t="str">
        <f ca="1">IF(Calc!$AM139="","",TEXT($B139,"mmmm yyyy"))</f>
        <v/>
      </c>
      <c r="E139" s="21" t="str">
        <f ca="1">IF(Calc!$AM139="","",INDEX(Roster!$A$6:$A$505,Calc!$AM139)&amp;"")</f>
        <v/>
      </c>
      <c r="F139" s="21" t="str">
        <f ca="1">IF(Calc!$AM139="","",INDEX(Roster!$C$6:$C$505,Calc!$AM139)&amp;"")</f>
        <v/>
      </c>
      <c r="G139" s="19" t="str">
        <f ca="1">IF(Calc!$AM139="","",INDEX(Setup!$C$20:$C$34,Calc!$AN139))</f>
        <v/>
      </c>
      <c r="H139" s="20" t="str">
        <f ca="1">IF(Calc!$AM139="","",INDEX(Calc!$B$6:$P$505,Calc!$AM139,Calc!$AN139))</f>
        <v/>
      </c>
      <c r="I139" s="21" t="str">
        <f ca="1">IF(Calc!$AM139="","",INDEX(Setup!$D$20:$D$34,Calc!$AN139)&amp;"")</f>
        <v/>
      </c>
      <c r="J139" s="21" t="str">
        <f ca="1">IF(Calc!$AM139="","",INDEX(Setup!$E$20:$E$34,Calc!$AN139)&amp;"")</f>
        <v/>
      </c>
      <c r="K139" s="23" t="str">
        <f ca="1">IF(Calc!$AM139="","",INDEX(Setup!$F$20:$F$34,Calc!$AN139))</f>
        <v/>
      </c>
      <c r="L139" s="21" t="str">
        <f ca="1">IF(Calc!$AM139="","",SUBSTITUTE(SUBSTITUTE(SUBSTITUTE(SUBSTITUTE(INDEX(Setup!$H$20:$H$34,Calc!$AN139)&amp;"","{name}",$E139),"{years}",$G139),"{date}",TEXT($H139,"mmmm d, yyyy")),"{company}",Setup!$C$4))</f>
        <v/>
      </c>
      <c r="M139" s="21" t="str">
        <f ca="1">IF(Calc!$AM139="","",SUBSTITUTE(SUBSTITUTE(SUBSTITUTE(SUBSTITUTE(INDEX(Setup!$I$20:$I$34,Calc!$AN139)&amp;"","{name}",$E139),"{years}",$G139),"{date}",TEXT($H139,"mmmm d, yyyy")),"{company}",Setup!$C$4))</f>
        <v/>
      </c>
      <c r="N139" s="21" t="str">
        <f ca="1">IF(Calc!$AM139="","",SUBSTITUTE(SUBSTITUTE(SUBSTITUTE(SUBSTITUTE(INDEX(Setup!$J$20:$J$34,Calc!$AN139)&amp;"","{name}",$E139),"{years}",$G139),"{date}",TEXT($H139,"mmmm d, yyyy")),"{company}",Setup!$C$4))</f>
        <v/>
      </c>
      <c r="O139" s="21" t="str">
        <f ca="1">IF(Calc!$AM139="","",SUBSTITUTE(SUBSTITUTE(SUBSTITUTE(SUBSTITUTE(INDEX(Setup!$K$20:$K$34,Calc!$AN139)&amp;"","{name}",$E139),"{years}",$G139),"{date}",TEXT($H139,"mmmm d, yyyy")),"{company}",Setup!$C$4))</f>
        <v/>
      </c>
      <c r="P139" s="21" t="str">
        <f ca="1">IF(Calc!$AM139="","",SUBSTITUTE(SUBSTITUTE(TRIM(SUBSTITUTE($L139," ","~")&amp;" "&amp;SUBSTITUTE($M139," ","~")&amp;" "&amp;SUBSTITUTE($N139," ","~")&amp;" "&amp;SUBSTITUTE($O139," ","~"))," "," | "),"~"," "))</f>
        <v/>
      </c>
    </row>
    <row r="140" spans="1:16" x14ac:dyDescent="0.2">
      <c r="A140" s="19" t="str">
        <f ca="1">IF(Calc!$AM140="","",ROW()-5)</f>
        <v/>
      </c>
      <c r="B140" s="20" t="str">
        <f ca="1">IF(Calc!$AM140="","",INT(Calc!$AK140))</f>
        <v/>
      </c>
      <c r="C140" s="21" t="str">
        <f ca="1">IF(Calc!$AM140="","",IF($H140&lt;Setup!$C$5,"PAST DUE: milestone date has passed",IF($B140&lt;Setup!$C$5,"LATE: order today, ask about rush",IF($B140&lt;Setup!$C$5+14,"Order within 2 weeks","Scheduled"))))</f>
        <v/>
      </c>
      <c r="D140" s="21" t="str">
        <f ca="1">IF(Calc!$AM140="","",TEXT($B140,"mmmm yyyy"))</f>
        <v/>
      </c>
      <c r="E140" s="21" t="str">
        <f ca="1">IF(Calc!$AM140="","",INDEX(Roster!$A$6:$A$505,Calc!$AM140)&amp;"")</f>
        <v/>
      </c>
      <c r="F140" s="21" t="str">
        <f ca="1">IF(Calc!$AM140="","",INDEX(Roster!$C$6:$C$505,Calc!$AM140)&amp;"")</f>
        <v/>
      </c>
      <c r="G140" s="19" t="str">
        <f ca="1">IF(Calc!$AM140="","",INDEX(Setup!$C$20:$C$34,Calc!$AN140))</f>
        <v/>
      </c>
      <c r="H140" s="20" t="str">
        <f ca="1">IF(Calc!$AM140="","",INDEX(Calc!$B$6:$P$505,Calc!$AM140,Calc!$AN140))</f>
        <v/>
      </c>
      <c r="I140" s="21" t="str">
        <f ca="1">IF(Calc!$AM140="","",INDEX(Setup!$D$20:$D$34,Calc!$AN140)&amp;"")</f>
        <v/>
      </c>
      <c r="J140" s="21" t="str">
        <f ca="1">IF(Calc!$AM140="","",INDEX(Setup!$E$20:$E$34,Calc!$AN140)&amp;"")</f>
        <v/>
      </c>
      <c r="K140" s="23" t="str">
        <f ca="1">IF(Calc!$AM140="","",INDEX(Setup!$F$20:$F$34,Calc!$AN140))</f>
        <v/>
      </c>
      <c r="L140" s="21" t="str">
        <f ca="1">IF(Calc!$AM140="","",SUBSTITUTE(SUBSTITUTE(SUBSTITUTE(SUBSTITUTE(INDEX(Setup!$H$20:$H$34,Calc!$AN140)&amp;"","{name}",$E140),"{years}",$G140),"{date}",TEXT($H140,"mmmm d, yyyy")),"{company}",Setup!$C$4))</f>
        <v/>
      </c>
      <c r="M140" s="21" t="str">
        <f ca="1">IF(Calc!$AM140="","",SUBSTITUTE(SUBSTITUTE(SUBSTITUTE(SUBSTITUTE(INDEX(Setup!$I$20:$I$34,Calc!$AN140)&amp;"","{name}",$E140),"{years}",$G140),"{date}",TEXT($H140,"mmmm d, yyyy")),"{company}",Setup!$C$4))</f>
        <v/>
      </c>
      <c r="N140" s="21" t="str">
        <f ca="1">IF(Calc!$AM140="","",SUBSTITUTE(SUBSTITUTE(SUBSTITUTE(SUBSTITUTE(INDEX(Setup!$J$20:$J$34,Calc!$AN140)&amp;"","{name}",$E140),"{years}",$G140),"{date}",TEXT($H140,"mmmm d, yyyy")),"{company}",Setup!$C$4))</f>
        <v/>
      </c>
      <c r="O140" s="21" t="str">
        <f ca="1">IF(Calc!$AM140="","",SUBSTITUTE(SUBSTITUTE(SUBSTITUTE(SUBSTITUTE(INDEX(Setup!$K$20:$K$34,Calc!$AN140)&amp;"","{name}",$E140),"{years}",$G140),"{date}",TEXT($H140,"mmmm d, yyyy")),"{company}",Setup!$C$4))</f>
        <v/>
      </c>
      <c r="P140" s="21" t="str">
        <f ca="1">IF(Calc!$AM140="","",SUBSTITUTE(SUBSTITUTE(TRIM(SUBSTITUTE($L140," ","~")&amp;" "&amp;SUBSTITUTE($M140," ","~")&amp;" "&amp;SUBSTITUTE($N140," ","~")&amp;" "&amp;SUBSTITUTE($O140," ","~"))," "," | "),"~"," "))</f>
        <v/>
      </c>
    </row>
    <row r="141" spans="1:16" x14ac:dyDescent="0.2">
      <c r="A141" s="19" t="str">
        <f ca="1">IF(Calc!$AM141="","",ROW()-5)</f>
        <v/>
      </c>
      <c r="B141" s="20" t="str">
        <f ca="1">IF(Calc!$AM141="","",INT(Calc!$AK141))</f>
        <v/>
      </c>
      <c r="C141" s="21" t="str">
        <f ca="1">IF(Calc!$AM141="","",IF($H141&lt;Setup!$C$5,"PAST DUE: milestone date has passed",IF($B141&lt;Setup!$C$5,"LATE: order today, ask about rush",IF($B141&lt;Setup!$C$5+14,"Order within 2 weeks","Scheduled"))))</f>
        <v/>
      </c>
      <c r="D141" s="21" t="str">
        <f ca="1">IF(Calc!$AM141="","",TEXT($B141,"mmmm yyyy"))</f>
        <v/>
      </c>
      <c r="E141" s="21" t="str">
        <f ca="1">IF(Calc!$AM141="","",INDEX(Roster!$A$6:$A$505,Calc!$AM141)&amp;"")</f>
        <v/>
      </c>
      <c r="F141" s="21" t="str">
        <f ca="1">IF(Calc!$AM141="","",INDEX(Roster!$C$6:$C$505,Calc!$AM141)&amp;"")</f>
        <v/>
      </c>
      <c r="G141" s="19" t="str">
        <f ca="1">IF(Calc!$AM141="","",INDEX(Setup!$C$20:$C$34,Calc!$AN141))</f>
        <v/>
      </c>
      <c r="H141" s="20" t="str">
        <f ca="1">IF(Calc!$AM141="","",INDEX(Calc!$B$6:$P$505,Calc!$AM141,Calc!$AN141))</f>
        <v/>
      </c>
      <c r="I141" s="21" t="str">
        <f ca="1">IF(Calc!$AM141="","",INDEX(Setup!$D$20:$D$34,Calc!$AN141)&amp;"")</f>
        <v/>
      </c>
      <c r="J141" s="21" t="str">
        <f ca="1">IF(Calc!$AM141="","",INDEX(Setup!$E$20:$E$34,Calc!$AN141)&amp;"")</f>
        <v/>
      </c>
      <c r="K141" s="23" t="str">
        <f ca="1">IF(Calc!$AM141="","",INDEX(Setup!$F$20:$F$34,Calc!$AN141))</f>
        <v/>
      </c>
      <c r="L141" s="21" t="str">
        <f ca="1">IF(Calc!$AM141="","",SUBSTITUTE(SUBSTITUTE(SUBSTITUTE(SUBSTITUTE(INDEX(Setup!$H$20:$H$34,Calc!$AN141)&amp;"","{name}",$E141),"{years}",$G141),"{date}",TEXT($H141,"mmmm d, yyyy")),"{company}",Setup!$C$4))</f>
        <v/>
      </c>
      <c r="M141" s="21" t="str">
        <f ca="1">IF(Calc!$AM141="","",SUBSTITUTE(SUBSTITUTE(SUBSTITUTE(SUBSTITUTE(INDEX(Setup!$I$20:$I$34,Calc!$AN141)&amp;"","{name}",$E141),"{years}",$G141),"{date}",TEXT($H141,"mmmm d, yyyy")),"{company}",Setup!$C$4))</f>
        <v/>
      </c>
      <c r="N141" s="21" t="str">
        <f ca="1">IF(Calc!$AM141="","",SUBSTITUTE(SUBSTITUTE(SUBSTITUTE(SUBSTITUTE(INDEX(Setup!$J$20:$J$34,Calc!$AN141)&amp;"","{name}",$E141),"{years}",$G141),"{date}",TEXT($H141,"mmmm d, yyyy")),"{company}",Setup!$C$4))</f>
        <v/>
      </c>
      <c r="O141" s="21" t="str">
        <f ca="1">IF(Calc!$AM141="","",SUBSTITUTE(SUBSTITUTE(SUBSTITUTE(SUBSTITUTE(INDEX(Setup!$K$20:$K$34,Calc!$AN141)&amp;"","{name}",$E141),"{years}",$G141),"{date}",TEXT($H141,"mmmm d, yyyy")),"{company}",Setup!$C$4))</f>
        <v/>
      </c>
      <c r="P141" s="21" t="str">
        <f ca="1">IF(Calc!$AM141="","",SUBSTITUTE(SUBSTITUTE(TRIM(SUBSTITUTE($L141," ","~")&amp;" "&amp;SUBSTITUTE($M141," ","~")&amp;" "&amp;SUBSTITUTE($N141," ","~")&amp;" "&amp;SUBSTITUTE($O141," ","~"))," "," | "),"~"," "))</f>
        <v/>
      </c>
    </row>
    <row r="142" spans="1:16" x14ac:dyDescent="0.2">
      <c r="A142" s="19" t="str">
        <f ca="1">IF(Calc!$AM142="","",ROW()-5)</f>
        <v/>
      </c>
      <c r="B142" s="20" t="str">
        <f ca="1">IF(Calc!$AM142="","",INT(Calc!$AK142))</f>
        <v/>
      </c>
      <c r="C142" s="21" t="str">
        <f ca="1">IF(Calc!$AM142="","",IF($H142&lt;Setup!$C$5,"PAST DUE: milestone date has passed",IF($B142&lt;Setup!$C$5,"LATE: order today, ask about rush",IF($B142&lt;Setup!$C$5+14,"Order within 2 weeks","Scheduled"))))</f>
        <v/>
      </c>
      <c r="D142" s="21" t="str">
        <f ca="1">IF(Calc!$AM142="","",TEXT($B142,"mmmm yyyy"))</f>
        <v/>
      </c>
      <c r="E142" s="21" t="str">
        <f ca="1">IF(Calc!$AM142="","",INDEX(Roster!$A$6:$A$505,Calc!$AM142)&amp;"")</f>
        <v/>
      </c>
      <c r="F142" s="21" t="str">
        <f ca="1">IF(Calc!$AM142="","",INDEX(Roster!$C$6:$C$505,Calc!$AM142)&amp;"")</f>
        <v/>
      </c>
      <c r="G142" s="19" t="str">
        <f ca="1">IF(Calc!$AM142="","",INDEX(Setup!$C$20:$C$34,Calc!$AN142))</f>
        <v/>
      </c>
      <c r="H142" s="20" t="str">
        <f ca="1">IF(Calc!$AM142="","",INDEX(Calc!$B$6:$P$505,Calc!$AM142,Calc!$AN142))</f>
        <v/>
      </c>
      <c r="I142" s="21" t="str">
        <f ca="1">IF(Calc!$AM142="","",INDEX(Setup!$D$20:$D$34,Calc!$AN142)&amp;"")</f>
        <v/>
      </c>
      <c r="J142" s="21" t="str">
        <f ca="1">IF(Calc!$AM142="","",INDEX(Setup!$E$20:$E$34,Calc!$AN142)&amp;"")</f>
        <v/>
      </c>
      <c r="K142" s="23" t="str">
        <f ca="1">IF(Calc!$AM142="","",INDEX(Setup!$F$20:$F$34,Calc!$AN142))</f>
        <v/>
      </c>
      <c r="L142" s="21" t="str">
        <f ca="1">IF(Calc!$AM142="","",SUBSTITUTE(SUBSTITUTE(SUBSTITUTE(SUBSTITUTE(INDEX(Setup!$H$20:$H$34,Calc!$AN142)&amp;"","{name}",$E142),"{years}",$G142),"{date}",TEXT($H142,"mmmm d, yyyy")),"{company}",Setup!$C$4))</f>
        <v/>
      </c>
      <c r="M142" s="21" t="str">
        <f ca="1">IF(Calc!$AM142="","",SUBSTITUTE(SUBSTITUTE(SUBSTITUTE(SUBSTITUTE(INDEX(Setup!$I$20:$I$34,Calc!$AN142)&amp;"","{name}",$E142),"{years}",$G142),"{date}",TEXT($H142,"mmmm d, yyyy")),"{company}",Setup!$C$4))</f>
        <v/>
      </c>
      <c r="N142" s="21" t="str">
        <f ca="1">IF(Calc!$AM142="","",SUBSTITUTE(SUBSTITUTE(SUBSTITUTE(SUBSTITUTE(INDEX(Setup!$J$20:$J$34,Calc!$AN142)&amp;"","{name}",$E142),"{years}",$G142),"{date}",TEXT($H142,"mmmm d, yyyy")),"{company}",Setup!$C$4))</f>
        <v/>
      </c>
      <c r="O142" s="21" t="str">
        <f ca="1">IF(Calc!$AM142="","",SUBSTITUTE(SUBSTITUTE(SUBSTITUTE(SUBSTITUTE(INDEX(Setup!$K$20:$K$34,Calc!$AN142)&amp;"","{name}",$E142),"{years}",$G142),"{date}",TEXT($H142,"mmmm d, yyyy")),"{company}",Setup!$C$4))</f>
        <v/>
      </c>
      <c r="P142" s="21" t="str">
        <f ca="1">IF(Calc!$AM142="","",SUBSTITUTE(SUBSTITUTE(TRIM(SUBSTITUTE($L142," ","~")&amp;" "&amp;SUBSTITUTE($M142," ","~")&amp;" "&amp;SUBSTITUTE($N142," ","~")&amp;" "&amp;SUBSTITUTE($O142," ","~"))," "," | "),"~"," "))</f>
        <v/>
      </c>
    </row>
    <row r="143" spans="1:16" x14ac:dyDescent="0.2">
      <c r="A143" s="19" t="str">
        <f ca="1">IF(Calc!$AM143="","",ROW()-5)</f>
        <v/>
      </c>
      <c r="B143" s="20" t="str">
        <f ca="1">IF(Calc!$AM143="","",INT(Calc!$AK143))</f>
        <v/>
      </c>
      <c r="C143" s="21" t="str">
        <f ca="1">IF(Calc!$AM143="","",IF($H143&lt;Setup!$C$5,"PAST DUE: milestone date has passed",IF($B143&lt;Setup!$C$5,"LATE: order today, ask about rush",IF($B143&lt;Setup!$C$5+14,"Order within 2 weeks","Scheduled"))))</f>
        <v/>
      </c>
      <c r="D143" s="21" t="str">
        <f ca="1">IF(Calc!$AM143="","",TEXT($B143,"mmmm yyyy"))</f>
        <v/>
      </c>
      <c r="E143" s="21" t="str">
        <f ca="1">IF(Calc!$AM143="","",INDEX(Roster!$A$6:$A$505,Calc!$AM143)&amp;"")</f>
        <v/>
      </c>
      <c r="F143" s="21" t="str">
        <f ca="1">IF(Calc!$AM143="","",INDEX(Roster!$C$6:$C$505,Calc!$AM143)&amp;"")</f>
        <v/>
      </c>
      <c r="G143" s="19" t="str">
        <f ca="1">IF(Calc!$AM143="","",INDEX(Setup!$C$20:$C$34,Calc!$AN143))</f>
        <v/>
      </c>
      <c r="H143" s="20" t="str">
        <f ca="1">IF(Calc!$AM143="","",INDEX(Calc!$B$6:$P$505,Calc!$AM143,Calc!$AN143))</f>
        <v/>
      </c>
      <c r="I143" s="21" t="str">
        <f ca="1">IF(Calc!$AM143="","",INDEX(Setup!$D$20:$D$34,Calc!$AN143)&amp;"")</f>
        <v/>
      </c>
      <c r="J143" s="21" t="str">
        <f ca="1">IF(Calc!$AM143="","",INDEX(Setup!$E$20:$E$34,Calc!$AN143)&amp;"")</f>
        <v/>
      </c>
      <c r="K143" s="23" t="str">
        <f ca="1">IF(Calc!$AM143="","",INDEX(Setup!$F$20:$F$34,Calc!$AN143))</f>
        <v/>
      </c>
      <c r="L143" s="21" t="str">
        <f ca="1">IF(Calc!$AM143="","",SUBSTITUTE(SUBSTITUTE(SUBSTITUTE(SUBSTITUTE(INDEX(Setup!$H$20:$H$34,Calc!$AN143)&amp;"","{name}",$E143),"{years}",$G143),"{date}",TEXT($H143,"mmmm d, yyyy")),"{company}",Setup!$C$4))</f>
        <v/>
      </c>
      <c r="M143" s="21" t="str">
        <f ca="1">IF(Calc!$AM143="","",SUBSTITUTE(SUBSTITUTE(SUBSTITUTE(SUBSTITUTE(INDEX(Setup!$I$20:$I$34,Calc!$AN143)&amp;"","{name}",$E143),"{years}",$G143),"{date}",TEXT($H143,"mmmm d, yyyy")),"{company}",Setup!$C$4))</f>
        <v/>
      </c>
      <c r="N143" s="21" t="str">
        <f ca="1">IF(Calc!$AM143="","",SUBSTITUTE(SUBSTITUTE(SUBSTITUTE(SUBSTITUTE(INDEX(Setup!$J$20:$J$34,Calc!$AN143)&amp;"","{name}",$E143),"{years}",$G143),"{date}",TEXT($H143,"mmmm d, yyyy")),"{company}",Setup!$C$4))</f>
        <v/>
      </c>
      <c r="O143" s="21" t="str">
        <f ca="1">IF(Calc!$AM143="","",SUBSTITUTE(SUBSTITUTE(SUBSTITUTE(SUBSTITUTE(INDEX(Setup!$K$20:$K$34,Calc!$AN143)&amp;"","{name}",$E143),"{years}",$G143),"{date}",TEXT($H143,"mmmm d, yyyy")),"{company}",Setup!$C$4))</f>
        <v/>
      </c>
      <c r="P143" s="21" t="str">
        <f ca="1">IF(Calc!$AM143="","",SUBSTITUTE(SUBSTITUTE(TRIM(SUBSTITUTE($L143," ","~")&amp;" "&amp;SUBSTITUTE($M143," ","~")&amp;" "&amp;SUBSTITUTE($N143," ","~")&amp;" "&amp;SUBSTITUTE($O143," ","~"))," "," | "),"~"," "))</f>
        <v/>
      </c>
    </row>
    <row r="144" spans="1:16" x14ac:dyDescent="0.2">
      <c r="A144" s="19" t="str">
        <f ca="1">IF(Calc!$AM144="","",ROW()-5)</f>
        <v/>
      </c>
      <c r="B144" s="20" t="str">
        <f ca="1">IF(Calc!$AM144="","",INT(Calc!$AK144))</f>
        <v/>
      </c>
      <c r="C144" s="21" t="str">
        <f ca="1">IF(Calc!$AM144="","",IF($H144&lt;Setup!$C$5,"PAST DUE: milestone date has passed",IF($B144&lt;Setup!$C$5,"LATE: order today, ask about rush",IF($B144&lt;Setup!$C$5+14,"Order within 2 weeks","Scheduled"))))</f>
        <v/>
      </c>
      <c r="D144" s="21" t="str">
        <f ca="1">IF(Calc!$AM144="","",TEXT($B144,"mmmm yyyy"))</f>
        <v/>
      </c>
      <c r="E144" s="21" t="str">
        <f ca="1">IF(Calc!$AM144="","",INDEX(Roster!$A$6:$A$505,Calc!$AM144)&amp;"")</f>
        <v/>
      </c>
      <c r="F144" s="21" t="str">
        <f ca="1">IF(Calc!$AM144="","",INDEX(Roster!$C$6:$C$505,Calc!$AM144)&amp;"")</f>
        <v/>
      </c>
      <c r="G144" s="19" t="str">
        <f ca="1">IF(Calc!$AM144="","",INDEX(Setup!$C$20:$C$34,Calc!$AN144))</f>
        <v/>
      </c>
      <c r="H144" s="20" t="str">
        <f ca="1">IF(Calc!$AM144="","",INDEX(Calc!$B$6:$P$505,Calc!$AM144,Calc!$AN144))</f>
        <v/>
      </c>
      <c r="I144" s="21" t="str">
        <f ca="1">IF(Calc!$AM144="","",INDEX(Setup!$D$20:$D$34,Calc!$AN144)&amp;"")</f>
        <v/>
      </c>
      <c r="J144" s="21" t="str">
        <f ca="1">IF(Calc!$AM144="","",INDEX(Setup!$E$20:$E$34,Calc!$AN144)&amp;"")</f>
        <v/>
      </c>
      <c r="K144" s="23" t="str">
        <f ca="1">IF(Calc!$AM144="","",INDEX(Setup!$F$20:$F$34,Calc!$AN144))</f>
        <v/>
      </c>
      <c r="L144" s="21" t="str">
        <f ca="1">IF(Calc!$AM144="","",SUBSTITUTE(SUBSTITUTE(SUBSTITUTE(SUBSTITUTE(INDEX(Setup!$H$20:$H$34,Calc!$AN144)&amp;"","{name}",$E144),"{years}",$G144),"{date}",TEXT($H144,"mmmm d, yyyy")),"{company}",Setup!$C$4))</f>
        <v/>
      </c>
      <c r="M144" s="21" t="str">
        <f ca="1">IF(Calc!$AM144="","",SUBSTITUTE(SUBSTITUTE(SUBSTITUTE(SUBSTITUTE(INDEX(Setup!$I$20:$I$34,Calc!$AN144)&amp;"","{name}",$E144),"{years}",$G144),"{date}",TEXT($H144,"mmmm d, yyyy")),"{company}",Setup!$C$4))</f>
        <v/>
      </c>
      <c r="N144" s="21" t="str">
        <f ca="1">IF(Calc!$AM144="","",SUBSTITUTE(SUBSTITUTE(SUBSTITUTE(SUBSTITUTE(INDEX(Setup!$J$20:$J$34,Calc!$AN144)&amp;"","{name}",$E144),"{years}",$G144),"{date}",TEXT($H144,"mmmm d, yyyy")),"{company}",Setup!$C$4))</f>
        <v/>
      </c>
      <c r="O144" s="21" t="str">
        <f ca="1">IF(Calc!$AM144="","",SUBSTITUTE(SUBSTITUTE(SUBSTITUTE(SUBSTITUTE(INDEX(Setup!$K$20:$K$34,Calc!$AN144)&amp;"","{name}",$E144),"{years}",$G144),"{date}",TEXT($H144,"mmmm d, yyyy")),"{company}",Setup!$C$4))</f>
        <v/>
      </c>
      <c r="P144" s="21" t="str">
        <f ca="1">IF(Calc!$AM144="","",SUBSTITUTE(SUBSTITUTE(TRIM(SUBSTITUTE($L144," ","~")&amp;" "&amp;SUBSTITUTE($M144," ","~")&amp;" "&amp;SUBSTITUTE($N144," ","~")&amp;" "&amp;SUBSTITUTE($O144," ","~"))," "," | "),"~"," "))</f>
        <v/>
      </c>
    </row>
    <row r="145" spans="1:16" x14ac:dyDescent="0.2">
      <c r="A145" s="19" t="str">
        <f ca="1">IF(Calc!$AM145="","",ROW()-5)</f>
        <v/>
      </c>
      <c r="B145" s="20" t="str">
        <f ca="1">IF(Calc!$AM145="","",INT(Calc!$AK145))</f>
        <v/>
      </c>
      <c r="C145" s="21" t="str">
        <f ca="1">IF(Calc!$AM145="","",IF($H145&lt;Setup!$C$5,"PAST DUE: milestone date has passed",IF($B145&lt;Setup!$C$5,"LATE: order today, ask about rush",IF($B145&lt;Setup!$C$5+14,"Order within 2 weeks","Scheduled"))))</f>
        <v/>
      </c>
      <c r="D145" s="21" t="str">
        <f ca="1">IF(Calc!$AM145="","",TEXT($B145,"mmmm yyyy"))</f>
        <v/>
      </c>
      <c r="E145" s="21" t="str">
        <f ca="1">IF(Calc!$AM145="","",INDEX(Roster!$A$6:$A$505,Calc!$AM145)&amp;"")</f>
        <v/>
      </c>
      <c r="F145" s="21" t="str">
        <f ca="1">IF(Calc!$AM145="","",INDEX(Roster!$C$6:$C$505,Calc!$AM145)&amp;"")</f>
        <v/>
      </c>
      <c r="G145" s="19" t="str">
        <f ca="1">IF(Calc!$AM145="","",INDEX(Setup!$C$20:$C$34,Calc!$AN145))</f>
        <v/>
      </c>
      <c r="H145" s="20" t="str">
        <f ca="1">IF(Calc!$AM145="","",INDEX(Calc!$B$6:$P$505,Calc!$AM145,Calc!$AN145))</f>
        <v/>
      </c>
      <c r="I145" s="21" t="str">
        <f ca="1">IF(Calc!$AM145="","",INDEX(Setup!$D$20:$D$34,Calc!$AN145)&amp;"")</f>
        <v/>
      </c>
      <c r="J145" s="21" t="str">
        <f ca="1">IF(Calc!$AM145="","",INDEX(Setup!$E$20:$E$34,Calc!$AN145)&amp;"")</f>
        <v/>
      </c>
      <c r="K145" s="23" t="str">
        <f ca="1">IF(Calc!$AM145="","",INDEX(Setup!$F$20:$F$34,Calc!$AN145))</f>
        <v/>
      </c>
      <c r="L145" s="21" t="str">
        <f ca="1">IF(Calc!$AM145="","",SUBSTITUTE(SUBSTITUTE(SUBSTITUTE(SUBSTITUTE(INDEX(Setup!$H$20:$H$34,Calc!$AN145)&amp;"","{name}",$E145),"{years}",$G145),"{date}",TEXT($H145,"mmmm d, yyyy")),"{company}",Setup!$C$4))</f>
        <v/>
      </c>
      <c r="M145" s="21" t="str">
        <f ca="1">IF(Calc!$AM145="","",SUBSTITUTE(SUBSTITUTE(SUBSTITUTE(SUBSTITUTE(INDEX(Setup!$I$20:$I$34,Calc!$AN145)&amp;"","{name}",$E145),"{years}",$G145),"{date}",TEXT($H145,"mmmm d, yyyy")),"{company}",Setup!$C$4))</f>
        <v/>
      </c>
      <c r="N145" s="21" t="str">
        <f ca="1">IF(Calc!$AM145="","",SUBSTITUTE(SUBSTITUTE(SUBSTITUTE(SUBSTITUTE(INDEX(Setup!$J$20:$J$34,Calc!$AN145)&amp;"","{name}",$E145),"{years}",$G145),"{date}",TEXT($H145,"mmmm d, yyyy")),"{company}",Setup!$C$4))</f>
        <v/>
      </c>
      <c r="O145" s="21" t="str">
        <f ca="1">IF(Calc!$AM145="","",SUBSTITUTE(SUBSTITUTE(SUBSTITUTE(SUBSTITUTE(INDEX(Setup!$K$20:$K$34,Calc!$AN145)&amp;"","{name}",$E145),"{years}",$G145),"{date}",TEXT($H145,"mmmm d, yyyy")),"{company}",Setup!$C$4))</f>
        <v/>
      </c>
      <c r="P145" s="21" t="str">
        <f ca="1">IF(Calc!$AM145="","",SUBSTITUTE(SUBSTITUTE(TRIM(SUBSTITUTE($L145," ","~")&amp;" "&amp;SUBSTITUTE($M145," ","~")&amp;" "&amp;SUBSTITUTE($N145," ","~")&amp;" "&amp;SUBSTITUTE($O145," ","~"))," "," | "),"~"," "))</f>
        <v/>
      </c>
    </row>
    <row r="146" spans="1:16" x14ac:dyDescent="0.2">
      <c r="A146" s="19" t="str">
        <f ca="1">IF(Calc!$AM146="","",ROW()-5)</f>
        <v/>
      </c>
      <c r="B146" s="20" t="str">
        <f ca="1">IF(Calc!$AM146="","",INT(Calc!$AK146))</f>
        <v/>
      </c>
      <c r="C146" s="21" t="str">
        <f ca="1">IF(Calc!$AM146="","",IF($H146&lt;Setup!$C$5,"PAST DUE: milestone date has passed",IF($B146&lt;Setup!$C$5,"LATE: order today, ask about rush",IF($B146&lt;Setup!$C$5+14,"Order within 2 weeks","Scheduled"))))</f>
        <v/>
      </c>
      <c r="D146" s="21" t="str">
        <f ca="1">IF(Calc!$AM146="","",TEXT($B146,"mmmm yyyy"))</f>
        <v/>
      </c>
      <c r="E146" s="21" t="str">
        <f ca="1">IF(Calc!$AM146="","",INDEX(Roster!$A$6:$A$505,Calc!$AM146)&amp;"")</f>
        <v/>
      </c>
      <c r="F146" s="21" t="str">
        <f ca="1">IF(Calc!$AM146="","",INDEX(Roster!$C$6:$C$505,Calc!$AM146)&amp;"")</f>
        <v/>
      </c>
      <c r="G146" s="19" t="str">
        <f ca="1">IF(Calc!$AM146="","",INDEX(Setup!$C$20:$C$34,Calc!$AN146))</f>
        <v/>
      </c>
      <c r="H146" s="20" t="str">
        <f ca="1">IF(Calc!$AM146="","",INDEX(Calc!$B$6:$P$505,Calc!$AM146,Calc!$AN146))</f>
        <v/>
      </c>
      <c r="I146" s="21" t="str">
        <f ca="1">IF(Calc!$AM146="","",INDEX(Setup!$D$20:$D$34,Calc!$AN146)&amp;"")</f>
        <v/>
      </c>
      <c r="J146" s="21" t="str">
        <f ca="1">IF(Calc!$AM146="","",INDEX(Setup!$E$20:$E$34,Calc!$AN146)&amp;"")</f>
        <v/>
      </c>
      <c r="K146" s="23" t="str">
        <f ca="1">IF(Calc!$AM146="","",INDEX(Setup!$F$20:$F$34,Calc!$AN146))</f>
        <v/>
      </c>
      <c r="L146" s="21" t="str">
        <f ca="1">IF(Calc!$AM146="","",SUBSTITUTE(SUBSTITUTE(SUBSTITUTE(SUBSTITUTE(INDEX(Setup!$H$20:$H$34,Calc!$AN146)&amp;"","{name}",$E146),"{years}",$G146),"{date}",TEXT($H146,"mmmm d, yyyy")),"{company}",Setup!$C$4))</f>
        <v/>
      </c>
      <c r="M146" s="21" t="str">
        <f ca="1">IF(Calc!$AM146="","",SUBSTITUTE(SUBSTITUTE(SUBSTITUTE(SUBSTITUTE(INDEX(Setup!$I$20:$I$34,Calc!$AN146)&amp;"","{name}",$E146),"{years}",$G146),"{date}",TEXT($H146,"mmmm d, yyyy")),"{company}",Setup!$C$4))</f>
        <v/>
      </c>
      <c r="N146" s="21" t="str">
        <f ca="1">IF(Calc!$AM146="","",SUBSTITUTE(SUBSTITUTE(SUBSTITUTE(SUBSTITUTE(INDEX(Setup!$J$20:$J$34,Calc!$AN146)&amp;"","{name}",$E146),"{years}",$G146),"{date}",TEXT($H146,"mmmm d, yyyy")),"{company}",Setup!$C$4))</f>
        <v/>
      </c>
      <c r="O146" s="21" t="str">
        <f ca="1">IF(Calc!$AM146="","",SUBSTITUTE(SUBSTITUTE(SUBSTITUTE(SUBSTITUTE(INDEX(Setup!$K$20:$K$34,Calc!$AN146)&amp;"","{name}",$E146),"{years}",$G146),"{date}",TEXT($H146,"mmmm d, yyyy")),"{company}",Setup!$C$4))</f>
        <v/>
      </c>
      <c r="P146" s="21" t="str">
        <f ca="1">IF(Calc!$AM146="","",SUBSTITUTE(SUBSTITUTE(TRIM(SUBSTITUTE($L146," ","~")&amp;" "&amp;SUBSTITUTE($M146," ","~")&amp;" "&amp;SUBSTITUTE($N146," ","~")&amp;" "&amp;SUBSTITUTE($O146," ","~"))," "," | "),"~"," "))</f>
        <v/>
      </c>
    </row>
    <row r="147" spans="1:16" x14ac:dyDescent="0.2">
      <c r="A147" s="19" t="str">
        <f ca="1">IF(Calc!$AM147="","",ROW()-5)</f>
        <v/>
      </c>
      <c r="B147" s="20" t="str">
        <f ca="1">IF(Calc!$AM147="","",INT(Calc!$AK147))</f>
        <v/>
      </c>
      <c r="C147" s="21" t="str">
        <f ca="1">IF(Calc!$AM147="","",IF($H147&lt;Setup!$C$5,"PAST DUE: milestone date has passed",IF($B147&lt;Setup!$C$5,"LATE: order today, ask about rush",IF($B147&lt;Setup!$C$5+14,"Order within 2 weeks","Scheduled"))))</f>
        <v/>
      </c>
      <c r="D147" s="21" t="str">
        <f ca="1">IF(Calc!$AM147="","",TEXT($B147,"mmmm yyyy"))</f>
        <v/>
      </c>
      <c r="E147" s="21" t="str">
        <f ca="1">IF(Calc!$AM147="","",INDEX(Roster!$A$6:$A$505,Calc!$AM147)&amp;"")</f>
        <v/>
      </c>
      <c r="F147" s="21" t="str">
        <f ca="1">IF(Calc!$AM147="","",INDEX(Roster!$C$6:$C$505,Calc!$AM147)&amp;"")</f>
        <v/>
      </c>
      <c r="G147" s="19" t="str">
        <f ca="1">IF(Calc!$AM147="","",INDEX(Setup!$C$20:$C$34,Calc!$AN147))</f>
        <v/>
      </c>
      <c r="H147" s="20" t="str">
        <f ca="1">IF(Calc!$AM147="","",INDEX(Calc!$B$6:$P$505,Calc!$AM147,Calc!$AN147))</f>
        <v/>
      </c>
      <c r="I147" s="21" t="str">
        <f ca="1">IF(Calc!$AM147="","",INDEX(Setup!$D$20:$D$34,Calc!$AN147)&amp;"")</f>
        <v/>
      </c>
      <c r="J147" s="21" t="str">
        <f ca="1">IF(Calc!$AM147="","",INDEX(Setup!$E$20:$E$34,Calc!$AN147)&amp;"")</f>
        <v/>
      </c>
      <c r="K147" s="23" t="str">
        <f ca="1">IF(Calc!$AM147="","",INDEX(Setup!$F$20:$F$34,Calc!$AN147))</f>
        <v/>
      </c>
      <c r="L147" s="21" t="str">
        <f ca="1">IF(Calc!$AM147="","",SUBSTITUTE(SUBSTITUTE(SUBSTITUTE(SUBSTITUTE(INDEX(Setup!$H$20:$H$34,Calc!$AN147)&amp;"","{name}",$E147),"{years}",$G147),"{date}",TEXT($H147,"mmmm d, yyyy")),"{company}",Setup!$C$4))</f>
        <v/>
      </c>
      <c r="M147" s="21" t="str">
        <f ca="1">IF(Calc!$AM147="","",SUBSTITUTE(SUBSTITUTE(SUBSTITUTE(SUBSTITUTE(INDEX(Setup!$I$20:$I$34,Calc!$AN147)&amp;"","{name}",$E147),"{years}",$G147),"{date}",TEXT($H147,"mmmm d, yyyy")),"{company}",Setup!$C$4))</f>
        <v/>
      </c>
      <c r="N147" s="21" t="str">
        <f ca="1">IF(Calc!$AM147="","",SUBSTITUTE(SUBSTITUTE(SUBSTITUTE(SUBSTITUTE(INDEX(Setup!$J$20:$J$34,Calc!$AN147)&amp;"","{name}",$E147),"{years}",$G147),"{date}",TEXT($H147,"mmmm d, yyyy")),"{company}",Setup!$C$4))</f>
        <v/>
      </c>
      <c r="O147" s="21" t="str">
        <f ca="1">IF(Calc!$AM147="","",SUBSTITUTE(SUBSTITUTE(SUBSTITUTE(SUBSTITUTE(INDEX(Setup!$K$20:$K$34,Calc!$AN147)&amp;"","{name}",$E147),"{years}",$G147),"{date}",TEXT($H147,"mmmm d, yyyy")),"{company}",Setup!$C$4))</f>
        <v/>
      </c>
      <c r="P147" s="21" t="str">
        <f ca="1">IF(Calc!$AM147="","",SUBSTITUTE(SUBSTITUTE(TRIM(SUBSTITUTE($L147," ","~")&amp;" "&amp;SUBSTITUTE($M147," ","~")&amp;" "&amp;SUBSTITUTE($N147," ","~")&amp;" "&amp;SUBSTITUTE($O147," ","~"))," "," | "),"~"," "))</f>
        <v/>
      </c>
    </row>
    <row r="148" spans="1:16" x14ac:dyDescent="0.2">
      <c r="A148" s="19" t="str">
        <f ca="1">IF(Calc!$AM148="","",ROW()-5)</f>
        <v/>
      </c>
      <c r="B148" s="20" t="str">
        <f ca="1">IF(Calc!$AM148="","",INT(Calc!$AK148))</f>
        <v/>
      </c>
      <c r="C148" s="21" t="str">
        <f ca="1">IF(Calc!$AM148="","",IF($H148&lt;Setup!$C$5,"PAST DUE: milestone date has passed",IF($B148&lt;Setup!$C$5,"LATE: order today, ask about rush",IF($B148&lt;Setup!$C$5+14,"Order within 2 weeks","Scheduled"))))</f>
        <v/>
      </c>
      <c r="D148" s="21" t="str">
        <f ca="1">IF(Calc!$AM148="","",TEXT($B148,"mmmm yyyy"))</f>
        <v/>
      </c>
      <c r="E148" s="21" t="str">
        <f ca="1">IF(Calc!$AM148="","",INDEX(Roster!$A$6:$A$505,Calc!$AM148)&amp;"")</f>
        <v/>
      </c>
      <c r="F148" s="21" t="str">
        <f ca="1">IF(Calc!$AM148="","",INDEX(Roster!$C$6:$C$505,Calc!$AM148)&amp;"")</f>
        <v/>
      </c>
      <c r="G148" s="19" t="str">
        <f ca="1">IF(Calc!$AM148="","",INDEX(Setup!$C$20:$C$34,Calc!$AN148))</f>
        <v/>
      </c>
      <c r="H148" s="20" t="str">
        <f ca="1">IF(Calc!$AM148="","",INDEX(Calc!$B$6:$P$505,Calc!$AM148,Calc!$AN148))</f>
        <v/>
      </c>
      <c r="I148" s="21" t="str">
        <f ca="1">IF(Calc!$AM148="","",INDEX(Setup!$D$20:$D$34,Calc!$AN148)&amp;"")</f>
        <v/>
      </c>
      <c r="J148" s="21" t="str">
        <f ca="1">IF(Calc!$AM148="","",INDEX(Setup!$E$20:$E$34,Calc!$AN148)&amp;"")</f>
        <v/>
      </c>
      <c r="K148" s="23" t="str">
        <f ca="1">IF(Calc!$AM148="","",INDEX(Setup!$F$20:$F$34,Calc!$AN148))</f>
        <v/>
      </c>
      <c r="L148" s="21" t="str">
        <f ca="1">IF(Calc!$AM148="","",SUBSTITUTE(SUBSTITUTE(SUBSTITUTE(SUBSTITUTE(INDEX(Setup!$H$20:$H$34,Calc!$AN148)&amp;"","{name}",$E148),"{years}",$G148),"{date}",TEXT($H148,"mmmm d, yyyy")),"{company}",Setup!$C$4))</f>
        <v/>
      </c>
      <c r="M148" s="21" t="str">
        <f ca="1">IF(Calc!$AM148="","",SUBSTITUTE(SUBSTITUTE(SUBSTITUTE(SUBSTITUTE(INDEX(Setup!$I$20:$I$34,Calc!$AN148)&amp;"","{name}",$E148),"{years}",$G148),"{date}",TEXT($H148,"mmmm d, yyyy")),"{company}",Setup!$C$4))</f>
        <v/>
      </c>
      <c r="N148" s="21" t="str">
        <f ca="1">IF(Calc!$AM148="","",SUBSTITUTE(SUBSTITUTE(SUBSTITUTE(SUBSTITUTE(INDEX(Setup!$J$20:$J$34,Calc!$AN148)&amp;"","{name}",$E148),"{years}",$G148),"{date}",TEXT($H148,"mmmm d, yyyy")),"{company}",Setup!$C$4))</f>
        <v/>
      </c>
      <c r="O148" s="21" t="str">
        <f ca="1">IF(Calc!$AM148="","",SUBSTITUTE(SUBSTITUTE(SUBSTITUTE(SUBSTITUTE(INDEX(Setup!$K$20:$K$34,Calc!$AN148)&amp;"","{name}",$E148),"{years}",$G148),"{date}",TEXT($H148,"mmmm d, yyyy")),"{company}",Setup!$C$4))</f>
        <v/>
      </c>
      <c r="P148" s="21" t="str">
        <f ca="1">IF(Calc!$AM148="","",SUBSTITUTE(SUBSTITUTE(TRIM(SUBSTITUTE($L148," ","~")&amp;" "&amp;SUBSTITUTE($M148," ","~")&amp;" "&amp;SUBSTITUTE($N148," ","~")&amp;" "&amp;SUBSTITUTE($O148," ","~"))," "," | "),"~"," "))</f>
        <v/>
      </c>
    </row>
    <row r="149" spans="1:16" x14ac:dyDescent="0.2">
      <c r="A149" s="19" t="str">
        <f ca="1">IF(Calc!$AM149="","",ROW()-5)</f>
        <v/>
      </c>
      <c r="B149" s="20" t="str">
        <f ca="1">IF(Calc!$AM149="","",INT(Calc!$AK149))</f>
        <v/>
      </c>
      <c r="C149" s="21" t="str">
        <f ca="1">IF(Calc!$AM149="","",IF($H149&lt;Setup!$C$5,"PAST DUE: milestone date has passed",IF($B149&lt;Setup!$C$5,"LATE: order today, ask about rush",IF($B149&lt;Setup!$C$5+14,"Order within 2 weeks","Scheduled"))))</f>
        <v/>
      </c>
      <c r="D149" s="21" t="str">
        <f ca="1">IF(Calc!$AM149="","",TEXT($B149,"mmmm yyyy"))</f>
        <v/>
      </c>
      <c r="E149" s="21" t="str">
        <f ca="1">IF(Calc!$AM149="","",INDEX(Roster!$A$6:$A$505,Calc!$AM149)&amp;"")</f>
        <v/>
      </c>
      <c r="F149" s="21" t="str">
        <f ca="1">IF(Calc!$AM149="","",INDEX(Roster!$C$6:$C$505,Calc!$AM149)&amp;"")</f>
        <v/>
      </c>
      <c r="G149" s="19" t="str">
        <f ca="1">IF(Calc!$AM149="","",INDEX(Setup!$C$20:$C$34,Calc!$AN149))</f>
        <v/>
      </c>
      <c r="H149" s="20" t="str">
        <f ca="1">IF(Calc!$AM149="","",INDEX(Calc!$B$6:$P$505,Calc!$AM149,Calc!$AN149))</f>
        <v/>
      </c>
      <c r="I149" s="21" t="str">
        <f ca="1">IF(Calc!$AM149="","",INDEX(Setup!$D$20:$D$34,Calc!$AN149)&amp;"")</f>
        <v/>
      </c>
      <c r="J149" s="21" t="str">
        <f ca="1">IF(Calc!$AM149="","",INDEX(Setup!$E$20:$E$34,Calc!$AN149)&amp;"")</f>
        <v/>
      </c>
      <c r="K149" s="23" t="str">
        <f ca="1">IF(Calc!$AM149="","",INDEX(Setup!$F$20:$F$34,Calc!$AN149))</f>
        <v/>
      </c>
      <c r="L149" s="21" t="str">
        <f ca="1">IF(Calc!$AM149="","",SUBSTITUTE(SUBSTITUTE(SUBSTITUTE(SUBSTITUTE(INDEX(Setup!$H$20:$H$34,Calc!$AN149)&amp;"","{name}",$E149),"{years}",$G149),"{date}",TEXT($H149,"mmmm d, yyyy")),"{company}",Setup!$C$4))</f>
        <v/>
      </c>
      <c r="M149" s="21" t="str">
        <f ca="1">IF(Calc!$AM149="","",SUBSTITUTE(SUBSTITUTE(SUBSTITUTE(SUBSTITUTE(INDEX(Setup!$I$20:$I$34,Calc!$AN149)&amp;"","{name}",$E149),"{years}",$G149),"{date}",TEXT($H149,"mmmm d, yyyy")),"{company}",Setup!$C$4))</f>
        <v/>
      </c>
      <c r="N149" s="21" t="str">
        <f ca="1">IF(Calc!$AM149="","",SUBSTITUTE(SUBSTITUTE(SUBSTITUTE(SUBSTITUTE(INDEX(Setup!$J$20:$J$34,Calc!$AN149)&amp;"","{name}",$E149),"{years}",$G149),"{date}",TEXT($H149,"mmmm d, yyyy")),"{company}",Setup!$C$4))</f>
        <v/>
      </c>
      <c r="O149" s="21" t="str">
        <f ca="1">IF(Calc!$AM149="","",SUBSTITUTE(SUBSTITUTE(SUBSTITUTE(SUBSTITUTE(INDEX(Setup!$K$20:$K$34,Calc!$AN149)&amp;"","{name}",$E149),"{years}",$G149),"{date}",TEXT($H149,"mmmm d, yyyy")),"{company}",Setup!$C$4))</f>
        <v/>
      </c>
      <c r="P149" s="21" t="str">
        <f ca="1">IF(Calc!$AM149="","",SUBSTITUTE(SUBSTITUTE(TRIM(SUBSTITUTE($L149," ","~")&amp;" "&amp;SUBSTITUTE($M149," ","~")&amp;" "&amp;SUBSTITUTE($N149," ","~")&amp;" "&amp;SUBSTITUTE($O149," ","~"))," "," | "),"~"," "))</f>
        <v/>
      </c>
    </row>
    <row r="150" spans="1:16" x14ac:dyDescent="0.2">
      <c r="A150" s="19" t="str">
        <f ca="1">IF(Calc!$AM150="","",ROW()-5)</f>
        <v/>
      </c>
      <c r="B150" s="20" t="str">
        <f ca="1">IF(Calc!$AM150="","",INT(Calc!$AK150))</f>
        <v/>
      </c>
      <c r="C150" s="21" t="str">
        <f ca="1">IF(Calc!$AM150="","",IF($H150&lt;Setup!$C$5,"PAST DUE: milestone date has passed",IF($B150&lt;Setup!$C$5,"LATE: order today, ask about rush",IF($B150&lt;Setup!$C$5+14,"Order within 2 weeks","Scheduled"))))</f>
        <v/>
      </c>
      <c r="D150" s="21" t="str">
        <f ca="1">IF(Calc!$AM150="","",TEXT($B150,"mmmm yyyy"))</f>
        <v/>
      </c>
      <c r="E150" s="21" t="str">
        <f ca="1">IF(Calc!$AM150="","",INDEX(Roster!$A$6:$A$505,Calc!$AM150)&amp;"")</f>
        <v/>
      </c>
      <c r="F150" s="21" t="str">
        <f ca="1">IF(Calc!$AM150="","",INDEX(Roster!$C$6:$C$505,Calc!$AM150)&amp;"")</f>
        <v/>
      </c>
      <c r="G150" s="19" t="str">
        <f ca="1">IF(Calc!$AM150="","",INDEX(Setup!$C$20:$C$34,Calc!$AN150))</f>
        <v/>
      </c>
      <c r="H150" s="20" t="str">
        <f ca="1">IF(Calc!$AM150="","",INDEX(Calc!$B$6:$P$505,Calc!$AM150,Calc!$AN150))</f>
        <v/>
      </c>
      <c r="I150" s="21" t="str">
        <f ca="1">IF(Calc!$AM150="","",INDEX(Setup!$D$20:$D$34,Calc!$AN150)&amp;"")</f>
        <v/>
      </c>
      <c r="J150" s="21" t="str">
        <f ca="1">IF(Calc!$AM150="","",INDEX(Setup!$E$20:$E$34,Calc!$AN150)&amp;"")</f>
        <v/>
      </c>
      <c r="K150" s="23" t="str">
        <f ca="1">IF(Calc!$AM150="","",INDEX(Setup!$F$20:$F$34,Calc!$AN150))</f>
        <v/>
      </c>
      <c r="L150" s="21" t="str">
        <f ca="1">IF(Calc!$AM150="","",SUBSTITUTE(SUBSTITUTE(SUBSTITUTE(SUBSTITUTE(INDEX(Setup!$H$20:$H$34,Calc!$AN150)&amp;"","{name}",$E150),"{years}",$G150),"{date}",TEXT($H150,"mmmm d, yyyy")),"{company}",Setup!$C$4))</f>
        <v/>
      </c>
      <c r="M150" s="21" t="str">
        <f ca="1">IF(Calc!$AM150="","",SUBSTITUTE(SUBSTITUTE(SUBSTITUTE(SUBSTITUTE(INDEX(Setup!$I$20:$I$34,Calc!$AN150)&amp;"","{name}",$E150),"{years}",$G150),"{date}",TEXT($H150,"mmmm d, yyyy")),"{company}",Setup!$C$4))</f>
        <v/>
      </c>
      <c r="N150" s="21" t="str">
        <f ca="1">IF(Calc!$AM150="","",SUBSTITUTE(SUBSTITUTE(SUBSTITUTE(SUBSTITUTE(INDEX(Setup!$J$20:$J$34,Calc!$AN150)&amp;"","{name}",$E150),"{years}",$G150),"{date}",TEXT($H150,"mmmm d, yyyy")),"{company}",Setup!$C$4))</f>
        <v/>
      </c>
      <c r="O150" s="21" t="str">
        <f ca="1">IF(Calc!$AM150="","",SUBSTITUTE(SUBSTITUTE(SUBSTITUTE(SUBSTITUTE(INDEX(Setup!$K$20:$K$34,Calc!$AN150)&amp;"","{name}",$E150),"{years}",$G150),"{date}",TEXT($H150,"mmmm d, yyyy")),"{company}",Setup!$C$4))</f>
        <v/>
      </c>
      <c r="P150" s="21" t="str">
        <f ca="1">IF(Calc!$AM150="","",SUBSTITUTE(SUBSTITUTE(TRIM(SUBSTITUTE($L150," ","~")&amp;" "&amp;SUBSTITUTE($M150," ","~")&amp;" "&amp;SUBSTITUTE($N150," ","~")&amp;" "&amp;SUBSTITUTE($O150," ","~"))," "," | "),"~"," "))</f>
        <v/>
      </c>
    </row>
    <row r="151" spans="1:16" x14ac:dyDescent="0.2">
      <c r="A151" s="19" t="str">
        <f ca="1">IF(Calc!$AM151="","",ROW()-5)</f>
        <v/>
      </c>
      <c r="B151" s="20" t="str">
        <f ca="1">IF(Calc!$AM151="","",INT(Calc!$AK151))</f>
        <v/>
      </c>
      <c r="C151" s="21" t="str">
        <f ca="1">IF(Calc!$AM151="","",IF($H151&lt;Setup!$C$5,"PAST DUE: milestone date has passed",IF($B151&lt;Setup!$C$5,"LATE: order today, ask about rush",IF($B151&lt;Setup!$C$5+14,"Order within 2 weeks","Scheduled"))))</f>
        <v/>
      </c>
      <c r="D151" s="21" t="str">
        <f ca="1">IF(Calc!$AM151="","",TEXT($B151,"mmmm yyyy"))</f>
        <v/>
      </c>
      <c r="E151" s="21" t="str">
        <f ca="1">IF(Calc!$AM151="","",INDEX(Roster!$A$6:$A$505,Calc!$AM151)&amp;"")</f>
        <v/>
      </c>
      <c r="F151" s="21" t="str">
        <f ca="1">IF(Calc!$AM151="","",INDEX(Roster!$C$6:$C$505,Calc!$AM151)&amp;"")</f>
        <v/>
      </c>
      <c r="G151" s="19" t="str">
        <f ca="1">IF(Calc!$AM151="","",INDEX(Setup!$C$20:$C$34,Calc!$AN151))</f>
        <v/>
      </c>
      <c r="H151" s="20" t="str">
        <f ca="1">IF(Calc!$AM151="","",INDEX(Calc!$B$6:$P$505,Calc!$AM151,Calc!$AN151))</f>
        <v/>
      </c>
      <c r="I151" s="21" t="str">
        <f ca="1">IF(Calc!$AM151="","",INDEX(Setup!$D$20:$D$34,Calc!$AN151)&amp;"")</f>
        <v/>
      </c>
      <c r="J151" s="21" t="str">
        <f ca="1">IF(Calc!$AM151="","",INDEX(Setup!$E$20:$E$34,Calc!$AN151)&amp;"")</f>
        <v/>
      </c>
      <c r="K151" s="23" t="str">
        <f ca="1">IF(Calc!$AM151="","",INDEX(Setup!$F$20:$F$34,Calc!$AN151))</f>
        <v/>
      </c>
      <c r="L151" s="21" t="str">
        <f ca="1">IF(Calc!$AM151="","",SUBSTITUTE(SUBSTITUTE(SUBSTITUTE(SUBSTITUTE(INDEX(Setup!$H$20:$H$34,Calc!$AN151)&amp;"","{name}",$E151),"{years}",$G151),"{date}",TEXT($H151,"mmmm d, yyyy")),"{company}",Setup!$C$4))</f>
        <v/>
      </c>
      <c r="M151" s="21" t="str">
        <f ca="1">IF(Calc!$AM151="","",SUBSTITUTE(SUBSTITUTE(SUBSTITUTE(SUBSTITUTE(INDEX(Setup!$I$20:$I$34,Calc!$AN151)&amp;"","{name}",$E151),"{years}",$G151),"{date}",TEXT($H151,"mmmm d, yyyy")),"{company}",Setup!$C$4))</f>
        <v/>
      </c>
      <c r="N151" s="21" t="str">
        <f ca="1">IF(Calc!$AM151="","",SUBSTITUTE(SUBSTITUTE(SUBSTITUTE(SUBSTITUTE(INDEX(Setup!$J$20:$J$34,Calc!$AN151)&amp;"","{name}",$E151),"{years}",$G151),"{date}",TEXT($H151,"mmmm d, yyyy")),"{company}",Setup!$C$4))</f>
        <v/>
      </c>
      <c r="O151" s="21" t="str">
        <f ca="1">IF(Calc!$AM151="","",SUBSTITUTE(SUBSTITUTE(SUBSTITUTE(SUBSTITUTE(INDEX(Setup!$K$20:$K$34,Calc!$AN151)&amp;"","{name}",$E151),"{years}",$G151),"{date}",TEXT($H151,"mmmm d, yyyy")),"{company}",Setup!$C$4))</f>
        <v/>
      </c>
      <c r="P151" s="21" t="str">
        <f ca="1">IF(Calc!$AM151="","",SUBSTITUTE(SUBSTITUTE(TRIM(SUBSTITUTE($L151," ","~")&amp;" "&amp;SUBSTITUTE($M151," ","~")&amp;" "&amp;SUBSTITUTE($N151," ","~")&amp;" "&amp;SUBSTITUTE($O151," ","~"))," "," | "),"~"," "))</f>
        <v/>
      </c>
    </row>
    <row r="152" spans="1:16" x14ac:dyDescent="0.2">
      <c r="A152" s="19" t="str">
        <f ca="1">IF(Calc!$AM152="","",ROW()-5)</f>
        <v/>
      </c>
      <c r="B152" s="20" t="str">
        <f ca="1">IF(Calc!$AM152="","",INT(Calc!$AK152))</f>
        <v/>
      </c>
      <c r="C152" s="21" t="str">
        <f ca="1">IF(Calc!$AM152="","",IF($H152&lt;Setup!$C$5,"PAST DUE: milestone date has passed",IF($B152&lt;Setup!$C$5,"LATE: order today, ask about rush",IF($B152&lt;Setup!$C$5+14,"Order within 2 weeks","Scheduled"))))</f>
        <v/>
      </c>
      <c r="D152" s="21" t="str">
        <f ca="1">IF(Calc!$AM152="","",TEXT($B152,"mmmm yyyy"))</f>
        <v/>
      </c>
      <c r="E152" s="21" t="str">
        <f ca="1">IF(Calc!$AM152="","",INDEX(Roster!$A$6:$A$505,Calc!$AM152)&amp;"")</f>
        <v/>
      </c>
      <c r="F152" s="21" t="str">
        <f ca="1">IF(Calc!$AM152="","",INDEX(Roster!$C$6:$C$505,Calc!$AM152)&amp;"")</f>
        <v/>
      </c>
      <c r="G152" s="19" t="str">
        <f ca="1">IF(Calc!$AM152="","",INDEX(Setup!$C$20:$C$34,Calc!$AN152))</f>
        <v/>
      </c>
      <c r="H152" s="20" t="str">
        <f ca="1">IF(Calc!$AM152="","",INDEX(Calc!$B$6:$P$505,Calc!$AM152,Calc!$AN152))</f>
        <v/>
      </c>
      <c r="I152" s="21" t="str">
        <f ca="1">IF(Calc!$AM152="","",INDEX(Setup!$D$20:$D$34,Calc!$AN152)&amp;"")</f>
        <v/>
      </c>
      <c r="J152" s="21" t="str">
        <f ca="1">IF(Calc!$AM152="","",INDEX(Setup!$E$20:$E$34,Calc!$AN152)&amp;"")</f>
        <v/>
      </c>
      <c r="K152" s="23" t="str">
        <f ca="1">IF(Calc!$AM152="","",INDEX(Setup!$F$20:$F$34,Calc!$AN152))</f>
        <v/>
      </c>
      <c r="L152" s="21" t="str">
        <f ca="1">IF(Calc!$AM152="","",SUBSTITUTE(SUBSTITUTE(SUBSTITUTE(SUBSTITUTE(INDEX(Setup!$H$20:$H$34,Calc!$AN152)&amp;"","{name}",$E152),"{years}",$G152),"{date}",TEXT($H152,"mmmm d, yyyy")),"{company}",Setup!$C$4))</f>
        <v/>
      </c>
      <c r="M152" s="21" t="str">
        <f ca="1">IF(Calc!$AM152="","",SUBSTITUTE(SUBSTITUTE(SUBSTITUTE(SUBSTITUTE(INDEX(Setup!$I$20:$I$34,Calc!$AN152)&amp;"","{name}",$E152),"{years}",$G152),"{date}",TEXT($H152,"mmmm d, yyyy")),"{company}",Setup!$C$4))</f>
        <v/>
      </c>
      <c r="N152" s="21" t="str">
        <f ca="1">IF(Calc!$AM152="","",SUBSTITUTE(SUBSTITUTE(SUBSTITUTE(SUBSTITUTE(INDEX(Setup!$J$20:$J$34,Calc!$AN152)&amp;"","{name}",$E152),"{years}",$G152),"{date}",TEXT($H152,"mmmm d, yyyy")),"{company}",Setup!$C$4))</f>
        <v/>
      </c>
      <c r="O152" s="21" t="str">
        <f ca="1">IF(Calc!$AM152="","",SUBSTITUTE(SUBSTITUTE(SUBSTITUTE(SUBSTITUTE(INDEX(Setup!$K$20:$K$34,Calc!$AN152)&amp;"","{name}",$E152),"{years}",$G152),"{date}",TEXT($H152,"mmmm d, yyyy")),"{company}",Setup!$C$4))</f>
        <v/>
      </c>
      <c r="P152" s="21" t="str">
        <f ca="1">IF(Calc!$AM152="","",SUBSTITUTE(SUBSTITUTE(TRIM(SUBSTITUTE($L152," ","~")&amp;" "&amp;SUBSTITUTE($M152," ","~")&amp;" "&amp;SUBSTITUTE($N152," ","~")&amp;" "&amp;SUBSTITUTE($O152," ","~"))," "," | "),"~"," "))</f>
        <v/>
      </c>
    </row>
    <row r="153" spans="1:16" x14ac:dyDescent="0.2">
      <c r="A153" s="19" t="str">
        <f ca="1">IF(Calc!$AM153="","",ROW()-5)</f>
        <v/>
      </c>
      <c r="B153" s="20" t="str">
        <f ca="1">IF(Calc!$AM153="","",INT(Calc!$AK153))</f>
        <v/>
      </c>
      <c r="C153" s="21" t="str">
        <f ca="1">IF(Calc!$AM153="","",IF($H153&lt;Setup!$C$5,"PAST DUE: milestone date has passed",IF($B153&lt;Setup!$C$5,"LATE: order today, ask about rush",IF($B153&lt;Setup!$C$5+14,"Order within 2 weeks","Scheduled"))))</f>
        <v/>
      </c>
      <c r="D153" s="21" t="str">
        <f ca="1">IF(Calc!$AM153="","",TEXT($B153,"mmmm yyyy"))</f>
        <v/>
      </c>
      <c r="E153" s="21" t="str">
        <f ca="1">IF(Calc!$AM153="","",INDEX(Roster!$A$6:$A$505,Calc!$AM153)&amp;"")</f>
        <v/>
      </c>
      <c r="F153" s="21" t="str">
        <f ca="1">IF(Calc!$AM153="","",INDEX(Roster!$C$6:$C$505,Calc!$AM153)&amp;"")</f>
        <v/>
      </c>
      <c r="G153" s="19" t="str">
        <f ca="1">IF(Calc!$AM153="","",INDEX(Setup!$C$20:$C$34,Calc!$AN153))</f>
        <v/>
      </c>
      <c r="H153" s="20" t="str">
        <f ca="1">IF(Calc!$AM153="","",INDEX(Calc!$B$6:$P$505,Calc!$AM153,Calc!$AN153))</f>
        <v/>
      </c>
      <c r="I153" s="21" t="str">
        <f ca="1">IF(Calc!$AM153="","",INDEX(Setup!$D$20:$D$34,Calc!$AN153)&amp;"")</f>
        <v/>
      </c>
      <c r="J153" s="21" t="str">
        <f ca="1">IF(Calc!$AM153="","",INDEX(Setup!$E$20:$E$34,Calc!$AN153)&amp;"")</f>
        <v/>
      </c>
      <c r="K153" s="23" t="str">
        <f ca="1">IF(Calc!$AM153="","",INDEX(Setup!$F$20:$F$34,Calc!$AN153))</f>
        <v/>
      </c>
      <c r="L153" s="21" t="str">
        <f ca="1">IF(Calc!$AM153="","",SUBSTITUTE(SUBSTITUTE(SUBSTITUTE(SUBSTITUTE(INDEX(Setup!$H$20:$H$34,Calc!$AN153)&amp;"","{name}",$E153),"{years}",$G153),"{date}",TEXT($H153,"mmmm d, yyyy")),"{company}",Setup!$C$4))</f>
        <v/>
      </c>
      <c r="M153" s="21" t="str">
        <f ca="1">IF(Calc!$AM153="","",SUBSTITUTE(SUBSTITUTE(SUBSTITUTE(SUBSTITUTE(INDEX(Setup!$I$20:$I$34,Calc!$AN153)&amp;"","{name}",$E153),"{years}",$G153),"{date}",TEXT($H153,"mmmm d, yyyy")),"{company}",Setup!$C$4))</f>
        <v/>
      </c>
      <c r="N153" s="21" t="str">
        <f ca="1">IF(Calc!$AM153="","",SUBSTITUTE(SUBSTITUTE(SUBSTITUTE(SUBSTITUTE(INDEX(Setup!$J$20:$J$34,Calc!$AN153)&amp;"","{name}",$E153),"{years}",$G153),"{date}",TEXT($H153,"mmmm d, yyyy")),"{company}",Setup!$C$4))</f>
        <v/>
      </c>
      <c r="O153" s="21" t="str">
        <f ca="1">IF(Calc!$AM153="","",SUBSTITUTE(SUBSTITUTE(SUBSTITUTE(SUBSTITUTE(INDEX(Setup!$K$20:$K$34,Calc!$AN153)&amp;"","{name}",$E153),"{years}",$G153),"{date}",TEXT($H153,"mmmm d, yyyy")),"{company}",Setup!$C$4))</f>
        <v/>
      </c>
      <c r="P153" s="21" t="str">
        <f ca="1">IF(Calc!$AM153="","",SUBSTITUTE(SUBSTITUTE(TRIM(SUBSTITUTE($L153," ","~")&amp;" "&amp;SUBSTITUTE($M153," ","~")&amp;" "&amp;SUBSTITUTE($N153," ","~")&amp;" "&amp;SUBSTITUTE($O153," ","~"))," "," | "),"~"," "))</f>
        <v/>
      </c>
    </row>
    <row r="154" spans="1:16" x14ac:dyDescent="0.2">
      <c r="A154" s="19" t="str">
        <f ca="1">IF(Calc!$AM154="","",ROW()-5)</f>
        <v/>
      </c>
      <c r="B154" s="20" t="str">
        <f ca="1">IF(Calc!$AM154="","",INT(Calc!$AK154))</f>
        <v/>
      </c>
      <c r="C154" s="21" t="str">
        <f ca="1">IF(Calc!$AM154="","",IF($H154&lt;Setup!$C$5,"PAST DUE: milestone date has passed",IF($B154&lt;Setup!$C$5,"LATE: order today, ask about rush",IF($B154&lt;Setup!$C$5+14,"Order within 2 weeks","Scheduled"))))</f>
        <v/>
      </c>
      <c r="D154" s="21" t="str">
        <f ca="1">IF(Calc!$AM154="","",TEXT($B154,"mmmm yyyy"))</f>
        <v/>
      </c>
      <c r="E154" s="21" t="str">
        <f ca="1">IF(Calc!$AM154="","",INDEX(Roster!$A$6:$A$505,Calc!$AM154)&amp;"")</f>
        <v/>
      </c>
      <c r="F154" s="21" t="str">
        <f ca="1">IF(Calc!$AM154="","",INDEX(Roster!$C$6:$C$505,Calc!$AM154)&amp;"")</f>
        <v/>
      </c>
      <c r="G154" s="19" t="str">
        <f ca="1">IF(Calc!$AM154="","",INDEX(Setup!$C$20:$C$34,Calc!$AN154))</f>
        <v/>
      </c>
      <c r="H154" s="20" t="str">
        <f ca="1">IF(Calc!$AM154="","",INDEX(Calc!$B$6:$P$505,Calc!$AM154,Calc!$AN154))</f>
        <v/>
      </c>
      <c r="I154" s="21" t="str">
        <f ca="1">IF(Calc!$AM154="","",INDEX(Setup!$D$20:$D$34,Calc!$AN154)&amp;"")</f>
        <v/>
      </c>
      <c r="J154" s="21" t="str">
        <f ca="1">IF(Calc!$AM154="","",INDEX(Setup!$E$20:$E$34,Calc!$AN154)&amp;"")</f>
        <v/>
      </c>
      <c r="K154" s="23" t="str">
        <f ca="1">IF(Calc!$AM154="","",INDEX(Setup!$F$20:$F$34,Calc!$AN154))</f>
        <v/>
      </c>
      <c r="L154" s="21" t="str">
        <f ca="1">IF(Calc!$AM154="","",SUBSTITUTE(SUBSTITUTE(SUBSTITUTE(SUBSTITUTE(INDEX(Setup!$H$20:$H$34,Calc!$AN154)&amp;"","{name}",$E154),"{years}",$G154),"{date}",TEXT($H154,"mmmm d, yyyy")),"{company}",Setup!$C$4))</f>
        <v/>
      </c>
      <c r="M154" s="21" t="str">
        <f ca="1">IF(Calc!$AM154="","",SUBSTITUTE(SUBSTITUTE(SUBSTITUTE(SUBSTITUTE(INDEX(Setup!$I$20:$I$34,Calc!$AN154)&amp;"","{name}",$E154),"{years}",$G154),"{date}",TEXT($H154,"mmmm d, yyyy")),"{company}",Setup!$C$4))</f>
        <v/>
      </c>
      <c r="N154" s="21" t="str">
        <f ca="1">IF(Calc!$AM154="","",SUBSTITUTE(SUBSTITUTE(SUBSTITUTE(SUBSTITUTE(INDEX(Setup!$J$20:$J$34,Calc!$AN154)&amp;"","{name}",$E154),"{years}",$G154),"{date}",TEXT($H154,"mmmm d, yyyy")),"{company}",Setup!$C$4))</f>
        <v/>
      </c>
      <c r="O154" s="21" t="str">
        <f ca="1">IF(Calc!$AM154="","",SUBSTITUTE(SUBSTITUTE(SUBSTITUTE(SUBSTITUTE(INDEX(Setup!$K$20:$K$34,Calc!$AN154)&amp;"","{name}",$E154),"{years}",$G154),"{date}",TEXT($H154,"mmmm d, yyyy")),"{company}",Setup!$C$4))</f>
        <v/>
      </c>
      <c r="P154" s="21" t="str">
        <f ca="1">IF(Calc!$AM154="","",SUBSTITUTE(SUBSTITUTE(TRIM(SUBSTITUTE($L154," ","~")&amp;" "&amp;SUBSTITUTE($M154," ","~")&amp;" "&amp;SUBSTITUTE($N154," ","~")&amp;" "&amp;SUBSTITUTE($O154," ","~"))," "," | "),"~"," "))</f>
        <v/>
      </c>
    </row>
    <row r="155" spans="1:16" x14ac:dyDescent="0.2">
      <c r="A155" s="19" t="str">
        <f ca="1">IF(Calc!$AM155="","",ROW()-5)</f>
        <v/>
      </c>
      <c r="B155" s="20" t="str">
        <f ca="1">IF(Calc!$AM155="","",INT(Calc!$AK155))</f>
        <v/>
      </c>
      <c r="C155" s="21" t="str">
        <f ca="1">IF(Calc!$AM155="","",IF($H155&lt;Setup!$C$5,"PAST DUE: milestone date has passed",IF($B155&lt;Setup!$C$5,"LATE: order today, ask about rush",IF($B155&lt;Setup!$C$5+14,"Order within 2 weeks","Scheduled"))))</f>
        <v/>
      </c>
      <c r="D155" s="21" t="str">
        <f ca="1">IF(Calc!$AM155="","",TEXT($B155,"mmmm yyyy"))</f>
        <v/>
      </c>
      <c r="E155" s="21" t="str">
        <f ca="1">IF(Calc!$AM155="","",INDEX(Roster!$A$6:$A$505,Calc!$AM155)&amp;"")</f>
        <v/>
      </c>
      <c r="F155" s="21" t="str">
        <f ca="1">IF(Calc!$AM155="","",INDEX(Roster!$C$6:$C$505,Calc!$AM155)&amp;"")</f>
        <v/>
      </c>
      <c r="G155" s="19" t="str">
        <f ca="1">IF(Calc!$AM155="","",INDEX(Setup!$C$20:$C$34,Calc!$AN155))</f>
        <v/>
      </c>
      <c r="H155" s="20" t="str">
        <f ca="1">IF(Calc!$AM155="","",INDEX(Calc!$B$6:$P$505,Calc!$AM155,Calc!$AN155))</f>
        <v/>
      </c>
      <c r="I155" s="21" t="str">
        <f ca="1">IF(Calc!$AM155="","",INDEX(Setup!$D$20:$D$34,Calc!$AN155)&amp;"")</f>
        <v/>
      </c>
      <c r="J155" s="21" t="str">
        <f ca="1">IF(Calc!$AM155="","",INDEX(Setup!$E$20:$E$34,Calc!$AN155)&amp;"")</f>
        <v/>
      </c>
      <c r="K155" s="23" t="str">
        <f ca="1">IF(Calc!$AM155="","",INDEX(Setup!$F$20:$F$34,Calc!$AN155))</f>
        <v/>
      </c>
      <c r="L155" s="21" t="str">
        <f ca="1">IF(Calc!$AM155="","",SUBSTITUTE(SUBSTITUTE(SUBSTITUTE(SUBSTITUTE(INDEX(Setup!$H$20:$H$34,Calc!$AN155)&amp;"","{name}",$E155),"{years}",$G155),"{date}",TEXT($H155,"mmmm d, yyyy")),"{company}",Setup!$C$4))</f>
        <v/>
      </c>
      <c r="M155" s="21" t="str">
        <f ca="1">IF(Calc!$AM155="","",SUBSTITUTE(SUBSTITUTE(SUBSTITUTE(SUBSTITUTE(INDEX(Setup!$I$20:$I$34,Calc!$AN155)&amp;"","{name}",$E155),"{years}",$G155),"{date}",TEXT($H155,"mmmm d, yyyy")),"{company}",Setup!$C$4))</f>
        <v/>
      </c>
      <c r="N155" s="21" t="str">
        <f ca="1">IF(Calc!$AM155="","",SUBSTITUTE(SUBSTITUTE(SUBSTITUTE(SUBSTITUTE(INDEX(Setup!$J$20:$J$34,Calc!$AN155)&amp;"","{name}",$E155),"{years}",$G155),"{date}",TEXT($H155,"mmmm d, yyyy")),"{company}",Setup!$C$4))</f>
        <v/>
      </c>
      <c r="O155" s="21" t="str">
        <f ca="1">IF(Calc!$AM155="","",SUBSTITUTE(SUBSTITUTE(SUBSTITUTE(SUBSTITUTE(INDEX(Setup!$K$20:$K$34,Calc!$AN155)&amp;"","{name}",$E155),"{years}",$G155),"{date}",TEXT($H155,"mmmm d, yyyy")),"{company}",Setup!$C$4))</f>
        <v/>
      </c>
      <c r="P155" s="21" t="str">
        <f ca="1">IF(Calc!$AM155="","",SUBSTITUTE(SUBSTITUTE(TRIM(SUBSTITUTE($L155," ","~")&amp;" "&amp;SUBSTITUTE($M155," ","~")&amp;" "&amp;SUBSTITUTE($N155," ","~")&amp;" "&amp;SUBSTITUTE($O155," ","~"))," "," | "),"~"," "))</f>
        <v/>
      </c>
    </row>
    <row r="156" spans="1:16" x14ac:dyDescent="0.2">
      <c r="A156" s="19" t="str">
        <f ca="1">IF(Calc!$AM156="","",ROW()-5)</f>
        <v/>
      </c>
      <c r="B156" s="20" t="str">
        <f ca="1">IF(Calc!$AM156="","",INT(Calc!$AK156))</f>
        <v/>
      </c>
      <c r="C156" s="21" t="str">
        <f ca="1">IF(Calc!$AM156="","",IF($H156&lt;Setup!$C$5,"PAST DUE: milestone date has passed",IF($B156&lt;Setup!$C$5,"LATE: order today, ask about rush",IF($B156&lt;Setup!$C$5+14,"Order within 2 weeks","Scheduled"))))</f>
        <v/>
      </c>
      <c r="D156" s="21" t="str">
        <f ca="1">IF(Calc!$AM156="","",TEXT($B156,"mmmm yyyy"))</f>
        <v/>
      </c>
      <c r="E156" s="21" t="str">
        <f ca="1">IF(Calc!$AM156="","",INDEX(Roster!$A$6:$A$505,Calc!$AM156)&amp;"")</f>
        <v/>
      </c>
      <c r="F156" s="21" t="str">
        <f ca="1">IF(Calc!$AM156="","",INDEX(Roster!$C$6:$C$505,Calc!$AM156)&amp;"")</f>
        <v/>
      </c>
      <c r="G156" s="19" t="str">
        <f ca="1">IF(Calc!$AM156="","",INDEX(Setup!$C$20:$C$34,Calc!$AN156))</f>
        <v/>
      </c>
      <c r="H156" s="20" t="str">
        <f ca="1">IF(Calc!$AM156="","",INDEX(Calc!$B$6:$P$505,Calc!$AM156,Calc!$AN156))</f>
        <v/>
      </c>
      <c r="I156" s="21" t="str">
        <f ca="1">IF(Calc!$AM156="","",INDEX(Setup!$D$20:$D$34,Calc!$AN156)&amp;"")</f>
        <v/>
      </c>
      <c r="J156" s="21" t="str">
        <f ca="1">IF(Calc!$AM156="","",INDEX(Setup!$E$20:$E$34,Calc!$AN156)&amp;"")</f>
        <v/>
      </c>
      <c r="K156" s="23" t="str">
        <f ca="1">IF(Calc!$AM156="","",INDEX(Setup!$F$20:$F$34,Calc!$AN156))</f>
        <v/>
      </c>
      <c r="L156" s="21" t="str">
        <f ca="1">IF(Calc!$AM156="","",SUBSTITUTE(SUBSTITUTE(SUBSTITUTE(SUBSTITUTE(INDEX(Setup!$H$20:$H$34,Calc!$AN156)&amp;"","{name}",$E156),"{years}",$G156),"{date}",TEXT($H156,"mmmm d, yyyy")),"{company}",Setup!$C$4))</f>
        <v/>
      </c>
      <c r="M156" s="21" t="str">
        <f ca="1">IF(Calc!$AM156="","",SUBSTITUTE(SUBSTITUTE(SUBSTITUTE(SUBSTITUTE(INDEX(Setup!$I$20:$I$34,Calc!$AN156)&amp;"","{name}",$E156),"{years}",$G156),"{date}",TEXT($H156,"mmmm d, yyyy")),"{company}",Setup!$C$4))</f>
        <v/>
      </c>
      <c r="N156" s="21" t="str">
        <f ca="1">IF(Calc!$AM156="","",SUBSTITUTE(SUBSTITUTE(SUBSTITUTE(SUBSTITUTE(INDEX(Setup!$J$20:$J$34,Calc!$AN156)&amp;"","{name}",$E156),"{years}",$G156),"{date}",TEXT($H156,"mmmm d, yyyy")),"{company}",Setup!$C$4))</f>
        <v/>
      </c>
      <c r="O156" s="21" t="str">
        <f ca="1">IF(Calc!$AM156="","",SUBSTITUTE(SUBSTITUTE(SUBSTITUTE(SUBSTITUTE(INDEX(Setup!$K$20:$K$34,Calc!$AN156)&amp;"","{name}",$E156),"{years}",$G156),"{date}",TEXT($H156,"mmmm d, yyyy")),"{company}",Setup!$C$4))</f>
        <v/>
      </c>
      <c r="P156" s="21" t="str">
        <f ca="1">IF(Calc!$AM156="","",SUBSTITUTE(SUBSTITUTE(TRIM(SUBSTITUTE($L156," ","~")&amp;" "&amp;SUBSTITUTE($M156," ","~")&amp;" "&amp;SUBSTITUTE($N156," ","~")&amp;" "&amp;SUBSTITUTE($O156," ","~"))," "," | "),"~"," "))</f>
        <v/>
      </c>
    </row>
    <row r="157" spans="1:16" x14ac:dyDescent="0.2">
      <c r="A157" s="19" t="str">
        <f ca="1">IF(Calc!$AM157="","",ROW()-5)</f>
        <v/>
      </c>
      <c r="B157" s="20" t="str">
        <f ca="1">IF(Calc!$AM157="","",INT(Calc!$AK157))</f>
        <v/>
      </c>
      <c r="C157" s="21" t="str">
        <f ca="1">IF(Calc!$AM157="","",IF($H157&lt;Setup!$C$5,"PAST DUE: milestone date has passed",IF($B157&lt;Setup!$C$5,"LATE: order today, ask about rush",IF($B157&lt;Setup!$C$5+14,"Order within 2 weeks","Scheduled"))))</f>
        <v/>
      </c>
      <c r="D157" s="21" t="str">
        <f ca="1">IF(Calc!$AM157="","",TEXT($B157,"mmmm yyyy"))</f>
        <v/>
      </c>
      <c r="E157" s="21" t="str">
        <f ca="1">IF(Calc!$AM157="","",INDEX(Roster!$A$6:$A$505,Calc!$AM157)&amp;"")</f>
        <v/>
      </c>
      <c r="F157" s="21" t="str">
        <f ca="1">IF(Calc!$AM157="","",INDEX(Roster!$C$6:$C$505,Calc!$AM157)&amp;"")</f>
        <v/>
      </c>
      <c r="G157" s="19" t="str">
        <f ca="1">IF(Calc!$AM157="","",INDEX(Setup!$C$20:$C$34,Calc!$AN157))</f>
        <v/>
      </c>
      <c r="H157" s="20" t="str">
        <f ca="1">IF(Calc!$AM157="","",INDEX(Calc!$B$6:$P$505,Calc!$AM157,Calc!$AN157))</f>
        <v/>
      </c>
      <c r="I157" s="21" t="str">
        <f ca="1">IF(Calc!$AM157="","",INDEX(Setup!$D$20:$D$34,Calc!$AN157)&amp;"")</f>
        <v/>
      </c>
      <c r="J157" s="21" t="str">
        <f ca="1">IF(Calc!$AM157="","",INDEX(Setup!$E$20:$E$34,Calc!$AN157)&amp;"")</f>
        <v/>
      </c>
      <c r="K157" s="23" t="str">
        <f ca="1">IF(Calc!$AM157="","",INDEX(Setup!$F$20:$F$34,Calc!$AN157))</f>
        <v/>
      </c>
      <c r="L157" s="21" t="str">
        <f ca="1">IF(Calc!$AM157="","",SUBSTITUTE(SUBSTITUTE(SUBSTITUTE(SUBSTITUTE(INDEX(Setup!$H$20:$H$34,Calc!$AN157)&amp;"","{name}",$E157),"{years}",$G157),"{date}",TEXT($H157,"mmmm d, yyyy")),"{company}",Setup!$C$4))</f>
        <v/>
      </c>
      <c r="M157" s="21" t="str">
        <f ca="1">IF(Calc!$AM157="","",SUBSTITUTE(SUBSTITUTE(SUBSTITUTE(SUBSTITUTE(INDEX(Setup!$I$20:$I$34,Calc!$AN157)&amp;"","{name}",$E157),"{years}",$G157),"{date}",TEXT($H157,"mmmm d, yyyy")),"{company}",Setup!$C$4))</f>
        <v/>
      </c>
      <c r="N157" s="21" t="str">
        <f ca="1">IF(Calc!$AM157="","",SUBSTITUTE(SUBSTITUTE(SUBSTITUTE(SUBSTITUTE(INDEX(Setup!$J$20:$J$34,Calc!$AN157)&amp;"","{name}",$E157),"{years}",$G157),"{date}",TEXT($H157,"mmmm d, yyyy")),"{company}",Setup!$C$4))</f>
        <v/>
      </c>
      <c r="O157" s="21" t="str">
        <f ca="1">IF(Calc!$AM157="","",SUBSTITUTE(SUBSTITUTE(SUBSTITUTE(SUBSTITUTE(INDEX(Setup!$K$20:$K$34,Calc!$AN157)&amp;"","{name}",$E157),"{years}",$G157),"{date}",TEXT($H157,"mmmm d, yyyy")),"{company}",Setup!$C$4))</f>
        <v/>
      </c>
      <c r="P157" s="21" t="str">
        <f ca="1">IF(Calc!$AM157="","",SUBSTITUTE(SUBSTITUTE(TRIM(SUBSTITUTE($L157," ","~")&amp;" "&amp;SUBSTITUTE($M157," ","~")&amp;" "&amp;SUBSTITUTE($N157," ","~")&amp;" "&amp;SUBSTITUTE($O157," ","~"))," "," | "),"~"," "))</f>
        <v/>
      </c>
    </row>
    <row r="158" spans="1:16" x14ac:dyDescent="0.2">
      <c r="A158" s="19" t="str">
        <f ca="1">IF(Calc!$AM158="","",ROW()-5)</f>
        <v/>
      </c>
      <c r="B158" s="20" t="str">
        <f ca="1">IF(Calc!$AM158="","",INT(Calc!$AK158))</f>
        <v/>
      </c>
      <c r="C158" s="21" t="str">
        <f ca="1">IF(Calc!$AM158="","",IF($H158&lt;Setup!$C$5,"PAST DUE: milestone date has passed",IF($B158&lt;Setup!$C$5,"LATE: order today, ask about rush",IF($B158&lt;Setup!$C$5+14,"Order within 2 weeks","Scheduled"))))</f>
        <v/>
      </c>
      <c r="D158" s="21" t="str">
        <f ca="1">IF(Calc!$AM158="","",TEXT($B158,"mmmm yyyy"))</f>
        <v/>
      </c>
      <c r="E158" s="21" t="str">
        <f ca="1">IF(Calc!$AM158="","",INDEX(Roster!$A$6:$A$505,Calc!$AM158)&amp;"")</f>
        <v/>
      </c>
      <c r="F158" s="21" t="str">
        <f ca="1">IF(Calc!$AM158="","",INDEX(Roster!$C$6:$C$505,Calc!$AM158)&amp;"")</f>
        <v/>
      </c>
      <c r="G158" s="19" t="str">
        <f ca="1">IF(Calc!$AM158="","",INDEX(Setup!$C$20:$C$34,Calc!$AN158))</f>
        <v/>
      </c>
      <c r="H158" s="20" t="str">
        <f ca="1">IF(Calc!$AM158="","",INDEX(Calc!$B$6:$P$505,Calc!$AM158,Calc!$AN158))</f>
        <v/>
      </c>
      <c r="I158" s="21" t="str">
        <f ca="1">IF(Calc!$AM158="","",INDEX(Setup!$D$20:$D$34,Calc!$AN158)&amp;"")</f>
        <v/>
      </c>
      <c r="J158" s="21" t="str">
        <f ca="1">IF(Calc!$AM158="","",INDEX(Setup!$E$20:$E$34,Calc!$AN158)&amp;"")</f>
        <v/>
      </c>
      <c r="K158" s="23" t="str">
        <f ca="1">IF(Calc!$AM158="","",INDEX(Setup!$F$20:$F$34,Calc!$AN158))</f>
        <v/>
      </c>
      <c r="L158" s="21" t="str">
        <f ca="1">IF(Calc!$AM158="","",SUBSTITUTE(SUBSTITUTE(SUBSTITUTE(SUBSTITUTE(INDEX(Setup!$H$20:$H$34,Calc!$AN158)&amp;"","{name}",$E158),"{years}",$G158),"{date}",TEXT($H158,"mmmm d, yyyy")),"{company}",Setup!$C$4))</f>
        <v/>
      </c>
      <c r="M158" s="21" t="str">
        <f ca="1">IF(Calc!$AM158="","",SUBSTITUTE(SUBSTITUTE(SUBSTITUTE(SUBSTITUTE(INDEX(Setup!$I$20:$I$34,Calc!$AN158)&amp;"","{name}",$E158),"{years}",$G158),"{date}",TEXT($H158,"mmmm d, yyyy")),"{company}",Setup!$C$4))</f>
        <v/>
      </c>
      <c r="N158" s="21" t="str">
        <f ca="1">IF(Calc!$AM158="","",SUBSTITUTE(SUBSTITUTE(SUBSTITUTE(SUBSTITUTE(INDEX(Setup!$J$20:$J$34,Calc!$AN158)&amp;"","{name}",$E158),"{years}",$G158),"{date}",TEXT($H158,"mmmm d, yyyy")),"{company}",Setup!$C$4))</f>
        <v/>
      </c>
      <c r="O158" s="21" t="str">
        <f ca="1">IF(Calc!$AM158="","",SUBSTITUTE(SUBSTITUTE(SUBSTITUTE(SUBSTITUTE(INDEX(Setup!$K$20:$K$34,Calc!$AN158)&amp;"","{name}",$E158),"{years}",$G158),"{date}",TEXT($H158,"mmmm d, yyyy")),"{company}",Setup!$C$4))</f>
        <v/>
      </c>
      <c r="P158" s="21" t="str">
        <f ca="1">IF(Calc!$AM158="","",SUBSTITUTE(SUBSTITUTE(TRIM(SUBSTITUTE($L158," ","~")&amp;" "&amp;SUBSTITUTE($M158," ","~")&amp;" "&amp;SUBSTITUTE($N158," ","~")&amp;" "&amp;SUBSTITUTE($O158," ","~"))," "," | "),"~"," "))</f>
        <v/>
      </c>
    </row>
    <row r="159" spans="1:16" x14ac:dyDescent="0.2">
      <c r="A159" s="19" t="str">
        <f ca="1">IF(Calc!$AM159="","",ROW()-5)</f>
        <v/>
      </c>
      <c r="B159" s="20" t="str">
        <f ca="1">IF(Calc!$AM159="","",INT(Calc!$AK159))</f>
        <v/>
      </c>
      <c r="C159" s="21" t="str">
        <f ca="1">IF(Calc!$AM159="","",IF($H159&lt;Setup!$C$5,"PAST DUE: milestone date has passed",IF($B159&lt;Setup!$C$5,"LATE: order today, ask about rush",IF($B159&lt;Setup!$C$5+14,"Order within 2 weeks","Scheduled"))))</f>
        <v/>
      </c>
      <c r="D159" s="21" t="str">
        <f ca="1">IF(Calc!$AM159="","",TEXT($B159,"mmmm yyyy"))</f>
        <v/>
      </c>
      <c r="E159" s="21" t="str">
        <f ca="1">IF(Calc!$AM159="","",INDEX(Roster!$A$6:$A$505,Calc!$AM159)&amp;"")</f>
        <v/>
      </c>
      <c r="F159" s="21" t="str">
        <f ca="1">IF(Calc!$AM159="","",INDEX(Roster!$C$6:$C$505,Calc!$AM159)&amp;"")</f>
        <v/>
      </c>
      <c r="G159" s="19" t="str">
        <f ca="1">IF(Calc!$AM159="","",INDEX(Setup!$C$20:$C$34,Calc!$AN159))</f>
        <v/>
      </c>
      <c r="H159" s="20" t="str">
        <f ca="1">IF(Calc!$AM159="","",INDEX(Calc!$B$6:$P$505,Calc!$AM159,Calc!$AN159))</f>
        <v/>
      </c>
      <c r="I159" s="21" t="str">
        <f ca="1">IF(Calc!$AM159="","",INDEX(Setup!$D$20:$D$34,Calc!$AN159)&amp;"")</f>
        <v/>
      </c>
      <c r="J159" s="21" t="str">
        <f ca="1">IF(Calc!$AM159="","",INDEX(Setup!$E$20:$E$34,Calc!$AN159)&amp;"")</f>
        <v/>
      </c>
      <c r="K159" s="23" t="str">
        <f ca="1">IF(Calc!$AM159="","",INDEX(Setup!$F$20:$F$34,Calc!$AN159))</f>
        <v/>
      </c>
      <c r="L159" s="21" t="str">
        <f ca="1">IF(Calc!$AM159="","",SUBSTITUTE(SUBSTITUTE(SUBSTITUTE(SUBSTITUTE(INDEX(Setup!$H$20:$H$34,Calc!$AN159)&amp;"","{name}",$E159),"{years}",$G159),"{date}",TEXT($H159,"mmmm d, yyyy")),"{company}",Setup!$C$4))</f>
        <v/>
      </c>
      <c r="M159" s="21" t="str">
        <f ca="1">IF(Calc!$AM159="","",SUBSTITUTE(SUBSTITUTE(SUBSTITUTE(SUBSTITUTE(INDEX(Setup!$I$20:$I$34,Calc!$AN159)&amp;"","{name}",$E159),"{years}",$G159),"{date}",TEXT($H159,"mmmm d, yyyy")),"{company}",Setup!$C$4))</f>
        <v/>
      </c>
      <c r="N159" s="21" t="str">
        <f ca="1">IF(Calc!$AM159="","",SUBSTITUTE(SUBSTITUTE(SUBSTITUTE(SUBSTITUTE(INDEX(Setup!$J$20:$J$34,Calc!$AN159)&amp;"","{name}",$E159),"{years}",$G159),"{date}",TEXT($H159,"mmmm d, yyyy")),"{company}",Setup!$C$4))</f>
        <v/>
      </c>
      <c r="O159" s="21" t="str">
        <f ca="1">IF(Calc!$AM159="","",SUBSTITUTE(SUBSTITUTE(SUBSTITUTE(SUBSTITUTE(INDEX(Setup!$K$20:$K$34,Calc!$AN159)&amp;"","{name}",$E159),"{years}",$G159),"{date}",TEXT($H159,"mmmm d, yyyy")),"{company}",Setup!$C$4))</f>
        <v/>
      </c>
      <c r="P159" s="21" t="str">
        <f ca="1">IF(Calc!$AM159="","",SUBSTITUTE(SUBSTITUTE(TRIM(SUBSTITUTE($L159," ","~")&amp;" "&amp;SUBSTITUTE($M159," ","~")&amp;" "&amp;SUBSTITUTE($N159," ","~")&amp;" "&amp;SUBSTITUTE($O159," ","~"))," "," | "),"~"," "))</f>
        <v/>
      </c>
    </row>
    <row r="160" spans="1:16" x14ac:dyDescent="0.2">
      <c r="A160" s="19" t="str">
        <f ca="1">IF(Calc!$AM160="","",ROW()-5)</f>
        <v/>
      </c>
      <c r="B160" s="20" t="str">
        <f ca="1">IF(Calc!$AM160="","",INT(Calc!$AK160))</f>
        <v/>
      </c>
      <c r="C160" s="21" t="str">
        <f ca="1">IF(Calc!$AM160="","",IF($H160&lt;Setup!$C$5,"PAST DUE: milestone date has passed",IF($B160&lt;Setup!$C$5,"LATE: order today, ask about rush",IF($B160&lt;Setup!$C$5+14,"Order within 2 weeks","Scheduled"))))</f>
        <v/>
      </c>
      <c r="D160" s="21" t="str">
        <f ca="1">IF(Calc!$AM160="","",TEXT($B160,"mmmm yyyy"))</f>
        <v/>
      </c>
      <c r="E160" s="21" t="str">
        <f ca="1">IF(Calc!$AM160="","",INDEX(Roster!$A$6:$A$505,Calc!$AM160)&amp;"")</f>
        <v/>
      </c>
      <c r="F160" s="21" t="str">
        <f ca="1">IF(Calc!$AM160="","",INDEX(Roster!$C$6:$C$505,Calc!$AM160)&amp;"")</f>
        <v/>
      </c>
      <c r="G160" s="19" t="str">
        <f ca="1">IF(Calc!$AM160="","",INDEX(Setup!$C$20:$C$34,Calc!$AN160))</f>
        <v/>
      </c>
      <c r="H160" s="20" t="str">
        <f ca="1">IF(Calc!$AM160="","",INDEX(Calc!$B$6:$P$505,Calc!$AM160,Calc!$AN160))</f>
        <v/>
      </c>
      <c r="I160" s="21" t="str">
        <f ca="1">IF(Calc!$AM160="","",INDEX(Setup!$D$20:$D$34,Calc!$AN160)&amp;"")</f>
        <v/>
      </c>
      <c r="J160" s="21" t="str">
        <f ca="1">IF(Calc!$AM160="","",INDEX(Setup!$E$20:$E$34,Calc!$AN160)&amp;"")</f>
        <v/>
      </c>
      <c r="K160" s="23" t="str">
        <f ca="1">IF(Calc!$AM160="","",INDEX(Setup!$F$20:$F$34,Calc!$AN160))</f>
        <v/>
      </c>
      <c r="L160" s="21" t="str">
        <f ca="1">IF(Calc!$AM160="","",SUBSTITUTE(SUBSTITUTE(SUBSTITUTE(SUBSTITUTE(INDEX(Setup!$H$20:$H$34,Calc!$AN160)&amp;"","{name}",$E160),"{years}",$G160),"{date}",TEXT($H160,"mmmm d, yyyy")),"{company}",Setup!$C$4))</f>
        <v/>
      </c>
      <c r="M160" s="21" t="str">
        <f ca="1">IF(Calc!$AM160="","",SUBSTITUTE(SUBSTITUTE(SUBSTITUTE(SUBSTITUTE(INDEX(Setup!$I$20:$I$34,Calc!$AN160)&amp;"","{name}",$E160),"{years}",$G160),"{date}",TEXT($H160,"mmmm d, yyyy")),"{company}",Setup!$C$4))</f>
        <v/>
      </c>
      <c r="N160" s="21" t="str">
        <f ca="1">IF(Calc!$AM160="","",SUBSTITUTE(SUBSTITUTE(SUBSTITUTE(SUBSTITUTE(INDEX(Setup!$J$20:$J$34,Calc!$AN160)&amp;"","{name}",$E160),"{years}",$G160),"{date}",TEXT($H160,"mmmm d, yyyy")),"{company}",Setup!$C$4))</f>
        <v/>
      </c>
      <c r="O160" s="21" t="str">
        <f ca="1">IF(Calc!$AM160="","",SUBSTITUTE(SUBSTITUTE(SUBSTITUTE(SUBSTITUTE(INDEX(Setup!$K$20:$K$34,Calc!$AN160)&amp;"","{name}",$E160),"{years}",$G160),"{date}",TEXT($H160,"mmmm d, yyyy")),"{company}",Setup!$C$4))</f>
        <v/>
      </c>
      <c r="P160" s="21" t="str">
        <f ca="1">IF(Calc!$AM160="","",SUBSTITUTE(SUBSTITUTE(TRIM(SUBSTITUTE($L160," ","~")&amp;" "&amp;SUBSTITUTE($M160," ","~")&amp;" "&amp;SUBSTITUTE($N160," ","~")&amp;" "&amp;SUBSTITUTE($O160," ","~"))," "," | "),"~"," "))</f>
        <v/>
      </c>
    </row>
    <row r="161" spans="1:16" x14ac:dyDescent="0.2">
      <c r="A161" s="19" t="str">
        <f ca="1">IF(Calc!$AM161="","",ROW()-5)</f>
        <v/>
      </c>
      <c r="B161" s="20" t="str">
        <f ca="1">IF(Calc!$AM161="","",INT(Calc!$AK161))</f>
        <v/>
      </c>
      <c r="C161" s="21" t="str">
        <f ca="1">IF(Calc!$AM161="","",IF($H161&lt;Setup!$C$5,"PAST DUE: milestone date has passed",IF($B161&lt;Setup!$C$5,"LATE: order today, ask about rush",IF($B161&lt;Setup!$C$5+14,"Order within 2 weeks","Scheduled"))))</f>
        <v/>
      </c>
      <c r="D161" s="21" t="str">
        <f ca="1">IF(Calc!$AM161="","",TEXT($B161,"mmmm yyyy"))</f>
        <v/>
      </c>
      <c r="E161" s="21" t="str">
        <f ca="1">IF(Calc!$AM161="","",INDEX(Roster!$A$6:$A$505,Calc!$AM161)&amp;"")</f>
        <v/>
      </c>
      <c r="F161" s="21" t="str">
        <f ca="1">IF(Calc!$AM161="","",INDEX(Roster!$C$6:$C$505,Calc!$AM161)&amp;"")</f>
        <v/>
      </c>
      <c r="G161" s="19" t="str">
        <f ca="1">IF(Calc!$AM161="","",INDEX(Setup!$C$20:$C$34,Calc!$AN161))</f>
        <v/>
      </c>
      <c r="H161" s="20" t="str">
        <f ca="1">IF(Calc!$AM161="","",INDEX(Calc!$B$6:$P$505,Calc!$AM161,Calc!$AN161))</f>
        <v/>
      </c>
      <c r="I161" s="21" t="str">
        <f ca="1">IF(Calc!$AM161="","",INDEX(Setup!$D$20:$D$34,Calc!$AN161)&amp;"")</f>
        <v/>
      </c>
      <c r="J161" s="21" t="str">
        <f ca="1">IF(Calc!$AM161="","",INDEX(Setup!$E$20:$E$34,Calc!$AN161)&amp;"")</f>
        <v/>
      </c>
      <c r="K161" s="23" t="str">
        <f ca="1">IF(Calc!$AM161="","",INDEX(Setup!$F$20:$F$34,Calc!$AN161))</f>
        <v/>
      </c>
      <c r="L161" s="21" t="str">
        <f ca="1">IF(Calc!$AM161="","",SUBSTITUTE(SUBSTITUTE(SUBSTITUTE(SUBSTITUTE(INDEX(Setup!$H$20:$H$34,Calc!$AN161)&amp;"","{name}",$E161),"{years}",$G161),"{date}",TEXT($H161,"mmmm d, yyyy")),"{company}",Setup!$C$4))</f>
        <v/>
      </c>
      <c r="M161" s="21" t="str">
        <f ca="1">IF(Calc!$AM161="","",SUBSTITUTE(SUBSTITUTE(SUBSTITUTE(SUBSTITUTE(INDEX(Setup!$I$20:$I$34,Calc!$AN161)&amp;"","{name}",$E161),"{years}",$G161),"{date}",TEXT($H161,"mmmm d, yyyy")),"{company}",Setup!$C$4))</f>
        <v/>
      </c>
      <c r="N161" s="21" t="str">
        <f ca="1">IF(Calc!$AM161="","",SUBSTITUTE(SUBSTITUTE(SUBSTITUTE(SUBSTITUTE(INDEX(Setup!$J$20:$J$34,Calc!$AN161)&amp;"","{name}",$E161),"{years}",$G161),"{date}",TEXT($H161,"mmmm d, yyyy")),"{company}",Setup!$C$4))</f>
        <v/>
      </c>
      <c r="O161" s="21" t="str">
        <f ca="1">IF(Calc!$AM161="","",SUBSTITUTE(SUBSTITUTE(SUBSTITUTE(SUBSTITUTE(INDEX(Setup!$K$20:$K$34,Calc!$AN161)&amp;"","{name}",$E161),"{years}",$G161),"{date}",TEXT($H161,"mmmm d, yyyy")),"{company}",Setup!$C$4))</f>
        <v/>
      </c>
      <c r="P161" s="21" t="str">
        <f ca="1">IF(Calc!$AM161="","",SUBSTITUTE(SUBSTITUTE(TRIM(SUBSTITUTE($L161," ","~")&amp;" "&amp;SUBSTITUTE($M161," ","~")&amp;" "&amp;SUBSTITUTE($N161," ","~")&amp;" "&amp;SUBSTITUTE($O161," ","~"))," "," | "),"~"," "))</f>
        <v/>
      </c>
    </row>
    <row r="162" spans="1:16" x14ac:dyDescent="0.2">
      <c r="A162" s="19" t="str">
        <f ca="1">IF(Calc!$AM162="","",ROW()-5)</f>
        <v/>
      </c>
      <c r="B162" s="20" t="str">
        <f ca="1">IF(Calc!$AM162="","",INT(Calc!$AK162))</f>
        <v/>
      </c>
      <c r="C162" s="21" t="str">
        <f ca="1">IF(Calc!$AM162="","",IF($H162&lt;Setup!$C$5,"PAST DUE: milestone date has passed",IF($B162&lt;Setup!$C$5,"LATE: order today, ask about rush",IF($B162&lt;Setup!$C$5+14,"Order within 2 weeks","Scheduled"))))</f>
        <v/>
      </c>
      <c r="D162" s="21" t="str">
        <f ca="1">IF(Calc!$AM162="","",TEXT($B162,"mmmm yyyy"))</f>
        <v/>
      </c>
      <c r="E162" s="21" t="str">
        <f ca="1">IF(Calc!$AM162="","",INDEX(Roster!$A$6:$A$505,Calc!$AM162)&amp;"")</f>
        <v/>
      </c>
      <c r="F162" s="21" t="str">
        <f ca="1">IF(Calc!$AM162="","",INDEX(Roster!$C$6:$C$505,Calc!$AM162)&amp;"")</f>
        <v/>
      </c>
      <c r="G162" s="19" t="str">
        <f ca="1">IF(Calc!$AM162="","",INDEX(Setup!$C$20:$C$34,Calc!$AN162))</f>
        <v/>
      </c>
      <c r="H162" s="20" t="str">
        <f ca="1">IF(Calc!$AM162="","",INDEX(Calc!$B$6:$P$505,Calc!$AM162,Calc!$AN162))</f>
        <v/>
      </c>
      <c r="I162" s="21" t="str">
        <f ca="1">IF(Calc!$AM162="","",INDEX(Setup!$D$20:$D$34,Calc!$AN162)&amp;"")</f>
        <v/>
      </c>
      <c r="J162" s="21" t="str">
        <f ca="1">IF(Calc!$AM162="","",INDEX(Setup!$E$20:$E$34,Calc!$AN162)&amp;"")</f>
        <v/>
      </c>
      <c r="K162" s="23" t="str">
        <f ca="1">IF(Calc!$AM162="","",INDEX(Setup!$F$20:$F$34,Calc!$AN162))</f>
        <v/>
      </c>
      <c r="L162" s="21" t="str">
        <f ca="1">IF(Calc!$AM162="","",SUBSTITUTE(SUBSTITUTE(SUBSTITUTE(SUBSTITUTE(INDEX(Setup!$H$20:$H$34,Calc!$AN162)&amp;"","{name}",$E162),"{years}",$G162),"{date}",TEXT($H162,"mmmm d, yyyy")),"{company}",Setup!$C$4))</f>
        <v/>
      </c>
      <c r="M162" s="21" t="str">
        <f ca="1">IF(Calc!$AM162="","",SUBSTITUTE(SUBSTITUTE(SUBSTITUTE(SUBSTITUTE(INDEX(Setup!$I$20:$I$34,Calc!$AN162)&amp;"","{name}",$E162),"{years}",$G162),"{date}",TEXT($H162,"mmmm d, yyyy")),"{company}",Setup!$C$4))</f>
        <v/>
      </c>
      <c r="N162" s="21" t="str">
        <f ca="1">IF(Calc!$AM162="","",SUBSTITUTE(SUBSTITUTE(SUBSTITUTE(SUBSTITUTE(INDEX(Setup!$J$20:$J$34,Calc!$AN162)&amp;"","{name}",$E162),"{years}",$G162),"{date}",TEXT($H162,"mmmm d, yyyy")),"{company}",Setup!$C$4))</f>
        <v/>
      </c>
      <c r="O162" s="21" t="str">
        <f ca="1">IF(Calc!$AM162="","",SUBSTITUTE(SUBSTITUTE(SUBSTITUTE(SUBSTITUTE(INDEX(Setup!$K$20:$K$34,Calc!$AN162)&amp;"","{name}",$E162),"{years}",$G162),"{date}",TEXT($H162,"mmmm d, yyyy")),"{company}",Setup!$C$4))</f>
        <v/>
      </c>
      <c r="P162" s="21" t="str">
        <f ca="1">IF(Calc!$AM162="","",SUBSTITUTE(SUBSTITUTE(TRIM(SUBSTITUTE($L162," ","~")&amp;" "&amp;SUBSTITUTE($M162," ","~")&amp;" "&amp;SUBSTITUTE($N162," ","~")&amp;" "&amp;SUBSTITUTE($O162," ","~"))," "," | "),"~"," "))</f>
        <v/>
      </c>
    </row>
    <row r="163" spans="1:16" x14ac:dyDescent="0.2">
      <c r="A163" s="19" t="str">
        <f ca="1">IF(Calc!$AM163="","",ROW()-5)</f>
        <v/>
      </c>
      <c r="B163" s="20" t="str">
        <f ca="1">IF(Calc!$AM163="","",INT(Calc!$AK163))</f>
        <v/>
      </c>
      <c r="C163" s="21" t="str">
        <f ca="1">IF(Calc!$AM163="","",IF($H163&lt;Setup!$C$5,"PAST DUE: milestone date has passed",IF($B163&lt;Setup!$C$5,"LATE: order today, ask about rush",IF($B163&lt;Setup!$C$5+14,"Order within 2 weeks","Scheduled"))))</f>
        <v/>
      </c>
      <c r="D163" s="21" t="str">
        <f ca="1">IF(Calc!$AM163="","",TEXT($B163,"mmmm yyyy"))</f>
        <v/>
      </c>
      <c r="E163" s="21" t="str">
        <f ca="1">IF(Calc!$AM163="","",INDEX(Roster!$A$6:$A$505,Calc!$AM163)&amp;"")</f>
        <v/>
      </c>
      <c r="F163" s="21" t="str">
        <f ca="1">IF(Calc!$AM163="","",INDEX(Roster!$C$6:$C$505,Calc!$AM163)&amp;"")</f>
        <v/>
      </c>
      <c r="G163" s="19" t="str">
        <f ca="1">IF(Calc!$AM163="","",INDEX(Setup!$C$20:$C$34,Calc!$AN163))</f>
        <v/>
      </c>
      <c r="H163" s="20" t="str">
        <f ca="1">IF(Calc!$AM163="","",INDEX(Calc!$B$6:$P$505,Calc!$AM163,Calc!$AN163))</f>
        <v/>
      </c>
      <c r="I163" s="21" t="str">
        <f ca="1">IF(Calc!$AM163="","",INDEX(Setup!$D$20:$D$34,Calc!$AN163)&amp;"")</f>
        <v/>
      </c>
      <c r="J163" s="21" t="str">
        <f ca="1">IF(Calc!$AM163="","",INDEX(Setup!$E$20:$E$34,Calc!$AN163)&amp;"")</f>
        <v/>
      </c>
      <c r="K163" s="23" t="str">
        <f ca="1">IF(Calc!$AM163="","",INDEX(Setup!$F$20:$F$34,Calc!$AN163))</f>
        <v/>
      </c>
      <c r="L163" s="21" t="str">
        <f ca="1">IF(Calc!$AM163="","",SUBSTITUTE(SUBSTITUTE(SUBSTITUTE(SUBSTITUTE(INDEX(Setup!$H$20:$H$34,Calc!$AN163)&amp;"","{name}",$E163),"{years}",$G163),"{date}",TEXT($H163,"mmmm d, yyyy")),"{company}",Setup!$C$4))</f>
        <v/>
      </c>
      <c r="M163" s="21" t="str">
        <f ca="1">IF(Calc!$AM163="","",SUBSTITUTE(SUBSTITUTE(SUBSTITUTE(SUBSTITUTE(INDEX(Setup!$I$20:$I$34,Calc!$AN163)&amp;"","{name}",$E163),"{years}",$G163),"{date}",TEXT($H163,"mmmm d, yyyy")),"{company}",Setup!$C$4))</f>
        <v/>
      </c>
      <c r="N163" s="21" t="str">
        <f ca="1">IF(Calc!$AM163="","",SUBSTITUTE(SUBSTITUTE(SUBSTITUTE(SUBSTITUTE(INDEX(Setup!$J$20:$J$34,Calc!$AN163)&amp;"","{name}",$E163),"{years}",$G163),"{date}",TEXT($H163,"mmmm d, yyyy")),"{company}",Setup!$C$4))</f>
        <v/>
      </c>
      <c r="O163" s="21" t="str">
        <f ca="1">IF(Calc!$AM163="","",SUBSTITUTE(SUBSTITUTE(SUBSTITUTE(SUBSTITUTE(INDEX(Setup!$K$20:$K$34,Calc!$AN163)&amp;"","{name}",$E163),"{years}",$G163),"{date}",TEXT($H163,"mmmm d, yyyy")),"{company}",Setup!$C$4))</f>
        <v/>
      </c>
      <c r="P163" s="21" t="str">
        <f ca="1">IF(Calc!$AM163="","",SUBSTITUTE(SUBSTITUTE(TRIM(SUBSTITUTE($L163," ","~")&amp;" "&amp;SUBSTITUTE($M163," ","~")&amp;" "&amp;SUBSTITUTE($N163," ","~")&amp;" "&amp;SUBSTITUTE($O163," ","~"))," "," | "),"~"," "))</f>
        <v/>
      </c>
    </row>
    <row r="164" spans="1:16" x14ac:dyDescent="0.2">
      <c r="A164" s="19" t="str">
        <f ca="1">IF(Calc!$AM164="","",ROW()-5)</f>
        <v/>
      </c>
      <c r="B164" s="20" t="str">
        <f ca="1">IF(Calc!$AM164="","",INT(Calc!$AK164))</f>
        <v/>
      </c>
      <c r="C164" s="21" t="str">
        <f ca="1">IF(Calc!$AM164="","",IF($H164&lt;Setup!$C$5,"PAST DUE: milestone date has passed",IF($B164&lt;Setup!$C$5,"LATE: order today, ask about rush",IF($B164&lt;Setup!$C$5+14,"Order within 2 weeks","Scheduled"))))</f>
        <v/>
      </c>
      <c r="D164" s="21" t="str">
        <f ca="1">IF(Calc!$AM164="","",TEXT($B164,"mmmm yyyy"))</f>
        <v/>
      </c>
      <c r="E164" s="21" t="str">
        <f ca="1">IF(Calc!$AM164="","",INDEX(Roster!$A$6:$A$505,Calc!$AM164)&amp;"")</f>
        <v/>
      </c>
      <c r="F164" s="21" t="str">
        <f ca="1">IF(Calc!$AM164="","",INDEX(Roster!$C$6:$C$505,Calc!$AM164)&amp;"")</f>
        <v/>
      </c>
      <c r="G164" s="19" t="str">
        <f ca="1">IF(Calc!$AM164="","",INDEX(Setup!$C$20:$C$34,Calc!$AN164))</f>
        <v/>
      </c>
      <c r="H164" s="20" t="str">
        <f ca="1">IF(Calc!$AM164="","",INDEX(Calc!$B$6:$P$505,Calc!$AM164,Calc!$AN164))</f>
        <v/>
      </c>
      <c r="I164" s="21" t="str">
        <f ca="1">IF(Calc!$AM164="","",INDEX(Setup!$D$20:$D$34,Calc!$AN164)&amp;"")</f>
        <v/>
      </c>
      <c r="J164" s="21" t="str">
        <f ca="1">IF(Calc!$AM164="","",INDEX(Setup!$E$20:$E$34,Calc!$AN164)&amp;"")</f>
        <v/>
      </c>
      <c r="K164" s="23" t="str">
        <f ca="1">IF(Calc!$AM164="","",INDEX(Setup!$F$20:$F$34,Calc!$AN164))</f>
        <v/>
      </c>
      <c r="L164" s="21" t="str">
        <f ca="1">IF(Calc!$AM164="","",SUBSTITUTE(SUBSTITUTE(SUBSTITUTE(SUBSTITUTE(INDEX(Setup!$H$20:$H$34,Calc!$AN164)&amp;"","{name}",$E164),"{years}",$G164),"{date}",TEXT($H164,"mmmm d, yyyy")),"{company}",Setup!$C$4))</f>
        <v/>
      </c>
      <c r="M164" s="21" t="str">
        <f ca="1">IF(Calc!$AM164="","",SUBSTITUTE(SUBSTITUTE(SUBSTITUTE(SUBSTITUTE(INDEX(Setup!$I$20:$I$34,Calc!$AN164)&amp;"","{name}",$E164),"{years}",$G164),"{date}",TEXT($H164,"mmmm d, yyyy")),"{company}",Setup!$C$4))</f>
        <v/>
      </c>
      <c r="N164" s="21" t="str">
        <f ca="1">IF(Calc!$AM164="","",SUBSTITUTE(SUBSTITUTE(SUBSTITUTE(SUBSTITUTE(INDEX(Setup!$J$20:$J$34,Calc!$AN164)&amp;"","{name}",$E164),"{years}",$G164),"{date}",TEXT($H164,"mmmm d, yyyy")),"{company}",Setup!$C$4))</f>
        <v/>
      </c>
      <c r="O164" s="21" t="str">
        <f ca="1">IF(Calc!$AM164="","",SUBSTITUTE(SUBSTITUTE(SUBSTITUTE(SUBSTITUTE(INDEX(Setup!$K$20:$K$34,Calc!$AN164)&amp;"","{name}",$E164),"{years}",$G164),"{date}",TEXT($H164,"mmmm d, yyyy")),"{company}",Setup!$C$4))</f>
        <v/>
      </c>
      <c r="P164" s="21" t="str">
        <f ca="1">IF(Calc!$AM164="","",SUBSTITUTE(SUBSTITUTE(TRIM(SUBSTITUTE($L164," ","~")&amp;" "&amp;SUBSTITUTE($M164," ","~")&amp;" "&amp;SUBSTITUTE($N164," ","~")&amp;" "&amp;SUBSTITUTE($O164," ","~"))," "," | "),"~"," "))</f>
        <v/>
      </c>
    </row>
    <row r="165" spans="1:16" x14ac:dyDescent="0.2">
      <c r="A165" s="19" t="str">
        <f ca="1">IF(Calc!$AM165="","",ROW()-5)</f>
        <v/>
      </c>
      <c r="B165" s="20" t="str">
        <f ca="1">IF(Calc!$AM165="","",INT(Calc!$AK165))</f>
        <v/>
      </c>
      <c r="C165" s="21" t="str">
        <f ca="1">IF(Calc!$AM165="","",IF($H165&lt;Setup!$C$5,"PAST DUE: milestone date has passed",IF($B165&lt;Setup!$C$5,"LATE: order today, ask about rush",IF($B165&lt;Setup!$C$5+14,"Order within 2 weeks","Scheduled"))))</f>
        <v/>
      </c>
      <c r="D165" s="21" t="str">
        <f ca="1">IF(Calc!$AM165="","",TEXT($B165,"mmmm yyyy"))</f>
        <v/>
      </c>
      <c r="E165" s="21" t="str">
        <f ca="1">IF(Calc!$AM165="","",INDEX(Roster!$A$6:$A$505,Calc!$AM165)&amp;"")</f>
        <v/>
      </c>
      <c r="F165" s="21" t="str">
        <f ca="1">IF(Calc!$AM165="","",INDEX(Roster!$C$6:$C$505,Calc!$AM165)&amp;"")</f>
        <v/>
      </c>
      <c r="G165" s="19" t="str">
        <f ca="1">IF(Calc!$AM165="","",INDEX(Setup!$C$20:$C$34,Calc!$AN165))</f>
        <v/>
      </c>
      <c r="H165" s="20" t="str">
        <f ca="1">IF(Calc!$AM165="","",INDEX(Calc!$B$6:$P$505,Calc!$AM165,Calc!$AN165))</f>
        <v/>
      </c>
      <c r="I165" s="21" t="str">
        <f ca="1">IF(Calc!$AM165="","",INDEX(Setup!$D$20:$D$34,Calc!$AN165)&amp;"")</f>
        <v/>
      </c>
      <c r="J165" s="21" t="str">
        <f ca="1">IF(Calc!$AM165="","",INDEX(Setup!$E$20:$E$34,Calc!$AN165)&amp;"")</f>
        <v/>
      </c>
      <c r="K165" s="23" t="str">
        <f ca="1">IF(Calc!$AM165="","",INDEX(Setup!$F$20:$F$34,Calc!$AN165))</f>
        <v/>
      </c>
      <c r="L165" s="21" t="str">
        <f ca="1">IF(Calc!$AM165="","",SUBSTITUTE(SUBSTITUTE(SUBSTITUTE(SUBSTITUTE(INDEX(Setup!$H$20:$H$34,Calc!$AN165)&amp;"","{name}",$E165),"{years}",$G165),"{date}",TEXT($H165,"mmmm d, yyyy")),"{company}",Setup!$C$4))</f>
        <v/>
      </c>
      <c r="M165" s="21" t="str">
        <f ca="1">IF(Calc!$AM165="","",SUBSTITUTE(SUBSTITUTE(SUBSTITUTE(SUBSTITUTE(INDEX(Setup!$I$20:$I$34,Calc!$AN165)&amp;"","{name}",$E165),"{years}",$G165),"{date}",TEXT($H165,"mmmm d, yyyy")),"{company}",Setup!$C$4))</f>
        <v/>
      </c>
      <c r="N165" s="21" t="str">
        <f ca="1">IF(Calc!$AM165="","",SUBSTITUTE(SUBSTITUTE(SUBSTITUTE(SUBSTITUTE(INDEX(Setup!$J$20:$J$34,Calc!$AN165)&amp;"","{name}",$E165),"{years}",$G165),"{date}",TEXT($H165,"mmmm d, yyyy")),"{company}",Setup!$C$4))</f>
        <v/>
      </c>
      <c r="O165" s="21" t="str">
        <f ca="1">IF(Calc!$AM165="","",SUBSTITUTE(SUBSTITUTE(SUBSTITUTE(SUBSTITUTE(INDEX(Setup!$K$20:$K$34,Calc!$AN165)&amp;"","{name}",$E165),"{years}",$G165),"{date}",TEXT($H165,"mmmm d, yyyy")),"{company}",Setup!$C$4))</f>
        <v/>
      </c>
      <c r="P165" s="21" t="str">
        <f ca="1">IF(Calc!$AM165="","",SUBSTITUTE(SUBSTITUTE(TRIM(SUBSTITUTE($L165," ","~")&amp;" "&amp;SUBSTITUTE($M165," ","~")&amp;" "&amp;SUBSTITUTE($N165," ","~")&amp;" "&amp;SUBSTITUTE($O165," ","~"))," "," | "),"~"," "))</f>
        <v/>
      </c>
    </row>
    <row r="166" spans="1:16" x14ac:dyDescent="0.2">
      <c r="A166" s="19" t="str">
        <f ca="1">IF(Calc!$AM166="","",ROW()-5)</f>
        <v/>
      </c>
      <c r="B166" s="20" t="str">
        <f ca="1">IF(Calc!$AM166="","",INT(Calc!$AK166))</f>
        <v/>
      </c>
      <c r="C166" s="21" t="str">
        <f ca="1">IF(Calc!$AM166="","",IF($H166&lt;Setup!$C$5,"PAST DUE: milestone date has passed",IF($B166&lt;Setup!$C$5,"LATE: order today, ask about rush",IF($B166&lt;Setup!$C$5+14,"Order within 2 weeks","Scheduled"))))</f>
        <v/>
      </c>
      <c r="D166" s="21" t="str">
        <f ca="1">IF(Calc!$AM166="","",TEXT($B166,"mmmm yyyy"))</f>
        <v/>
      </c>
      <c r="E166" s="21" t="str">
        <f ca="1">IF(Calc!$AM166="","",INDEX(Roster!$A$6:$A$505,Calc!$AM166)&amp;"")</f>
        <v/>
      </c>
      <c r="F166" s="21" t="str">
        <f ca="1">IF(Calc!$AM166="","",INDEX(Roster!$C$6:$C$505,Calc!$AM166)&amp;"")</f>
        <v/>
      </c>
      <c r="G166" s="19" t="str">
        <f ca="1">IF(Calc!$AM166="","",INDEX(Setup!$C$20:$C$34,Calc!$AN166))</f>
        <v/>
      </c>
      <c r="H166" s="20" t="str">
        <f ca="1">IF(Calc!$AM166="","",INDEX(Calc!$B$6:$P$505,Calc!$AM166,Calc!$AN166))</f>
        <v/>
      </c>
      <c r="I166" s="21" t="str">
        <f ca="1">IF(Calc!$AM166="","",INDEX(Setup!$D$20:$D$34,Calc!$AN166)&amp;"")</f>
        <v/>
      </c>
      <c r="J166" s="21" t="str">
        <f ca="1">IF(Calc!$AM166="","",INDEX(Setup!$E$20:$E$34,Calc!$AN166)&amp;"")</f>
        <v/>
      </c>
      <c r="K166" s="23" t="str">
        <f ca="1">IF(Calc!$AM166="","",INDEX(Setup!$F$20:$F$34,Calc!$AN166))</f>
        <v/>
      </c>
      <c r="L166" s="21" t="str">
        <f ca="1">IF(Calc!$AM166="","",SUBSTITUTE(SUBSTITUTE(SUBSTITUTE(SUBSTITUTE(INDEX(Setup!$H$20:$H$34,Calc!$AN166)&amp;"","{name}",$E166),"{years}",$G166),"{date}",TEXT($H166,"mmmm d, yyyy")),"{company}",Setup!$C$4))</f>
        <v/>
      </c>
      <c r="M166" s="21" t="str">
        <f ca="1">IF(Calc!$AM166="","",SUBSTITUTE(SUBSTITUTE(SUBSTITUTE(SUBSTITUTE(INDEX(Setup!$I$20:$I$34,Calc!$AN166)&amp;"","{name}",$E166),"{years}",$G166),"{date}",TEXT($H166,"mmmm d, yyyy")),"{company}",Setup!$C$4))</f>
        <v/>
      </c>
      <c r="N166" s="21" t="str">
        <f ca="1">IF(Calc!$AM166="","",SUBSTITUTE(SUBSTITUTE(SUBSTITUTE(SUBSTITUTE(INDEX(Setup!$J$20:$J$34,Calc!$AN166)&amp;"","{name}",$E166),"{years}",$G166),"{date}",TEXT($H166,"mmmm d, yyyy")),"{company}",Setup!$C$4))</f>
        <v/>
      </c>
      <c r="O166" s="21" t="str">
        <f ca="1">IF(Calc!$AM166="","",SUBSTITUTE(SUBSTITUTE(SUBSTITUTE(SUBSTITUTE(INDEX(Setup!$K$20:$K$34,Calc!$AN166)&amp;"","{name}",$E166),"{years}",$G166),"{date}",TEXT($H166,"mmmm d, yyyy")),"{company}",Setup!$C$4))</f>
        <v/>
      </c>
      <c r="P166" s="21" t="str">
        <f ca="1">IF(Calc!$AM166="","",SUBSTITUTE(SUBSTITUTE(TRIM(SUBSTITUTE($L166," ","~")&amp;" "&amp;SUBSTITUTE($M166," ","~")&amp;" "&amp;SUBSTITUTE($N166," ","~")&amp;" "&amp;SUBSTITUTE($O166," ","~"))," "," | "),"~"," "))</f>
        <v/>
      </c>
    </row>
    <row r="167" spans="1:16" x14ac:dyDescent="0.2">
      <c r="A167" s="19" t="str">
        <f ca="1">IF(Calc!$AM167="","",ROW()-5)</f>
        <v/>
      </c>
      <c r="B167" s="20" t="str">
        <f ca="1">IF(Calc!$AM167="","",INT(Calc!$AK167))</f>
        <v/>
      </c>
      <c r="C167" s="21" t="str">
        <f ca="1">IF(Calc!$AM167="","",IF($H167&lt;Setup!$C$5,"PAST DUE: milestone date has passed",IF($B167&lt;Setup!$C$5,"LATE: order today, ask about rush",IF($B167&lt;Setup!$C$5+14,"Order within 2 weeks","Scheduled"))))</f>
        <v/>
      </c>
      <c r="D167" s="21" t="str">
        <f ca="1">IF(Calc!$AM167="","",TEXT($B167,"mmmm yyyy"))</f>
        <v/>
      </c>
      <c r="E167" s="21" t="str">
        <f ca="1">IF(Calc!$AM167="","",INDEX(Roster!$A$6:$A$505,Calc!$AM167)&amp;"")</f>
        <v/>
      </c>
      <c r="F167" s="21" t="str">
        <f ca="1">IF(Calc!$AM167="","",INDEX(Roster!$C$6:$C$505,Calc!$AM167)&amp;"")</f>
        <v/>
      </c>
      <c r="G167" s="19" t="str">
        <f ca="1">IF(Calc!$AM167="","",INDEX(Setup!$C$20:$C$34,Calc!$AN167))</f>
        <v/>
      </c>
      <c r="H167" s="20" t="str">
        <f ca="1">IF(Calc!$AM167="","",INDEX(Calc!$B$6:$P$505,Calc!$AM167,Calc!$AN167))</f>
        <v/>
      </c>
      <c r="I167" s="21" t="str">
        <f ca="1">IF(Calc!$AM167="","",INDEX(Setup!$D$20:$D$34,Calc!$AN167)&amp;"")</f>
        <v/>
      </c>
      <c r="J167" s="21" t="str">
        <f ca="1">IF(Calc!$AM167="","",INDEX(Setup!$E$20:$E$34,Calc!$AN167)&amp;"")</f>
        <v/>
      </c>
      <c r="K167" s="23" t="str">
        <f ca="1">IF(Calc!$AM167="","",INDEX(Setup!$F$20:$F$34,Calc!$AN167))</f>
        <v/>
      </c>
      <c r="L167" s="21" t="str">
        <f ca="1">IF(Calc!$AM167="","",SUBSTITUTE(SUBSTITUTE(SUBSTITUTE(SUBSTITUTE(INDEX(Setup!$H$20:$H$34,Calc!$AN167)&amp;"","{name}",$E167),"{years}",$G167),"{date}",TEXT($H167,"mmmm d, yyyy")),"{company}",Setup!$C$4))</f>
        <v/>
      </c>
      <c r="M167" s="21" t="str">
        <f ca="1">IF(Calc!$AM167="","",SUBSTITUTE(SUBSTITUTE(SUBSTITUTE(SUBSTITUTE(INDEX(Setup!$I$20:$I$34,Calc!$AN167)&amp;"","{name}",$E167),"{years}",$G167),"{date}",TEXT($H167,"mmmm d, yyyy")),"{company}",Setup!$C$4))</f>
        <v/>
      </c>
      <c r="N167" s="21" t="str">
        <f ca="1">IF(Calc!$AM167="","",SUBSTITUTE(SUBSTITUTE(SUBSTITUTE(SUBSTITUTE(INDEX(Setup!$J$20:$J$34,Calc!$AN167)&amp;"","{name}",$E167),"{years}",$G167),"{date}",TEXT($H167,"mmmm d, yyyy")),"{company}",Setup!$C$4))</f>
        <v/>
      </c>
      <c r="O167" s="21" t="str">
        <f ca="1">IF(Calc!$AM167="","",SUBSTITUTE(SUBSTITUTE(SUBSTITUTE(SUBSTITUTE(INDEX(Setup!$K$20:$K$34,Calc!$AN167)&amp;"","{name}",$E167),"{years}",$G167),"{date}",TEXT($H167,"mmmm d, yyyy")),"{company}",Setup!$C$4))</f>
        <v/>
      </c>
      <c r="P167" s="21" t="str">
        <f ca="1">IF(Calc!$AM167="","",SUBSTITUTE(SUBSTITUTE(TRIM(SUBSTITUTE($L167," ","~")&amp;" "&amp;SUBSTITUTE($M167," ","~")&amp;" "&amp;SUBSTITUTE($N167," ","~")&amp;" "&amp;SUBSTITUTE($O167," ","~"))," "," | "),"~"," "))</f>
        <v/>
      </c>
    </row>
    <row r="168" spans="1:16" x14ac:dyDescent="0.2">
      <c r="A168" s="19" t="str">
        <f ca="1">IF(Calc!$AM168="","",ROW()-5)</f>
        <v/>
      </c>
      <c r="B168" s="20" t="str">
        <f ca="1">IF(Calc!$AM168="","",INT(Calc!$AK168))</f>
        <v/>
      </c>
      <c r="C168" s="21" t="str">
        <f ca="1">IF(Calc!$AM168="","",IF($H168&lt;Setup!$C$5,"PAST DUE: milestone date has passed",IF($B168&lt;Setup!$C$5,"LATE: order today, ask about rush",IF($B168&lt;Setup!$C$5+14,"Order within 2 weeks","Scheduled"))))</f>
        <v/>
      </c>
      <c r="D168" s="21" t="str">
        <f ca="1">IF(Calc!$AM168="","",TEXT($B168,"mmmm yyyy"))</f>
        <v/>
      </c>
      <c r="E168" s="21" t="str">
        <f ca="1">IF(Calc!$AM168="","",INDEX(Roster!$A$6:$A$505,Calc!$AM168)&amp;"")</f>
        <v/>
      </c>
      <c r="F168" s="21" t="str">
        <f ca="1">IF(Calc!$AM168="","",INDEX(Roster!$C$6:$C$505,Calc!$AM168)&amp;"")</f>
        <v/>
      </c>
      <c r="G168" s="19" t="str">
        <f ca="1">IF(Calc!$AM168="","",INDEX(Setup!$C$20:$C$34,Calc!$AN168))</f>
        <v/>
      </c>
      <c r="H168" s="20" t="str">
        <f ca="1">IF(Calc!$AM168="","",INDEX(Calc!$B$6:$P$505,Calc!$AM168,Calc!$AN168))</f>
        <v/>
      </c>
      <c r="I168" s="21" t="str">
        <f ca="1">IF(Calc!$AM168="","",INDEX(Setup!$D$20:$D$34,Calc!$AN168)&amp;"")</f>
        <v/>
      </c>
      <c r="J168" s="21" t="str">
        <f ca="1">IF(Calc!$AM168="","",INDEX(Setup!$E$20:$E$34,Calc!$AN168)&amp;"")</f>
        <v/>
      </c>
      <c r="K168" s="23" t="str">
        <f ca="1">IF(Calc!$AM168="","",INDEX(Setup!$F$20:$F$34,Calc!$AN168))</f>
        <v/>
      </c>
      <c r="L168" s="21" t="str">
        <f ca="1">IF(Calc!$AM168="","",SUBSTITUTE(SUBSTITUTE(SUBSTITUTE(SUBSTITUTE(INDEX(Setup!$H$20:$H$34,Calc!$AN168)&amp;"","{name}",$E168),"{years}",$G168),"{date}",TEXT($H168,"mmmm d, yyyy")),"{company}",Setup!$C$4))</f>
        <v/>
      </c>
      <c r="M168" s="21" t="str">
        <f ca="1">IF(Calc!$AM168="","",SUBSTITUTE(SUBSTITUTE(SUBSTITUTE(SUBSTITUTE(INDEX(Setup!$I$20:$I$34,Calc!$AN168)&amp;"","{name}",$E168),"{years}",$G168),"{date}",TEXT($H168,"mmmm d, yyyy")),"{company}",Setup!$C$4))</f>
        <v/>
      </c>
      <c r="N168" s="21" t="str">
        <f ca="1">IF(Calc!$AM168="","",SUBSTITUTE(SUBSTITUTE(SUBSTITUTE(SUBSTITUTE(INDEX(Setup!$J$20:$J$34,Calc!$AN168)&amp;"","{name}",$E168),"{years}",$G168),"{date}",TEXT($H168,"mmmm d, yyyy")),"{company}",Setup!$C$4))</f>
        <v/>
      </c>
      <c r="O168" s="21" t="str">
        <f ca="1">IF(Calc!$AM168="","",SUBSTITUTE(SUBSTITUTE(SUBSTITUTE(SUBSTITUTE(INDEX(Setup!$K$20:$K$34,Calc!$AN168)&amp;"","{name}",$E168),"{years}",$G168),"{date}",TEXT($H168,"mmmm d, yyyy")),"{company}",Setup!$C$4))</f>
        <v/>
      </c>
      <c r="P168" s="21" t="str">
        <f ca="1">IF(Calc!$AM168="","",SUBSTITUTE(SUBSTITUTE(TRIM(SUBSTITUTE($L168," ","~")&amp;" "&amp;SUBSTITUTE($M168," ","~")&amp;" "&amp;SUBSTITUTE($N168," ","~")&amp;" "&amp;SUBSTITUTE($O168," ","~"))," "," | "),"~"," "))</f>
        <v/>
      </c>
    </row>
    <row r="169" spans="1:16" x14ac:dyDescent="0.2">
      <c r="A169" s="19" t="str">
        <f ca="1">IF(Calc!$AM169="","",ROW()-5)</f>
        <v/>
      </c>
      <c r="B169" s="20" t="str">
        <f ca="1">IF(Calc!$AM169="","",INT(Calc!$AK169))</f>
        <v/>
      </c>
      <c r="C169" s="21" t="str">
        <f ca="1">IF(Calc!$AM169="","",IF($H169&lt;Setup!$C$5,"PAST DUE: milestone date has passed",IF($B169&lt;Setup!$C$5,"LATE: order today, ask about rush",IF($B169&lt;Setup!$C$5+14,"Order within 2 weeks","Scheduled"))))</f>
        <v/>
      </c>
      <c r="D169" s="21" t="str">
        <f ca="1">IF(Calc!$AM169="","",TEXT($B169,"mmmm yyyy"))</f>
        <v/>
      </c>
      <c r="E169" s="21" t="str">
        <f ca="1">IF(Calc!$AM169="","",INDEX(Roster!$A$6:$A$505,Calc!$AM169)&amp;"")</f>
        <v/>
      </c>
      <c r="F169" s="21" t="str">
        <f ca="1">IF(Calc!$AM169="","",INDEX(Roster!$C$6:$C$505,Calc!$AM169)&amp;"")</f>
        <v/>
      </c>
      <c r="G169" s="19" t="str">
        <f ca="1">IF(Calc!$AM169="","",INDEX(Setup!$C$20:$C$34,Calc!$AN169))</f>
        <v/>
      </c>
      <c r="H169" s="20" t="str">
        <f ca="1">IF(Calc!$AM169="","",INDEX(Calc!$B$6:$P$505,Calc!$AM169,Calc!$AN169))</f>
        <v/>
      </c>
      <c r="I169" s="21" t="str">
        <f ca="1">IF(Calc!$AM169="","",INDEX(Setup!$D$20:$D$34,Calc!$AN169)&amp;"")</f>
        <v/>
      </c>
      <c r="J169" s="21" t="str">
        <f ca="1">IF(Calc!$AM169="","",INDEX(Setup!$E$20:$E$34,Calc!$AN169)&amp;"")</f>
        <v/>
      </c>
      <c r="K169" s="23" t="str">
        <f ca="1">IF(Calc!$AM169="","",INDEX(Setup!$F$20:$F$34,Calc!$AN169))</f>
        <v/>
      </c>
      <c r="L169" s="21" t="str">
        <f ca="1">IF(Calc!$AM169="","",SUBSTITUTE(SUBSTITUTE(SUBSTITUTE(SUBSTITUTE(INDEX(Setup!$H$20:$H$34,Calc!$AN169)&amp;"","{name}",$E169),"{years}",$G169),"{date}",TEXT($H169,"mmmm d, yyyy")),"{company}",Setup!$C$4))</f>
        <v/>
      </c>
      <c r="M169" s="21" t="str">
        <f ca="1">IF(Calc!$AM169="","",SUBSTITUTE(SUBSTITUTE(SUBSTITUTE(SUBSTITUTE(INDEX(Setup!$I$20:$I$34,Calc!$AN169)&amp;"","{name}",$E169),"{years}",$G169),"{date}",TEXT($H169,"mmmm d, yyyy")),"{company}",Setup!$C$4))</f>
        <v/>
      </c>
      <c r="N169" s="21" t="str">
        <f ca="1">IF(Calc!$AM169="","",SUBSTITUTE(SUBSTITUTE(SUBSTITUTE(SUBSTITUTE(INDEX(Setup!$J$20:$J$34,Calc!$AN169)&amp;"","{name}",$E169),"{years}",$G169),"{date}",TEXT($H169,"mmmm d, yyyy")),"{company}",Setup!$C$4))</f>
        <v/>
      </c>
      <c r="O169" s="21" t="str">
        <f ca="1">IF(Calc!$AM169="","",SUBSTITUTE(SUBSTITUTE(SUBSTITUTE(SUBSTITUTE(INDEX(Setup!$K$20:$K$34,Calc!$AN169)&amp;"","{name}",$E169),"{years}",$G169),"{date}",TEXT($H169,"mmmm d, yyyy")),"{company}",Setup!$C$4))</f>
        <v/>
      </c>
      <c r="P169" s="21" t="str">
        <f ca="1">IF(Calc!$AM169="","",SUBSTITUTE(SUBSTITUTE(TRIM(SUBSTITUTE($L169," ","~")&amp;" "&amp;SUBSTITUTE($M169," ","~")&amp;" "&amp;SUBSTITUTE($N169," ","~")&amp;" "&amp;SUBSTITUTE($O169," ","~"))," "," | "),"~"," "))</f>
        <v/>
      </c>
    </row>
    <row r="170" spans="1:16" x14ac:dyDescent="0.2">
      <c r="A170" s="19" t="str">
        <f ca="1">IF(Calc!$AM170="","",ROW()-5)</f>
        <v/>
      </c>
      <c r="B170" s="20" t="str">
        <f ca="1">IF(Calc!$AM170="","",INT(Calc!$AK170))</f>
        <v/>
      </c>
      <c r="C170" s="21" t="str">
        <f ca="1">IF(Calc!$AM170="","",IF($H170&lt;Setup!$C$5,"PAST DUE: milestone date has passed",IF($B170&lt;Setup!$C$5,"LATE: order today, ask about rush",IF($B170&lt;Setup!$C$5+14,"Order within 2 weeks","Scheduled"))))</f>
        <v/>
      </c>
      <c r="D170" s="21" t="str">
        <f ca="1">IF(Calc!$AM170="","",TEXT($B170,"mmmm yyyy"))</f>
        <v/>
      </c>
      <c r="E170" s="21" t="str">
        <f ca="1">IF(Calc!$AM170="","",INDEX(Roster!$A$6:$A$505,Calc!$AM170)&amp;"")</f>
        <v/>
      </c>
      <c r="F170" s="21" t="str">
        <f ca="1">IF(Calc!$AM170="","",INDEX(Roster!$C$6:$C$505,Calc!$AM170)&amp;"")</f>
        <v/>
      </c>
      <c r="G170" s="19" t="str">
        <f ca="1">IF(Calc!$AM170="","",INDEX(Setup!$C$20:$C$34,Calc!$AN170))</f>
        <v/>
      </c>
      <c r="H170" s="20" t="str">
        <f ca="1">IF(Calc!$AM170="","",INDEX(Calc!$B$6:$P$505,Calc!$AM170,Calc!$AN170))</f>
        <v/>
      </c>
      <c r="I170" s="21" t="str">
        <f ca="1">IF(Calc!$AM170="","",INDEX(Setup!$D$20:$D$34,Calc!$AN170)&amp;"")</f>
        <v/>
      </c>
      <c r="J170" s="21" t="str">
        <f ca="1">IF(Calc!$AM170="","",INDEX(Setup!$E$20:$E$34,Calc!$AN170)&amp;"")</f>
        <v/>
      </c>
      <c r="K170" s="23" t="str">
        <f ca="1">IF(Calc!$AM170="","",INDEX(Setup!$F$20:$F$34,Calc!$AN170))</f>
        <v/>
      </c>
      <c r="L170" s="21" t="str">
        <f ca="1">IF(Calc!$AM170="","",SUBSTITUTE(SUBSTITUTE(SUBSTITUTE(SUBSTITUTE(INDEX(Setup!$H$20:$H$34,Calc!$AN170)&amp;"","{name}",$E170),"{years}",$G170),"{date}",TEXT($H170,"mmmm d, yyyy")),"{company}",Setup!$C$4))</f>
        <v/>
      </c>
      <c r="M170" s="21" t="str">
        <f ca="1">IF(Calc!$AM170="","",SUBSTITUTE(SUBSTITUTE(SUBSTITUTE(SUBSTITUTE(INDEX(Setup!$I$20:$I$34,Calc!$AN170)&amp;"","{name}",$E170),"{years}",$G170),"{date}",TEXT($H170,"mmmm d, yyyy")),"{company}",Setup!$C$4))</f>
        <v/>
      </c>
      <c r="N170" s="21" t="str">
        <f ca="1">IF(Calc!$AM170="","",SUBSTITUTE(SUBSTITUTE(SUBSTITUTE(SUBSTITUTE(INDEX(Setup!$J$20:$J$34,Calc!$AN170)&amp;"","{name}",$E170),"{years}",$G170),"{date}",TEXT($H170,"mmmm d, yyyy")),"{company}",Setup!$C$4))</f>
        <v/>
      </c>
      <c r="O170" s="21" t="str">
        <f ca="1">IF(Calc!$AM170="","",SUBSTITUTE(SUBSTITUTE(SUBSTITUTE(SUBSTITUTE(INDEX(Setup!$K$20:$K$34,Calc!$AN170)&amp;"","{name}",$E170),"{years}",$G170),"{date}",TEXT($H170,"mmmm d, yyyy")),"{company}",Setup!$C$4))</f>
        <v/>
      </c>
      <c r="P170" s="21" t="str">
        <f ca="1">IF(Calc!$AM170="","",SUBSTITUTE(SUBSTITUTE(TRIM(SUBSTITUTE($L170," ","~")&amp;" "&amp;SUBSTITUTE($M170," ","~")&amp;" "&amp;SUBSTITUTE($N170," ","~")&amp;" "&amp;SUBSTITUTE($O170," ","~"))," "," | "),"~"," "))</f>
        <v/>
      </c>
    </row>
    <row r="171" spans="1:16" x14ac:dyDescent="0.2">
      <c r="A171" s="19" t="str">
        <f ca="1">IF(Calc!$AM171="","",ROW()-5)</f>
        <v/>
      </c>
      <c r="B171" s="20" t="str">
        <f ca="1">IF(Calc!$AM171="","",INT(Calc!$AK171))</f>
        <v/>
      </c>
      <c r="C171" s="21" t="str">
        <f ca="1">IF(Calc!$AM171="","",IF($H171&lt;Setup!$C$5,"PAST DUE: milestone date has passed",IF($B171&lt;Setup!$C$5,"LATE: order today, ask about rush",IF($B171&lt;Setup!$C$5+14,"Order within 2 weeks","Scheduled"))))</f>
        <v/>
      </c>
      <c r="D171" s="21" t="str">
        <f ca="1">IF(Calc!$AM171="","",TEXT($B171,"mmmm yyyy"))</f>
        <v/>
      </c>
      <c r="E171" s="21" t="str">
        <f ca="1">IF(Calc!$AM171="","",INDEX(Roster!$A$6:$A$505,Calc!$AM171)&amp;"")</f>
        <v/>
      </c>
      <c r="F171" s="21" t="str">
        <f ca="1">IF(Calc!$AM171="","",INDEX(Roster!$C$6:$C$505,Calc!$AM171)&amp;"")</f>
        <v/>
      </c>
      <c r="G171" s="19" t="str">
        <f ca="1">IF(Calc!$AM171="","",INDEX(Setup!$C$20:$C$34,Calc!$AN171))</f>
        <v/>
      </c>
      <c r="H171" s="20" t="str">
        <f ca="1">IF(Calc!$AM171="","",INDEX(Calc!$B$6:$P$505,Calc!$AM171,Calc!$AN171))</f>
        <v/>
      </c>
      <c r="I171" s="21" t="str">
        <f ca="1">IF(Calc!$AM171="","",INDEX(Setup!$D$20:$D$34,Calc!$AN171)&amp;"")</f>
        <v/>
      </c>
      <c r="J171" s="21" t="str">
        <f ca="1">IF(Calc!$AM171="","",INDEX(Setup!$E$20:$E$34,Calc!$AN171)&amp;"")</f>
        <v/>
      </c>
      <c r="K171" s="23" t="str">
        <f ca="1">IF(Calc!$AM171="","",INDEX(Setup!$F$20:$F$34,Calc!$AN171))</f>
        <v/>
      </c>
      <c r="L171" s="21" t="str">
        <f ca="1">IF(Calc!$AM171="","",SUBSTITUTE(SUBSTITUTE(SUBSTITUTE(SUBSTITUTE(INDEX(Setup!$H$20:$H$34,Calc!$AN171)&amp;"","{name}",$E171),"{years}",$G171),"{date}",TEXT($H171,"mmmm d, yyyy")),"{company}",Setup!$C$4))</f>
        <v/>
      </c>
      <c r="M171" s="21" t="str">
        <f ca="1">IF(Calc!$AM171="","",SUBSTITUTE(SUBSTITUTE(SUBSTITUTE(SUBSTITUTE(INDEX(Setup!$I$20:$I$34,Calc!$AN171)&amp;"","{name}",$E171),"{years}",$G171),"{date}",TEXT($H171,"mmmm d, yyyy")),"{company}",Setup!$C$4))</f>
        <v/>
      </c>
      <c r="N171" s="21" t="str">
        <f ca="1">IF(Calc!$AM171="","",SUBSTITUTE(SUBSTITUTE(SUBSTITUTE(SUBSTITUTE(INDEX(Setup!$J$20:$J$34,Calc!$AN171)&amp;"","{name}",$E171),"{years}",$G171),"{date}",TEXT($H171,"mmmm d, yyyy")),"{company}",Setup!$C$4))</f>
        <v/>
      </c>
      <c r="O171" s="21" t="str">
        <f ca="1">IF(Calc!$AM171="","",SUBSTITUTE(SUBSTITUTE(SUBSTITUTE(SUBSTITUTE(INDEX(Setup!$K$20:$K$34,Calc!$AN171)&amp;"","{name}",$E171),"{years}",$G171),"{date}",TEXT($H171,"mmmm d, yyyy")),"{company}",Setup!$C$4))</f>
        <v/>
      </c>
      <c r="P171" s="21" t="str">
        <f ca="1">IF(Calc!$AM171="","",SUBSTITUTE(SUBSTITUTE(TRIM(SUBSTITUTE($L171," ","~")&amp;" "&amp;SUBSTITUTE($M171," ","~")&amp;" "&amp;SUBSTITUTE($N171," ","~")&amp;" "&amp;SUBSTITUTE($O171," ","~"))," "," | "),"~"," "))</f>
        <v/>
      </c>
    </row>
    <row r="172" spans="1:16" x14ac:dyDescent="0.2">
      <c r="A172" s="19" t="str">
        <f ca="1">IF(Calc!$AM172="","",ROW()-5)</f>
        <v/>
      </c>
      <c r="B172" s="20" t="str">
        <f ca="1">IF(Calc!$AM172="","",INT(Calc!$AK172))</f>
        <v/>
      </c>
      <c r="C172" s="21" t="str">
        <f ca="1">IF(Calc!$AM172="","",IF($H172&lt;Setup!$C$5,"PAST DUE: milestone date has passed",IF($B172&lt;Setup!$C$5,"LATE: order today, ask about rush",IF($B172&lt;Setup!$C$5+14,"Order within 2 weeks","Scheduled"))))</f>
        <v/>
      </c>
      <c r="D172" s="21" t="str">
        <f ca="1">IF(Calc!$AM172="","",TEXT($B172,"mmmm yyyy"))</f>
        <v/>
      </c>
      <c r="E172" s="21" t="str">
        <f ca="1">IF(Calc!$AM172="","",INDEX(Roster!$A$6:$A$505,Calc!$AM172)&amp;"")</f>
        <v/>
      </c>
      <c r="F172" s="21" t="str">
        <f ca="1">IF(Calc!$AM172="","",INDEX(Roster!$C$6:$C$505,Calc!$AM172)&amp;"")</f>
        <v/>
      </c>
      <c r="G172" s="19" t="str">
        <f ca="1">IF(Calc!$AM172="","",INDEX(Setup!$C$20:$C$34,Calc!$AN172))</f>
        <v/>
      </c>
      <c r="H172" s="20" t="str">
        <f ca="1">IF(Calc!$AM172="","",INDEX(Calc!$B$6:$P$505,Calc!$AM172,Calc!$AN172))</f>
        <v/>
      </c>
      <c r="I172" s="21" t="str">
        <f ca="1">IF(Calc!$AM172="","",INDEX(Setup!$D$20:$D$34,Calc!$AN172)&amp;"")</f>
        <v/>
      </c>
      <c r="J172" s="21" t="str">
        <f ca="1">IF(Calc!$AM172="","",INDEX(Setup!$E$20:$E$34,Calc!$AN172)&amp;"")</f>
        <v/>
      </c>
      <c r="K172" s="23" t="str">
        <f ca="1">IF(Calc!$AM172="","",INDEX(Setup!$F$20:$F$34,Calc!$AN172))</f>
        <v/>
      </c>
      <c r="L172" s="21" t="str">
        <f ca="1">IF(Calc!$AM172="","",SUBSTITUTE(SUBSTITUTE(SUBSTITUTE(SUBSTITUTE(INDEX(Setup!$H$20:$H$34,Calc!$AN172)&amp;"","{name}",$E172),"{years}",$G172),"{date}",TEXT($H172,"mmmm d, yyyy")),"{company}",Setup!$C$4))</f>
        <v/>
      </c>
      <c r="M172" s="21" t="str">
        <f ca="1">IF(Calc!$AM172="","",SUBSTITUTE(SUBSTITUTE(SUBSTITUTE(SUBSTITUTE(INDEX(Setup!$I$20:$I$34,Calc!$AN172)&amp;"","{name}",$E172),"{years}",$G172),"{date}",TEXT($H172,"mmmm d, yyyy")),"{company}",Setup!$C$4))</f>
        <v/>
      </c>
      <c r="N172" s="21" t="str">
        <f ca="1">IF(Calc!$AM172="","",SUBSTITUTE(SUBSTITUTE(SUBSTITUTE(SUBSTITUTE(INDEX(Setup!$J$20:$J$34,Calc!$AN172)&amp;"","{name}",$E172),"{years}",$G172),"{date}",TEXT($H172,"mmmm d, yyyy")),"{company}",Setup!$C$4))</f>
        <v/>
      </c>
      <c r="O172" s="21" t="str">
        <f ca="1">IF(Calc!$AM172="","",SUBSTITUTE(SUBSTITUTE(SUBSTITUTE(SUBSTITUTE(INDEX(Setup!$K$20:$K$34,Calc!$AN172)&amp;"","{name}",$E172),"{years}",$G172),"{date}",TEXT($H172,"mmmm d, yyyy")),"{company}",Setup!$C$4))</f>
        <v/>
      </c>
      <c r="P172" s="21" t="str">
        <f ca="1">IF(Calc!$AM172="","",SUBSTITUTE(SUBSTITUTE(TRIM(SUBSTITUTE($L172," ","~")&amp;" "&amp;SUBSTITUTE($M172," ","~")&amp;" "&amp;SUBSTITUTE($N172," ","~")&amp;" "&amp;SUBSTITUTE($O172," ","~"))," "," | "),"~"," "))</f>
        <v/>
      </c>
    </row>
    <row r="173" spans="1:16" x14ac:dyDescent="0.2">
      <c r="A173" s="19" t="str">
        <f ca="1">IF(Calc!$AM173="","",ROW()-5)</f>
        <v/>
      </c>
      <c r="B173" s="20" t="str">
        <f ca="1">IF(Calc!$AM173="","",INT(Calc!$AK173))</f>
        <v/>
      </c>
      <c r="C173" s="21" t="str">
        <f ca="1">IF(Calc!$AM173="","",IF($H173&lt;Setup!$C$5,"PAST DUE: milestone date has passed",IF($B173&lt;Setup!$C$5,"LATE: order today, ask about rush",IF($B173&lt;Setup!$C$5+14,"Order within 2 weeks","Scheduled"))))</f>
        <v/>
      </c>
      <c r="D173" s="21" t="str">
        <f ca="1">IF(Calc!$AM173="","",TEXT($B173,"mmmm yyyy"))</f>
        <v/>
      </c>
      <c r="E173" s="21" t="str">
        <f ca="1">IF(Calc!$AM173="","",INDEX(Roster!$A$6:$A$505,Calc!$AM173)&amp;"")</f>
        <v/>
      </c>
      <c r="F173" s="21" t="str">
        <f ca="1">IF(Calc!$AM173="","",INDEX(Roster!$C$6:$C$505,Calc!$AM173)&amp;"")</f>
        <v/>
      </c>
      <c r="G173" s="19" t="str">
        <f ca="1">IF(Calc!$AM173="","",INDEX(Setup!$C$20:$C$34,Calc!$AN173))</f>
        <v/>
      </c>
      <c r="H173" s="20" t="str">
        <f ca="1">IF(Calc!$AM173="","",INDEX(Calc!$B$6:$P$505,Calc!$AM173,Calc!$AN173))</f>
        <v/>
      </c>
      <c r="I173" s="21" t="str">
        <f ca="1">IF(Calc!$AM173="","",INDEX(Setup!$D$20:$D$34,Calc!$AN173)&amp;"")</f>
        <v/>
      </c>
      <c r="J173" s="21" t="str">
        <f ca="1">IF(Calc!$AM173="","",INDEX(Setup!$E$20:$E$34,Calc!$AN173)&amp;"")</f>
        <v/>
      </c>
      <c r="K173" s="23" t="str">
        <f ca="1">IF(Calc!$AM173="","",INDEX(Setup!$F$20:$F$34,Calc!$AN173))</f>
        <v/>
      </c>
      <c r="L173" s="21" t="str">
        <f ca="1">IF(Calc!$AM173="","",SUBSTITUTE(SUBSTITUTE(SUBSTITUTE(SUBSTITUTE(INDEX(Setup!$H$20:$H$34,Calc!$AN173)&amp;"","{name}",$E173),"{years}",$G173),"{date}",TEXT($H173,"mmmm d, yyyy")),"{company}",Setup!$C$4))</f>
        <v/>
      </c>
      <c r="M173" s="21" t="str">
        <f ca="1">IF(Calc!$AM173="","",SUBSTITUTE(SUBSTITUTE(SUBSTITUTE(SUBSTITUTE(INDEX(Setup!$I$20:$I$34,Calc!$AN173)&amp;"","{name}",$E173),"{years}",$G173),"{date}",TEXT($H173,"mmmm d, yyyy")),"{company}",Setup!$C$4))</f>
        <v/>
      </c>
      <c r="N173" s="21" t="str">
        <f ca="1">IF(Calc!$AM173="","",SUBSTITUTE(SUBSTITUTE(SUBSTITUTE(SUBSTITUTE(INDEX(Setup!$J$20:$J$34,Calc!$AN173)&amp;"","{name}",$E173),"{years}",$G173),"{date}",TEXT($H173,"mmmm d, yyyy")),"{company}",Setup!$C$4))</f>
        <v/>
      </c>
      <c r="O173" s="21" t="str">
        <f ca="1">IF(Calc!$AM173="","",SUBSTITUTE(SUBSTITUTE(SUBSTITUTE(SUBSTITUTE(INDEX(Setup!$K$20:$K$34,Calc!$AN173)&amp;"","{name}",$E173),"{years}",$G173),"{date}",TEXT($H173,"mmmm d, yyyy")),"{company}",Setup!$C$4))</f>
        <v/>
      </c>
      <c r="P173" s="21" t="str">
        <f ca="1">IF(Calc!$AM173="","",SUBSTITUTE(SUBSTITUTE(TRIM(SUBSTITUTE($L173," ","~")&amp;" "&amp;SUBSTITUTE($M173," ","~")&amp;" "&amp;SUBSTITUTE($N173," ","~")&amp;" "&amp;SUBSTITUTE($O173," ","~"))," "," | "),"~"," "))</f>
        <v/>
      </c>
    </row>
    <row r="174" spans="1:16" x14ac:dyDescent="0.2">
      <c r="A174" s="19" t="str">
        <f ca="1">IF(Calc!$AM174="","",ROW()-5)</f>
        <v/>
      </c>
      <c r="B174" s="20" t="str">
        <f ca="1">IF(Calc!$AM174="","",INT(Calc!$AK174))</f>
        <v/>
      </c>
      <c r="C174" s="21" t="str">
        <f ca="1">IF(Calc!$AM174="","",IF($H174&lt;Setup!$C$5,"PAST DUE: milestone date has passed",IF($B174&lt;Setup!$C$5,"LATE: order today, ask about rush",IF($B174&lt;Setup!$C$5+14,"Order within 2 weeks","Scheduled"))))</f>
        <v/>
      </c>
      <c r="D174" s="21" t="str">
        <f ca="1">IF(Calc!$AM174="","",TEXT($B174,"mmmm yyyy"))</f>
        <v/>
      </c>
      <c r="E174" s="21" t="str">
        <f ca="1">IF(Calc!$AM174="","",INDEX(Roster!$A$6:$A$505,Calc!$AM174)&amp;"")</f>
        <v/>
      </c>
      <c r="F174" s="21" t="str">
        <f ca="1">IF(Calc!$AM174="","",INDEX(Roster!$C$6:$C$505,Calc!$AM174)&amp;"")</f>
        <v/>
      </c>
      <c r="G174" s="19" t="str">
        <f ca="1">IF(Calc!$AM174="","",INDEX(Setup!$C$20:$C$34,Calc!$AN174))</f>
        <v/>
      </c>
      <c r="H174" s="20" t="str">
        <f ca="1">IF(Calc!$AM174="","",INDEX(Calc!$B$6:$P$505,Calc!$AM174,Calc!$AN174))</f>
        <v/>
      </c>
      <c r="I174" s="21" t="str">
        <f ca="1">IF(Calc!$AM174="","",INDEX(Setup!$D$20:$D$34,Calc!$AN174)&amp;"")</f>
        <v/>
      </c>
      <c r="J174" s="21" t="str">
        <f ca="1">IF(Calc!$AM174="","",INDEX(Setup!$E$20:$E$34,Calc!$AN174)&amp;"")</f>
        <v/>
      </c>
      <c r="K174" s="23" t="str">
        <f ca="1">IF(Calc!$AM174="","",INDEX(Setup!$F$20:$F$34,Calc!$AN174))</f>
        <v/>
      </c>
      <c r="L174" s="21" t="str">
        <f ca="1">IF(Calc!$AM174="","",SUBSTITUTE(SUBSTITUTE(SUBSTITUTE(SUBSTITUTE(INDEX(Setup!$H$20:$H$34,Calc!$AN174)&amp;"","{name}",$E174),"{years}",$G174),"{date}",TEXT($H174,"mmmm d, yyyy")),"{company}",Setup!$C$4))</f>
        <v/>
      </c>
      <c r="M174" s="21" t="str">
        <f ca="1">IF(Calc!$AM174="","",SUBSTITUTE(SUBSTITUTE(SUBSTITUTE(SUBSTITUTE(INDEX(Setup!$I$20:$I$34,Calc!$AN174)&amp;"","{name}",$E174),"{years}",$G174),"{date}",TEXT($H174,"mmmm d, yyyy")),"{company}",Setup!$C$4))</f>
        <v/>
      </c>
      <c r="N174" s="21" t="str">
        <f ca="1">IF(Calc!$AM174="","",SUBSTITUTE(SUBSTITUTE(SUBSTITUTE(SUBSTITUTE(INDEX(Setup!$J$20:$J$34,Calc!$AN174)&amp;"","{name}",$E174),"{years}",$G174),"{date}",TEXT($H174,"mmmm d, yyyy")),"{company}",Setup!$C$4))</f>
        <v/>
      </c>
      <c r="O174" s="21" t="str">
        <f ca="1">IF(Calc!$AM174="","",SUBSTITUTE(SUBSTITUTE(SUBSTITUTE(SUBSTITUTE(INDEX(Setup!$K$20:$K$34,Calc!$AN174)&amp;"","{name}",$E174),"{years}",$G174),"{date}",TEXT($H174,"mmmm d, yyyy")),"{company}",Setup!$C$4))</f>
        <v/>
      </c>
      <c r="P174" s="21" t="str">
        <f ca="1">IF(Calc!$AM174="","",SUBSTITUTE(SUBSTITUTE(TRIM(SUBSTITUTE($L174," ","~")&amp;" "&amp;SUBSTITUTE($M174," ","~")&amp;" "&amp;SUBSTITUTE($N174," ","~")&amp;" "&amp;SUBSTITUTE($O174," ","~"))," "," | "),"~"," "))</f>
        <v/>
      </c>
    </row>
    <row r="175" spans="1:16" x14ac:dyDescent="0.2">
      <c r="A175" s="19" t="str">
        <f ca="1">IF(Calc!$AM175="","",ROW()-5)</f>
        <v/>
      </c>
      <c r="B175" s="20" t="str">
        <f ca="1">IF(Calc!$AM175="","",INT(Calc!$AK175))</f>
        <v/>
      </c>
      <c r="C175" s="21" t="str">
        <f ca="1">IF(Calc!$AM175="","",IF($H175&lt;Setup!$C$5,"PAST DUE: milestone date has passed",IF($B175&lt;Setup!$C$5,"LATE: order today, ask about rush",IF($B175&lt;Setup!$C$5+14,"Order within 2 weeks","Scheduled"))))</f>
        <v/>
      </c>
      <c r="D175" s="21" t="str">
        <f ca="1">IF(Calc!$AM175="","",TEXT($B175,"mmmm yyyy"))</f>
        <v/>
      </c>
      <c r="E175" s="21" t="str">
        <f ca="1">IF(Calc!$AM175="","",INDEX(Roster!$A$6:$A$505,Calc!$AM175)&amp;"")</f>
        <v/>
      </c>
      <c r="F175" s="21" t="str">
        <f ca="1">IF(Calc!$AM175="","",INDEX(Roster!$C$6:$C$505,Calc!$AM175)&amp;"")</f>
        <v/>
      </c>
      <c r="G175" s="19" t="str">
        <f ca="1">IF(Calc!$AM175="","",INDEX(Setup!$C$20:$C$34,Calc!$AN175))</f>
        <v/>
      </c>
      <c r="H175" s="20" t="str">
        <f ca="1">IF(Calc!$AM175="","",INDEX(Calc!$B$6:$P$505,Calc!$AM175,Calc!$AN175))</f>
        <v/>
      </c>
      <c r="I175" s="21" t="str">
        <f ca="1">IF(Calc!$AM175="","",INDEX(Setup!$D$20:$D$34,Calc!$AN175)&amp;"")</f>
        <v/>
      </c>
      <c r="J175" s="21" t="str">
        <f ca="1">IF(Calc!$AM175="","",INDEX(Setup!$E$20:$E$34,Calc!$AN175)&amp;"")</f>
        <v/>
      </c>
      <c r="K175" s="23" t="str">
        <f ca="1">IF(Calc!$AM175="","",INDEX(Setup!$F$20:$F$34,Calc!$AN175))</f>
        <v/>
      </c>
      <c r="L175" s="21" t="str">
        <f ca="1">IF(Calc!$AM175="","",SUBSTITUTE(SUBSTITUTE(SUBSTITUTE(SUBSTITUTE(INDEX(Setup!$H$20:$H$34,Calc!$AN175)&amp;"","{name}",$E175),"{years}",$G175),"{date}",TEXT($H175,"mmmm d, yyyy")),"{company}",Setup!$C$4))</f>
        <v/>
      </c>
      <c r="M175" s="21" t="str">
        <f ca="1">IF(Calc!$AM175="","",SUBSTITUTE(SUBSTITUTE(SUBSTITUTE(SUBSTITUTE(INDEX(Setup!$I$20:$I$34,Calc!$AN175)&amp;"","{name}",$E175),"{years}",$G175),"{date}",TEXT($H175,"mmmm d, yyyy")),"{company}",Setup!$C$4))</f>
        <v/>
      </c>
      <c r="N175" s="21" t="str">
        <f ca="1">IF(Calc!$AM175="","",SUBSTITUTE(SUBSTITUTE(SUBSTITUTE(SUBSTITUTE(INDEX(Setup!$J$20:$J$34,Calc!$AN175)&amp;"","{name}",$E175),"{years}",$G175),"{date}",TEXT($H175,"mmmm d, yyyy")),"{company}",Setup!$C$4))</f>
        <v/>
      </c>
      <c r="O175" s="21" t="str">
        <f ca="1">IF(Calc!$AM175="","",SUBSTITUTE(SUBSTITUTE(SUBSTITUTE(SUBSTITUTE(INDEX(Setup!$K$20:$K$34,Calc!$AN175)&amp;"","{name}",$E175),"{years}",$G175),"{date}",TEXT($H175,"mmmm d, yyyy")),"{company}",Setup!$C$4))</f>
        <v/>
      </c>
      <c r="P175" s="21" t="str">
        <f ca="1">IF(Calc!$AM175="","",SUBSTITUTE(SUBSTITUTE(TRIM(SUBSTITUTE($L175," ","~")&amp;" "&amp;SUBSTITUTE($M175," ","~")&amp;" "&amp;SUBSTITUTE($N175," ","~")&amp;" "&amp;SUBSTITUTE($O175," ","~"))," "," | "),"~"," "))</f>
        <v/>
      </c>
    </row>
    <row r="176" spans="1:16" x14ac:dyDescent="0.2">
      <c r="A176" s="19" t="str">
        <f ca="1">IF(Calc!$AM176="","",ROW()-5)</f>
        <v/>
      </c>
      <c r="B176" s="20" t="str">
        <f ca="1">IF(Calc!$AM176="","",INT(Calc!$AK176))</f>
        <v/>
      </c>
      <c r="C176" s="21" t="str">
        <f ca="1">IF(Calc!$AM176="","",IF($H176&lt;Setup!$C$5,"PAST DUE: milestone date has passed",IF($B176&lt;Setup!$C$5,"LATE: order today, ask about rush",IF($B176&lt;Setup!$C$5+14,"Order within 2 weeks","Scheduled"))))</f>
        <v/>
      </c>
      <c r="D176" s="21" t="str">
        <f ca="1">IF(Calc!$AM176="","",TEXT($B176,"mmmm yyyy"))</f>
        <v/>
      </c>
      <c r="E176" s="21" t="str">
        <f ca="1">IF(Calc!$AM176="","",INDEX(Roster!$A$6:$A$505,Calc!$AM176)&amp;"")</f>
        <v/>
      </c>
      <c r="F176" s="21" t="str">
        <f ca="1">IF(Calc!$AM176="","",INDEX(Roster!$C$6:$C$505,Calc!$AM176)&amp;"")</f>
        <v/>
      </c>
      <c r="G176" s="19" t="str">
        <f ca="1">IF(Calc!$AM176="","",INDEX(Setup!$C$20:$C$34,Calc!$AN176))</f>
        <v/>
      </c>
      <c r="H176" s="20" t="str">
        <f ca="1">IF(Calc!$AM176="","",INDEX(Calc!$B$6:$P$505,Calc!$AM176,Calc!$AN176))</f>
        <v/>
      </c>
      <c r="I176" s="21" t="str">
        <f ca="1">IF(Calc!$AM176="","",INDEX(Setup!$D$20:$D$34,Calc!$AN176)&amp;"")</f>
        <v/>
      </c>
      <c r="J176" s="21" t="str">
        <f ca="1">IF(Calc!$AM176="","",INDEX(Setup!$E$20:$E$34,Calc!$AN176)&amp;"")</f>
        <v/>
      </c>
      <c r="K176" s="23" t="str">
        <f ca="1">IF(Calc!$AM176="","",INDEX(Setup!$F$20:$F$34,Calc!$AN176))</f>
        <v/>
      </c>
      <c r="L176" s="21" t="str">
        <f ca="1">IF(Calc!$AM176="","",SUBSTITUTE(SUBSTITUTE(SUBSTITUTE(SUBSTITUTE(INDEX(Setup!$H$20:$H$34,Calc!$AN176)&amp;"","{name}",$E176),"{years}",$G176),"{date}",TEXT($H176,"mmmm d, yyyy")),"{company}",Setup!$C$4))</f>
        <v/>
      </c>
      <c r="M176" s="21" t="str">
        <f ca="1">IF(Calc!$AM176="","",SUBSTITUTE(SUBSTITUTE(SUBSTITUTE(SUBSTITUTE(INDEX(Setup!$I$20:$I$34,Calc!$AN176)&amp;"","{name}",$E176),"{years}",$G176),"{date}",TEXT($H176,"mmmm d, yyyy")),"{company}",Setup!$C$4))</f>
        <v/>
      </c>
      <c r="N176" s="21" t="str">
        <f ca="1">IF(Calc!$AM176="","",SUBSTITUTE(SUBSTITUTE(SUBSTITUTE(SUBSTITUTE(INDEX(Setup!$J$20:$J$34,Calc!$AN176)&amp;"","{name}",$E176),"{years}",$G176),"{date}",TEXT($H176,"mmmm d, yyyy")),"{company}",Setup!$C$4))</f>
        <v/>
      </c>
      <c r="O176" s="21" t="str">
        <f ca="1">IF(Calc!$AM176="","",SUBSTITUTE(SUBSTITUTE(SUBSTITUTE(SUBSTITUTE(INDEX(Setup!$K$20:$K$34,Calc!$AN176)&amp;"","{name}",$E176),"{years}",$G176),"{date}",TEXT($H176,"mmmm d, yyyy")),"{company}",Setup!$C$4))</f>
        <v/>
      </c>
      <c r="P176" s="21" t="str">
        <f ca="1">IF(Calc!$AM176="","",SUBSTITUTE(SUBSTITUTE(TRIM(SUBSTITUTE($L176," ","~")&amp;" "&amp;SUBSTITUTE($M176," ","~")&amp;" "&amp;SUBSTITUTE($N176," ","~")&amp;" "&amp;SUBSTITUTE($O176," ","~"))," "," | "),"~"," "))</f>
        <v/>
      </c>
    </row>
    <row r="177" spans="1:16" x14ac:dyDescent="0.2">
      <c r="A177" s="19" t="str">
        <f ca="1">IF(Calc!$AM177="","",ROW()-5)</f>
        <v/>
      </c>
      <c r="B177" s="20" t="str">
        <f ca="1">IF(Calc!$AM177="","",INT(Calc!$AK177))</f>
        <v/>
      </c>
      <c r="C177" s="21" t="str">
        <f ca="1">IF(Calc!$AM177="","",IF($H177&lt;Setup!$C$5,"PAST DUE: milestone date has passed",IF($B177&lt;Setup!$C$5,"LATE: order today, ask about rush",IF($B177&lt;Setup!$C$5+14,"Order within 2 weeks","Scheduled"))))</f>
        <v/>
      </c>
      <c r="D177" s="21" t="str">
        <f ca="1">IF(Calc!$AM177="","",TEXT($B177,"mmmm yyyy"))</f>
        <v/>
      </c>
      <c r="E177" s="21" t="str">
        <f ca="1">IF(Calc!$AM177="","",INDEX(Roster!$A$6:$A$505,Calc!$AM177)&amp;"")</f>
        <v/>
      </c>
      <c r="F177" s="21" t="str">
        <f ca="1">IF(Calc!$AM177="","",INDEX(Roster!$C$6:$C$505,Calc!$AM177)&amp;"")</f>
        <v/>
      </c>
      <c r="G177" s="19" t="str">
        <f ca="1">IF(Calc!$AM177="","",INDEX(Setup!$C$20:$C$34,Calc!$AN177))</f>
        <v/>
      </c>
      <c r="H177" s="20" t="str">
        <f ca="1">IF(Calc!$AM177="","",INDEX(Calc!$B$6:$P$505,Calc!$AM177,Calc!$AN177))</f>
        <v/>
      </c>
      <c r="I177" s="21" t="str">
        <f ca="1">IF(Calc!$AM177="","",INDEX(Setup!$D$20:$D$34,Calc!$AN177)&amp;"")</f>
        <v/>
      </c>
      <c r="J177" s="21" t="str">
        <f ca="1">IF(Calc!$AM177="","",INDEX(Setup!$E$20:$E$34,Calc!$AN177)&amp;"")</f>
        <v/>
      </c>
      <c r="K177" s="23" t="str">
        <f ca="1">IF(Calc!$AM177="","",INDEX(Setup!$F$20:$F$34,Calc!$AN177))</f>
        <v/>
      </c>
      <c r="L177" s="21" t="str">
        <f ca="1">IF(Calc!$AM177="","",SUBSTITUTE(SUBSTITUTE(SUBSTITUTE(SUBSTITUTE(INDEX(Setup!$H$20:$H$34,Calc!$AN177)&amp;"","{name}",$E177),"{years}",$G177),"{date}",TEXT($H177,"mmmm d, yyyy")),"{company}",Setup!$C$4))</f>
        <v/>
      </c>
      <c r="M177" s="21" t="str">
        <f ca="1">IF(Calc!$AM177="","",SUBSTITUTE(SUBSTITUTE(SUBSTITUTE(SUBSTITUTE(INDEX(Setup!$I$20:$I$34,Calc!$AN177)&amp;"","{name}",$E177),"{years}",$G177),"{date}",TEXT($H177,"mmmm d, yyyy")),"{company}",Setup!$C$4))</f>
        <v/>
      </c>
      <c r="N177" s="21" t="str">
        <f ca="1">IF(Calc!$AM177="","",SUBSTITUTE(SUBSTITUTE(SUBSTITUTE(SUBSTITUTE(INDEX(Setup!$J$20:$J$34,Calc!$AN177)&amp;"","{name}",$E177),"{years}",$G177),"{date}",TEXT($H177,"mmmm d, yyyy")),"{company}",Setup!$C$4))</f>
        <v/>
      </c>
      <c r="O177" s="21" t="str">
        <f ca="1">IF(Calc!$AM177="","",SUBSTITUTE(SUBSTITUTE(SUBSTITUTE(SUBSTITUTE(INDEX(Setup!$K$20:$K$34,Calc!$AN177)&amp;"","{name}",$E177),"{years}",$G177),"{date}",TEXT($H177,"mmmm d, yyyy")),"{company}",Setup!$C$4))</f>
        <v/>
      </c>
      <c r="P177" s="21" t="str">
        <f ca="1">IF(Calc!$AM177="","",SUBSTITUTE(SUBSTITUTE(TRIM(SUBSTITUTE($L177," ","~")&amp;" "&amp;SUBSTITUTE($M177," ","~")&amp;" "&amp;SUBSTITUTE($N177," ","~")&amp;" "&amp;SUBSTITUTE($O177," ","~"))," "," | "),"~"," "))</f>
        <v/>
      </c>
    </row>
    <row r="178" spans="1:16" x14ac:dyDescent="0.2">
      <c r="A178" s="19" t="str">
        <f ca="1">IF(Calc!$AM178="","",ROW()-5)</f>
        <v/>
      </c>
      <c r="B178" s="20" t="str">
        <f ca="1">IF(Calc!$AM178="","",INT(Calc!$AK178))</f>
        <v/>
      </c>
      <c r="C178" s="21" t="str">
        <f ca="1">IF(Calc!$AM178="","",IF($H178&lt;Setup!$C$5,"PAST DUE: milestone date has passed",IF($B178&lt;Setup!$C$5,"LATE: order today, ask about rush",IF($B178&lt;Setup!$C$5+14,"Order within 2 weeks","Scheduled"))))</f>
        <v/>
      </c>
      <c r="D178" s="21" t="str">
        <f ca="1">IF(Calc!$AM178="","",TEXT($B178,"mmmm yyyy"))</f>
        <v/>
      </c>
      <c r="E178" s="21" t="str">
        <f ca="1">IF(Calc!$AM178="","",INDEX(Roster!$A$6:$A$505,Calc!$AM178)&amp;"")</f>
        <v/>
      </c>
      <c r="F178" s="21" t="str">
        <f ca="1">IF(Calc!$AM178="","",INDEX(Roster!$C$6:$C$505,Calc!$AM178)&amp;"")</f>
        <v/>
      </c>
      <c r="G178" s="19" t="str">
        <f ca="1">IF(Calc!$AM178="","",INDEX(Setup!$C$20:$C$34,Calc!$AN178))</f>
        <v/>
      </c>
      <c r="H178" s="20" t="str">
        <f ca="1">IF(Calc!$AM178="","",INDEX(Calc!$B$6:$P$505,Calc!$AM178,Calc!$AN178))</f>
        <v/>
      </c>
      <c r="I178" s="21" t="str">
        <f ca="1">IF(Calc!$AM178="","",INDEX(Setup!$D$20:$D$34,Calc!$AN178)&amp;"")</f>
        <v/>
      </c>
      <c r="J178" s="21" t="str">
        <f ca="1">IF(Calc!$AM178="","",INDEX(Setup!$E$20:$E$34,Calc!$AN178)&amp;"")</f>
        <v/>
      </c>
      <c r="K178" s="23" t="str">
        <f ca="1">IF(Calc!$AM178="","",INDEX(Setup!$F$20:$F$34,Calc!$AN178))</f>
        <v/>
      </c>
      <c r="L178" s="21" t="str">
        <f ca="1">IF(Calc!$AM178="","",SUBSTITUTE(SUBSTITUTE(SUBSTITUTE(SUBSTITUTE(INDEX(Setup!$H$20:$H$34,Calc!$AN178)&amp;"","{name}",$E178),"{years}",$G178),"{date}",TEXT($H178,"mmmm d, yyyy")),"{company}",Setup!$C$4))</f>
        <v/>
      </c>
      <c r="M178" s="21" t="str">
        <f ca="1">IF(Calc!$AM178="","",SUBSTITUTE(SUBSTITUTE(SUBSTITUTE(SUBSTITUTE(INDEX(Setup!$I$20:$I$34,Calc!$AN178)&amp;"","{name}",$E178),"{years}",$G178),"{date}",TEXT($H178,"mmmm d, yyyy")),"{company}",Setup!$C$4))</f>
        <v/>
      </c>
      <c r="N178" s="21" t="str">
        <f ca="1">IF(Calc!$AM178="","",SUBSTITUTE(SUBSTITUTE(SUBSTITUTE(SUBSTITUTE(INDEX(Setup!$J$20:$J$34,Calc!$AN178)&amp;"","{name}",$E178),"{years}",$G178),"{date}",TEXT($H178,"mmmm d, yyyy")),"{company}",Setup!$C$4))</f>
        <v/>
      </c>
      <c r="O178" s="21" t="str">
        <f ca="1">IF(Calc!$AM178="","",SUBSTITUTE(SUBSTITUTE(SUBSTITUTE(SUBSTITUTE(INDEX(Setup!$K$20:$K$34,Calc!$AN178)&amp;"","{name}",$E178),"{years}",$G178),"{date}",TEXT($H178,"mmmm d, yyyy")),"{company}",Setup!$C$4))</f>
        <v/>
      </c>
      <c r="P178" s="21" t="str">
        <f ca="1">IF(Calc!$AM178="","",SUBSTITUTE(SUBSTITUTE(TRIM(SUBSTITUTE($L178," ","~")&amp;" "&amp;SUBSTITUTE($M178," ","~")&amp;" "&amp;SUBSTITUTE($N178," ","~")&amp;" "&amp;SUBSTITUTE($O178," ","~"))," "," | "),"~"," "))</f>
        <v/>
      </c>
    </row>
    <row r="179" spans="1:16" x14ac:dyDescent="0.2">
      <c r="A179" s="19" t="str">
        <f ca="1">IF(Calc!$AM179="","",ROW()-5)</f>
        <v/>
      </c>
      <c r="B179" s="20" t="str">
        <f ca="1">IF(Calc!$AM179="","",INT(Calc!$AK179))</f>
        <v/>
      </c>
      <c r="C179" s="21" t="str">
        <f ca="1">IF(Calc!$AM179="","",IF($H179&lt;Setup!$C$5,"PAST DUE: milestone date has passed",IF($B179&lt;Setup!$C$5,"LATE: order today, ask about rush",IF($B179&lt;Setup!$C$5+14,"Order within 2 weeks","Scheduled"))))</f>
        <v/>
      </c>
      <c r="D179" s="21" t="str">
        <f ca="1">IF(Calc!$AM179="","",TEXT($B179,"mmmm yyyy"))</f>
        <v/>
      </c>
      <c r="E179" s="21" t="str">
        <f ca="1">IF(Calc!$AM179="","",INDEX(Roster!$A$6:$A$505,Calc!$AM179)&amp;"")</f>
        <v/>
      </c>
      <c r="F179" s="21" t="str">
        <f ca="1">IF(Calc!$AM179="","",INDEX(Roster!$C$6:$C$505,Calc!$AM179)&amp;"")</f>
        <v/>
      </c>
      <c r="G179" s="19" t="str">
        <f ca="1">IF(Calc!$AM179="","",INDEX(Setup!$C$20:$C$34,Calc!$AN179))</f>
        <v/>
      </c>
      <c r="H179" s="20" t="str">
        <f ca="1">IF(Calc!$AM179="","",INDEX(Calc!$B$6:$P$505,Calc!$AM179,Calc!$AN179))</f>
        <v/>
      </c>
      <c r="I179" s="21" t="str">
        <f ca="1">IF(Calc!$AM179="","",INDEX(Setup!$D$20:$D$34,Calc!$AN179)&amp;"")</f>
        <v/>
      </c>
      <c r="J179" s="21" t="str">
        <f ca="1">IF(Calc!$AM179="","",INDEX(Setup!$E$20:$E$34,Calc!$AN179)&amp;"")</f>
        <v/>
      </c>
      <c r="K179" s="23" t="str">
        <f ca="1">IF(Calc!$AM179="","",INDEX(Setup!$F$20:$F$34,Calc!$AN179))</f>
        <v/>
      </c>
      <c r="L179" s="21" t="str">
        <f ca="1">IF(Calc!$AM179="","",SUBSTITUTE(SUBSTITUTE(SUBSTITUTE(SUBSTITUTE(INDEX(Setup!$H$20:$H$34,Calc!$AN179)&amp;"","{name}",$E179),"{years}",$G179),"{date}",TEXT($H179,"mmmm d, yyyy")),"{company}",Setup!$C$4))</f>
        <v/>
      </c>
      <c r="M179" s="21" t="str">
        <f ca="1">IF(Calc!$AM179="","",SUBSTITUTE(SUBSTITUTE(SUBSTITUTE(SUBSTITUTE(INDEX(Setup!$I$20:$I$34,Calc!$AN179)&amp;"","{name}",$E179),"{years}",$G179),"{date}",TEXT($H179,"mmmm d, yyyy")),"{company}",Setup!$C$4))</f>
        <v/>
      </c>
      <c r="N179" s="21" t="str">
        <f ca="1">IF(Calc!$AM179="","",SUBSTITUTE(SUBSTITUTE(SUBSTITUTE(SUBSTITUTE(INDEX(Setup!$J$20:$J$34,Calc!$AN179)&amp;"","{name}",$E179),"{years}",$G179),"{date}",TEXT($H179,"mmmm d, yyyy")),"{company}",Setup!$C$4))</f>
        <v/>
      </c>
      <c r="O179" s="21" t="str">
        <f ca="1">IF(Calc!$AM179="","",SUBSTITUTE(SUBSTITUTE(SUBSTITUTE(SUBSTITUTE(INDEX(Setup!$K$20:$K$34,Calc!$AN179)&amp;"","{name}",$E179),"{years}",$G179),"{date}",TEXT($H179,"mmmm d, yyyy")),"{company}",Setup!$C$4))</f>
        <v/>
      </c>
      <c r="P179" s="21" t="str">
        <f ca="1">IF(Calc!$AM179="","",SUBSTITUTE(SUBSTITUTE(TRIM(SUBSTITUTE($L179," ","~")&amp;" "&amp;SUBSTITUTE($M179," ","~")&amp;" "&amp;SUBSTITUTE($N179," ","~")&amp;" "&amp;SUBSTITUTE($O179," ","~"))," "," | "),"~"," "))</f>
        <v/>
      </c>
    </row>
    <row r="180" spans="1:16" x14ac:dyDescent="0.2">
      <c r="A180" s="19" t="str">
        <f ca="1">IF(Calc!$AM180="","",ROW()-5)</f>
        <v/>
      </c>
      <c r="B180" s="20" t="str">
        <f ca="1">IF(Calc!$AM180="","",INT(Calc!$AK180))</f>
        <v/>
      </c>
      <c r="C180" s="21" t="str">
        <f ca="1">IF(Calc!$AM180="","",IF($H180&lt;Setup!$C$5,"PAST DUE: milestone date has passed",IF($B180&lt;Setup!$C$5,"LATE: order today, ask about rush",IF($B180&lt;Setup!$C$5+14,"Order within 2 weeks","Scheduled"))))</f>
        <v/>
      </c>
      <c r="D180" s="21" t="str">
        <f ca="1">IF(Calc!$AM180="","",TEXT($B180,"mmmm yyyy"))</f>
        <v/>
      </c>
      <c r="E180" s="21" t="str">
        <f ca="1">IF(Calc!$AM180="","",INDEX(Roster!$A$6:$A$505,Calc!$AM180)&amp;"")</f>
        <v/>
      </c>
      <c r="F180" s="21" t="str">
        <f ca="1">IF(Calc!$AM180="","",INDEX(Roster!$C$6:$C$505,Calc!$AM180)&amp;"")</f>
        <v/>
      </c>
      <c r="G180" s="19" t="str">
        <f ca="1">IF(Calc!$AM180="","",INDEX(Setup!$C$20:$C$34,Calc!$AN180))</f>
        <v/>
      </c>
      <c r="H180" s="20" t="str">
        <f ca="1">IF(Calc!$AM180="","",INDEX(Calc!$B$6:$P$505,Calc!$AM180,Calc!$AN180))</f>
        <v/>
      </c>
      <c r="I180" s="21" t="str">
        <f ca="1">IF(Calc!$AM180="","",INDEX(Setup!$D$20:$D$34,Calc!$AN180)&amp;"")</f>
        <v/>
      </c>
      <c r="J180" s="21" t="str">
        <f ca="1">IF(Calc!$AM180="","",INDEX(Setup!$E$20:$E$34,Calc!$AN180)&amp;"")</f>
        <v/>
      </c>
      <c r="K180" s="23" t="str">
        <f ca="1">IF(Calc!$AM180="","",INDEX(Setup!$F$20:$F$34,Calc!$AN180))</f>
        <v/>
      </c>
      <c r="L180" s="21" t="str">
        <f ca="1">IF(Calc!$AM180="","",SUBSTITUTE(SUBSTITUTE(SUBSTITUTE(SUBSTITUTE(INDEX(Setup!$H$20:$H$34,Calc!$AN180)&amp;"","{name}",$E180),"{years}",$G180),"{date}",TEXT($H180,"mmmm d, yyyy")),"{company}",Setup!$C$4))</f>
        <v/>
      </c>
      <c r="M180" s="21" t="str">
        <f ca="1">IF(Calc!$AM180="","",SUBSTITUTE(SUBSTITUTE(SUBSTITUTE(SUBSTITUTE(INDEX(Setup!$I$20:$I$34,Calc!$AN180)&amp;"","{name}",$E180),"{years}",$G180),"{date}",TEXT($H180,"mmmm d, yyyy")),"{company}",Setup!$C$4))</f>
        <v/>
      </c>
      <c r="N180" s="21" t="str">
        <f ca="1">IF(Calc!$AM180="","",SUBSTITUTE(SUBSTITUTE(SUBSTITUTE(SUBSTITUTE(INDEX(Setup!$J$20:$J$34,Calc!$AN180)&amp;"","{name}",$E180),"{years}",$G180),"{date}",TEXT($H180,"mmmm d, yyyy")),"{company}",Setup!$C$4))</f>
        <v/>
      </c>
      <c r="O180" s="21" t="str">
        <f ca="1">IF(Calc!$AM180="","",SUBSTITUTE(SUBSTITUTE(SUBSTITUTE(SUBSTITUTE(INDEX(Setup!$K$20:$K$34,Calc!$AN180)&amp;"","{name}",$E180),"{years}",$G180),"{date}",TEXT($H180,"mmmm d, yyyy")),"{company}",Setup!$C$4))</f>
        <v/>
      </c>
      <c r="P180" s="21" t="str">
        <f ca="1">IF(Calc!$AM180="","",SUBSTITUTE(SUBSTITUTE(TRIM(SUBSTITUTE($L180," ","~")&amp;" "&amp;SUBSTITUTE($M180," ","~")&amp;" "&amp;SUBSTITUTE($N180," ","~")&amp;" "&amp;SUBSTITUTE($O180," ","~"))," "," | "),"~"," "))</f>
        <v/>
      </c>
    </row>
    <row r="181" spans="1:16" x14ac:dyDescent="0.2">
      <c r="A181" s="19" t="str">
        <f ca="1">IF(Calc!$AM181="","",ROW()-5)</f>
        <v/>
      </c>
      <c r="B181" s="20" t="str">
        <f ca="1">IF(Calc!$AM181="","",INT(Calc!$AK181))</f>
        <v/>
      </c>
      <c r="C181" s="21" t="str">
        <f ca="1">IF(Calc!$AM181="","",IF($H181&lt;Setup!$C$5,"PAST DUE: milestone date has passed",IF($B181&lt;Setup!$C$5,"LATE: order today, ask about rush",IF($B181&lt;Setup!$C$5+14,"Order within 2 weeks","Scheduled"))))</f>
        <v/>
      </c>
      <c r="D181" s="21" t="str">
        <f ca="1">IF(Calc!$AM181="","",TEXT($B181,"mmmm yyyy"))</f>
        <v/>
      </c>
      <c r="E181" s="21" t="str">
        <f ca="1">IF(Calc!$AM181="","",INDEX(Roster!$A$6:$A$505,Calc!$AM181)&amp;"")</f>
        <v/>
      </c>
      <c r="F181" s="21" t="str">
        <f ca="1">IF(Calc!$AM181="","",INDEX(Roster!$C$6:$C$505,Calc!$AM181)&amp;"")</f>
        <v/>
      </c>
      <c r="G181" s="19" t="str">
        <f ca="1">IF(Calc!$AM181="","",INDEX(Setup!$C$20:$C$34,Calc!$AN181))</f>
        <v/>
      </c>
      <c r="H181" s="20" t="str">
        <f ca="1">IF(Calc!$AM181="","",INDEX(Calc!$B$6:$P$505,Calc!$AM181,Calc!$AN181))</f>
        <v/>
      </c>
      <c r="I181" s="21" t="str">
        <f ca="1">IF(Calc!$AM181="","",INDEX(Setup!$D$20:$D$34,Calc!$AN181)&amp;"")</f>
        <v/>
      </c>
      <c r="J181" s="21" t="str">
        <f ca="1">IF(Calc!$AM181="","",INDEX(Setup!$E$20:$E$34,Calc!$AN181)&amp;"")</f>
        <v/>
      </c>
      <c r="K181" s="23" t="str">
        <f ca="1">IF(Calc!$AM181="","",INDEX(Setup!$F$20:$F$34,Calc!$AN181))</f>
        <v/>
      </c>
      <c r="L181" s="21" t="str">
        <f ca="1">IF(Calc!$AM181="","",SUBSTITUTE(SUBSTITUTE(SUBSTITUTE(SUBSTITUTE(INDEX(Setup!$H$20:$H$34,Calc!$AN181)&amp;"","{name}",$E181),"{years}",$G181),"{date}",TEXT($H181,"mmmm d, yyyy")),"{company}",Setup!$C$4))</f>
        <v/>
      </c>
      <c r="M181" s="21" t="str">
        <f ca="1">IF(Calc!$AM181="","",SUBSTITUTE(SUBSTITUTE(SUBSTITUTE(SUBSTITUTE(INDEX(Setup!$I$20:$I$34,Calc!$AN181)&amp;"","{name}",$E181),"{years}",$G181),"{date}",TEXT($H181,"mmmm d, yyyy")),"{company}",Setup!$C$4))</f>
        <v/>
      </c>
      <c r="N181" s="21" t="str">
        <f ca="1">IF(Calc!$AM181="","",SUBSTITUTE(SUBSTITUTE(SUBSTITUTE(SUBSTITUTE(INDEX(Setup!$J$20:$J$34,Calc!$AN181)&amp;"","{name}",$E181),"{years}",$G181),"{date}",TEXT($H181,"mmmm d, yyyy")),"{company}",Setup!$C$4))</f>
        <v/>
      </c>
      <c r="O181" s="21" t="str">
        <f ca="1">IF(Calc!$AM181="","",SUBSTITUTE(SUBSTITUTE(SUBSTITUTE(SUBSTITUTE(INDEX(Setup!$K$20:$K$34,Calc!$AN181)&amp;"","{name}",$E181),"{years}",$G181),"{date}",TEXT($H181,"mmmm d, yyyy")),"{company}",Setup!$C$4))</f>
        <v/>
      </c>
      <c r="P181" s="21" t="str">
        <f ca="1">IF(Calc!$AM181="","",SUBSTITUTE(SUBSTITUTE(TRIM(SUBSTITUTE($L181," ","~")&amp;" "&amp;SUBSTITUTE($M181," ","~")&amp;" "&amp;SUBSTITUTE($N181," ","~")&amp;" "&amp;SUBSTITUTE($O181," ","~"))," "," | "),"~"," "))</f>
        <v/>
      </c>
    </row>
    <row r="182" spans="1:16" x14ac:dyDescent="0.2">
      <c r="A182" s="19" t="str">
        <f ca="1">IF(Calc!$AM182="","",ROW()-5)</f>
        <v/>
      </c>
      <c r="B182" s="20" t="str">
        <f ca="1">IF(Calc!$AM182="","",INT(Calc!$AK182))</f>
        <v/>
      </c>
      <c r="C182" s="21" t="str">
        <f ca="1">IF(Calc!$AM182="","",IF($H182&lt;Setup!$C$5,"PAST DUE: milestone date has passed",IF($B182&lt;Setup!$C$5,"LATE: order today, ask about rush",IF($B182&lt;Setup!$C$5+14,"Order within 2 weeks","Scheduled"))))</f>
        <v/>
      </c>
      <c r="D182" s="21" t="str">
        <f ca="1">IF(Calc!$AM182="","",TEXT($B182,"mmmm yyyy"))</f>
        <v/>
      </c>
      <c r="E182" s="21" t="str">
        <f ca="1">IF(Calc!$AM182="","",INDEX(Roster!$A$6:$A$505,Calc!$AM182)&amp;"")</f>
        <v/>
      </c>
      <c r="F182" s="21" t="str">
        <f ca="1">IF(Calc!$AM182="","",INDEX(Roster!$C$6:$C$505,Calc!$AM182)&amp;"")</f>
        <v/>
      </c>
      <c r="G182" s="19" t="str">
        <f ca="1">IF(Calc!$AM182="","",INDEX(Setup!$C$20:$C$34,Calc!$AN182))</f>
        <v/>
      </c>
      <c r="H182" s="20" t="str">
        <f ca="1">IF(Calc!$AM182="","",INDEX(Calc!$B$6:$P$505,Calc!$AM182,Calc!$AN182))</f>
        <v/>
      </c>
      <c r="I182" s="21" t="str">
        <f ca="1">IF(Calc!$AM182="","",INDEX(Setup!$D$20:$D$34,Calc!$AN182)&amp;"")</f>
        <v/>
      </c>
      <c r="J182" s="21" t="str">
        <f ca="1">IF(Calc!$AM182="","",INDEX(Setup!$E$20:$E$34,Calc!$AN182)&amp;"")</f>
        <v/>
      </c>
      <c r="K182" s="23" t="str">
        <f ca="1">IF(Calc!$AM182="","",INDEX(Setup!$F$20:$F$34,Calc!$AN182))</f>
        <v/>
      </c>
      <c r="L182" s="21" t="str">
        <f ca="1">IF(Calc!$AM182="","",SUBSTITUTE(SUBSTITUTE(SUBSTITUTE(SUBSTITUTE(INDEX(Setup!$H$20:$H$34,Calc!$AN182)&amp;"","{name}",$E182),"{years}",$G182),"{date}",TEXT($H182,"mmmm d, yyyy")),"{company}",Setup!$C$4))</f>
        <v/>
      </c>
      <c r="M182" s="21" t="str">
        <f ca="1">IF(Calc!$AM182="","",SUBSTITUTE(SUBSTITUTE(SUBSTITUTE(SUBSTITUTE(INDEX(Setup!$I$20:$I$34,Calc!$AN182)&amp;"","{name}",$E182),"{years}",$G182),"{date}",TEXT($H182,"mmmm d, yyyy")),"{company}",Setup!$C$4))</f>
        <v/>
      </c>
      <c r="N182" s="21" t="str">
        <f ca="1">IF(Calc!$AM182="","",SUBSTITUTE(SUBSTITUTE(SUBSTITUTE(SUBSTITUTE(INDEX(Setup!$J$20:$J$34,Calc!$AN182)&amp;"","{name}",$E182),"{years}",$G182),"{date}",TEXT($H182,"mmmm d, yyyy")),"{company}",Setup!$C$4))</f>
        <v/>
      </c>
      <c r="O182" s="21" t="str">
        <f ca="1">IF(Calc!$AM182="","",SUBSTITUTE(SUBSTITUTE(SUBSTITUTE(SUBSTITUTE(INDEX(Setup!$K$20:$K$34,Calc!$AN182)&amp;"","{name}",$E182),"{years}",$G182),"{date}",TEXT($H182,"mmmm d, yyyy")),"{company}",Setup!$C$4))</f>
        <v/>
      </c>
      <c r="P182" s="21" t="str">
        <f ca="1">IF(Calc!$AM182="","",SUBSTITUTE(SUBSTITUTE(TRIM(SUBSTITUTE($L182," ","~")&amp;" "&amp;SUBSTITUTE($M182," ","~")&amp;" "&amp;SUBSTITUTE($N182," ","~")&amp;" "&amp;SUBSTITUTE($O182," ","~"))," "," | "),"~"," "))</f>
        <v/>
      </c>
    </row>
    <row r="183" spans="1:16" x14ac:dyDescent="0.2">
      <c r="A183" s="19" t="str">
        <f ca="1">IF(Calc!$AM183="","",ROW()-5)</f>
        <v/>
      </c>
      <c r="B183" s="20" t="str">
        <f ca="1">IF(Calc!$AM183="","",INT(Calc!$AK183))</f>
        <v/>
      </c>
      <c r="C183" s="21" t="str">
        <f ca="1">IF(Calc!$AM183="","",IF($H183&lt;Setup!$C$5,"PAST DUE: milestone date has passed",IF($B183&lt;Setup!$C$5,"LATE: order today, ask about rush",IF($B183&lt;Setup!$C$5+14,"Order within 2 weeks","Scheduled"))))</f>
        <v/>
      </c>
      <c r="D183" s="21" t="str">
        <f ca="1">IF(Calc!$AM183="","",TEXT($B183,"mmmm yyyy"))</f>
        <v/>
      </c>
      <c r="E183" s="21" t="str">
        <f ca="1">IF(Calc!$AM183="","",INDEX(Roster!$A$6:$A$505,Calc!$AM183)&amp;"")</f>
        <v/>
      </c>
      <c r="F183" s="21" t="str">
        <f ca="1">IF(Calc!$AM183="","",INDEX(Roster!$C$6:$C$505,Calc!$AM183)&amp;"")</f>
        <v/>
      </c>
      <c r="G183" s="19" t="str">
        <f ca="1">IF(Calc!$AM183="","",INDEX(Setup!$C$20:$C$34,Calc!$AN183))</f>
        <v/>
      </c>
      <c r="H183" s="20" t="str">
        <f ca="1">IF(Calc!$AM183="","",INDEX(Calc!$B$6:$P$505,Calc!$AM183,Calc!$AN183))</f>
        <v/>
      </c>
      <c r="I183" s="21" t="str">
        <f ca="1">IF(Calc!$AM183="","",INDEX(Setup!$D$20:$D$34,Calc!$AN183)&amp;"")</f>
        <v/>
      </c>
      <c r="J183" s="21" t="str">
        <f ca="1">IF(Calc!$AM183="","",INDEX(Setup!$E$20:$E$34,Calc!$AN183)&amp;"")</f>
        <v/>
      </c>
      <c r="K183" s="23" t="str">
        <f ca="1">IF(Calc!$AM183="","",INDEX(Setup!$F$20:$F$34,Calc!$AN183))</f>
        <v/>
      </c>
      <c r="L183" s="21" t="str">
        <f ca="1">IF(Calc!$AM183="","",SUBSTITUTE(SUBSTITUTE(SUBSTITUTE(SUBSTITUTE(INDEX(Setup!$H$20:$H$34,Calc!$AN183)&amp;"","{name}",$E183),"{years}",$G183),"{date}",TEXT($H183,"mmmm d, yyyy")),"{company}",Setup!$C$4))</f>
        <v/>
      </c>
      <c r="M183" s="21" t="str">
        <f ca="1">IF(Calc!$AM183="","",SUBSTITUTE(SUBSTITUTE(SUBSTITUTE(SUBSTITUTE(INDEX(Setup!$I$20:$I$34,Calc!$AN183)&amp;"","{name}",$E183),"{years}",$G183),"{date}",TEXT($H183,"mmmm d, yyyy")),"{company}",Setup!$C$4))</f>
        <v/>
      </c>
      <c r="N183" s="21" t="str">
        <f ca="1">IF(Calc!$AM183="","",SUBSTITUTE(SUBSTITUTE(SUBSTITUTE(SUBSTITUTE(INDEX(Setup!$J$20:$J$34,Calc!$AN183)&amp;"","{name}",$E183),"{years}",$G183),"{date}",TEXT($H183,"mmmm d, yyyy")),"{company}",Setup!$C$4))</f>
        <v/>
      </c>
      <c r="O183" s="21" t="str">
        <f ca="1">IF(Calc!$AM183="","",SUBSTITUTE(SUBSTITUTE(SUBSTITUTE(SUBSTITUTE(INDEX(Setup!$K$20:$K$34,Calc!$AN183)&amp;"","{name}",$E183),"{years}",$G183),"{date}",TEXT($H183,"mmmm d, yyyy")),"{company}",Setup!$C$4))</f>
        <v/>
      </c>
      <c r="P183" s="21" t="str">
        <f ca="1">IF(Calc!$AM183="","",SUBSTITUTE(SUBSTITUTE(TRIM(SUBSTITUTE($L183," ","~")&amp;" "&amp;SUBSTITUTE($M183," ","~")&amp;" "&amp;SUBSTITUTE($N183," ","~")&amp;" "&amp;SUBSTITUTE($O183," ","~"))," "," | "),"~"," "))</f>
        <v/>
      </c>
    </row>
    <row r="184" spans="1:16" x14ac:dyDescent="0.2">
      <c r="A184" s="19" t="str">
        <f ca="1">IF(Calc!$AM184="","",ROW()-5)</f>
        <v/>
      </c>
      <c r="B184" s="20" t="str">
        <f ca="1">IF(Calc!$AM184="","",INT(Calc!$AK184))</f>
        <v/>
      </c>
      <c r="C184" s="21" t="str">
        <f ca="1">IF(Calc!$AM184="","",IF($H184&lt;Setup!$C$5,"PAST DUE: milestone date has passed",IF($B184&lt;Setup!$C$5,"LATE: order today, ask about rush",IF($B184&lt;Setup!$C$5+14,"Order within 2 weeks","Scheduled"))))</f>
        <v/>
      </c>
      <c r="D184" s="21" t="str">
        <f ca="1">IF(Calc!$AM184="","",TEXT($B184,"mmmm yyyy"))</f>
        <v/>
      </c>
      <c r="E184" s="21" t="str">
        <f ca="1">IF(Calc!$AM184="","",INDEX(Roster!$A$6:$A$505,Calc!$AM184)&amp;"")</f>
        <v/>
      </c>
      <c r="F184" s="21" t="str">
        <f ca="1">IF(Calc!$AM184="","",INDEX(Roster!$C$6:$C$505,Calc!$AM184)&amp;"")</f>
        <v/>
      </c>
      <c r="G184" s="19" t="str">
        <f ca="1">IF(Calc!$AM184="","",INDEX(Setup!$C$20:$C$34,Calc!$AN184))</f>
        <v/>
      </c>
      <c r="H184" s="20" t="str">
        <f ca="1">IF(Calc!$AM184="","",INDEX(Calc!$B$6:$P$505,Calc!$AM184,Calc!$AN184))</f>
        <v/>
      </c>
      <c r="I184" s="21" t="str">
        <f ca="1">IF(Calc!$AM184="","",INDEX(Setup!$D$20:$D$34,Calc!$AN184)&amp;"")</f>
        <v/>
      </c>
      <c r="J184" s="21" t="str">
        <f ca="1">IF(Calc!$AM184="","",INDEX(Setup!$E$20:$E$34,Calc!$AN184)&amp;"")</f>
        <v/>
      </c>
      <c r="K184" s="23" t="str">
        <f ca="1">IF(Calc!$AM184="","",INDEX(Setup!$F$20:$F$34,Calc!$AN184))</f>
        <v/>
      </c>
      <c r="L184" s="21" t="str">
        <f ca="1">IF(Calc!$AM184="","",SUBSTITUTE(SUBSTITUTE(SUBSTITUTE(SUBSTITUTE(INDEX(Setup!$H$20:$H$34,Calc!$AN184)&amp;"","{name}",$E184),"{years}",$G184),"{date}",TEXT($H184,"mmmm d, yyyy")),"{company}",Setup!$C$4))</f>
        <v/>
      </c>
      <c r="M184" s="21" t="str">
        <f ca="1">IF(Calc!$AM184="","",SUBSTITUTE(SUBSTITUTE(SUBSTITUTE(SUBSTITUTE(INDEX(Setup!$I$20:$I$34,Calc!$AN184)&amp;"","{name}",$E184),"{years}",$G184),"{date}",TEXT($H184,"mmmm d, yyyy")),"{company}",Setup!$C$4))</f>
        <v/>
      </c>
      <c r="N184" s="21" t="str">
        <f ca="1">IF(Calc!$AM184="","",SUBSTITUTE(SUBSTITUTE(SUBSTITUTE(SUBSTITUTE(INDEX(Setup!$J$20:$J$34,Calc!$AN184)&amp;"","{name}",$E184),"{years}",$G184),"{date}",TEXT($H184,"mmmm d, yyyy")),"{company}",Setup!$C$4))</f>
        <v/>
      </c>
      <c r="O184" s="21" t="str">
        <f ca="1">IF(Calc!$AM184="","",SUBSTITUTE(SUBSTITUTE(SUBSTITUTE(SUBSTITUTE(INDEX(Setup!$K$20:$K$34,Calc!$AN184)&amp;"","{name}",$E184),"{years}",$G184),"{date}",TEXT($H184,"mmmm d, yyyy")),"{company}",Setup!$C$4))</f>
        <v/>
      </c>
      <c r="P184" s="21" t="str">
        <f ca="1">IF(Calc!$AM184="","",SUBSTITUTE(SUBSTITUTE(TRIM(SUBSTITUTE($L184," ","~")&amp;" "&amp;SUBSTITUTE($M184," ","~")&amp;" "&amp;SUBSTITUTE($N184," ","~")&amp;" "&amp;SUBSTITUTE($O184," ","~"))," "," | "),"~"," "))</f>
        <v/>
      </c>
    </row>
    <row r="185" spans="1:16" x14ac:dyDescent="0.2">
      <c r="A185" s="19" t="str">
        <f ca="1">IF(Calc!$AM185="","",ROW()-5)</f>
        <v/>
      </c>
      <c r="B185" s="20" t="str">
        <f ca="1">IF(Calc!$AM185="","",INT(Calc!$AK185))</f>
        <v/>
      </c>
      <c r="C185" s="21" t="str">
        <f ca="1">IF(Calc!$AM185="","",IF($H185&lt;Setup!$C$5,"PAST DUE: milestone date has passed",IF($B185&lt;Setup!$C$5,"LATE: order today, ask about rush",IF($B185&lt;Setup!$C$5+14,"Order within 2 weeks","Scheduled"))))</f>
        <v/>
      </c>
      <c r="D185" s="21" t="str">
        <f ca="1">IF(Calc!$AM185="","",TEXT($B185,"mmmm yyyy"))</f>
        <v/>
      </c>
      <c r="E185" s="21" t="str">
        <f ca="1">IF(Calc!$AM185="","",INDEX(Roster!$A$6:$A$505,Calc!$AM185)&amp;"")</f>
        <v/>
      </c>
      <c r="F185" s="21" t="str">
        <f ca="1">IF(Calc!$AM185="","",INDEX(Roster!$C$6:$C$505,Calc!$AM185)&amp;"")</f>
        <v/>
      </c>
      <c r="G185" s="19" t="str">
        <f ca="1">IF(Calc!$AM185="","",INDEX(Setup!$C$20:$C$34,Calc!$AN185))</f>
        <v/>
      </c>
      <c r="H185" s="20" t="str">
        <f ca="1">IF(Calc!$AM185="","",INDEX(Calc!$B$6:$P$505,Calc!$AM185,Calc!$AN185))</f>
        <v/>
      </c>
      <c r="I185" s="21" t="str">
        <f ca="1">IF(Calc!$AM185="","",INDEX(Setup!$D$20:$D$34,Calc!$AN185)&amp;"")</f>
        <v/>
      </c>
      <c r="J185" s="21" t="str">
        <f ca="1">IF(Calc!$AM185="","",INDEX(Setup!$E$20:$E$34,Calc!$AN185)&amp;"")</f>
        <v/>
      </c>
      <c r="K185" s="23" t="str">
        <f ca="1">IF(Calc!$AM185="","",INDEX(Setup!$F$20:$F$34,Calc!$AN185))</f>
        <v/>
      </c>
      <c r="L185" s="21" t="str">
        <f ca="1">IF(Calc!$AM185="","",SUBSTITUTE(SUBSTITUTE(SUBSTITUTE(SUBSTITUTE(INDEX(Setup!$H$20:$H$34,Calc!$AN185)&amp;"","{name}",$E185),"{years}",$G185),"{date}",TEXT($H185,"mmmm d, yyyy")),"{company}",Setup!$C$4))</f>
        <v/>
      </c>
      <c r="M185" s="21" t="str">
        <f ca="1">IF(Calc!$AM185="","",SUBSTITUTE(SUBSTITUTE(SUBSTITUTE(SUBSTITUTE(INDEX(Setup!$I$20:$I$34,Calc!$AN185)&amp;"","{name}",$E185),"{years}",$G185),"{date}",TEXT($H185,"mmmm d, yyyy")),"{company}",Setup!$C$4))</f>
        <v/>
      </c>
      <c r="N185" s="21" t="str">
        <f ca="1">IF(Calc!$AM185="","",SUBSTITUTE(SUBSTITUTE(SUBSTITUTE(SUBSTITUTE(INDEX(Setup!$J$20:$J$34,Calc!$AN185)&amp;"","{name}",$E185),"{years}",$G185),"{date}",TEXT($H185,"mmmm d, yyyy")),"{company}",Setup!$C$4))</f>
        <v/>
      </c>
      <c r="O185" s="21" t="str">
        <f ca="1">IF(Calc!$AM185="","",SUBSTITUTE(SUBSTITUTE(SUBSTITUTE(SUBSTITUTE(INDEX(Setup!$K$20:$K$34,Calc!$AN185)&amp;"","{name}",$E185),"{years}",$G185),"{date}",TEXT($H185,"mmmm d, yyyy")),"{company}",Setup!$C$4))</f>
        <v/>
      </c>
      <c r="P185" s="21" t="str">
        <f ca="1">IF(Calc!$AM185="","",SUBSTITUTE(SUBSTITUTE(TRIM(SUBSTITUTE($L185," ","~")&amp;" "&amp;SUBSTITUTE($M185," ","~")&amp;" "&amp;SUBSTITUTE($N185," ","~")&amp;" "&amp;SUBSTITUTE($O185," ","~"))," "," | "),"~"," "))</f>
        <v/>
      </c>
    </row>
    <row r="186" spans="1:16" x14ac:dyDescent="0.2">
      <c r="A186" s="19" t="str">
        <f ca="1">IF(Calc!$AM186="","",ROW()-5)</f>
        <v/>
      </c>
      <c r="B186" s="20" t="str">
        <f ca="1">IF(Calc!$AM186="","",INT(Calc!$AK186))</f>
        <v/>
      </c>
      <c r="C186" s="21" t="str">
        <f ca="1">IF(Calc!$AM186="","",IF($H186&lt;Setup!$C$5,"PAST DUE: milestone date has passed",IF($B186&lt;Setup!$C$5,"LATE: order today, ask about rush",IF($B186&lt;Setup!$C$5+14,"Order within 2 weeks","Scheduled"))))</f>
        <v/>
      </c>
      <c r="D186" s="21" t="str">
        <f ca="1">IF(Calc!$AM186="","",TEXT($B186,"mmmm yyyy"))</f>
        <v/>
      </c>
      <c r="E186" s="21" t="str">
        <f ca="1">IF(Calc!$AM186="","",INDEX(Roster!$A$6:$A$505,Calc!$AM186)&amp;"")</f>
        <v/>
      </c>
      <c r="F186" s="21" t="str">
        <f ca="1">IF(Calc!$AM186="","",INDEX(Roster!$C$6:$C$505,Calc!$AM186)&amp;"")</f>
        <v/>
      </c>
      <c r="G186" s="19" t="str">
        <f ca="1">IF(Calc!$AM186="","",INDEX(Setup!$C$20:$C$34,Calc!$AN186))</f>
        <v/>
      </c>
      <c r="H186" s="20" t="str">
        <f ca="1">IF(Calc!$AM186="","",INDEX(Calc!$B$6:$P$505,Calc!$AM186,Calc!$AN186))</f>
        <v/>
      </c>
      <c r="I186" s="21" t="str">
        <f ca="1">IF(Calc!$AM186="","",INDEX(Setup!$D$20:$D$34,Calc!$AN186)&amp;"")</f>
        <v/>
      </c>
      <c r="J186" s="21" t="str">
        <f ca="1">IF(Calc!$AM186="","",INDEX(Setup!$E$20:$E$34,Calc!$AN186)&amp;"")</f>
        <v/>
      </c>
      <c r="K186" s="23" t="str">
        <f ca="1">IF(Calc!$AM186="","",INDEX(Setup!$F$20:$F$34,Calc!$AN186))</f>
        <v/>
      </c>
      <c r="L186" s="21" t="str">
        <f ca="1">IF(Calc!$AM186="","",SUBSTITUTE(SUBSTITUTE(SUBSTITUTE(SUBSTITUTE(INDEX(Setup!$H$20:$H$34,Calc!$AN186)&amp;"","{name}",$E186),"{years}",$G186),"{date}",TEXT($H186,"mmmm d, yyyy")),"{company}",Setup!$C$4))</f>
        <v/>
      </c>
      <c r="M186" s="21" t="str">
        <f ca="1">IF(Calc!$AM186="","",SUBSTITUTE(SUBSTITUTE(SUBSTITUTE(SUBSTITUTE(INDEX(Setup!$I$20:$I$34,Calc!$AN186)&amp;"","{name}",$E186),"{years}",$G186),"{date}",TEXT($H186,"mmmm d, yyyy")),"{company}",Setup!$C$4))</f>
        <v/>
      </c>
      <c r="N186" s="21" t="str">
        <f ca="1">IF(Calc!$AM186="","",SUBSTITUTE(SUBSTITUTE(SUBSTITUTE(SUBSTITUTE(INDEX(Setup!$J$20:$J$34,Calc!$AN186)&amp;"","{name}",$E186),"{years}",$G186),"{date}",TEXT($H186,"mmmm d, yyyy")),"{company}",Setup!$C$4))</f>
        <v/>
      </c>
      <c r="O186" s="21" t="str">
        <f ca="1">IF(Calc!$AM186="","",SUBSTITUTE(SUBSTITUTE(SUBSTITUTE(SUBSTITUTE(INDEX(Setup!$K$20:$K$34,Calc!$AN186)&amp;"","{name}",$E186),"{years}",$G186),"{date}",TEXT($H186,"mmmm d, yyyy")),"{company}",Setup!$C$4))</f>
        <v/>
      </c>
      <c r="P186" s="21" t="str">
        <f ca="1">IF(Calc!$AM186="","",SUBSTITUTE(SUBSTITUTE(TRIM(SUBSTITUTE($L186," ","~")&amp;" "&amp;SUBSTITUTE($M186," ","~")&amp;" "&amp;SUBSTITUTE($N186," ","~")&amp;" "&amp;SUBSTITUTE($O186," ","~"))," "," | "),"~"," "))</f>
        <v/>
      </c>
    </row>
    <row r="187" spans="1:16" x14ac:dyDescent="0.2">
      <c r="A187" s="19" t="str">
        <f ca="1">IF(Calc!$AM187="","",ROW()-5)</f>
        <v/>
      </c>
      <c r="B187" s="20" t="str">
        <f ca="1">IF(Calc!$AM187="","",INT(Calc!$AK187))</f>
        <v/>
      </c>
      <c r="C187" s="21" t="str">
        <f ca="1">IF(Calc!$AM187="","",IF($H187&lt;Setup!$C$5,"PAST DUE: milestone date has passed",IF($B187&lt;Setup!$C$5,"LATE: order today, ask about rush",IF($B187&lt;Setup!$C$5+14,"Order within 2 weeks","Scheduled"))))</f>
        <v/>
      </c>
      <c r="D187" s="21" t="str">
        <f ca="1">IF(Calc!$AM187="","",TEXT($B187,"mmmm yyyy"))</f>
        <v/>
      </c>
      <c r="E187" s="21" t="str">
        <f ca="1">IF(Calc!$AM187="","",INDEX(Roster!$A$6:$A$505,Calc!$AM187)&amp;"")</f>
        <v/>
      </c>
      <c r="F187" s="21" t="str">
        <f ca="1">IF(Calc!$AM187="","",INDEX(Roster!$C$6:$C$505,Calc!$AM187)&amp;"")</f>
        <v/>
      </c>
      <c r="G187" s="19" t="str">
        <f ca="1">IF(Calc!$AM187="","",INDEX(Setup!$C$20:$C$34,Calc!$AN187))</f>
        <v/>
      </c>
      <c r="H187" s="20" t="str">
        <f ca="1">IF(Calc!$AM187="","",INDEX(Calc!$B$6:$P$505,Calc!$AM187,Calc!$AN187))</f>
        <v/>
      </c>
      <c r="I187" s="21" t="str">
        <f ca="1">IF(Calc!$AM187="","",INDEX(Setup!$D$20:$D$34,Calc!$AN187)&amp;"")</f>
        <v/>
      </c>
      <c r="J187" s="21" t="str">
        <f ca="1">IF(Calc!$AM187="","",INDEX(Setup!$E$20:$E$34,Calc!$AN187)&amp;"")</f>
        <v/>
      </c>
      <c r="K187" s="23" t="str">
        <f ca="1">IF(Calc!$AM187="","",INDEX(Setup!$F$20:$F$34,Calc!$AN187))</f>
        <v/>
      </c>
      <c r="L187" s="21" t="str">
        <f ca="1">IF(Calc!$AM187="","",SUBSTITUTE(SUBSTITUTE(SUBSTITUTE(SUBSTITUTE(INDEX(Setup!$H$20:$H$34,Calc!$AN187)&amp;"","{name}",$E187),"{years}",$G187),"{date}",TEXT($H187,"mmmm d, yyyy")),"{company}",Setup!$C$4))</f>
        <v/>
      </c>
      <c r="M187" s="21" t="str">
        <f ca="1">IF(Calc!$AM187="","",SUBSTITUTE(SUBSTITUTE(SUBSTITUTE(SUBSTITUTE(INDEX(Setup!$I$20:$I$34,Calc!$AN187)&amp;"","{name}",$E187),"{years}",$G187),"{date}",TEXT($H187,"mmmm d, yyyy")),"{company}",Setup!$C$4))</f>
        <v/>
      </c>
      <c r="N187" s="21" t="str">
        <f ca="1">IF(Calc!$AM187="","",SUBSTITUTE(SUBSTITUTE(SUBSTITUTE(SUBSTITUTE(INDEX(Setup!$J$20:$J$34,Calc!$AN187)&amp;"","{name}",$E187),"{years}",$G187),"{date}",TEXT($H187,"mmmm d, yyyy")),"{company}",Setup!$C$4))</f>
        <v/>
      </c>
      <c r="O187" s="21" t="str">
        <f ca="1">IF(Calc!$AM187="","",SUBSTITUTE(SUBSTITUTE(SUBSTITUTE(SUBSTITUTE(INDEX(Setup!$K$20:$K$34,Calc!$AN187)&amp;"","{name}",$E187),"{years}",$G187),"{date}",TEXT($H187,"mmmm d, yyyy")),"{company}",Setup!$C$4))</f>
        <v/>
      </c>
      <c r="P187" s="21" t="str">
        <f ca="1">IF(Calc!$AM187="","",SUBSTITUTE(SUBSTITUTE(TRIM(SUBSTITUTE($L187," ","~")&amp;" "&amp;SUBSTITUTE($M187," ","~")&amp;" "&amp;SUBSTITUTE($N187," ","~")&amp;" "&amp;SUBSTITUTE($O187," ","~"))," "," | "),"~"," "))</f>
        <v/>
      </c>
    </row>
    <row r="188" spans="1:16" x14ac:dyDescent="0.2">
      <c r="A188" s="19" t="str">
        <f ca="1">IF(Calc!$AM188="","",ROW()-5)</f>
        <v/>
      </c>
      <c r="B188" s="20" t="str">
        <f ca="1">IF(Calc!$AM188="","",INT(Calc!$AK188))</f>
        <v/>
      </c>
      <c r="C188" s="21" t="str">
        <f ca="1">IF(Calc!$AM188="","",IF($H188&lt;Setup!$C$5,"PAST DUE: milestone date has passed",IF($B188&lt;Setup!$C$5,"LATE: order today, ask about rush",IF($B188&lt;Setup!$C$5+14,"Order within 2 weeks","Scheduled"))))</f>
        <v/>
      </c>
      <c r="D188" s="21" t="str">
        <f ca="1">IF(Calc!$AM188="","",TEXT($B188,"mmmm yyyy"))</f>
        <v/>
      </c>
      <c r="E188" s="21" t="str">
        <f ca="1">IF(Calc!$AM188="","",INDEX(Roster!$A$6:$A$505,Calc!$AM188)&amp;"")</f>
        <v/>
      </c>
      <c r="F188" s="21" t="str">
        <f ca="1">IF(Calc!$AM188="","",INDEX(Roster!$C$6:$C$505,Calc!$AM188)&amp;"")</f>
        <v/>
      </c>
      <c r="G188" s="19" t="str">
        <f ca="1">IF(Calc!$AM188="","",INDEX(Setup!$C$20:$C$34,Calc!$AN188))</f>
        <v/>
      </c>
      <c r="H188" s="20" t="str">
        <f ca="1">IF(Calc!$AM188="","",INDEX(Calc!$B$6:$P$505,Calc!$AM188,Calc!$AN188))</f>
        <v/>
      </c>
      <c r="I188" s="21" t="str">
        <f ca="1">IF(Calc!$AM188="","",INDEX(Setup!$D$20:$D$34,Calc!$AN188)&amp;"")</f>
        <v/>
      </c>
      <c r="J188" s="21" t="str">
        <f ca="1">IF(Calc!$AM188="","",INDEX(Setup!$E$20:$E$34,Calc!$AN188)&amp;"")</f>
        <v/>
      </c>
      <c r="K188" s="23" t="str">
        <f ca="1">IF(Calc!$AM188="","",INDEX(Setup!$F$20:$F$34,Calc!$AN188))</f>
        <v/>
      </c>
      <c r="L188" s="21" t="str">
        <f ca="1">IF(Calc!$AM188="","",SUBSTITUTE(SUBSTITUTE(SUBSTITUTE(SUBSTITUTE(INDEX(Setup!$H$20:$H$34,Calc!$AN188)&amp;"","{name}",$E188),"{years}",$G188),"{date}",TEXT($H188,"mmmm d, yyyy")),"{company}",Setup!$C$4))</f>
        <v/>
      </c>
      <c r="M188" s="21" t="str">
        <f ca="1">IF(Calc!$AM188="","",SUBSTITUTE(SUBSTITUTE(SUBSTITUTE(SUBSTITUTE(INDEX(Setup!$I$20:$I$34,Calc!$AN188)&amp;"","{name}",$E188),"{years}",$G188),"{date}",TEXT($H188,"mmmm d, yyyy")),"{company}",Setup!$C$4))</f>
        <v/>
      </c>
      <c r="N188" s="21" t="str">
        <f ca="1">IF(Calc!$AM188="","",SUBSTITUTE(SUBSTITUTE(SUBSTITUTE(SUBSTITUTE(INDEX(Setup!$J$20:$J$34,Calc!$AN188)&amp;"","{name}",$E188),"{years}",$G188),"{date}",TEXT($H188,"mmmm d, yyyy")),"{company}",Setup!$C$4))</f>
        <v/>
      </c>
      <c r="O188" s="21" t="str">
        <f ca="1">IF(Calc!$AM188="","",SUBSTITUTE(SUBSTITUTE(SUBSTITUTE(SUBSTITUTE(INDEX(Setup!$K$20:$K$34,Calc!$AN188)&amp;"","{name}",$E188),"{years}",$G188),"{date}",TEXT($H188,"mmmm d, yyyy")),"{company}",Setup!$C$4))</f>
        <v/>
      </c>
      <c r="P188" s="21" t="str">
        <f ca="1">IF(Calc!$AM188="","",SUBSTITUTE(SUBSTITUTE(TRIM(SUBSTITUTE($L188," ","~")&amp;" "&amp;SUBSTITUTE($M188," ","~")&amp;" "&amp;SUBSTITUTE($N188," ","~")&amp;" "&amp;SUBSTITUTE($O188," ","~"))," "," | "),"~"," "))</f>
        <v/>
      </c>
    </row>
    <row r="189" spans="1:16" x14ac:dyDescent="0.2">
      <c r="A189" s="19" t="str">
        <f ca="1">IF(Calc!$AM189="","",ROW()-5)</f>
        <v/>
      </c>
      <c r="B189" s="20" t="str">
        <f ca="1">IF(Calc!$AM189="","",INT(Calc!$AK189))</f>
        <v/>
      </c>
      <c r="C189" s="21" t="str">
        <f ca="1">IF(Calc!$AM189="","",IF($H189&lt;Setup!$C$5,"PAST DUE: milestone date has passed",IF($B189&lt;Setup!$C$5,"LATE: order today, ask about rush",IF($B189&lt;Setup!$C$5+14,"Order within 2 weeks","Scheduled"))))</f>
        <v/>
      </c>
      <c r="D189" s="21" t="str">
        <f ca="1">IF(Calc!$AM189="","",TEXT($B189,"mmmm yyyy"))</f>
        <v/>
      </c>
      <c r="E189" s="21" t="str">
        <f ca="1">IF(Calc!$AM189="","",INDEX(Roster!$A$6:$A$505,Calc!$AM189)&amp;"")</f>
        <v/>
      </c>
      <c r="F189" s="21" t="str">
        <f ca="1">IF(Calc!$AM189="","",INDEX(Roster!$C$6:$C$505,Calc!$AM189)&amp;"")</f>
        <v/>
      </c>
      <c r="G189" s="19" t="str">
        <f ca="1">IF(Calc!$AM189="","",INDEX(Setup!$C$20:$C$34,Calc!$AN189))</f>
        <v/>
      </c>
      <c r="H189" s="20" t="str">
        <f ca="1">IF(Calc!$AM189="","",INDEX(Calc!$B$6:$P$505,Calc!$AM189,Calc!$AN189))</f>
        <v/>
      </c>
      <c r="I189" s="21" t="str">
        <f ca="1">IF(Calc!$AM189="","",INDEX(Setup!$D$20:$D$34,Calc!$AN189)&amp;"")</f>
        <v/>
      </c>
      <c r="J189" s="21" t="str">
        <f ca="1">IF(Calc!$AM189="","",INDEX(Setup!$E$20:$E$34,Calc!$AN189)&amp;"")</f>
        <v/>
      </c>
      <c r="K189" s="23" t="str">
        <f ca="1">IF(Calc!$AM189="","",INDEX(Setup!$F$20:$F$34,Calc!$AN189))</f>
        <v/>
      </c>
      <c r="L189" s="21" t="str">
        <f ca="1">IF(Calc!$AM189="","",SUBSTITUTE(SUBSTITUTE(SUBSTITUTE(SUBSTITUTE(INDEX(Setup!$H$20:$H$34,Calc!$AN189)&amp;"","{name}",$E189),"{years}",$G189),"{date}",TEXT($H189,"mmmm d, yyyy")),"{company}",Setup!$C$4))</f>
        <v/>
      </c>
      <c r="M189" s="21" t="str">
        <f ca="1">IF(Calc!$AM189="","",SUBSTITUTE(SUBSTITUTE(SUBSTITUTE(SUBSTITUTE(INDEX(Setup!$I$20:$I$34,Calc!$AN189)&amp;"","{name}",$E189),"{years}",$G189),"{date}",TEXT($H189,"mmmm d, yyyy")),"{company}",Setup!$C$4))</f>
        <v/>
      </c>
      <c r="N189" s="21" t="str">
        <f ca="1">IF(Calc!$AM189="","",SUBSTITUTE(SUBSTITUTE(SUBSTITUTE(SUBSTITUTE(INDEX(Setup!$J$20:$J$34,Calc!$AN189)&amp;"","{name}",$E189),"{years}",$G189),"{date}",TEXT($H189,"mmmm d, yyyy")),"{company}",Setup!$C$4))</f>
        <v/>
      </c>
      <c r="O189" s="21" t="str">
        <f ca="1">IF(Calc!$AM189="","",SUBSTITUTE(SUBSTITUTE(SUBSTITUTE(SUBSTITUTE(INDEX(Setup!$K$20:$K$34,Calc!$AN189)&amp;"","{name}",$E189),"{years}",$G189),"{date}",TEXT($H189,"mmmm d, yyyy")),"{company}",Setup!$C$4))</f>
        <v/>
      </c>
      <c r="P189" s="21" t="str">
        <f ca="1">IF(Calc!$AM189="","",SUBSTITUTE(SUBSTITUTE(TRIM(SUBSTITUTE($L189," ","~")&amp;" "&amp;SUBSTITUTE($M189," ","~")&amp;" "&amp;SUBSTITUTE($N189," ","~")&amp;" "&amp;SUBSTITUTE($O189," ","~"))," "," | "),"~"," "))</f>
        <v/>
      </c>
    </row>
    <row r="190" spans="1:16" x14ac:dyDescent="0.2">
      <c r="A190" s="19" t="str">
        <f ca="1">IF(Calc!$AM190="","",ROW()-5)</f>
        <v/>
      </c>
      <c r="B190" s="20" t="str">
        <f ca="1">IF(Calc!$AM190="","",INT(Calc!$AK190))</f>
        <v/>
      </c>
      <c r="C190" s="21" t="str">
        <f ca="1">IF(Calc!$AM190="","",IF($H190&lt;Setup!$C$5,"PAST DUE: milestone date has passed",IF($B190&lt;Setup!$C$5,"LATE: order today, ask about rush",IF($B190&lt;Setup!$C$5+14,"Order within 2 weeks","Scheduled"))))</f>
        <v/>
      </c>
      <c r="D190" s="21" t="str">
        <f ca="1">IF(Calc!$AM190="","",TEXT($B190,"mmmm yyyy"))</f>
        <v/>
      </c>
      <c r="E190" s="21" t="str">
        <f ca="1">IF(Calc!$AM190="","",INDEX(Roster!$A$6:$A$505,Calc!$AM190)&amp;"")</f>
        <v/>
      </c>
      <c r="F190" s="21" t="str">
        <f ca="1">IF(Calc!$AM190="","",INDEX(Roster!$C$6:$C$505,Calc!$AM190)&amp;"")</f>
        <v/>
      </c>
      <c r="G190" s="19" t="str">
        <f ca="1">IF(Calc!$AM190="","",INDEX(Setup!$C$20:$C$34,Calc!$AN190))</f>
        <v/>
      </c>
      <c r="H190" s="20" t="str">
        <f ca="1">IF(Calc!$AM190="","",INDEX(Calc!$B$6:$P$505,Calc!$AM190,Calc!$AN190))</f>
        <v/>
      </c>
      <c r="I190" s="21" t="str">
        <f ca="1">IF(Calc!$AM190="","",INDEX(Setup!$D$20:$D$34,Calc!$AN190)&amp;"")</f>
        <v/>
      </c>
      <c r="J190" s="21" t="str">
        <f ca="1">IF(Calc!$AM190="","",INDEX(Setup!$E$20:$E$34,Calc!$AN190)&amp;"")</f>
        <v/>
      </c>
      <c r="K190" s="23" t="str">
        <f ca="1">IF(Calc!$AM190="","",INDEX(Setup!$F$20:$F$34,Calc!$AN190))</f>
        <v/>
      </c>
      <c r="L190" s="21" t="str">
        <f ca="1">IF(Calc!$AM190="","",SUBSTITUTE(SUBSTITUTE(SUBSTITUTE(SUBSTITUTE(INDEX(Setup!$H$20:$H$34,Calc!$AN190)&amp;"","{name}",$E190),"{years}",$G190),"{date}",TEXT($H190,"mmmm d, yyyy")),"{company}",Setup!$C$4))</f>
        <v/>
      </c>
      <c r="M190" s="21" t="str">
        <f ca="1">IF(Calc!$AM190="","",SUBSTITUTE(SUBSTITUTE(SUBSTITUTE(SUBSTITUTE(INDEX(Setup!$I$20:$I$34,Calc!$AN190)&amp;"","{name}",$E190),"{years}",$G190),"{date}",TEXT($H190,"mmmm d, yyyy")),"{company}",Setup!$C$4))</f>
        <v/>
      </c>
      <c r="N190" s="21" t="str">
        <f ca="1">IF(Calc!$AM190="","",SUBSTITUTE(SUBSTITUTE(SUBSTITUTE(SUBSTITUTE(INDEX(Setup!$J$20:$J$34,Calc!$AN190)&amp;"","{name}",$E190),"{years}",$G190),"{date}",TEXT($H190,"mmmm d, yyyy")),"{company}",Setup!$C$4))</f>
        <v/>
      </c>
      <c r="O190" s="21" t="str">
        <f ca="1">IF(Calc!$AM190="","",SUBSTITUTE(SUBSTITUTE(SUBSTITUTE(SUBSTITUTE(INDEX(Setup!$K$20:$K$34,Calc!$AN190)&amp;"","{name}",$E190),"{years}",$G190),"{date}",TEXT($H190,"mmmm d, yyyy")),"{company}",Setup!$C$4))</f>
        <v/>
      </c>
      <c r="P190" s="21" t="str">
        <f ca="1">IF(Calc!$AM190="","",SUBSTITUTE(SUBSTITUTE(TRIM(SUBSTITUTE($L190," ","~")&amp;" "&amp;SUBSTITUTE($M190," ","~")&amp;" "&amp;SUBSTITUTE($N190," ","~")&amp;" "&amp;SUBSTITUTE($O190," ","~"))," "," | "),"~"," "))</f>
        <v/>
      </c>
    </row>
    <row r="191" spans="1:16" x14ac:dyDescent="0.2">
      <c r="A191" s="19" t="str">
        <f ca="1">IF(Calc!$AM191="","",ROW()-5)</f>
        <v/>
      </c>
      <c r="B191" s="20" t="str">
        <f ca="1">IF(Calc!$AM191="","",INT(Calc!$AK191))</f>
        <v/>
      </c>
      <c r="C191" s="21" t="str">
        <f ca="1">IF(Calc!$AM191="","",IF($H191&lt;Setup!$C$5,"PAST DUE: milestone date has passed",IF($B191&lt;Setup!$C$5,"LATE: order today, ask about rush",IF($B191&lt;Setup!$C$5+14,"Order within 2 weeks","Scheduled"))))</f>
        <v/>
      </c>
      <c r="D191" s="21" t="str">
        <f ca="1">IF(Calc!$AM191="","",TEXT($B191,"mmmm yyyy"))</f>
        <v/>
      </c>
      <c r="E191" s="21" t="str">
        <f ca="1">IF(Calc!$AM191="","",INDEX(Roster!$A$6:$A$505,Calc!$AM191)&amp;"")</f>
        <v/>
      </c>
      <c r="F191" s="21" t="str">
        <f ca="1">IF(Calc!$AM191="","",INDEX(Roster!$C$6:$C$505,Calc!$AM191)&amp;"")</f>
        <v/>
      </c>
      <c r="G191" s="19" t="str">
        <f ca="1">IF(Calc!$AM191="","",INDEX(Setup!$C$20:$C$34,Calc!$AN191))</f>
        <v/>
      </c>
      <c r="H191" s="20" t="str">
        <f ca="1">IF(Calc!$AM191="","",INDEX(Calc!$B$6:$P$505,Calc!$AM191,Calc!$AN191))</f>
        <v/>
      </c>
      <c r="I191" s="21" t="str">
        <f ca="1">IF(Calc!$AM191="","",INDEX(Setup!$D$20:$D$34,Calc!$AN191)&amp;"")</f>
        <v/>
      </c>
      <c r="J191" s="21" t="str">
        <f ca="1">IF(Calc!$AM191="","",INDEX(Setup!$E$20:$E$34,Calc!$AN191)&amp;"")</f>
        <v/>
      </c>
      <c r="K191" s="23" t="str">
        <f ca="1">IF(Calc!$AM191="","",INDEX(Setup!$F$20:$F$34,Calc!$AN191))</f>
        <v/>
      </c>
      <c r="L191" s="21" t="str">
        <f ca="1">IF(Calc!$AM191="","",SUBSTITUTE(SUBSTITUTE(SUBSTITUTE(SUBSTITUTE(INDEX(Setup!$H$20:$H$34,Calc!$AN191)&amp;"","{name}",$E191),"{years}",$G191),"{date}",TEXT($H191,"mmmm d, yyyy")),"{company}",Setup!$C$4))</f>
        <v/>
      </c>
      <c r="M191" s="21" t="str">
        <f ca="1">IF(Calc!$AM191="","",SUBSTITUTE(SUBSTITUTE(SUBSTITUTE(SUBSTITUTE(INDEX(Setup!$I$20:$I$34,Calc!$AN191)&amp;"","{name}",$E191),"{years}",$G191),"{date}",TEXT($H191,"mmmm d, yyyy")),"{company}",Setup!$C$4))</f>
        <v/>
      </c>
      <c r="N191" s="21" t="str">
        <f ca="1">IF(Calc!$AM191="","",SUBSTITUTE(SUBSTITUTE(SUBSTITUTE(SUBSTITUTE(INDEX(Setup!$J$20:$J$34,Calc!$AN191)&amp;"","{name}",$E191),"{years}",$G191),"{date}",TEXT($H191,"mmmm d, yyyy")),"{company}",Setup!$C$4))</f>
        <v/>
      </c>
      <c r="O191" s="21" t="str">
        <f ca="1">IF(Calc!$AM191="","",SUBSTITUTE(SUBSTITUTE(SUBSTITUTE(SUBSTITUTE(INDEX(Setup!$K$20:$K$34,Calc!$AN191)&amp;"","{name}",$E191),"{years}",$G191),"{date}",TEXT($H191,"mmmm d, yyyy")),"{company}",Setup!$C$4))</f>
        <v/>
      </c>
      <c r="P191" s="21" t="str">
        <f ca="1">IF(Calc!$AM191="","",SUBSTITUTE(SUBSTITUTE(TRIM(SUBSTITUTE($L191," ","~")&amp;" "&amp;SUBSTITUTE($M191," ","~")&amp;" "&amp;SUBSTITUTE($N191," ","~")&amp;" "&amp;SUBSTITUTE($O191," ","~"))," "," | "),"~"," "))</f>
        <v/>
      </c>
    </row>
    <row r="192" spans="1:16" x14ac:dyDescent="0.2">
      <c r="A192" s="19" t="str">
        <f ca="1">IF(Calc!$AM192="","",ROW()-5)</f>
        <v/>
      </c>
      <c r="B192" s="20" t="str">
        <f ca="1">IF(Calc!$AM192="","",INT(Calc!$AK192))</f>
        <v/>
      </c>
      <c r="C192" s="21" t="str">
        <f ca="1">IF(Calc!$AM192="","",IF($H192&lt;Setup!$C$5,"PAST DUE: milestone date has passed",IF($B192&lt;Setup!$C$5,"LATE: order today, ask about rush",IF($B192&lt;Setup!$C$5+14,"Order within 2 weeks","Scheduled"))))</f>
        <v/>
      </c>
      <c r="D192" s="21" t="str">
        <f ca="1">IF(Calc!$AM192="","",TEXT($B192,"mmmm yyyy"))</f>
        <v/>
      </c>
      <c r="E192" s="21" t="str">
        <f ca="1">IF(Calc!$AM192="","",INDEX(Roster!$A$6:$A$505,Calc!$AM192)&amp;"")</f>
        <v/>
      </c>
      <c r="F192" s="21" t="str">
        <f ca="1">IF(Calc!$AM192="","",INDEX(Roster!$C$6:$C$505,Calc!$AM192)&amp;"")</f>
        <v/>
      </c>
      <c r="G192" s="19" t="str">
        <f ca="1">IF(Calc!$AM192="","",INDEX(Setup!$C$20:$C$34,Calc!$AN192))</f>
        <v/>
      </c>
      <c r="H192" s="20" t="str">
        <f ca="1">IF(Calc!$AM192="","",INDEX(Calc!$B$6:$P$505,Calc!$AM192,Calc!$AN192))</f>
        <v/>
      </c>
      <c r="I192" s="21" t="str">
        <f ca="1">IF(Calc!$AM192="","",INDEX(Setup!$D$20:$D$34,Calc!$AN192)&amp;"")</f>
        <v/>
      </c>
      <c r="J192" s="21" t="str">
        <f ca="1">IF(Calc!$AM192="","",INDEX(Setup!$E$20:$E$34,Calc!$AN192)&amp;"")</f>
        <v/>
      </c>
      <c r="K192" s="23" t="str">
        <f ca="1">IF(Calc!$AM192="","",INDEX(Setup!$F$20:$F$34,Calc!$AN192))</f>
        <v/>
      </c>
      <c r="L192" s="21" t="str">
        <f ca="1">IF(Calc!$AM192="","",SUBSTITUTE(SUBSTITUTE(SUBSTITUTE(SUBSTITUTE(INDEX(Setup!$H$20:$H$34,Calc!$AN192)&amp;"","{name}",$E192),"{years}",$G192),"{date}",TEXT($H192,"mmmm d, yyyy")),"{company}",Setup!$C$4))</f>
        <v/>
      </c>
      <c r="M192" s="21" t="str">
        <f ca="1">IF(Calc!$AM192="","",SUBSTITUTE(SUBSTITUTE(SUBSTITUTE(SUBSTITUTE(INDEX(Setup!$I$20:$I$34,Calc!$AN192)&amp;"","{name}",$E192),"{years}",$G192),"{date}",TEXT($H192,"mmmm d, yyyy")),"{company}",Setup!$C$4))</f>
        <v/>
      </c>
      <c r="N192" s="21" t="str">
        <f ca="1">IF(Calc!$AM192="","",SUBSTITUTE(SUBSTITUTE(SUBSTITUTE(SUBSTITUTE(INDEX(Setup!$J$20:$J$34,Calc!$AN192)&amp;"","{name}",$E192),"{years}",$G192),"{date}",TEXT($H192,"mmmm d, yyyy")),"{company}",Setup!$C$4))</f>
        <v/>
      </c>
      <c r="O192" s="21" t="str">
        <f ca="1">IF(Calc!$AM192="","",SUBSTITUTE(SUBSTITUTE(SUBSTITUTE(SUBSTITUTE(INDEX(Setup!$K$20:$K$34,Calc!$AN192)&amp;"","{name}",$E192),"{years}",$G192),"{date}",TEXT($H192,"mmmm d, yyyy")),"{company}",Setup!$C$4))</f>
        <v/>
      </c>
      <c r="P192" s="21" t="str">
        <f ca="1">IF(Calc!$AM192="","",SUBSTITUTE(SUBSTITUTE(TRIM(SUBSTITUTE($L192," ","~")&amp;" "&amp;SUBSTITUTE($M192," ","~")&amp;" "&amp;SUBSTITUTE($N192," ","~")&amp;" "&amp;SUBSTITUTE($O192," ","~"))," "," | "),"~"," "))</f>
        <v/>
      </c>
    </row>
    <row r="193" spans="1:16" x14ac:dyDescent="0.2">
      <c r="A193" s="19" t="str">
        <f ca="1">IF(Calc!$AM193="","",ROW()-5)</f>
        <v/>
      </c>
      <c r="B193" s="20" t="str">
        <f ca="1">IF(Calc!$AM193="","",INT(Calc!$AK193))</f>
        <v/>
      </c>
      <c r="C193" s="21" t="str">
        <f ca="1">IF(Calc!$AM193="","",IF($H193&lt;Setup!$C$5,"PAST DUE: milestone date has passed",IF($B193&lt;Setup!$C$5,"LATE: order today, ask about rush",IF($B193&lt;Setup!$C$5+14,"Order within 2 weeks","Scheduled"))))</f>
        <v/>
      </c>
      <c r="D193" s="21" t="str">
        <f ca="1">IF(Calc!$AM193="","",TEXT($B193,"mmmm yyyy"))</f>
        <v/>
      </c>
      <c r="E193" s="21" t="str">
        <f ca="1">IF(Calc!$AM193="","",INDEX(Roster!$A$6:$A$505,Calc!$AM193)&amp;"")</f>
        <v/>
      </c>
      <c r="F193" s="21" t="str">
        <f ca="1">IF(Calc!$AM193="","",INDEX(Roster!$C$6:$C$505,Calc!$AM193)&amp;"")</f>
        <v/>
      </c>
      <c r="G193" s="19" t="str">
        <f ca="1">IF(Calc!$AM193="","",INDEX(Setup!$C$20:$C$34,Calc!$AN193))</f>
        <v/>
      </c>
      <c r="H193" s="20" t="str">
        <f ca="1">IF(Calc!$AM193="","",INDEX(Calc!$B$6:$P$505,Calc!$AM193,Calc!$AN193))</f>
        <v/>
      </c>
      <c r="I193" s="21" t="str">
        <f ca="1">IF(Calc!$AM193="","",INDEX(Setup!$D$20:$D$34,Calc!$AN193)&amp;"")</f>
        <v/>
      </c>
      <c r="J193" s="21" t="str">
        <f ca="1">IF(Calc!$AM193="","",INDEX(Setup!$E$20:$E$34,Calc!$AN193)&amp;"")</f>
        <v/>
      </c>
      <c r="K193" s="23" t="str">
        <f ca="1">IF(Calc!$AM193="","",INDEX(Setup!$F$20:$F$34,Calc!$AN193))</f>
        <v/>
      </c>
      <c r="L193" s="21" t="str">
        <f ca="1">IF(Calc!$AM193="","",SUBSTITUTE(SUBSTITUTE(SUBSTITUTE(SUBSTITUTE(INDEX(Setup!$H$20:$H$34,Calc!$AN193)&amp;"","{name}",$E193),"{years}",$G193),"{date}",TEXT($H193,"mmmm d, yyyy")),"{company}",Setup!$C$4))</f>
        <v/>
      </c>
      <c r="M193" s="21" t="str">
        <f ca="1">IF(Calc!$AM193="","",SUBSTITUTE(SUBSTITUTE(SUBSTITUTE(SUBSTITUTE(INDEX(Setup!$I$20:$I$34,Calc!$AN193)&amp;"","{name}",$E193),"{years}",$G193),"{date}",TEXT($H193,"mmmm d, yyyy")),"{company}",Setup!$C$4))</f>
        <v/>
      </c>
      <c r="N193" s="21" t="str">
        <f ca="1">IF(Calc!$AM193="","",SUBSTITUTE(SUBSTITUTE(SUBSTITUTE(SUBSTITUTE(INDEX(Setup!$J$20:$J$34,Calc!$AN193)&amp;"","{name}",$E193),"{years}",$G193),"{date}",TEXT($H193,"mmmm d, yyyy")),"{company}",Setup!$C$4))</f>
        <v/>
      </c>
      <c r="O193" s="21" t="str">
        <f ca="1">IF(Calc!$AM193="","",SUBSTITUTE(SUBSTITUTE(SUBSTITUTE(SUBSTITUTE(INDEX(Setup!$K$20:$K$34,Calc!$AN193)&amp;"","{name}",$E193),"{years}",$G193),"{date}",TEXT($H193,"mmmm d, yyyy")),"{company}",Setup!$C$4))</f>
        <v/>
      </c>
      <c r="P193" s="21" t="str">
        <f ca="1">IF(Calc!$AM193="","",SUBSTITUTE(SUBSTITUTE(TRIM(SUBSTITUTE($L193," ","~")&amp;" "&amp;SUBSTITUTE($M193," ","~")&amp;" "&amp;SUBSTITUTE($N193," ","~")&amp;" "&amp;SUBSTITUTE($O193," ","~"))," "," | "),"~"," "))</f>
        <v/>
      </c>
    </row>
    <row r="194" spans="1:16" x14ac:dyDescent="0.2">
      <c r="A194" s="19" t="str">
        <f ca="1">IF(Calc!$AM194="","",ROW()-5)</f>
        <v/>
      </c>
      <c r="B194" s="20" t="str">
        <f ca="1">IF(Calc!$AM194="","",INT(Calc!$AK194))</f>
        <v/>
      </c>
      <c r="C194" s="21" t="str">
        <f ca="1">IF(Calc!$AM194="","",IF($H194&lt;Setup!$C$5,"PAST DUE: milestone date has passed",IF($B194&lt;Setup!$C$5,"LATE: order today, ask about rush",IF($B194&lt;Setup!$C$5+14,"Order within 2 weeks","Scheduled"))))</f>
        <v/>
      </c>
      <c r="D194" s="21" t="str">
        <f ca="1">IF(Calc!$AM194="","",TEXT($B194,"mmmm yyyy"))</f>
        <v/>
      </c>
      <c r="E194" s="21" t="str">
        <f ca="1">IF(Calc!$AM194="","",INDEX(Roster!$A$6:$A$505,Calc!$AM194)&amp;"")</f>
        <v/>
      </c>
      <c r="F194" s="21" t="str">
        <f ca="1">IF(Calc!$AM194="","",INDEX(Roster!$C$6:$C$505,Calc!$AM194)&amp;"")</f>
        <v/>
      </c>
      <c r="G194" s="19" t="str">
        <f ca="1">IF(Calc!$AM194="","",INDEX(Setup!$C$20:$C$34,Calc!$AN194))</f>
        <v/>
      </c>
      <c r="H194" s="20" t="str">
        <f ca="1">IF(Calc!$AM194="","",INDEX(Calc!$B$6:$P$505,Calc!$AM194,Calc!$AN194))</f>
        <v/>
      </c>
      <c r="I194" s="21" t="str">
        <f ca="1">IF(Calc!$AM194="","",INDEX(Setup!$D$20:$D$34,Calc!$AN194)&amp;"")</f>
        <v/>
      </c>
      <c r="J194" s="21" t="str">
        <f ca="1">IF(Calc!$AM194="","",INDEX(Setup!$E$20:$E$34,Calc!$AN194)&amp;"")</f>
        <v/>
      </c>
      <c r="K194" s="23" t="str">
        <f ca="1">IF(Calc!$AM194="","",INDEX(Setup!$F$20:$F$34,Calc!$AN194))</f>
        <v/>
      </c>
      <c r="L194" s="21" t="str">
        <f ca="1">IF(Calc!$AM194="","",SUBSTITUTE(SUBSTITUTE(SUBSTITUTE(SUBSTITUTE(INDEX(Setup!$H$20:$H$34,Calc!$AN194)&amp;"","{name}",$E194),"{years}",$G194),"{date}",TEXT($H194,"mmmm d, yyyy")),"{company}",Setup!$C$4))</f>
        <v/>
      </c>
      <c r="M194" s="21" t="str">
        <f ca="1">IF(Calc!$AM194="","",SUBSTITUTE(SUBSTITUTE(SUBSTITUTE(SUBSTITUTE(INDEX(Setup!$I$20:$I$34,Calc!$AN194)&amp;"","{name}",$E194),"{years}",$G194),"{date}",TEXT($H194,"mmmm d, yyyy")),"{company}",Setup!$C$4))</f>
        <v/>
      </c>
      <c r="N194" s="21" t="str">
        <f ca="1">IF(Calc!$AM194="","",SUBSTITUTE(SUBSTITUTE(SUBSTITUTE(SUBSTITUTE(INDEX(Setup!$J$20:$J$34,Calc!$AN194)&amp;"","{name}",$E194),"{years}",$G194),"{date}",TEXT($H194,"mmmm d, yyyy")),"{company}",Setup!$C$4))</f>
        <v/>
      </c>
      <c r="O194" s="21" t="str">
        <f ca="1">IF(Calc!$AM194="","",SUBSTITUTE(SUBSTITUTE(SUBSTITUTE(SUBSTITUTE(INDEX(Setup!$K$20:$K$34,Calc!$AN194)&amp;"","{name}",$E194),"{years}",$G194),"{date}",TEXT($H194,"mmmm d, yyyy")),"{company}",Setup!$C$4))</f>
        <v/>
      </c>
      <c r="P194" s="21" t="str">
        <f ca="1">IF(Calc!$AM194="","",SUBSTITUTE(SUBSTITUTE(TRIM(SUBSTITUTE($L194," ","~")&amp;" "&amp;SUBSTITUTE($M194," ","~")&amp;" "&amp;SUBSTITUTE($N194," ","~")&amp;" "&amp;SUBSTITUTE($O194," ","~"))," "," | "),"~"," "))</f>
        <v/>
      </c>
    </row>
    <row r="195" spans="1:16" x14ac:dyDescent="0.2">
      <c r="A195" s="19" t="str">
        <f ca="1">IF(Calc!$AM195="","",ROW()-5)</f>
        <v/>
      </c>
      <c r="B195" s="20" t="str">
        <f ca="1">IF(Calc!$AM195="","",INT(Calc!$AK195))</f>
        <v/>
      </c>
      <c r="C195" s="21" t="str">
        <f ca="1">IF(Calc!$AM195="","",IF($H195&lt;Setup!$C$5,"PAST DUE: milestone date has passed",IF($B195&lt;Setup!$C$5,"LATE: order today, ask about rush",IF($B195&lt;Setup!$C$5+14,"Order within 2 weeks","Scheduled"))))</f>
        <v/>
      </c>
      <c r="D195" s="21" t="str">
        <f ca="1">IF(Calc!$AM195="","",TEXT($B195,"mmmm yyyy"))</f>
        <v/>
      </c>
      <c r="E195" s="21" t="str">
        <f ca="1">IF(Calc!$AM195="","",INDEX(Roster!$A$6:$A$505,Calc!$AM195)&amp;"")</f>
        <v/>
      </c>
      <c r="F195" s="21" t="str">
        <f ca="1">IF(Calc!$AM195="","",INDEX(Roster!$C$6:$C$505,Calc!$AM195)&amp;"")</f>
        <v/>
      </c>
      <c r="G195" s="19" t="str">
        <f ca="1">IF(Calc!$AM195="","",INDEX(Setup!$C$20:$C$34,Calc!$AN195))</f>
        <v/>
      </c>
      <c r="H195" s="20" t="str">
        <f ca="1">IF(Calc!$AM195="","",INDEX(Calc!$B$6:$P$505,Calc!$AM195,Calc!$AN195))</f>
        <v/>
      </c>
      <c r="I195" s="21" t="str">
        <f ca="1">IF(Calc!$AM195="","",INDEX(Setup!$D$20:$D$34,Calc!$AN195)&amp;"")</f>
        <v/>
      </c>
      <c r="J195" s="21" t="str">
        <f ca="1">IF(Calc!$AM195="","",INDEX(Setup!$E$20:$E$34,Calc!$AN195)&amp;"")</f>
        <v/>
      </c>
      <c r="K195" s="23" t="str">
        <f ca="1">IF(Calc!$AM195="","",INDEX(Setup!$F$20:$F$34,Calc!$AN195))</f>
        <v/>
      </c>
      <c r="L195" s="21" t="str">
        <f ca="1">IF(Calc!$AM195="","",SUBSTITUTE(SUBSTITUTE(SUBSTITUTE(SUBSTITUTE(INDEX(Setup!$H$20:$H$34,Calc!$AN195)&amp;"","{name}",$E195),"{years}",$G195),"{date}",TEXT($H195,"mmmm d, yyyy")),"{company}",Setup!$C$4))</f>
        <v/>
      </c>
      <c r="M195" s="21" t="str">
        <f ca="1">IF(Calc!$AM195="","",SUBSTITUTE(SUBSTITUTE(SUBSTITUTE(SUBSTITUTE(INDEX(Setup!$I$20:$I$34,Calc!$AN195)&amp;"","{name}",$E195),"{years}",$G195),"{date}",TEXT($H195,"mmmm d, yyyy")),"{company}",Setup!$C$4))</f>
        <v/>
      </c>
      <c r="N195" s="21" t="str">
        <f ca="1">IF(Calc!$AM195="","",SUBSTITUTE(SUBSTITUTE(SUBSTITUTE(SUBSTITUTE(INDEX(Setup!$J$20:$J$34,Calc!$AN195)&amp;"","{name}",$E195),"{years}",$G195),"{date}",TEXT($H195,"mmmm d, yyyy")),"{company}",Setup!$C$4))</f>
        <v/>
      </c>
      <c r="O195" s="21" t="str">
        <f ca="1">IF(Calc!$AM195="","",SUBSTITUTE(SUBSTITUTE(SUBSTITUTE(SUBSTITUTE(INDEX(Setup!$K$20:$K$34,Calc!$AN195)&amp;"","{name}",$E195),"{years}",$G195),"{date}",TEXT($H195,"mmmm d, yyyy")),"{company}",Setup!$C$4))</f>
        <v/>
      </c>
      <c r="P195" s="21" t="str">
        <f ca="1">IF(Calc!$AM195="","",SUBSTITUTE(SUBSTITUTE(TRIM(SUBSTITUTE($L195," ","~")&amp;" "&amp;SUBSTITUTE($M195," ","~")&amp;" "&amp;SUBSTITUTE($N195," ","~")&amp;" "&amp;SUBSTITUTE($O195," ","~"))," "," | "),"~"," "))</f>
        <v/>
      </c>
    </row>
    <row r="196" spans="1:16" x14ac:dyDescent="0.2">
      <c r="A196" s="19" t="str">
        <f ca="1">IF(Calc!$AM196="","",ROW()-5)</f>
        <v/>
      </c>
      <c r="B196" s="20" t="str">
        <f ca="1">IF(Calc!$AM196="","",INT(Calc!$AK196))</f>
        <v/>
      </c>
      <c r="C196" s="21" t="str">
        <f ca="1">IF(Calc!$AM196="","",IF($H196&lt;Setup!$C$5,"PAST DUE: milestone date has passed",IF($B196&lt;Setup!$C$5,"LATE: order today, ask about rush",IF($B196&lt;Setup!$C$5+14,"Order within 2 weeks","Scheduled"))))</f>
        <v/>
      </c>
      <c r="D196" s="21" t="str">
        <f ca="1">IF(Calc!$AM196="","",TEXT($B196,"mmmm yyyy"))</f>
        <v/>
      </c>
      <c r="E196" s="21" t="str">
        <f ca="1">IF(Calc!$AM196="","",INDEX(Roster!$A$6:$A$505,Calc!$AM196)&amp;"")</f>
        <v/>
      </c>
      <c r="F196" s="21" t="str">
        <f ca="1">IF(Calc!$AM196="","",INDEX(Roster!$C$6:$C$505,Calc!$AM196)&amp;"")</f>
        <v/>
      </c>
      <c r="G196" s="19" t="str">
        <f ca="1">IF(Calc!$AM196="","",INDEX(Setup!$C$20:$C$34,Calc!$AN196))</f>
        <v/>
      </c>
      <c r="H196" s="20" t="str">
        <f ca="1">IF(Calc!$AM196="","",INDEX(Calc!$B$6:$P$505,Calc!$AM196,Calc!$AN196))</f>
        <v/>
      </c>
      <c r="I196" s="21" t="str">
        <f ca="1">IF(Calc!$AM196="","",INDEX(Setup!$D$20:$D$34,Calc!$AN196)&amp;"")</f>
        <v/>
      </c>
      <c r="J196" s="21" t="str">
        <f ca="1">IF(Calc!$AM196="","",INDEX(Setup!$E$20:$E$34,Calc!$AN196)&amp;"")</f>
        <v/>
      </c>
      <c r="K196" s="23" t="str">
        <f ca="1">IF(Calc!$AM196="","",INDEX(Setup!$F$20:$F$34,Calc!$AN196))</f>
        <v/>
      </c>
      <c r="L196" s="21" t="str">
        <f ca="1">IF(Calc!$AM196="","",SUBSTITUTE(SUBSTITUTE(SUBSTITUTE(SUBSTITUTE(INDEX(Setup!$H$20:$H$34,Calc!$AN196)&amp;"","{name}",$E196),"{years}",$G196),"{date}",TEXT($H196,"mmmm d, yyyy")),"{company}",Setup!$C$4))</f>
        <v/>
      </c>
      <c r="M196" s="21" t="str">
        <f ca="1">IF(Calc!$AM196="","",SUBSTITUTE(SUBSTITUTE(SUBSTITUTE(SUBSTITUTE(INDEX(Setup!$I$20:$I$34,Calc!$AN196)&amp;"","{name}",$E196),"{years}",$G196),"{date}",TEXT($H196,"mmmm d, yyyy")),"{company}",Setup!$C$4))</f>
        <v/>
      </c>
      <c r="N196" s="21" t="str">
        <f ca="1">IF(Calc!$AM196="","",SUBSTITUTE(SUBSTITUTE(SUBSTITUTE(SUBSTITUTE(INDEX(Setup!$J$20:$J$34,Calc!$AN196)&amp;"","{name}",$E196),"{years}",$G196),"{date}",TEXT($H196,"mmmm d, yyyy")),"{company}",Setup!$C$4))</f>
        <v/>
      </c>
      <c r="O196" s="21" t="str">
        <f ca="1">IF(Calc!$AM196="","",SUBSTITUTE(SUBSTITUTE(SUBSTITUTE(SUBSTITUTE(INDEX(Setup!$K$20:$K$34,Calc!$AN196)&amp;"","{name}",$E196),"{years}",$G196),"{date}",TEXT($H196,"mmmm d, yyyy")),"{company}",Setup!$C$4))</f>
        <v/>
      </c>
      <c r="P196" s="21" t="str">
        <f ca="1">IF(Calc!$AM196="","",SUBSTITUTE(SUBSTITUTE(TRIM(SUBSTITUTE($L196," ","~")&amp;" "&amp;SUBSTITUTE($M196," ","~")&amp;" "&amp;SUBSTITUTE($N196," ","~")&amp;" "&amp;SUBSTITUTE($O196," ","~"))," "," | "),"~"," "))</f>
        <v/>
      </c>
    </row>
    <row r="197" spans="1:16" x14ac:dyDescent="0.2">
      <c r="A197" s="19" t="str">
        <f ca="1">IF(Calc!$AM197="","",ROW()-5)</f>
        <v/>
      </c>
      <c r="B197" s="20" t="str">
        <f ca="1">IF(Calc!$AM197="","",INT(Calc!$AK197))</f>
        <v/>
      </c>
      <c r="C197" s="21" t="str">
        <f ca="1">IF(Calc!$AM197="","",IF($H197&lt;Setup!$C$5,"PAST DUE: milestone date has passed",IF($B197&lt;Setup!$C$5,"LATE: order today, ask about rush",IF($B197&lt;Setup!$C$5+14,"Order within 2 weeks","Scheduled"))))</f>
        <v/>
      </c>
      <c r="D197" s="21" t="str">
        <f ca="1">IF(Calc!$AM197="","",TEXT($B197,"mmmm yyyy"))</f>
        <v/>
      </c>
      <c r="E197" s="21" t="str">
        <f ca="1">IF(Calc!$AM197="","",INDEX(Roster!$A$6:$A$505,Calc!$AM197)&amp;"")</f>
        <v/>
      </c>
      <c r="F197" s="21" t="str">
        <f ca="1">IF(Calc!$AM197="","",INDEX(Roster!$C$6:$C$505,Calc!$AM197)&amp;"")</f>
        <v/>
      </c>
      <c r="G197" s="19" t="str">
        <f ca="1">IF(Calc!$AM197="","",INDEX(Setup!$C$20:$C$34,Calc!$AN197))</f>
        <v/>
      </c>
      <c r="H197" s="20" t="str">
        <f ca="1">IF(Calc!$AM197="","",INDEX(Calc!$B$6:$P$505,Calc!$AM197,Calc!$AN197))</f>
        <v/>
      </c>
      <c r="I197" s="21" t="str">
        <f ca="1">IF(Calc!$AM197="","",INDEX(Setup!$D$20:$D$34,Calc!$AN197)&amp;"")</f>
        <v/>
      </c>
      <c r="J197" s="21" t="str">
        <f ca="1">IF(Calc!$AM197="","",INDEX(Setup!$E$20:$E$34,Calc!$AN197)&amp;"")</f>
        <v/>
      </c>
      <c r="K197" s="23" t="str">
        <f ca="1">IF(Calc!$AM197="","",INDEX(Setup!$F$20:$F$34,Calc!$AN197))</f>
        <v/>
      </c>
      <c r="L197" s="21" t="str">
        <f ca="1">IF(Calc!$AM197="","",SUBSTITUTE(SUBSTITUTE(SUBSTITUTE(SUBSTITUTE(INDEX(Setup!$H$20:$H$34,Calc!$AN197)&amp;"","{name}",$E197),"{years}",$G197),"{date}",TEXT($H197,"mmmm d, yyyy")),"{company}",Setup!$C$4))</f>
        <v/>
      </c>
      <c r="M197" s="21" t="str">
        <f ca="1">IF(Calc!$AM197="","",SUBSTITUTE(SUBSTITUTE(SUBSTITUTE(SUBSTITUTE(INDEX(Setup!$I$20:$I$34,Calc!$AN197)&amp;"","{name}",$E197),"{years}",$G197),"{date}",TEXT($H197,"mmmm d, yyyy")),"{company}",Setup!$C$4))</f>
        <v/>
      </c>
      <c r="N197" s="21" t="str">
        <f ca="1">IF(Calc!$AM197="","",SUBSTITUTE(SUBSTITUTE(SUBSTITUTE(SUBSTITUTE(INDEX(Setup!$J$20:$J$34,Calc!$AN197)&amp;"","{name}",$E197),"{years}",$G197),"{date}",TEXT($H197,"mmmm d, yyyy")),"{company}",Setup!$C$4))</f>
        <v/>
      </c>
      <c r="O197" s="21" t="str">
        <f ca="1">IF(Calc!$AM197="","",SUBSTITUTE(SUBSTITUTE(SUBSTITUTE(SUBSTITUTE(INDEX(Setup!$K$20:$K$34,Calc!$AN197)&amp;"","{name}",$E197),"{years}",$G197),"{date}",TEXT($H197,"mmmm d, yyyy")),"{company}",Setup!$C$4))</f>
        <v/>
      </c>
      <c r="P197" s="21" t="str">
        <f ca="1">IF(Calc!$AM197="","",SUBSTITUTE(SUBSTITUTE(TRIM(SUBSTITUTE($L197," ","~")&amp;" "&amp;SUBSTITUTE($M197," ","~")&amp;" "&amp;SUBSTITUTE($N197," ","~")&amp;" "&amp;SUBSTITUTE($O197," ","~"))," "," | "),"~"," "))</f>
        <v/>
      </c>
    </row>
    <row r="198" spans="1:16" x14ac:dyDescent="0.2">
      <c r="A198" s="19" t="str">
        <f ca="1">IF(Calc!$AM198="","",ROW()-5)</f>
        <v/>
      </c>
      <c r="B198" s="20" t="str">
        <f ca="1">IF(Calc!$AM198="","",INT(Calc!$AK198))</f>
        <v/>
      </c>
      <c r="C198" s="21" t="str">
        <f ca="1">IF(Calc!$AM198="","",IF($H198&lt;Setup!$C$5,"PAST DUE: milestone date has passed",IF($B198&lt;Setup!$C$5,"LATE: order today, ask about rush",IF($B198&lt;Setup!$C$5+14,"Order within 2 weeks","Scheduled"))))</f>
        <v/>
      </c>
      <c r="D198" s="21" t="str">
        <f ca="1">IF(Calc!$AM198="","",TEXT($B198,"mmmm yyyy"))</f>
        <v/>
      </c>
      <c r="E198" s="21" t="str">
        <f ca="1">IF(Calc!$AM198="","",INDEX(Roster!$A$6:$A$505,Calc!$AM198)&amp;"")</f>
        <v/>
      </c>
      <c r="F198" s="21" t="str">
        <f ca="1">IF(Calc!$AM198="","",INDEX(Roster!$C$6:$C$505,Calc!$AM198)&amp;"")</f>
        <v/>
      </c>
      <c r="G198" s="19" t="str">
        <f ca="1">IF(Calc!$AM198="","",INDEX(Setup!$C$20:$C$34,Calc!$AN198))</f>
        <v/>
      </c>
      <c r="H198" s="20" t="str">
        <f ca="1">IF(Calc!$AM198="","",INDEX(Calc!$B$6:$P$505,Calc!$AM198,Calc!$AN198))</f>
        <v/>
      </c>
      <c r="I198" s="21" t="str">
        <f ca="1">IF(Calc!$AM198="","",INDEX(Setup!$D$20:$D$34,Calc!$AN198)&amp;"")</f>
        <v/>
      </c>
      <c r="J198" s="21" t="str">
        <f ca="1">IF(Calc!$AM198="","",INDEX(Setup!$E$20:$E$34,Calc!$AN198)&amp;"")</f>
        <v/>
      </c>
      <c r="K198" s="23" t="str">
        <f ca="1">IF(Calc!$AM198="","",INDEX(Setup!$F$20:$F$34,Calc!$AN198))</f>
        <v/>
      </c>
      <c r="L198" s="21" t="str">
        <f ca="1">IF(Calc!$AM198="","",SUBSTITUTE(SUBSTITUTE(SUBSTITUTE(SUBSTITUTE(INDEX(Setup!$H$20:$H$34,Calc!$AN198)&amp;"","{name}",$E198),"{years}",$G198),"{date}",TEXT($H198,"mmmm d, yyyy")),"{company}",Setup!$C$4))</f>
        <v/>
      </c>
      <c r="M198" s="21" t="str">
        <f ca="1">IF(Calc!$AM198="","",SUBSTITUTE(SUBSTITUTE(SUBSTITUTE(SUBSTITUTE(INDEX(Setup!$I$20:$I$34,Calc!$AN198)&amp;"","{name}",$E198),"{years}",$G198),"{date}",TEXT($H198,"mmmm d, yyyy")),"{company}",Setup!$C$4))</f>
        <v/>
      </c>
      <c r="N198" s="21" t="str">
        <f ca="1">IF(Calc!$AM198="","",SUBSTITUTE(SUBSTITUTE(SUBSTITUTE(SUBSTITUTE(INDEX(Setup!$J$20:$J$34,Calc!$AN198)&amp;"","{name}",$E198),"{years}",$G198),"{date}",TEXT($H198,"mmmm d, yyyy")),"{company}",Setup!$C$4))</f>
        <v/>
      </c>
      <c r="O198" s="21" t="str">
        <f ca="1">IF(Calc!$AM198="","",SUBSTITUTE(SUBSTITUTE(SUBSTITUTE(SUBSTITUTE(INDEX(Setup!$K$20:$K$34,Calc!$AN198)&amp;"","{name}",$E198),"{years}",$G198),"{date}",TEXT($H198,"mmmm d, yyyy")),"{company}",Setup!$C$4))</f>
        <v/>
      </c>
      <c r="P198" s="21" t="str">
        <f ca="1">IF(Calc!$AM198="","",SUBSTITUTE(SUBSTITUTE(TRIM(SUBSTITUTE($L198," ","~")&amp;" "&amp;SUBSTITUTE($M198," ","~")&amp;" "&amp;SUBSTITUTE($N198," ","~")&amp;" "&amp;SUBSTITUTE($O198," ","~"))," "," | "),"~"," "))</f>
        <v/>
      </c>
    </row>
    <row r="199" spans="1:16" x14ac:dyDescent="0.2">
      <c r="A199" s="19" t="str">
        <f ca="1">IF(Calc!$AM199="","",ROW()-5)</f>
        <v/>
      </c>
      <c r="B199" s="20" t="str">
        <f ca="1">IF(Calc!$AM199="","",INT(Calc!$AK199))</f>
        <v/>
      </c>
      <c r="C199" s="21" t="str">
        <f ca="1">IF(Calc!$AM199="","",IF($H199&lt;Setup!$C$5,"PAST DUE: milestone date has passed",IF($B199&lt;Setup!$C$5,"LATE: order today, ask about rush",IF($B199&lt;Setup!$C$5+14,"Order within 2 weeks","Scheduled"))))</f>
        <v/>
      </c>
      <c r="D199" s="21" t="str">
        <f ca="1">IF(Calc!$AM199="","",TEXT($B199,"mmmm yyyy"))</f>
        <v/>
      </c>
      <c r="E199" s="21" t="str">
        <f ca="1">IF(Calc!$AM199="","",INDEX(Roster!$A$6:$A$505,Calc!$AM199)&amp;"")</f>
        <v/>
      </c>
      <c r="F199" s="21" t="str">
        <f ca="1">IF(Calc!$AM199="","",INDEX(Roster!$C$6:$C$505,Calc!$AM199)&amp;"")</f>
        <v/>
      </c>
      <c r="G199" s="19" t="str">
        <f ca="1">IF(Calc!$AM199="","",INDEX(Setup!$C$20:$C$34,Calc!$AN199))</f>
        <v/>
      </c>
      <c r="H199" s="20" t="str">
        <f ca="1">IF(Calc!$AM199="","",INDEX(Calc!$B$6:$P$505,Calc!$AM199,Calc!$AN199))</f>
        <v/>
      </c>
      <c r="I199" s="21" t="str">
        <f ca="1">IF(Calc!$AM199="","",INDEX(Setup!$D$20:$D$34,Calc!$AN199)&amp;"")</f>
        <v/>
      </c>
      <c r="J199" s="21" t="str">
        <f ca="1">IF(Calc!$AM199="","",INDEX(Setup!$E$20:$E$34,Calc!$AN199)&amp;"")</f>
        <v/>
      </c>
      <c r="K199" s="23" t="str">
        <f ca="1">IF(Calc!$AM199="","",INDEX(Setup!$F$20:$F$34,Calc!$AN199))</f>
        <v/>
      </c>
      <c r="L199" s="21" t="str">
        <f ca="1">IF(Calc!$AM199="","",SUBSTITUTE(SUBSTITUTE(SUBSTITUTE(SUBSTITUTE(INDEX(Setup!$H$20:$H$34,Calc!$AN199)&amp;"","{name}",$E199),"{years}",$G199),"{date}",TEXT($H199,"mmmm d, yyyy")),"{company}",Setup!$C$4))</f>
        <v/>
      </c>
      <c r="M199" s="21" t="str">
        <f ca="1">IF(Calc!$AM199="","",SUBSTITUTE(SUBSTITUTE(SUBSTITUTE(SUBSTITUTE(INDEX(Setup!$I$20:$I$34,Calc!$AN199)&amp;"","{name}",$E199),"{years}",$G199),"{date}",TEXT($H199,"mmmm d, yyyy")),"{company}",Setup!$C$4))</f>
        <v/>
      </c>
      <c r="N199" s="21" t="str">
        <f ca="1">IF(Calc!$AM199="","",SUBSTITUTE(SUBSTITUTE(SUBSTITUTE(SUBSTITUTE(INDEX(Setup!$J$20:$J$34,Calc!$AN199)&amp;"","{name}",$E199),"{years}",$G199),"{date}",TEXT($H199,"mmmm d, yyyy")),"{company}",Setup!$C$4))</f>
        <v/>
      </c>
      <c r="O199" s="21" t="str">
        <f ca="1">IF(Calc!$AM199="","",SUBSTITUTE(SUBSTITUTE(SUBSTITUTE(SUBSTITUTE(INDEX(Setup!$K$20:$K$34,Calc!$AN199)&amp;"","{name}",$E199),"{years}",$G199),"{date}",TEXT($H199,"mmmm d, yyyy")),"{company}",Setup!$C$4))</f>
        <v/>
      </c>
      <c r="P199" s="21" t="str">
        <f ca="1">IF(Calc!$AM199="","",SUBSTITUTE(SUBSTITUTE(TRIM(SUBSTITUTE($L199," ","~")&amp;" "&amp;SUBSTITUTE($M199," ","~")&amp;" "&amp;SUBSTITUTE($N199," ","~")&amp;" "&amp;SUBSTITUTE($O199," ","~"))," "," | "),"~"," "))</f>
        <v/>
      </c>
    </row>
    <row r="200" spans="1:16" x14ac:dyDescent="0.2">
      <c r="A200" s="19" t="str">
        <f ca="1">IF(Calc!$AM200="","",ROW()-5)</f>
        <v/>
      </c>
      <c r="B200" s="20" t="str">
        <f ca="1">IF(Calc!$AM200="","",INT(Calc!$AK200))</f>
        <v/>
      </c>
      <c r="C200" s="21" t="str">
        <f ca="1">IF(Calc!$AM200="","",IF($H200&lt;Setup!$C$5,"PAST DUE: milestone date has passed",IF($B200&lt;Setup!$C$5,"LATE: order today, ask about rush",IF($B200&lt;Setup!$C$5+14,"Order within 2 weeks","Scheduled"))))</f>
        <v/>
      </c>
      <c r="D200" s="21" t="str">
        <f ca="1">IF(Calc!$AM200="","",TEXT($B200,"mmmm yyyy"))</f>
        <v/>
      </c>
      <c r="E200" s="21" t="str">
        <f ca="1">IF(Calc!$AM200="","",INDEX(Roster!$A$6:$A$505,Calc!$AM200)&amp;"")</f>
        <v/>
      </c>
      <c r="F200" s="21" t="str">
        <f ca="1">IF(Calc!$AM200="","",INDEX(Roster!$C$6:$C$505,Calc!$AM200)&amp;"")</f>
        <v/>
      </c>
      <c r="G200" s="19" t="str">
        <f ca="1">IF(Calc!$AM200="","",INDEX(Setup!$C$20:$C$34,Calc!$AN200))</f>
        <v/>
      </c>
      <c r="H200" s="20" t="str">
        <f ca="1">IF(Calc!$AM200="","",INDEX(Calc!$B$6:$P$505,Calc!$AM200,Calc!$AN200))</f>
        <v/>
      </c>
      <c r="I200" s="21" t="str">
        <f ca="1">IF(Calc!$AM200="","",INDEX(Setup!$D$20:$D$34,Calc!$AN200)&amp;"")</f>
        <v/>
      </c>
      <c r="J200" s="21" t="str">
        <f ca="1">IF(Calc!$AM200="","",INDEX(Setup!$E$20:$E$34,Calc!$AN200)&amp;"")</f>
        <v/>
      </c>
      <c r="K200" s="23" t="str">
        <f ca="1">IF(Calc!$AM200="","",INDEX(Setup!$F$20:$F$34,Calc!$AN200))</f>
        <v/>
      </c>
      <c r="L200" s="21" t="str">
        <f ca="1">IF(Calc!$AM200="","",SUBSTITUTE(SUBSTITUTE(SUBSTITUTE(SUBSTITUTE(INDEX(Setup!$H$20:$H$34,Calc!$AN200)&amp;"","{name}",$E200),"{years}",$G200),"{date}",TEXT($H200,"mmmm d, yyyy")),"{company}",Setup!$C$4))</f>
        <v/>
      </c>
      <c r="M200" s="21" t="str">
        <f ca="1">IF(Calc!$AM200="","",SUBSTITUTE(SUBSTITUTE(SUBSTITUTE(SUBSTITUTE(INDEX(Setup!$I$20:$I$34,Calc!$AN200)&amp;"","{name}",$E200),"{years}",$G200),"{date}",TEXT($H200,"mmmm d, yyyy")),"{company}",Setup!$C$4))</f>
        <v/>
      </c>
      <c r="N200" s="21" t="str">
        <f ca="1">IF(Calc!$AM200="","",SUBSTITUTE(SUBSTITUTE(SUBSTITUTE(SUBSTITUTE(INDEX(Setup!$J$20:$J$34,Calc!$AN200)&amp;"","{name}",$E200),"{years}",$G200),"{date}",TEXT($H200,"mmmm d, yyyy")),"{company}",Setup!$C$4))</f>
        <v/>
      </c>
      <c r="O200" s="21" t="str">
        <f ca="1">IF(Calc!$AM200="","",SUBSTITUTE(SUBSTITUTE(SUBSTITUTE(SUBSTITUTE(INDEX(Setup!$K$20:$K$34,Calc!$AN200)&amp;"","{name}",$E200),"{years}",$G200),"{date}",TEXT($H200,"mmmm d, yyyy")),"{company}",Setup!$C$4))</f>
        <v/>
      </c>
      <c r="P200" s="21" t="str">
        <f ca="1">IF(Calc!$AM200="","",SUBSTITUTE(SUBSTITUTE(TRIM(SUBSTITUTE($L200," ","~")&amp;" "&amp;SUBSTITUTE($M200," ","~")&amp;" "&amp;SUBSTITUTE($N200," ","~")&amp;" "&amp;SUBSTITUTE($O200," ","~"))," "," | "),"~"," "))</f>
        <v/>
      </c>
    </row>
    <row r="201" spans="1:16" x14ac:dyDescent="0.2">
      <c r="A201" s="19" t="str">
        <f ca="1">IF(Calc!$AM201="","",ROW()-5)</f>
        <v/>
      </c>
      <c r="B201" s="20" t="str">
        <f ca="1">IF(Calc!$AM201="","",INT(Calc!$AK201))</f>
        <v/>
      </c>
      <c r="C201" s="21" t="str">
        <f ca="1">IF(Calc!$AM201="","",IF($H201&lt;Setup!$C$5,"PAST DUE: milestone date has passed",IF($B201&lt;Setup!$C$5,"LATE: order today, ask about rush",IF($B201&lt;Setup!$C$5+14,"Order within 2 weeks","Scheduled"))))</f>
        <v/>
      </c>
      <c r="D201" s="21" t="str">
        <f ca="1">IF(Calc!$AM201="","",TEXT($B201,"mmmm yyyy"))</f>
        <v/>
      </c>
      <c r="E201" s="21" t="str">
        <f ca="1">IF(Calc!$AM201="","",INDEX(Roster!$A$6:$A$505,Calc!$AM201)&amp;"")</f>
        <v/>
      </c>
      <c r="F201" s="21" t="str">
        <f ca="1">IF(Calc!$AM201="","",INDEX(Roster!$C$6:$C$505,Calc!$AM201)&amp;"")</f>
        <v/>
      </c>
      <c r="G201" s="19" t="str">
        <f ca="1">IF(Calc!$AM201="","",INDEX(Setup!$C$20:$C$34,Calc!$AN201))</f>
        <v/>
      </c>
      <c r="H201" s="20" t="str">
        <f ca="1">IF(Calc!$AM201="","",INDEX(Calc!$B$6:$P$505,Calc!$AM201,Calc!$AN201))</f>
        <v/>
      </c>
      <c r="I201" s="21" t="str">
        <f ca="1">IF(Calc!$AM201="","",INDEX(Setup!$D$20:$D$34,Calc!$AN201)&amp;"")</f>
        <v/>
      </c>
      <c r="J201" s="21" t="str">
        <f ca="1">IF(Calc!$AM201="","",INDEX(Setup!$E$20:$E$34,Calc!$AN201)&amp;"")</f>
        <v/>
      </c>
      <c r="K201" s="23" t="str">
        <f ca="1">IF(Calc!$AM201="","",INDEX(Setup!$F$20:$F$34,Calc!$AN201))</f>
        <v/>
      </c>
      <c r="L201" s="21" t="str">
        <f ca="1">IF(Calc!$AM201="","",SUBSTITUTE(SUBSTITUTE(SUBSTITUTE(SUBSTITUTE(INDEX(Setup!$H$20:$H$34,Calc!$AN201)&amp;"","{name}",$E201),"{years}",$G201),"{date}",TEXT($H201,"mmmm d, yyyy")),"{company}",Setup!$C$4))</f>
        <v/>
      </c>
      <c r="M201" s="21" t="str">
        <f ca="1">IF(Calc!$AM201="","",SUBSTITUTE(SUBSTITUTE(SUBSTITUTE(SUBSTITUTE(INDEX(Setup!$I$20:$I$34,Calc!$AN201)&amp;"","{name}",$E201),"{years}",$G201),"{date}",TEXT($H201,"mmmm d, yyyy")),"{company}",Setup!$C$4))</f>
        <v/>
      </c>
      <c r="N201" s="21" t="str">
        <f ca="1">IF(Calc!$AM201="","",SUBSTITUTE(SUBSTITUTE(SUBSTITUTE(SUBSTITUTE(INDEX(Setup!$J$20:$J$34,Calc!$AN201)&amp;"","{name}",$E201),"{years}",$G201),"{date}",TEXT($H201,"mmmm d, yyyy")),"{company}",Setup!$C$4))</f>
        <v/>
      </c>
      <c r="O201" s="21" t="str">
        <f ca="1">IF(Calc!$AM201="","",SUBSTITUTE(SUBSTITUTE(SUBSTITUTE(SUBSTITUTE(INDEX(Setup!$K$20:$K$34,Calc!$AN201)&amp;"","{name}",$E201),"{years}",$G201),"{date}",TEXT($H201,"mmmm d, yyyy")),"{company}",Setup!$C$4))</f>
        <v/>
      </c>
      <c r="P201" s="21" t="str">
        <f ca="1">IF(Calc!$AM201="","",SUBSTITUTE(SUBSTITUTE(TRIM(SUBSTITUTE($L201," ","~")&amp;" "&amp;SUBSTITUTE($M201," ","~")&amp;" "&amp;SUBSTITUTE($N201," ","~")&amp;" "&amp;SUBSTITUTE($O201," ","~"))," "," | "),"~"," "))</f>
        <v/>
      </c>
    </row>
    <row r="202" spans="1:16" x14ac:dyDescent="0.2">
      <c r="A202" s="19" t="str">
        <f ca="1">IF(Calc!$AM202="","",ROW()-5)</f>
        <v/>
      </c>
      <c r="B202" s="20" t="str">
        <f ca="1">IF(Calc!$AM202="","",INT(Calc!$AK202))</f>
        <v/>
      </c>
      <c r="C202" s="21" t="str">
        <f ca="1">IF(Calc!$AM202="","",IF($H202&lt;Setup!$C$5,"PAST DUE: milestone date has passed",IF($B202&lt;Setup!$C$5,"LATE: order today, ask about rush",IF($B202&lt;Setup!$C$5+14,"Order within 2 weeks","Scheduled"))))</f>
        <v/>
      </c>
      <c r="D202" s="21" t="str">
        <f ca="1">IF(Calc!$AM202="","",TEXT($B202,"mmmm yyyy"))</f>
        <v/>
      </c>
      <c r="E202" s="21" t="str">
        <f ca="1">IF(Calc!$AM202="","",INDEX(Roster!$A$6:$A$505,Calc!$AM202)&amp;"")</f>
        <v/>
      </c>
      <c r="F202" s="21" t="str">
        <f ca="1">IF(Calc!$AM202="","",INDEX(Roster!$C$6:$C$505,Calc!$AM202)&amp;"")</f>
        <v/>
      </c>
      <c r="G202" s="19" t="str">
        <f ca="1">IF(Calc!$AM202="","",INDEX(Setup!$C$20:$C$34,Calc!$AN202))</f>
        <v/>
      </c>
      <c r="H202" s="20" t="str">
        <f ca="1">IF(Calc!$AM202="","",INDEX(Calc!$B$6:$P$505,Calc!$AM202,Calc!$AN202))</f>
        <v/>
      </c>
      <c r="I202" s="21" t="str">
        <f ca="1">IF(Calc!$AM202="","",INDEX(Setup!$D$20:$D$34,Calc!$AN202)&amp;"")</f>
        <v/>
      </c>
      <c r="J202" s="21" t="str">
        <f ca="1">IF(Calc!$AM202="","",INDEX(Setup!$E$20:$E$34,Calc!$AN202)&amp;"")</f>
        <v/>
      </c>
      <c r="K202" s="23" t="str">
        <f ca="1">IF(Calc!$AM202="","",INDEX(Setup!$F$20:$F$34,Calc!$AN202))</f>
        <v/>
      </c>
      <c r="L202" s="21" t="str">
        <f ca="1">IF(Calc!$AM202="","",SUBSTITUTE(SUBSTITUTE(SUBSTITUTE(SUBSTITUTE(INDEX(Setup!$H$20:$H$34,Calc!$AN202)&amp;"","{name}",$E202),"{years}",$G202),"{date}",TEXT($H202,"mmmm d, yyyy")),"{company}",Setup!$C$4))</f>
        <v/>
      </c>
      <c r="M202" s="21" t="str">
        <f ca="1">IF(Calc!$AM202="","",SUBSTITUTE(SUBSTITUTE(SUBSTITUTE(SUBSTITUTE(INDEX(Setup!$I$20:$I$34,Calc!$AN202)&amp;"","{name}",$E202),"{years}",$G202),"{date}",TEXT($H202,"mmmm d, yyyy")),"{company}",Setup!$C$4))</f>
        <v/>
      </c>
      <c r="N202" s="21" t="str">
        <f ca="1">IF(Calc!$AM202="","",SUBSTITUTE(SUBSTITUTE(SUBSTITUTE(SUBSTITUTE(INDEX(Setup!$J$20:$J$34,Calc!$AN202)&amp;"","{name}",$E202),"{years}",$G202),"{date}",TEXT($H202,"mmmm d, yyyy")),"{company}",Setup!$C$4))</f>
        <v/>
      </c>
      <c r="O202" s="21" t="str">
        <f ca="1">IF(Calc!$AM202="","",SUBSTITUTE(SUBSTITUTE(SUBSTITUTE(SUBSTITUTE(INDEX(Setup!$K$20:$K$34,Calc!$AN202)&amp;"","{name}",$E202),"{years}",$G202),"{date}",TEXT($H202,"mmmm d, yyyy")),"{company}",Setup!$C$4))</f>
        <v/>
      </c>
      <c r="P202" s="21" t="str">
        <f ca="1">IF(Calc!$AM202="","",SUBSTITUTE(SUBSTITUTE(TRIM(SUBSTITUTE($L202," ","~")&amp;" "&amp;SUBSTITUTE($M202," ","~")&amp;" "&amp;SUBSTITUTE($N202," ","~")&amp;" "&amp;SUBSTITUTE($O202," ","~"))," "," | "),"~"," "))</f>
        <v/>
      </c>
    </row>
    <row r="203" spans="1:16" x14ac:dyDescent="0.2">
      <c r="A203" s="19" t="str">
        <f ca="1">IF(Calc!$AM203="","",ROW()-5)</f>
        <v/>
      </c>
      <c r="B203" s="20" t="str">
        <f ca="1">IF(Calc!$AM203="","",INT(Calc!$AK203))</f>
        <v/>
      </c>
      <c r="C203" s="21" t="str">
        <f ca="1">IF(Calc!$AM203="","",IF($H203&lt;Setup!$C$5,"PAST DUE: milestone date has passed",IF($B203&lt;Setup!$C$5,"LATE: order today, ask about rush",IF($B203&lt;Setup!$C$5+14,"Order within 2 weeks","Scheduled"))))</f>
        <v/>
      </c>
      <c r="D203" s="21" t="str">
        <f ca="1">IF(Calc!$AM203="","",TEXT($B203,"mmmm yyyy"))</f>
        <v/>
      </c>
      <c r="E203" s="21" t="str">
        <f ca="1">IF(Calc!$AM203="","",INDEX(Roster!$A$6:$A$505,Calc!$AM203)&amp;"")</f>
        <v/>
      </c>
      <c r="F203" s="21" t="str">
        <f ca="1">IF(Calc!$AM203="","",INDEX(Roster!$C$6:$C$505,Calc!$AM203)&amp;"")</f>
        <v/>
      </c>
      <c r="G203" s="19" t="str">
        <f ca="1">IF(Calc!$AM203="","",INDEX(Setup!$C$20:$C$34,Calc!$AN203))</f>
        <v/>
      </c>
      <c r="H203" s="20" t="str">
        <f ca="1">IF(Calc!$AM203="","",INDEX(Calc!$B$6:$P$505,Calc!$AM203,Calc!$AN203))</f>
        <v/>
      </c>
      <c r="I203" s="21" t="str">
        <f ca="1">IF(Calc!$AM203="","",INDEX(Setup!$D$20:$D$34,Calc!$AN203)&amp;"")</f>
        <v/>
      </c>
      <c r="J203" s="21" t="str">
        <f ca="1">IF(Calc!$AM203="","",INDEX(Setup!$E$20:$E$34,Calc!$AN203)&amp;"")</f>
        <v/>
      </c>
      <c r="K203" s="23" t="str">
        <f ca="1">IF(Calc!$AM203="","",INDEX(Setup!$F$20:$F$34,Calc!$AN203))</f>
        <v/>
      </c>
      <c r="L203" s="21" t="str">
        <f ca="1">IF(Calc!$AM203="","",SUBSTITUTE(SUBSTITUTE(SUBSTITUTE(SUBSTITUTE(INDEX(Setup!$H$20:$H$34,Calc!$AN203)&amp;"","{name}",$E203),"{years}",$G203),"{date}",TEXT($H203,"mmmm d, yyyy")),"{company}",Setup!$C$4))</f>
        <v/>
      </c>
      <c r="M203" s="21" t="str">
        <f ca="1">IF(Calc!$AM203="","",SUBSTITUTE(SUBSTITUTE(SUBSTITUTE(SUBSTITUTE(INDEX(Setup!$I$20:$I$34,Calc!$AN203)&amp;"","{name}",$E203),"{years}",$G203),"{date}",TEXT($H203,"mmmm d, yyyy")),"{company}",Setup!$C$4))</f>
        <v/>
      </c>
      <c r="N203" s="21" t="str">
        <f ca="1">IF(Calc!$AM203="","",SUBSTITUTE(SUBSTITUTE(SUBSTITUTE(SUBSTITUTE(INDEX(Setup!$J$20:$J$34,Calc!$AN203)&amp;"","{name}",$E203),"{years}",$G203),"{date}",TEXT($H203,"mmmm d, yyyy")),"{company}",Setup!$C$4))</f>
        <v/>
      </c>
      <c r="O203" s="21" t="str">
        <f ca="1">IF(Calc!$AM203="","",SUBSTITUTE(SUBSTITUTE(SUBSTITUTE(SUBSTITUTE(INDEX(Setup!$K$20:$K$34,Calc!$AN203)&amp;"","{name}",$E203),"{years}",$G203),"{date}",TEXT($H203,"mmmm d, yyyy")),"{company}",Setup!$C$4))</f>
        <v/>
      </c>
      <c r="P203" s="21" t="str">
        <f ca="1">IF(Calc!$AM203="","",SUBSTITUTE(SUBSTITUTE(TRIM(SUBSTITUTE($L203," ","~")&amp;" "&amp;SUBSTITUTE($M203," ","~")&amp;" "&amp;SUBSTITUTE($N203," ","~")&amp;" "&amp;SUBSTITUTE($O203," ","~"))," "," | "),"~"," "))</f>
        <v/>
      </c>
    </row>
    <row r="204" spans="1:16" x14ac:dyDescent="0.2">
      <c r="A204" s="19" t="str">
        <f ca="1">IF(Calc!$AM204="","",ROW()-5)</f>
        <v/>
      </c>
      <c r="B204" s="20" t="str">
        <f ca="1">IF(Calc!$AM204="","",INT(Calc!$AK204))</f>
        <v/>
      </c>
      <c r="C204" s="21" t="str">
        <f ca="1">IF(Calc!$AM204="","",IF($H204&lt;Setup!$C$5,"PAST DUE: milestone date has passed",IF($B204&lt;Setup!$C$5,"LATE: order today, ask about rush",IF($B204&lt;Setup!$C$5+14,"Order within 2 weeks","Scheduled"))))</f>
        <v/>
      </c>
      <c r="D204" s="21" t="str">
        <f ca="1">IF(Calc!$AM204="","",TEXT($B204,"mmmm yyyy"))</f>
        <v/>
      </c>
      <c r="E204" s="21" t="str">
        <f ca="1">IF(Calc!$AM204="","",INDEX(Roster!$A$6:$A$505,Calc!$AM204)&amp;"")</f>
        <v/>
      </c>
      <c r="F204" s="21" t="str">
        <f ca="1">IF(Calc!$AM204="","",INDEX(Roster!$C$6:$C$505,Calc!$AM204)&amp;"")</f>
        <v/>
      </c>
      <c r="G204" s="19" t="str">
        <f ca="1">IF(Calc!$AM204="","",INDEX(Setup!$C$20:$C$34,Calc!$AN204))</f>
        <v/>
      </c>
      <c r="H204" s="20" t="str">
        <f ca="1">IF(Calc!$AM204="","",INDEX(Calc!$B$6:$P$505,Calc!$AM204,Calc!$AN204))</f>
        <v/>
      </c>
      <c r="I204" s="21" t="str">
        <f ca="1">IF(Calc!$AM204="","",INDEX(Setup!$D$20:$D$34,Calc!$AN204)&amp;"")</f>
        <v/>
      </c>
      <c r="J204" s="21" t="str">
        <f ca="1">IF(Calc!$AM204="","",INDEX(Setup!$E$20:$E$34,Calc!$AN204)&amp;"")</f>
        <v/>
      </c>
      <c r="K204" s="23" t="str">
        <f ca="1">IF(Calc!$AM204="","",INDEX(Setup!$F$20:$F$34,Calc!$AN204))</f>
        <v/>
      </c>
      <c r="L204" s="21" t="str">
        <f ca="1">IF(Calc!$AM204="","",SUBSTITUTE(SUBSTITUTE(SUBSTITUTE(SUBSTITUTE(INDEX(Setup!$H$20:$H$34,Calc!$AN204)&amp;"","{name}",$E204),"{years}",$G204),"{date}",TEXT($H204,"mmmm d, yyyy")),"{company}",Setup!$C$4))</f>
        <v/>
      </c>
      <c r="M204" s="21" t="str">
        <f ca="1">IF(Calc!$AM204="","",SUBSTITUTE(SUBSTITUTE(SUBSTITUTE(SUBSTITUTE(INDEX(Setup!$I$20:$I$34,Calc!$AN204)&amp;"","{name}",$E204),"{years}",$G204),"{date}",TEXT($H204,"mmmm d, yyyy")),"{company}",Setup!$C$4))</f>
        <v/>
      </c>
      <c r="N204" s="21" t="str">
        <f ca="1">IF(Calc!$AM204="","",SUBSTITUTE(SUBSTITUTE(SUBSTITUTE(SUBSTITUTE(INDEX(Setup!$J$20:$J$34,Calc!$AN204)&amp;"","{name}",$E204),"{years}",$G204),"{date}",TEXT($H204,"mmmm d, yyyy")),"{company}",Setup!$C$4))</f>
        <v/>
      </c>
      <c r="O204" s="21" t="str">
        <f ca="1">IF(Calc!$AM204="","",SUBSTITUTE(SUBSTITUTE(SUBSTITUTE(SUBSTITUTE(INDEX(Setup!$K$20:$K$34,Calc!$AN204)&amp;"","{name}",$E204),"{years}",$G204),"{date}",TEXT($H204,"mmmm d, yyyy")),"{company}",Setup!$C$4))</f>
        <v/>
      </c>
      <c r="P204" s="21" t="str">
        <f ca="1">IF(Calc!$AM204="","",SUBSTITUTE(SUBSTITUTE(TRIM(SUBSTITUTE($L204," ","~")&amp;" "&amp;SUBSTITUTE($M204," ","~")&amp;" "&amp;SUBSTITUTE($N204," ","~")&amp;" "&amp;SUBSTITUTE($O204," ","~"))," "," | "),"~"," "))</f>
        <v/>
      </c>
    </row>
    <row r="205" spans="1:16" x14ac:dyDescent="0.2">
      <c r="A205" s="19" t="str">
        <f ca="1">IF(Calc!$AM205="","",ROW()-5)</f>
        <v/>
      </c>
      <c r="B205" s="20" t="str">
        <f ca="1">IF(Calc!$AM205="","",INT(Calc!$AK205))</f>
        <v/>
      </c>
      <c r="C205" s="21" t="str">
        <f ca="1">IF(Calc!$AM205="","",IF($H205&lt;Setup!$C$5,"PAST DUE: milestone date has passed",IF($B205&lt;Setup!$C$5,"LATE: order today, ask about rush",IF($B205&lt;Setup!$C$5+14,"Order within 2 weeks","Scheduled"))))</f>
        <v/>
      </c>
      <c r="D205" s="21" t="str">
        <f ca="1">IF(Calc!$AM205="","",TEXT($B205,"mmmm yyyy"))</f>
        <v/>
      </c>
      <c r="E205" s="21" t="str">
        <f ca="1">IF(Calc!$AM205="","",INDEX(Roster!$A$6:$A$505,Calc!$AM205)&amp;"")</f>
        <v/>
      </c>
      <c r="F205" s="21" t="str">
        <f ca="1">IF(Calc!$AM205="","",INDEX(Roster!$C$6:$C$505,Calc!$AM205)&amp;"")</f>
        <v/>
      </c>
      <c r="G205" s="19" t="str">
        <f ca="1">IF(Calc!$AM205="","",INDEX(Setup!$C$20:$C$34,Calc!$AN205))</f>
        <v/>
      </c>
      <c r="H205" s="20" t="str">
        <f ca="1">IF(Calc!$AM205="","",INDEX(Calc!$B$6:$P$505,Calc!$AM205,Calc!$AN205))</f>
        <v/>
      </c>
      <c r="I205" s="21" t="str">
        <f ca="1">IF(Calc!$AM205="","",INDEX(Setup!$D$20:$D$34,Calc!$AN205)&amp;"")</f>
        <v/>
      </c>
      <c r="J205" s="21" t="str">
        <f ca="1">IF(Calc!$AM205="","",INDEX(Setup!$E$20:$E$34,Calc!$AN205)&amp;"")</f>
        <v/>
      </c>
      <c r="K205" s="23" t="str">
        <f ca="1">IF(Calc!$AM205="","",INDEX(Setup!$F$20:$F$34,Calc!$AN205))</f>
        <v/>
      </c>
      <c r="L205" s="21" t="str">
        <f ca="1">IF(Calc!$AM205="","",SUBSTITUTE(SUBSTITUTE(SUBSTITUTE(SUBSTITUTE(INDEX(Setup!$H$20:$H$34,Calc!$AN205)&amp;"","{name}",$E205),"{years}",$G205),"{date}",TEXT($H205,"mmmm d, yyyy")),"{company}",Setup!$C$4))</f>
        <v/>
      </c>
      <c r="M205" s="21" t="str">
        <f ca="1">IF(Calc!$AM205="","",SUBSTITUTE(SUBSTITUTE(SUBSTITUTE(SUBSTITUTE(INDEX(Setup!$I$20:$I$34,Calc!$AN205)&amp;"","{name}",$E205),"{years}",$G205),"{date}",TEXT($H205,"mmmm d, yyyy")),"{company}",Setup!$C$4))</f>
        <v/>
      </c>
      <c r="N205" s="21" t="str">
        <f ca="1">IF(Calc!$AM205="","",SUBSTITUTE(SUBSTITUTE(SUBSTITUTE(SUBSTITUTE(INDEX(Setup!$J$20:$J$34,Calc!$AN205)&amp;"","{name}",$E205),"{years}",$G205),"{date}",TEXT($H205,"mmmm d, yyyy")),"{company}",Setup!$C$4))</f>
        <v/>
      </c>
      <c r="O205" s="21" t="str">
        <f ca="1">IF(Calc!$AM205="","",SUBSTITUTE(SUBSTITUTE(SUBSTITUTE(SUBSTITUTE(INDEX(Setup!$K$20:$K$34,Calc!$AN205)&amp;"","{name}",$E205),"{years}",$G205),"{date}",TEXT($H205,"mmmm d, yyyy")),"{company}",Setup!$C$4))</f>
        <v/>
      </c>
      <c r="P205" s="21" t="str">
        <f ca="1">IF(Calc!$AM205="","",SUBSTITUTE(SUBSTITUTE(TRIM(SUBSTITUTE($L205," ","~")&amp;" "&amp;SUBSTITUTE($M205," ","~")&amp;" "&amp;SUBSTITUTE($N205," ","~")&amp;" "&amp;SUBSTITUTE($O205," ","~"))," "," | "),"~"," "))</f>
        <v/>
      </c>
    </row>
    <row r="206" spans="1:16" x14ac:dyDescent="0.2">
      <c r="A206" s="19" t="str">
        <f ca="1">IF(Calc!$AM206="","",ROW()-5)</f>
        <v/>
      </c>
      <c r="B206" s="20" t="str">
        <f ca="1">IF(Calc!$AM206="","",INT(Calc!$AK206))</f>
        <v/>
      </c>
      <c r="C206" s="21" t="str">
        <f ca="1">IF(Calc!$AM206="","",IF($H206&lt;Setup!$C$5,"PAST DUE: milestone date has passed",IF($B206&lt;Setup!$C$5,"LATE: order today, ask about rush",IF($B206&lt;Setup!$C$5+14,"Order within 2 weeks","Scheduled"))))</f>
        <v/>
      </c>
      <c r="D206" s="21" t="str">
        <f ca="1">IF(Calc!$AM206="","",TEXT($B206,"mmmm yyyy"))</f>
        <v/>
      </c>
      <c r="E206" s="21" t="str">
        <f ca="1">IF(Calc!$AM206="","",INDEX(Roster!$A$6:$A$505,Calc!$AM206)&amp;"")</f>
        <v/>
      </c>
      <c r="F206" s="21" t="str">
        <f ca="1">IF(Calc!$AM206="","",INDEX(Roster!$C$6:$C$505,Calc!$AM206)&amp;"")</f>
        <v/>
      </c>
      <c r="G206" s="19" t="str">
        <f ca="1">IF(Calc!$AM206="","",INDEX(Setup!$C$20:$C$34,Calc!$AN206))</f>
        <v/>
      </c>
      <c r="H206" s="20" t="str">
        <f ca="1">IF(Calc!$AM206="","",INDEX(Calc!$B$6:$P$505,Calc!$AM206,Calc!$AN206))</f>
        <v/>
      </c>
      <c r="I206" s="21" t="str">
        <f ca="1">IF(Calc!$AM206="","",INDEX(Setup!$D$20:$D$34,Calc!$AN206)&amp;"")</f>
        <v/>
      </c>
      <c r="J206" s="21" t="str">
        <f ca="1">IF(Calc!$AM206="","",INDEX(Setup!$E$20:$E$34,Calc!$AN206)&amp;"")</f>
        <v/>
      </c>
      <c r="K206" s="23" t="str">
        <f ca="1">IF(Calc!$AM206="","",INDEX(Setup!$F$20:$F$34,Calc!$AN206))</f>
        <v/>
      </c>
      <c r="L206" s="21" t="str">
        <f ca="1">IF(Calc!$AM206="","",SUBSTITUTE(SUBSTITUTE(SUBSTITUTE(SUBSTITUTE(INDEX(Setup!$H$20:$H$34,Calc!$AN206)&amp;"","{name}",$E206),"{years}",$G206),"{date}",TEXT($H206,"mmmm d, yyyy")),"{company}",Setup!$C$4))</f>
        <v/>
      </c>
      <c r="M206" s="21" t="str">
        <f ca="1">IF(Calc!$AM206="","",SUBSTITUTE(SUBSTITUTE(SUBSTITUTE(SUBSTITUTE(INDEX(Setup!$I$20:$I$34,Calc!$AN206)&amp;"","{name}",$E206),"{years}",$G206),"{date}",TEXT($H206,"mmmm d, yyyy")),"{company}",Setup!$C$4))</f>
        <v/>
      </c>
      <c r="N206" s="21" t="str">
        <f ca="1">IF(Calc!$AM206="","",SUBSTITUTE(SUBSTITUTE(SUBSTITUTE(SUBSTITUTE(INDEX(Setup!$J$20:$J$34,Calc!$AN206)&amp;"","{name}",$E206),"{years}",$G206),"{date}",TEXT($H206,"mmmm d, yyyy")),"{company}",Setup!$C$4))</f>
        <v/>
      </c>
      <c r="O206" s="21" t="str">
        <f ca="1">IF(Calc!$AM206="","",SUBSTITUTE(SUBSTITUTE(SUBSTITUTE(SUBSTITUTE(INDEX(Setup!$K$20:$K$34,Calc!$AN206)&amp;"","{name}",$E206),"{years}",$G206),"{date}",TEXT($H206,"mmmm d, yyyy")),"{company}",Setup!$C$4))</f>
        <v/>
      </c>
      <c r="P206" s="21" t="str">
        <f ca="1">IF(Calc!$AM206="","",SUBSTITUTE(SUBSTITUTE(TRIM(SUBSTITUTE($L206," ","~")&amp;" "&amp;SUBSTITUTE($M206," ","~")&amp;" "&amp;SUBSTITUTE($N206," ","~")&amp;" "&amp;SUBSTITUTE($O206," ","~"))," "," | "),"~"," "))</f>
        <v/>
      </c>
    </row>
    <row r="207" spans="1:16" x14ac:dyDescent="0.2">
      <c r="A207" s="19" t="str">
        <f ca="1">IF(Calc!$AM207="","",ROW()-5)</f>
        <v/>
      </c>
      <c r="B207" s="20" t="str">
        <f ca="1">IF(Calc!$AM207="","",INT(Calc!$AK207))</f>
        <v/>
      </c>
      <c r="C207" s="21" t="str">
        <f ca="1">IF(Calc!$AM207="","",IF($H207&lt;Setup!$C$5,"PAST DUE: milestone date has passed",IF($B207&lt;Setup!$C$5,"LATE: order today, ask about rush",IF($B207&lt;Setup!$C$5+14,"Order within 2 weeks","Scheduled"))))</f>
        <v/>
      </c>
      <c r="D207" s="21" t="str">
        <f ca="1">IF(Calc!$AM207="","",TEXT($B207,"mmmm yyyy"))</f>
        <v/>
      </c>
      <c r="E207" s="21" t="str">
        <f ca="1">IF(Calc!$AM207="","",INDEX(Roster!$A$6:$A$505,Calc!$AM207)&amp;"")</f>
        <v/>
      </c>
      <c r="F207" s="21" t="str">
        <f ca="1">IF(Calc!$AM207="","",INDEX(Roster!$C$6:$C$505,Calc!$AM207)&amp;"")</f>
        <v/>
      </c>
      <c r="G207" s="19" t="str">
        <f ca="1">IF(Calc!$AM207="","",INDEX(Setup!$C$20:$C$34,Calc!$AN207))</f>
        <v/>
      </c>
      <c r="H207" s="20" t="str">
        <f ca="1">IF(Calc!$AM207="","",INDEX(Calc!$B$6:$P$505,Calc!$AM207,Calc!$AN207))</f>
        <v/>
      </c>
      <c r="I207" s="21" t="str">
        <f ca="1">IF(Calc!$AM207="","",INDEX(Setup!$D$20:$D$34,Calc!$AN207)&amp;"")</f>
        <v/>
      </c>
      <c r="J207" s="21" t="str">
        <f ca="1">IF(Calc!$AM207="","",INDEX(Setup!$E$20:$E$34,Calc!$AN207)&amp;"")</f>
        <v/>
      </c>
      <c r="K207" s="23" t="str">
        <f ca="1">IF(Calc!$AM207="","",INDEX(Setup!$F$20:$F$34,Calc!$AN207))</f>
        <v/>
      </c>
      <c r="L207" s="21" t="str">
        <f ca="1">IF(Calc!$AM207="","",SUBSTITUTE(SUBSTITUTE(SUBSTITUTE(SUBSTITUTE(INDEX(Setup!$H$20:$H$34,Calc!$AN207)&amp;"","{name}",$E207),"{years}",$G207),"{date}",TEXT($H207,"mmmm d, yyyy")),"{company}",Setup!$C$4))</f>
        <v/>
      </c>
      <c r="M207" s="21" t="str">
        <f ca="1">IF(Calc!$AM207="","",SUBSTITUTE(SUBSTITUTE(SUBSTITUTE(SUBSTITUTE(INDEX(Setup!$I$20:$I$34,Calc!$AN207)&amp;"","{name}",$E207),"{years}",$G207),"{date}",TEXT($H207,"mmmm d, yyyy")),"{company}",Setup!$C$4))</f>
        <v/>
      </c>
      <c r="N207" s="21" t="str">
        <f ca="1">IF(Calc!$AM207="","",SUBSTITUTE(SUBSTITUTE(SUBSTITUTE(SUBSTITUTE(INDEX(Setup!$J$20:$J$34,Calc!$AN207)&amp;"","{name}",$E207),"{years}",$G207),"{date}",TEXT($H207,"mmmm d, yyyy")),"{company}",Setup!$C$4))</f>
        <v/>
      </c>
      <c r="O207" s="21" t="str">
        <f ca="1">IF(Calc!$AM207="","",SUBSTITUTE(SUBSTITUTE(SUBSTITUTE(SUBSTITUTE(INDEX(Setup!$K$20:$K$34,Calc!$AN207)&amp;"","{name}",$E207),"{years}",$G207),"{date}",TEXT($H207,"mmmm d, yyyy")),"{company}",Setup!$C$4))</f>
        <v/>
      </c>
      <c r="P207" s="21" t="str">
        <f ca="1">IF(Calc!$AM207="","",SUBSTITUTE(SUBSTITUTE(TRIM(SUBSTITUTE($L207," ","~")&amp;" "&amp;SUBSTITUTE($M207," ","~")&amp;" "&amp;SUBSTITUTE($N207," ","~")&amp;" "&amp;SUBSTITUTE($O207," ","~"))," "," | "),"~"," "))</f>
        <v/>
      </c>
    </row>
    <row r="208" spans="1:16" x14ac:dyDescent="0.2">
      <c r="A208" s="19" t="str">
        <f ca="1">IF(Calc!$AM208="","",ROW()-5)</f>
        <v/>
      </c>
      <c r="B208" s="20" t="str">
        <f ca="1">IF(Calc!$AM208="","",INT(Calc!$AK208))</f>
        <v/>
      </c>
      <c r="C208" s="21" t="str">
        <f ca="1">IF(Calc!$AM208="","",IF($H208&lt;Setup!$C$5,"PAST DUE: milestone date has passed",IF($B208&lt;Setup!$C$5,"LATE: order today, ask about rush",IF($B208&lt;Setup!$C$5+14,"Order within 2 weeks","Scheduled"))))</f>
        <v/>
      </c>
      <c r="D208" s="21" t="str">
        <f ca="1">IF(Calc!$AM208="","",TEXT($B208,"mmmm yyyy"))</f>
        <v/>
      </c>
      <c r="E208" s="21" t="str">
        <f ca="1">IF(Calc!$AM208="","",INDEX(Roster!$A$6:$A$505,Calc!$AM208)&amp;"")</f>
        <v/>
      </c>
      <c r="F208" s="21" t="str">
        <f ca="1">IF(Calc!$AM208="","",INDEX(Roster!$C$6:$C$505,Calc!$AM208)&amp;"")</f>
        <v/>
      </c>
      <c r="G208" s="19" t="str">
        <f ca="1">IF(Calc!$AM208="","",INDEX(Setup!$C$20:$C$34,Calc!$AN208))</f>
        <v/>
      </c>
      <c r="H208" s="20" t="str">
        <f ca="1">IF(Calc!$AM208="","",INDEX(Calc!$B$6:$P$505,Calc!$AM208,Calc!$AN208))</f>
        <v/>
      </c>
      <c r="I208" s="21" t="str">
        <f ca="1">IF(Calc!$AM208="","",INDEX(Setup!$D$20:$D$34,Calc!$AN208)&amp;"")</f>
        <v/>
      </c>
      <c r="J208" s="21" t="str">
        <f ca="1">IF(Calc!$AM208="","",INDEX(Setup!$E$20:$E$34,Calc!$AN208)&amp;"")</f>
        <v/>
      </c>
      <c r="K208" s="23" t="str">
        <f ca="1">IF(Calc!$AM208="","",INDEX(Setup!$F$20:$F$34,Calc!$AN208))</f>
        <v/>
      </c>
      <c r="L208" s="21" t="str">
        <f ca="1">IF(Calc!$AM208="","",SUBSTITUTE(SUBSTITUTE(SUBSTITUTE(SUBSTITUTE(INDEX(Setup!$H$20:$H$34,Calc!$AN208)&amp;"","{name}",$E208),"{years}",$G208),"{date}",TEXT($H208,"mmmm d, yyyy")),"{company}",Setup!$C$4))</f>
        <v/>
      </c>
      <c r="M208" s="21" t="str">
        <f ca="1">IF(Calc!$AM208="","",SUBSTITUTE(SUBSTITUTE(SUBSTITUTE(SUBSTITUTE(INDEX(Setup!$I$20:$I$34,Calc!$AN208)&amp;"","{name}",$E208),"{years}",$G208),"{date}",TEXT($H208,"mmmm d, yyyy")),"{company}",Setup!$C$4))</f>
        <v/>
      </c>
      <c r="N208" s="21" t="str">
        <f ca="1">IF(Calc!$AM208="","",SUBSTITUTE(SUBSTITUTE(SUBSTITUTE(SUBSTITUTE(INDEX(Setup!$J$20:$J$34,Calc!$AN208)&amp;"","{name}",$E208),"{years}",$G208),"{date}",TEXT($H208,"mmmm d, yyyy")),"{company}",Setup!$C$4))</f>
        <v/>
      </c>
      <c r="O208" s="21" t="str">
        <f ca="1">IF(Calc!$AM208="","",SUBSTITUTE(SUBSTITUTE(SUBSTITUTE(SUBSTITUTE(INDEX(Setup!$K$20:$K$34,Calc!$AN208)&amp;"","{name}",$E208),"{years}",$G208),"{date}",TEXT($H208,"mmmm d, yyyy")),"{company}",Setup!$C$4))</f>
        <v/>
      </c>
      <c r="P208" s="21" t="str">
        <f ca="1">IF(Calc!$AM208="","",SUBSTITUTE(SUBSTITUTE(TRIM(SUBSTITUTE($L208," ","~")&amp;" "&amp;SUBSTITUTE($M208," ","~")&amp;" "&amp;SUBSTITUTE($N208," ","~")&amp;" "&amp;SUBSTITUTE($O208," ","~"))," "," | "),"~"," "))</f>
        <v/>
      </c>
    </row>
    <row r="209" spans="1:16" x14ac:dyDescent="0.2">
      <c r="A209" s="19" t="str">
        <f ca="1">IF(Calc!$AM209="","",ROW()-5)</f>
        <v/>
      </c>
      <c r="B209" s="20" t="str">
        <f ca="1">IF(Calc!$AM209="","",INT(Calc!$AK209))</f>
        <v/>
      </c>
      <c r="C209" s="21" t="str">
        <f ca="1">IF(Calc!$AM209="","",IF($H209&lt;Setup!$C$5,"PAST DUE: milestone date has passed",IF($B209&lt;Setup!$C$5,"LATE: order today, ask about rush",IF($B209&lt;Setup!$C$5+14,"Order within 2 weeks","Scheduled"))))</f>
        <v/>
      </c>
      <c r="D209" s="21" t="str">
        <f ca="1">IF(Calc!$AM209="","",TEXT($B209,"mmmm yyyy"))</f>
        <v/>
      </c>
      <c r="E209" s="21" t="str">
        <f ca="1">IF(Calc!$AM209="","",INDEX(Roster!$A$6:$A$505,Calc!$AM209)&amp;"")</f>
        <v/>
      </c>
      <c r="F209" s="21" t="str">
        <f ca="1">IF(Calc!$AM209="","",INDEX(Roster!$C$6:$C$505,Calc!$AM209)&amp;"")</f>
        <v/>
      </c>
      <c r="G209" s="19" t="str">
        <f ca="1">IF(Calc!$AM209="","",INDEX(Setup!$C$20:$C$34,Calc!$AN209))</f>
        <v/>
      </c>
      <c r="H209" s="20" t="str">
        <f ca="1">IF(Calc!$AM209="","",INDEX(Calc!$B$6:$P$505,Calc!$AM209,Calc!$AN209))</f>
        <v/>
      </c>
      <c r="I209" s="21" t="str">
        <f ca="1">IF(Calc!$AM209="","",INDEX(Setup!$D$20:$D$34,Calc!$AN209)&amp;"")</f>
        <v/>
      </c>
      <c r="J209" s="21" t="str">
        <f ca="1">IF(Calc!$AM209="","",INDEX(Setup!$E$20:$E$34,Calc!$AN209)&amp;"")</f>
        <v/>
      </c>
      <c r="K209" s="23" t="str">
        <f ca="1">IF(Calc!$AM209="","",INDEX(Setup!$F$20:$F$34,Calc!$AN209))</f>
        <v/>
      </c>
      <c r="L209" s="21" t="str">
        <f ca="1">IF(Calc!$AM209="","",SUBSTITUTE(SUBSTITUTE(SUBSTITUTE(SUBSTITUTE(INDEX(Setup!$H$20:$H$34,Calc!$AN209)&amp;"","{name}",$E209),"{years}",$G209),"{date}",TEXT($H209,"mmmm d, yyyy")),"{company}",Setup!$C$4))</f>
        <v/>
      </c>
      <c r="M209" s="21" t="str">
        <f ca="1">IF(Calc!$AM209="","",SUBSTITUTE(SUBSTITUTE(SUBSTITUTE(SUBSTITUTE(INDEX(Setup!$I$20:$I$34,Calc!$AN209)&amp;"","{name}",$E209),"{years}",$G209),"{date}",TEXT($H209,"mmmm d, yyyy")),"{company}",Setup!$C$4))</f>
        <v/>
      </c>
      <c r="N209" s="21" t="str">
        <f ca="1">IF(Calc!$AM209="","",SUBSTITUTE(SUBSTITUTE(SUBSTITUTE(SUBSTITUTE(INDEX(Setup!$J$20:$J$34,Calc!$AN209)&amp;"","{name}",$E209),"{years}",$G209),"{date}",TEXT($H209,"mmmm d, yyyy")),"{company}",Setup!$C$4))</f>
        <v/>
      </c>
      <c r="O209" s="21" t="str">
        <f ca="1">IF(Calc!$AM209="","",SUBSTITUTE(SUBSTITUTE(SUBSTITUTE(SUBSTITUTE(INDEX(Setup!$K$20:$K$34,Calc!$AN209)&amp;"","{name}",$E209),"{years}",$G209),"{date}",TEXT($H209,"mmmm d, yyyy")),"{company}",Setup!$C$4))</f>
        <v/>
      </c>
      <c r="P209" s="21" t="str">
        <f ca="1">IF(Calc!$AM209="","",SUBSTITUTE(SUBSTITUTE(TRIM(SUBSTITUTE($L209," ","~")&amp;" "&amp;SUBSTITUTE($M209," ","~")&amp;" "&amp;SUBSTITUTE($N209," ","~")&amp;" "&amp;SUBSTITUTE($O209," ","~"))," "," | "),"~"," "))</f>
        <v/>
      </c>
    </row>
    <row r="210" spans="1:16" x14ac:dyDescent="0.2">
      <c r="A210" s="19" t="str">
        <f ca="1">IF(Calc!$AM210="","",ROW()-5)</f>
        <v/>
      </c>
      <c r="B210" s="20" t="str">
        <f ca="1">IF(Calc!$AM210="","",INT(Calc!$AK210))</f>
        <v/>
      </c>
      <c r="C210" s="21" t="str">
        <f ca="1">IF(Calc!$AM210="","",IF($H210&lt;Setup!$C$5,"PAST DUE: milestone date has passed",IF($B210&lt;Setup!$C$5,"LATE: order today, ask about rush",IF($B210&lt;Setup!$C$5+14,"Order within 2 weeks","Scheduled"))))</f>
        <v/>
      </c>
      <c r="D210" s="21" t="str">
        <f ca="1">IF(Calc!$AM210="","",TEXT($B210,"mmmm yyyy"))</f>
        <v/>
      </c>
      <c r="E210" s="21" t="str">
        <f ca="1">IF(Calc!$AM210="","",INDEX(Roster!$A$6:$A$505,Calc!$AM210)&amp;"")</f>
        <v/>
      </c>
      <c r="F210" s="21" t="str">
        <f ca="1">IF(Calc!$AM210="","",INDEX(Roster!$C$6:$C$505,Calc!$AM210)&amp;"")</f>
        <v/>
      </c>
      <c r="G210" s="19" t="str">
        <f ca="1">IF(Calc!$AM210="","",INDEX(Setup!$C$20:$C$34,Calc!$AN210))</f>
        <v/>
      </c>
      <c r="H210" s="20" t="str">
        <f ca="1">IF(Calc!$AM210="","",INDEX(Calc!$B$6:$P$505,Calc!$AM210,Calc!$AN210))</f>
        <v/>
      </c>
      <c r="I210" s="21" t="str">
        <f ca="1">IF(Calc!$AM210="","",INDEX(Setup!$D$20:$D$34,Calc!$AN210)&amp;"")</f>
        <v/>
      </c>
      <c r="J210" s="21" t="str">
        <f ca="1">IF(Calc!$AM210="","",INDEX(Setup!$E$20:$E$34,Calc!$AN210)&amp;"")</f>
        <v/>
      </c>
      <c r="K210" s="23" t="str">
        <f ca="1">IF(Calc!$AM210="","",INDEX(Setup!$F$20:$F$34,Calc!$AN210))</f>
        <v/>
      </c>
      <c r="L210" s="21" t="str">
        <f ca="1">IF(Calc!$AM210="","",SUBSTITUTE(SUBSTITUTE(SUBSTITUTE(SUBSTITUTE(INDEX(Setup!$H$20:$H$34,Calc!$AN210)&amp;"","{name}",$E210),"{years}",$G210),"{date}",TEXT($H210,"mmmm d, yyyy")),"{company}",Setup!$C$4))</f>
        <v/>
      </c>
      <c r="M210" s="21" t="str">
        <f ca="1">IF(Calc!$AM210="","",SUBSTITUTE(SUBSTITUTE(SUBSTITUTE(SUBSTITUTE(INDEX(Setup!$I$20:$I$34,Calc!$AN210)&amp;"","{name}",$E210),"{years}",$G210),"{date}",TEXT($H210,"mmmm d, yyyy")),"{company}",Setup!$C$4))</f>
        <v/>
      </c>
      <c r="N210" s="21" t="str">
        <f ca="1">IF(Calc!$AM210="","",SUBSTITUTE(SUBSTITUTE(SUBSTITUTE(SUBSTITUTE(INDEX(Setup!$J$20:$J$34,Calc!$AN210)&amp;"","{name}",$E210),"{years}",$G210),"{date}",TEXT($H210,"mmmm d, yyyy")),"{company}",Setup!$C$4))</f>
        <v/>
      </c>
      <c r="O210" s="21" t="str">
        <f ca="1">IF(Calc!$AM210="","",SUBSTITUTE(SUBSTITUTE(SUBSTITUTE(SUBSTITUTE(INDEX(Setup!$K$20:$K$34,Calc!$AN210)&amp;"","{name}",$E210),"{years}",$G210),"{date}",TEXT($H210,"mmmm d, yyyy")),"{company}",Setup!$C$4))</f>
        <v/>
      </c>
      <c r="P210" s="21" t="str">
        <f ca="1">IF(Calc!$AM210="","",SUBSTITUTE(SUBSTITUTE(TRIM(SUBSTITUTE($L210," ","~")&amp;" "&amp;SUBSTITUTE($M210," ","~")&amp;" "&amp;SUBSTITUTE($N210," ","~")&amp;" "&amp;SUBSTITUTE($O210," ","~"))," "," | "),"~"," "))</f>
        <v/>
      </c>
    </row>
    <row r="211" spans="1:16" x14ac:dyDescent="0.2">
      <c r="A211" s="19" t="str">
        <f ca="1">IF(Calc!$AM211="","",ROW()-5)</f>
        <v/>
      </c>
      <c r="B211" s="20" t="str">
        <f ca="1">IF(Calc!$AM211="","",INT(Calc!$AK211))</f>
        <v/>
      </c>
      <c r="C211" s="21" t="str">
        <f ca="1">IF(Calc!$AM211="","",IF($H211&lt;Setup!$C$5,"PAST DUE: milestone date has passed",IF($B211&lt;Setup!$C$5,"LATE: order today, ask about rush",IF($B211&lt;Setup!$C$5+14,"Order within 2 weeks","Scheduled"))))</f>
        <v/>
      </c>
      <c r="D211" s="21" t="str">
        <f ca="1">IF(Calc!$AM211="","",TEXT($B211,"mmmm yyyy"))</f>
        <v/>
      </c>
      <c r="E211" s="21" t="str">
        <f ca="1">IF(Calc!$AM211="","",INDEX(Roster!$A$6:$A$505,Calc!$AM211)&amp;"")</f>
        <v/>
      </c>
      <c r="F211" s="21" t="str">
        <f ca="1">IF(Calc!$AM211="","",INDEX(Roster!$C$6:$C$505,Calc!$AM211)&amp;"")</f>
        <v/>
      </c>
      <c r="G211" s="19" t="str">
        <f ca="1">IF(Calc!$AM211="","",INDEX(Setup!$C$20:$C$34,Calc!$AN211))</f>
        <v/>
      </c>
      <c r="H211" s="20" t="str">
        <f ca="1">IF(Calc!$AM211="","",INDEX(Calc!$B$6:$P$505,Calc!$AM211,Calc!$AN211))</f>
        <v/>
      </c>
      <c r="I211" s="21" t="str">
        <f ca="1">IF(Calc!$AM211="","",INDEX(Setup!$D$20:$D$34,Calc!$AN211)&amp;"")</f>
        <v/>
      </c>
      <c r="J211" s="21" t="str">
        <f ca="1">IF(Calc!$AM211="","",INDEX(Setup!$E$20:$E$34,Calc!$AN211)&amp;"")</f>
        <v/>
      </c>
      <c r="K211" s="23" t="str">
        <f ca="1">IF(Calc!$AM211="","",INDEX(Setup!$F$20:$F$34,Calc!$AN211))</f>
        <v/>
      </c>
      <c r="L211" s="21" t="str">
        <f ca="1">IF(Calc!$AM211="","",SUBSTITUTE(SUBSTITUTE(SUBSTITUTE(SUBSTITUTE(INDEX(Setup!$H$20:$H$34,Calc!$AN211)&amp;"","{name}",$E211),"{years}",$G211),"{date}",TEXT($H211,"mmmm d, yyyy")),"{company}",Setup!$C$4))</f>
        <v/>
      </c>
      <c r="M211" s="21" t="str">
        <f ca="1">IF(Calc!$AM211="","",SUBSTITUTE(SUBSTITUTE(SUBSTITUTE(SUBSTITUTE(INDEX(Setup!$I$20:$I$34,Calc!$AN211)&amp;"","{name}",$E211),"{years}",$G211),"{date}",TEXT($H211,"mmmm d, yyyy")),"{company}",Setup!$C$4))</f>
        <v/>
      </c>
      <c r="N211" s="21" t="str">
        <f ca="1">IF(Calc!$AM211="","",SUBSTITUTE(SUBSTITUTE(SUBSTITUTE(SUBSTITUTE(INDEX(Setup!$J$20:$J$34,Calc!$AN211)&amp;"","{name}",$E211),"{years}",$G211),"{date}",TEXT($H211,"mmmm d, yyyy")),"{company}",Setup!$C$4))</f>
        <v/>
      </c>
      <c r="O211" s="21" t="str">
        <f ca="1">IF(Calc!$AM211="","",SUBSTITUTE(SUBSTITUTE(SUBSTITUTE(SUBSTITUTE(INDEX(Setup!$K$20:$K$34,Calc!$AN211)&amp;"","{name}",$E211),"{years}",$G211),"{date}",TEXT($H211,"mmmm d, yyyy")),"{company}",Setup!$C$4))</f>
        <v/>
      </c>
      <c r="P211" s="21" t="str">
        <f ca="1">IF(Calc!$AM211="","",SUBSTITUTE(SUBSTITUTE(TRIM(SUBSTITUTE($L211," ","~")&amp;" "&amp;SUBSTITUTE($M211," ","~")&amp;" "&amp;SUBSTITUTE($N211," ","~")&amp;" "&amp;SUBSTITUTE($O211," ","~"))," "," | "),"~"," "))</f>
        <v/>
      </c>
    </row>
    <row r="212" spans="1:16" x14ac:dyDescent="0.2">
      <c r="A212" s="19" t="str">
        <f ca="1">IF(Calc!$AM212="","",ROW()-5)</f>
        <v/>
      </c>
      <c r="B212" s="20" t="str">
        <f ca="1">IF(Calc!$AM212="","",INT(Calc!$AK212))</f>
        <v/>
      </c>
      <c r="C212" s="21" t="str">
        <f ca="1">IF(Calc!$AM212="","",IF($H212&lt;Setup!$C$5,"PAST DUE: milestone date has passed",IF($B212&lt;Setup!$C$5,"LATE: order today, ask about rush",IF($B212&lt;Setup!$C$5+14,"Order within 2 weeks","Scheduled"))))</f>
        <v/>
      </c>
      <c r="D212" s="21" t="str">
        <f ca="1">IF(Calc!$AM212="","",TEXT($B212,"mmmm yyyy"))</f>
        <v/>
      </c>
      <c r="E212" s="21" t="str">
        <f ca="1">IF(Calc!$AM212="","",INDEX(Roster!$A$6:$A$505,Calc!$AM212)&amp;"")</f>
        <v/>
      </c>
      <c r="F212" s="21" t="str">
        <f ca="1">IF(Calc!$AM212="","",INDEX(Roster!$C$6:$C$505,Calc!$AM212)&amp;"")</f>
        <v/>
      </c>
      <c r="G212" s="19" t="str">
        <f ca="1">IF(Calc!$AM212="","",INDEX(Setup!$C$20:$C$34,Calc!$AN212))</f>
        <v/>
      </c>
      <c r="H212" s="20" t="str">
        <f ca="1">IF(Calc!$AM212="","",INDEX(Calc!$B$6:$P$505,Calc!$AM212,Calc!$AN212))</f>
        <v/>
      </c>
      <c r="I212" s="21" t="str">
        <f ca="1">IF(Calc!$AM212="","",INDEX(Setup!$D$20:$D$34,Calc!$AN212)&amp;"")</f>
        <v/>
      </c>
      <c r="J212" s="21" t="str">
        <f ca="1">IF(Calc!$AM212="","",INDEX(Setup!$E$20:$E$34,Calc!$AN212)&amp;"")</f>
        <v/>
      </c>
      <c r="K212" s="23" t="str">
        <f ca="1">IF(Calc!$AM212="","",INDEX(Setup!$F$20:$F$34,Calc!$AN212))</f>
        <v/>
      </c>
      <c r="L212" s="21" t="str">
        <f ca="1">IF(Calc!$AM212="","",SUBSTITUTE(SUBSTITUTE(SUBSTITUTE(SUBSTITUTE(INDEX(Setup!$H$20:$H$34,Calc!$AN212)&amp;"","{name}",$E212),"{years}",$G212),"{date}",TEXT($H212,"mmmm d, yyyy")),"{company}",Setup!$C$4))</f>
        <v/>
      </c>
      <c r="M212" s="21" t="str">
        <f ca="1">IF(Calc!$AM212="","",SUBSTITUTE(SUBSTITUTE(SUBSTITUTE(SUBSTITUTE(INDEX(Setup!$I$20:$I$34,Calc!$AN212)&amp;"","{name}",$E212),"{years}",$G212),"{date}",TEXT($H212,"mmmm d, yyyy")),"{company}",Setup!$C$4))</f>
        <v/>
      </c>
      <c r="N212" s="21" t="str">
        <f ca="1">IF(Calc!$AM212="","",SUBSTITUTE(SUBSTITUTE(SUBSTITUTE(SUBSTITUTE(INDEX(Setup!$J$20:$J$34,Calc!$AN212)&amp;"","{name}",$E212),"{years}",$G212),"{date}",TEXT($H212,"mmmm d, yyyy")),"{company}",Setup!$C$4))</f>
        <v/>
      </c>
      <c r="O212" s="21" t="str">
        <f ca="1">IF(Calc!$AM212="","",SUBSTITUTE(SUBSTITUTE(SUBSTITUTE(SUBSTITUTE(INDEX(Setup!$K$20:$K$34,Calc!$AN212)&amp;"","{name}",$E212),"{years}",$G212),"{date}",TEXT($H212,"mmmm d, yyyy")),"{company}",Setup!$C$4))</f>
        <v/>
      </c>
      <c r="P212" s="21" t="str">
        <f ca="1">IF(Calc!$AM212="","",SUBSTITUTE(SUBSTITUTE(TRIM(SUBSTITUTE($L212," ","~")&amp;" "&amp;SUBSTITUTE($M212," ","~")&amp;" "&amp;SUBSTITUTE($N212," ","~")&amp;" "&amp;SUBSTITUTE($O212," ","~"))," "," | "),"~"," "))</f>
        <v/>
      </c>
    </row>
    <row r="213" spans="1:16" x14ac:dyDescent="0.2">
      <c r="A213" s="19" t="str">
        <f ca="1">IF(Calc!$AM213="","",ROW()-5)</f>
        <v/>
      </c>
      <c r="B213" s="20" t="str">
        <f ca="1">IF(Calc!$AM213="","",INT(Calc!$AK213))</f>
        <v/>
      </c>
      <c r="C213" s="21" t="str">
        <f ca="1">IF(Calc!$AM213="","",IF($H213&lt;Setup!$C$5,"PAST DUE: milestone date has passed",IF($B213&lt;Setup!$C$5,"LATE: order today, ask about rush",IF($B213&lt;Setup!$C$5+14,"Order within 2 weeks","Scheduled"))))</f>
        <v/>
      </c>
      <c r="D213" s="21" t="str">
        <f ca="1">IF(Calc!$AM213="","",TEXT($B213,"mmmm yyyy"))</f>
        <v/>
      </c>
      <c r="E213" s="21" t="str">
        <f ca="1">IF(Calc!$AM213="","",INDEX(Roster!$A$6:$A$505,Calc!$AM213)&amp;"")</f>
        <v/>
      </c>
      <c r="F213" s="21" t="str">
        <f ca="1">IF(Calc!$AM213="","",INDEX(Roster!$C$6:$C$505,Calc!$AM213)&amp;"")</f>
        <v/>
      </c>
      <c r="G213" s="19" t="str">
        <f ca="1">IF(Calc!$AM213="","",INDEX(Setup!$C$20:$C$34,Calc!$AN213))</f>
        <v/>
      </c>
      <c r="H213" s="20" t="str">
        <f ca="1">IF(Calc!$AM213="","",INDEX(Calc!$B$6:$P$505,Calc!$AM213,Calc!$AN213))</f>
        <v/>
      </c>
      <c r="I213" s="21" t="str">
        <f ca="1">IF(Calc!$AM213="","",INDEX(Setup!$D$20:$D$34,Calc!$AN213)&amp;"")</f>
        <v/>
      </c>
      <c r="J213" s="21" t="str">
        <f ca="1">IF(Calc!$AM213="","",INDEX(Setup!$E$20:$E$34,Calc!$AN213)&amp;"")</f>
        <v/>
      </c>
      <c r="K213" s="23" t="str">
        <f ca="1">IF(Calc!$AM213="","",INDEX(Setup!$F$20:$F$34,Calc!$AN213))</f>
        <v/>
      </c>
      <c r="L213" s="21" t="str">
        <f ca="1">IF(Calc!$AM213="","",SUBSTITUTE(SUBSTITUTE(SUBSTITUTE(SUBSTITUTE(INDEX(Setup!$H$20:$H$34,Calc!$AN213)&amp;"","{name}",$E213),"{years}",$G213),"{date}",TEXT($H213,"mmmm d, yyyy")),"{company}",Setup!$C$4))</f>
        <v/>
      </c>
      <c r="M213" s="21" t="str">
        <f ca="1">IF(Calc!$AM213="","",SUBSTITUTE(SUBSTITUTE(SUBSTITUTE(SUBSTITUTE(INDEX(Setup!$I$20:$I$34,Calc!$AN213)&amp;"","{name}",$E213),"{years}",$G213),"{date}",TEXT($H213,"mmmm d, yyyy")),"{company}",Setup!$C$4))</f>
        <v/>
      </c>
      <c r="N213" s="21" t="str">
        <f ca="1">IF(Calc!$AM213="","",SUBSTITUTE(SUBSTITUTE(SUBSTITUTE(SUBSTITUTE(INDEX(Setup!$J$20:$J$34,Calc!$AN213)&amp;"","{name}",$E213),"{years}",$G213),"{date}",TEXT($H213,"mmmm d, yyyy")),"{company}",Setup!$C$4))</f>
        <v/>
      </c>
      <c r="O213" s="21" t="str">
        <f ca="1">IF(Calc!$AM213="","",SUBSTITUTE(SUBSTITUTE(SUBSTITUTE(SUBSTITUTE(INDEX(Setup!$K$20:$K$34,Calc!$AN213)&amp;"","{name}",$E213),"{years}",$G213),"{date}",TEXT($H213,"mmmm d, yyyy")),"{company}",Setup!$C$4))</f>
        <v/>
      </c>
      <c r="P213" s="21" t="str">
        <f ca="1">IF(Calc!$AM213="","",SUBSTITUTE(SUBSTITUTE(TRIM(SUBSTITUTE($L213," ","~")&amp;" "&amp;SUBSTITUTE($M213," ","~")&amp;" "&amp;SUBSTITUTE($N213," ","~")&amp;" "&amp;SUBSTITUTE($O213," ","~"))," "," | "),"~"," "))</f>
        <v/>
      </c>
    </row>
    <row r="214" spans="1:16" x14ac:dyDescent="0.2">
      <c r="A214" s="19" t="str">
        <f ca="1">IF(Calc!$AM214="","",ROW()-5)</f>
        <v/>
      </c>
      <c r="B214" s="20" t="str">
        <f ca="1">IF(Calc!$AM214="","",INT(Calc!$AK214))</f>
        <v/>
      </c>
      <c r="C214" s="21" t="str">
        <f ca="1">IF(Calc!$AM214="","",IF($H214&lt;Setup!$C$5,"PAST DUE: milestone date has passed",IF($B214&lt;Setup!$C$5,"LATE: order today, ask about rush",IF($B214&lt;Setup!$C$5+14,"Order within 2 weeks","Scheduled"))))</f>
        <v/>
      </c>
      <c r="D214" s="21" t="str">
        <f ca="1">IF(Calc!$AM214="","",TEXT($B214,"mmmm yyyy"))</f>
        <v/>
      </c>
      <c r="E214" s="21" t="str">
        <f ca="1">IF(Calc!$AM214="","",INDEX(Roster!$A$6:$A$505,Calc!$AM214)&amp;"")</f>
        <v/>
      </c>
      <c r="F214" s="21" t="str">
        <f ca="1">IF(Calc!$AM214="","",INDEX(Roster!$C$6:$C$505,Calc!$AM214)&amp;"")</f>
        <v/>
      </c>
      <c r="G214" s="19" t="str">
        <f ca="1">IF(Calc!$AM214="","",INDEX(Setup!$C$20:$C$34,Calc!$AN214))</f>
        <v/>
      </c>
      <c r="H214" s="20" t="str">
        <f ca="1">IF(Calc!$AM214="","",INDEX(Calc!$B$6:$P$505,Calc!$AM214,Calc!$AN214))</f>
        <v/>
      </c>
      <c r="I214" s="21" t="str">
        <f ca="1">IF(Calc!$AM214="","",INDEX(Setup!$D$20:$D$34,Calc!$AN214)&amp;"")</f>
        <v/>
      </c>
      <c r="J214" s="21" t="str">
        <f ca="1">IF(Calc!$AM214="","",INDEX(Setup!$E$20:$E$34,Calc!$AN214)&amp;"")</f>
        <v/>
      </c>
      <c r="K214" s="23" t="str">
        <f ca="1">IF(Calc!$AM214="","",INDEX(Setup!$F$20:$F$34,Calc!$AN214))</f>
        <v/>
      </c>
      <c r="L214" s="21" t="str">
        <f ca="1">IF(Calc!$AM214="","",SUBSTITUTE(SUBSTITUTE(SUBSTITUTE(SUBSTITUTE(INDEX(Setup!$H$20:$H$34,Calc!$AN214)&amp;"","{name}",$E214),"{years}",$G214),"{date}",TEXT($H214,"mmmm d, yyyy")),"{company}",Setup!$C$4))</f>
        <v/>
      </c>
      <c r="M214" s="21" t="str">
        <f ca="1">IF(Calc!$AM214="","",SUBSTITUTE(SUBSTITUTE(SUBSTITUTE(SUBSTITUTE(INDEX(Setup!$I$20:$I$34,Calc!$AN214)&amp;"","{name}",$E214),"{years}",$G214),"{date}",TEXT($H214,"mmmm d, yyyy")),"{company}",Setup!$C$4))</f>
        <v/>
      </c>
      <c r="N214" s="21" t="str">
        <f ca="1">IF(Calc!$AM214="","",SUBSTITUTE(SUBSTITUTE(SUBSTITUTE(SUBSTITUTE(INDEX(Setup!$J$20:$J$34,Calc!$AN214)&amp;"","{name}",$E214),"{years}",$G214),"{date}",TEXT($H214,"mmmm d, yyyy")),"{company}",Setup!$C$4))</f>
        <v/>
      </c>
      <c r="O214" s="21" t="str">
        <f ca="1">IF(Calc!$AM214="","",SUBSTITUTE(SUBSTITUTE(SUBSTITUTE(SUBSTITUTE(INDEX(Setup!$K$20:$K$34,Calc!$AN214)&amp;"","{name}",$E214),"{years}",$G214),"{date}",TEXT($H214,"mmmm d, yyyy")),"{company}",Setup!$C$4))</f>
        <v/>
      </c>
      <c r="P214" s="21" t="str">
        <f ca="1">IF(Calc!$AM214="","",SUBSTITUTE(SUBSTITUTE(TRIM(SUBSTITUTE($L214," ","~")&amp;" "&amp;SUBSTITUTE($M214," ","~")&amp;" "&amp;SUBSTITUTE($N214," ","~")&amp;" "&amp;SUBSTITUTE($O214," ","~"))," "," | "),"~"," "))</f>
        <v/>
      </c>
    </row>
    <row r="215" spans="1:16" x14ac:dyDescent="0.2">
      <c r="A215" s="19" t="str">
        <f ca="1">IF(Calc!$AM215="","",ROW()-5)</f>
        <v/>
      </c>
      <c r="B215" s="20" t="str">
        <f ca="1">IF(Calc!$AM215="","",INT(Calc!$AK215))</f>
        <v/>
      </c>
      <c r="C215" s="21" t="str">
        <f ca="1">IF(Calc!$AM215="","",IF($H215&lt;Setup!$C$5,"PAST DUE: milestone date has passed",IF($B215&lt;Setup!$C$5,"LATE: order today, ask about rush",IF($B215&lt;Setup!$C$5+14,"Order within 2 weeks","Scheduled"))))</f>
        <v/>
      </c>
      <c r="D215" s="21" t="str">
        <f ca="1">IF(Calc!$AM215="","",TEXT($B215,"mmmm yyyy"))</f>
        <v/>
      </c>
      <c r="E215" s="21" t="str">
        <f ca="1">IF(Calc!$AM215="","",INDEX(Roster!$A$6:$A$505,Calc!$AM215)&amp;"")</f>
        <v/>
      </c>
      <c r="F215" s="21" t="str">
        <f ca="1">IF(Calc!$AM215="","",INDEX(Roster!$C$6:$C$505,Calc!$AM215)&amp;"")</f>
        <v/>
      </c>
      <c r="G215" s="19" t="str">
        <f ca="1">IF(Calc!$AM215="","",INDEX(Setup!$C$20:$C$34,Calc!$AN215))</f>
        <v/>
      </c>
      <c r="H215" s="20" t="str">
        <f ca="1">IF(Calc!$AM215="","",INDEX(Calc!$B$6:$P$505,Calc!$AM215,Calc!$AN215))</f>
        <v/>
      </c>
      <c r="I215" s="21" t="str">
        <f ca="1">IF(Calc!$AM215="","",INDEX(Setup!$D$20:$D$34,Calc!$AN215)&amp;"")</f>
        <v/>
      </c>
      <c r="J215" s="21" t="str">
        <f ca="1">IF(Calc!$AM215="","",INDEX(Setup!$E$20:$E$34,Calc!$AN215)&amp;"")</f>
        <v/>
      </c>
      <c r="K215" s="23" t="str">
        <f ca="1">IF(Calc!$AM215="","",INDEX(Setup!$F$20:$F$34,Calc!$AN215))</f>
        <v/>
      </c>
      <c r="L215" s="21" t="str">
        <f ca="1">IF(Calc!$AM215="","",SUBSTITUTE(SUBSTITUTE(SUBSTITUTE(SUBSTITUTE(INDEX(Setup!$H$20:$H$34,Calc!$AN215)&amp;"","{name}",$E215),"{years}",$G215),"{date}",TEXT($H215,"mmmm d, yyyy")),"{company}",Setup!$C$4))</f>
        <v/>
      </c>
      <c r="M215" s="21" t="str">
        <f ca="1">IF(Calc!$AM215="","",SUBSTITUTE(SUBSTITUTE(SUBSTITUTE(SUBSTITUTE(INDEX(Setup!$I$20:$I$34,Calc!$AN215)&amp;"","{name}",$E215),"{years}",$G215),"{date}",TEXT($H215,"mmmm d, yyyy")),"{company}",Setup!$C$4))</f>
        <v/>
      </c>
      <c r="N215" s="21" t="str">
        <f ca="1">IF(Calc!$AM215="","",SUBSTITUTE(SUBSTITUTE(SUBSTITUTE(SUBSTITUTE(INDEX(Setup!$J$20:$J$34,Calc!$AN215)&amp;"","{name}",$E215),"{years}",$G215),"{date}",TEXT($H215,"mmmm d, yyyy")),"{company}",Setup!$C$4))</f>
        <v/>
      </c>
      <c r="O215" s="21" t="str">
        <f ca="1">IF(Calc!$AM215="","",SUBSTITUTE(SUBSTITUTE(SUBSTITUTE(SUBSTITUTE(INDEX(Setup!$K$20:$K$34,Calc!$AN215)&amp;"","{name}",$E215),"{years}",$G215),"{date}",TEXT($H215,"mmmm d, yyyy")),"{company}",Setup!$C$4))</f>
        <v/>
      </c>
      <c r="P215" s="21" t="str">
        <f ca="1">IF(Calc!$AM215="","",SUBSTITUTE(SUBSTITUTE(TRIM(SUBSTITUTE($L215," ","~")&amp;" "&amp;SUBSTITUTE($M215," ","~")&amp;" "&amp;SUBSTITUTE($N215," ","~")&amp;" "&amp;SUBSTITUTE($O215," ","~"))," "," | "),"~"," "))</f>
        <v/>
      </c>
    </row>
    <row r="216" spans="1:16" x14ac:dyDescent="0.2">
      <c r="A216" s="19" t="str">
        <f ca="1">IF(Calc!$AM216="","",ROW()-5)</f>
        <v/>
      </c>
      <c r="B216" s="20" t="str">
        <f ca="1">IF(Calc!$AM216="","",INT(Calc!$AK216))</f>
        <v/>
      </c>
      <c r="C216" s="21" t="str">
        <f ca="1">IF(Calc!$AM216="","",IF($H216&lt;Setup!$C$5,"PAST DUE: milestone date has passed",IF($B216&lt;Setup!$C$5,"LATE: order today, ask about rush",IF($B216&lt;Setup!$C$5+14,"Order within 2 weeks","Scheduled"))))</f>
        <v/>
      </c>
      <c r="D216" s="21" t="str">
        <f ca="1">IF(Calc!$AM216="","",TEXT($B216,"mmmm yyyy"))</f>
        <v/>
      </c>
      <c r="E216" s="21" t="str">
        <f ca="1">IF(Calc!$AM216="","",INDEX(Roster!$A$6:$A$505,Calc!$AM216)&amp;"")</f>
        <v/>
      </c>
      <c r="F216" s="21" t="str">
        <f ca="1">IF(Calc!$AM216="","",INDEX(Roster!$C$6:$C$505,Calc!$AM216)&amp;"")</f>
        <v/>
      </c>
      <c r="G216" s="19" t="str">
        <f ca="1">IF(Calc!$AM216="","",INDEX(Setup!$C$20:$C$34,Calc!$AN216))</f>
        <v/>
      </c>
      <c r="H216" s="20" t="str">
        <f ca="1">IF(Calc!$AM216="","",INDEX(Calc!$B$6:$P$505,Calc!$AM216,Calc!$AN216))</f>
        <v/>
      </c>
      <c r="I216" s="21" t="str">
        <f ca="1">IF(Calc!$AM216="","",INDEX(Setup!$D$20:$D$34,Calc!$AN216)&amp;"")</f>
        <v/>
      </c>
      <c r="J216" s="21" t="str">
        <f ca="1">IF(Calc!$AM216="","",INDEX(Setup!$E$20:$E$34,Calc!$AN216)&amp;"")</f>
        <v/>
      </c>
      <c r="K216" s="23" t="str">
        <f ca="1">IF(Calc!$AM216="","",INDEX(Setup!$F$20:$F$34,Calc!$AN216))</f>
        <v/>
      </c>
      <c r="L216" s="21" t="str">
        <f ca="1">IF(Calc!$AM216="","",SUBSTITUTE(SUBSTITUTE(SUBSTITUTE(SUBSTITUTE(INDEX(Setup!$H$20:$H$34,Calc!$AN216)&amp;"","{name}",$E216),"{years}",$G216),"{date}",TEXT($H216,"mmmm d, yyyy")),"{company}",Setup!$C$4))</f>
        <v/>
      </c>
      <c r="M216" s="21" t="str">
        <f ca="1">IF(Calc!$AM216="","",SUBSTITUTE(SUBSTITUTE(SUBSTITUTE(SUBSTITUTE(INDEX(Setup!$I$20:$I$34,Calc!$AN216)&amp;"","{name}",$E216),"{years}",$G216),"{date}",TEXT($H216,"mmmm d, yyyy")),"{company}",Setup!$C$4))</f>
        <v/>
      </c>
      <c r="N216" s="21" t="str">
        <f ca="1">IF(Calc!$AM216="","",SUBSTITUTE(SUBSTITUTE(SUBSTITUTE(SUBSTITUTE(INDEX(Setup!$J$20:$J$34,Calc!$AN216)&amp;"","{name}",$E216),"{years}",$G216),"{date}",TEXT($H216,"mmmm d, yyyy")),"{company}",Setup!$C$4))</f>
        <v/>
      </c>
      <c r="O216" s="21" t="str">
        <f ca="1">IF(Calc!$AM216="","",SUBSTITUTE(SUBSTITUTE(SUBSTITUTE(SUBSTITUTE(INDEX(Setup!$K$20:$K$34,Calc!$AN216)&amp;"","{name}",$E216),"{years}",$G216),"{date}",TEXT($H216,"mmmm d, yyyy")),"{company}",Setup!$C$4))</f>
        <v/>
      </c>
      <c r="P216" s="21" t="str">
        <f ca="1">IF(Calc!$AM216="","",SUBSTITUTE(SUBSTITUTE(TRIM(SUBSTITUTE($L216," ","~")&amp;" "&amp;SUBSTITUTE($M216," ","~")&amp;" "&amp;SUBSTITUTE($N216," ","~")&amp;" "&amp;SUBSTITUTE($O216," ","~"))," "," | "),"~"," "))</f>
        <v/>
      </c>
    </row>
    <row r="217" spans="1:16" x14ac:dyDescent="0.2">
      <c r="A217" s="19" t="str">
        <f ca="1">IF(Calc!$AM217="","",ROW()-5)</f>
        <v/>
      </c>
      <c r="B217" s="20" t="str">
        <f ca="1">IF(Calc!$AM217="","",INT(Calc!$AK217))</f>
        <v/>
      </c>
      <c r="C217" s="21" t="str">
        <f ca="1">IF(Calc!$AM217="","",IF($H217&lt;Setup!$C$5,"PAST DUE: milestone date has passed",IF($B217&lt;Setup!$C$5,"LATE: order today, ask about rush",IF($B217&lt;Setup!$C$5+14,"Order within 2 weeks","Scheduled"))))</f>
        <v/>
      </c>
      <c r="D217" s="21" t="str">
        <f ca="1">IF(Calc!$AM217="","",TEXT($B217,"mmmm yyyy"))</f>
        <v/>
      </c>
      <c r="E217" s="21" t="str">
        <f ca="1">IF(Calc!$AM217="","",INDEX(Roster!$A$6:$A$505,Calc!$AM217)&amp;"")</f>
        <v/>
      </c>
      <c r="F217" s="21" t="str">
        <f ca="1">IF(Calc!$AM217="","",INDEX(Roster!$C$6:$C$505,Calc!$AM217)&amp;"")</f>
        <v/>
      </c>
      <c r="G217" s="19" t="str">
        <f ca="1">IF(Calc!$AM217="","",INDEX(Setup!$C$20:$C$34,Calc!$AN217))</f>
        <v/>
      </c>
      <c r="H217" s="20" t="str">
        <f ca="1">IF(Calc!$AM217="","",INDEX(Calc!$B$6:$P$505,Calc!$AM217,Calc!$AN217))</f>
        <v/>
      </c>
      <c r="I217" s="21" t="str">
        <f ca="1">IF(Calc!$AM217="","",INDEX(Setup!$D$20:$D$34,Calc!$AN217)&amp;"")</f>
        <v/>
      </c>
      <c r="J217" s="21" t="str">
        <f ca="1">IF(Calc!$AM217="","",INDEX(Setup!$E$20:$E$34,Calc!$AN217)&amp;"")</f>
        <v/>
      </c>
      <c r="K217" s="23" t="str">
        <f ca="1">IF(Calc!$AM217="","",INDEX(Setup!$F$20:$F$34,Calc!$AN217))</f>
        <v/>
      </c>
      <c r="L217" s="21" t="str">
        <f ca="1">IF(Calc!$AM217="","",SUBSTITUTE(SUBSTITUTE(SUBSTITUTE(SUBSTITUTE(INDEX(Setup!$H$20:$H$34,Calc!$AN217)&amp;"","{name}",$E217),"{years}",$G217),"{date}",TEXT($H217,"mmmm d, yyyy")),"{company}",Setup!$C$4))</f>
        <v/>
      </c>
      <c r="M217" s="21" t="str">
        <f ca="1">IF(Calc!$AM217="","",SUBSTITUTE(SUBSTITUTE(SUBSTITUTE(SUBSTITUTE(INDEX(Setup!$I$20:$I$34,Calc!$AN217)&amp;"","{name}",$E217),"{years}",$G217),"{date}",TEXT($H217,"mmmm d, yyyy")),"{company}",Setup!$C$4))</f>
        <v/>
      </c>
      <c r="N217" s="21" t="str">
        <f ca="1">IF(Calc!$AM217="","",SUBSTITUTE(SUBSTITUTE(SUBSTITUTE(SUBSTITUTE(INDEX(Setup!$J$20:$J$34,Calc!$AN217)&amp;"","{name}",$E217),"{years}",$G217),"{date}",TEXT($H217,"mmmm d, yyyy")),"{company}",Setup!$C$4))</f>
        <v/>
      </c>
      <c r="O217" s="21" t="str">
        <f ca="1">IF(Calc!$AM217="","",SUBSTITUTE(SUBSTITUTE(SUBSTITUTE(SUBSTITUTE(INDEX(Setup!$K$20:$K$34,Calc!$AN217)&amp;"","{name}",$E217),"{years}",$G217),"{date}",TEXT($H217,"mmmm d, yyyy")),"{company}",Setup!$C$4))</f>
        <v/>
      </c>
      <c r="P217" s="21" t="str">
        <f ca="1">IF(Calc!$AM217="","",SUBSTITUTE(SUBSTITUTE(TRIM(SUBSTITUTE($L217," ","~")&amp;" "&amp;SUBSTITUTE($M217," ","~")&amp;" "&amp;SUBSTITUTE($N217," ","~")&amp;" "&amp;SUBSTITUTE($O217," ","~"))," "," | "),"~"," "))</f>
        <v/>
      </c>
    </row>
    <row r="218" spans="1:16" x14ac:dyDescent="0.2">
      <c r="A218" s="19" t="str">
        <f ca="1">IF(Calc!$AM218="","",ROW()-5)</f>
        <v/>
      </c>
      <c r="B218" s="20" t="str">
        <f ca="1">IF(Calc!$AM218="","",INT(Calc!$AK218))</f>
        <v/>
      </c>
      <c r="C218" s="21" t="str">
        <f ca="1">IF(Calc!$AM218="","",IF($H218&lt;Setup!$C$5,"PAST DUE: milestone date has passed",IF($B218&lt;Setup!$C$5,"LATE: order today, ask about rush",IF($B218&lt;Setup!$C$5+14,"Order within 2 weeks","Scheduled"))))</f>
        <v/>
      </c>
      <c r="D218" s="21" t="str">
        <f ca="1">IF(Calc!$AM218="","",TEXT($B218,"mmmm yyyy"))</f>
        <v/>
      </c>
      <c r="E218" s="21" t="str">
        <f ca="1">IF(Calc!$AM218="","",INDEX(Roster!$A$6:$A$505,Calc!$AM218)&amp;"")</f>
        <v/>
      </c>
      <c r="F218" s="21" t="str">
        <f ca="1">IF(Calc!$AM218="","",INDEX(Roster!$C$6:$C$505,Calc!$AM218)&amp;"")</f>
        <v/>
      </c>
      <c r="G218" s="19" t="str">
        <f ca="1">IF(Calc!$AM218="","",INDEX(Setup!$C$20:$C$34,Calc!$AN218))</f>
        <v/>
      </c>
      <c r="H218" s="20" t="str">
        <f ca="1">IF(Calc!$AM218="","",INDEX(Calc!$B$6:$P$505,Calc!$AM218,Calc!$AN218))</f>
        <v/>
      </c>
      <c r="I218" s="21" t="str">
        <f ca="1">IF(Calc!$AM218="","",INDEX(Setup!$D$20:$D$34,Calc!$AN218)&amp;"")</f>
        <v/>
      </c>
      <c r="J218" s="21" t="str">
        <f ca="1">IF(Calc!$AM218="","",INDEX(Setup!$E$20:$E$34,Calc!$AN218)&amp;"")</f>
        <v/>
      </c>
      <c r="K218" s="23" t="str">
        <f ca="1">IF(Calc!$AM218="","",INDEX(Setup!$F$20:$F$34,Calc!$AN218))</f>
        <v/>
      </c>
      <c r="L218" s="21" t="str">
        <f ca="1">IF(Calc!$AM218="","",SUBSTITUTE(SUBSTITUTE(SUBSTITUTE(SUBSTITUTE(INDEX(Setup!$H$20:$H$34,Calc!$AN218)&amp;"","{name}",$E218),"{years}",$G218),"{date}",TEXT($H218,"mmmm d, yyyy")),"{company}",Setup!$C$4))</f>
        <v/>
      </c>
      <c r="M218" s="21" t="str">
        <f ca="1">IF(Calc!$AM218="","",SUBSTITUTE(SUBSTITUTE(SUBSTITUTE(SUBSTITUTE(INDEX(Setup!$I$20:$I$34,Calc!$AN218)&amp;"","{name}",$E218),"{years}",$G218),"{date}",TEXT($H218,"mmmm d, yyyy")),"{company}",Setup!$C$4))</f>
        <v/>
      </c>
      <c r="N218" s="21" t="str">
        <f ca="1">IF(Calc!$AM218="","",SUBSTITUTE(SUBSTITUTE(SUBSTITUTE(SUBSTITUTE(INDEX(Setup!$J$20:$J$34,Calc!$AN218)&amp;"","{name}",$E218),"{years}",$G218),"{date}",TEXT($H218,"mmmm d, yyyy")),"{company}",Setup!$C$4))</f>
        <v/>
      </c>
      <c r="O218" s="21" t="str">
        <f ca="1">IF(Calc!$AM218="","",SUBSTITUTE(SUBSTITUTE(SUBSTITUTE(SUBSTITUTE(INDEX(Setup!$K$20:$K$34,Calc!$AN218)&amp;"","{name}",$E218),"{years}",$G218),"{date}",TEXT($H218,"mmmm d, yyyy")),"{company}",Setup!$C$4))</f>
        <v/>
      </c>
      <c r="P218" s="21" t="str">
        <f ca="1">IF(Calc!$AM218="","",SUBSTITUTE(SUBSTITUTE(TRIM(SUBSTITUTE($L218," ","~")&amp;" "&amp;SUBSTITUTE($M218," ","~")&amp;" "&amp;SUBSTITUTE($N218," ","~")&amp;" "&amp;SUBSTITUTE($O218," ","~"))," "," | "),"~"," "))</f>
        <v/>
      </c>
    </row>
    <row r="219" spans="1:16" x14ac:dyDescent="0.2">
      <c r="A219" s="19" t="str">
        <f ca="1">IF(Calc!$AM219="","",ROW()-5)</f>
        <v/>
      </c>
      <c r="B219" s="20" t="str">
        <f ca="1">IF(Calc!$AM219="","",INT(Calc!$AK219))</f>
        <v/>
      </c>
      <c r="C219" s="21" t="str">
        <f ca="1">IF(Calc!$AM219="","",IF($H219&lt;Setup!$C$5,"PAST DUE: milestone date has passed",IF($B219&lt;Setup!$C$5,"LATE: order today, ask about rush",IF($B219&lt;Setup!$C$5+14,"Order within 2 weeks","Scheduled"))))</f>
        <v/>
      </c>
      <c r="D219" s="21" t="str">
        <f ca="1">IF(Calc!$AM219="","",TEXT($B219,"mmmm yyyy"))</f>
        <v/>
      </c>
      <c r="E219" s="21" t="str">
        <f ca="1">IF(Calc!$AM219="","",INDEX(Roster!$A$6:$A$505,Calc!$AM219)&amp;"")</f>
        <v/>
      </c>
      <c r="F219" s="21" t="str">
        <f ca="1">IF(Calc!$AM219="","",INDEX(Roster!$C$6:$C$505,Calc!$AM219)&amp;"")</f>
        <v/>
      </c>
      <c r="G219" s="19" t="str">
        <f ca="1">IF(Calc!$AM219="","",INDEX(Setup!$C$20:$C$34,Calc!$AN219))</f>
        <v/>
      </c>
      <c r="H219" s="20" t="str">
        <f ca="1">IF(Calc!$AM219="","",INDEX(Calc!$B$6:$P$505,Calc!$AM219,Calc!$AN219))</f>
        <v/>
      </c>
      <c r="I219" s="21" t="str">
        <f ca="1">IF(Calc!$AM219="","",INDEX(Setup!$D$20:$D$34,Calc!$AN219)&amp;"")</f>
        <v/>
      </c>
      <c r="J219" s="21" t="str">
        <f ca="1">IF(Calc!$AM219="","",INDEX(Setup!$E$20:$E$34,Calc!$AN219)&amp;"")</f>
        <v/>
      </c>
      <c r="K219" s="23" t="str">
        <f ca="1">IF(Calc!$AM219="","",INDEX(Setup!$F$20:$F$34,Calc!$AN219))</f>
        <v/>
      </c>
      <c r="L219" s="21" t="str">
        <f ca="1">IF(Calc!$AM219="","",SUBSTITUTE(SUBSTITUTE(SUBSTITUTE(SUBSTITUTE(INDEX(Setup!$H$20:$H$34,Calc!$AN219)&amp;"","{name}",$E219),"{years}",$G219),"{date}",TEXT($H219,"mmmm d, yyyy")),"{company}",Setup!$C$4))</f>
        <v/>
      </c>
      <c r="M219" s="21" t="str">
        <f ca="1">IF(Calc!$AM219="","",SUBSTITUTE(SUBSTITUTE(SUBSTITUTE(SUBSTITUTE(INDEX(Setup!$I$20:$I$34,Calc!$AN219)&amp;"","{name}",$E219),"{years}",$G219),"{date}",TEXT($H219,"mmmm d, yyyy")),"{company}",Setup!$C$4))</f>
        <v/>
      </c>
      <c r="N219" s="21" t="str">
        <f ca="1">IF(Calc!$AM219="","",SUBSTITUTE(SUBSTITUTE(SUBSTITUTE(SUBSTITUTE(INDEX(Setup!$J$20:$J$34,Calc!$AN219)&amp;"","{name}",$E219),"{years}",$G219),"{date}",TEXT($H219,"mmmm d, yyyy")),"{company}",Setup!$C$4))</f>
        <v/>
      </c>
      <c r="O219" s="21" t="str">
        <f ca="1">IF(Calc!$AM219="","",SUBSTITUTE(SUBSTITUTE(SUBSTITUTE(SUBSTITUTE(INDEX(Setup!$K$20:$K$34,Calc!$AN219)&amp;"","{name}",$E219),"{years}",$G219),"{date}",TEXT($H219,"mmmm d, yyyy")),"{company}",Setup!$C$4))</f>
        <v/>
      </c>
      <c r="P219" s="21" t="str">
        <f ca="1">IF(Calc!$AM219="","",SUBSTITUTE(SUBSTITUTE(TRIM(SUBSTITUTE($L219," ","~")&amp;" "&amp;SUBSTITUTE($M219," ","~")&amp;" "&amp;SUBSTITUTE($N219," ","~")&amp;" "&amp;SUBSTITUTE($O219," ","~"))," "," | "),"~"," "))</f>
        <v/>
      </c>
    </row>
    <row r="220" spans="1:16" x14ac:dyDescent="0.2">
      <c r="A220" s="19" t="str">
        <f ca="1">IF(Calc!$AM220="","",ROW()-5)</f>
        <v/>
      </c>
      <c r="B220" s="20" t="str">
        <f ca="1">IF(Calc!$AM220="","",INT(Calc!$AK220))</f>
        <v/>
      </c>
      <c r="C220" s="21" t="str">
        <f ca="1">IF(Calc!$AM220="","",IF($H220&lt;Setup!$C$5,"PAST DUE: milestone date has passed",IF($B220&lt;Setup!$C$5,"LATE: order today, ask about rush",IF($B220&lt;Setup!$C$5+14,"Order within 2 weeks","Scheduled"))))</f>
        <v/>
      </c>
      <c r="D220" s="21" t="str">
        <f ca="1">IF(Calc!$AM220="","",TEXT($B220,"mmmm yyyy"))</f>
        <v/>
      </c>
      <c r="E220" s="21" t="str">
        <f ca="1">IF(Calc!$AM220="","",INDEX(Roster!$A$6:$A$505,Calc!$AM220)&amp;"")</f>
        <v/>
      </c>
      <c r="F220" s="21" t="str">
        <f ca="1">IF(Calc!$AM220="","",INDEX(Roster!$C$6:$C$505,Calc!$AM220)&amp;"")</f>
        <v/>
      </c>
      <c r="G220" s="19" t="str">
        <f ca="1">IF(Calc!$AM220="","",INDEX(Setup!$C$20:$C$34,Calc!$AN220))</f>
        <v/>
      </c>
      <c r="H220" s="20" t="str">
        <f ca="1">IF(Calc!$AM220="","",INDEX(Calc!$B$6:$P$505,Calc!$AM220,Calc!$AN220))</f>
        <v/>
      </c>
      <c r="I220" s="21" t="str">
        <f ca="1">IF(Calc!$AM220="","",INDEX(Setup!$D$20:$D$34,Calc!$AN220)&amp;"")</f>
        <v/>
      </c>
      <c r="J220" s="21" t="str">
        <f ca="1">IF(Calc!$AM220="","",INDEX(Setup!$E$20:$E$34,Calc!$AN220)&amp;"")</f>
        <v/>
      </c>
      <c r="K220" s="23" t="str">
        <f ca="1">IF(Calc!$AM220="","",INDEX(Setup!$F$20:$F$34,Calc!$AN220))</f>
        <v/>
      </c>
      <c r="L220" s="21" t="str">
        <f ca="1">IF(Calc!$AM220="","",SUBSTITUTE(SUBSTITUTE(SUBSTITUTE(SUBSTITUTE(INDEX(Setup!$H$20:$H$34,Calc!$AN220)&amp;"","{name}",$E220),"{years}",$G220),"{date}",TEXT($H220,"mmmm d, yyyy")),"{company}",Setup!$C$4))</f>
        <v/>
      </c>
      <c r="M220" s="21" t="str">
        <f ca="1">IF(Calc!$AM220="","",SUBSTITUTE(SUBSTITUTE(SUBSTITUTE(SUBSTITUTE(INDEX(Setup!$I$20:$I$34,Calc!$AN220)&amp;"","{name}",$E220),"{years}",$G220),"{date}",TEXT($H220,"mmmm d, yyyy")),"{company}",Setup!$C$4))</f>
        <v/>
      </c>
      <c r="N220" s="21" t="str">
        <f ca="1">IF(Calc!$AM220="","",SUBSTITUTE(SUBSTITUTE(SUBSTITUTE(SUBSTITUTE(INDEX(Setup!$J$20:$J$34,Calc!$AN220)&amp;"","{name}",$E220),"{years}",$G220),"{date}",TEXT($H220,"mmmm d, yyyy")),"{company}",Setup!$C$4))</f>
        <v/>
      </c>
      <c r="O220" s="21" t="str">
        <f ca="1">IF(Calc!$AM220="","",SUBSTITUTE(SUBSTITUTE(SUBSTITUTE(SUBSTITUTE(INDEX(Setup!$K$20:$K$34,Calc!$AN220)&amp;"","{name}",$E220),"{years}",$G220),"{date}",TEXT($H220,"mmmm d, yyyy")),"{company}",Setup!$C$4))</f>
        <v/>
      </c>
      <c r="P220" s="21" t="str">
        <f ca="1">IF(Calc!$AM220="","",SUBSTITUTE(SUBSTITUTE(TRIM(SUBSTITUTE($L220," ","~")&amp;" "&amp;SUBSTITUTE($M220," ","~")&amp;" "&amp;SUBSTITUTE($N220," ","~")&amp;" "&amp;SUBSTITUTE($O220," ","~"))," "," | "),"~"," "))</f>
        <v/>
      </c>
    </row>
    <row r="221" spans="1:16" x14ac:dyDescent="0.2">
      <c r="A221" s="19" t="str">
        <f ca="1">IF(Calc!$AM221="","",ROW()-5)</f>
        <v/>
      </c>
      <c r="B221" s="20" t="str">
        <f ca="1">IF(Calc!$AM221="","",INT(Calc!$AK221))</f>
        <v/>
      </c>
      <c r="C221" s="21" t="str">
        <f ca="1">IF(Calc!$AM221="","",IF($H221&lt;Setup!$C$5,"PAST DUE: milestone date has passed",IF($B221&lt;Setup!$C$5,"LATE: order today, ask about rush",IF($B221&lt;Setup!$C$5+14,"Order within 2 weeks","Scheduled"))))</f>
        <v/>
      </c>
      <c r="D221" s="21" t="str">
        <f ca="1">IF(Calc!$AM221="","",TEXT($B221,"mmmm yyyy"))</f>
        <v/>
      </c>
      <c r="E221" s="21" t="str">
        <f ca="1">IF(Calc!$AM221="","",INDEX(Roster!$A$6:$A$505,Calc!$AM221)&amp;"")</f>
        <v/>
      </c>
      <c r="F221" s="21" t="str">
        <f ca="1">IF(Calc!$AM221="","",INDEX(Roster!$C$6:$C$505,Calc!$AM221)&amp;"")</f>
        <v/>
      </c>
      <c r="G221" s="19" t="str">
        <f ca="1">IF(Calc!$AM221="","",INDEX(Setup!$C$20:$C$34,Calc!$AN221))</f>
        <v/>
      </c>
      <c r="H221" s="20" t="str">
        <f ca="1">IF(Calc!$AM221="","",INDEX(Calc!$B$6:$P$505,Calc!$AM221,Calc!$AN221))</f>
        <v/>
      </c>
      <c r="I221" s="21" t="str">
        <f ca="1">IF(Calc!$AM221="","",INDEX(Setup!$D$20:$D$34,Calc!$AN221)&amp;"")</f>
        <v/>
      </c>
      <c r="J221" s="21" t="str">
        <f ca="1">IF(Calc!$AM221="","",INDEX(Setup!$E$20:$E$34,Calc!$AN221)&amp;"")</f>
        <v/>
      </c>
      <c r="K221" s="23" t="str">
        <f ca="1">IF(Calc!$AM221="","",INDEX(Setup!$F$20:$F$34,Calc!$AN221))</f>
        <v/>
      </c>
      <c r="L221" s="21" t="str">
        <f ca="1">IF(Calc!$AM221="","",SUBSTITUTE(SUBSTITUTE(SUBSTITUTE(SUBSTITUTE(INDEX(Setup!$H$20:$H$34,Calc!$AN221)&amp;"","{name}",$E221),"{years}",$G221),"{date}",TEXT($H221,"mmmm d, yyyy")),"{company}",Setup!$C$4))</f>
        <v/>
      </c>
      <c r="M221" s="21" t="str">
        <f ca="1">IF(Calc!$AM221="","",SUBSTITUTE(SUBSTITUTE(SUBSTITUTE(SUBSTITUTE(INDEX(Setup!$I$20:$I$34,Calc!$AN221)&amp;"","{name}",$E221),"{years}",$G221),"{date}",TEXT($H221,"mmmm d, yyyy")),"{company}",Setup!$C$4))</f>
        <v/>
      </c>
      <c r="N221" s="21" t="str">
        <f ca="1">IF(Calc!$AM221="","",SUBSTITUTE(SUBSTITUTE(SUBSTITUTE(SUBSTITUTE(INDEX(Setup!$J$20:$J$34,Calc!$AN221)&amp;"","{name}",$E221),"{years}",$G221),"{date}",TEXT($H221,"mmmm d, yyyy")),"{company}",Setup!$C$4))</f>
        <v/>
      </c>
      <c r="O221" s="21" t="str">
        <f ca="1">IF(Calc!$AM221="","",SUBSTITUTE(SUBSTITUTE(SUBSTITUTE(SUBSTITUTE(INDEX(Setup!$K$20:$K$34,Calc!$AN221)&amp;"","{name}",$E221),"{years}",$G221),"{date}",TEXT($H221,"mmmm d, yyyy")),"{company}",Setup!$C$4))</f>
        <v/>
      </c>
      <c r="P221" s="21" t="str">
        <f ca="1">IF(Calc!$AM221="","",SUBSTITUTE(SUBSTITUTE(TRIM(SUBSTITUTE($L221," ","~")&amp;" "&amp;SUBSTITUTE($M221," ","~")&amp;" "&amp;SUBSTITUTE($N221," ","~")&amp;" "&amp;SUBSTITUTE($O221," ","~"))," "," | "),"~"," "))</f>
        <v/>
      </c>
    </row>
    <row r="222" spans="1:16" x14ac:dyDescent="0.2">
      <c r="A222" s="19" t="str">
        <f ca="1">IF(Calc!$AM222="","",ROW()-5)</f>
        <v/>
      </c>
      <c r="B222" s="20" t="str">
        <f ca="1">IF(Calc!$AM222="","",INT(Calc!$AK222))</f>
        <v/>
      </c>
      <c r="C222" s="21" t="str">
        <f ca="1">IF(Calc!$AM222="","",IF($H222&lt;Setup!$C$5,"PAST DUE: milestone date has passed",IF($B222&lt;Setup!$C$5,"LATE: order today, ask about rush",IF($B222&lt;Setup!$C$5+14,"Order within 2 weeks","Scheduled"))))</f>
        <v/>
      </c>
      <c r="D222" s="21" t="str">
        <f ca="1">IF(Calc!$AM222="","",TEXT($B222,"mmmm yyyy"))</f>
        <v/>
      </c>
      <c r="E222" s="21" t="str">
        <f ca="1">IF(Calc!$AM222="","",INDEX(Roster!$A$6:$A$505,Calc!$AM222)&amp;"")</f>
        <v/>
      </c>
      <c r="F222" s="21" t="str">
        <f ca="1">IF(Calc!$AM222="","",INDEX(Roster!$C$6:$C$505,Calc!$AM222)&amp;"")</f>
        <v/>
      </c>
      <c r="G222" s="19" t="str">
        <f ca="1">IF(Calc!$AM222="","",INDEX(Setup!$C$20:$C$34,Calc!$AN222))</f>
        <v/>
      </c>
      <c r="H222" s="20" t="str">
        <f ca="1">IF(Calc!$AM222="","",INDEX(Calc!$B$6:$P$505,Calc!$AM222,Calc!$AN222))</f>
        <v/>
      </c>
      <c r="I222" s="21" t="str">
        <f ca="1">IF(Calc!$AM222="","",INDEX(Setup!$D$20:$D$34,Calc!$AN222)&amp;"")</f>
        <v/>
      </c>
      <c r="J222" s="21" t="str">
        <f ca="1">IF(Calc!$AM222="","",INDEX(Setup!$E$20:$E$34,Calc!$AN222)&amp;"")</f>
        <v/>
      </c>
      <c r="K222" s="23" t="str">
        <f ca="1">IF(Calc!$AM222="","",INDEX(Setup!$F$20:$F$34,Calc!$AN222))</f>
        <v/>
      </c>
      <c r="L222" s="21" t="str">
        <f ca="1">IF(Calc!$AM222="","",SUBSTITUTE(SUBSTITUTE(SUBSTITUTE(SUBSTITUTE(INDEX(Setup!$H$20:$H$34,Calc!$AN222)&amp;"","{name}",$E222),"{years}",$G222),"{date}",TEXT($H222,"mmmm d, yyyy")),"{company}",Setup!$C$4))</f>
        <v/>
      </c>
      <c r="M222" s="21" t="str">
        <f ca="1">IF(Calc!$AM222="","",SUBSTITUTE(SUBSTITUTE(SUBSTITUTE(SUBSTITUTE(INDEX(Setup!$I$20:$I$34,Calc!$AN222)&amp;"","{name}",$E222),"{years}",$G222),"{date}",TEXT($H222,"mmmm d, yyyy")),"{company}",Setup!$C$4))</f>
        <v/>
      </c>
      <c r="N222" s="21" t="str">
        <f ca="1">IF(Calc!$AM222="","",SUBSTITUTE(SUBSTITUTE(SUBSTITUTE(SUBSTITUTE(INDEX(Setup!$J$20:$J$34,Calc!$AN222)&amp;"","{name}",$E222),"{years}",$G222),"{date}",TEXT($H222,"mmmm d, yyyy")),"{company}",Setup!$C$4))</f>
        <v/>
      </c>
      <c r="O222" s="21" t="str">
        <f ca="1">IF(Calc!$AM222="","",SUBSTITUTE(SUBSTITUTE(SUBSTITUTE(SUBSTITUTE(INDEX(Setup!$K$20:$K$34,Calc!$AN222)&amp;"","{name}",$E222),"{years}",$G222),"{date}",TEXT($H222,"mmmm d, yyyy")),"{company}",Setup!$C$4))</f>
        <v/>
      </c>
      <c r="P222" s="21" t="str">
        <f ca="1">IF(Calc!$AM222="","",SUBSTITUTE(SUBSTITUTE(TRIM(SUBSTITUTE($L222," ","~")&amp;" "&amp;SUBSTITUTE($M222," ","~")&amp;" "&amp;SUBSTITUTE($N222," ","~")&amp;" "&amp;SUBSTITUTE($O222," ","~"))," "," | "),"~"," "))</f>
        <v/>
      </c>
    </row>
    <row r="223" spans="1:16" x14ac:dyDescent="0.2">
      <c r="A223" s="19" t="str">
        <f ca="1">IF(Calc!$AM223="","",ROW()-5)</f>
        <v/>
      </c>
      <c r="B223" s="20" t="str">
        <f ca="1">IF(Calc!$AM223="","",INT(Calc!$AK223))</f>
        <v/>
      </c>
      <c r="C223" s="21" t="str">
        <f ca="1">IF(Calc!$AM223="","",IF($H223&lt;Setup!$C$5,"PAST DUE: milestone date has passed",IF($B223&lt;Setup!$C$5,"LATE: order today, ask about rush",IF($B223&lt;Setup!$C$5+14,"Order within 2 weeks","Scheduled"))))</f>
        <v/>
      </c>
      <c r="D223" s="21" t="str">
        <f ca="1">IF(Calc!$AM223="","",TEXT($B223,"mmmm yyyy"))</f>
        <v/>
      </c>
      <c r="E223" s="21" t="str">
        <f ca="1">IF(Calc!$AM223="","",INDEX(Roster!$A$6:$A$505,Calc!$AM223)&amp;"")</f>
        <v/>
      </c>
      <c r="F223" s="21" t="str">
        <f ca="1">IF(Calc!$AM223="","",INDEX(Roster!$C$6:$C$505,Calc!$AM223)&amp;"")</f>
        <v/>
      </c>
      <c r="G223" s="19" t="str">
        <f ca="1">IF(Calc!$AM223="","",INDEX(Setup!$C$20:$C$34,Calc!$AN223))</f>
        <v/>
      </c>
      <c r="H223" s="20" t="str">
        <f ca="1">IF(Calc!$AM223="","",INDEX(Calc!$B$6:$P$505,Calc!$AM223,Calc!$AN223))</f>
        <v/>
      </c>
      <c r="I223" s="21" t="str">
        <f ca="1">IF(Calc!$AM223="","",INDEX(Setup!$D$20:$D$34,Calc!$AN223)&amp;"")</f>
        <v/>
      </c>
      <c r="J223" s="21" t="str">
        <f ca="1">IF(Calc!$AM223="","",INDEX(Setup!$E$20:$E$34,Calc!$AN223)&amp;"")</f>
        <v/>
      </c>
      <c r="K223" s="23" t="str">
        <f ca="1">IF(Calc!$AM223="","",INDEX(Setup!$F$20:$F$34,Calc!$AN223))</f>
        <v/>
      </c>
      <c r="L223" s="21" t="str">
        <f ca="1">IF(Calc!$AM223="","",SUBSTITUTE(SUBSTITUTE(SUBSTITUTE(SUBSTITUTE(INDEX(Setup!$H$20:$H$34,Calc!$AN223)&amp;"","{name}",$E223),"{years}",$G223),"{date}",TEXT($H223,"mmmm d, yyyy")),"{company}",Setup!$C$4))</f>
        <v/>
      </c>
      <c r="M223" s="21" t="str">
        <f ca="1">IF(Calc!$AM223="","",SUBSTITUTE(SUBSTITUTE(SUBSTITUTE(SUBSTITUTE(INDEX(Setup!$I$20:$I$34,Calc!$AN223)&amp;"","{name}",$E223),"{years}",$G223),"{date}",TEXT($H223,"mmmm d, yyyy")),"{company}",Setup!$C$4))</f>
        <v/>
      </c>
      <c r="N223" s="21" t="str">
        <f ca="1">IF(Calc!$AM223="","",SUBSTITUTE(SUBSTITUTE(SUBSTITUTE(SUBSTITUTE(INDEX(Setup!$J$20:$J$34,Calc!$AN223)&amp;"","{name}",$E223),"{years}",$G223),"{date}",TEXT($H223,"mmmm d, yyyy")),"{company}",Setup!$C$4))</f>
        <v/>
      </c>
      <c r="O223" s="21" t="str">
        <f ca="1">IF(Calc!$AM223="","",SUBSTITUTE(SUBSTITUTE(SUBSTITUTE(SUBSTITUTE(INDEX(Setup!$K$20:$K$34,Calc!$AN223)&amp;"","{name}",$E223),"{years}",$G223),"{date}",TEXT($H223,"mmmm d, yyyy")),"{company}",Setup!$C$4))</f>
        <v/>
      </c>
      <c r="P223" s="21" t="str">
        <f ca="1">IF(Calc!$AM223="","",SUBSTITUTE(SUBSTITUTE(TRIM(SUBSTITUTE($L223," ","~")&amp;" "&amp;SUBSTITUTE($M223," ","~")&amp;" "&amp;SUBSTITUTE($N223," ","~")&amp;" "&amp;SUBSTITUTE($O223," ","~"))," "," | "),"~"," "))</f>
        <v/>
      </c>
    </row>
    <row r="224" spans="1:16" x14ac:dyDescent="0.2">
      <c r="A224" s="19" t="str">
        <f ca="1">IF(Calc!$AM224="","",ROW()-5)</f>
        <v/>
      </c>
      <c r="B224" s="20" t="str">
        <f ca="1">IF(Calc!$AM224="","",INT(Calc!$AK224))</f>
        <v/>
      </c>
      <c r="C224" s="21" t="str">
        <f ca="1">IF(Calc!$AM224="","",IF($H224&lt;Setup!$C$5,"PAST DUE: milestone date has passed",IF($B224&lt;Setup!$C$5,"LATE: order today, ask about rush",IF($B224&lt;Setup!$C$5+14,"Order within 2 weeks","Scheduled"))))</f>
        <v/>
      </c>
      <c r="D224" s="21" t="str">
        <f ca="1">IF(Calc!$AM224="","",TEXT($B224,"mmmm yyyy"))</f>
        <v/>
      </c>
      <c r="E224" s="21" t="str">
        <f ca="1">IF(Calc!$AM224="","",INDEX(Roster!$A$6:$A$505,Calc!$AM224)&amp;"")</f>
        <v/>
      </c>
      <c r="F224" s="21" t="str">
        <f ca="1">IF(Calc!$AM224="","",INDEX(Roster!$C$6:$C$505,Calc!$AM224)&amp;"")</f>
        <v/>
      </c>
      <c r="G224" s="19" t="str">
        <f ca="1">IF(Calc!$AM224="","",INDEX(Setup!$C$20:$C$34,Calc!$AN224))</f>
        <v/>
      </c>
      <c r="H224" s="20" t="str">
        <f ca="1">IF(Calc!$AM224="","",INDEX(Calc!$B$6:$P$505,Calc!$AM224,Calc!$AN224))</f>
        <v/>
      </c>
      <c r="I224" s="21" t="str">
        <f ca="1">IF(Calc!$AM224="","",INDEX(Setup!$D$20:$D$34,Calc!$AN224)&amp;"")</f>
        <v/>
      </c>
      <c r="J224" s="21" t="str">
        <f ca="1">IF(Calc!$AM224="","",INDEX(Setup!$E$20:$E$34,Calc!$AN224)&amp;"")</f>
        <v/>
      </c>
      <c r="K224" s="23" t="str">
        <f ca="1">IF(Calc!$AM224="","",INDEX(Setup!$F$20:$F$34,Calc!$AN224))</f>
        <v/>
      </c>
      <c r="L224" s="21" t="str">
        <f ca="1">IF(Calc!$AM224="","",SUBSTITUTE(SUBSTITUTE(SUBSTITUTE(SUBSTITUTE(INDEX(Setup!$H$20:$H$34,Calc!$AN224)&amp;"","{name}",$E224),"{years}",$G224),"{date}",TEXT($H224,"mmmm d, yyyy")),"{company}",Setup!$C$4))</f>
        <v/>
      </c>
      <c r="M224" s="21" t="str">
        <f ca="1">IF(Calc!$AM224="","",SUBSTITUTE(SUBSTITUTE(SUBSTITUTE(SUBSTITUTE(INDEX(Setup!$I$20:$I$34,Calc!$AN224)&amp;"","{name}",$E224),"{years}",$G224),"{date}",TEXT($H224,"mmmm d, yyyy")),"{company}",Setup!$C$4))</f>
        <v/>
      </c>
      <c r="N224" s="21" t="str">
        <f ca="1">IF(Calc!$AM224="","",SUBSTITUTE(SUBSTITUTE(SUBSTITUTE(SUBSTITUTE(INDEX(Setup!$J$20:$J$34,Calc!$AN224)&amp;"","{name}",$E224),"{years}",$G224),"{date}",TEXT($H224,"mmmm d, yyyy")),"{company}",Setup!$C$4))</f>
        <v/>
      </c>
      <c r="O224" s="21" t="str">
        <f ca="1">IF(Calc!$AM224="","",SUBSTITUTE(SUBSTITUTE(SUBSTITUTE(SUBSTITUTE(INDEX(Setup!$K$20:$K$34,Calc!$AN224)&amp;"","{name}",$E224),"{years}",$G224),"{date}",TEXT($H224,"mmmm d, yyyy")),"{company}",Setup!$C$4))</f>
        <v/>
      </c>
      <c r="P224" s="21" t="str">
        <f ca="1">IF(Calc!$AM224="","",SUBSTITUTE(SUBSTITUTE(TRIM(SUBSTITUTE($L224," ","~")&amp;" "&amp;SUBSTITUTE($M224," ","~")&amp;" "&amp;SUBSTITUTE($N224," ","~")&amp;" "&amp;SUBSTITUTE($O224," ","~"))," "," | "),"~"," "))</f>
        <v/>
      </c>
    </row>
    <row r="225" spans="1:16" x14ac:dyDescent="0.2">
      <c r="A225" s="19" t="str">
        <f ca="1">IF(Calc!$AM225="","",ROW()-5)</f>
        <v/>
      </c>
      <c r="B225" s="20" t="str">
        <f ca="1">IF(Calc!$AM225="","",INT(Calc!$AK225))</f>
        <v/>
      </c>
      <c r="C225" s="21" t="str">
        <f ca="1">IF(Calc!$AM225="","",IF($H225&lt;Setup!$C$5,"PAST DUE: milestone date has passed",IF($B225&lt;Setup!$C$5,"LATE: order today, ask about rush",IF($B225&lt;Setup!$C$5+14,"Order within 2 weeks","Scheduled"))))</f>
        <v/>
      </c>
      <c r="D225" s="21" t="str">
        <f ca="1">IF(Calc!$AM225="","",TEXT($B225,"mmmm yyyy"))</f>
        <v/>
      </c>
      <c r="E225" s="21" t="str">
        <f ca="1">IF(Calc!$AM225="","",INDEX(Roster!$A$6:$A$505,Calc!$AM225)&amp;"")</f>
        <v/>
      </c>
      <c r="F225" s="21" t="str">
        <f ca="1">IF(Calc!$AM225="","",INDEX(Roster!$C$6:$C$505,Calc!$AM225)&amp;"")</f>
        <v/>
      </c>
      <c r="G225" s="19" t="str">
        <f ca="1">IF(Calc!$AM225="","",INDEX(Setup!$C$20:$C$34,Calc!$AN225))</f>
        <v/>
      </c>
      <c r="H225" s="20" t="str">
        <f ca="1">IF(Calc!$AM225="","",INDEX(Calc!$B$6:$P$505,Calc!$AM225,Calc!$AN225))</f>
        <v/>
      </c>
      <c r="I225" s="21" t="str">
        <f ca="1">IF(Calc!$AM225="","",INDEX(Setup!$D$20:$D$34,Calc!$AN225)&amp;"")</f>
        <v/>
      </c>
      <c r="J225" s="21" t="str">
        <f ca="1">IF(Calc!$AM225="","",INDEX(Setup!$E$20:$E$34,Calc!$AN225)&amp;"")</f>
        <v/>
      </c>
      <c r="K225" s="23" t="str">
        <f ca="1">IF(Calc!$AM225="","",INDEX(Setup!$F$20:$F$34,Calc!$AN225))</f>
        <v/>
      </c>
      <c r="L225" s="21" t="str">
        <f ca="1">IF(Calc!$AM225="","",SUBSTITUTE(SUBSTITUTE(SUBSTITUTE(SUBSTITUTE(INDEX(Setup!$H$20:$H$34,Calc!$AN225)&amp;"","{name}",$E225),"{years}",$G225),"{date}",TEXT($H225,"mmmm d, yyyy")),"{company}",Setup!$C$4))</f>
        <v/>
      </c>
      <c r="M225" s="21" t="str">
        <f ca="1">IF(Calc!$AM225="","",SUBSTITUTE(SUBSTITUTE(SUBSTITUTE(SUBSTITUTE(INDEX(Setup!$I$20:$I$34,Calc!$AN225)&amp;"","{name}",$E225),"{years}",$G225),"{date}",TEXT($H225,"mmmm d, yyyy")),"{company}",Setup!$C$4))</f>
        <v/>
      </c>
      <c r="N225" s="21" t="str">
        <f ca="1">IF(Calc!$AM225="","",SUBSTITUTE(SUBSTITUTE(SUBSTITUTE(SUBSTITUTE(INDEX(Setup!$J$20:$J$34,Calc!$AN225)&amp;"","{name}",$E225),"{years}",$G225),"{date}",TEXT($H225,"mmmm d, yyyy")),"{company}",Setup!$C$4))</f>
        <v/>
      </c>
      <c r="O225" s="21" t="str">
        <f ca="1">IF(Calc!$AM225="","",SUBSTITUTE(SUBSTITUTE(SUBSTITUTE(SUBSTITUTE(INDEX(Setup!$K$20:$K$34,Calc!$AN225)&amp;"","{name}",$E225),"{years}",$G225),"{date}",TEXT($H225,"mmmm d, yyyy")),"{company}",Setup!$C$4))</f>
        <v/>
      </c>
      <c r="P225" s="21" t="str">
        <f ca="1">IF(Calc!$AM225="","",SUBSTITUTE(SUBSTITUTE(TRIM(SUBSTITUTE($L225," ","~")&amp;" "&amp;SUBSTITUTE($M225," ","~")&amp;" "&amp;SUBSTITUTE($N225," ","~")&amp;" "&amp;SUBSTITUTE($O225," ","~"))," "," | "),"~"," "))</f>
        <v/>
      </c>
    </row>
    <row r="226" spans="1:16" x14ac:dyDescent="0.2">
      <c r="A226" s="19" t="str">
        <f ca="1">IF(Calc!$AM226="","",ROW()-5)</f>
        <v/>
      </c>
      <c r="B226" s="20" t="str">
        <f ca="1">IF(Calc!$AM226="","",INT(Calc!$AK226))</f>
        <v/>
      </c>
      <c r="C226" s="21" t="str">
        <f ca="1">IF(Calc!$AM226="","",IF($H226&lt;Setup!$C$5,"PAST DUE: milestone date has passed",IF($B226&lt;Setup!$C$5,"LATE: order today, ask about rush",IF($B226&lt;Setup!$C$5+14,"Order within 2 weeks","Scheduled"))))</f>
        <v/>
      </c>
      <c r="D226" s="21" t="str">
        <f ca="1">IF(Calc!$AM226="","",TEXT($B226,"mmmm yyyy"))</f>
        <v/>
      </c>
      <c r="E226" s="21" t="str">
        <f ca="1">IF(Calc!$AM226="","",INDEX(Roster!$A$6:$A$505,Calc!$AM226)&amp;"")</f>
        <v/>
      </c>
      <c r="F226" s="21" t="str">
        <f ca="1">IF(Calc!$AM226="","",INDEX(Roster!$C$6:$C$505,Calc!$AM226)&amp;"")</f>
        <v/>
      </c>
      <c r="G226" s="19" t="str">
        <f ca="1">IF(Calc!$AM226="","",INDEX(Setup!$C$20:$C$34,Calc!$AN226))</f>
        <v/>
      </c>
      <c r="H226" s="20" t="str">
        <f ca="1">IF(Calc!$AM226="","",INDEX(Calc!$B$6:$P$505,Calc!$AM226,Calc!$AN226))</f>
        <v/>
      </c>
      <c r="I226" s="21" t="str">
        <f ca="1">IF(Calc!$AM226="","",INDEX(Setup!$D$20:$D$34,Calc!$AN226)&amp;"")</f>
        <v/>
      </c>
      <c r="J226" s="21" t="str">
        <f ca="1">IF(Calc!$AM226="","",INDEX(Setup!$E$20:$E$34,Calc!$AN226)&amp;"")</f>
        <v/>
      </c>
      <c r="K226" s="23" t="str">
        <f ca="1">IF(Calc!$AM226="","",INDEX(Setup!$F$20:$F$34,Calc!$AN226))</f>
        <v/>
      </c>
      <c r="L226" s="21" t="str">
        <f ca="1">IF(Calc!$AM226="","",SUBSTITUTE(SUBSTITUTE(SUBSTITUTE(SUBSTITUTE(INDEX(Setup!$H$20:$H$34,Calc!$AN226)&amp;"","{name}",$E226),"{years}",$G226),"{date}",TEXT($H226,"mmmm d, yyyy")),"{company}",Setup!$C$4))</f>
        <v/>
      </c>
      <c r="M226" s="21" t="str">
        <f ca="1">IF(Calc!$AM226="","",SUBSTITUTE(SUBSTITUTE(SUBSTITUTE(SUBSTITUTE(INDEX(Setup!$I$20:$I$34,Calc!$AN226)&amp;"","{name}",$E226),"{years}",$G226),"{date}",TEXT($H226,"mmmm d, yyyy")),"{company}",Setup!$C$4))</f>
        <v/>
      </c>
      <c r="N226" s="21" t="str">
        <f ca="1">IF(Calc!$AM226="","",SUBSTITUTE(SUBSTITUTE(SUBSTITUTE(SUBSTITUTE(INDEX(Setup!$J$20:$J$34,Calc!$AN226)&amp;"","{name}",$E226),"{years}",$G226),"{date}",TEXT($H226,"mmmm d, yyyy")),"{company}",Setup!$C$4))</f>
        <v/>
      </c>
      <c r="O226" s="21" t="str">
        <f ca="1">IF(Calc!$AM226="","",SUBSTITUTE(SUBSTITUTE(SUBSTITUTE(SUBSTITUTE(INDEX(Setup!$K$20:$K$34,Calc!$AN226)&amp;"","{name}",$E226),"{years}",$G226),"{date}",TEXT($H226,"mmmm d, yyyy")),"{company}",Setup!$C$4))</f>
        <v/>
      </c>
      <c r="P226" s="21" t="str">
        <f ca="1">IF(Calc!$AM226="","",SUBSTITUTE(SUBSTITUTE(TRIM(SUBSTITUTE($L226," ","~")&amp;" "&amp;SUBSTITUTE($M226," ","~")&amp;" "&amp;SUBSTITUTE($N226," ","~")&amp;" "&amp;SUBSTITUTE($O226," ","~"))," "," | "),"~"," "))</f>
        <v/>
      </c>
    </row>
    <row r="227" spans="1:16" x14ac:dyDescent="0.2">
      <c r="A227" s="19" t="str">
        <f ca="1">IF(Calc!$AM227="","",ROW()-5)</f>
        <v/>
      </c>
      <c r="B227" s="20" t="str">
        <f ca="1">IF(Calc!$AM227="","",INT(Calc!$AK227))</f>
        <v/>
      </c>
      <c r="C227" s="21" t="str">
        <f ca="1">IF(Calc!$AM227="","",IF($H227&lt;Setup!$C$5,"PAST DUE: milestone date has passed",IF($B227&lt;Setup!$C$5,"LATE: order today, ask about rush",IF($B227&lt;Setup!$C$5+14,"Order within 2 weeks","Scheduled"))))</f>
        <v/>
      </c>
      <c r="D227" s="21" t="str">
        <f ca="1">IF(Calc!$AM227="","",TEXT($B227,"mmmm yyyy"))</f>
        <v/>
      </c>
      <c r="E227" s="21" t="str">
        <f ca="1">IF(Calc!$AM227="","",INDEX(Roster!$A$6:$A$505,Calc!$AM227)&amp;"")</f>
        <v/>
      </c>
      <c r="F227" s="21" t="str">
        <f ca="1">IF(Calc!$AM227="","",INDEX(Roster!$C$6:$C$505,Calc!$AM227)&amp;"")</f>
        <v/>
      </c>
      <c r="G227" s="19" t="str">
        <f ca="1">IF(Calc!$AM227="","",INDEX(Setup!$C$20:$C$34,Calc!$AN227))</f>
        <v/>
      </c>
      <c r="H227" s="20" t="str">
        <f ca="1">IF(Calc!$AM227="","",INDEX(Calc!$B$6:$P$505,Calc!$AM227,Calc!$AN227))</f>
        <v/>
      </c>
      <c r="I227" s="21" t="str">
        <f ca="1">IF(Calc!$AM227="","",INDEX(Setup!$D$20:$D$34,Calc!$AN227)&amp;"")</f>
        <v/>
      </c>
      <c r="J227" s="21" t="str">
        <f ca="1">IF(Calc!$AM227="","",INDEX(Setup!$E$20:$E$34,Calc!$AN227)&amp;"")</f>
        <v/>
      </c>
      <c r="K227" s="23" t="str">
        <f ca="1">IF(Calc!$AM227="","",INDEX(Setup!$F$20:$F$34,Calc!$AN227))</f>
        <v/>
      </c>
      <c r="L227" s="21" t="str">
        <f ca="1">IF(Calc!$AM227="","",SUBSTITUTE(SUBSTITUTE(SUBSTITUTE(SUBSTITUTE(INDEX(Setup!$H$20:$H$34,Calc!$AN227)&amp;"","{name}",$E227),"{years}",$G227),"{date}",TEXT($H227,"mmmm d, yyyy")),"{company}",Setup!$C$4))</f>
        <v/>
      </c>
      <c r="M227" s="21" t="str">
        <f ca="1">IF(Calc!$AM227="","",SUBSTITUTE(SUBSTITUTE(SUBSTITUTE(SUBSTITUTE(INDEX(Setup!$I$20:$I$34,Calc!$AN227)&amp;"","{name}",$E227),"{years}",$G227),"{date}",TEXT($H227,"mmmm d, yyyy")),"{company}",Setup!$C$4))</f>
        <v/>
      </c>
      <c r="N227" s="21" t="str">
        <f ca="1">IF(Calc!$AM227="","",SUBSTITUTE(SUBSTITUTE(SUBSTITUTE(SUBSTITUTE(INDEX(Setup!$J$20:$J$34,Calc!$AN227)&amp;"","{name}",$E227),"{years}",$G227),"{date}",TEXT($H227,"mmmm d, yyyy")),"{company}",Setup!$C$4))</f>
        <v/>
      </c>
      <c r="O227" s="21" t="str">
        <f ca="1">IF(Calc!$AM227="","",SUBSTITUTE(SUBSTITUTE(SUBSTITUTE(SUBSTITUTE(INDEX(Setup!$K$20:$K$34,Calc!$AN227)&amp;"","{name}",$E227),"{years}",$G227),"{date}",TEXT($H227,"mmmm d, yyyy")),"{company}",Setup!$C$4))</f>
        <v/>
      </c>
      <c r="P227" s="21" t="str">
        <f ca="1">IF(Calc!$AM227="","",SUBSTITUTE(SUBSTITUTE(TRIM(SUBSTITUTE($L227," ","~")&amp;" "&amp;SUBSTITUTE($M227," ","~")&amp;" "&amp;SUBSTITUTE($N227," ","~")&amp;" "&amp;SUBSTITUTE($O227," ","~"))," "," | "),"~"," "))</f>
        <v/>
      </c>
    </row>
    <row r="228" spans="1:16" x14ac:dyDescent="0.2">
      <c r="A228" s="19" t="str">
        <f ca="1">IF(Calc!$AM228="","",ROW()-5)</f>
        <v/>
      </c>
      <c r="B228" s="20" t="str">
        <f ca="1">IF(Calc!$AM228="","",INT(Calc!$AK228))</f>
        <v/>
      </c>
      <c r="C228" s="21" t="str">
        <f ca="1">IF(Calc!$AM228="","",IF($H228&lt;Setup!$C$5,"PAST DUE: milestone date has passed",IF($B228&lt;Setup!$C$5,"LATE: order today, ask about rush",IF($B228&lt;Setup!$C$5+14,"Order within 2 weeks","Scheduled"))))</f>
        <v/>
      </c>
      <c r="D228" s="21" t="str">
        <f ca="1">IF(Calc!$AM228="","",TEXT($B228,"mmmm yyyy"))</f>
        <v/>
      </c>
      <c r="E228" s="21" t="str">
        <f ca="1">IF(Calc!$AM228="","",INDEX(Roster!$A$6:$A$505,Calc!$AM228)&amp;"")</f>
        <v/>
      </c>
      <c r="F228" s="21" t="str">
        <f ca="1">IF(Calc!$AM228="","",INDEX(Roster!$C$6:$C$505,Calc!$AM228)&amp;"")</f>
        <v/>
      </c>
      <c r="G228" s="19" t="str">
        <f ca="1">IF(Calc!$AM228="","",INDEX(Setup!$C$20:$C$34,Calc!$AN228))</f>
        <v/>
      </c>
      <c r="H228" s="20" t="str">
        <f ca="1">IF(Calc!$AM228="","",INDEX(Calc!$B$6:$P$505,Calc!$AM228,Calc!$AN228))</f>
        <v/>
      </c>
      <c r="I228" s="21" t="str">
        <f ca="1">IF(Calc!$AM228="","",INDEX(Setup!$D$20:$D$34,Calc!$AN228)&amp;"")</f>
        <v/>
      </c>
      <c r="J228" s="21" t="str">
        <f ca="1">IF(Calc!$AM228="","",INDEX(Setup!$E$20:$E$34,Calc!$AN228)&amp;"")</f>
        <v/>
      </c>
      <c r="K228" s="23" t="str">
        <f ca="1">IF(Calc!$AM228="","",INDEX(Setup!$F$20:$F$34,Calc!$AN228))</f>
        <v/>
      </c>
      <c r="L228" s="21" t="str">
        <f ca="1">IF(Calc!$AM228="","",SUBSTITUTE(SUBSTITUTE(SUBSTITUTE(SUBSTITUTE(INDEX(Setup!$H$20:$H$34,Calc!$AN228)&amp;"","{name}",$E228),"{years}",$G228),"{date}",TEXT($H228,"mmmm d, yyyy")),"{company}",Setup!$C$4))</f>
        <v/>
      </c>
      <c r="M228" s="21" t="str">
        <f ca="1">IF(Calc!$AM228="","",SUBSTITUTE(SUBSTITUTE(SUBSTITUTE(SUBSTITUTE(INDEX(Setup!$I$20:$I$34,Calc!$AN228)&amp;"","{name}",$E228),"{years}",$G228),"{date}",TEXT($H228,"mmmm d, yyyy")),"{company}",Setup!$C$4))</f>
        <v/>
      </c>
      <c r="N228" s="21" t="str">
        <f ca="1">IF(Calc!$AM228="","",SUBSTITUTE(SUBSTITUTE(SUBSTITUTE(SUBSTITUTE(INDEX(Setup!$J$20:$J$34,Calc!$AN228)&amp;"","{name}",$E228),"{years}",$G228),"{date}",TEXT($H228,"mmmm d, yyyy")),"{company}",Setup!$C$4))</f>
        <v/>
      </c>
      <c r="O228" s="21" t="str">
        <f ca="1">IF(Calc!$AM228="","",SUBSTITUTE(SUBSTITUTE(SUBSTITUTE(SUBSTITUTE(INDEX(Setup!$K$20:$K$34,Calc!$AN228)&amp;"","{name}",$E228),"{years}",$G228),"{date}",TEXT($H228,"mmmm d, yyyy")),"{company}",Setup!$C$4))</f>
        <v/>
      </c>
      <c r="P228" s="21" t="str">
        <f ca="1">IF(Calc!$AM228="","",SUBSTITUTE(SUBSTITUTE(TRIM(SUBSTITUTE($L228," ","~")&amp;" "&amp;SUBSTITUTE($M228," ","~")&amp;" "&amp;SUBSTITUTE($N228," ","~")&amp;" "&amp;SUBSTITUTE($O228," ","~"))," "," | "),"~"," "))</f>
        <v/>
      </c>
    </row>
    <row r="229" spans="1:16" x14ac:dyDescent="0.2">
      <c r="A229" s="19" t="str">
        <f ca="1">IF(Calc!$AM229="","",ROW()-5)</f>
        <v/>
      </c>
      <c r="B229" s="20" t="str">
        <f ca="1">IF(Calc!$AM229="","",INT(Calc!$AK229))</f>
        <v/>
      </c>
      <c r="C229" s="21" t="str">
        <f ca="1">IF(Calc!$AM229="","",IF($H229&lt;Setup!$C$5,"PAST DUE: milestone date has passed",IF($B229&lt;Setup!$C$5,"LATE: order today, ask about rush",IF($B229&lt;Setup!$C$5+14,"Order within 2 weeks","Scheduled"))))</f>
        <v/>
      </c>
      <c r="D229" s="21" t="str">
        <f ca="1">IF(Calc!$AM229="","",TEXT($B229,"mmmm yyyy"))</f>
        <v/>
      </c>
      <c r="E229" s="21" t="str">
        <f ca="1">IF(Calc!$AM229="","",INDEX(Roster!$A$6:$A$505,Calc!$AM229)&amp;"")</f>
        <v/>
      </c>
      <c r="F229" s="21" t="str">
        <f ca="1">IF(Calc!$AM229="","",INDEX(Roster!$C$6:$C$505,Calc!$AM229)&amp;"")</f>
        <v/>
      </c>
      <c r="G229" s="19" t="str">
        <f ca="1">IF(Calc!$AM229="","",INDEX(Setup!$C$20:$C$34,Calc!$AN229))</f>
        <v/>
      </c>
      <c r="H229" s="20" t="str">
        <f ca="1">IF(Calc!$AM229="","",INDEX(Calc!$B$6:$P$505,Calc!$AM229,Calc!$AN229))</f>
        <v/>
      </c>
      <c r="I229" s="21" t="str">
        <f ca="1">IF(Calc!$AM229="","",INDEX(Setup!$D$20:$D$34,Calc!$AN229)&amp;"")</f>
        <v/>
      </c>
      <c r="J229" s="21" t="str">
        <f ca="1">IF(Calc!$AM229="","",INDEX(Setup!$E$20:$E$34,Calc!$AN229)&amp;"")</f>
        <v/>
      </c>
      <c r="K229" s="23" t="str">
        <f ca="1">IF(Calc!$AM229="","",INDEX(Setup!$F$20:$F$34,Calc!$AN229))</f>
        <v/>
      </c>
      <c r="L229" s="21" t="str">
        <f ca="1">IF(Calc!$AM229="","",SUBSTITUTE(SUBSTITUTE(SUBSTITUTE(SUBSTITUTE(INDEX(Setup!$H$20:$H$34,Calc!$AN229)&amp;"","{name}",$E229),"{years}",$G229),"{date}",TEXT($H229,"mmmm d, yyyy")),"{company}",Setup!$C$4))</f>
        <v/>
      </c>
      <c r="M229" s="21" t="str">
        <f ca="1">IF(Calc!$AM229="","",SUBSTITUTE(SUBSTITUTE(SUBSTITUTE(SUBSTITUTE(INDEX(Setup!$I$20:$I$34,Calc!$AN229)&amp;"","{name}",$E229),"{years}",$G229),"{date}",TEXT($H229,"mmmm d, yyyy")),"{company}",Setup!$C$4))</f>
        <v/>
      </c>
      <c r="N229" s="21" t="str">
        <f ca="1">IF(Calc!$AM229="","",SUBSTITUTE(SUBSTITUTE(SUBSTITUTE(SUBSTITUTE(INDEX(Setup!$J$20:$J$34,Calc!$AN229)&amp;"","{name}",$E229),"{years}",$G229),"{date}",TEXT($H229,"mmmm d, yyyy")),"{company}",Setup!$C$4))</f>
        <v/>
      </c>
      <c r="O229" s="21" t="str">
        <f ca="1">IF(Calc!$AM229="","",SUBSTITUTE(SUBSTITUTE(SUBSTITUTE(SUBSTITUTE(INDEX(Setup!$K$20:$K$34,Calc!$AN229)&amp;"","{name}",$E229),"{years}",$G229),"{date}",TEXT($H229,"mmmm d, yyyy")),"{company}",Setup!$C$4))</f>
        <v/>
      </c>
      <c r="P229" s="21" t="str">
        <f ca="1">IF(Calc!$AM229="","",SUBSTITUTE(SUBSTITUTE(TRIM(SUBSTITUTE($L229," ","~")&amp;" "&amp;SUBSTITUTE($M229," ","~")&amp;" "&amp;SUBSTITUTE($N229," ","~")&amp;" "&amp;SUBSTITUTE($O229," ","~"))," "," | "),"~"," "))</f>
        <v/>
      </c>
    </row>
    <row r="230" spans="1:16" x14ac:dyDescent="0.2">
      <c r="A230" s="19" t="str">
        <f ca="1">IF(Calc!$AM230="","",ROW()-5)</f>
        <v/>
      </c>
      <c r="B230" s="20" t="str">
        <f ca="1">IF(Calc!$AM230="","",INT(Calc!$AK230))</f>
        <v/>
      </c>
      <c r="C230" s="21" t="str">
        <f ca="1">IF(Calc!$AM230="","",IF($H230&lt;Setup!$C$5,"PAST DUE: milestone date has passed",IF($B230&lt;Setup!$C$5,"LATE: order today, ask about rush",IF($B230&lt;Setup!$C$5+14,"Order within 2 weeks","Scheduled"))))</f>
        <v/>
      </c>
      <c r="D230" s="21" t="str">
        <f ca="1">IF(Calc!$AM230="","",TEXT($B230,"mmmm yyyy"))</f>
        <v/>
      </c>
      <c r="E230" s="21" t="str">
        <f ca="1">IF(Calc!$AM230="","",INDEX(Roster!$A$6:$A$505,Calc!$AM230)&amp;"")</f>
        <v/>
      </c>
      <c r="F230" s="21" t="str">
        <f ca="1">IF(Calc!$AM230="","",INDEX(Roster!$C$6:$C$505,Calc!$AM230)&amp;"")</f>
        <v/>
      </c>
      <c r="G230" s="19" t="str">
        <f ca="1">IF(Calc!$AM230="","",INDEX(Setup!$C$20:$C$34,Calc!$AN230))</f>
        <v/>
      </c>
      <c r="H230" s="20" t="str">
        <f ca="1">IF(Calc!$AM230="","",INDEX(Calc!$B$6:$P$505,Calc!$AM230,Calc!$AN230))</f>
        <v/>
      </c>
      <c r="I230" s="21" t="str">
        <f ca="1">IF(Calc!$AM230="","",INDEX(Setup!$D$20:$D$34,Calc!$AN230)&amp;"")</f>
        <v/>
      </c>
      <c r="J230" s="21" t="str">
        <f ca="1">IF(Calc!$AM230="","",INDEX(Setup!$E$20:$E$34,Calc!$AN230)&amp;"")</f>
        <v/>
      </c>
      <c r="K230" s="23" t="str">
        <f ca="1">IF(Calc!$AM230="","",INDEX(Setup!$F$20:$F$34,Calc!$AN230))</f>
        <v/>
      </c>
      <c r="L230" s="21" t="str">
        <f ca="1">IF(Calc!$AM230="","",SUBSTITUTE(SUBSTITUTE(SUBSTITUTE(SUBSTITUTE(INDEX(Setup!$H$20:$H$34,Calc!$AN230)&amp;"","{name}",$E230),"{years}",$G230),"{date}",TEXT($H230,"mmmm d, yyyy")),"{company}",Setup!$C$4))</f>
        <v/>
      </c>
      <c r="M230" s="21" t="str">
        <f ca="1">IF(Calc!$AM230="","",SUBSTITUTE(SUBSTITUTE(SUBSTITUTE(SUBSTITUTE(INDEX(Setup!$I$20:$I$34,Calc!$AN230)&amp;"","{name}",$E230),"{years}",$G230),"{date}",TEXT($H230,"mmmm d, yyyy")),"{company}",Setup!$C$4))</f>
        <v/>
      </c>
      <c r="N230" s="21" t="str">
        <f ca="1">IF(Calc!$AM230="","",SUBSTITUTE(SUBSTITUTE(SUBSTITUTE(SUBSTITUTE(INDEX(Setup!$J$20:$J$34,Calc!$AN230)&amp;"","{name}",$E230),"{years}",$G230),"{date}",TEXT($H230,"mmmm d, yyyy")),"{company}",Setup!$C$4))</f>
        <v/>
      </c>
      <c r="O230" s="21" t="str">
        <f ca="1">IF(Calc!$AM230="","",SUBSTITUTE(SUBSTITUTE(SUBSTITUTE(SUBSTITUTE(INDEX(Setup!$K$20:$K$34,Calc!$AN230)&amp;"","{name}",$E230),"{years}",$G230),"{date}",TEXT($H230,"mmmm d, yyyy")),"{company}",Setup!$C$4))</f>
        <v/>
      </c>
      <c r="P230" s="21" t="str">
        <f ca="1">IF(Calc!$AM230="","",SUBSTITUTE(SUBSTITUTE(TRIM(SUBSTITUTE($L230," ","~")&amp;" "&amp;SUBSTITUTE($M230," ","~")&amp;" "&amp;SUBSTITUTE($N230," ","~")&amp;" "&amp;SUBSTITUTE($O230," ","~"))," "," | "),"~"," "))</f>
        <v/>
      </c>
    </row>
    <row r="231" spans="1:16" x14ac:dyDescent="0.2">
      <c r="A231" s="19" t="str">
        <f ca="1">IF(Calc!$AM231="","",ROW()-5)</f>
        <v/>
      </c>
      <c r="B231" s="20" t="str">
        <f ca="1">IF(Calc!$AM231="","",INT(Calc!$AK231))</f>
        <v/>
      </c>
      <c r="C231" s="21" t="str">
        <f ca="1">IF(Calc!$AM231="","",IF($H231&lt;Setup!$C$5,"PAST DUE: milestone date has passed",IF($B231&lt;Setup!$C$5,"LATE: order today, ask about rush",IF($B231&lt;Setup!$C$5+14,"Order within 2 weeks","Scheduled"))))</f>
        <v/>
      </c>
      <c r="D231" s="21" t="str">
        <f ca="1">IF(Calc!$AM231="","",TEXT($B231,"mmmm yyyy"))</f>
        <v/>
      </c>
      <c r="E231" s="21" t="str">
        <f ca="1">IF(Calc!$AM231="","",INDEX(Roster!$A$6:$A$505,Calc!$AM231)&amp;"")</f>
        <v/>
      </c>
      <c r="F231" s="21" t="str">
        <f ca="1">IF(Calc!$AM231="","",INDEX(Roster!$C$6:$C$505,Calc!$AM231)&amp;"")</f>
        <v/>
      </c>
      <c r="G231" s="19" t="str">
        <f ca="1">IF(Calc!$AM231="","",INDEX(Setup!$C$20:$C$34,Calc!$AN231))</f>
        <v/>
      </c>
      <c r="H231" s="20" t="str">
        <f ca="1">IF(Calc!$AM231="","",INDEX(Calc!$B$6:$P$505,Calc!$AM231,Calc!$AN231))</f>
        <v/>
      </c>
      <c r="I231" s="21" t="str">
        <f ca="1">IF(Calc!$AM231="","",INDEX(Setup!$D$20:$D$34,Calc!$AN231)&amp;"")</f>
        <v/>
      </c>
      <c r="J231" s="21" t="str">
        <f ca="1">IF(Calc!$AM231="","",INDEX(Setup!$E$20:$E$34,Calc!$AN231)&amp;"")</f>
        <v/>
      </c>
      <c r="K231" s="23" t="str">
        <f ca="1">IF(Calc!$AM231="","",INDEX(Setup!$F$20:$F$34,Calc!$AN231))</f>
        <v/>
      </c>
      <c r="L231" s="21" t="str">
        <f ca="1">IF(Calc!$AM231="","",SUBSTITUTE(SUBSTITUTE(SUBSTITUTE(SUBSTITUTE(INDEX(Setup!$H$20:$H$34,Calc!$AN231)&amp;"","{name}",$E231),"{years}",$G231),"{date}",TEXT($H231,"mmmm d, yyyy")),"{company}",Setup!$C$4))</f>
        <v/>
      </c>
      <c r="M231" s="21" t="str">
        <f ca="1">IF(Calc!$AM231="","",SUBSTITUTE(SUBSTITUTE(SUBSTITUTE(SUBSTITUTE(INDEX(Setup!$I$20:$I$34,Calc!$AN231)&amp;"","{name}",$E231),"{years}",$G231),"{date}",TEXT($H231,"mmmm d, yyyy")),"{company}",Setup!$C$4))</f>
        <v/>
      </c>
      <c r="N231" s="21" t="str">
        <f ca="1">IF(Calc!$AM231="","",SUBSTITUTE(SUBSTITUTE(SUBSTITUTE(SUBSTITUTE(INDEX(Setup!$J$20:$J$34,Calc!$AN231)&amp;"","{name}",$E231),"{years}",$G231),"{date}",TEXT($H231,"mmmm d, yyyy")),"{company}",Setup!$C$4))</f>
        <v/>
      </c>
      <c r="O231" s="21" t="str">
        <f ca="1">IF(Calc!$AM231="","",SUBSTITUTE(SUBSTITUTE(SUBSTITUTE(SUBSTITUTE(INDEX(Setup!$K$20:$K$34,Calc!$AN231)&amp;"","{name}",$E231),"{years}",$G231),"{date}",TEXT($H231,"mmmm d, yyyy")),"{company}",Setup!$C$4))</f>
        <v/>
      </c>
      <c r="P231" s="21" t="str">
        <f ca="1">IF(Calc!$AM231="","",SUBSTITUTE(SUBSTITUTE(TRIM(SUBSTITUTE($L231," ","~")&amp;" "&amp;SUBSTITUTE($M231," ","~")&amp;" "&amp;SUBSTITUTE($N231," ","~")&amp;" "&amp;SUBSTITUTE($O231," ","~"))," "," | "),"~"," "))</f>
        <v/>
      </c>
    </row>
    <row r="232" spans="1:16" x14ac:dyDescent="0.2">
      <c r="A232" s="19" t="str">
        <f ca="1">IF(Calc!$AM232="","",ROW()-5)</f>
        <v/>
      </c>
      <c r="B232" s="20" t="str">
        <f ca="1">IF(Calc!$AM232="","",INT(Calc!$AK232))</f>
        <v/>
      </c>
      <c r="C232" s="21" t="str">
        <f ca="1">IF(Calc!$AM232="","",IF($H232&lt;Setup!$C$5,"PAST DUE: milestone date has passed",IF($B232&lt;Setup!$C$5,"LATE: order today, ask about rush",IF($B232&lt;Setup!$C$5+14,"Order within 2 weeks","Scheduled"))))</f>
        <v/>
      </c>
      <c r="D232" s="21" t="str">
        <f ca="1">IF(Calc!$AM232="","",TEXT($B232,"mmmm yyyy"))</f>
        <v/>
      </c>
      <c r="E232" s="21" t="str">
        <f ca="1">IF(Calc!$AM232="","",INDEX(Roster!$A$6:$A$505,Calc!$AM232)&amp;"")</f>
        <v/>
      </c>
      <c r="F232" s="21" t="str">
        <f ca="1">IF(Calc!$AM232="","",INDEX(Roster!$C$6:$C$505,Calc!$AM232)&amp;"")</f>
        <v/>
      </c>
      <c r="G232" s="19" t="str">
        <f ca="1">IF(Calc!$AM232="","",INDEX(Setup!$C$20:$C$34,Calc!$AN232))</f>
        <v/>
      </c>
      <c r="H232" s="20" t="str">
        <f ca="1">IF(Calc!$AM232="","",INDEX(Calc!$B$6:$P$505,Calc!$AM232,Calc!$AN232))</f>
        <v/>
      </c>
      <c r="I232" s="21" t="str">
        <f ca="1">IF(Calc!$AM232="","",INDEX(Setup!$D$20:$D$34,Calc!$AN232)&amp;"")</f>
        <v/>
      </c>
      <c r="J232" s="21" t="str">
        <f ca="1">IF(Calc!$AM232="","",INDEX(Setup!$E$20:$E$34,Calc!$AN232)&amp;"")</f>
        <v/>
      </c>
      <c r="K232" s="23" t="str">
        <f ca="1">IF(Calc!$AM232="","",INDEX(Setup!$F$20:$F$34,Calc!$AN232))</f>
        <v/>
      </c>
      <c r="L232" s="21" t="str">
        <f ca="1">IF(Calc!$AM232="","",SUBSTITUTE(SUBSTITUTE(SUBSTITUTE(SUBSTITUTE(INDEX(Setup!$H$20:$H$34,Calc!$AN232)&amp;"","{name}",$E232),"{years}",$G232),"{date}",TEXT($H232,"mmmm d, yyyy")),"{company}",Setup!$C$4))</f>
        <v/>
      </c>
      <c r="M232" s="21" t="str">
        <f ca="1">IF(Calc!$AM232="","",SUBSTITUTE(SUBSTITUTE(SUBSTITUTE(SUBSTITUTE(INDEX(Setup!$I$20:$I$34,Calc!$AN232)&amp;"","{name}",$E232),"{years}",$G232),"{date}",TEXT($H232,"mmmm d, yyyy")),"{company}",Setup!$C$4))</f>
        <v/>
      </c>
      <c r="N232" s="21" t="str">
        <f ca="1">IF(Calc!$AM232="","",SUBSTITUTE(SUBSTITUTE(SUBSTITUTE(SUBSTITUTE(INDEX(Setup!$J$20:$J$34,Calc!$AN232)&amp;"","{name}",$E232),"{years}",$G232),"{date}",TEXT($H232,"mmmm d, yyyy")),"{company}",Setup!$C$4))</f>
        <v/>
      </c>
      <c r="O232" s="21" t="str">
        <f ca="1">IF(Calc!$AM232="","",SUBSTITUTE(SUBSTITUTE(SUBSTITUTE(SUBSTITUTE(INDEX(Setup!$K$20:$K$34,Calc!$AN232)&amp;"","{name}",$E232),"{years}",$G232),"{date}",TEXT($H232,"mmmm d, yyyy")),"{company}",Setup!$C$4))</f>
        <v/>
      </c>
      <c r="P232" s="21" t="str">
        <f ca="1">IF(Calc!$AM232="","",SUBSTITUTE(SUBSTITUTE(TRIM(SUBSTITUTE($L232," ","~")&amp;" "&amp;SUBSTITUTE($M232," ","~")&amp;" "&amp;SUBSTITUTE($N232," ","~")&amp;" "&amp;SUBSTITUTE($O232," ","~"))," "," | "),"~"," "))</f>
        <v/>
      </c>
    </row>
    <row r="233" spans="1:16" x14ac:dyDescent="0.2">
      <c r="A233" s="19" t="str">
        <f ca="1">IF(Calc!$AM233="","",ROW()-5)</f>
        <v/>
      </c>
      <c r="B233" s="20" t="str">
        <f ca="1">IF(Calc!$AM233="","",INT(Calc!$AK233))</f>
        <v/>
      </c>
      <c r="C233" s="21" t="str">
        <f ca="1">IF(Calc!$AM233="","",IF($H233&lt;Setup!$C$5,"PAST DUE: milestone date has passed",IF($B233&lt;Setup!$C$5,"LATE: order today, ask about rush",IF($B233&lt;Setup!$C$5+14,"Order within 2 weeks","Scheduled"))))</f>
        <v/>
      </c>
      <c r="D233" s="21" t="str">
        <f ca="1">IF(Calc!$AM233="","",TEXT($B233,"mmmm yyyy"))</f>
        <v/>
      </c>
      <c r="E233" s="21" t="str">
        <f ca="1">IF(Calc!$AM233="","",INDEX(Roster!$A$6:$A$505,Calc!$AM233)&amp;"")</f>
        <v/>
      </c>
      <c r="F233" s="21" t="str">
        <f ca="1">IF(Calc!$AM233="","",INDEX(Roster!$C$6:$C$505,Calc!$AM233)&amp;"")</f>
        <v/>
      </c>
      <c r="G233" s="19" t="str">
        <f ca="1">IF(Calc!$AM233="","",INDEX(Setup!$C$20:$C$34,Calc!$AN233))</f>
        <v/>
      </c>
      <c r="H233" s="20" t="str">
        <f ca="1">IF(Calc!$AM233="","",INDEX(Calc!$B$6:$P$505,Calc!$AM233,Calc!$AN233))</f>
        <v/>
      </c>
      <c r="I233" s="21" t="str">
        <f ca="1">IF(Calc!$AM233="","",INDEX(Setup!$D$20:$D$34,Calc!$AN233)&amp;"")</f>
        <v/>
      </c>
      <c r="J233" s="21" t="str">
        <f ca="1">IF(Calc!$AM233="","",INDEX(Setup!$E$20:$E$34,Calc!$AN233)&amp;"")</f>
        <v/>
      </c>
      <c r="K233" s="23" t="str">
        <f ca="1">IF(Calc!$AM233="","",INDEX(Setup!$F$20:$F$34,Calc!$AN233))</f>
        <v/>
      </c>
      <c r="L233" s="21" t="str">
        <f ca="1">IF(Calc!$AM233="","",SUBSTITUTE(SUBSTITUTE(SUBSTITUTE(SUBSTITUTE(INDEX(Setup!$H$20:$H$34,Calc!$AN233)&amp;"","{name}",$E233),"{years}",$G233),"{date}",TEXT($H233,"mmmm d, yyyy")),"{company}",Setup!$C$4))</f>
        <v/>
      </c>
      <c r="M233" s="21" t="str">
        <f ca="1">IF(Calc!$AM233="","",SUBSTITUTE(SUBSTITUTE(SUBSTITUTE(SUBSTITUTE(INDEX(Setup!$I$20:$I$34,Calc!$AN233)&amp;"","{name}",$E233),"{years}",$G233),"{date}",TEXT($H233,"mmmm d, yyyy")),"{company}",Setup!$C$4))</f>
        <v/>
      </c>
      <c r="N233" s="21" t="str">
        <f ca="1">IF(Calc!$AM233="","",SUBSTITUTE(SUBSTITUTE(SUBSTITUTE(SUBSTITUTE(INDEX(Setup!$J$20:$J$34,Calc!$AN233)&amp;"","{name}",$E233),"{years}",$G233),"{date}",TEXT($H233,"mmmm d, yyyy")),"{company}",Setup!$C$4))</f>
        <v/>
      </c>
      <c r="O233" s="21" t="str">
        <f ca="1">IF(Calc!$AM233="","",SUBSTITUTE(SUBSTITUTE(SUBSTITUTE(SUBSTITUTE(INDEX(Setup!$K$20:$K$34,Calc!$AN233)&amp;"","{name}",$E233),"{years}",$G233),"{date}",TEXT($H233,"mmmm d, yyyy")),"{company}",Setup!$C$4))</f>
        <v/>
      </c>
      <c r="P233" s="21" t="str">
        <f ca="1">IF(Calc!$AM233="","",SUBSTITUTE(SUBSTITUTE(TRIM(SUBSTITUTE($L233," ","~")&amp;" "&amp;SUBSTITUTE($M233," ","~")&amp;" "&amp;SUBSTITUTE($N233," ","~")&amp;" "&amp;SUBSTITUTE($O233," ","~"))," "," | "),"~"," "))</f>
        <v/>
      </c>
    </row>
    <row r="234" spans="1:16" x14ac:dyDescent="0.2">
      <c r="A234" s="19" t="str">
        <f ca="1">IF(Calc!$AM234="","",ROW()-5)</f>
        <v/>
      </c>
      <c r="B234" s="20" t="str">
        <f ca="1">IF(Calc!$AM234="","",INT(Calc!$AK234))</f>
        <v/>
      </c>
      <c r="C234" s="21" t="str">
        <f ca="1">IF(Calc!$AM234="","",IF($H234&lt;Setup!$C$5,"PAST DUE: milestone date has passed",IF($B234&lt;Setup!$C$5,"LATE: order today, ask about rush",IF($B234&lt;Setup!$C$5+14,"Order within 2 weeks","Scheduled"))))</f>
        <v/>
      </c>
      <c r="D234" s="21" t="str">
        <f ca="1">IF(Calc!$AM234="","",TEXT($B234,"mmmm yyyy"))</f>
        <v/>
      </c>
      <c r="E234" s="21" t="str">
        <f ca="1">IF(Calc!$AM234="","",INDEX(Roster!$A$6:$A$505,Calc!$AM234)&amp;"")</f>
        <v/>
      </c>
      <c r="F234" s="21" t="str">
        <f ca="1">IF(Calc!$AM234="","",INDEX(Roster!$C$6:$C$505,Calc!$AM234)&amp;"")</f>
        <v/>
      </c>
      <c r="G234" s="19" t="str">
        <f ca="1">IF(Calc!$AM234="","",INDEX(Setup!$C$20:$C$34,Calc!$AN234))</f>
        <v/>
      </c>
      <c r="H234" s="20" t="str">
        <f ca="1">IF(Calc!$AM234="","",INDEX(Calc!$B$6:$P$505,Calc!$AM234,Calc!$AN234))</f>
        <v/>
      </c>
      <c r="I234" s="21" t="str">
        <f ca="1">IF(Calc!$AM234="","",INDEX(Setup!$D$20:$D$34,Calc!$AN234)&amp;"")</f>
        <v/>
      </c>
      <c r="J234" s="21" t="str">
        <f ca="1">IF(Calc!$AM234="","",INDEX(Setup!$E$20:$E$34,Calc!$AN234)&amp;"")</f>
        <v/>
      </c>
      <c r="K234" s="23" t="str">
        <f ca="1">IF(Calc!$AM234="","",INDEX(Setup!$F$20:$F$34,Calc!$AN234))</f>
        <v/>
      </c>
      <c r="L234" s="21" t="str">
        <f ca="1">IF(Calc!$AM234="","",SUBSTITUTE(SUBSTITUTE(SUBSTITUTE(SUBSTITUTE(INDEX(Setup!$H$20:$H$34,Calc!$AN234)&amp;"","{name}",$E234),"{years}",$G234),"{date}",TEXT($H234,"mmmm d, yyyy")),"{company}",Setup!$C$4))</f>
        <v/>
      </c>
      <c r="M234" s="21" t="str">
        <f ca="1">IF(Calc!$AM234="","",SUBSTITUTE(SUBSTITUTE(SUBSTITUTE(SUBSTITUTE(INDEX(Setup!$I$20:$I$34,Calc!$AN234)&amp;"","{name}",$E234),"{years}",$G234),"{date}",TEXT($H234,"mmmm d, yyyy")),"{company}",Setup!$C$4))</f>
        <v/>
      </c>
      <c r="N234" s="21" t="str">
        <f ca="1">IF(Calc!$AM234="","",SUBSTITUTE(SUBSTITUTE(SUBSTITUTE(SUBSTITUTE(INDEX(Setup!$J$20:$J$34,Calc!$AN234)&amp;"","{name}",$E234),"{years}",$G234),"{date}",TEXT($H234,"mmmm d, yyyy")),"{company}",Setup!$C$4))</f>
        <v/>
      </c>
      <c r="O234" s="21" t="str">
        <f ca="1">IF(Calc!$AM234="","",SUBSTITUTE(SUBSTITUTE(SUBSTITUTE(SUBSTITUTE(INDEX(Setup!$K$20:$K$34,Calc!$AN234)&amp;"","{name}",$E234),"{years}",$G234),"{date}",TEXT($H234,"mmmm d, yyyy")),"{company}",Setup!$C$4))</f>
        <v/>
      </c>
      <c r="P234" s="21" t="str">
        <f ca="1">IF(Calc!$AM234="","",SUBSTITUTE(SUBSTITUTE(TRIM(SUBSTITUTE($L234," ","~")&amp;" "&amp;SUBSTITUTE($M234," ","~")&amp;" "&amp;SUBSTITUTE($N234," ","~")&amp;" "&amp;SUBSTITUTE($O234," ","~"))," "," | "),"~"," "))</f>
        <v/>
      </c>
    </row>
    <row r="235" spans="1:16" x14ac:dyDescent="0.2">
      <c r="A235" s="19" t="str">
        <f ca="1">IF(Calc!$AM235="","",ROW()-5)</f>
        <v/>
      </c>
      <c r="B235" s="20" t="str">
        <f ca="1">IF(Calc!$AM235="","",INT(Calc!$AK235))</f>
        <v/>
      </c>
      <c r="C235" s="21" t="str">
        <f ca="1">IF(Calc!$AM235="","",IF($H235&lt;Setup!$C$5,"PAST DUE: milestone date has passed",IF($B235&lt;Setup!$C$5,"LATE: order today, ask about rush",IF($B235&lt;Setup!$C$5+14,"Order within 2 weeks","Scheduled"))))</f>
        <v/>
      </c>
      <c r="D235" s="21" t="str">
        <f ca="1">IF(Calc!$AM235="","",TEXT($B235,"mmmm yyyy"))</f>
        <v/>
      </c>
      <c r="E235" s="21" t="str">
        <f ca="1">IF(Calc!$AM235="","",INDEX(Roster!$A$6:$A$505,Calc!$AM235)&amp;"")</f>
        <v/>
      </c>
      <c r="F235" s="21" t="str">
        <f ca="1">IF(Calc!$AM235="","",INDEX(Roster!$C$6:$C$505,Calc!$AM235)&amp;"")</f>
        <v/>
      </c>
      <c r="G235" s="19" t="str">
        <f ca="1">IF(Calc!$AM235="","",INDEX(Setup!$C$20:$C$34,Calc!$AN235))</f>
        <v/>
      </c>
      <c r="H235" s="20" t="str">
        <f ca="1">IF(Calc!$AM235="","",INDEX(Calc!$B$6:$P$505,Calc!$AM235,Calc!$AN235))</f>
        <v/>
      </c>
      <c r="I235" s="21" t="str">
        <f ca="1">IF(Calc!$AM235="","",INDEX(Setup!$D$20:$D$34,Calc!$AN235)&amp;"")</f>
        <v/>
      </c>
      <c r="J235" s="21" t="str">
        <f ca="1">IF(Calc!$AM235="","",INDEX(Setup!$E$20:$E$34,Calc!$AN235)&amp;"")</f>
        <v/>
      </c>
      <c r="K235" s="23" t="str">
        <f ca="1">IF(Calc!$AM235="","",INDEX(Setup!$F$20:$F$34,Calc!$AN235))</f>
        <v/>
      </c>
      <c r="L235" s="21" t="str">
        <f ca="1">IF(Calc!$AM235="","",SUBSTITUTE(SUBSTITUTE(SUBSTITUTE(SUBSTITUTE(INDEX(Setup!$H$20:$H$34,Calc!$AN235)&amp;"","{name}",$E235),"{years}",$G235),"{date}",TEXT($H235,"mmmm d, yyyy")),"{company}",Setup!$C$4))</f>
        <v/>
      </c>
      <c r="M235" s="21" t="str">
        <f ca="1">IF(Calc!$AM235="","",SUBSTITUTE(SUBSTITUTE(SUBSTITUTE(SUBSTITUTE(INDEX(Setup!$I$20:$I$34,Calc!$AN235)&amp;"","{name}",$E235),"{years}",$G235),"{date}",TEXT($H235,"mmmm d, yyyy")),"{company}",Setup!$C$4))</f>
        <v/>
      </c>
      <c r="N235" s="21" t="str">
        <f ca="1">IF(Calc!$AM235="","",SUBSTITUTE(SUBSTITUTE(SUBSTITUTE(SUBSTITUTE(INDEX(Setup!$J$20:$J$34,Calc!$AN235)&amp;"","{name}",$E235),"{years}",$G235),"{date}",TEXT($H235,"mmmm d, yyyy")),"{company}",Setup!$C$4))</f>
        <v/>
      </c>
      <c r="O235" s="21" t="str">
        <f ca="1">IF(Calc!$AM235="","",SUBSTITUTE(SUBSTITUTE(SUBSTITUTE(SUBSTITUTE(INDEX(Setup!$K$20:$K$34,Calc!$AN235)&amp;"","{name}",$E235),"{years}",$G235),"{date}",TEXT($H235,"mmmm d, yyyy")),"{company}",Setup!$C$4))</f>
        <v/>
      </c>
      <c r="P235" s="21" t="str">
        <f ca="1">IF(Calc!$AM235="","",SUBSTITUTE(SUBSTITUTE(TRIM(SUBSTITUTE($L235," ","~")&amp;" "&amp;SUBSTITUTE($M235," ","~")&amp;" "&amp;SUBSTITUTE($N235," ","~")&amp;" "&amp;SUBSTITUTE($O235," ","~"))," "," | "),"~"," "))</f>
        <v/>
      </c>
    </row>
    <row r="236" spans="1:16" x14ac:dyDescent="0.2">
      <c r="A236" s="19" t="str">
        <f ca="1">IF(Calc!$AM236="","",ROW()-5)</f>
        <v/>
      </c>
      <c r="B236" s="20" t="str">
        <f ca="1">IF(Calc!$AM236="","",INT(Calc!$AK236))</f>
        <v/>
      </c>
      <c r="C236" s="21" t="str">
        <f ca="1">IF(Calc!$AM236="","",IF($H236&lt;Setup!$C$5,"PAST DUE: milestone date has passed",IF($B236&lt;Setup!$C$5,"LATE: order today, ask about rush",IF($B236&lt;Setup!$C$5+14,"Order within 2 weeks","Scheduled"))))</f>
        <v/>
      </c>
      <c r="D236" s="21" t="str">
        <f ca="1">IF(Calc!$AM236="","",TEXT($B236,"mmmm yyyy"))</f>
        <v/>
      </c>
      <c r="E236" s="21" t="str">
        <f ca="1">IF(Calc!$AM236="","",INDEX(Roster!$A$6:$A$505,Calc!$AM236)&amp;"")</f>
        <v/>
      </c>
      <c r="F236" s="21" t="str">
        <f ca="1">IF(Calc!$AM236="","",INDEX(Roster!$C$6:$C$505,Calc!$AM236)&amp;"")</f>
        <v/>
      </c>
      <c r="G236" s="19" t="str">
        <f ca="1">IF(Calc!$AM236="","",INDEX(Setup!$C$20:$C$34,Calc!$AN236))</f>
        <v/>
      </c>
      <c r="H236" s="20" t="str">
        <f ca="1">IF(Calc!$AM236="","",INDEX(Calc!$B$6:$P$505,Calc!$AM236,Calc!$AN236))</f>
        <v/>
      </c>
      <c r="I236" s="21" t="str">
        <f ca="1">IF(Calc!$AM236="","",INDEX(Setup!$D$20:$D$34,Calc!$AN236)&amp;"")</f>
        <v/>
      </c>
      <c r="J236" s="21" t="str">
        <f ca="1">IF(Calc!$AM236="","",INDEX(Setup!$E$20:$E$34,Calc!$AN236)&amp;"")</f>
        <v/>
      </c>
      <c r="K236" s="23" t="str">
        <f ca="1">IF(Calc!$AM236="","",INDEX(Setup!$F$20:$F$34,Calc!$AN236))</f>
        <v/>
      </c>
      <c r="L236" s="21" t="str">
        <f ca="1">IF(Calc!$AM236="","",SUBSTITUTE(SUBSTITUTE(SUBSTITUTE(SUBSTITUTE(INDEX(Setup!$H$20:$H$34,Calc!$AN236)&amp;"","{name}",$E236),"{years}",$G236),"{date}",TEXT($H236,"mmmm d, yyyy")),"{company}",Setup!$C$4))</f>
        <v/>
      </c>
      <c r="M236" s="21" t="str">
        <f ca="1">IF(Calc!$AM236="","",SUBSTITUTE(SUBSTITUTE(SUBSTITUTE(SUBSTITUTE(INDEX(Setup!$I$20:$I$34,Calc!$AN236)&amp;"","{name}",$E236),"{years}",$G236),"{date}",TEXT($H236,"mmmm d, yyyy")),"{company}",Setup!$C$4))</f>
        <v/>
      </c>
      <c r="N236" s="21" t="str">
        <f ca="1">IF(Calc!$AM236="","",SUBSTITUTE(SUBSTITUTE(SUBSTITUTE(SUBSTITUTE(INDEX(Setup!$J$20:$J$34,Calc!$AN236)&amp;"","{name}",$E236),"{years}",$G236),"{date}",TEXT($H236,"mmmm d, yyyy")),"{company}",Setup!$C$4))</f>
        <v/>
      </c>
      <c r="O236" s="21" t="str">
        <f ca="1">IF(Calc!$AM236="","",SUBSTITUTE(SUBSTITUTE(SUBSTITUTE(SUBSTITUTE(INDEX(Setup!$K$20:$K$34,Calc!$AN236)&amp;"","{name}",$E236),"{years}",$G236),"{date}",TEXT($H236,"mmmm d, yyyy")),"{company}",Setup!$C$4))</f>
        <v/>
      </c>
      <c r="P236" s="21" t="str">
        <f ca="1">IF(Calc!$AM236="","",SUBSTITUTE(SUBSTITUTE(TRIM(SUBSTITUTE($L236," ","~")&amp;" "&amp;SUBSTITUTE($M236," ","~")&amp;" "&amp;SUBSTITUTE($N236," ","~")&amp;" "&amp;SUBSTITUTE($O236," ","~"))," "," | "),"~"," "))</f>
        <v/>
      </c>
    </row>
    <row r="237" spans="1:16" x14ac:dyDescent="0.2">
      <c r="A237" s="19" t="str">
        <f ca="1">IF(Calc!$AM237="","",ROW()-5)</f>
        <v/>
      </c>
      <c r="B237" s="20" t="str">
        <f ca="1">IF(Calc!$AM237="","",INT(Calc!$AK237))</f>
        <v/>
      </c>
      <c r="C237" s="21" t="str">
        <f ca="1">IF(Calc!$AM237="","",IF($H237&lt;Setup!$C$5,"PAST DUE: milestone date has passed",IF($B237&lt;Setup!$C$5,"LATE: order today, ask about rush",IF($B237&lt;Setup!$C$5+14,"Order within 2 weeks","Scheduled"))))</f>
        <v/>
      </c>
      <c r="D237" s="21" t="str">
        <f ca="1">IF(Calc!$AM237="","",TEXT($B237,"mmmm yyyy"))</f>
        <v/>
      </c>
      <c r="E237" s="21" t="str">
        <f ca="1">IF(Calc!$AM237="","",INDEX(Roster!$A$6:$A$505,Calc!$AM237)&amp;"")</f>
        <v/>
      </c>
      <c r="F237" s="21" t="str">
        <f ca="1">IF(Calc!$AM237="","",INDEX(Roster!$C$6:$C$505,Calc!$AM237)&amp;"")</f>
        <v/>
      </c>
      <c r="G237" s="19" t="str">
        <f ca="1">IF(Calc!$AM237="","",INDEX(Setup!$C$20:$C$34,Calc!$AN237))</f>
        <v/>
      </c>
      <c r="H237" s="20" t="str">
        <f ca="1">IF(Calc!$AM237="","",INDEX(Calc!$B$6:$P$505,Calc!$AM237,Calc!$AN237))</f>
        <v/>
      </c>
      <c r="I237" s="21" t="str">
        <f ca="1">IF(Calc!$AM237="","",INDEX(Setup!$D$20:$D$34,Calc!$AN237)&amp;"")</f>
        <v/>
      </c>
      <c r="J237" s="21" t="str">
        <f ca="1">IF(Calc!$AM237="","",INDEX(Setup!$E$20:$E$34,Calc!$AN237)&amp;"")</f>
        <v/>
      </c>
      <c r="K237" s="23" t="str">
        <f ca="1">IF(Calc!$AM237="","",INDEX(Setup!$F$20:$F$34,Calc!$AN237))</f>
        <v/>
      </c>
      <c r="L237" s="21" t="str">
        <f ca="1">IF(Calc!$AM237="","",SUBSTITUTE(SUBSTITUTE(SUBSTITUTE(SUBSTITUTE(INDEX(Setup!$H$20:$H$34,Calc!$AN237)&amp;"","{name}",$E237),"{years}",$G237),"{date}",TEXT($H237,"mmmm d, yyyy")),"{company}",Setup!$C$4))</f>
        <v/>
      </c>
      <c r="M237" s="21" t="str">
        <f ca="1">IF(Calc!$AM237="","",SUBSTITUTE(SUBSTITUTE(SUBSTITUTE(SUBSTITUTE(INDEX(Setup!$I$20:$I$34,Calc!$AN237)&amp;"","{name}",$E237),"{years}",$G237),"{date}",TEXT($H237,"mmmm d, yyyy")),"{company}",Setup!$C$4))</f>
        <v/>
      </c>
      <c r="N237" s="21" t="str">
        <f ca="1">IF(Calc!$AM237="","",SUBSTITUTE(SUBSTITUTE(SUBSTITUTE(SUBSTITUTE(INDEX(Setup!$J$20:$J$34,Calc!$AN237)&amp;"","{name}",$E237),"{years}",$G237),"{date}",TEXT($H237,"mmmm d, yyyy")),"{company}",Setup!$C$4))</f>
        <v/>
      </c>
      <c r="O237" s="21" t="str">
        <f ca="1">IF(Calc!$AM237="","",SUBSTITUTE(SUBSTITUTE(SUBSTITUTE(SUBSTITUTE(INDEX(Setup!$K$20:$K$34,Calc!$AN237)&amp;"","{name}",$E237),"{years}",$G237),"{date}",TEXT($H237,"mmmm d, yyyy")),"{company}",Setup!$C$4))</f>
        <v/>
      </c>
      <c r="P237" s="21" t="str">
        <f ca="1">IF(Calc!$AM237="","",SUBSTITUTE(SUBSTITUTE(TRIM(SUBSTITUTE($L237," ","~")&amp;" "&amp;SUBSTITUTE($M237," ","~")&amp;" "&amp;SUBSTITUTE($N237," ","~")&amp;" "&amp;SUBSTITUTE($O237," ","~"))," "," | "),"~"," "))</f>
        <v/>
      </c>
    </row>
    <row r="238" spans="1:16" x14ac:dyDescent="0.2">
      <c r="A238" s="19" t="str">
        <f ca="1">IF(Calc!$AM238="","",ROW()-5)</f>
        <v/>
      </c>
      <c r="B238" s="20" t="str">
        <f ca="1">IF(Calc!$AM238="","",INT(Calc!$AK238))</f>
        <v/>
      </c>
      <c r="C238" s="21" t="str">
        <f ca="1">IF(Calc!$AM238="","",IF($H238&lt;Setup!$C$5,"PAST DUE: milestone date has passed",IF($B238&lt;Setup!$C$5,"LATE: order today, ask about rush",IF($B238&lt;Setup!$C$5+14,"Order within 2 weeks","Scheduled"))))</f>
        <v/>
      </c>
      <c r="D238" s="21" t="str">
        <f ca="1">IF(Calc!$AM238="","",TEXT($B238,"mmmm yyyy"))</f>
        <v/>
      </c>
      <c r="E238" s="21" t="str">
        <f ca="1">IF(Calc!$AM238="","",INDEX(Roster!$A$6:$A$505,Calc!$AM238)&amp;"")</f>
        <v/>
      </c>
      <c r="F238" s="21" t="str">
        <f ca="1">IF(Calc!$AM238="","",INDEX(Roster!$C$6:$C$505,Calc!$AM238)&amp;"")</f>
        <v/>
      </c>
      <c r="G238" s="19" t="str">
        <f ca="1">IF(Calc!$AM238="","",INDEX(Setup!$C$20:$C$34,Calc!$AN238))</f>
        <v/>
      </c>
      <c r="H238" s="20" t="str">
        <f ca="1">IF(Calc!$AM238="","",INDEX(Calc!$B$6:$P$505,Calc!$AM238,Calc!$AN238))</f>
        <v/>
      </c>
      <c r="I238" s="21" t="str">
        <f ca="1">IF(Calc!$AM238="","",INDEX(Setup!$D$20:$D$34,Calc!$AN238)&amp;"")</f>
        <v/>
      </c>
      <c r="J238" s="21" t="str">
        <f ca="1">IF(Calc!$AM238="","",INDEX(Setup!$E$20:$E$34,Calc!$AN238)&amp;"")</f>
        <v/>
      </c>
      <c r="K238" s="23" t="str">
        <f ca="1">IF(Calc!$AM238="","",INDEX(Setup!$F$20:$F$34,Calc!$AN238))</f>
        <v/>
      </c>
      <c r="L238" s="21" t="str">
        <f ca="1">IF(Calc!$AM238="","",SUBSTITUTE(SUBSTITUTE(SUBSTITUTE(SUBSTITUTE(INDEX(Setup!$H$20:$H$34,Calc!$AN238)&amp;"","{name}",$E238),"{years}",$G238),"{date}",TEXT($H238,"mmmm d, yyyy")),"{company}",Setup!$C$4))</f>
        <v/>
      </c>
      <c r="M238" s="21" t="str">
        <f ca="1">IF(Calc!$AM238="","",SUBSTITUTE(SUBSTITUTE(SUBSTITUTE(SUBSTITUTE(INDEX(Setup!$I$20:$I$34,Calc!$AN238)&amp;"","{name}",$E238),"{years}",$G238),"{date}",TEXT($H238,"mmmm d, yyyy")),"{company}",Setup!$C$4))</f>
        <v/>
      </c>
      <c r="N238" s="21" t="str">
        <f ca="1">IF(Calc!$AM238="","",SUBSTITUTE(SUBSTITUTE(SUBSTITUTE(SUBSTITUTE(INDEX(Setup!$J$20:$J$34,Calc!$AN238)&amp;"","{name}",$E238),"{years}",$G238),"{date}",TEXT($H238,"mmmm d, yyyy")),"{company}",Setup!$C$4))</f>
        <v/>
      </c>
      <c r="O238" s="21" t="str">
        <f ca="1">IF(Calc!$AM238="","",SUBSTITUTE(SUBSTITUTE(SUBSTITUTE(SUBSTITUTE(INDEX(Setup!$K$20:$K$34,Calc!$AN238)&amp;"","{name}",$E238),"{years}",$G238),"{date}",TEXT($H238,"mmmm d, yyyy")),"{company}",Setup!$C$4))</f>
        <v/>
      </c>
      <c r="P238" s="21" t="str">
        <f ca="1">IF(Calc!$AM238="","",SUBSTITUTE(SUBSTITUTE(TRIM(SUBSTITUTE($L238," ","~")&amp;" "&amp;SUBSTITUTE($M238," ","~")&amp;" "&amp;SUBSTITUTE($N238," ","~")&amp;" "&amp;SUBSTITUTE($O238," ","~"))," "," | "),"~"," "))</f>
        <v/>
      </c>
    </row>
    <row r="239" spans="1:16" x14ac:dyDescent="0.2">
      <c r="A239" s="19" t="str">
        <f ca="1">IF(Calc!$AM239="","",ROW()-5)</f>
        <v/>
      </c>
      <c r="B239" s="20" t="str">
        <f ca="1">IF(Calc!$AM239="","",INT(Calc!$AK239))</f>
        <v/>
      </c>
      <c r="C239" s="21" t="str">
        <f ca="1">IF(Calc!$AM239="","",IF($H239&lt;Setup!$C$5,"PAST DUE: milestone date has passed",IF($B239&lt;Setup!$C$5,"LATE: order today, ask about rush",IF($B239&lt;Setup!$C$5+14,"Order within 2 weeks","Scheduled"))))</f>
        <v/>
      </c>
      <c r="D239" s="21" t="str">
        <f ca="1">IF(Calc!$AM239="","",TEXT($B239,"mmmm yyyy"))</f>
        <v/>
      </c>
      <c r="E239" s="21" t="str">
        <f ca="1">IF(Calc!$AM239="","",INDEX(Roster!$A$6:$A$505,Calc!$AM239)&amp;"")</f>
        <v/>
      </c>
      <c r="F239" s="21" t="str">
        <f ca="1">IF(Calc!$AM239="","",INDEX(Roster!$C$6:$C$505,Calc!$AM239)&amp;"")</f>
        <v/>
      </c>
      <c r="G239" s="19" t="str">
        <f ca="1">IF(Calc!$AM239="","",INDEX(Setup!$C$20:$C$34,Calc!$AN239))</f>
        <v/>
      </c>
      <c r="H239" s="20" t="str">
        <f ca="1">IF(Calc!$AM239="","",INDEX(Calc!$B$6:$P$505,Calc!$AM239,Calc!$AN239))</f>
        <v/>
      </c>
      <c r="I239" s="21" t="str">
        <f ca="1">IF(Calc!$AM239="","",INDEX(Setup!$D$20:$D$34,Calc!$AN239)&amp;"")</f>
        <v/>
      </c>
      <c r="J239" s="21" t="str">
        <f ca="1">IF(Calc!$AM239="","",INDEX(Setup!$E$20:$E$34,Calc!$AN239)&amp;"")</f>
        <v/>
      </c>
      <c r="K239" s="23" t="str">
        <f ca="1">IF(Calc!$AM239="","",INDEX(Setup!$F$20:$F$34,Calc!$AN239))</f>
        <v/>
      </c>
      <c r="L239" s="21" t="str">
        <f ca="1">IF(Calc!$AM239="","",SUBSTITUTE(SUBSTITUTE(SUBSTITUTE(SUBSTITUTE(INDEX(Setup!$H$20:$H$34,Calc!$AN239)&amp;"","{name}",$E239),"{years}",$G239),"{date}",TEXT($H239,"mmmm d, yyyy")),"{company}",Setup!$C$4))</f>
        <v/>
      </c>
      <c r="M239" s="21" t="str">
        <f ca="1">IF(Calc!$AM239="","",SUBSTITUTE(SUBSTITUTE(SUBSTITUTE(SUBSTITUTE(INDEX(Setup!$I$20:$I$34,Calc!$AN239)&amp;"","{name}",$E239),"{years}",$G239),"{date}",TEXT($H239,"mmmm d, yyyy")),"{company}",Setup!$C$4))</f>
        <v/>
      </c>
      <c r="N239" s="21" t="str">
        <f ca="1">IF(Calc!$AM239="","",SUBSTITUTE(SUBSTITUTE(SUBSTITUTE(SUBSTITUTE(INDEX(Setup!$J$20:$J$34,Calc!$AN239)&amp;"","{name}",$E239),"{years}",$G239),"{date}",TEXT($H239,"mmmm d, yyyy")),"{company}",Setup!$C$4))</f>
        <v/>
      </c>
      <c r="O239" s="21" t="str">
        <f ca="1">IF(Calc!$AM239="","",SUBSTITUTE(SUBSTITUTE(SUBSTITUTE(SUBSTITUTE(INDEX(Setup!$K$20:$K$34,Calc!$AN239)&amp;"","{name}",$E239),"{years}",$G239),"{date}",TEXT($H239,"mmmm d, yyyy")),"{company}",Setup!$C$4))</f>
        <v/>
      </c>
      <c r="P239" s="21" t="str">
        <f ca="1">IF(Calc!$AM239="","",SUBSTITUTE(SUBSTITUTE(TRIM(SUBSTITUTE($L239," ","~")&amp;" "&amp;SUBSTITUTE($M239," ","~")&amp;" "&amp;SUBSTITUTE($N239," ","~")&amp;" "&amp;SUBSTITUTE($O239," ","~"))," "," | "),"~"," "))</f>
        <v/>
      </c>
    </row>
    <row r="240" spans="1:16" x14ac:dyDescent="0.2">
      <c r="A240" s="19" t="str">
        <f ca="1">IF(Calc!$AM240="","",ROW()-5)</f>
        <v/>
      </c>
      <c r="B240" s="20" t="str">
        <f ca="1">IF(Calc!$AM240="","",INT(Calc!$AK240))</f>
        <v/>
      </c>
      <c r="C240" s="21" t="str">
        <f ca="1">IF(Calc!$AM240="","",IF($H240&lt;Setup!$C$5,"PAST DUE: milestone date has passed",IF($B240&lt;Setup!$C$5,"LATE: order today, ask about rush",IF($B240&lt;Setup!$C$5+14,"Order within 2 weeks","Scheduled"))))</f>
        <v/>
      </c>
      <c r="D240" s="21" t="str">
        <f ca="1">IF(Calc!$AM240="","",TEXT($B240,"mmmm yyyy"))</f>
        <v/>
      </c>
      <c r="E240" s="21" t="str">
        <f ca="1">IF(Calc!$AM240="","",INDEX(Roster!$A$6:$A$505,Calc!$AM240)&amp;"")</f>
        <v/>
      </c>
      <c r="F240" s="21" t="str">
        <f ca="1">IF(Calc!$AM240="","",INDEX(Roster!$C$6:$C$505,Calc!$AM240)&amp;"")</f>
        <v/>
      </c>
      <c r="G240" s="19" t="str">
        <f ca="1">IF(Calc!$AM240="","",INDEX(Setup!$C$20:$C$34,Calc!$AN240))</f>
        <v/>
      </c>
      <c r="H240" s="20" t="str">
        <f ca="1">IF(Calc!$AM240="","",INDEX(Calc!$B$6:$P$505,Calc!$AM240,Calc!$AN240))</f>
        <v/>
      </c>
      <c r="I240" s="21" t="str">
        <f ca="1">IF(Calc!$AM240="","",INDEX(Setup!$D$20:$D$34,Calc!$AN240)&amp;"")</f>
        <v/>
      </c>
      <c r="J240" s="21" t="str">
        <f ca="1">IF(Calc!$AM240="","",INDEX(Setup!$E$20:$E$34,Calc!$AN240)&amp;"")</f>
        <v/>
      </c>
      <c r="K240" s="23" t="str">
        <f ca="1">IF(Calc!$AM240="","",INDEX(Setup!$F$20:$F$34,Calc!$AN240))</f>
        <v/>
      </c>
      <c r="L240" s="21" t="str">
        <f ca="1">IF(Calc!$AM240="","",SUBSTITUTE(SUBSTITUTE(SUBSTITUTE(SUBSTITUTE(INDEX(Setup!$H$20:$H$34,Calc!$AN240)&amp;"","{name}",$E240),"{years}",$G240),"{date}",TEXT($H240,"mmmm d, yyyy")),"{company}",Setup!$C$4))</f>
        <v/>
      </c>
      <c r="M240" s="21" t="str">
        <f ca="1">IF(Calc!$AM240="","",SUBSTITUTE(SUBSTITUTE(SUBSTITUTE(SUBSTITUTE(INDEX(Setup!$I$20:$I$34,Calc!$AN240)&amp;"","{name}",$E240),"{years}",$G240),"{date}",TEXT($H240,"mmmm d, yyyy")),"{company}",Setup!$C$4))</f>
        <v/>
      </c>
      <c r="N240" s="21" t="str">
        <f ca="1">IF(Calc!$AM240="","",SUBSTITUTE(SUBSTITUTE(SUBSTITUTE(SUBSTITUTE(INDEX(Setup!$J$20:$J$34,Calc!$AN240)&amp;"","{name}",$E240),"{years}",$G240),"{date}",TEXT($H240,"mmmm d, yyyy")),"{company}",Setup!$C$4))</f>
        <v/>
      </c>
      <c r="O240" s="21" t="str">
        <f ca="1">IF(Calc!$AM240="","",SUBSTITUTE(SUBSTITUTE(SUBSTITUTE(SUBSTITUTE(INDEX(Setup!$K$20:$K$34,Calc!$AN240)&amp;"","{name}",$E240),"{years}",$G240),"{date}",TEXT($H240,"mmmm d, yyyy")),"{company}",Setup!$C$4))</f>
        <v/>
      </c>
      <c r="P240" s="21" t="str">
        <f ca="1">IF(Calc!$AM240="","",SUBSTITUTE(SUBSTITUTE(TRIM(SUBSTITUTE($L240," ","~")&amp;" "&amp;SUBSTITUTE($M240," ","~")&amp;" "&amp;SUBSTITUTE($N240," ","~")&amp;" "&amp;SUBSTITUTE($O240," ","~"))," "," | "),"~"," "))</f>
        <v/>
      </c>
    </row>
    <row r="241" spans="1:16" x14ac:dyDescent="0.2">
      <c r="A241" s="19" t="str">
        <f ca="1">IF(Calc!$AM241="","",ROW()-5)</f>
        <v/>
      </c>
      <c r="B241" s="20" t="str">
        <f ca="1">IF(Calc!$AM241="","",INT(Calc!$AK241))</f>
        <v/>
      </c>
      <c r="C241" s="21" t="str">
        <f ca="1">IF(Calc!$AM241="","",IF($H241&lt;Setup!$C$5,"PAST DUE: milestone date has passed",IF($B241&lt;Setup!$C$5,"LATE: order today, ask about rush",IF($B241&lt;Setup!$C$5+14,"Order within 2 weeks","Scheduled"))))</f>
        <v/>
      </c>
      <c r="D241" s="21" t="str">
        <f ca="1">IF(Calc!$AM241="","",TEXT($B241,"mmmm yyyy"))</f>
        <v/>
      </c>
      <c r="E241" s="21" t="str">
        <f ca="1">IF(Calc!$AM241="","",INDEX(Roster!$A$6:$A$505,Calc!$AM241)&amp;"")</f>
        <v/>
      </c>
      <c r="F241" s="21" t="str">
        <f ca="1">IF(Calc!$AM241="","",INDEX(Roster!$C$6:$C$505,Calc!$AM241)&amp;"")</f>
        <v/>
      </c>
      <c r="G241" s="19" t="str">
        <f ca="1">IF(Calc!$AM241="","",INDEX(Setup!$C$20:$C$34,Calc!$AN241))</f>
        <v/>
      </c>
      <c r="H241" s="20" t="str">
        <f ca="1">IF(Calc!$AM241="","",INDEX(Calc!$B$6:$P$505,Calc!$AM241,Calc!$AN241))</f>
        <v/>
      </c>
      <c r="I241" s="21" t="str">
        <f ca="1">IF(Calc!$AM241="","",INDEX(Setup!$D$20:$D$34,Calc!$AN241)&amp;"")</f>
        <v/>
      </c>
      <c r="J241" s="21" t="str">
        <f ca="1">IF(Calc!$AM241="","",INDEX(Setup!$E$20:$E$34,Calc!$AN241)&amp;"")</f>
        <v/>
      </c>
      <c r="K241" s="23" t="str">
        <f ca="1">IF(Calc!$AM241="","",INDEX(Setup!$F$20:$F$34,Calc!$AN241))</f>
        <v/>
      </c>
      <c r="L241" s="21" t="str">
        <f ca="1">IF(Calc!$AM241="","",SUBSTITUTE(SUBSTITUTE(SUBSTITUTE(SUBSTITUTE(INDEX(Setup!$H$20:$H$34,Calc!$AN241)&amp;"","{name}",$E241),"{years}",$G241),"{date}",TEXT($H241,"mmmm d, yyyy")),"{company}",Setup!$C$4))</f>
        <v/>
      </c>
      <c r="M241" s="21" t="str">
        <f ca="1">IF(Calc!$AM241="","",SUBSTITUTE(SUBSTITUTE(SUBSTITUTE(SUBSTITUTE(INDEX(Setup!$I$20:$I$34,Calc!$AN241)&amp;"","{name}",$E241),"{years}",$G241),"{date}",TEXT($H241,"mmmm d, yyyy")),"{company}",Setup!$C$4))</f>
        <v/>
      </c>
      <c r="N241" s="21" t="str">
        <f ca="1">IF(Calc!$AM241="","",SUBSTITUTE(SUBSTITUTE(SUBSTITUTE(SUBSTITUTE(INDEX(Setup!$J$20:$J$34,Calc!$AN241)&amp;"","{name}",$E241),"{years}",$G241),"{date}",TEXT($H241,"mmmm d, yyyy")),"{company}",Setup!$C$4))</f>
        <v/>
      </c>
      <c r="O241" s="21" t="str">
        <f ca="1">IF(Calc!$AM241="","",SUBSTITUTE(SUBSTITUTE(SUBSTITUTE(SUBSTITUTE(INDEX(Setup!$K$20:$K$34,Calc!$AN241)&amp;"","{name}",$E241),"{years}",$G241),"{date}",TEXT($H241,"mmmm d, yyyy")),"{company}",Setup!$C$4))</f>
        <v/>
      </c>
      <c r="P241" s="21" t="str">
        <f ca="1">IF(Calc!$AM241="","",SUBSTITUTE(SUBSTITUTE(TRIM(SUBSTITUTE($L241," ","~")&amp;" "&amp;SUBSTITUTE($M241," ","~")&amp;" "&amp;SUBSTITUTE($N241," ","~")&amp;" "&amp;SUBSTITUTE($O241," ","~"))," "," | "),"~"," "))</f>
        <v/>
      </c>
    </row>
    <row r="242" spans="1:16" x14ac:dyDescent="0.2">
      <c r="A242" s="19" t="str">
        <f ca="1">IF(Calc!$AM242="","",ROW()-5)</f>
        <v/>
      </c>
      <c r="B242" s="20" t="str">
        <f ca="1">IF(Calc!$AM242="","",INT(Calc!$AK242))</f>
        <v/>
      </c>
      <c r="C242" s="21" t="str">
        <f ca="1">IF(Calc!$AM242="","",IF($H242&lt;Setup!$C$5,"PAST DUE: milestone date has passed",IF($B242&lt;Setup!$C$5,"LATE: order today, ask about rush",IF($B242&lt;Setup!$C$5+14,"Order within 2 weeks","Scheduled"))))</f>
        <v/>
      </c>
      <c r="D242" s="21" t="str">
        <f ca="1">IF(Calc!$AM242="","",TEXT($B242,"mmmm yyyy"))</f>
        <v/>
      </c>
      <c r="E242" s="21" t="str">
        <f ca="1">IF(Calc!$AM242="","",INDEX(Roster!$A$6:$A$505,Calc!$AM242)&amp;"")</f>
        <v/>
      </c>
      <c r="F242" s="21" t="str">
        <f ca="1">IF(Calc!$AM242="","",INDEX(Roster!$C$6:$C$505,Calc!$AM242)&amp;"")</f>
        <v/>
      </c>
      <c r="G242" s="19" t="str">
        <f ca="1">IF(Calc!$AM242="","",INDEX(Setup!$C$20:$C$34,Calc!$AN242))</f>
        <v/>
      </c>
      <c r="H242" s="20" t="str">
        <f ca="1">IF(Calc!$AM242="","",INDEX(Calc!$B$6:$P$505,Calc!$AM242,Calc!$AN242))</f>
        <v/>
      </c>
      <c r="I242" s="21" t="str">
        <f ca="1">IF(Calc!$AM242="","",INDEX(Setup!$D$20:$D$34,Calc!$AN242)&amp;"")</f>
        <v/>
      </c>
      <c r="J242" s="21" t="str">
        <f ca="1">IF(Calc!$AM242="","",INDEX(Setup!$E$20:$E$34,Calc!$AN242)&amp;"")</f>
        <v/>
      </c>
      <c r="K242" s="23" t="str">
        <f ca="1">IF(Calc!$AM242="","",INDEX(Setup!$F$20:$F$34,Calc!$AN242))</f>
        <v/>
      </c>
      <c r="L242" s="21" t="str">
        <f ca="1">IF(Calc!$AM242="","",SUBSTITUTE(SUBSTITUTE(SUBSTITUTE(SUBSTITUTE(INDEX(Setup!$H$20:$H$34,Calc!$AN242)&amp;"","{name}",$E242),"{years}",$G242),"{date}",TEXT($H242,"mmmm d, yyyy")),"{company}",Setup!$C$4))</f>
        <v/>
      </c>
      <c r="M242" s="21" t="str">
        <f ca="1">IF(Calc!$AM242="","",SUBSTITUTE(SUBSTITUTE(SUBSTITUTE(SUBSTITUTE(INDEX(Setup!$I$20:$I$34,Calc!$AN242)&amp;"","{name}",$E242),"{years}",$G242),"{date}",TEXT($H242,"mmmm d, yyyy")),"{company}",Setup!$C$4))</f>
        <v/>
      </c>
      <c r="N242" s="21" t="str">
        <f ca="1">IF(Calc!$AM242="","",SUBSTITUTE(SUBSTITUTE(SUBSTITUTE(SUBSTITUTE(INDEX(Setup!$J$20:$J$34,Calc!$AN242)&amp;"","{name}",$E242),"{years}",$G242),"{date}",TEXT($H242,"mmmm d, yyyy")),"{company}",Setup!$C$4))</f>
        <v/>
      </c>
      <c r="O242" s="21" t="str">
        <f ca="1">IF(Calc!$AM242="","",SUBSTITUTE(SUBSTITUTE(SUBSTITUTE(SUBSTITUTE(INDEX(Setup!$K$20:$K$34,Calc!$AN242)&amp;"","{name}",$E242),"{years}",$G242),"{date}",TEXT($H242,"mmmm d, yyyy")),"{company}",Setup!$C$4))</f>
        <v/>
      </c>
      <c r="P242" s="21" t="str">
        <f ca="1">IF(Calc!$AM242="","",SUBSTITUTE(SUBSTITUTE(TRIM(SUBSTITUTE($L242," ","~")&amp;" "&amp;SUBSTITUTE($M242," ","~")&amp;" "&amp;SUBSTITUTE($N242," ","~")&amp;" "&amp;SUBSTITUTE($O242," ","~"))," "," | "),"~"," "))</f>
        <v/>
      </c>
    </row>
    <row r="243" spans="1:16" x14ac:dyDescent="0.2">
      <c r="A243" s="19" t="str">
        <f ca="1">IF(Calc!$AM243="","",ROW()-5)</f>
        <v/>
      </c>
      <c r="B243" s="20" t="str">
        <f ca="1">IF(Calc!$AM243="","",INT(Calc!$AK243))</f>
        <v/>
      </c>
      <c r="C243" s="21" t="str">
        <f ca="1">IF(Calc!$AM243="","",IF($H243&lt;Setup!$C$5,"PAST DUE: milestone date has passed",IF($B243&lt;Setup!$C$5,"LATE: order today, ask about rush",IF($B243&lt;Setup!$C$5+14,"Order within 2 weeks","Scheduled"))))</f>
        <v/>
      </c>
      <c r="D243" s="21" t="str">
        <f ca="1">IF(Calc!$AM243="","",TEXT($B243,"mmmm yyyy"))</f>
        <v/>
      </c>
      <c r="E243" s="21" t="str">
        <f ca="1">IF(Calc!$AM243="","",INDEX(Roster!$A$6:$A$505,Calc!$AM243)&amp;"")</f>
        <v/>
      </c>
      <c r="F243" s="21" t="str">
        <f ca="1">IF(Calc!$AM243="","",INDEX(Roster!$C$6:$C$505,Calc!$AM243)&amp;"")</f>
        <v/>
      </c>
      <c r="G243" s="19" t="str">
        <f ca="1">IF(Calc!$AM243="","",INDEX(Setup!$C$20:$C$34,Calc!$AN243))</f>
        <v/>
      </c>
      <c r="H243" s="20" t="str">
        <f ca="1">IF(Calc!$AM243="","",INDEX(Calc!$B$6:$P$505,Calc!$AM243,Calc!$AN243))</f>
        <v/>
      </c>
      <c r="I243" s="21" t="str">
        <f ca="1">IF(Calc!$AM243="","",INDEX(Setup!$D$20:$D$34,Calc!$AN243)&amp;"")</f>
        <v/>
      </c>
      <c r="J243" s="21" t="str">
        <f ca="1">IF(Calc!$AM243="","",INDEX(Setup!$E$20:$E$34,Calc!$AN243)&amp;"")</f>
        <v/>
      </c>
      <c r="K243" s="23" t="str">
        <f ca="1">IF(Calc!$AM243="","",INDEX(Setup!$F$20:$F$34,Calc!$AN243))</f>
        <v/>
      </c>
      <c r="L243" s="21" t="str">
        <f ca="1">IF(Calc!$AM243="","",SUBSTITUTE(SUBSTITUTE(SUBSTITUTE(SUBSTITUTE(INDEX(Setup!$H$20:$H$34,Calc!$AN243)&amp;"","{name}",$E243),"{years}",$G243),"{date}",TEXT($H243,"mmmm d, yyyy")),"{company}",Setup!$C$4))</f>
        <v/>
      </c>
      <c r="M243" s="21" t="str">
        <f ca="1">IF(Calc!$AM243="","",SUBSTITUTE(SUBSTITUTE(SUBSTITUTE(SUBSTITUTE(INDEX(Setup!$I$20:$I$34,Calc!$AN243)&amp;"","{name}",$E243),"{years}",$G243),"{date}",TEXT($H243,"mmmm d, yyyy")),"{company}",Setup!$C$4))</f>
        <v/>
      </c>
      <c r="N243" s="21" t="str">
        <f ca="1">IF(Calc!$AM243="","",SUBSTITUTE(SUBSTITUTE(SUBSTITUTE(SUBSTITUTE(INDEX(Setup!$J$20:$J$34,Calc!$AN243)&amp;"","{name}",$E243),"{years}",$G243),"{date}",TEXT($H243,"mmmm d, yyyy")),"{company}",Setup!$C$4))</f>
        <v/>
      </c>
      <c r="O243" s="21" t="str">
        <f ca="1">IF(Calc!$AM243="","",SUBSTITUTE(SUBSTITUTE(SUBSTITUTE(SUBSTITUTE(INDEX(Setup!$K$20:$K$34,Calc!$AN243)&amp;"","{name}",$E243),"{years}",$G243),"{date}",TEXT($H243,"mmmm d, yyyy")),"{company}",Setup!$C$4))</f>
        <v/>
      </c>
      <c r="P243" s="21" t="str">
        <f ca="1">IF(Calc!$AM243="","",SUBSTITUTE(SUBSTITUTE(TRIM(SUBSTITUTE($L243," ","~")&amp;" "&amp;SUBSTITUTE($M243," ","~")&amp;" "&amp;SUBSTITUTE($N243," ","~")&amp;" "&amp;SUBSTITUTE($O243," ","~"))," "," | "),"~"," "))</f>
        <v/>
      </c>
    </row>
    <row r="244" spans="1:16" x14ac:dyDescent="0.2">
      <c r="A244" s="19" t="str">
        <f ca="1">IF(Calc!$AM244="","",ROW()-5)</f>
        <v/>
      </c>
      <c r="B244" s="20" t="str">
        <f ca="1">IF(Calc!$AM244="","",INT(Calc!$AK244))</f>
        <v/>
      </c>
      <c r="C244" s="21" t="str">
        <f ca="1">IF(Calc!$AM244="","",IF($H244&lt;Setup!$C$5,"PAST DUE: milestone date has passed",IF($B244&lt;Setup!$C$5,"LATE: order today, ask about rush",IF($B244&lt;Setup!$C$5+14,"Order within 2 weeks","Scheduled"))))</f>
        <v/>
      </c>
      <c r="D244" s="21" t="str">
        <f ca="1">IF(Calc!$AM244="","",TEXT($B244,"mmmm yyyy"))</f>
        <v/>
      </c>
      <c r="E244" s="21" t="str">
        <f ca="1">IF(Calc!$AM244="","",INDEX(Roster!$A$6:$A$505,Calc!$AM244)&amp;"")</f>
        <v/>
      </c>
      <c r="F244" s="21" t="str">
        <f ca="1">IF(Calc!$AM244="","",INDEX(Roster!$C$6:$C$505,Calc!$AM244)&amp;"")</f>
        <v/>
      </c>
      <c r="G244" s="19" t="str">
        <f ca="1">IF(Calc!$AM244="","",INDEX(Setup!$C$20:$C$34,Calc!$AN244))</f>
        <v/>
      </c>
      <c r="H244" s="20" t="str">
        <f ca="1">IF(Calc!$AM244="","",INDEX(Calc!$B$6:$P$505,Calc!$AM244,Calc!$AN244))</f>
        <v/>
      </c>
      <c r="I244" s="21" t="str">
        <f ca="1">IF(Calc!$AM244="","",INDEX(Setup!$D$20:$D$34,Calc!$AN244)&amp;"")</f>
        <v/>
      </c>
      <c r="J244" s="21" t="str">
        <f ca="1">IF(Calc!$AM244="","",INDEX(Setup!$E$20:$E$34,Calc!$AN244)&amp;"")</f>
        <v/>
      </c>
      <c r="K244" s="23" t="str">
        <f ca="1">IF(Calc!$AM244="","",INDEX(Setup!$F$20:$F$34,Calc!$AN244))</f>
        <v/>
      </c>
      <c r="L244" s="21" t="str">
        <f ca="1">IF(Calc!$AM244="","",SUBSTITUTE(SUBSTITUTE(SUBSTITUTE(SUBSTITUTE(INDEX(Setup!$H$20:$H$34,Calc!$AN244)&amp;"","{name}",$E244),"{years}",$G244),"{date}",TEXT($H244,"mmmm d, yyyy")),"{company}",Setup!$C$4))</f>
        <v/>
      </c>
      <c r="M244" s="21" t="str">
        <f ca="1">IF(Calc!$AM244="","",SUBSTITUTE(SUBSTITUTE(SUBSTITUTE(SUBSTITUTE(INDEX(Setup!$I$20:$I$34,Calc!$AN244)&amp;"","{name}",$E244),"{years}",$G244),"{date}",TEXT($H244,"mmmm d, yyyy")),"{company}",Setup!$C$4))</f>
        <v/>
      </c>
      <c r="N244" s="21" t="str">
        <f ca="1">IF(Calc!$AM244="","",SUBSTITUTE(SUBSTITUTE(SUBSTITUTE(SUBSTITUTE(INDEX(Setup!$J$20:$J$34,Calc!$AN244)&amp;"","{name}",$E244),"{years}",$G244),"{date}",TEXT($H244,"mmmm d, yyyy")),"{company}",Setup!$C$4))</f>
        <v/>
      </c>
      <c r="O244" s="21" t="str">
        <f ca="1">IF(Calc!$AM244="","",SUBSTITUTE(SUBSTITUTE(SUBSTITUTE(SUBSTITUTE(INDEX(Setup!$K$20:$K$34,Calc!$AN244)&amp;"","{name}",$E244),"{years}",$G244),"{date}",TEXT($H244,"mmmm d, yyyy")),"{company}",Setup!$C$4))</f>
        <v/>
      </c>
      <c r="P244" s="21" t="str">
        <f ca="1">IF(Calc!$AM244="","",SUBSTITUTE(SUBSTITUTE(TRIM(SUBSTITUTE($L244," ","~")&amp;" "&amp;SUBSTITUTE($M244," ","~")&amp;" "&amp;SUBSTITUTE($N244," ","~")&amp;" "&amp;SUBSTITUTE($O244," ","~"))," "," | "),"~"," "))</f>
        <v/>
      </c>
    </row>
    <row r="245" spans="1:16" x14ac:dyDescent="0.2">
      <c r="A245" s="19" t="str">
        <f ca="1">IF(Calc!$AM245="","",ROW()-5)</f>
        <v/>
      </c>
      <c r="B245" s="20" t="str">
        <f ca="1">IF(Calc!$AM245="","",INT(Calc!$AK245))</f>
        <v/>
      </c>
      <c r="C245" s="21" t="str">
        <f ca="1">IF(Calc!$AM245="","",IF($H245&lt;Setup!$C$5,"PAST DUE: milestone date has passed",IF($B245&lt;Setup!$C$5,"LATE: order today, ask about rush",IF($B245&lt;Setup!$C$5+14,"Order within 2 weeks","Scheduled"))))</f>
        <v/>
      </c>
      <c r="D245" s="21" t="str">
        <f ca="1">IF(Calc!$AM245="","",TEXT($B245,"mmmm yyyy"))</f>
        <v/>
      </c>
      <c r="E245" s="21" t="str">
        <f ca="1">IF(Calc!$AM245="","",INDEX(Roster!$A$6:$A$505,Calc!$AM245)&amp;"")</f>
        <v/>
      </c>
      <c r="F245" s="21" t="str">
        <f ca="1">IF(Calc!$AM245="","",INDEX(Roster!$C$6:$C$505,Calc!$AM245)&amp;"")</f>
        <v/>
      </c>
      <c r="G245" s="19" t="str">
        <f ca="1">IF(Calc!$AM245="","",INDEX(Setup!$C$20:$C$34,Calc!$AN245))</f>
        <v/>
      </c>
      <c r="H245" s="20" t="str">
        <f ca="1">IF(Calc!$AM245="","",INDEX(Calc!$B$6:$P$505,Calc!$AM245,Calc!$AN245))</f>
        <v/>
      </c>
      <c r="I245" s="21" t="str">
        <f ca="1">IF(Calc!$AM245="","",INDEX(Setup!$D$20:$D$34,Calc!$AN245)&amp;"")</f>
        <v/>
      </c>
      <c r="J245" s="21" t="str">
        <f ca="1">IF(Calc!$AM245="","",INDEX(Setup!$E$20:$E$34,Calc!$AN245)&amp;"")</f>
        <v/>
      </c>
      <c r="K245" s="23" t="str">
        <f ca="1">IF(Calc!$AM245="","",INDEX(Setup!$F$20:$F$34,Calc!$AN245))</f>
        <v/>
      </c>
      <c r="L245" s="21" t="str">
        <f ca="1">IF(Calc!$AM245="","",SUBSTITUTE(SUBSTITUTE(SUBSTITUTE(SUBSTITUTE(INDEX(Setup!$H$20:$H$34,Calc!$AN245)&amp;"","{name}",$E245),"{years}",$G245),"{date}",TEXT($H245,"mmmm d, yyyy")),"{company}",Setup!$C$4))</f>
        <v/>
      </c>
      <c r="M245" s="21" t="str">
        <f ca="1">IF(Calc!$AM245="","",SUBSTITUTE(SUBSTITUTE(SUBSTITUTE(SUBSTITUTE(INDEX(Setup!$I$20:$I$34,Calc!$AN245)&amp;"","{name}",$E245),"{years}",$G245),"{date}",TEXT($H245,"mmmm d, yyyy")),"{company}",Setup!$C$4))</f>
        <v/>
      </c>
      <c r="N245" s="21" t="str">
        <f ca="1">IF(Calc!$AM245="","",SUBSTITUTE(SUBSTITUTE(SUBSTITUTE(SUBSTITUTE(INDEX(Setup!$J$20:$J$34,Calc!$AN245)&amp;"","{name}",$E245),"{years}",$G245),"{date}",TEXT($H245,"mmmm d, yyyy")),"{company}",Setup!$C$4))</f>
        <v/>
      </c>
      <c r="O245" s="21" t="str">
        <f ca="1">IF(Calc!$AM245="","",SUBSTITUTE(SUBSTITUTE(SUBSTITUTE(SUBSTITUTE(INDEX(Setup!$K$20:$K$34,Calc!$AN245)&amp;"","{name}",$E245),"{years}",$G245),"{date}",TEXT($H245,"mmmm d, yyyy")),"{company}",Setup!$C$4))</f>
        <v/>
      </c>
      <c r="P245" s="21" t="str">
        <f ca="1">IF(Calc!$AM245="","",SUBSTITUTE(SUBSTITUTE(TRIM(SUBSTITUTE($L245," ","~")&amp;" "&amp;SUBSTITUTE($M245," ","~")&amp;" "&amp;SUBSTITUTE($N245," ","~")&amp;" "&amp;SUBSTITUTE($O245," ","~"))," "," | "),"~"," "))</f>
        <v/>
      </c>
    </row>
    <row r="246" spans="1:16" x14ac:dyDescent="0.2">
      <c r="A246" s="19" t="str">
        <f ca="1">IF(Calc!$AM246="","",ROW()-5)</f>
        <v/>
      </c>
      <c r="B246" s="20" t="str">
        <f ca="1">IF(Calc!$AM246="","",INT(Calc!$AK246))</f>
        <v/>
      </c>
      <c r="C246" s="21" t="str">
        <f ca="1">IF(Calc!$AM246="","",IF($H246&lt;Setup!$C$5,"PAST DUE: milestone date has passed",IF($B246&lt;Setup!$C$5,"LATE: order today, ask about rush",IF($B246&lt;Setup!$C$5+14,"Order within 2 weeks","Scheduled"))))</f>
        <v/>
      </c>
      <c r="D246" s="21" t="str">
        <f ca="1">IF(Calc!$AM246="","",TEXT($B246,"mmmm yyyy"))</f>
        <v/>
      </c>
      <c r="E246" s="21" t="str">
        <f ca="1">IF(Calc!$AM246="","",INDEX(Roster!$A$6:$A$505,Calc!$AM246)&amp;"")</f>
        <v/>
      </c>
      <c r="F246" s="21" t="str">
        <f ca="1">IF(Calc!$AM246="","",INDEX(Roster!$C$6:$C$505,Calc!$AM246)&amp;"")</f>
        <v/>
      </c>
      <c r="G246" s="19" t="str">
        <f ca="1">IF(Calc!$AM246="","",INDEX(Setup!$C$20:$C$34,Calc!$AN246))</f>
        <v/>
      </c>
      <c r="H246" s="20" t="str">
        <f ca="1">IF(Calc!$AM246="","",INDEX(Calc!$B$6:$P$505,Calc!$AM246,Calc!$AN246))</f>
        <v/>
      </c>
      <c r="I246" s="21" t="str">
        <f ca="1">IF(Calc!$AM246="","",INDEX(Setup!$D$20:$D$34,Calc!$AN246)&amp;"")</f>
        <v/>
      </c>
      <c r="J246" s="21" t="str">
        <f ca="1">IF(Calc!$AM246="","",INDEX(Setup!$E$20:$E$34,Calc!$AN246)&amp;"")</f>
        <v/>
      </c>
      <c r="K246" s="23" t="str">
        <f ca="1">IF(Calc!$AM246="","",INDEX(Setup!$F$20:$F$34,Calc!$AN246))</f>
        <v/>
      </c>
      <c r="L246" s="21" t="str">
        <f ca="1">IF(Calc!$AM246="","",SUBSTITUTE(SUBSTITUTE(SUBSTITUTE(SUBSTITUTE(INDEX(Setup!$H$20:$H$34,Calc!$AN246)&amp;"","{name}",$E246),"{years}",$G246),"{date}",TEXT($H246,"mmmm d, yyyy")),"{company}",Setup!$C$4))</f>
        <v/>
      </c>
      <c r="M246" s="21" t="str">
        <f ca="1">IF(Calc!$AM246="","",SUBSTITUTE(SUBSTITUTE(SUBSTITUTE(SUBSTITUTE(INDEX(Setup!$I$20:$I$34,Calc!$AN246)&amp;"","{name}",$E246),"{years}",$G246),"{date}",TEXT($H246,"mmmm d, yyyy")),"{company}",Setup!$C$4))</f>
        <v/>
      </c>
      <c r="N246" s="21" t="str">
        <f ca="1">IF(Calc!$AM246="","",SUBSTITUTE(SUBSTITUTE(SUBSTITUTE(SUBSTITUTE(INDEX(Setup!$J$20:$J$34,Calc!$AN246)&amp;"","{name}",$E246),"{years}",$G246),"{date}",TEXT($H246,"mmmm d, yyyy")),"{company}",Setup!$C$4))</f>
        <v/>
      </c>
      <c r="O246" s="21" t="str">
        <f ca="1">IF(Calc!$AM246="","",SUBSTITUTE(SUBSTITUTE(SUBSTITUTE(SUBSTITUTE(INDEX(Setup!$K$20:$K$34,Calc!$AN246)&amp;"","{name}",$E246),"{years}",$G246),"{date}",TEXT($H246,"mmmm d, yyyy")),"{company}",Setup!$C$4))</f>
        <v/>
      </c>
      <c r="P246" s="21" t="str">
        <f ca="1">IF(Calc!$AM246="","",SUBSTITUTE(SUBSTITUTE(TRIM(SUBSTITUTE($L246," ","~")&amp;" "&amp;SUBSTITUTE($M246," ","~")&amp;" "&amp;SUBSTITUTE($N246," ","~")&amp;" "&amp;SUBSTITUTE($O246," ","~"))," "," | "),"~"," "))</f>
        <v/>
      </c>
    </row>
    <row r="247" spans="1:16" x14ac:dyDescent="0.2">
      <c r="A247" s="19" t="str">
        <f ca="1">IF(Calc!$AM247="","",ROW()-5)</f>
        <v/>
      </c>
      <c r="B247" s="20" t="str">
        <f ca="1">IF(Calc!$AM247="","",INT(Calc!$AK247))</f>
        <v/>
      </c>
      <c r="C247" s="21" t="str">
        <f ca="1">IF(Calc!$AM247="","",IF($H247&lt;Setup!$C$5,"PAST DUE: milestone date has passed",IF($B247&lt;Setup!$C$5,"LATE: order today, ask about rush",IF($B247&lt;Setup!$C$5+14,"Order within 2 weeks","Scheduled"))))</f>
        <v/>
      </c>
      <c r="D247" s="21" t="str">
        <f ca="1">IF(Calc!$AM247="","",TEXT($B247,"mmmm yyyy"))</f>
        <v/>
      </c>
      <c r="E247" s="21" t="str">
        <f ca="1">IF(Calc!$AM247="","",INDEX(Roster!$A$6:$A$505,Calc!$AM247)&amp;"")</f>
        <v/>
      </c>
      <c r="F247" s="21" t="str">
        <f ca="1">IF(Calc!$AM247="","",INDEX(Roster!$C$6:$C$505,Calc!$AM247)&amp;"")</f>
        <v/>
      </c>
      <c r="G247" s="19" t="str">
        <f ca="1">IF(Calc!$AM247="","",INDEX(Setup!$C$20:$C$34,Calc!$AN247))</f>
        <v/>
      </c>
      <c r="H247" s="20" t="str">
        <f ca="1">IF(Calc!$AM247="","",INDEX(Calc!$B$6:$P$505,Calc!$AM247,Calc!$AN247))</f>
        <v/>
      </c>
      <c r="I247" s="21" t="str">
        <f ca="1">IF(Calc!$AM247="","",INDEX(Setup!$D$20:$D$34,Calc!$AN247)&amp;"")</f>
        <v/>
      </c>
      <c r="J247" s="21" t="str">
        <f ca="1">IF(Calc!$AM247="","",INDEX(Setup!$E$20:$E$34,Calc!$AN247)&amp;"")</f>
        <v/>
      </c>
      <c r="K247" s="23" t="str">
        <f ca="1">IF(Calc!$AM247="","",INDEX(Setup!$F$20:$F$34,Calc!$AN247))</f>
        <v/>
      </c>
      <c r="L247" s="21" t="str">
        <f ca="1">IF(Calc!$AM247="","",SUBSTITUTE(SUBSTITUTE(SUBSTITUTE(SUBSTITUTE(INDEX(Setup!$H$20:$H$34,Calc!$AN247)&amp;"","{name}",$E247),"{years}",$G247),"{date}",TEXT($H247,"mmmm d, yyyy")),"{company}",Setup!$C$4))</f>
        <v/>
      </c>
      <c r="M247" s="21" t="str">
        <f ca="1">IF(Calc!$AM247="","",SUBSTITUTE(SUBSTITUTE(SUBSTITUTE(SUBSTITUTE(INDEX(Setup!$I$20:$I$34,Calc!$AN247)&amp;"","{name}",$E247),"{years}",$G247),"{date}",TEXT($H247,"mmmm d, yyyy")),"{company}",Setup!$C$4))</f>
        <v/>
      </c>
      <c r="N247" s="21" t="str">
        <f ca="1">IF(Calc!$AM247="","",SUBSTITUTE(SUBSTITUTE(SUBSTITUTE(SUBSTITUTE(INDEX(Setup!$J$20:$J$34,Calc!$AN247)&amp;"","{name}",$E247),"{years}",$G247),"{date}",TEXT($H247,"mmmm d, yyyy")),"{company}",Setup!$C$4))</f>
        <v/>
      </c>
      <c r="O247" s="21" t="str">
        <f ca="1">IF(Calc!$AM247="","",SUBSTITUTE(SUBSTITUTE(SUBSTITUTE(SUBSTITUTE(INDEX(Setup!$K$20:$K$34,Calc!$AN247)&amp;"","{name}",$E247),"{years}",$G247),"{date}",TEXT($H247,"mmmm d, yyyy")),"{company}",Setup!$C$4))</f>
        <v/>
      </c>
      <c r="P247" s="21" t="str">
        <f ca="1">IF(Calc!$AM247="","",SUBSTITUTE(SUBSTITUTE(TRIM(SUBSTITUTE($L247," ","~")&amp;" "&amp;SUBSTITUTE($M247," ","~")&amp;" "&amp;SUBSTITUTE($N247," ","~")&amp;" "&amp;SUBSTITUTE($O247," ","~"))," "," | "),"~"," "))</f>
        <v/>
      </c>
    </row>
    <row r="248" spans="1:16" x14ac:dyDescent="0.2">
      <c r="A248" s="19" t="str">
        <f ca="1">IF(Calc!$AM248="","",ROW()-5)</f>
        <v/>
      </c>
      <c r="B248" s="20" t="str">
        <f ca="1">IF(Calc!$AM248="","",INT(Calc!$AK248))</f>
        <v/>
      </c>
      <c r="C248" s="21" t="str">
        <f ca="1">IF(Calc!$AM248="","",IF($H248&lt;Setup!$C$5,"PAST DUE: milestone date has passed",IF($B248&lt;Setup!$C$5,"LATE: order today, ask about rush",IF($B248&lt;Setup!$C$5+14,"Order within 2 weeks","Scheduled"))))</f>
        <v/>
      </c>
      <c r="D248" s="21" t="str">
        <f ca="1">IF(Calc!$AM248="","",TEXT($B248,"mmmm yyyy"))</f>
        <v/>
      </c>
      <c r="E248" s="21" t="str">
        <f ca="1">IF(Calc!$AM248="","",INDEX(Roster!$A$6:$A$505,Calc!$AM248)&amp;"")</f>
        <v/>
      </c>
      <c r="F248" s="21" t="str">
        <f ca="1">IF(Calc!$AM248="","",INDEX(Roster!$C$6:$C$505,Calc!$AM248)&amp;"")</f>
        <v/>
      </c>
      <c r="G248" s="19" t="str">
        <f ca="1">IF(Calc!$AM248="","",INDEX(Setup!$C$20:$C$34,Calc!$AN248))</f>
        <v/>
      </c>
      <c r="H248" s="20" t="str">
        <f ca="1">IF(Calc!$AM248="","",INDEX(Calc!$B$6:$P$505,Calc!$AM248,Calc!$AN248))</f>
        <v/>
      </c>
      <c r="I248" s="21" t="str">
        <f ca="1">IF(Calc!$AM248="","",INDEX(Setup!$D$20:$D$34,Calc!$AN248)&amp;"")</f>
        <v/>
      </c>
      <c r="J248" s="21" t="str">
        <f ca="1">IF(Calc!$AM248="","",INDEX(Setup!$E$20:$E$34,Calc!$AN248)&amp;"")</f>
        <v/>
      </c>
      <c r="K248" s="23" t="str">
        <f ca="1">IF(Calc!$AM248="","",INDEX(Setup!$F$20:$F$34,Calc!$AN248))</f>
        <v/>
      </c>
      <c r="L248" s="21" t="str">
        <f ca="1">IF(Calc!$AM248="","",SUBSTITUTE(SUBSTITUTE(SUBSTITUTE(SUBSTITUTE(INDEX(Setup!$H$20:$H$34,Calc!$AN248)&amp;"","{name}",$E248),"{years}",$G248),"{date}",TEXT($H248,"mmmm d, yyyy")),"{company}",Setup!$C$4))</f>
        <v/>
      </c>
      <c r="M248" s="21" t="str">
        <f ca="1">IF(Calc!$AM248="","",SUBSTITUTE(SUBSTITUTE(SUBSTITUTE(SUBSTITUTE(INDEX(Setup!$I$20:$I$34,Calc!$AN248)&amp;"","{name}",$E248),"{years}",$G248),"{date}",TEXT($H248,"mmmm d, yyyy")),"{company}",Setup!$C$4))</f>
        <v/>
      </c>
      <c r="N248" s="21" t="str">
        <f ca="1">IF(Calc!$AM248="","",SUBSTITUTE(SUBSTITUTE(SUBSTITUTE(SUBSTITUTE(INDEX(Setup!$J$20:$J$34,Calc!$AN248)&amp;"","{name}",$E248),"{years}",$G248),"{date}",TEXT($H248,"mmmm d, yyyy")),"{company}",Setup!$C$4))</f>
        <v/>
      </c>
      <c r="O248" s="21" t="str">
        <f ca="1">IF(Calc!$AM248="","",SUBSTITUTE(SUBSTITUTE(SUBSTITUTE(SUBSTITUTE(INDEX(Setup!$K$20:$K$34,Calc!$AN248)&amp;"","{name}",$E248),"{years}",$G248),"{date}",TEXT($H248,"mmmm d, yyyy")),"{company}",Setup!$C$4))</f>
        <v/>
      </c>
      <c r="P248" s="21" t="str">
        <f ca="1">IF(Calc!$AM248="","",SUBSTITUTE(SUBSTITUTE(TRIM(SUBSTITUTE($L248," ","~")&amp;" "&amp;SUBSTITUTE($M248," ","~")&amp;" "&amp;SUBSTITUTE($N248," ","~")&amp;" "&amp;SUBSTITUTE($O248," ","~"))," "," | "),"~"," "))</f>
        <v/>
      </c>
    </row>
    <row r="249" spans="1:16" x14ac:dyDescent="0.2">
      <c r="A249" s="19" t="str">
        <f ca="1">IF(Calc!$AM249="","",ROW()-5)</f>
        <v/>
      </c>
      <c r="B249" s="20" t="str">
        <f ca="1">IF(Calc!$AM249="","",INT(Calc!$AK249))</f>
        <v/>
      </c>
      <c r="C249" s="21" t="str">
        <f ca="1">IF(Calc!$AM249="","",IF($H249&lt;Setup!$C$5,"PAST DUE: milestone date has passed",IF($B249&lt;Setup!$C$5,"LATE: order today, ask about rush",IF($B249&lt;Setup!$C$5+14,"Order within 2 weeks","Scheduled"))))</f>
        <v/>
      </c>
      <c r="D249" s="21" t="str">
        <f ca="1">IF(Calc!$AM249="","",TEXT($B249,"mmmm yyyy"))</f>
        <v/>
      </c>
      <c r="E249" s="21" t="str">
        <f ca="1">IF(Calc!$AM249="","",INDEX(Roster!$A$6:$A$505,Calc!$AM249)&amp;"")</f>
        <v/>
      </c>
      <c r="F249" s="21" t="str">
        <f ca="1">IF(Calc!$AM249="","",INDEX(Roster!$C$6:$C$505,Calc!$AM249)&amp;"")</f>
        <v/>
      </c>
      <c r="G249" s="19" t="str">
        <f ca="1">IF(Calc!$AM249="","",INDEX(Setup!$C$20:$C$34,Calc!$AN249))</f>
        <v/>
      </c>
      <c r="H249" s="20" t="str">
        <f ca="1">IF(Calc!$AM249="","",INDEX(Calc!$B$6:$P$505,Calc!$AM249,Calc!$AN249))</f>
        <v/>
      </c>
      <c r="I249" s="21" t="str">
        <f ca="1">IF(Calc!$AM249="","",INDEX(Setup!$D$20:$D$34,Calc!$AN249)&amp;"")</f>
        <v/>
      </c>
      <c r="J249" s="21" t="str">
        <f ca="1">IF(Calc!$AM249="","",INDEX(Setup!$E$20:$E$34,Calc!$AN249)&amp;"")</f>
        <v/>
      </c>
      <c r="K249" s="23" t="str">
        <f ca="1">IF(Calc!$AM249="","",INDEX(Setup!$F$20:$F$34,Calc!$AN249))</f>
        <v/>
      </c>
      <c r="L249" s="21" t="str">
        <f ca="1">IF(Calc!$AM249="","",SUBSTITUTE(SUBSTITUTE(SUBSTITUTE(SUBSTITUTE(INDEX(Setup!$H$20:$H$34,Calc!$AN249)&amp;"","{name}",$E249),"{years}",$G249),"{date}",TEXT($H249,"mmmm d, yyyy")),"{company}",Setup!$C$4))</f>
        <v/>
      </c>
      <c r="M249" s="21" t="str">
        <f ca="1">IF(Calc!$AM249="","",SUBSTITUTE(SUBSTITUTE(SUBSTITUTE(SUBSTITUTE(INDEX(Setup!$I$20:$I$34,Calc!$AN249)&amp;"","{name}",$E249),"{years}",$G249),"{date}",TEXT($H249,"mmmm d, yyyy")),"{company}",Setup!$C$4))</f>
        <v/>
      </c>
      <c r="N249" s="21" t="str">
        <f ca="1">IF(Calc!$AM249="","",SUBSTITUTE(SUBSTITUTE(SUBSTITUTE(SUBSTITUTE(INDEX(Setup!$J$20:$J$34,Calc!$AN249)&amp;"","{name}",$E249),"{years}",$G249),"{date}",TEXT($H249,"mmmm d, yyyy")),"{company}",Setup!$C$4))</f>
        <v/>
      </c>
      <c r="O249" s="21" t="str">
        <f ca="1">IF(Calc!$AM249="","",SUBSTITUTE(SUBSTITUTE(SUBSTITUTE(SUBSTITUTE(INDEX(Setup!$K$20:$K$34,Calc!$AN249)&amp;"","{name}",$E249),"{years}",$G249),"{date}",TEXT($H249,"mmmm d, yyyy")),"{company}",Setup!$C$4))</f>
        <v/>
      </c>
      <c r="P249" s="21" t="str">
        <f ca="1">IF(Calc!$AM249="","",SUBSTITUTE(SUBSTITUTE(TRIM(SUBSTITUTE($L249," ","~")&amp;" "&amp;SUBSTITUTE($M249," ","~")&amp;" "&amp;SUBSTITUTE($N249," ","~")&amp;" "&amp;SUBSTITUTE($O249," ","~"))," "," | "),"~"," "))</f>
        <v/>
      </c>
    </row>
    <row r="250" spans="1:16" x14ac:dyDescent="0.2">
      <c r="A250" s="19" t="str">
        <f ca="1">IF(Calc!$AM250="","",ROW()-5)</f>
        <v/>
      </c>
      <c r="B250" s="20" t="str">
        <f ca="1">IF(Calc!$AM250="","",INT(Calc!$AK250))</f>
        <v/>
      </c>
      <c r="C250" s="21" t="str">
        <f ca="1">IF(Calc!$AM250="","",IF($H250&lt;Setup!$C$5,"PAST DUE: milestone date has passed",IF($B250&lt;Setup!$C$5,"LATE: order today, ask about rush",IF($B250&lt;Setup!$C$5+14,"Order within 2 weeks","Scheduled"))))</f>
        <v/>
      </c>
      <c r="D250" s="21" t="str">
        <f ca="1">IF(Calc!$AM250="","",TEXT($B250,"mmmm yyyy"))</f>
        <v/>
      </c>
      <c r="E250" s="21" t="str">
        <f ca="1">IF(Calc!$AM250="","",INDEX(Roster!$A$6:$A$505,Calc!$AM250)&amp;"")</f>
        <v/>
      </c>
      <c r="F250" s="21" t="str">
        <f ca="1">IF(Calc!$AM250="","",INDEX(Roster!$C$6:$C$505,Calc!$AM250)&amp;"")</f>
        <v/>
      </c>
      <c r="G250" s="19" t="str">
        <f ca="1">IF(Calc!$AM250="","",INDEX(Setup!$C$20:$C$34,Calc!$AN250))</f>
        <v/>
      </c>
      <c r="H250" s="20" t="str">
        <f ca="1">IF(Calc!$AM250="","",INDEX(Calc!$B$6:$P$505,Calc!$AM250,Calc!$AN250))</f>
        <v/>
      </c>
      <c r="I250" s="21" t="str">
        <f ca="1">IF(Calc!$AM250="","",INDEX(Setup!$D$20:$D$34,Calc!$AN250)&amp;"")</f>
        <v/>
      </c>
      <c r="J250" s="21" t="str">
        <f ca="1">IF(Calc!$AM250="","",INDEX(Setup!$E$20:$E$34,Calc!$AN250)&amp;"")</f>
        <v/>
      </c>
      <c r="K250" s="23" t="str">
        <f ca="1">IF(Calc!$AM250="","",INDEX(Setup!$F$20:$F$34,Calc!$AN250))</f>
        <v/>
      </c>
      <c r="L250" s="21" t="str">
        <f ca="1">IF(Calc!$AM250="","",SUBSTITUTE(SUBSTITUTE(SUBSTITUTE(SUBSTITUTE(INDEX(Setup!$H$20:$H$34,Calc!$AN250)&amp;"","{name}",$E250),"{years}",$G250),"{date}",TEXT($H250,"mmmm d, yyyy")),"{company}",Setup!$C$4))</f>
        <v/>
      </c>
      <c r="M250" s="21" t="str">
        <f ca="1">IF(Calc!$AM250="","",SUBSTITUTE(SUBSTITUTE(SUBSTITUTE(SUBSTITUTE(INDEX(Setup!$I$20:$I$34,Calc!$AN250)&amp;"","{name}",$E250),"{years}",$G250),"{date}",TEXT($H250,"mmmm d, yyyy")),"{company}",Setup!$C$4))</f>
        <v/>
      </c>
      <c r="N250" s="21" t="str">
        <f ca="1">IF(Calc!$AM250="","",SUBSTITUTE(SUBSTITUTE(SUBSTITUTE(SUBSTITUTE(INDEX(Setup!$J$20:$J$34,Calc!$AN250)&amp;"","{name}",$E250),"{years}",$G250),"{date}",TEXT($H250,"mmmm d, yyyy")),"{company}",Setup!$C$4))</f>
        <v/>
      </c>
      <c r="O250" s="21" t="str">
        <f ca="1">IF(Calc!$AM250="","",SUBSTITUTE(SUBSTITUTE(SUBSTITUTE(SUBSTITUTE(INDEX(Setup!$K$20:$K$34,Calc!$AN250)&amp;"","{name}",$E250),"{years}",$G250),"{date}",TEXT($H250,"mmmm d, yyyy")),"{company}",Setup!$C$4))</f>
        <v/>
      </c>
      <c r="P250" s="21" t="str">
        <f ca="1">IF(Calc!$AM250="","",SUBSTITUTE(SUBSTITUTE(TRIM(SUBSTITUTE($L250," ","~")&amp;" "&amp;SUBSTITUTE($M250," ","~")&amp;" "&amp;SUBSTITUTE($N250," ","~")&amp;" "&amp;SUBSTITUTE($O250," ","~"))," "," | "),"~"," "))</f>
        <v/>
      </c>
    </row>
    <row r="251" spans="1:16" x14ac:dyDescent="0.2">
      <c r="A251" s="19" t="str">
        <f ca="1">IF(Calc!$AM251="","",ROW()-5)</f>
        <v/>
      </c>
      <c r="B251" s="20" t="str">
        <f ca="1">IF(Calc!$AM251="","",INT(Calc!$AK251))</f>
        <v/>
      </c>
      <c r="C251" s="21" t="str">
        <f ca="1">IF(Calc!$AM251="","",IF($H251&lt;Setup!$C$5,"PAST DUE: milestone date has passed",IF($B251&lt;Setup!$C$5,"LATE: order today, ask about rush",IF($B251&lt;Setup!$C$5+14,"Order within 2 weeks","Scheduled"))))</f>
        <v/>
      </c>
      <c r="D251" s="21" t="str">
        <f ca="1">IF(Calc!$AM251="","",TEXT($B251,"mmmm yyyy"))</f>
        <v/>
      </c>
      <c r="E251" s="21" t="str">
        <f ca="1">IF(Calc!$AM251="","",INDEX(Roster!$A$6:$A$505,Calc!$AM251)&amp;"")</f>
        <v/>
      </c>
      <c r="F251" s="21" t="str">
        <f ca="1">IF(Calc!$AM251="","",INDEX(Roster!$C$6:$C$505,Calc!$AM251)&amp;"")</f>
        <v/>
      </c>
      <c r="G251" s="19" t="str">
        <f ca="1">IF(Calc!$AM251="","",INDEX(Setup!$C$20:$C$34,Calc!$AN251))</f>
        <v/>
      </c>
      <c r="H251" s="20" t="str">
        <f ca="1">IF(Calc!$AM251="","",INDEX(Calc!$B$6:$P$505,Calc!$AM251,Calc!$AN251))</f>
        <v/>
      </c>
      <c r="I251" s="21" t="str">
        <f ca="1">IF(Calc!$AM251="","",INDEX(Setup!$D$20:$D$34,Calc!$AN251)&amp;"")</f>
        <v/>
      </c>
      <c r="J251" s="21" t="str">
        <f ca="1">IF(Calc!$AM251="","",INDEX(Setup!$E$20:$E$34,Calc!$AN251)&amp;"")</f>
        <v/>
      </c>
      <c r="K251" s="23" t="str">
        <f ca="1">IF(Calc!$AM251="","",INDEX(Setup!$F$20:$F$34,Calc!$AN251))</f>
        <v/>
      </c>
      <c r="L251" s="21" t="str">
        <f ca="1">IF(Calc!$AM251="","",SUBSTITUTE(SUBSTITUTE(SUBSTITUTE(SUBSTITUTE(INDEX(Setup!$H$20:$H$34,Calc!$AN251)&amp;"","{name}",$E251),"{years}",$G251),"{date}",TEXT($H251,"mmmm d, yyyy")),"{company}",Setup!$C$4))</f>
        <v/>
      </c>
      <c r="M251" s="21" t="str">
        <f ca="1">IF(Calc!$AM251="","",SUBSTITUTE(SUBSTITUTE(SUBSTITUTE(SUBSTITUTE(INDEX(Setup!$I$20:$I$34,Calc!$AN251)&amp;"","{name}",$E251),"{years}",$G251),"{date}",TEXT($H251,"mmmm d, yyyy")),"{company}",Setup!$C$4))</f>
        <v/>
      </c>
      <c r="N251" s="21" t="str">
        <f ca="1">IF(Calc!$AM251="","",SUBSTITUTE(SUBSTITUTE(SUBSTITUTE(SUBSTITUTE(INDEX(Setup!$J$20:$J$34,Calc!$AN251)&amp;"","{name}",$E251),"{years}",$G251),"{date}",TEXT($H251,"mmmm d, yyyy")),"{company}",Setup!$C$4))</f>
        <v/>
      </c>
      <c r="O251" s="21" t="str">
        <f ca="1">IF(Calc!$AM251="","",SUBSTITUTE(SUBSTITUTE(SUBSTITUTE(SUBSTITUTE(INDEX(Setup!$K$20:$K$34,Calc!$AN251)&amp;"","{name}",$E251),"{years}",$G251),"{date}",TEXT($H251,"mmmm d, yyyy")),"{company}",Setup!$C$4))</f>
        <v/>
      </c>
      <c r="P251" s="21" t="str">
        <f ca="1">IF(Calc!$AM251="","",SUBSTITUTE(SUBSTITUTE(TRIM(SUBSTITUTE($L251," ","~")&amp;" "&amp;SUBSTITUTE($M251," ","~")&amp;" "&amp;SUBSTITUTE($N251," ","~")&amp;" "&amp;SUBSTITUTE($O251," ","~"))," "," | "),"~"," "))</f>
        <v/>
      </c>
    </row>
    <row r="252" spans="1:16" x14ac:dyDescent="0.2">
      <c r="A252" s="19" t="str">
        <f ca="1">IF(Calc!$AM252="","",ROW()-5)</f>
        <v/>
      </c>
      <c r="B252" s="20" t="str">
        <f ca="1">IF(Calc!$AM252="","",INT(Calc!$AK252))</f>
        <v/>
      </c>
      <c r="C252" s="21" t="str">
        <f ca="1">IF(Calc!$AM252="","",IF($H252&lt;Setup!$C$5,"PAST DUE: milestone date has passed",IF($B252&lt;Setup!$C$5,"LATE: order today, ask about rush",IF($B252&lt;Setup!$C$5+14,"Order within 2 weeks","Scheduled"))))</f>
        <v/>
      </c>
      <c r="D252" s="21" t="str">
        <f ca="1">IF(Calc!$AM252="","",TEXT($B252,"mmmm yyyy"))</f>
        <v/>
      </c>
      <c r="E252" s="21" t="str">
        <f ca="1">IF(Calc!$AM252="","",INDEX(Roster!$A$6:$A$505,Calc!$AM252)&amp;"")</f>
        <v/>
      </c>
      <c r="F252" s="21" t="str">
        <f ca="1">IF(Calc!$AM252="","",INDEX(Roster!$C$6:$C$505,Calc!$AM252)&amp;"")</f>
        <v/>
      </c>
      <c r="G252" s="19" t="str">
        <f ca="1">IF(Calc!$AM252="","",INDEX(Setup!$C$20:$C$34,Calc!$AN252))</f>
        <v/>
      </c>
      <c r="H252" s="20" t="str">
        <f ca="1">IF(Calc!$AM252="","",INDEX(Calc!$B$6:$P$505,Calc!$AM252,Calc!$AN252))</f>
        <v/>
      </c>
      <c r="I252" s="21" t="str">
        <f ca="1">IF(Calc!$AM252="","",INDEX(Setup!$D$20:$D$34,Calc!$AN252)&amp;"")</f>
        <v/>
      </c>
      <c r="J252" s="21" t="str">
        <f ca="1">IF(Calc!$AM252="","",INDEX(Setup!$E$20:$E$34,Calc!$AN252)&amp;"")</f>
        <v/>
      </c>
      <c r="K252" s="23" t="str">
        <f ca="1">IF(Calc!$AM252="","",INDEX(Setup!$F$20:$F$34,Calc!$AN252))</f>
        <v/>
      </c>
      <c r="L252" s="21" t="str">
        <f ca="1">IF(Calc!$AM252="","",SUBSTITUTE(SUBSTITUTE(SUBSTITUTE(SUBSTITUTE(INDEX(Setup!$H$20:$H$34,Calc!$AN252)&amp;"","{name}",$E252),"{years}",$G252),"{date}",TEXT($H252,"mmmm d, yyyy")),"{company}",Setup!$C$4))</f>
        <v/>
      </c>
      <c r="M252" s="21" t="str">
        <f ca="1">IF(Calc!$AM252="","",SUBSTITUTE(SUBSTITUTE(SUBSTITUTE(SUBSTITUTE(INDEX(Setup!$I$20:$I$34,Calc!$AN252)&amp;"","{name}",$E252),"{years}",$G252),"{date}",TEXT($H252,"mmmm d, yyyy")),"{company}",Setup!$C$4))</f>
        <v/>
      </c>
      <c r="N252" s="21" t="str">
        <f ca="1">IF(Calc!$AM252="","",SUBSTITUTE(SUBSTITUTE(SUBSTITUTE(SUBSTITUTE(INDEX(Setup!$J$20:$J$34,Calc!$AN252)&amp;"","{name}",$E252),"{years}",$G252),"{date}",TEXT($H252,"mmmm d, yyyy")),"{company}",Setup!$C$4))</f>
        <v/>
      </c>
      <c r="O252" s="21" t="str">
        <f ca="1">IF(Calc!$AM252="","",SUBSTITUTE(SUBSTITUTE(SUBSTITUTE(SUBSTITUTE(INDEX(Setup!$K$20:$K$34,Calc!$AN252)&amp;"","{name}",$E252),"{years}",$G252),"{date}",TEXT($H252,"mmmm d, yyyy")),"{company}",Setup!$C$4))</f>
        <v/>
      </c>
      <c r="P252" s="21" t="str">
        <f ca="1">IF(Calc!$AM252="","",SUBSTITUTE(SUBSTITUTE(TRIM(SUBSTITUTE($L252," ","~")&amp;" "&amp;SUBSTITUTE($M252," ","~")&amp;" "&amp;SUBSTITUTE($N252," ","~")&amp;" "&amp;SUBSTITUTE($O252," ","~"))," "," | "),"~"," "))</f>
        <v/>
      </c>
    </row>
    <row r="253" spans="1:16" x14ac:dyDescent="0.2">
      <c r="A253" s="19" t="str">
        <f ca="1">IF(Calc!$AM253="","",ROW()-5)</f>
        <v/>
      </c>
      <c r="B253" s="20" t="str">
        <f ca="1">IF(Calc!$AM253="","",INT(Calc!$AK253))</f>
        <v/>
      </c>
      <c r="C253" s="21" t="str">
        <f ca="1">IF(Calc!$AM253="","",IF($H253&lt;Setup!$C$5,"PAST DUE: milestone date has passed",IF($B253&lt;Setup!$C$5,"LATE: order today, ask about rush",IF($B253&lt;Setup!$C$5+14,"Order within 2 weeks","Scheduled"))))</f>
        <v/>
      </c>
      <c r="D253" s="21" t="str">
        <f ca="1">IF(Calc!$AM253="","",TEXT($B253,"mmmm yyyy"))</f>
        <v/>
      </c>
      <c r="E253" s="21" t="str">
        <f ca="1">IF(Calc!$AM253="","",INDEX(Roster!$A$6:$A$505,Calc!$AM253)&amp;"")</f>
        <v/>
      </c>
      <c r="F253" s="21" t="str">
        <f ca="1">IF(Calc!$AM253="","",INDEX(Roster!$C$6:$C$505,Calc!$AM253)&amp;"")</f>
        <v/>
      </c>
      <c r="G253" s="19" t="str">
        <f ca="1">IF(Calc!$AM253="","",INDEX(Setup!$C$20:$C$34,Calc!$AN253))</f>
        <v/>
      </c>
      <c r="H253" s="20" t="str">
        <f ca="1">IF(Calc!$AM253="","",INDEX(Calc!$B$6:$P$505,Calc!$AM253,Calc!$AN253))</f>
        <v/>
      </c>
      <c r="I253" s="21" t="str">
        <f ca="1">IF(Calc!$AM253="","",INDEX(Setup!$D$20:$D$34,Calc!$AN253)&amp;"")</f>
        <v/>
      </c>
      <c r="J253" s="21" t="str">
        <f ca="1">IF(Calc!$AM253="","",INDEX(Setup!$E$20:$E$34,Calc!$AN253)&amp;"")</f>
        <v/>
      </c>
      <c r="K253" s="23" t="str">
        <f ca="1">IF(Calc!$AM253="","",INDEX(Setup!$F$20:$F$34,Calc!$AN253))</f>
        <v/>
      </c>
      <c r="L253" s="21" t="str">
        <f ca="1">IF(Calc!$AM253="","",SUBSTITUTE(SUBSTITUTE(SUBSTITUTE(SUBSTITUTE(INDEX(Setup!$H$20:$H$34,Calc!$AN253)&amp;"","{name}",$E253),"{years}",$G253),"{date}",TEXT($H253,"mmmm d, yyyy")),"{company}",Setup!$C$4))</f>
        <v/>
      </c>
      <c r="M253" s="21" t="str">
        <f ca="1">IF(Calc!$AM253="","",SUBSTITUTE(SUBSTITUTE(SUBSTITUTE(SUBSTITUTE(INDEX(Setup!$I$20:$I$34,Calc!$AN253)&amp;"","{name}",$E253),"{years}",$G253),"{date}",TEXT($H253,"mmmm d, yyyy")),"{company}",Setup!$C$4))</f>
        <v/>
      </c>
      <c r="N253" s="21" t="str">
        <f ca="1">IF(Calc!$AM253="","",SUBSTITUTE(SUBSTITUTE(SUBSTITUTE(SUBSTITUTE(INDEX(Setup!$J$20:$J$34,Calc!$AN253)&amp;"","{name}",$E253),"{years}",$G253),"{date}",TEXT($H253,"mmmm d, yyyy")),"{company}",Setup!$C$4))</f>
        <v/>
      </c>
      <c r="O253" s="21" t="str">
        <f ca="1">IF(Calc!$AM253="","",SUBSTITUTE(SUBSTITUTE(SUBSTITUTE(SUBSTITUTE(INDEX(Setup!$K$20:$K$34,Calc!$AN253)&amp;"","{name}",$E253),"{years}",$G253),"{date}",TEXT($H253,"mmmm d, yyyy")),"{company}",Setup!$C$4))</f>
        <v/>
      </c>
      <c r="P253" s="21" t="str">
        <f ca="1">IF(Calc!$AM253="","",SUBSTITUTE(SUBSTITUTE(TRIM(SUBSTITUTE($L253," ","~")&amp;" "&amp;SUBSTITUTE($M253," ","~")&amp;" "&amp;SUBSTITUTE($N253," ","~")&amp;" "&amp;SUBSTITUTE($O253," ","~"))," "," | "),"~"," "))</f>
        <v/>
      </c>
    </row>
    <row r="254" spans="1:16" x14ac:dyDescent="0.2">
      <c r="A254" s="19" t="str">
        <f ca="1">IF(Calc!$AM254="","",ROW()-5)</f>
        <v/>
      </c>
      <c r="B254" s="20" t="str">
        <f ca="1">IF(Calc!$AM254="","",INT(Calc!$AK254))</f>
        <v/>
      </c>
      <c r="C254" s="21" t="str">
        <f ca="1">IF(Calc!$AM254="","",IF($H254&lt;Setup!$C$5,"PAST DUE: milestone date has passed",IF($B254&lt;Setup!$C$5,"LATE: order today, ask about rush",IF($B254&lt;Setup!$C$5+14,"Order within 2 weeks","Scheduled"))))</f>
        <v/>
      </c>
      <c r="D254" s="21" t="str">
        <f ca="1">IF(Calc!$AM254="","",TEXT($B254,"mmmm yyyy"))</f>
        <v/>
      </c>
      <c r="E254" s="21" t="str">
        <f ca="1">IF(Calc!$AM254="","",INDEX(Roster!$A$6:$A$505,Calc!$AM254)&amp;"")</f>
        <v/>
      </c>
      <c r="F254" s="21" t="str">
        <f ca="1">IF(Calc!$AM254="","",INDEX(Roster!$C$6:$C$505,Calc!$AM254)&amp;"")</f>
        <v/>
      </c>
      <c r="G254" s="19" t="str">
        <f ca="1">IF(Calc!$AM254="","",INDEX(Setup!$C$20:$C$34,Calc!$AN254))</f>
        <v/>
      </c>
      <c r="H254" s="20" t="str">
        <f ca="1">IF(Calc!$AM254="","",INDEX(Calc!$B$6:$P$505,Calc!$AM254,Calc!$AN254))</f>
        <v/>
      </c>
      <c r="I254" s="21" t="str">
        <f ca="1">IF(Calc!$AM254="","",INDEX(Setup!$D$20:$D$34,Calc!$AN254)&amp;"")</f>
        <v/>
      </c>
      <c r="J254" s="21" t="str">
        <f ca="1">IF(Calc!$AM254="","",INDEX(Setup!$E$20:$E$34,Calc!$AN254)&amp;"")</f>
        <v/>
      </c>
      <c r="K254" s="23" t="str">
        <f ca="1">IF(Calc!$AM254="","",INDEX(Setup!$F$20:$F$34,Calc!$AN254))</f>
        <v/>
      </c>
      <c r="L254" s="21" t="str">
        <f ca="1">IF(Calc!$AM254="","",SUBSTITUTE(SUBSTITUTE(SUBSTITUTE(SUBSTITUTE(INDEX(Setup!$H$20:$H$34,Calc!$AN254)&amp;"","{name}",$E254),"{years}",$G254),"{date}",TEXT($H254,"mmmm d, yyyy")),"{company}",Setup!$C$4))</f>
        <v/>
      </c>
      <c r="M254" s="21" t="str">
        <f ca="1">IF(Calc!$AM254="","",SUBSTITUTE(SUBSTITUTE(SUBSTITUTE(SUBSTITUTE(INDEX(Setup!$I$20:$I$34,Calc!$AN254)&amp;"","{name}",$E254),"{years}",$G254),"{date}",TEXT($H254,"mmmm d, yyyy")),"{company}",Setup!$C$4))</f>
        <v/>
      </c>
      <c r="N254" s="21" t="str">
        <f ca="1">IF(Calc!$AM254="","",SUBSTITUTE(SUBSTITUTE(SUBSTITUTE(SUBSTITUTE(INDEX(Setup!$J$20:$J$34,Calc!$AN254)&amp;"","{name}",$E254),"{years}",$G254),"{date}",TEXT($H254,"mmmm d, yyyy")),"{company}",Setup!$C$4))</f>
        <v/>
      </c>
      <c r="O254" s="21" t="str">
        <f ca="1">IF(Calc!$AM254="","",SUBSTITUTE(SUBSTITUTE(SUBSTITUTE(SUBSTITUTE(INDEX(Setup!$K$20:$K$34,Calc!$AN254)&amp;"","{name}",$E254),"{years}",$G254),"{date}",TEXT($H254,"mmmm d, yyyy")),"{company}",Setup!$C$4))</f>
        <v/>
      </c>
      <c r="P254" s="21" t="str">
        <f ca="1">IF(Calc!$AM254="","",SUBSTITUTE(SUBSTITUTE(TRIM(SUBSTITUTE($L254," ","~")&amp;" "&amp;SUBSTITUTE($M254," ","~")&amp;" "&amp;SUBSTITUTE($N254," ","~")&amp;" "&amp;SUBSTITUTE($O254," ","~"))," "," | "),"~"," "))</f>
        <v/>
      </c>
    </row>
    <row r="255" spans="1:16" x14ac:dyDescent="0.2">
      <c r="A255" s="19" t="str">
        <f ca="1">IF(Calc!$AM255="","",ROW()-5)</f>
        <v/>
      </c>
      <c r="B255" s="20" t="str">
        <f ca="1">IF(Calc!$AM255="","",INT(Calc!$AK255))</f>
        <v/>
      </c>
      <c r="C255" s="21" t="str">
        <f ca="1">IF(Calc!$AM255="","",IF($H255&lt;Setup!$C$5,"PAST DUE: milestone date has passed",IF($B255&lt;Setup!$C$5,"LATE: order today, ask about rush",IF($B255&lt;Setup!$C$5+14,"Order within 2 weeks","Scheduled"))))</f>
        <v/>
      </c>
      <c r="D255" s="21" t="str">
        <f ca="1">IF(Calc!$AM255="","",TEXT($B255,"mmmm yyyy"))</f>
        <v/>
      </c>
      <c r="E255" s="21" t="str">
        <f ca="1">IF(Calc!$AM255="","",INDEX(Roster!$A$6:$A$505,Calc!$AM255)&amp;"")</f>
        <v/>
      </c>
      <c r="F255" s="21" t="str">
        <f ca="1">IF(Calc!$AM255="","",INDEX(Roster!$C$6:$C$505,Calc!$AM255)&amp;"")</f>
        <v/>
      </c>
      <c r="G255" s="19" t="str">
        <f ca="1">IF(Calc!$AM255="","",INDEX(Setup!$C$20:$C$34,Calc!$AN255))</f>
        <v/>
      </c>
      <c r="H255" s="20" t="str">
        <f ca="1">IF(Calc!$AM255="","",INDEX(Calc!$B$6:$P$505,Calc!$AM255,Calc!$AN255))</f>
        <v/>
      </c>
      <c r="I255" s="21" t="str">
        <f ca="1">IF(Calc!$AM255="","",INDEX(Setup!$D$20:$D$34,Calc!$AN255)&amp;"")</f>
        <v/>
      </c>
      <c r="J255" s="21" t="str">
        <f ca="1">IF(Calc!$AM255="","",INDEX(Setup!$E$20:$E$34,Calc!$AN255)&amp;"")</f>
        <v/>
      </c>
      <c r="K255" s="23" t="str">
        <f ca="1">IF(Calc!$AM255="","",INDEX(Setup!$F$20:$F$34,Calc!$AN255))</f>
        <v/>
      </c>
      <c r="L255" s="21" t="str">
        <f ca="1">IF(Calc!$AM255="","",SUBSTITUTE(SUBSTITUTE(SUBSTITUTE(SUBSTITUTE(INDEX(Setup!$H$20:$H$34,Calc!$AN255)&amp;"","{name}",$E255),"{years}",$G255),"{date}",TEXT($H255,"mmmm d, yyyy")),"{company}",Setup!$C$4))</f>
        <v/>
      </c>
      <c r="M255" s="21" t="str">
        <f ca="1">IF(Calc!$AM255="","",SUBSTITUTE(SUBSTITUTE(SUBSTITUTE(SUBSTITUTE(INDEX(Setup!$I$20:$I$34,Calc!$AN255)&amp;"","{name}",$E255),"{years}",$G255),"{date}",TEXT($H255,"mmmm d, yyyy")),"{company}",Setup!$C$4))</f>
        <v/>
      </c>
      <c r="N255" s="21" t="str">
        <f ca="1">IF(Calc!$AM255="","",SUBSTITUTE(SUBSTITUTE(SUBSTITUTE(SUBSTITUTE(INDEX(Setup!$J$20:$J$34,Calc!$AN255)&amp;"","{name}",$E255),"{years}",$G255),"{date}",TEXT($H255,"mmmm d, yyyy")),"{company}",Setup!$C$4))</f>
        <v/>
      </c>
      <c r="O255" s="21" t="str">
        <f ca="1">IF(Calc!$AM255="","",SUBSTITUTE(SUBSTITUTE(SUBSTITUTE(SUBSTITUTE(INDEX(Setup!$K$20:$K$34,Calc!$AN255)&amp;"","{name}",$E255),"{years}",$G255),"{date}",TEXT($H255,"mmmm d, yyyy")),"{company}",Setup!$C$4))</f>
        <v/>
      </c>
      <c r="P255" s="21" t="str">
        <f ca="1">IF(Calc!$AM255="","",SUBSTITUTE(SUBSTITUTE(TRIM(SUBSTITUTE($L255," ","~")&amp;" "&amp;SUBSTITUTE($M255," ","~")&amp;" "&amp;SUBSTITUTE($N255," ","~")&amp;" "&amp;SUBSTITUTE($O255," ","~"))," "," | "),"~"," "))</f>
        <v/>
      </c>
    </row>
    <row r="256" spans="1:16" x14ac:dyDescent="0.2">
      <c r="A256" s="19" t="str">
        <f ca="1">IF(Calc!$AM256="","",ROW()-5)</f>
        <v/>
      </c>
      <c r="B256" s="20" t="str">
        <f ca="1">IF(Calc!$AM256="","",INT(Calc!$AK256))</f>
        <v/>
      </c>
      <c r="C256" s="21" t="str">
        <f ca="1">IF(Calc!$AM256="","",IF($H256&lt;Setup!$C$5,"PAST DUE: milestone date has passed",IF($B256&lt;Setup!$C$5,"LATE: order today, ask about rush",IF($B256&lt;Setup!$C$5+14,"Order within 2 weeks","Scheduled"))))</f>
        <v/>
      </c>
      <c r="D256" s="21" t="str">
        <f ca="1">IF(Calc!$AM256="","",TEXT($B256,"mmmm yyyy"))</f>
        <v/>
      </c>
      <c r="E256" s="21" t="str">
        <f ca="1">IF(Calc!$AM256="","",INDEX(Roster!$A$6:$A$505,Calc!$AM256)&amp;"")</f>
        <v/>
      </c>
      <c r="F256" s="21" t="str">
        <f ca="1">IF(Calc!$AM256="","",INDEX(Roster!$C$6:$C$505,Calc!$AM256)&amp;"")</f>
        <v/>
      </c>
      <c r="G256" s="19" t="str">
        <f ca="1">IF(Calc!$AM256="","",INDEX(Setup!$C$20:$C$34,Calc!$AN256))</f>
        <v/>
      </c>
      <c r="H256" s="20" t="str">
        <f ca="1">IF(Calc!$AM256="","",INDEX(Calc!$B$6:$P$505,Calc!$AM256,Calc!$AN256))</f>
        <v/>
      </c>
      <c r="I256" s="21" t="str">
        <f ca="1">IF(Calc!$AM256="","",INDEX(Setup!$D$20:$D$34,Calc!$AN256)&amp;"")</f>
        <v/>
      </c>
      <c r="J256" s="21" t="str">
        <f ca="1">IF(Calc!$AM256="","",INDEX(Setup!$E$20:$E$34,Calc!$AN256)&amp;"")</f>
        <v/>
      </c>
      <c r="K256" s="23" t="str">
        <f ca="1">IF(Calc!$AM256="","",INDEX(Setup!$F$20:$F$34,Calc!$AN256))</f>
        <v/>
      </c>
      <c r="L256" s="21" t="str">
        <f ca="1">IF(Calc!$AM256="","",SUBSTITUTE(SUBSTITUTE(SUBSTITUTE(SUBSTITUTE(INDEX(Setup!$H$20:$H$34,Calc!$AN256)&amp;"","{name}",$E256),"{years}",$G256),"{date}",TEXT($H256,"mmmm d, yyyy")),"{company}",Setup!$C$4))</f>
        <v/>
      </c>
      <c r="M256" s="21" t="str">
        <f ca="1">IF(Calc!$AM256="","",SUBSTITUTE(SUBSTITUTE(SUBSTITUTE(SUBSTITUTE(INDEX(Setup!$I$20:$I$34,Calc!$AN256)&amp;"","{name}",$E256),"{years}",$G256),"{date}",TEXT($H256,"mmmm d, yyyy")),"{company}",Setup!$C$4))</f>
        <v/>
      </c>
      <c r="N256" s="21" t="str">
        <f ca="1">IF(Calc!$AM256="","",SUBSTITUTE(SUBSTITUTE(SUBSTITUTE(SUBSTITUTE(INDEX(Setup!$J$20:$J$34,Calc!$AN256)&amp;"","{name}",$E256),"{years}",$G256),"{date}",TEXT($H256,"mmmm d, yyyy")),"{company}",Setup!$C$4))</f>
        <v/>
      </c>
      <c r="O256" s="21" t="str">
        <f ca="1">IF(Calc!$AM256="","",SUBSTITUTE(SUBSTITUTE(SUBSTITUTE(SUBSTITUTE(INDEX(Setup!$K$20:$K$34,Calc!$AN256)&amp;"","{name}",$E256),"{years}",$G256),"{date}",TEXT($H256,"mmmm d, yyyy")),"{company}",Setup!$C$4))</f>
        <v/>
      </c>
      <c r="P256" s="21" t="str">
        <f ca="1">IF(Calc!$AM256="","",SUBSTITUTE(SUBSTITUTE(TRIM(SUBSTITUTE($L256," ","~")&amp;" "&amp;SUBSTITUTE($M256," ","~")&amp;" "&amp;SUBSTITUTE($N256," ","~")&amp;" "&amp;SUBSTITUTE($O256," ","~"))," "," | "),"~"," "))</f>
        <v/>
      </c>
    </row>
    <row r="257" spans="1:16" x14ac:dyDescent="0.2">
      <c r="A257" s="19" t="str">
        <f ca="1">IF(Calc!$AM257="","",ROW()-5)</f>
        <v/>
      </c>
      <c r="B257" s="20" t="str">
        <f ca="1">IF(Calc!$AM257="","",INT(Calc!$AK257))</f>
        <v/>
      </c>
      <c r="C257" s="21" t="str">
        <f ca="1">IF(Calc!$AM257="","",IF($H257&lt;Setup!$C$5,"PAST DUE: milestone date has passed",IF($B257&lt;Setup!$C$5,"LATE: order today, ask about rush",IF($B257&lt;Setup!$C$5+14,"Order within 2 weeks","Scheduled"))))</f>
        <v/>
      </c>
      <c r="D257" s="21" t="str">
        <f ca="1">IF(Calc!$AM257="","",TEXT($B257,"mmmm yyyy"))</f>
        <v/>
      </c>
      <c r="E257" s="21" t="str">
        <f ca="1">IF(Calc!$AM257="","",INDEX(Roster!$A$6:$A$505,Calc!$AM257)&amp;"")</f>
        <v/>
      </c>
      <c r="F257" s="21" t="str">
        <f ca="1">IF(Calc!$AM257="","",INDEX(Roster!$C$6:$C$505,Calc!$AM257)&amp;"")</f>
        <v/>
      </c>
      <c r="G257" s="19" t="str">
        <f ca="1">IF(Calc!$AM257="","",INDEX(Setup!$C$20:$C$34,Calc!$AN257))</f>
        <v/>
      </c>
      <c r="H257" s="20" t="str">
        <f ca="1">IF(Calc!$AM257="","",INDEX(Calc!$B$6:$P$505,Calc!$AM257,Calc!$AN257))</f>
        <v/>
      </c>
      <c r="I257" s="21" t="str">
        <f ca="1">IF(Calc!$AM257="","",INDEX(Setup!$D$20:$D$34,Calc!$AN257)&amp;"")</f>
        <v/>
      </c>
      <c r="J257" s="21" t="str">
        <f ca="1">IF(Calc!$AM257="","",INDEX(Setup!$E$20:$E$34,Calc!$AN257)&amp;"")</f>
        <v/>
      </c>
      <c r="K257" s="23" t="str">
        <f ca="1">IF(Calc!$AM257="","",INDEX(Setup!$F$20:$F$34,Calc!$AN257))</f>
        <v/>
      </c>
      <c r="L257" s="21" t="str">
        <f ca="1">IF(Calc!$AM257="","",SUBSTITUTE(SUBSTITUTE(SUBSTITUTE(SUBSTITUTE(INDEX(Setup!$H$20:$H$34,Calc!$AN257)&amp;"","{name}",$E257),"{years}",$G257),"{date}",TEXT($H257,"mmmm d, yyyy")),"{company}",Setup!$C$4))</f>
        <v/>
      </c>
      <c r="M257" s="21" t="str">
        <f ca="1">IF(Calc!$AM257="","",SUBSTITUTE(SUBSTITUTE(SUBSTITUTE(SUBSTITUTE(INDEX(Setup!$I$20:$I$34,Calc!$AN257)&amp;"","{name}",$E257),"{years}",$G257),"{date}",TEXT($H257,"mmmm d, yyyy")),"{company}",Setup!$C$4))</f>
        <v/>
      </c>
      <c r="N257" s="21" t="str">
        <f ca="1">IF(Calc!$AM257="","",SUBSTITUTE(SUBSTITUTE(SUBSTITUTE(SUBSTITUTE(INDEX(Setup!$J$20:$J$34,Calc!$AN257)&amp;"","{name}",$E257),"{years}",$G257),"{date}",TEXT($H257,"mmmm d, yyyy")),"{company}",Setup!$C$4))</f>
        <v/>
      </c>
      <c r="O257" s="21" t="str">
        <f ca="1">IF(Calc!$AM257="","",SUBSTITUTE(SUBSTITUTE(SUBSTITUTE(SUBSTITUTE(INDEX(Setup!$K$20:$K$34,Calc!$AN257)&amp;"","{name}",$E257),"{years}",$G257),"{date}",TEXT($H257,"mmmm d, yyyy")),"{company}",Setup!$C$4))</f>
        <v/>
      </c>
      <c r="P257" s="21" t="str">
        <f ca="1">IF(Calc!$AM257="","",SUBSTITUTE(SUBSTITUTE(TRIM(SUBSTITUTE($L257," ","~")&amp;" "&amp;SUBSTITUTE($M257," ","~")&amp;" "&amp;SUBSTITUTE($N257," ","~")&amp;" "&amp;SUBSTITUTE($O257," ","~"))," "," | "),"~"," "))</f>
        <v/>
      </c>
    </row>
    <row r="258" spans="1:16" x14ac:dyDescent="0.2">
      <c r="A258" s="19" t="str">
        <f ca="1">IF(Calc!$AM258="","",ROW()-5)</f>
        <v/>
      </c>
      <c r="B258" s="20" t="str">
        <f ca="1">IF(Calc!$AM258="","",INT(Calc!$AK258))</f>
        <v/>
      </c>
      <c r="C258" s="21" t="str">
        <f ca="1">IF(Calc!$AM258="","",IF($H258&lt;Setup!$C$5,"PAST DUE: milestone date has passed",IF($B258&lt;Setup!$C$5,"LATE: order today, ask about rush",IF($B258&lt;Setup!$C$5+14,"Order within 2 weeks","Scheduled"))))</f>
        <v/>
      </c>
      <c r="D258" s="21" t="str">
        <f ca="1">IF(Calc!$AM258="","",TEXT($B258,"mmmm yyyy"))</f>
        <v/>
      </c>
      <c r="E258" s="21" t="str">
        <f ca="1">IF(Calc!$AM258="","",INDEX(Roster!$A$6:$A$505,Calc!$AM258)&amp;"")</f>
        <v/>
      </c>
      <c r="F258" s="21" t="str">
        <f ca="1">IF(Calc!$AM258="","",INDEX(Roster!$C$6:$C$505,Calc!$AM258)&amp;"")</f>
        <v/>
      </c>
      <c r="G258" s="19" t="str">
        <f ca="1">IF(Calc!$AM258="","",INDEX(Setup!$C$20:$C$34,Calc!$AN258))</f>
        <v/>
      </c>
      <c r="H258" s="20" t="str">
        <f ca="1">IF(Calc!$AM258="","",INDEX(Calc!$B$6:$P$505,Calc!$AM258,Calc!$AN258))</f>
        <v/>
      </c>
      <c r="I258" s="21" t="str">
        <f ca="1">IF(Calc!$AM258="","",INDEX(Setup!$D$20:$D$34,Calc!$AN258)&amp;"")</f>
        <v/>
      </c>
      <c r="J258" s="21" t="str">
        <f ca="1">IF(Calc!$AM258="","",INDEX(Setup!$E$20:$E$34,Calc!$AN258)&amp;"")</f>
        <v/>
      </c>
      <c r="K258" s="23" t="str">
        <f ca="1">IF(Calc!$AM258="","",INDEX(Setup!$F$20:$F$34,Calc!$AN258))</f>
        <v/>
      </c>
      <c r="L258" s="21" t="str">
        <f ca="1">IF(Calc!$AM258="","",SUBSTITUTE(SUBSTITUTE(SUBSTITUTE(SUBSTITUTE(INDEX(Setup!$H$20:$H$34,Calc!$AN258)&amp;"","{name}",$E258),"{years}",$G258),"{date}",TEXT($H258,"mmmm d, yyyy")),"{company}",Setup!$C$4))</f>
        <v/>
      </c>
      <c r="M258" s="21" t="str">
        <f ca="1">IF(Calc!$AM258="","",SUBSTITUTE(SUBSTITUTE(SUBSTITUTE(SUBSTITUTE(INDEX(Setup!$I$20:$I$34,Calc!$AN258)&amp;"","{name}",$E258),"{years}",$G258),"{date}",TEXT($H258,"mmmm d, yyyy")),"{company}",Setup!$C$4))</f>
        <v/>
      </c>
      <c r="N258" s="21" t="str">
        <f ca="1">IF(Calc!$AM258="","",SUBSTITUTE(SUBSTITUTE(SUBSTITUTE(SUBSTITUTE(INDEX(Setup!$J$20:$J$34,Calc!$AN258)&amp;"","{name}",$E258),"{years}",$G258),"{date}",TEXT($H258,"mmmm d, yyyy")),"{company}",Setup!$C$4))</f>
        <v/>
      </c>
      <c r="O258" s="21" t="str">
        <f ca="1">IF(Calc!$AM258="","",SUBSTITUTE(SUBSTITUTE(SUBSTITUTE(SUBSTITUTE(INDEX(Setup!$K$20:$K$34,Calc!$AN258)&amp;"","{name}",$E258),"{years}",$G258),"{date}",TEXT($H258,"mmmm d, yyyy")),"{company}",Setup!$C$4))</f>
        <v/>
      </c>
      <c r="P258" s="21" t="str">
        <f ca="1">IF(Calc!$AM258="","",SUBSTITUTE(SUBSTITUTE(TRIM(SUBSTITUTE($L258," ","~")&amp;" "&amp;SUBSTITUTE($M258," ","~")&amp;" "&amp;SUBSTITUTE($N258," ","~")&amp;" "&amp;SUBSTITUTE($O258," ","~"))," "," | "),"~"," "))</f>
        <v/>
      </c>
    </row>
    <row r="259" spans="1:16" x14ac:dyDescent="0.2">
      <c r="A259" s="19" t="str">
        <f ca="1">IF(Calc!$AM259="","",ROW()-5)</f>
        <v/>
      </c>
      <c r="B259" s="20" t="str">
        <f ca="1">IF(Calc!$AM259="","",INT(Calc!$AK259))</f>
        <v/>
      </c>
      <c r="C259" s="21" t="str">
        <f ca="1">IF(Calc!$AM259="","",IF($H259&lt;Setup!$C$5,"PAST DUE: milestone date has passed",IF($B259&lt;Setup!$C$5,"LATE: order today, ask about rush",IF($B259&lt;Setup!$C$5+14,"Order within 2 weeks","Scheduled"))))</f>
        <v/>
      </c>
      <c r="D259" s="21" t="str">
        <f ca="1">IF(Calc!$AM259="","",TEXT($B259,"mmmm yyyy"))</f>
        <v/>
      </c>
      <c r="E259" s="21" t="str">
        <f ca="1">IF(Calc!$AM259="","",INDEX(Roster!$A$6:$A$505,Calc!$AM259)&amp;"")</f>
        <v/>
      </c>
      <c r="F259" s="21" t="str">
        <f ca="1">IF(Calc!$AM259="","",INDEX(Roster!$C$6:$C$505,Calc!$AM259)&amp;"")</f>
        <v/>
      </c>
      <c r="G259" s="19" t="str">
        <f ca="1">IF(Calc!$AM259="","",INDEX(Setup!$C$20:$C$34,Calc!$AN259))</f>
        <v/>
      </c>
      <c r="H259" s="20" t="str">
        <f ca="1">IF(Calc!$AM259="","",INDEX(Calc!$B$6:$P$505,Calc!$AM259,Calc!$AN259))</f>
        <v/>
      </c>
      <c r="I259" s="21" t="str">
        <f ca="1">IF(Calc!$AM259="","",INDEX(Setup!$D$20:$D$34,Calc!$AN259)&amp;"")</f>
        <v/>
      </c>
      <c r="J259" s="21" t="str">
        <f ca="1">IF(Calc!$AM259="","",INDEX(Setup!$E$20:$E$34,Calc!$AN259)&amp;"")</f>
        <v/>
      </c>
      <c r="K259" s="23" t="str">
        <f ca="1">IF(Calc!$AM259="","",INDEX(Setup!$F$20:$F$34,Calc!$AN259))</f>
        <v/>
      </c>
      <c r="L259" s="21" t="str">
        <f ca="1">IF(Calc!$AM259="","",SUBSTITUTE(SUBSTITUTE(SUBSTITUTE(SUBSTITUTE(INDEX(Setup!$H$20:$H$34,Calc!$AN259)&amp;"","{name}",$E259),"{years}",$G259),"{date}",TEXT($H259,"mmmm d, yyyy")),"{company}",Setup!$C$4))</f>
        <v/>
      </c>
      <c r="M259" s="21" t="str">
        <f ca="1">IF(Calc!$AM259="","",SUBSTITUTE(SUBSTITUTE(SUBSTITUTE(SUBSTITUTE(INDEX(Setup!$I$20:$I$34,Calc!$AN259)&amp;"","{name}",$E259),"{years}",$G259),"{date}",TEXT($H259,"mmmm d, yyyy")),"{company}",Setup!$C$4))</f>
        <v/>
      </c>
      <c r="N259" s="21" t="str">
        <f ca="1">IF(Calc!$AM259="","",SUBSTITUTE(SUBSTITUTE(SUBSTITUTE(SUBSTITUTE(INDEX(Setup!$J$20:$J$34,Calc!$AN259)&amp;"","{name}",$E259),"{years}",$G259),"{date}",TEXT($H259,"mmmm d, yyyy")),"{company}",Setup!$C$4))</f>
        <v/>
      </c>
      <c r="O259" s="21" t="str">
        <f ca="1">IF(Calc!$AM259="","",SUBSTITUTE(SUBSTITUTE(SUBSTITUTE(SUBSTITUTE(INDEX(Setup!$K$20:$K$34,Calc!$AN259)&amp;"","{name}",$E259),"{years}",$G259),"{date}",TEXT($H259,"mmmm d, yyyy")),"{company}",Setup!$C$4))</f>
        <v/>
      </c>
      <c r="P259" s="21" t="str">
        <f ca="1">IF(Calc!$AM259="","",SUBSTITUTE(SUBSTITUTE(TRIM(SUBSTITUTE($L259," ","~")&amp;" "&amp;SUBSTITUTE($M259," ","~")&amp;" "&amp;SUBSTITUTE($N259," ","~")&amp;" "&amp;SUBSTITUTE($O259," ","~"))," "," | "),"~"," "))</f>
        <v/>
      </c>
    </row>
    <row r="260" spans="1:16" x14ac:dyDescent="0.2">
      <c r="A260" s="19" t="str">
        <f ca="1">IF(Calc!$AM260="","",ROW()-5)</f>
        <v/>
      </c>
      <c r="B260" s="20" t="str">
        <f ca="1">IF(Calc!$AM260="","",INT(Calc!$AK260))</f>
        <v/>
      </c>
      <c r="C260" s="21" t="str">
        <f ca="1">IF(Calc!$AM260="","",IF($H260&lt;Setup!$C$5,"PAST DUE: milestone date has passed",IF($B260&lt;Setup!$C$5,"LATE: order today, ask about rush",IF($B260&lt;Setup!$C$5+14,"Order within 2 weeks","Scheduled"))))</f>
        <v/>
      </c>
      <c r="D260" s="21" t="str">
        <f ca="1">IF(Calc!$AM260="","",TEXT($B260,"mmmm yyyy"))</f>
        <v/>
      </c>
      <c r="E260" s="21" t="str">
        <f ca="1">IF(Calc!$AM260="","",INDEX(Roster!$A$6:$A$505,Calc!$AM260)&amp;"")</f>
        <v/>
      </c>
      <c r="F260" s="21" t="str">
        <f ca="1">IF(Calc!$AM260="","",INDEX(Roster!$C$6:$C$505,Calc!$AM260)&amp;"")</f>
        <v/>
      </c>
      <c r="G260" s="19" t="str">
        <f ca="1">IF(Calc!$AM260="","",INDEX(Setup!$C$20:$C$34,Calc!$AN260))</f>
        <v/>
      </c>
      <c r="H260" s="20" t="str">
        <f ca="1">IF(Calc!$AM260="","",INDEX(Calc!$B$6:$P$505,Calc!$AM260,Calc!$AN260))</f>
        <v/>
      </c>
      <c r="I260" s="21" t="str">
        <f ca="1">IF(Calc!$AM260="","",INDEX(Setup!$D$20:$D$34,Calc!$AN260)&amp;"")</f>
        <v/>
      </c>
      <c r="J260" s="21" t="str">
        <f ca="1">IF(Calc!$AM260="","",INDEX(Setup!$E$20:$E$34,Calc!$AN260)&amp;"")</f>
        <v/>
      </c>
      <c r="K260" s="23" t="str">
        <f ca="1">IF(Calc!$AM260="","",INDEX(Setup!$F$20:$F$34,Calc!$AN260))</f>
        <v/>
      </c>
      <c r="L260" s="21" t="str">
        <f ca="1">IF(Calc!$AM260="","",SUBSTITUTE(SUBSTITUTE(SUBSTITUTE(SUBSTITUTE(INDEX(Setup!$H$20:$H$34,Calc!$AN260)&amp;"","{name}",$E260),"{years}",$G260),"{date}",TEXT($H260,"mmmm d, yyyy")),"{company}",Setup!$C$4))</f>
        <v/>
      </c>
      <c r="M260" s="21" t="str">
        <f ca="1">IF(Calc!$AM260="","",SUBSTITUTE(SUBSTITUTE(SUBSTITUTE(SUBSTITUTE(INDEX(Setup!$I$20:$I$34,Calc!$AN260)&amp;"","{name}",$E260),"{years}",$G260),"{date}",TEXT($H260,"mmmm d, yyyy")),"{company}",Setup!$C$4))</f>
        <v/>
      </c>
      <c r="N260" s="21" t="str">
        <f ca="1">IF(Calc!$AM260="","",SUBSTITUTE(SUBSTITUTE(SUBSTITUTE(SUBSTITUTE(INDEX(Setup!$J$20:$J$34,Calc!$AN260)&amp;"","{name}",$E260),"{years}",$G260),"{date}",TEXT($H260,"mmmm d, yyyy")),"{company}",Setup!$C$4))</f>
        <v/>
      </c>
      <c r="O260" s="21" t="str">
        <f ca="1">IF(Calc!$AM260="","",SUBSTITUTE(SUBSTITUTE(SUBSTITUTE(SUBSTITUTE(INDEX(Setup!$K$20:$K$34,Calc!$AN260)&amp;"","{name}",$E260),"{years}",$G260),"{date}",TEXT($H260,"mmmm d, yyyy")),"{company}",Setup!$C$4))</f>
        <v/>
      </c>
      <c r="P260" s="21" t="str">
        <f ca="1">IF(Calc!$AM260="","",SUBSTITUTE(SUBSTITUTE(TRIM(SUBSTITUTE($L260," ","~")&amp;" "&amp;SUBSTITUTE($M260," ","~")&amp;" "&amp;SUBSTITUTE($N260," ","~")&amp;" "&amp;SUBSTITUTE($O260," ","~"))," "," | "),"~"," "))</f>
        <v/>
      </c>
    </row>
    <row r="261" spans="1:16" x14ac:dyDescent="0.2">
      <c r="A261" s="19" t="str">
        <f ca="1">IF(Calc!$AM261="","",ROW()-5)</f>
        <v/>
      </c>
      <c r="B261" s="20" t="str">
        <f ca="1">IF(Calc!$AM261="","",INT(Calc!$AK261))</f>
        <v/>
      </c>
      <c r="C261" s="21" t="str">
        <f ca="1">IF(Calc!$AM261="","",IF($H261&lt;Setup!$C$5,"PAST DUE: milestone date has passed",IF($B261&lt;Setup!$C$5,"LATE: order today, ask about rush",IF($B261&lt;Setup!$C$5+14,"Order within 2 weeks","Scheduled"))))</f>
        <v/>
      </c>
      <c r="D261" s="21" t="str">
        <f ca="1">IF(Calc!$AM261="","",TEXT($B261,"mmmm yyyy"))</f>
        <v/>
      </c>
      <c r="E261" s="21" t="str">
        <f ca="1">IF(Calc!$AM261="","",INDEX(Roster!$A$6:$A$505,Calc!$AM261)&amp;"")</f>
        <v/>
      </c>
      <c r="F261" s="21" t="str">
        <f ca="1">IF(Calc!$AM261="","",INDEX(Roster!$C$6:$C$505,Calc!$AM261)&amp;"")</f>
        <v/>
      </c>
      <c r="G261" s="19" t="str">
        <f ca="1">IF(Calc!$AM261="","",INDEX(Setup!$C$20:$C$34,Calc!$AN261))</f>
        <v/>
      </c>
      <c r="H261" s="20" t="str">
        <f ca="1">IF(Calc!$AM261="","",INDEX(Calc!$B$6:$P$505,Calc!$AM261,Calc!$AN261))</f>
        <v/>
      </c>
      <c r="I261" s="21" t="str">
        <f ca="1">IF(Calc!$AM261="","",INDEX(Setup!$D$20:$D$34,Calc!$AN261)&amp;"")</f>
        <v/>
      </c>
      <c r="J261" s="21" t="str">
        <f ca="1">IF(Calc!$AM261="","",INDEX(Setup!$E$20:$E$34,Calc!$AN261)&amp;"")</f>
        <v/>
      </c>
      <c r="K261" s="23" t="str">
        <f ca="1">IF(Calc!$AM261="","",INDEX(Setup!$F$20:$F$34,Calc!$AN261))</f>
        <v/>
      </c>
      <c r="L261" s="21" t="str">
        <f ca="1">IF(Calc!$AM261="","",SUBSTITUTE(SUBSTITUTE(SUBSTITUTE(SUBSTITUTE(INDEX(Setup!$H$20:$H$34,Calc!$AN261)&amp;"","{name}",$E261),"{years}",$G261),"{date}",TEXT($H261,"mmmm d, yyyy")),"{company}",Setup!$C$4))</f>
        <v/>
      </c>
      <c r="M261" s="21" t="str">
        <f ca="1">IF(Calc!$AM261="","",SUBSTITUTE(SUBSTITUTE(SUBSTITUTE(SUBSTITUTE(INDEX(Setup!$I$20:$I$34,Calc!$AN261)&amp;"","{name}",$E261),"{years}",$G261),"{date}",TEXT($H261,"mmmm d, yyyy")),"{company}",Setup!$C$4))</f>
        <v/>
      </c>
      <c r="N261" s="21" t="str">
        <f ca="1">IF(Calc!$AM261="","",SUBSTITUTE(SUBSTITUTE(SUBSTITUTE(SUBSTITUTE(INDEX(Setup!$J$20:$J$34,Calc!$AN261)&amp;"","{name}",$E261),"{years}",$G261),"{date}",TEXT($H261,"mmmm d, yyyy")),"{company}",Setup!$C$4))</f>
        <v/>
      </c>
      <c r="O261" s="21" t="str">
        <f ca="1">IF(Calc!$AM261="","",SUBSTITUTE(SUBSTITUTE(SUBSTITUTE(SUBSTITUTE(INDEX(Setup!$K$20:$K$34,Calc!$AN261)&amp;"","{name}",$E261),"{years}",$G261),"{date}",TEXT($H261,"mmmm d, yyyy")),"{company}",Setup!$C$4))</f>
        <v/>
      </c>
      <c r="P261" s="21" t="str">
        <f ca="1">IF(Calc!$AM261="","",SUBSTITUTE(SUBSTITUTE(TRIM(SUBSTITUTE($L261," ","~")&amp;" "&amp;SUBSTITUTE($M261," ","~")&amp;" "&amp;SUBSTITUTE($N261," ","~")&amp;" "&amp;SUBSTITUTE($O261," ","~"))," "," | "),"~"," "))</f>
        <v/>
      </c>
    </row>
    <row r="262" spans="1:16" x14ac:dyDescent="0.2">
      <c r="A262" s="19" t="str">
        <f ca="1">IF(Calc!$AM262="","",ROW()-5)</f>
        <v/>
      </c>
      <c r="B262" s="20" t="str">
        <f ca="1">IF(Calc!$AM262="","",INT(Calc!$AK262))</f>
        <v/>
      </c>
      <c r="C262" s="21" t="str">
        <f ca="1">IF(Calc!$AM262="","",IF($H262&lt;Setup!$C$5,"PAST DUE: milestone date has passed",IF($B262&lt;Setup!$C$5,"LATE: order today, ask about rush",IF($B262&lt;Setup!$C$5+14,"Order within 2 weeks","Scheduled"))))</f>
        <v/>
      </c>
      <c r="D262" s="21" t="str">
        <f ca="1">IF(Calc!$AM262="","",TEXT($B262,"mmmm yyyy"))</f>
        <v/>
      </c>
      <c r="E262" s="21" t="str">
        <f ca="1">IF(Calc!$AM262="","",INDEX(Roster!$A$6:$A$505,Calc!$AM262)&amp;"")</f>
        <v/>
      </c>
      <c r="F262" s="21" t="str">
        <f ca="1">IF(Calc!$AM262="","",INDEX(Roster!$C$6:$C$505,Calc!$AM262)&amp;"")</f>
        <v/>
      </c>
      <c r="G262" s="19" t="str">
        <f ca="1">IF(Calc!$AM262="","",INDEX(Setup!$C$20:$C$34,Calc!$AN262))</f>
        <v/>
      </c>
      <c r="H262" s="20" t="str">
        <f ca="1">IF(Calc!$AM262="","",INDEX(Calc!$B$6:$P$505,Calc!$AM262,Calc!$AN262))</f>
        <v/>
      </c>
      <c r="I262" s="21" t="str">
        <f ca="1">IF(Calc!$AM262="","",INDEX(Setup!$D$20:$D$34,Calc!$AN262)&amp;"")</f>
        <v/>
      </c>
      <c r="J262" s="21" t="str">
        <f ca="1">IF(Calc!$AM262="","",INDEX(Setup!$E$20:$E$34,Calc!$AN262)&amp;"")</f>
        <v/>
      </c>
      <c r="K262" s="23" t="str">
        <f ca="1">IF(Calc!$AM262="","",INDEX(Setup!$F$20:$F$34,Calc!$AN262))</f>
        <v/>
      </c>
      <c r="L262" s="21" t="str">
        <f ca="1">IF(Calc!$AM262="","",SUBSTITUTE(SUBSTITUTE(SUBSTITUTE(SUBSTITUTE(INDEX(Setup!$H$20:$H$34,Calc!$AN262)&amp;"","{name}",$E262),"{years}",$G262),"{date}",TEXT($H262,"mmmm d, yyyy")),"{company}",Setup!$C$4))</f>
        <v/>
      </c>
      <c r="M262" s="21" t="str">
        <f ca="1">IF(Calc!$AM262="","",SUBSTITUTE(SUBSTITUTE(SUBSTITUTE(SUBSTITUTE(INDEX(Setup!$I$20:$I$34,Calc!$AN262)&amp;"","{name}",$E262),"{years}",$G262),"{date}",TEXT($H262,"mmmm d, yyyy")),"{company}",Setup!$C$4))</f>
        <v/>
      </c>
      <c r="N262" s="21" t="str">
        <f ca="1">IF(Calc!$AM262="","",SUBSTITUTE(SUBSTITUTE(SUBSTITUTE(SUBSTITUTE(INDEX(Setup!$J$20:$J$34,Calc!$AN262)&amp;"","{name}",$E262),"{years}",$G262),"{date}",TEXT($H262,"mmmm d, yyyy")),"{company}",Setup!$C$4))</f>
        <v/>
      </c>
      <c r="O262" s="21" t="str">
        <f ca="1">IF(Calc!$AM262="","",SUBSTITUTE(SUBSTITUTE(SUBSTITUTE(SUBSTITUTE(INDEX(Setup!$K$20:$K$34,Calc!$AN262)&amp;"","{name}",$E262),"{years}",$G262),"{date}",TEXT($H262,"mmmm d, yyyy")),"{company}",Setup!$C$4))</f>
        <v/>
      </c>
      <c r="P262" s="21" t="str">
        <f ca="1">IF(Calc!$AM262="","",SUBSTITUTE(SUBSTITUTE(TRIM(SUBSTITUTE($L262," ","~")&amp;" "&amp;SUBSTITUTE($M262," ","~")&amp;" "&amp;SUBSTITUTE($N262," ","~")&amp;" "&amp;SUBSTITUTE($O262," ","~"))," "," | "),"~"," "))</f>
        <v/>
      </c>
    </row>
    <row r="263" spans="1:16" x14ac:dyDescent="0.2">
      <c r="A263" s="19" t="str">
        <f ca="1">IF(Calc!$AM263="","",ROW()-5)</f>
        <v/>
      </c>
      <c r="B263" s="20" t="str">
        <f ca="1">IF(Calc!$AM263="","",INT(Calc!$AK263))</f>
        <v/>
      </c>
      <c r="C263" s="21" t="str">
        <f ca="1">IF(Calc!$AM263="","",IF($H263&lt;Setup!$C$5,"PAST DUE: milestone date has passed",IF($B263&lt;Setup!$C$5,"LATE: order today, ask about rush",IF($B263&lt;Setup!$C$5+14,"Order within 2 weeks","Scheduled"))))</f>
        <v/>
      </c>
      <c r="D263" s="21" t="str">
        <f ca="1">IF(Calc!$AM263="","",TEXT($B263,"mmmm yyyy"))</f>
        <v/>
      </c>
      <c r="E263" s="21" t="str">
        <f ca="1">IF(Calc!$AM263="","",INDEX(Roster!$A$6:$A$505,Calc!$AM263)&amp;"")</f>
        <v/>
      </c>
      <c r="F263" s="21" t="str">
        <f ca="1">IF(Calc!$AM263="","",INDEX(Roster!$C$6:$C$505,Calc!$AM263)&amp;"")</f>
        <v/>
      </c>
      <c r="G263" s="19" t="str">
        <f ca="1">IF(Calc!$AM263="","",INDEX(Setup!$C$20:$C$34,Calc!$AN263))</f>
        <v/>
      </c>
      <c r="H263" s="20" t="str">
        <f ca="1">IF(Calc!$AM263="","",INDEX(Calc!$B$6:$P$505,Calc!$AM263,Calc!$AN263))</f>
        <v/>
      </c>
      <c r="I263" s="21" t="str">
        <f ca="1">IF(Calc!$AM263="","",INDEX(Setup!$D$20:$D$34,Calc!$AN263)&amp;"")</f>
        <v/>
      </c>
      <c r="J263" s="21" t="str">
        <f ca="1">IF(Calc!$AM263="","",INDEX(Setup!$E$20:$E$34,Calc!$AN263)&amp;"")</f>
        <v/>
      </c>
      <c r="K263" s="23" t="str">
        <f ca="1">IF(Calc!$AM263="","",INDEX(Setup!$F$20:$F$34,Calc!$AN263))</f>
        <v/>
      </c>
      <c r="L263" s="21" t="str">
        <f ca="1">IF(Calc!$AM263="","",SUBSTITUTE(SUBSTITUTE(SUBSTITUTE(SUBSTITUTE(INDEX(Setup!$H$20:$H$34,Calc!$AN263)&amp;"","{name}",$E263),"{years}",$G263),"{date}",TEXT($H263,"mmmm d, yyyy")),"{company}",Setup!$C$4))</f>
        <v/>
      </c>
      <c r="M263" s="21" t="str">
        <f ca="1">IF(Calc!$AM263="","",SUBSTITUTE(SUBSTITUTE(SUBSTITUTE(SUBSTITUTE(INDEX(Setup!$I$20:$I$34,Calc!$AN263)&amp;"","{name}",$E263),"{years}",$G263),"{date}",TEXT($H263,"mmmm d, yyyy")),"{company}",Setup!$C$4))</f>
        <v/>
      </c>
      <c r="N263" s="21" t="str">
        <f ca="1">IF(Calc!$AM263="","",SUBSTITUTE(SUBSTITUTE(SUBSTITUTE(SUBSTITUTE(INDEX(Setup!$J$20:$J$34,Calc!$AN263)&amp;"","{name}",$E263),"{years}",$G263),"{date}",TEXT($H263,"mmmm d, yyyy")),"{company}",Setup!$C$4))</f>
        <v/>
      </c>
      <c r="O263" s="21" t="str">
        <f ca="1">IF(Calc!$AM263="","",SUBSTITUTE(SUBSTITUTE(SUBSTITUTE(SUBSTITUTE(INDEX(Setup!$K$20:$K$34,Calc!$AN263)&amp;"","{name}",$E263),"{years}",$G263),"{date}",TEXT($H263,"mmmm d, yyyy")),"{company}",Setup!$C$4))</f>
        <v/>
      </c>
      <c r="P263" s="21" t="str">
        <f ca="1">IF(Calc!$AM263="","",SUBSTITUTE(SUBSTITUTE(TRIM(SUBSTITUTE($L263," ","~")&amp;" "&amp;SUBSTITUTE($M263," ","~")&amp;" "&amp;SUBSTITUTE($N263," ","~")&amp;" "&amp;SUBSTITUTE($O263," ","~"))," "," | "),"~"," "))</f>
        <v/>
      </c>
    </row>
    <row r="264" spans="1:16" x14ac:dyDescent="0.2">
      <c r="A264" s="19" t="str">
        <f ca="1">IF(Calc!$AM264="","",ROW()-5)</f>
        <v/>
      </c>
      <c r="B264" s="20" t="str">
        <f ca="1">IF(Calc!$AM264="","",INT(Calc!$AK264))</f>
        <v/>
      </c>
      <c r="C264" s="21" t="str">
        <f ca="1">IF(Calc!$AM264="","",IF($H264&lt;Setup!$C$5,"PAST DUE: milestone date has passed",IF($B264&lt;Setup!$C$5,"LATE: order today, ask about rush",IF($B264&lt;Setup!$C$5+14,"Order within 2 weeks","Scheduled"))))</f>
        <v/>
      </c>
      <c r="D264" s="21" t="str">
        <f ca="1">IF(Calc!$AM264="","",TEXT($B264,"mmmm yyyy"))</f>
        <v/>
      </c>
      <c r="E264" s="21" t="str">
        <f ca="1">IF(Calc!$AM264="","",INDEX(Roster!$A$6:$A$505,Calc!$AM264)&amp;"")</f>
        <v/>
      </c>
      <c r="F264" s="21" t="str">
        <f ca="1">IF(Calc!$AM264="","",INDEX(Roster!$C$6:$C$505,Calc!$AM264)&amp;"")</f>
        <v/>
      </c>
      <c r="G264" s="19" t="str">
        <f ca="1">IF(Calc!$AM264="","",INDEX(Setup!$C$20:$C$34,Calc!$AN264))</f>
        <v/>
      </c>
      <c r="H264" s="20" t="str">
        <f ca="1">IF(Calc!$AM264="","",INDEX(Calc!$B$6:$P$505,Calc!$AM264,Calc!$AN264))</f>
        <v/>
      </c>
      <c r="I264" s="21" t="str">
        <f ca="1">IF(Calc!$AM264="","",INDEX(Setup!$D$20:$D$34,Calc!$AN264)&amp;"")</f>
        <v/>
      </c>
      <c r="J264" s="21" t="str">
        <f ca="1">IF(Calc!$AM264="","",INDEX(Setup!$E$20:$E$34,Calc!$AN264)&amp;"")</f>
        <v/>
      </c>
      <c r="K264" s="23" t="str">
        <f ca="1">IF(Calc!$AM264="","",INDEX(Setup!$F$20:$F$34,Calc!$AN264))</f>
        <v/>
      </c>
      <c r="L264" s="21" t="str">
        <f ca="1">IF(Calc!$AM264="","",SUBSTITUTE(SUBSTITUTE(SUBSTITUTE(SUBSTITUTE(INDEX(Setup!$H$20:$H$34,Calc!$AN264)&amp;"","{name}",$E264),"{years}",$G264),"{date}",TEXT($H264,"mmmm d, yyyy")),"{company}",Setup!$C$4))</f>
        <v/>
      </c>
      <c r="M264" s="21" t="str">
        <f ca="1">IF(Calc!$AM264="","",SUBSTITUTE(SUBSTITUTE(SUBSTITUTE(SUBSTITUTE(INDEX(Setup!$I$20:$I$34,Calc!$AN264)&amp;"","{name}",$E264),"{years}",$G264),"{date}",TEXT($H264,"mmmm d, yyyy")),"{company}",Setup!$C$4))</f>
        <v/>
      </c>
      <c r="N264" s="21" t="str">
        <f ca="1">IF(Calc!$AM264="","",SUBSTITUTE(SUBSTITUTE(SUBSTITUTE(SUBSTITUTE(INDEX(Setup!$J$20:$J$34,Calc!$AN264)&amp;"","{name}",$E264),"{years}",$G264),"{date}",TEXT($H264,"mmmm d, yyyy")),"{company}",Setup!$C$4))</f>
        <v/>
      </c>
      <c r="O264" s="21" t="str">
        <f ca="1">IF(Calc!$AM264="","",SUBSTITUTE(SUBSTITUTE(SUBSTITUTE(SUBSTITUTE(INDEX(Setup!$K$20:$K$34,Calc!$AN264)&amp;"","{name}",$E264),"{years}",$G264),"{date}",TEXT($H264,"mmmm d, yyyy")),"{company}",Setup!$C$4))</f>
        <v/>
      </c>
      <c r="P264" s="21" t="str">
        <f ca="1">IF(Calc!$AM264="","",SUBSTITUTE(SUBSTITUTE(TRIM(SUBSTITUTE($L264," ","~")&amp;" "&amp;SUBSTITUTE($M264," ","~")&amp;" "&amp;SUBSTITUTE($N264," ","~")&amp;" "&amp;SUBSTITUTE($O264," ","~"))," "," | "),"~"," "))</f>
        <v/>
      </c>
    </row>
    <row r="265" spans="1:16" x14ac:dyDescent="0.2">
      <c r="A265" s="19" t="str">
        <f ca="1">IF(Calc!$AM265="","",ROW()-5)</f>
        <v/>
      </c>
      <c r="B265" s="20" t="str">
        <f ca="1">IF(Calc!$AM265="","",INT(Calc!$AK265))</f>
        <v/>
      </c>
      <c r="C265" s="21" t="str">
        <f ca="1">IF(Calc!$AM265="","",IF($H265&lt;Setup!$C$5,"PAST DUE: milestone date has passed",IF($B265&lt;Setup!$C$5,"LATE: order today, ask about rush",IF($B265&lt;Setup!$C$5+14,"Order within 2 weeks","Scheduled"))))</f>
        <v/>
      </c>
      <c r="D265" s="21" t="str">
        <f ca="1">IF(Calc!$AM265="","",TEXT($B265,"mmmm yyyy"))</f>
        <v/>
      </c>
      <c r="E265" s="21" t="str">
        <f ca="1">IF(Calc!$AM265="","",INDEX(Roster!$A$6:$A$505,Calc!$AM265)&amp;"")</f>
        <v/>
      </c>
      <c r="F265" s="21" t="str">
        <f ca="1">IF(Calc!$AM265="","",INDEX(Roster!$C$6:$C$505,Calc!$AM265)&amp;"")</f>
        <v/>
      </c>
      <c r="G265" s="19" t="str">
        <f ca="1">IF(Calc!$AM265="","",INDEX(Setup!$C$20:$C$34,Calc!$AN265))</f>
        <v/>
      </c>
      <c r="H265" s="20" t="str">
        <f ca="1">IF(Calc!$AM265="","",INDEX(Calc!$B$6:$P$505,Calc!$AM265,Calc!$AN265))</f>
        <v/>
      </c>
      <c r="I265" s="21" t="str">
        <f ca="1">IF(Calc!$AM265="","",INDEX(Setup!$D$20:$D$34,Calc!$AN265)&amp;"")</f>
        <v/>
      </c>
      <c r="J265" s="21" t="str">
        <f ca="1">IF(Calc!$AM265="","",INDEX(Setup!$E$20:$E$34,Calc!$AN265)&amp;"")</f>
        <v/>
      </c>
      <c r="K265" s="23" t="str">
        <f ca="1">IF(Calc!$AM265="","",INDEX(Setup!$F$20:$F$34,Calc!$AN265))</f>
        <v/>
      </c>
      <c r="L265" s="21" t="str">
        <f ca="1">IF(Calc!$AM265="","",SUBSTITUTE(SUBSTITUTE(SUBSTITUTE(SUBSTITUTE(INDEX(Setup!$H$20:$H$34,Calc!$AN265)&amp;"","{name}",$E265),"{years}",$G265),"{date}",TEXT($H265,"mmmm d, yyyy")),"{company}",Setup!$C$4))</f>
        <v/>
      </c>
      <c r="M265" s="21" t="str">
        <f ca="1">IF(Calc!$AM265="","",SUBSTITUTE(SUBSTITUTE(SUBSTITUTE(SUBSTITUTE(INDEX(Setup!$I$20:$I$34,Calc!$AN265)&amp;"","{name}",$E265),"{years}",$G265),"{date}",TEXT($H265,"mmmm d, yyyy")),"{company}",Setup!$C$4))</f>
        <v/>
      </c>
      <c r="N265" s="21" t="str">
        <f ca="1">IF(Calc!$AM265="","",SUBSTITUTE(SUBSTITUTE(SUBSTITUTE(SUBSTITUTE(INDEX(Setup!$J$20:$J$34,Calc!$AN265)&amp;"","{name}",$E265),"{years}",$G265),"{date}",TEXT($H265,"mmmm d, yyyy")),"{company}",Setup!$C$4))</f>
        <v/>
      </c>
      <c r="O265" s="21" t="str">
        <f ca="1">IF(Calc!$AM265="","",SUBSTITUTE(SUBSTITUTE(SUBSTITUTE(SUBSTITUTE(INDEX(Setup!$K$20:$K$34,Calc!$AN265)&amp;"","{name}",$E265),"{years}",$G265),"{date}",TEXT($H265,"mmmm d, yyyy")),"{company}",Setup!$C$4))</f>
        <v/>
      </c>
      <c r="P265" s="21" t="str">
        <f ca="1">IF(Calc!$AM265="","",SUBSTITUTE(SUBSTITUTE(TRIM(SUBSTITUTE($L265," ","~")&amp;" "&amp;SUBSTITUTE($M265," ","~")&amp;" "&amp;SUBSTITUTE($N265," ","~")&amp;" "&amp;SUBSTITUTE($O265," ","~"))," "," | "),"~"," "))</f>
        <v/>
      </c>
    </row>
    <row r="266" spans="1:16" x14ac:dyDescent="0.2">
      <c r="A266" s="19" t="str">
        <f ca="1">IF(Calc!$AM266="","",ROW()-5)</f>
        <v/>
      </c>
      <c r="B266" s="20" t="str">
        <f ca="1">IF(Calc!$AM266="","",INT(Calc!$AK266))</f>
        <v/>
      </c>
      <c r="C266" s="21" t="str">
        <f ca="1">IF(Calc!$AM266="","",IF($H266&lt;Setup!$C$5,"PAST DUE: milestone date has passed",IF($B266&lt;Setup!$C$5,"LATE: order today, ask about rush",IF($B266&lt;Setup!$C$5+14,"Order within 2 weeks","Scheduled"))))</f>
        <v/>
      </c>
      <c r="D266" s="21" t="str">
        <f ca="1">IF(Calc!$AM266="","",TEXT($B266,"mmmm yyyy"))</f>
        <v/>
      </c>
      <c r="E266" s="21" t="str">
        <f ca="1">IF(Calc!$AM266="","",INDEX(Roster!$A$6:$A$505,Calc!$AM266)&amp;"")</f>
        <v/>
      </c>
      <c r="F266" s="21" t="str">
        <f ca="1">IF(Calc!$AM266="","",INDEX(Roster!$C$6:$C$505,Calc!$AM266)&amp;"")</f>
        <v/>
      </c>
      <c r="G266" s="19" t="str">
        <f ca="1">IF(Calc!$AM266="","",INDEX(Setup!$C$20:$C$34,Calc!$AN266))</f>
        <v/>
      </c>
      <c r="H266" s="20" t="str">
        <f ca="1">IF(Calc!$AM266="","",INDEX(Calc!$B$6:$P$505,Calc!$AM266,Calc!$AN266))</f>
        <v/>
      </c>
      <c r="I266" s="21" t="str">
        <f ca="1">IF(Calc!$AM266="","",INDEX(Setup!$D$20:$D$34,Calc!$AN266)&amp;"")</f>
        <v/>
      </c>
      <c r="J266" s="21" t="str">
        <f ca="1">IF(Calc!$AM266="","",INDEX(Setup!$E$20:$E$34,Calc!$AN266)&amp;"")</f>
        <v/>
      </c>
      <c r="K266" s="23" t="str">
        <f ca="1">IF(Calc!$AM266="","",INDEX(Setup!$F$20:$F$34,Calc!$AN266))</f>
        <v/>
      </c>
      <c r="L266" s="21" t="str">
        <f ca="1">IF(Calc!$AM266="","",SUBSTITUTE(SUBSTITUTE(SUBSTITUTE(SUBSTITUTE(INDEX(Setup!$H$20:$H$34,Calc!$AN266)&amp;"","{name}",$E266),"{years}",$G266),"{date}",TEXT($H266,"mmmm d, yyyy")),"{company}",Setup!$C$4))</f>
        <v/>
      </c>
      <c r="M266" s="21" t="str">
        <f ca="1">IF(Calc!$AM266="","",SUBSTITUTE(SUBSTITUTE(SUBSTITUTE(SUBSTITUTE(INDEX(Setup!$I$20:$I$34,Calc!$AN266)&amp;"","{name}",$E266),"{years}",$G266),"{date}",TEXT($H266,"mmmm d, yyyy")),"{company}",Setup!$C$4))</f>
        <v/>
      </c>
      <c r="N266" s="21" t="str">
        <f ca="1">IF(Calc!$AM266="","",SUBSTITUTE(SUBSTITUTE(SUBSTITUTE(SUBSTITUTE(INDEX(Setup!$J$20:$J$34,Calc!$AN266)&amp;"","{name}",$E266),"{years}",$G266),"{date}",TEXT($H266,"mmmm d, yyyy")),"{company}",Setup!$C$4))</f>
        <v/>
      </c>
      <c r="O266" s="21" t="str">
        <f ca="1">IF(Calc!$AM266="","",SUBSTITUTE(SUBSTITUTE(SUBSTITUTE(SUBSTITUTE(INDEX(Setup!$K$20:$K$34,Calc!$AN266)&amp;"","{name}",$E266),"{years}",$G266),"{date}",TEXT($H266,"mmmm d, yyyy")),"{company}",Setup!$C$4))</f>
        <v/>
      </c>
      <c r="P266" s="21" t="str">
        <f ca="1">IF(Calc!$AM266="","",SUBSTITUTE(SUBSTITUTE(TRIM(SUBSTITUTE($L266," ","~")&amp;" "&amp;SUBSTITUTE($M266," ","~")&amp;" "&amp;SUBSTITUTE($N266," ","~")&amp;" "&amp;SUBSTITUTE($O266," ","~"))," "," | "),"~"," "))</f>
        <v/>
      </c>
    </row>
    <row r="267" spans="1:16" x14ac:dyDescent="0.2">
      <c r="A267" s="19" t="str">
        <f ca="1">IF(Calc!$AM267="","",ROW()-5)</f>
        <v/>
      </c>
      <c r="B267" s="20" t="str">
        <f ca="1">IF(Calc!$AM267="","",INT(Calc!$AK267))</f>
        <v/>
      </c>
      <c r="C267" s="21" t="str">
        <f ca="1">IF(Calc!$AM267="","",IF($H267&lt;Setup!$C$5,"PAST DUE: milestone date has passed",IF($B267&lt;Setup!$C$5,"LATE: order today, ask about rush",IF($B267&lt;Setup!$C$5+14,"Order within 2 weeks","Scheduled"))))</f>
        <v/>
      </c>
      <c r="D267" s="21" t="str">
        <f ca="1">IF(Calc!$AM267="","",TEXT($B267,"mmmm yyyy"))</f>
        <v/>
      </c>
      <c r="E267" s="21" t="str">
        <f ca="1">IF(Calc!$AM267="","",INDEX(Roster!$A$6:$A$505,Calc!$AM267)&amp;"")</f>
        <v/>
      </c>
      <c r="F267" s="21" t="str">
        <f ca="1">IF(Calc!$AM267="","",INDEX(Roster!$C$6:$C$505,Calc!$AM267)&amp;"")</f>
        <v/>
      </c>
      <c r="G267" s="19" t="str">
        <f ca="1">IF(Calc!$AM267="","",INDEX(Setup!$C$20:$C$34,Calc!$AN267))</f>
        <v/>
      </c>
      <c r="H267" s="20" t="str">
        <f ca="1">IF(Calc!$AM267="","",INDEX(Calc!$B$6:$P$505,Calc!$AM267,Calc!$AN267))</f>
        <v/>
      </c>
      <c r="I267" s="21" t="str">
        <f ca="1">IF(Calc!$AM267="","",INDEX(Setup!$D$20:$D$34,Calc!$AN267)&amp;"")</f>
        <v/>
      </c>
      <c r="J267" s="21" t="str">
        <f ca="1">IF(Calc!$AM267="","",INDEX(Setup!$E$20:$E$34,Calc!$AN267)&amp;"")</f>
        <v/>
      </c>
      <c r="K267" s="23" t="str">
        <f ca="1">IF(Calc!$AM267="","",INDEX(Setup!$F$20:$F$34,Calc!$AN267))</f>
        <v/>
      </c>
      <c r="L267" s="21" t="str">
        <f ca="1">IF(Calc!$AM267="","",SUBSTITUTE(SUBSTITUTE(SUBSTITUTE(SUBSTITUTE(INDEX(Setup!$H$20:$H$34,Calc!$AN267)&amp;"","{name}",$E267),"{years}",$G267),"{date}",TEXT($H267,"mmmm d, yyyy")),"{company}",Setup!$C$4))</f>
        <v/>
      </c>
      <c r="M267" s="21" t="str">
        <f ca="1">IF(Calc!$AM267="","",SUBSTITUTE(SUBSTITUTE(SUBSTITUTE(SUBSTITUTE(INDEX(Setup!$I$20:$I$34,Calc!$AN267)&amp;"","{name}",$E267),"{years}",$G267),"{date}",TEXT($H267,"mmmm d, yyyy")),"{company}",Setup!$C$4))</f>
        <v/>
      </c>
      <c r="N267" s="21" t="str">
        <f ca="1">IF(Calc!$AM267="","",SUBSTITUTE(SUBSTITUTE(SUBSTITUTE(SUBSTITUTE(INDEX(Setup!$J$20:$J$34,Calc!$AN267)&amp;"","{name}",$E267),"{years}",$G267),"{date}",TEXT($H267,"mmmm d, yyyy")),"{company}",Setup!$C$4))</f>
        <v/>
      </c>
      <c r="O267" s="21" t="str">
        <f ca="1">IF(Calc!$AM267="","",SUBSTITUTE(SUBSTITUTE(SUBSTITUTE(SUBSTITUTE(INDEX(Setup!$K$20:$K$34,Calc!$AN267)&amp;"","{name}",$E267),"{years}",$G267),"{date}",TEXT($H267,"mmmm d, yyyy")),"{company}",Setup!$C$4))</f>
        <v/>
      </c>
      <c r="P267" s="21" t="str">
        <f ca="1">IF(Calc!$AM267="","",SUBSTITUTE(SUBSTITUTE(TRIM(SUBSTITUTE($L267," ","~")&amp;" "&amp;SUBSTITUTE($M267," ","~")&amp;" "&amp;SUBSTITUTE($N267," ","~")&amp;" "&amp;SUBSTITUTE($O267," ","~"))," "," | "),"~"," "))</f>
        <v/>
      </c>
    </row>
    <row r="268" spans="1:16" x14ac:dyDescent="0.2">
      <c r="A268" s="19" t="str">
        <f ca="1">IF(Calc!$AM268="","",ROW()-5)</f>
        <v/>
      </c>
      <c r="B268" s="20" t="str">
        <f ca="1">IF(Calc!$AM268="","",INT(Calc!$AK268))</f>
        <v/>
      </c>
      <c r="C268" s="21" t="str">
        <f ca="1">IF(Calc!$AM268="","",IF($H268&lt;Setup!$C$5,"PAST DUE: milestone date has passed",IF($B268&lt;Setup!$C$5,"LATE: order today, ask about rush",IF($B268&lt;Setup!$C$5+14,"Order within 2 weeks","Scheduled"))))</f>
        <v/>
      </c>
      <c r="D268" s="21" t="str">
        <f ca="1">IF(Calc!$AM268="","",TEXT($B268,"mmmm yyyy"))</f>
        <v/>
      </c>
      <c r="E268" s="21" t="str">
        <f ca="1">IF(Calc!$AM268="","",INDEX(Roster!$A$6:$A$505,Calc!$AM268)&amp;"")</f>
        <v/>
      </c>
      <c r="F268" s="21" t="str">
        <f ca="1">IF(Calc!$AM268="","",INDEX(Roster!$C$6:$C$505,Calc!$AM268)&amp;"")</f>
        <v/>
      </c>
      <c r="G268" s="19" t="str">
        <f ca="1">IF(Calc!$AM268="","",INDEX(Setup!$C$20:$C$34,Calc!$AN268))</f>
        <v/>
      </c>
      <c r="H268" s="20" t="str">
        <f ca="1">IF(Calc!$AM268="","",INDEX(Calc!$B$6:$P$505,Calc!$AM268,Calc!$AN268))</f>
        <v/>
      </c>
      <c r="I268" s="21" t="str">
        <f ca="1">IF(Calc!$AM268="","",INDEX(Setup!$D$20:$D$34,Calc!$AN268)&amp;"")</f>
        <v/>
      </c>
      <c r="J268" s="21" t="str">
        <f ca="1">IF(Calc!$AM268="","",INDEX(Setup!$E$20:$E$34,Calc!$AN268)&amp;"")</f>
        <v/>
      </c>
      <c r="K268" s="23" t="str">
        <f ca="1">IF(Calc!$AM268="","",INDEX(Setup!$F$20:$F$34,Calc!$AN268))</f>
        <v/>
      </c>
      <c r="L268" s="21" t="str">
        <f ca="1">IF(Calc!$AM268="","",SUBSTITUTE(SUBSTITUTE(SUBSTITUTE(SUBSTITUTE(INDEX(Setup!$H$20:$H$34,Calc!$AN268)&amp;"","{name}",$E268),"{years}",$G268),"{date}",TEXT($H268,"mmmm d, yyyy")),"{company}",Setup!$C$4))</f>
        <v/>
      </c>
      <c r="M268" s="21" t="str">
        <f ca="1">IF(Calc!$AM268="","",SUBSTITUTE(SUBSTITUTE(SUBSTITUTE(SUBSTITUTE(INDEX(Setup!$I$20:$I$34,Calc!$AN268)&amp;"","{name}",$E268),"{years}",$G268),"{date}",TEXT($H268,"mmmm d, yyyy")),"{company}",Setup!$C$4))</f>
        <v/>
      </c>
      <c r="N268" s="21" t="str">
        <f ca="1">IF(Calc!$AM268="","",SUBSTITUTE(SUBSTITUTE(SUBSTITUTE(SUBSTITUTE(INDEX(Setup!$J$20:$J$34,Calc!$AN268)&amp;"","{name}",$E268),"{years}",$G268),"{date}",TEXT($H268,"mmmm d, yyyy")),"{company}",Setup!$C$4))</f>
        <v/>
      </c>
      <c r="O268" s="21" t="str">
        <f ca="1">IF(Calc!$AM268="","",SUBSTITUTE(SUBSTITUTE(SUBSTITUTE(SUBSTITUTE(INDEX(Setup!$K$20:$K$34,Calc!$AN268)&amp;"","{name}",$E268),"{years}",$G268),"{date}",TEXT($H268,"mmmm d, yyyy")),"{company}",Setup!$C$4))</f>
        <v/>
      </c>
      <c r="P268" s="21" t="str">
        <f ca="1">IF(Calc!$AM268="","",SUBSTITUTE(SUBSTITUTE(TRIM(SUBSTITUTE($L268," ","~")&amp;" "&amp;SUBSTITUTE($M268," ","~")&amp;" "&amp;SUBSTITUTE($N268," ","~")&amp;" "&amp;SUBSTITUTE($O268," ","~"))," "," | "),"~"," "))</f>
        <v/>
      </c>
    </row>
    <row r="269" spans="1:16" x14ac:dyDescent="0.2">
      <c r="A269" s="19" t="str">
        <f ca="1">IF(Calc!$AM269="","",ROW()-5)</f>
        <v/>
      </c>
      <c r="B269" s="20" t="str">
        <f ca="1">IF(Calc!$AM269="","",INT(Calc!$AK269))</f>
        <v/>
      </c>
      <c r="C269" s="21" t="str">
        <f ca="1">IF(Calc!$AM269="","",IF($H269&lt;Setup!$C$5,"PAST DUE: milestone date has passed",IF($B269&lt;Setup!$C$5,"LATE: order today, ask about rush",IF($B269&lt;Setup!$C$5+14,"Order within 2 weeks","Scheduled"))))</f>
        <v/>
      </c>
      <c r="D269" s="21" t="str">
        <f ca="1">IF(Calc!$AM269="","",TEXT($B269,"mmmm yyyy"))</f>
        <v/>
      </c>
      <c r="E269" s="21" t="str">
        <f ca="1">IF(Calc!$AM269="","",INDEX(Roster!$A$6:$A$505,Calc!$AM269)&amp;"")</f>
        <v/>
      </c>
      <c r="F269" s="21" t="str">
        <f ca="1">IF(Calc!$AM269="","",INDEX(Roster!$C$6:$C$505,Calc!$AM269)&amp;"")</f>
        <v/>
      </c>
      <c r="G269" s="19" t="str">
        <f ca="1">IF(Calc!$AM269="","",INDEX(Setup!$C$20:$C$34,Calc!$AN269))</f>
        <v/>
      </c>
      <c r="H269" s="20" t="str">
        <f ca="1">IF(Calc!$AM269="","",INDEX(Calc!$B$6:$P$505,Calc!$AM269,Calc!$AN269))</f>
        <v/>
      </c>
      <c r="I269" s="21" t="str">
        <f ca="1">IF(Calc!$AM269="","",INDEX(Setup!$D$20:$D$34,Calc!$AN269)&amp;"")</f>
        <v/>
      </c>
      <c r="J269" s="21" t="str">
        <f ca="1">IF(Calc!$AM269="","",INDEX(Setup!$E$20:$E$34,Calc!$AN269)&amp;"")</f>
        <v/>
      </c>
      <c r="K269" s="23" t="str">
        <f ca="1">IF(Calc!$AM269="","",INDEX(Setup!$F$20:$F$34,Calc!$AN269))</f>
        <v/>
      </c>
      <c r="L269" s="21" t="str">
        <f ca="1">IF(Calc!$AM269="","",SUBSTITUTE(SUBSTITUTE(SUBSTITUTE(SUBSTITUTE(INDEX(Setup!$H$20:$H$34,Calc!$AN269)&amp;"","{name}",$E269),"{years}",$G269),"{date}",TEXT($H269,"mmmm d, yyyy")),"{company}",Setup!$C$4))</f>
        <v/>
      </c>
      <c r="M269" s="21" t="str">
        <f ca="1">IF(Calc!$AM269="","",SUBSTITUTE(SUBSTITUTE(SUBSTITUTE(SUBSTITUTE(INDEX(Setup!$I$20:$I$34,Calc!$AN269)&amp;"","{name}",$E269),"{years}",$G269),"{date}",TEXT($H269,"mmmm d, yyyy")),"{company}",Setup!$C$4))</f>
        <v/>
      </c>
      <c r="N269" s="21" t="str">
        <f ca="1">IF(Calc!$AM269="","",SUBSTITUTE(SUBSTITUTE(SUBSTITUTE(SUBSTITUTE(INDEX(Setup!$J$20:$J$34,Calc!$AN269)&amp;"","{name}",$E269),"{years}",$G269),"{date}",TEXT($H269,"mmmm d, yyyy")),"{company}",Setup!$C$4))</f>
        <v/>
      </c>
      <c r="O269" s="21" t="str">
        <f ca="1">IF(Calc!$AM269="","",SUBSTITUTE(SUBSTITUTE(SUBSTITUTE(SUBSTITUTE(INDEX(Setup!$K$20:$K$34,Calc!$AN269)&amp;"","{name}",$E269),"{years}",$G269),"{date}",TEXT($H269,"mmmm d, yyyy")),"{company}",Setup!$C$4))</f>
        <v/>
      </c>
      <c r="P269" s="21" t="str">
        <f ca="1">IF(Calc!$AM269="","",SUBSTITUTE(SUBSTITUTE(TRIM(SUBSTITUTE($L269," ","~")&amp;" "&amp;SUBSTITUTE($M269," ","~")&amp;" "&amp;SUBSTITUTE($N269," ","~")&amp;" "&amp;SUBSTITUTE($O269," ","~"))," "," | "),"~"," "))</f>
        <v/>
      </c>
    </row>
    <row r="270" spans="1:16" x14ac:dyDescent="0.2">
      <c r="A270" s="19" t="str">
        <f ca="1">IF(Calc!$AM270="","",ROW()-5)</f>
        <v/>
      </c>
      <c r="B270" s="20" t="str">
        <f ca="1">IF(Calc!$AM270="","",INT(Calc!$AK270))</f>
        <v/>
      </c>
      <c r="C270" s="21" t="str">
        <f ca="1">IF(Calc!$AM270="","",IF($H270&lt;Setup!$C$5,"PAST DUE: milestone date has passed",IF($B270&lt;Setup!$C$5,"LATE: order today, ask about rush",IF($B270&lt;Setup!$C$5+14,"Order within 2 weeks","Scheduled"))))</f>
        <v/>
      </c>
      <c r="D270" s="21" t="str">
        <f ca="1">IF(Calc!$AM270="","",TEXT($B270,"mmmm yyyy"))</f>
        <v/>
      </c>
      <c r="E270" s="21" t="str">
        <f ca="1">IF(Calc!$AM270="","",INDEX(Roster!$A$6:$A$505,Calc!$AM270)&amp;"")</f>
        <v/>
      </c>
      <c r="F270" s="21" t="str">
        <f ca="1">IF(Calc!$AM270="","",INDEX(Roster!$C$6:$C$505,Calc!$AM270)&amp;"")</f>
        <v/>
      </c>
      <c r="G270" s="19" t="str">
        <f ca="1">IF(Calc!$AM270="","",INDEX(Setup!$C$20:$C$34,Calc!$AN270))</f>
        <v/>
      </c>
      <c r="H270" s="20" t="str">
        <f ca="1">IF(Calc!$AM270="","",INDEX(Calc!$B$6:$P$505,Calc!$AM270,Calc!$AN270))</f>
        <v/>
      </c>
      <c r="I270" s="21" t="str">
        <f ca="1">IF(Calc!$AM270="","",INDEX(Setup!$D$20:$D$34,Calc!$AN270)&amp;"")</f>
        <v/>
      </c>
      <c r="J270" s="21" t="str">
        <f ca="1">IF(Calc!$AM270="","",INDEX(Setup!$E$20:$E$34,Calc!$AN270)&amp;"")</f>
        <v/>
      </c>
      <c r="K270" s="23" t="str">
        <f ca="1">IF(Calc!$AM270="","",INDEX(Setup!$F$20:$F$34,Calc!$AN270))</f>
        <v/>
      </c>
      <c r="L270" s="21" t="str">
        <f ca="1">IF(Calc!$AM270="","",SUBSTITUTE(SUBSTITUTE(SUBSTITUTE(SUBSTITUTE(INDEX(Setup!$H$20:$H$34,Calc!$AN270)&amp;"","{name}",$E270),"{years}",$G270),"{date}",TEXT($H270,"mmmm d, yyyy")),"{company}",Setup!$C$4))</f>
        <v/>
      </c>
      <c r="M270" s="21" t="str">
        <f ca="1">IF(Calc!$AM270="","",SUBSTITUTE(SUBSTITUTE(SUBSTITUTE(SUBSTITUTE(INDEX(Setup!$I$20:$I$34,Calc!$AN270)&amp;"","{name}",$E270),"{years}",$G270),"{date}",TEXT($H270,"mmmm d, yyyy")),"{company}",Setup!$C$4))</f>
        <v/>
      </c>
      <c r="N270" s="21" t="str">
        <f ca="1">IF(Calc!$AM270="","",SUBSTITUTE(SUBSTITUTE(SUBSTITUTE(SUBSTITUTE(INDEX(Setup!$J$20:$J$34,Calc!$AN270)&amp;"","{name}",$E270),"{years}",$G270),"{date}",TEXT($H270,"mmmm d, yyyy")),"{company}",Setup!$C$4))</f>
        <v/>
      </c>
      <c r="O270" s="21" t="str">
        <f ca="1">IF(Calc!$AM270="","",SUBSTITUTE(SUBSTITUTE(SUBSTITUTE(SUBSTITUTE(INDEX(Setup!$K$20:$K$34,Calc!$AN270)&amp;"","{name}",$E270),"{years}",$G270),"{date}",TEXT($H270,"mmmm d, yyyy")),"{company}",Setup!$C$4))</f>
        <v/>
      </c>
      <c r="P270" s="21" t="str">
        <f ca="1">IF(Calc!$AM270="","",SUBSTITUTE(SUBSTITUTE(TRIM(SUBSTITUTE($L270," ","~")&amp;" "&amp;SUBSTITUTE($M270," ","~")&amp;" "&amp;SUBSTITUTE($N270," ","~")&amp;" "&amp;SUBSTITUTE($O270," ","~"))," "," | "),"~"," "))</f>
        <v/>
      </c>
    </row>
    <row r="271" spans="1:16" x14ac:dyDescent="0.2">
      <c r="A271" s="19" t="str">
        <f ca="1">IF(Calc!$AM271="","",ROW()-5)</f>
        <v/>
      </c>
      <c r="B271" s="20" t="str">
        <f ca="1">IF(Calc!$AM271="","",INT(Calc!$AK271))</f>
        <v/>
      </c>
      <c r="C271" s="21" t="str">
        <f ca="1">IF(Calc!$AM271="","",IF($H271&lt;Setup!$C$5,"PAST DUE: milestone date has passed",IF($B271&lt;Setup!$C$5,"LATE: order today, ask about rush",IF($B271&lt;Setup!$C$5+14,"Order within 2 weeks","Scheduled"))))</f>
        <v/>
      </c>
      <c r="D271" s="21" t="str">
        <f ca="1">IF(Calc!$AM271="","",TEXT($B271,"mmmm yyyy"))</f>
        <v/>
      </c>
      <c r="E271" s="21" t="str">
        <f ca="1">IF(Calc!$AM271="","",INDEX(Roster!$A$6:$A$505,Calc!$AM271)&amp;"")</f>
        <v/>
      </c>
      <c r="F271" s="21" t="str">
        <f ca="1">IF(Calc!$AM271="","",INDEX(Roster!$C$6:$C$505,Calc!$AM271)&amp;"")</f>
        <v/>
      </c>
      <c r="G271" s="19" t="str">
        <f ca="1">IF(Calc!$AM271="","",INDEX(Setup!$C$20:$C$34,Calc!$AN271))</f>
        <v/>
      </c>
      <c r="H271" s="20" t="str">
        <f ca="1">IF(Calc!$AM271="","",INDEX(Calc!$B$6:$P$505,Calc!$AM271,Calc!$AN271))</f>
        <v/>
      </c>
      <c r="I271" s="21" t="str">
        <f ca="1">IF(Calc!$AM271="","",INDEX(Setup!$D$20:$D$34,Calc!$AN271)&amp;"")</f>
        <v/>
      </c>
      <c r="J271" s="21" t="str">
        <f ca="1">IF(Calc!$AM271="","",INDEX(Setup!$E$20:$E$34,Calc!$AN271)&amp;"")</f>
        <v/>
      </c>
      <c r="K271" s="23" t="str">
        <f ca="1">IF(Calc!$AM271="","",INDEX(Setup!$F$20:$F$34,Calc!$AN271))</f>
        <v/>
      </c>
      <c r="L271" s="21" t="str">
        <f ca="1">IF(Calc!$AM271="","",SUBSTITUTE(SUBSTITUTE(SUBSTITUTE(SUBSTITUTE(INDEX(Setup!$H$20:$H$34,Calc!$AN271)&amp;"","{name}",$E271),"{years}",$G271),"{date}",TEXT($H271,"mmmm d, yyyy")),"{company}",Setup!$C$4))</f>
        <v/>
      </c>
      <c r="M271" s="21" t="str">
        <f ca="1">IF(Calc!$AM271="","",SUBSTITUTE(SUBSTITUTE(SUBSTITUTE(SUBSTITUTE(INDEX(Setup!$I$20:$I$34,Calc!$AN271)&amp;"","{name}",$E271),"{years}",$G271),"{date}",TEXT($H271,"mmmm d, yyyy")),"{company}",Setup!$C$4))</f>
        <v/>
      </c>
      <c r="N271" s="21" t="str">
        <f ca="1">IF(Calc!$AM271="","",SUBSTITUTE(SUBSTITUTE(SUBSTITUTE(SUBSTITUTE(INDEX(Setup!$J$20:$J$34,Calc!$AN271)&amp;"","{name}",$E271),"{years}",$G271),"{date}",TEXT($H271,"mmmm d, yyyy")),"{company}",Setup!$C$4))</f>
        <v/>
      </c>
      <c r="O271" s="21" t="str">
        <f ca="1">IF(Calc!$AM271="","",SUBSTITUTE(SUBSTITUTE(SUBSTITUTE(SUBSTITUTE(INDEX(Setup!$K$20:$K$34,Calc!$AN271)&amp;"","{name}",$E271),"{years}",$G271),"{date}",TEXT($H271,"mmmm d, yyyy")),"{company}",Setup!$C$4))</f>
        <v/>
      </c>
      <c r="P271" s="21" t="str">
        <f ca="1">IF(Calc!$AM271="","",SUBSTITUTE(SUBSTITUTE(TRIM(SUBSTITUTE($L271," ","~")&amp;" "&amp;SUBSTITUTE($M271," ","~")&amp;" "&amp;SUBSTITUTE($N271," ","~")&amp;" "&amp;SUBSTITUTE($O271," ","~"))," "," | "),"~"," "))</f>
        <v/>
      </c>
    </row>
    <row r="272" spans="1:16" x14ac:dyDescent="0.2">
      <c r="A272" s="19" t="str">
        <f ca="1">IF(Calc!$AM272="","",ROW()-5)</f>
        <v/>
      </c>
      <c r="B272" s="20" t="str">
        <f ca="1">IF(Calc!$AM272="","",INT(Calc!$AK272))</f>
        <v/>
      </c>
      <c r="C272" s="21" t="str">
        <f ca="1">IF(Calc!$AM272="","",IF($H272&lt;Setup!$C$5,"PAST DUE: milestone date has passed",IF($B272&lt;Setup!$C$5,"LATE: order today, ask about rush",IF($B272&lt;Setup!$C$5+14,"Order within 2 weeks","Scheduled"))))</f>
        <v/>
      </c>
      <c r="D272" s="21" t="str">
        <f ca="1">IF(Calc!$AM272="","",TEXT($B272,"mmmm yyyy"))</f>
        <v/>
      </c>
      <c r="E272" s="21" t="str">
        <f ca="1">IF(Calc!$AM272="","",INDEX(Roster!$A$6:$A$505,Calc!$AM272)&amp;"")</f>
        <v/>
      </c>
      <c r="F272" s="21" t="str">
        <f ca="1">IF(Calc!$AM272="","",INDEX(Roster!$C$6:$C$505,Calc!$AM272)&amp;"")</f>
        <v/>
      </c>
      <c r="G272" s="19" t="str">
        <f ca="1">IF(Calc!$AM272="","",INDEX(Setup!$C$20:$C$34,Calc!$AN272))</f>
        <v/>
      </c>
      <c r="H272" s="20" t="str">
        <f ca="1">IF(Calc!$AM272="","",INDEX(Calc!$B$6:$P$505,Calc!$AM272,Calc!$AN272))</f>
        <v/>
      </c>
      <c r="I272" s="21" t="str">
        <f ca="1">IF(Calc!$AM272="","",INDEX(Setup!$D$20:$D$34,Calc!$AN272)&amp;"")</f>
        <v/>
      </c>
      <c r="J272" s="21" t="str">
        <f ca="1">IF(Calc!$AM272="","",INDEX(Setup!$E$20:$E$34,Calc!$AN272)&amp;"")</f>
        <v/>
      </c>
      <c r="K272" s="23" t="str">
        <f ca="1">IF(Calc!$AM272="","",INDEX(Setup!$F$20:$F$34,Calc!$AN272))</f>
        <v/>
      </c>
      <c r="L272" s="21" t="str">
        <f ca="1">IF(Calc!$AM272="","",SUBSTITUTE(SUBSTITUTE(SUBSTITUTE(SUBSTITUTE(INDEX(Setup!$H$20:$H$34,Calc!$AN272)&amp;"","{name}",$E272),"{years}",$G272),"{date}",TEXT($H272,"mmmm d, yyyy")),"{company}",Setup!$C$4))</f>
        <v/>
      </c>
      <c r="M272" s="21" t="str">
        <f ca="1">IF(Calc!$AM272="","",SUBSTITUTE(SUBSTITUTE(SUBSTITUTE(SUBSTITUTE(INDEX(Setup!$I$20:$I$34,Calc!$AN272)&amp;"","{name}",$E272),"{years}",$G272),"{date}",TEXT($H272,"mmmm d, yyyy")),"{company}",Setup!$C$4))</f>
        <v/>
      </c>
      <c r="N272" s="21" t="str">
        <f ca="1">IF(Calc!$AM272="","",SUBSTITUTE(SUBSTITUTE(SUBSTITUTE(SUBSTITUTE(INDEX(Setup!$J$20:$J$34,Calc!$AN272)&amp;"","{name}",$E272),"{years}",$G272),"{date}",TEXT($H272,"mmmm d, yyyy")),"{company}",Setup!$C$4))</f>
        <v/>
      </c>
      <c r="O272" s="21" t="str">
        <f ca="1">IF(Calc!$AM272="","",SUBSTITUTE(SUBSTITUTE(SUBSTITUTE(SUBSTITUTE(INDEX(Setup!$K$20:$K$34,Calc!$AN272)&amp;"","{name}",$E272),"{years}",$G272),"{date}",TEXT($H272,"mmmm d, yyyy")),"{company}",Setup!$C$4))</f>
        <v/>
      </c>
      <c r="P272" s="21" t="str">
        <f ca="1">IF(Calc!$AM272="","",SUBSTITUTE(SUBSTITUTE(TRIM(SUBSTITUTE($L272," ","~")&amp;" "&amp;SUBSTITUTE($M272," ","~")&amp;" "&amp;SUBSTITUTE($N272," ","~")&amp;" "&amp;SUBSTITUTE($O272," ","~"))," "," | "),"~"," "))</f>
        <v/>
      </c>
    </row>
    <row r="273" spans="1:16" x14ac:dyDescent="0.2">
      <c r="A273" s="19" t="str">
        <f ca="1">IF(Calc!$AM273="","",ROW()-5)</f>
        <v/>
      </c>
      <c r="B273" s="20" t="str">
        <f ca="1">IF(Calc!$AM273="","",INT(Calc!$AK273))</f>
        <v/>
      </c>
      <c r="C273" s="21" t="str">
        <f ca="1">IF(Calc!$AM273="","",IF($H273&lt;Setup!$C$5,"PAST DUE: milestone date has passed",IF($B273&lt;Setup!$C$5,"LATE: order today, ask about rush",IF($B273&lt;Setup!$C$5+14,"Order within 2 weeks","Scheduled"))))</f>
        <v/>
      </c>
      <c r="D273" s="21" t="str">
        <f ca="1">IF(Calc!$AM273="","",TEXT($B273,"mmmm yyyy"))</f>
        <v/>
      </c>
      <c r="E273" s="21" t="str">
        <f ca="1">IF(Calc!$AM273="","",INDEX(Roster!$A$6:$A$505,Calc!$AM273)&amp;"")</f>
        <v/>
      </c>
      <c r="F273" s="21" t="str">
        <f ca="1">IF(Calc!$AM273="","",INDEX(Roster!$C$6:$C$505,Calc!$AM273)&amp;"")</f>
        <v/>
      </c>
      <c r="G273" s="19" t="str">
        <f ca="1">IF(Calc!$AM273="","",INDEX(Setup!$C$20:$C$34,Calc!$AN273))</f>
        <v/>
      </c>
      <c r="H273" s="20" t="str">
        <f ca="1">IF(Calc!$AM273="","",INDEX(Calc!$B$6:$P$505,Calc!$AM273,Calc!$AN273))</f>
        <v/>
      </c>
      <c r="I273" s="21" t="str">
        <f ca="1">IF(Calc!$AM273="","",INDEX(Setup!$D$20:$D$34,Calc!$AN273)&amp;"")</f>
        <v/>
      </c>
      <c r="J273" s="21" t="str">
        <f ca="1">IF(Calc!$AM273="","",INDEX(Setup!$E$20:$E$34,Calc!$AN273)&amp;"")</f>
        <v/>
      </c>
      <c r="K273" s="23" t="str">
        <f ca="1">IF(Calc!$AM273="","",INDEX(Setup!$F$20:$F$34,Calc!$AN273))</f>
        <v/>
      </c>
      <c r="L273" s="21" t="str">
        <f ca="1">IF(Calc!$AM273="","",SUBSTITUTE(SUBSTITUTE(SUBSTITUTE(SUBSTITUTE(INDEX(Setup!$H$20:$H$34,Calc!$AN273)&amp;"","{name}",$E273),"{years}",$G273),"{date}",TEXT($H273,"mmmm d, yyyy")),"{company}",Setup!$C$4))</f>
        <v/>
      </c>
      <c r="M273" s="21" t="str">
        <f ca="1">IF(Calc!$AM273="","",SUBSTITUTE(SUBSTITUTE(SUBSTITUTE(SUBSTITUTE(INDEX(Setup!$I$20:$I$34,Calc!$AN273)&amp;"","{name}",$E273),"{years}",$G273),"{date}",TEXT($H273,"mmmm d, yyyy")),"{company}",Setup!$C$4))</f>
        <v/>
      </c>
      <c r="N273" s="21" t="str">
        <f ca="1">IF(Calc!$AM273="","",SUBSTITUTE(SUBSTITUTE(SUBSTITUTE(SUBSTITUTE(INDEX(Setup!$J$20:$J$34,Calc!$AN273)&amp;"","{name}",$E273),"{years}",$G273),"{date}",TEXT($H273,"mmmm d, yyyy")),"{company}",Setup!$C$4))</f>
        <v/>
      </c>
      <c r="O273" s="21" t="str">
        <f ca="1">IF(Calc!$AM273="","",SUBSTITUTE(SUBSTITUTE(SUBSTITUTE(SUBSTITUTE(INDEX(Setup!$K$20:$K$34,Calc!$AN273)&amp;"","{name}",$E273),"{years}",$G273),"{date}",TEXT($H273,"mmmm d, yyyy")),"{company}",Setup!$C$4))</f>
        <v/>
      </c>
      <c r="P273" s="21" t="str">
        <f ca="1">IF(Calc!$AM273="","",SUBSTITUTE(SUBSTITUTE(TRIM(SUBSTITUTE($L273," ","~")&amp;" "&amp;SUBSTITUTE($M273," ","~")&amp;" "&amp;SUBSTITUTE($N273," ","~")&amp;" "&amp;SUBSTITUTE($O273," ","~"))," "," | "),"~"," "))</f>
        <v/>
      </c>
    </row>
    <row r="274" spans="1:16" x14ac:dyDescent="0.2">
      <c r="A274" s="19" t="str">
        <f ca="1">IF(Calc!$AM274="","",ROW()-5)</f>
        <v/>
      </c>
      <c r="B274" s="20" t="str">
        <f ca="1">IF(Calc!$AM274="","",INT(Calc!$AK274))</f>
        <v/>
      </c>
      <c r="C274" s="21" t="str">
        <f ca="1">IF(Calc!$AM274="","",IF($H274&lt;Setup!$C$5,"PAST DUE: milestone date has passed",IF($B274&lt;Setup!$C$5,"LATE: order today, ask about rush",IF($B274&lt;Setup!$C$5+14,"Order within 2 weeks","Scheduled"))))</f>
        <v/>
      </c>
      <c r="D274" s="21" t="str">
        <f ca="1">IF(Calc!$AM274="","",TEXT($B274,"mmmm yyyy"))</f>
        <v/>
      </c>
      <c r="E274" s="21" t="str">
        <f ca="1">IF(Calc!$AM274="","",INDEX(Roster!$A$6:$A$505,Calc!$AM274)&amp;"")</f>
        <v/>
      </c>
      <c r="F274" s="21" t="str">
        <f ca="1">IF(Calc!$AM274="","",INDEX(Roster!$C$6:$C$505,Calc!$AM274)&amp;"")</f>
        <v/>
      </c>
      <c r="G274" s="19" t="str">
        <f ca="1">IF(Calc!$AM274="","",INDEX(Setup!$C$20:$C$34,Calc!$AN274))</f>
        <v/>
      </c>
      <c r="H274" s="20" t="str">
        <f ca="1">IF(Calc!$AM274="","",INDEX(Calc!$B$6:$P$505,Calc!$AM274,Calc!$AN274))</f>
        <v/>
      </c>
      <c r="I274" s="21" t="str">
        <f ca="1">IF(Calc!$AM274="","",INDEX(Setup!$D$20:$D$34,Calc!$AN274)&amp;"")</f>
        <v/>
      </c>
      <c r="J274" s="21" t="str">
        <f ca="1">IF(Calc!$AM274="","",INDEX(Setup!$E$20:$E$34,Calc!$AN274)&amp;"")</f>
        <v/>
      </c>
      <c r="K274" s="23" t="str">
        <f ca="1">IF(Calc!$AM274="","",INDEX(Setup!$F$20:$F$34,Calc!$AN274))</f>
        <v/>
      </c>
      <c r="L274" s="21" t="str">
        <f ca="1">IF(Calc!$AM274="","",SUBSTITUTE(SUBSTITUTE(SUBSTITUTE(SUBSTITUTE(INDEX(Setup!$H$20:$H$34,Calc!$AN274)&amp;"","{name}",$E274),"{years}",$G274),"{date}",TEXT($H274,"mmmm d, yyyy")),"{company}",Setup!$C$4))</f>
        <v/>
      </c>
      <c r="M274" s="21" t="str">
        <f ca="1">IF(Calc!$AM274="","",SUBSTITUTE(SUBSTITUTE(SUBSTITUTE(SUBSTITUTE(INDEX(Setup!$I$20:$I$34,Calc!$AN274)&amp;"","{name}",$E274),"{years}",$G274),"{date}",TEXT($H274,"mmmm d, yyyy")),"{company}",Setup!$C$4))</f>
        <v/>
      </c>
      <c r="N274" s="21" t="str">
        <f ca="1">IF(Calc!$AM274="","",SUBSTITUTE(SUBSTITUTE(SUBSTITUTE(SUBSTITUTE(INDEX(Setup!$J$20:$J$34,Calc!$AN274)&amp;"","{name}",$E274),"{years}",$G274),"{date}",TEXT($H274,"mmmm d, yyyy")),"{company}",Setup!$C$4))</f>
        <v/>
      </c>
      <c r="O274" s="21" t="str">
        <f ca="1">IF(Calc!$AM274="","",SUBSTITUTE(SUBSTITUTE(SUBSTITUTE(SUBSTITUTE(INDEX(Setup!$K$20:$K$34,Calc!$AN274)&amp;"","{name}",$E274),"{years}",$G274),"{date}",TEXT($H274,"mmmm d, yyyy")),"{company}",Setup!$C$4))</f>
        <v/>
      </c>
      <c r="P274" s="21" t="str">
        <f ca="1">IF(Calc!$AM274="","",SUBSTITUTE(SUBSTITUTE(TRIM(SUBSTITUTE($L274," ","~")&amp;" "&amp;SUBSTITUTE($M274," ","~")&amp;" "&amp;SUBSTITUTE($N274," ","~")&amp;" "&amp;SUBSTITUTE($O274," ","~"))," "," | "),"~"," "))</f>
        <v/>
      </c>
    </row>
    <row r="275" spans="1:16" x14ac:dyDescent="0.2">
      <c r="A275" s="19" t="str">
        <f ca="1">IF(Calc!$AM275="","",ROW()-5)</f>
        <v/>
      </c>
      <c r="B275" s="20" t="str">
        <f ca="1">IF(Calc!$AM275="","",INT(Calc!$AK275))</f>
        <v/>
      </c>
      <c r="C275" s="21" t="str">
        <f ca="1">IF(Calc!$AM275="","",IF($H275&lt;Setup!$C$5,"PAST DUE: milestone date has passed",IF($B275&lt;Setup!$C$5,"LATE: order today, ask about rush",IF($B275&lt;Setup!$C$5+14,"Order within 2 weeks","Scheduled"))))</f>
        <v/>
      </c>
      <c r="D275" s="21" t="str">
        <f ca="1">IF(Calc!$AM275="","",TEXT($B275,"mmmm yyyy"))</f>
        <v/>
      </c>
      <c r="E275" s="21" t="str">
        <f ca="1">IF(Calc!$AM275="","",INDEX(Roster!$A$6:$A$505,Calc!$AM275)&amp;"")</f>
        <v/>
      </c>
      <c r="F275" s="21" t="str">
        <f ca="1">IF(Calc!$AM275="","",INDEX(Roster!$C$6:$C$505,Calc!$AM275)&amp;"")</f>
        <v/>
      </c>
      <c r="G275" s="19" t="str">
        <f ca="1">IF(Calc!$AM275="","",INDEX(Setup!$C$20:$C$34,Calc!$AN275))</f>
        <v/>
      </c>
      <c r="H275" s="20" t="str">
        <f ca="1">IF(Calc!$AM275="","",INDEX(Calc!$B$6:$P$505,Calc!$AM275,Calc!$AN275))</f>
        <v/>
      </c>
      <c r="I275" s="21" t="str">
        <f ca="1">IF(Calc!$AM275="","",INDEX(Setup!$D$20:$D$34,Calc!$AN275)&amp;"")</f>
        <v/>
      </c>
      <c r="J275" s="21" t="str">
        <f ca="1">IF(Calc!$AM275="","",INDEX(Setup!$E$20:$E$34,Calc!$AN275)&amp;"")</f>
        <v/>
      </c>
      <c r="K275" s="23" t="str">
        <f ca="1">IF(Calc!$AM275="","",INDEX(Setup!$F$20:$F$34,Calc!$AN275))</f>
        <v/>
      </c>
      <c r="L275" s="21" t="str">
        <f ca="1">IF(Calc!$AM275="","",SUBSTITUTE(SUBSTITUTE(SUBSTITUTE(SUBSTITUTE(INDEX(Setup!$H$20:$H$34,Calc!$AN275)&amp;"","{name}",$E275),"{years}",$G275),"{date}",TEXT($H275,"mmmm d, yyyy")),"{company}",Setup!$C$4))</f>
        <v/>
      </c>
      <c r="M275" s="21" t="str">
        <f ca="1">IF(Calc!$AM275="","",SUBSTITUTE(SUBSTITUTE(SUBSTITUTE(SUBSTITUTE(INDEX(Setup!$I$20:$I$34,Calc!$AN275)&amp;"","{name}",$E275),"{years}",$G275),"{date}",TEXT($H275,"mmmm d, yyyy")),"{company}",Setup!$C$4))</f>
        <v/>
      </c>
      <c r="N275" s="21" t="str">
        <f ca="1">IF(Calc!$AM275="","",SUBSTITUTE(SUBSTITUTE(SUBSTITUTE(SUBSTITUTE(INDEX(Setup!$J$20:$J$34,Calc!$AN275)&amp;"","{name}",$E275),"{years}",$G275),"{date}",TEXT($H275,"mmmm d, yyyy")),"{company}",Setup!$C$4))</f>
        <v/>
      </c>
      <c r="O275" s="21" t="str">
        <f ca="1">IF(Calc!$AM275="","",SUBSTITUTE(SUBSTITUTE(SUBSTITUTE(SUBSTITUTE(INDEX(Setup!$K$20:$K$34,Calc!$AN275)&amp;"","{name}",$E275),"{years}",$G275),"{date}",TEXT($H275,"mmmm d, yyyy")),"{company}",Setup!$C$4))</f>
        <v/>
      </c>
      <c r="P275" s="21" t="str">
        <f ca="1">IF(Calc!$AM275="","",SUBSTITUTE(SUBSTITUTE(TRIM(SUBSTITUTE($L275," ","~")&amp;" "&amp;SUBSTITUTE($M275," ","~")&amp;" "&amp;SUBSTITUTE($N275," ","~")&amp;" "&amp;SUBSTITUTE($O275," ","~"))," "," | "),"~"," "))</f>
        <v/>
      </c>
    </row>
    <row r="276" spans="1:16" x14ac:dyDescent="0.2">
      <c r="A276" s="19" t="str">
        <f ca="1">IF(Calc!$AM276="","",ROW()-5)</f>
        <v/>
      </c>
      <c r="B276" s="20" t="str">
        <f ca="1">IF(Calc!$AM276="","",INT(Calc!$AK276))</f>
        <v/>
      </c>
      <c r="C276" s="21" t="str">
        <f ca="1">IF(Calc!$AM276="","",IF($H276&lt;Setup!$C$5,"PAST DUE: milestone date has passed",IF($B276&lt;Setup!$C$5,"LATE: order today, ask about rush",IF($B276&lt;Setup!$C$5+14,"Order within 2 weeks","Scheduled"))))</f>
        <v/>
      </c>
      <c r="D276" s="21" t="str">
        <f ca="1">IF(Calc!$AM276="","",TEXT($B276,"mmmm yyyy"))</f>
        <v/>
      </c>
      <c r="E276" s="21" t="str">
        <f ca="1">IF(Calc!$AM276="","",INDEX(Roster!$A$6:$A$505,Calc!$AM276)&amp;"")</f>
        <v/>
      </c>
      <c r="F276" s="21" t="str">
        <f ca="1">IF(Calc!$AM276="","",INDEX(Roster!$C$6:$C$505,Calc!$AM276)&amp;"")</f>
        <v/>
      </c>
      <c r="G276" s="19" t="str">
        <f ca="1">IF(Calc!$AM276="","",INDEX(Setup!$C$20:$C$34,Calc!$AN276))</f>
        <v/>
      </c>
      <c r="H276" s="20" t="str">
        <f ca="1">IF(Calc!$AM276="","",INDEX(Calc!$B$6:$P$505,Calc!$AM276,Calc!$AN276))</f>
        <v/>
      </c>
      <c r="I276" s="21" t="str">
        <f ca="1">IF(Calc!$AM276="","",INDEX(Setup!$D$20:$D$34,Calc!$AN276)&amp;"")</f>
        <v/>
      </c>
      <c r="J276" s="21" t="str">
        <f ca="1">IF(Calc!$AM276="","",INDEX(Setup!$E$20:$E$34,Calc!$AN276)&amp;"")</f>
        <v/>
      </c>
      <c r="K276" s="23" t="str">
        <f ca="1">IF(Calc!$AM276="","",INDEX(Setup!$F$20:$F$34,Calc!$AN276))</f>
        <v/>
      </c>
      <c r="L276" s="21" t="str">
        <f ca="1">IF(Calc!$AM276="","",SUBSTITUTE(SUBSTITUTE(SUBSTITUTE(SUBSTITUTE(INDEX(Setup!$H$20:$H$34,Calc!$AN276)&amp;"","{name}",$E276),"{years}",$G276),"{date}",TEXT($H276,"mmmm d, yyyy")),"{company}",Setup!$C$4))</f>
        <v/>
      </c>
      <c r="M276" s="21" t="str">
        <f ca="1">IF(Calc!$AM276="","",SUBSTITUTE(SUBSTITUTE(SUBSTITUTE(SUBSTITUTE(INDEX(Setup!$I$20:$I$34,Calc!$AN276)&amp;"","{name}",$E276),"{years}",$G276),"{date}",TEXT($H276,"mmmm d, yyyy")),"{company}",Setup!$C$4))</f>
        <v/>
      </c>
      <c r="N276" s="21" t="str">
        <f ca="1">IF(Calc!$AM276="","",SUBSTITUTE(SUBSTITUTE(SUBSTITUTE(SUBSTITUTE(INDEX(Setup!$J$20:$J$34,Calc!$AN276)&amp;"","{name}",$E276),"{years}",$G276),"{date}",TEXT($H276,"mmmm d, yyyy")),"{company}",Setup!$C$4))</f>
        <v/>
      </c>
      <c r="O276" s="21" t="str">
        <f ca="1">IF(Calc!$AM276="","",SUBSTITUTE(SUBSTITUTE(SUBSTITUTE(SUBSTITUTE(INDEX(Setup!$K$20:$K$34,Calc!$AN276)&amp;"","{name}",$E276),"{years}",$G276),"{date}",TEXT($H276,"mmmm d, yyyy")),"{company}",Setup!$C$4))</f>
        <v/>
      </c>
      <c r="P276" s="21" t="str">
        <f ca="1">IF(Calc!$AM276="","",SUBSTITUTE(SUBSTITUTE(TRIM(SUBSTITUTE($L276," ","~")&amp;" "&amp;SUBSTITUTE($M276," ","~")&amp;" "&amp;SUBSTITUTE($N276," ","~")&amp;" "&amp;SUBSTITUTE($O276," ","~"))," "," | "),"~"," "))</f>
        <v/>
      </c>
    </row>
    <row r="277" spans="1:16" x14ac:dyDescent="0.2">
      <c r="A277" s="19" t="str">
        <f ca="1">IF(Calc!$AM277="","",ROW()-5)</f>
        <v/>
      </c>
      <c r="B277" s="20" t="str">
        <f ca="1">IF(Calc!$AM277="","",INT(Calc!$AK277))</f>
        <v/>
      </c>
      <c r="C277" s="21" t="str">
        <f ca="1">IF(Calc!$AM277="","",IF($H277&lt;Setup!$C$5,"PAST DUE: milestone date has passed",IF($B277&lt;Setup!$C$5,"LATE: order today, ask about rush",IF($B277&lt;Setup!$C$5+14,"Order within 2 weeks","Scheduled"))))</f>
        <v/>
      </c>
      <c r="D277" s="21" t="str">
        <f ca="1">IF(Calc!$AM277="","",TEXT($B277,"mmmm yyyy"))</f>
        <v/>
      </c>
      <c r="E277" s="21" t="str">
        <f ca="1">IF(Calc!$AM277="","",INDEX(Roster!$A$6:$A$505,Calc!$AM277)&amp;"")</f>
        <v/>
      </c>
      <c r="F277" s="21" t="str">
        <f ca="1">IF(Calc!$AM277="","",INDEX(Roster!$C$6:$C$505,Calc!$AM277)&amp;"")</f>
        <v/>
      </c>
      <c r="G277" s="19" t="str">
        <f ca="1">IF(Calc!$AM277="","",INDEX(Setup!$C$20:$C$34,Calc!$AN277))</f>
        <v/>
      </c>
      <c r="H277" s="20" t="str">
        <f ca="1">IF(Calc!$AM277="","",INDEX(Calc!$B$6:$P$505,Calc!$AM277,Calc!$AN277))</f>
        <v/>
      </c>
      <c r="I277" s="21" t="str">
        <f ca="1">IF(Calc!$AM277="","",INDEX(Setup!$D$20:$D$34,Calc!$AN277)&amp;"")</f>
        <v/>
      </c>
      <c r="J277" s="21" t="str">
        <f ca="1">IF(Calc!$AM277="","",INDEX(Setup!$E$20:$E$34,Calc!$AN277)&amp;"")</f>
        <v/>
      </c>
      <c r="K277" s="23" t="str">
        <f ca="1">IF(Calc!$AM277="","",INDEX(Setup!$F$20:$F$34,Calc!$AN277))</f>
        <v/>
      </c>
      <c r="L277" s="21" t="str">
        <f ca="1">IF(Calc!$AM277="","",SUBSTITUTE(SUBSTITUTE(SUBSTITUTE(SUBSTITUTE(INDEX(Setup!$H$20:$H$34,Calc!$AN277)&amp;"","{name}",$E277),"{years}",$G277),"{date}",TEXT($H277,"mmmm d, yyyy")),"{company}",Setup!$C$4))</f>
        <v/>
      </c>
      <c r="M277" s="21" t="str">
        <f ca="1">IF(Calc!$AM277="","",SUBSTITUTE(SUBSTITUTE(SUBSTITUTE(SUBSTITUTE(INDEX(Setup!$I$20:$I$34,Calc!$AN277)&amp;"","{name}",$E277),"{years}",$G277),"{date}",TEXT($H277,"mmmm d, yyyy")),"{company}",Setup!$C$4))</f>
        <v/>
      </c>
      <c r="N277" s="21" t="str">
        <f ca="1">IF(Calc!$AM277="","",SUBSTITUTE(SUBSTITUTE(SUBSTITUTE(SUBSTITUTE(INDEX(Setup!$J$20:$J$34,Calc!$AN277)&amp;"","{name}",$E277),"{years}",$G277),"{date}",TEXT($H277,"mmmm d, yyyy")),"{company}",Setup!$C$4))</f>
        <v/>
      </c>
      <c r="O277" s="21" t="str">
        <f ca="1">IF(Calc!$AM277="","",SUBSTITUTE(SUBSTITUTE(SUBSTITUTE(SUBSTITUTE(INDEX(Setup!$K$20:$K$34,Calc!$AN277)&amp;"","{name}",$E277),"{years}",$G277),"{date}",TEXT($H277,"mmmm d, yyyy")),"{company}",Setup!$C$4))</f>
        <v/>
      </c>
      <c r="P277" s="21" t="str">
        <f ca="1">IF(Calc!$AM277="","",SUBSTITUTE(SUBSTITUTE(TRIM(SUBSTITUTE($L277," ","~")&amp;" "&amp;SUBSTITUTE($M277," ","~")&amp;" "&amp;SUBSTITUTE($N277," ","~")&amp;" "&amp;SUBSTITUTE($O277," ","~"))," "," | "),"~"," "))</f>
        <v/>
      </c>
    </row>
    <row r="278" spans="1:16" x14ac:dyDescent="0.2">
      <c r="A278" s="19" t="str">
        <f ca="1">IF(Calc!$AM278="","",ROW()-5)</f>
        <v/>
      </c>
      <c r="B278" s="20" t="str">
        <f ca="1">IF(Calc!$AM278="","",INT(Calc!$AK278))</f>
        <v/>
      </c>
      <c r="C278" s="21" t="str">
        <f ca="1">IF(Calc!$AM278="","",IF($H278&lt;Setup!$C$5,"PAST DUE: milestone date has passed",IF($B278&lt;Setup!$C$5,"LATE: order today, ask about rush",IF($B278&lt;Setup!$C$5+14,"Order within 2 weeks","Scheduled"))))</f>
        <v/>
      </c>
      <c r="D278" s="21" t="str">
        <f ca="1">IF(Calc!$AM278="","",TEXT($B278,"mmmm yyyy"))</f>
        <v/>
      </c>
      <c r="E278" s="21" t="str">
        <f ca="1">IF(Calc!$AM278="","",INDEX(Roster!$A$6:$A$505,Calc!$AM278)&amp;"")</f>
        <v/>
      </c>
      <c r="F278" s="21" t="str">
        <f ca="1">IF(Calc!$AM278="","",INDEX(Roster!$C$6:$C$505,Calc!$AM278)&amp;"")</f>
        <v/>
      </c>
      <c r="G278" s="19" t="str">
        <f ca="1">IF(Calc!$AM278="","",INDEX(Setup!$C$20:$C$34,Calc!$AN278))</f>
        <v/>
      </c>
      <c r="H278" s="20" t="str">
        <f ca="1">IF(Calc!$AM278="","",INDEX(Calc!$B$6:$P$505,Calc!$AM278,Calc!$AN278))</f>
        <v/>
      </c>
      <c r="I278" s="21" t="str">
        <f ca="1">IF(Calc!$AM278="","",INDEX(Setup!$D$20:$D$34,Calc!$AN278)&amp;"")</f>
        <v/>
      </c>
      <c r="J278" s="21" t="str">
        <f ca="1">IF(Calc!$AM278="","",INDEX(Setup!$E$20:$E$34,Calc!$AN278)&amp;"")</f>
        <v/>
      </c>
      <c r="K278" s="23" t="str">
        <f ca="1">IF(Calc!$AM278="","",INDEX(Setup!$F$20:$F$34,Calc!$AN278))</f>
        <v/>
      </c>
      <c r="L278" s="21" t="str">
        <f ca="1">IF(Calc!$AM278="","",SUBSTITUTE(SUBSTITUTE(SUBSTITUTE(SUBSTITUTE(INDEX(Setup!$H$20:$H$34,Calc!$AN278)&amp;"","{name}",$E278),"{years}",$G278),"{date}",TEXT($H278,"mmmm d, yyyy")),"{company}",Setup!$C$4))</f>
        <v/>
      </c>
      <c r="M278" s="21" t="str">
        <f ca="1">IF(Calc!$AM278="","",SUBSTITUTE(SUBSTITUTE(SUBSTITUTE(SUBSTITUTE(INDEX(Setup!$I$20:$I$34,Calc!$AN278)&amp;"","{name}",$E278),"{years}",$G278),"{date}",TEXT($H278,"mmmm d, yyyy")),"{company}",Setup!$C$4))</f>
        <v/>
      </c>
      <c r="N278" s="21" t="str">
        <f ca="1">IF(Calc!$AM278="","",SUBSTITUTE(SUBSTITUTE(SUBSTITUTE(SUBSTITUTE(INDEX(Setup!$J$20:$J$34,Calc!$AN278)&amp;"","{name}",$E278),"{years}",$G278),"{date}",TEXT($H278,"mmmm d, yyyy")),"{company}",Setup!$C$4))</f>
        <v/>
      </c>
      <c r="O278" s="21" t="str">
        <f ca="1">IF(Calc!$AM278="","",SUBSTITUTE(SUBSTITUTE(SUBSTITUTE(SUBSTITUTE(INDEX(Setup!$K$20:$K$34,Calc!$AN278)&amp;"","{name}",$E278),"{years}",$G278),"{date}",TEXT($H278,"mmmm d, yyyy")),"{company}",Setup!$C$4))</f>
        <v/>
      </c>
      <c r="P278" s="21" t="str">
        <f ca="1">IF(Calc!$AM278="","",SUBSTITUTE(SUBSTITUTE(TRIM(SUBSTITUTE($L278," ","~")&amp;" "&amp;SUBSTITUTE($M278," ","~")&amp;" "&amp;SUBSTITUTE($N278," ","~")&amp;" "&amp;SUBSTITUTE($O278," ","~"))," "," | "),"~"," "))</f>
        <v/>
      </c>
    </row>
    <row r="279" spans="1:16" x14ac:dyDescent="0.2">
      <c r="A279" s="19" t="str">
        <f ca="1">IF(Calc!$AM279="","",ROW()-5)</f>
        <v/>
      </c>
      <c r="B279" s="20" t="str">
        <f ca="1">IF(Calc!$AM279="","",INT(Calc!$AK279))</f>
        <v/>
      </c>
      <c r="C279" s="21" t="str">
        <f ca="1">IF(Calc!$AM279="","",IF($H279&lt;Setup!$C$5,"PAST DUE: milestone date has passed",IF($B279&lt;Setup!$C$5,"LATE: order today, ask about rush",IF($B279&lt;Setup!$C$5+14,"Order within 2 weeks","Scheduled"))))</f>
        <v/>
      </c>
      <c r="D279" s="21" t="str">
        <f ca="1">IF(Calc!$AM279="","",TEXT($B279,"mmmm yyyy"))</f>
        <v/>
      </c>
      <c r="E279" s="21" t="str">
        <f ca="1">IF(Calc!$AM279="","",INDEX(Roster!$A$6:$A$505,Calc!$AM279)&amp;"")</f>
        <v/>
      </c>
      <c r="F279" s="21" t="str">
        <f ca="1">IF(Calc!$AM279="","",INDEX(Roster!$C$6:$C$505,Calc!$AM279)&amp;"")</f>
        <v/>
      </c>
      <c r="G279" s="19" t="str">
        <f ca="1">IF(Calc!$AM279="","",INDEX(Setup!$C$20:$C$34,Calc!$AN279))</f>
        <v/>
      </c>
      <c r="H279" s="20" t="str">
        <f ca="1">IF(Calc!$AM279="","",INDEX(Calc!$B$6:$P$505,Calc!$AM279,Calc!$AN279))</f>
        <v/>
      </c>
      <c r="I279" s="21" t="str">
        <f ca="1">IF(Calc!$AM279="","",INDEX(Setup!$D$20:$D$34,Calc!$AN279)&amp;"")</f>
        <v/>
      </c>
      <c r="J279" s="21" t="str">
        <f ca="1">IF(Calc!$AM279="","",INDEX(Setup!$E$20:$E$34,Calc!$AN279)&amp;"")</f>
        <v/>
      </c>
      <c r="K279" s="23" t="str">
        <f ca="1">IF(Calc!$AM279="","",INDEX(Setup!$F$20:$F$34,Calc!$AN279))</f>
        <v/>
      </c>
      <c r="L279" s="21" t="str">
        <f ca="1">IF(Calc!$AM279="","",SUBSTITUTE(SUBSTITUTE(SUBSTITUTE(SUBSTITUTE(INDEX(Setup!$H$20:$H$34,Calc!$AN279)&amp;"","{name}",$E279),"{years}",$G279),"{date}",TEXT($H279,"mmmm d, yyyy")),"{company}",Setup!$C$4))</f>
        <v/>
      </c>
      <c r="M279" s="21" t="str">
        <f ca="1">IF(Calc!$AM279="","",SUBSTITUTE(SUBSTITUTE(SUBSTITUTE(SUBSTITUTE(INDEX(Setup!$I$20:$I$34,Calc!$AN279)&amp;"","{name}",$E279),"{years}",$G279),"{date}",TEXT($H279,"mmmm d, yyyy")),"{company}",Setup!$C$4))</f>
        <v/>
      </c>
      <c r="N279" s="21" t="str">
        <f ca="1">IF(Calc!$AM279="","",SUBSTITUTE(SUBSTITUTE(SUBSTITUTE(SUBSTITUTE(INDEX(Setup!$J$20:$J$34,Calc!$AN279)&amp;"","{name}",$E279),"{years}",$G279),"{date}",TEXT($H279,"mmmm d, yyyy")),"{company}",Setup!$C$4))</f>
        <v/>
      </c>
      <c r="O279" s="21" t="str">
        <f ca="1">IF(Calc!$AM279="","",SUBSTITUTE(SUBSTITUTE(SUBSTITUTE(SUBSTITUTE(INDEX(Setup!$K$20:$K$34,Calc!$AN279)&amp;"","{name}",$E279),"{years}",$G279),"{date}",TEXT($H279,"mmmm d, yyyy")),"{company}",Setup!$C$4))</f>
        <v/>
      </c>
      <c r="P279" s="21" t="str">
        <f ca="1">IF(Calc!$AM279="","",SUBSTITUTE(SUBSTITUTE(TRIM(SUBSTITUTE($L279," ","~")&amp;" "&amp;SUBSTITUTE($M279," ","~")&amp;" "&amp;SUBSTITUTE($N279," ","~")&amp;" "&amp;SUBSTITUTE($O279," ","~"))," "," | "),"~"," "))</f>
        <v/>
      </c>
    </row>
    <row r="280" spans="1:16" x14ac:dyDescent="0.2">
      <c r="A280" s="19" t="str">
        <f ca="1">IF(Calc!$AM280="","",ROW()-5)</f>
        <v/>
      </c>
      <c r="B280" s="20" t="str">
        <f ca="1">IF(Calc!$AM280="","",INT(Calc!$AK280))</f>
        <v/>
      </c>
      <c r="C280" s="21" t="str">
        <f ca="1">IF(Calc!$AM280="","",IF($H280&lt;Setup!$C$5,"PAST DUE: milestone date has passed",IF($B280&lt;Setup!$C$5,"LATE: order today, ask about rush",IF($B280&lt;Setup!$C$5+14,"Order within 2 weeks","Scheduled"))))</f>
        <v/>
      </c>
      <c r="D280" s="21" t="str">
        <f ca="1">IF(Calc!$AM280="","",TEXT($B280,"mmmm yyyy"))</f>
        <v/>
      </c>
      <c r="E280" s="21" t="str">
        <f ca="1">IF(Calc!$AM280="","",INDEX(Roster!$A$6:$A$505,Calc!$AM280)&amp;"")</f>
        <v/>
      </c>
      <c r="F280" s="21" t="str">
        <f ca="1">IF(Calc!$AM280="","",INDEX(Roster!$C$6:$C$505,Calc!$AM280)&amp;"")</f>
        <v/>
      </c>
      <c r="G280" s="19" t="str">
        <f ca="1">IF(Calc!$AM280="","",INDEX(Setup!$C$20:$C$34,Calc!$AN280))</f>
        <v/>
      </c>
      <c r="H280" s="20" t="str">
        <f ca="1">IF(Calc!$AM280="","",INDEX(Calc!$B$6:$P$505,Calc!$AM280,Calc!$AN280))</f>
        <v/>
      </c>
      <c r="I280" s="21" t="str">
        <f ca="1">IF(Calc!$AM280="","",INDEX(Setup!$D$20:$D$34,Calc!$AN280)&amp;"")</f>
        <v/>
      </c>
      <c r="J280" s="21" t="str">
        <f ca="1">IF(Calc!$AM280="","",INDEX(Setup!$E$20:$E$34,Calc!$AN280)&amp;"")</f>
        <v/>
      </c>
      <c r="K280" s="23" t="str">
        <f ca="1">IF(Calc!$AM280="","",INDEX(Setup!$F$20:$F$34,Calc!$AN280))</f>
        <v/>
      </c>
      <c r="L280" s="21" t="str">
        <f ca="1">IF(Calc!$AM280="","",SUBSTITUTE(SUBSTITUTE(SUBSTITUTE(SUBSTITUTE(INDEX(Setup!$H$20:$H$34,Calc!$AN280)&amp;"","{name}",$E280),"{years}",$G280),"{date}",TEXT($H280,"mmmm d, yyyy")),"{company}",Setup!$C$4))</f>
        <v/>
      </c>
      <c r="M280" s="21" t="str">
        <f ca="1">IF(Calc!$AM280="","",SUBSTITUTE(SUBSTITUTE(SUBSTITUTE(SUBSTITUTE(INDEX(Setup!$I$20:$I$34,Calc!$AN280)&amp;"","{name}",$E280),"{years}",$G280),"{date}",TEXT($H280,"mmmm d, yyyy")),"{company}",Setup!$C$4))</f>
        <v/>
      </c>
      <c r="N280" s="21" t="str">
        <f ca="1">IF(Calc!$AM280="","",SUBSTITUTE(SUBSTITUTE(SUBSTITUTE(SUBSTITUTE(INDEX(Setup!$J$20:$J$34,Calc!$AN280)&amp;"","{name}",$E280),"{years}",$G280),"{date}",TEXT($H280,"mmmm d, yyyy")),"{company}",Setup!$C$4))</f>
        <v/>
      </c>
      <c r="O280" s="21" t="str">
        <f ca="1">IF(Calc!$AM280="","",SUBSTITUTE(SUBSTITUTE(SUBSTITUTE(SUBSTITUTE(INDEX(Setup!$K$20:$K$34,Calc!$AN280)&amp;"","{name}",$E280),"{years}",$G280),"{date}",TEXT($H280,"mmmm d, yyyy")),"{company}",Setup!$C$4))</f>
        <v/>
      </c>
      <c r="P280" s="21" t="str">
        <f ca="1">IF(Calc!$AM280="","",SUBSTITUTE(SUBSTITUTE(TRIM(SUBSTITUTE($L280," ","~")&amp;" "&amp;SUBSTITUTE($M280," ","~")&amp;" "&amp;SUBSTITUTE($N280," ","~")&amp;" "&amp;SUBSTITUTE($O280," ","~"))," "," | "),"~"," "))</f>
        <v/>
      </c>
    </row>
    <row r="281" spans="1:16" x14ac:dyDescent="0.2">
      <c r="A281" s="19" t="str">
        <f ca="1">IF(Calc!$AM281="","",ROW()-5)</f>
        <v/>
      </c>
      <c r="B281" s="20" t="str">
        <f ca="1">IF(Calc!$AM281="","",INT(Calc!$AK281))</f>
        <v/>
      </c>
      <c r="C281" s="21" t="str">
        <f ca="1">IF(Calc!$AM281="","",IF($H281&lt;Setup!$C$5,"PAST DUE: milestone date has passed",IF($B281&lt;Setup!$C$5,"LATE: order today, ask about rush",IF($B281&lt;Setup!$C$5+14,"Order within 2 weeks","Scheduled"))))</f>
        <v/>
      </c>
      <c r="D281" s="21" t="str">
        <f ca="1">IF(Calc!$AM281="","",TEXT($B281,"mmmm yyyy"))</f>
        <v/>
      </c>
      <c r="E281" s="21" t="str">
        <f ca="1">IF(Calc!$AM281="","",INDEX(Roster!$A$6:$A$505,Calc!$AM281)&amp;"")</f>
        <v/>
      </c>
      <c r="F281" s="21" t="str">
        <f ca="1">IF(Calc!$AM281="","",INDEX(Roster!$C$6:$C$505,Calc!$AM281)&amp;"")</f>
        <v/>
      </c>
      <c r="G281" s="19" t="str">
        <f ca="1">IF(Calc!$AM281="","",INDEX(Setup!$C$20:$C$34,Calc!$AN281))</f>
        <v/>
      </c>
      <c r="H281" s="20" t="str">
        <f ca="1">IF(Calc!$AM281="","",INDEX(Calc!$B$6:$P$505,Calc!$AM281,Calc!$AN281))</f>
        <v/>
      </c>
      <c r="I281" s="21" t="str">
        <f ca="1">IF(Calc!$AM281="","",INDEX(Setup!$D$20:$D$34,Calc!$AN281)&amp;"")</f>
        <v/>
      </c>
      <c r="J281" s="21" t="str">
        <f ca="1">IF(Calc!$AM281="","",INDEX(Setup!$E$20:$E$34,Calc!$AN281)&amp;"")</f>
        <v/>
      </c>
      <c r="K281" s="23" t="str">
        <f ca="1">IF(Calc!$AM281="","",INDEX(Setup!$F$20:$F$34,Calc!$AN281))</f>
        <v/>
      </c>
      <c r="L281" s="21" t="str">
        <f ca="1">IF(Calc!$AM281="","",SUBSTITUTE(SUBSTITUTE(SUBSTITUTE(SUBSTITUTE(INDEX(Setup!$H$20:$H$34,Calc!$AN281)&amp;"","{name}",$E281),"{years}",$G281),"{date}",TEXT($H281,"mmmm d, yyyy")),"{company}",Setup!$C$4))</f>
        <v/>
      </c>
      <c r="M281" s="21" t="str">
        <f ca="1">IF(Calc!$AM281="","",SUBSTITUTE(SUBSTITUTE(SUBSTITUTE(SUBSTITUTE(INDEX(Setup!$I$20:$I$34,Calc!$AN281)&amp;"","{name}",$E281),"{years}",$G281),"{date}",TEXT($H281,"mmmm d, yyyy")),"{company}",Setup!$C$4))</f>
        <v/>
      </c>
      <c r="N281" s="21" t="str">
        <f ca="1">IF(Calc!$AM281="","",SUBSTITUTE(SUBSTITUTE(SUBSTITUTE(SUBSTITUTE(INDEX(Setup!$J$20:$J$34,Calc!$AN281)&amp;"","{name}",$E281),"{years}",$G281),"{date}",TEXT($H281,"mmmm d, yyyy")),"{company}",Setup!$C$4))</f>
        <v/>
      </c>
      <c r="O281" s="21" t="str">
        <f ca="1">IF(Calc!$AM281="","",SUBSTITUTE(SUBSTITUTE(SUBSTITUTE(SUBSTITUTE(INDEX(Setup!$K$20:$K$34,Calc!$AN281)&amp;"","{name}",$E281),"{years}",$G281),"{date}",TEXT($H281,"mmmm d, yyyy")),"{company}",Setup!$C$4))</f>
        <v/>
      </c>
      <c r="P281" s="21" t="str">
        <f ca="1">IF(Calc!$AM281="","",SUBSTITUTE(SUBSTITUTE(TRIM(SUBSTITUTE($L281," ","~")&amp;" "&amp;SUBSTITUTE($M281," ","~")&amp;" "&amp;SUBSTITUTE($N281," ","~")&amp;" "&amp;SUBSTITUTE($O281," ","~"))," "," | "),"~"," "))</f>
        <v/>
      </c>
    </row>
    <row r="282" spans="1:16" x14ac:dyDescent="0.2">
      <c r="A282" s="19" t="str">
        <f ca="1">IF(Calc!$AM282="","",ROW()-5)</f>
        <v/>
      </c>
      <c r="B282" s="20" t="str">
        <f ca="1">IF(Calc!$AM282="","",INT(Calc!$AK282))</f>
        <v/>
      </c>
      <c r="C282" s="21" t="str">
        <f ca="1">IF(Calc!$AM282="","",IF($H282&lt;Setup!$C$5,"PAST DUE: milestone date has passed",IF($B282&lt;Setup!$C$5,"LATE: order today, ask about rush",IF($B282&lt;Setup!$C$5+14,"Order within 2 weeks","Scheduled"))))</f>
        <v/>
      </c>
      <c r="D282" s="21" t="str">
        <f ca="1">IF(Calc!$AM282="","",TEXT($B282,"mmmm yyyy"))</f>
        <v/>
      </c>
      <c r="E282" s="21" t="str">
        <f ca="1">IF(Calc!$AM282="","",INDEX(Roster!$A$6:$A$505,Calc!$AM282)&amp;"")</f>
        <v/>
      </c>
      <c r="F282" s="21" t="str">
        <f ca="1">IF(Calc!$AM282="","",INDEX(Roster!$C$6:$C$505,Calc!$AM282)&amp;"")</f>
        <v/>
      </c>
      <c r="G282" s="19" t="str">
        <f ca="1">IF(Calc!$AM282="","",INDEX(Setup!$C$20:$C$34,Calc!$AN282))</f>
        <v/>
      </c>
      <c r="H282" s="20" t="str">
        <f ca="1">IF(Calc!$AM282="","",INDEX(Calc!$B$6:$P$505,Calc!$AM282,Calc!$AN282))</f>
        <v/>
      </c>
      <c r="I282" s="21" t="str">
        <f ca="1">IF(Calc!$AM282="","",INDEX(Setup!$D$20:$D$34,Calc!$AN282)&amp;"")</f>
        <v/>
      </c>
      <c r="J282" s="21" t="str">
        <f ca="1">IF(Calc!$AM282="","",INDEX(Setup!$E$20:$E$34,Calc!$AN282)&amp;"")</f>
        <v/>
      </c>
      <c r="K282" s="23" t="str">
        <f ca="1">IF(Calc!$AM282="","",INDEX(Setup!$F$20:$F$34,Calc!$AN282))</f>
        <v/>
      </c>
      <c r="L282" s="21" t="str">
        <f ca="1">IF(Calc!$AM282="","",SUBSTITUTE(SUBSTITUTE(SUBSTITUTE(SUBSTITUTE(INDEX(Setup!$H$20:$H$34,Calc!$AN282)&amp;"","{name}",$E282),"{years}",$G282),"{date}",TEXT($H282,"mmmm d, yyyy")),"{company}",Setup!$C$4))</f>
        <v/>
      </c>
      <c r="M282" s="21" t="str">
        <f ca="1">IF(Calc!$AM282="","",SUBSTITUTE(SUBSTITUTE(SUBSTITUTE(SUBSTITUTE(INDEX(Setup!$I$20:$I$34,Calc!$AN282)&amp;"","{name}",$E282),"{years}",$G282),"{date}",TEXT($H282,"mmmm d, yyyy")),"{company}",Setup!$C$4))</f>
        <v/>
      </c>
      <c r="N282" s="21" t="str">
        <f ca="1">IF(Calc!$AM282="","",SUBSTITUTE(SUBSTITUTE(SUBSTITUTE(SUBSTITUTE(INDEX(Setup!$J$20:$J$34,Calc!$AN282)&amp;"","{name}",$E282),"{years}",$G282),"{date}",TEXT($H282,"mmmm d, yyyy")),"{company}",Setup!$C$4))</f>
        <v/>
      </c>
      <c r="O282" s="21" t="str">
        <f ca="1">IF(Calc!$AM282="","",SUBSTITUTE(SUBSTITUTE(SUBSTITUTE(SUBSTITUTE(INDEX(Setup!$K$20:$K$34,Calc!$AN282)&amp;"","{name}",$E282),"{years}",$G282),"{date}",TEXT($H282,"mmmm d, yyyy")),"{company}",Setup!$C$4))</f>
        <v/>
      </c>
      <c r="P282" s="21" t="str">
        <f ca="1">IF(Calc!$AM282="","",SUBSTITUTE(SUBSTITUTE(TRIM(SUBSTITUTE($L282," ","~")&amp;" "&amp;SUBSTITUTE($M282," ","~")&amp;" "&amp;SUBSTITUTE($N282," ","~")&amp;" "&amp;SUBSTITUTE($O282," ","~"))," "," | "),"~"," "))</f>
        <v/>
      </c>
    </row>
    <row r="283" spans="1:16" x14ac:dyDescent="0.2">
      <c r="A283" s="19" t="str">
        <f ca="1">IF(Calc!$AM283="","",ROW()-5)</f>
        <v/>
      </c>
      <c r="B283" s="20" t="str">
        <f ca="1">IF(Calc!$AM283="","",INT(Calc!$AK283))</f>
        <v/>
      </c>
      <c r="C283" s="21" t="str">
        <f ca="1">IF(Calc!$AM283="","",IF($H283&lt;Setup!$C$5,"PAST DUE: milestone date has passed",IF($B283&lt;Setup!$C$5,"LATE: order today, ask about rush",IF($B283&lt;Setup!$C$5+14,"Order within 2 weeks","Scheduled"))))</f>
        <v/>
      </c>
      <c r="D283" s="21" t="str">
        <f ca="1">IF(Calc!$AM283="","",TEXT($B283,"mmmm yyyy"))</f>
        <v/>
      </c>
      <c r="E283" s="21" t="str">
        <f ca="1">IF(Calc!$AM283="","",INDEX(Roster!$A$6:$A$505,Calc!$AM283)&amp;"")</f>
        <v/>
      </c>
      <c r="F283" s="21" t="str">
        <f ca="1">IF(Calc!$AM283="","",INDEX(Roster!$C$6:$C$505,Calc!$AM283)&amp;"")</f>
        <v/>
      </c>
      <c r="G283" s="19" t="str">
        <f ca="1">IF(Calc!$AM283="","",INDEX(Setup!$C$20:$C$34,Calc!$AN283))</f>
        <v/>
      </c>
      <c r="H283" s="20" t="str">
        <f ca="1">IF(Calc!$AM283="","",INDEX(Calc!$B$6:$P$505,Calc!$AM283,Calc!$AN283))</f>
        <v/>
      </c>
      <c r="I283" s="21" t="str">
        <f ca="1">IF(Calc!$AM283="","",INDEX(Setup!$D$20:$D$34,Calc!$AN283)&amp;"")</f>
        <v/>
      </c>
      <c r="J283" s="21" t="str">
        <f ca="1">IF(Calc!$AM283="","",INDEX(Setup!$E$20:$E$34,Calc!$AN283)&amp;"")</f>
        <v/>
      </c>
      <c r="K283" s="23" t="str">
        <f ca="1">IF(Calc!$AM283="","",INDEX(Setup!$F$20:$F$34,Calc!$AN283))</f>
        <v/>
      </c>
      <c r="L283" s="21" t="str">
        <f ca="1">IF(Calc!$AM283="","",SUBSTITUTE(SUBSTITUTE(SUBSTITUTE(SUBSTITUTE(INDEX(Setup!$H$20:$H$34,Calc!$AN283)&amp;"","{name}",$E283),"{years}",$G283),"{date}",TEXT($H283,"mmmm d, yyyy")),"{company}",Setup!$C$4))</f>
        <v/>
      </c>
      <c r="M283" s="21" t="str">
        <f ca="1">IF(Calc!$AM283="","",SUBSTITUTE(SUBSTITUTE(SUBSTITUTE(SUBSTITUTE(INDEX(Setup!$I$20:$I$34,Calc!$AN283)&amp;"","{name}",$E283),"{years}",$G283),"{date}",TEXT($H283,"mmmm d, yyyy")),"{company}",Setup!$C$4))</f>
        <v/>
      </c>
      <c r="N283" s="21" t="str">
        <f ca="1">IF(Calc!$AM283="","",SUBSTITUTE(SUBSTITUTE(SUBSTITUTE(SUBSTITUTE(INDEX(Setup!$J$20:$J$34,Calc!$AN283)&amp;"","{name}",$E283),"{years}",$G283),"{date}",TEXT($H283,"mmmm d, yyyy")),"{company}",Setup!$C$4))</f>
        <v/>
      </c>
      <c r="O283" s="21" t="str">
        <f ca="1">IF(Calc!$AM283="","",SUBSTITUTE(SUBSTITUTE(SUBSTITUTE(SUBSTITUTE(INDEX(Setup!$K$20:$K$34,Calc!$AN283)&amp;"","{name}",$E283),"{years}",$G283),"{date}",TEXT($H283,"mmmm d, yyyy")),"{company}",Setup!$C$4))</f>
        <v/>
      </c>
      <c r="P283" s="21" t="str">
        <f ca="1">IF(Calc!$AM283="","",SUBSTITUTE(SUBSTITUTE(TRIM(SUBSTITUTE($L283," ","~")&amp;" "&amp;SUBSTITUTE($M283," ","~")&amp;" "&amp;SUBSTITUTE($N283," ","~")&amp;" "&amp;SUBSTITUTE($O283," ","~"))," "," | "),"~"," "))</f>
        <v/>
      </c>
    </row>
    <row r="284" spans="1:16" x14ac:dyDescent="0.2">
      <c r="A284" s="19" t="str">
        <f ca="1">IF(Calc!$AM284="","",ROW()-5)</f>
        <v/>
      </c>
      <c r="B284" s="20" t="str">
        <f ca="1">IF(Calc!$AM284="","",INT(Calc!$AK284))</f>
        <v/>
      </c>
      <c r="C284" s="21" t="str">
        <f ca="1">IF(Calc!$AM284="","",IF($H284&lt;Setup!$C$5,"PAST DUE: milestone date has passed",IF($B284&lt;Setup!$C$5,"LATE: order today, ask about rush",IF($B284&lt;Setup!$C$5+14,"Order within 2 weeks","Scheduled"))))</f>
        <v/>
      </c>
      <c r="D284" s="21" t="str">
        <f ca="1">IF(Calc!$AM284="","",TEXT($B284,"mmmm yyyy"))</f>
        <v/>
      </c>
      <c r="E284" s="21" t="str">
        <f ca="1">IF(Calc!$AM284="","",INDEX(Roster!$A$6:$A$505,Calc!$AM284)&amp;"")</f>
        <v/>
      </c>
      <c r="F284" s="21" t="str">
        <f ca="1">IF(Calc!$AM284="","",INDEX(Roster!$C$6:$C$505,Calc!$AM284)&amp;"")</f>
        <v/>
      </c>
      <c r="G284" s="19" t="str">
        <f ca="1">IF(Calc!$AM284="","",INDEX(Setup!$C$20:$C$34,Calc!$AN284))</f>
        <v/>
      </c>
      <c r="H284" s="20" t="str">
        <f ca="1">IF(Calc!$AM284="","",INDEX(Calc!$B$6:$P$505,Calc!$AM284,Calc!$AN284))</f>
        <v/>
      </c>
      <c r="I284" s="21" t="str">
        <f ca="1">IF(Calc!$AM284="","",INDEX(Setup!$D$20:$D$34,Calc!$AN284)&amp;"")</f>
        <v/>
      </c>
      <c r="J284" s="21" t="str">
        <f ca="1">IF(Calc!$AM284="","",INDEX(Setup!$E$20:$E$34,Calc!$AN284)&amp;"")</f>
        <v/>
      </c>
      <c r="K284" s="23" t="str">
        <f ca="1">IF(Calc!$AM284="","",INDEX(Setup!$F$20:$F$34,Calc!$AN284))</f>
        <v/>
      </c>
      <c r="L284" s="21" t="str">
        <f ca="1">IF(Calc!$AM284="","",SUBSTITUTE(SUBSTITUTE(SUBSTITUTE(SUBSTITUTE(INDEX(Setup!$H$20:$H$34,Calc!$AN284)&amp;"","{name}",$E284),"{years}",$G284),"{date}",TEXT($H284,"mmmm d, yyyy")),"{company}",Setup!$C$4))</f>
        <v/>
      </c>
      <c r="M284" s="21" t="str">
        <f ca="1">IF(Calc!$AM284="","",SUBSTITUTE(SUBSTITUTE(SUBSTITUTE(SUBSTITUTE(INDEX(Setup!$I$20:$I$34,Calc!$AN284)&amp;"","{name}",$E284),"{years}",$G284),"{date}",TEXT($H284,"mmmm d, yyyy")),"{company}",Setup!$C$4))</f>
        <v/>
      </c>
      <c r="N284" s="21" t="str">
        <f ca="1">IF(Calc!$AM284="","",SUBSTITUTE(SUBSTITUTE(SUBSTITUTE(SUBSTITUTE(INDEX(Setup!$J$20:$J$34,Calc!$AN284)&amp;"","{name}",$E284),"{years}",$G284),"{date}",TEXT($H284,"mmmm d, yyyy")),"{company}",Setup!$C$4))</f>
        <v/>
      </c>
      <c r="O284" s="21" t="str">
        <f ca="1">IF(Calc!$AM284="","",SUBSTITUTE(SUBSTITUTE(SUBSTITUTE(SUBSTITUTE(INDEX(Setup!$K$20:$K$34,Calc!$AN284)&amp;"","{name}",$E284),"{years}",$G284),"{date}",TEXT($H284,"mmmm d, yyyy")),"{company}",Setup!$C$4))</f>
        <v/>
      </c>
      <c r="P284" s="21" t="str">
        <f ca="1">IF(Calc!$AM284="","",SUBSTITUTE(SUBSTITUTE(TRIM(SUBSTITUTE($L284," ","~")&amp;" "&amp;SUBSTITUTE($M284," ","~")&amp;" "&amp;SUBSTITUTE($N284," ","~")&amp;" "&amp;SUBSTITUTE($O284," ","~"))," "," | "),"~"," "))</f>
        <v/>
      </c>
    </row>
    <row r="285" spans="1:16" x14ac:dyDescent="0.2">
      <c r="A285" s="19" t="str">
        <f ca="1">IF(Calc!$AM285="","",ROW()-5)</f>
        <v/>
      </c>
      <c r="B285" s="20" t="str">
        <f ca="1">IF(Calc!$AM285="","",INT(Calc!$AK285))</f>
        <v/>
      </c>
      <c r="C285" s="21" t="str">
        <f ca="1">IF(Calc!$AM285="","",IF($H285&lt;Setup!$C$5,"PAST DUE: milestone date has passed",IF($B285&lt;Setup!$C$5,"LATE: order today, ask about rush",IF($B285&lt;Setup!$C$5+14,"Order within 2 weeks","Scheduled"))))</f>
        <v/>
      </c>
      <c r="D285" s="21" t="str">
        <f ca="1">IF(Calc!$AM285="","",TEXT($B285,"mmmm yyyy"))</f>
        <v/>
      </c>
      <c r="E285" s="21" t="str">
        <f ca="1">IF(Calc!$AM285="","",INDEX(Roster!$A$6:$A$505,Calc!$AM285)&amp;"")</f>
        <v/>
      </c>
      <c r="F285" s="21" t="str">
        <f ca="1">IF(Calc!$AM285="","",INDEX(Roster!$C$6:$C$505,Calc!$AM285)&amp;"")</f>
        <v/>
      </c>
      <c r="G285" s="19" t="str">
        <f ca="1">IF(Calc!$AM285="","",INDEX(Setup!$C$20:$C$34,Calc!$AN285))</f>
        <v/>
      </c>
      <c r="H285" s="20" t="str">
        <f ca="1">IF(Calc!$AM285="","",INDEX(Calc!$B$6:$P$505,Calc!$AM285,Calc!$AN285))</f>
        <v/>
      </c>
      <c r="I285" s="21" t="str">
        <f ca="1">IF(Calc!$AM285="","",INDEX(Setup!$D$20:$D$34,Calc!$AN285)&amp;"")</f>
        <v/>
      </c>
      <c r="J285" s="21" t="str">
        <f ca="1">IF(Calc!$AM285="","",INDEX(Setup!$E$20:$E$34,Calc!$AN285)&amp;"")</f>
        <v/>
      </c>
      <c r="K285" s="23" t="str">
        <f ca="1">IF(Calc!$AM285="","",INDEX(Setup!$F$20:$F$34,Calc!$AN285))</f>
        <v/>
      </c>
      <c r="L285" s="21" t="str">
        <f ca="1">IF(Calc!$AM285="","",SUBSTITUTE(SUBSTITUTE(SUBSTITUTE(SUBSTITUTE(INDEX(Setup!$H$20:$H$34,Calc!$AN285)&amp;"","{name}",$E285),"{years}",$G285),"{date}",TEXT($H285,"mmmm d, yyyy")),"{company}",Setup!$C$4))</f>
        <v/>
      </c>
      <c r="M285" s="21" t="str">
        <f ca="1">IF(Calc!$AM285="","",SUBSTITUTE(SUBSTITUTE(SUBSTITUTE(SUBSTITUTE(INDEX(Setup!$I$20:$I$34,Calc!$AN285)&amp;"","{name}",$E285),"{years}",$G285),"{date}",TEXT($H285,"mmmm d, yyyy")),"{company}",Setup!$C$4))</f>
        <v/>
      </c>
      <c r="N285" s="21" t="str">
        <f ca="1">IF(Calc!$AM285="","",SUBSTITUTE(SUBSTITUTE(SUBSTITUTE(SUBSTITUTE(INDEX(Setup!$J$20:$J$34,Calc!$AN285)&amp;"","{name}",$E285),"{years}",$G285),"{date}",TEXT($H285,"mmmm d, yyyy")),"{company}",Setup!$C$4))</f>
        <v/>
      </c>
      <c r="O285" s="21" t="str">
        <f ca="1">IF(Calc!$AM285="","",SUBSTITUTE(SUBSTITUTE(SUBSTITUTE(SUBSTITUTE(INDEX(Setup!$K$20:$K$34,Calc!$AN285)&amp;"","{name}",$E285),"{years}",$G285),"{date}",TEXT($H285,"mmmm d, yyyy")),"{company}",Setup!$C$4))</f>
        <v/>
      </c>
      <c r="P285" s="21" t="str">
        <f ca="1">IF(Calc!$AM285="","",SUBSTITUTE(SUBSTITUTE(TRIM(SUBSTITUTE($L285," ","~")&amp;" "&amp;SUBSTITUTE($M285," ","~")&amp;" "&amp;SUBSTITUTE($N285," ","~")&amp;" "&amp;SUBSTITUTE($O285," ","~"))," "," | "),"~"," "))</f>
        <v/>
      </c>
    </row>
    <row r="286" spans="1:16" x14ac:dyDescent="0.2">
      <c r="A286" s="19" t="str">
        <f ca="1">IF(Calc!$AM286="","",ROW()-5)</f>
        <v/>
      </c>
      <c r="B286" s="20" t="str">
        <f ca="1">IF(Calc!$AM286="","",INT(Calc!$AK286))</f>
        <v/>
      </c>
      <c r="C286" s="21" t="str">
        <f ca="1">IF(Calc!$AM286="","",IF($H286&lt;Setup!$C$5,"PAST DUE: milestone date has passed",IF($B286&lt;Setup!$C$5,"LATE: order today, ask about rush",IF($B286&lt;Setup!$C$5+14,"Order within 2 weeks","Scheduled"))))</f>
        <v/>
      </c>
      <c r="D286" s="21" t="str">
        <f ca="1">IF(Calc!$AM286="","",TEXT($B286,"mmmm yyyy"))</f>
        <v/>
      </c>
      <c r="E286" s="21" t="str">
        <f ca="1">IF(Calc!$AM286="","",INDEX(Roster!$A$6:$A$505,Calc!$AM286)&amp;"")</f>
        <v/>
      </c>
      <c r="F286" s="21" t="str">
        <f ca="1">IF(Calc!$AM286="","",INDEX(Roster!$C$6:$C$505,Calc!$AM286)&amp;"")</f>
        <v/>
      </c>
      <c r="G286" s="19" t="str">
        <f ca="1">IF(Calc!$AM286="","",INDEX(Setup!$C$20:$C$34,Calc!$AN286))</f>
        <v/>
      </c>
      <c r="H286" s="20" t="str">
        <f ca="1">IF(Calc!$AM286="","",INDEX(Calc!$B$6:$P$505,Calc!$AM286,Calc!$AN286))</f>
        <v/>
      </c>
      <c r="I286" s="21" t="str">
        <f ca="1">IF(Calc!$AM286="","",INDEX(Setup!$D$20:$D$34,Calc!$AN286)&amp;"")</f>
        <v/>
      </c>
      <c r="J286" s="21" t="str">
        <f ca="1">IF(Calc!$AM286="","",INDEX(Setup!$E$20:$E$34,Calc!$AN286)&amp;"")</f>
        <v/>
      </c>
      <c r="K286" s="23" t="str">
        <f ca="1">IF(Calc!$AM286="","",INDEX(Setup!$F$20:$F$34,Calc!$AN286))</f>
        <v/>
      </c>
      <c r="L286" s="21" t="str">
        <f ca="1">IF(Calc!$AM286="","",SUBSTITUTE(SUBSTITUTE(SUBSTITUTE(SUBSTITUTE(INDEX(Setup!$H$20:$H$34,Calc!$AN286)&amp;"","{name}",$E286),"{years}",$G286),"{date}",TEXT($H286,"mmmm d, yyyy")),"{company}",Setup!$C$4))</f>
        <v/>
      </c>
      <c r="M286" s="21" t="str">
        <f ca="1">IF(Calc!$AM286="","",SUBSTITUTE(SUBSTITUTE(SUBSTITUTE(SUBSTITUTE(INDEX(Setup!$I$20:$I$34,Calc!$AN286)&amp;"","{name}",$E286),"{years}",$G286),"{date}",TEXT($H286,"mmmm d, yyyy")),"{company}",Setup!$C$4))</f>
        <v/>
      </c>
      <c r="N286" s="21" t="str">
        <f ca="1">IF(Calc!$AM286="","",SUBSTITUTE(SUBSTITUTE(SUBSTITUTE(SUBSTITUTE(INDEX(Setup!$J$20:$J$34,Calc!$AN286)&amp;"","{name}",$E286),"{years}",$G286),"{date}",TEXT($H286,"mmmm d, yyyy")),"{company}",Setup!$C$4))</f>
        <v/>
      </c>
      <c r="O286" s="21" t="str">
        <f ca="1">IF(Calc!$AM286="","",SUBSTITUTE(SUBSTITUTE(SUBSTITUTE(SUBSTITUTE(INDEX(Setup!$K$20:$K$34,Calc!$AN286)&amp;"","{name}",$E286),"{years}",$G286),"{date}",TEXT($H286,"mmmm d, yyyy")),"{company}",Setup!$C$4))</f>
        <v/>
      </c>
      <c r="P286" s="21" t="str">
        <f ca="1">IF(Calc!$AM286="","",SUBSTITUTE(SUBSTITUTE(TRIM(SUBSTITUTE($L286," ","~")&amp;" "&amp;SUBSTITUTE($M286," ","~")&amp;" "&amp;SUBSTITUTE($N286," ","~")&amp;" "&amp;SUBSTITUTE($O286," ","~"))," "," | "),"~"," "))</f>
        <v/>
      </c>
    </row>
    <row r="287" spans="1:16" x14ac:dyDescent="0.2">
      <c r="A287" s="19" t="str">
        <f ca="1">IF(Calc!$AM287="","",ROW()-5)</f>
        <v/>
      </c>
      <c r="B287" s="20" t="str">
        <f ca="1">IF(Calc!$AM287="","",INT(Calc!$AK287))</f>
        <v/>
      </c>
      <c r="C287" s="21" t="str">
        <f ca="1">IF(Calc!$AM287="","",IF($H287&lt;Setup!$C$5,"PAST DUE: milestone date has passed",IF($B287&lt;Setup!$C$5,"LATE: order today, ask about rush",IF($B287&lt;Setup!$C$5+14,"Order within 2 weeks","Scheduled"))))</f>
        <v/>
      </c>
      <c r="D287" s="21" t="str">
        <f ca="1">IF(Calc!$AM287="","",TEXT($B287,"mmmm yyyy"))</f>
        <v/>
      </c>
      <c r="E287" s="21" t="str">
        <f ca="1">IF(Calc!$AM287="","",INDEX(Roster!$A$6:$A$505,Calc!$AM287)&amp;"")</f>
        <v/>
      </c>
      <c r="F287" s="21" t="str">
        <f ca="1">IF(Calc!$AM287="","",INDEX(Roster!$C$6:$C$505,Calc!$AM287)&amp;"")</f>
        <v/>
      </c>
      <c r="G287" s="19" t="str">
        <f ca="1">IF(Calc!$AM287="","",INDEX(Setup!$C$20:$C$34,Calc!$AN287))</f>
        <v/>
      </c>
      <c r="H287" s="20" t="str">
        <f ca="1">IF(Calc!$AM287="","",INDEX(Calc!$B$6:$P$505,Calc!$AM287,Calc!$AN287))</f>
        <v/>
      </c>
      <c r="I287" s="21" t="str">
        <f ca="1">IF(Calc!$AM287="","",INDEX(Setup!$D$20:$D$34,Calc!$AN287)&amp;"")</f>
        <v/>
      </c>
      <c r="J287" s="21" t="str">
        <f ca="1">IF(Calc!$AM287="","",INDEX(Setup!$E$20:$E$34,Calc!$AN287)&amp;"")</f>
        <v/>
      </c>
      <c r="K287" s="23" t="str">
        <f ca="1">IF(Calc!$AM287="","",INDEX(Setup!$F$20:$F$34,Calc!$AN287))</f>
        <v/>
      </c>
      <c r="L287" s="21" t="str">
        <f ca="1">IF(Calc!$AM287="","",SUBSTITUTE(SUBSTITUTE(SUBSTITUTE(SUBSTITUTE(INDEX(Setup!$H$20:$H$34,Calc!$AN287)&amp;"","{name}",$E287),"{years}",$G287),"{date}",TEXT($H287,"mmmm d, yyyy")),"{company}",Setup!$C$4))</f>
        <v/>
      </c>
      <c r="M287" s="21" t="str">
        <f ca="1">IF(Calc!$AM287="","",SUBSTITUTE(SUBSTITUTE(SUBSTITUTE(SUBSTITUTE(INDEX(Setup!$I$20:$I$34,Calc!$AN287)&amp;"","{name}",$E287),"{years}",$G287),"{date}",TEXT($H287,"mmmm d, yyyy")),"{company}",Setup!$C$4))</f>
        <v/>
      </c>
      <c r="N287" s="21" t="str">
        <f ca="1">IF(Calc!$AM287="","",SUBSTITUTE(SUBSTITUTE(SUBSTITUTE(SUBSTITUTE(INDEX(Setup!$J$20:$J$34,Calc!$AN287)&amp;"","{name}",$E287),"{years}",$G287),"{date}",TEXT($H287,"mmmm d, yyyy")),"{company}",Setup!$C$4))</f>
        <v/>
      </c>
      <c r="O287" s="21" t="str">
        <f ca="1">IF(Calc!$AM287="","",SUBSTITUTE(SUBSTITUTE(SUBSTITUTE(SUBSTITUTE(INDEX(Setup!$K$20:$K$34,Calc!$AN287)&amp;"","{name}",$E287),"{years}",$G287),"{date}",TEXT($H287,"mmmm d, yyyy")),"{company}",Setup!$C$4))</f>
        <v/>
      </c>
      <c r="P287" s="21" t="str">
        <f ca="1">IF(Calc!$AM287="","",SUBSTITUTE(SUBSTITUTE(TRIM(SUBSTITUTE($L287," ","~")&amp;" "&amp;SUBSTITUTE($M287," ","~")&amp;" "&amp;SUBSTITUTE($N287," ","~")&amp;" "&amp;SUBSTITUTE($O287," ","~"))," "," | "),"~"," "))</f>
        <v/>
      </c>
    </row>
    <row r="288" spans="1:16" x14ac:dyDescent="0.2">
      <c r="A288" s="19" t="str">
        <f ca="1">IF(Calc!$AM288="","",ROW()-5)</f>
        <v/>
      </c>
      <c r="B288" s="20" t="str">
        <f ca="1">IF(Calc!$AM288="","",INT(Calc!$AK288))</f>
        <v/>
      </c>
      <c r="C288" s="21" t="str">
        <f ca="1">IF(Calc!$AM288="","",IF($H288&lt;Setup!$C$5,"PAST DUE: milestone date has passed",IF($B288&lt;Setup!$C$5,"LATE: order today, ask about rush",IF($B288&lt;Setup!$C$5+14,"Order within 2 weeks","Scheduled"))))</f>
        <v/>
      </c>
      <c r="D288" s="21" t="str">
        <f ca="1">IF(Calc!$AM288="","",TEXT($B288,"mmmm yyyy"))</f>
        <v/>
      </c>
      <c r="E288" s="21" t="str">
        <f ca="1">IF(Calc!$AM288="","",INDEX(Roster!$A$6:$A$505,Calc!$AM288)&amp;"")</f>
        <v/>
      </c>
      <c r="F288" s="21" t="str">
        <f ca="1">IF(Calc!$AM288="","",INDEX(Roster!$C$6:$C$505,Calc!$AM288)&amp;"")</f>
        <v/>
      </c>
      <c r="G288" s="19" t="str">
        <f ca="1">IF(Calc!$AM288="","",INDEX(Setup!$C$20:$C$34,Calc!$AN288))</f>
        <v/>
      </c>
      <c r="H288" s="20" t="str">
        <f ca="1">IF(Calc!$AM288="","",INDEX(Calc!$B$6:$P$505,Calc!$AM288,Calc!$AN288))</f>
        <v/>
      </c>
      <c r="I288" s="21" t="str">
        <f ca="1">IF(Calc!$AM288="","",INDEX(Setup!$D$20:$D$34,Calc!$AN288)&amp;"")</f>
        <v/>
      </c>
      <c r="J288" s="21" t="str">
        <f ca="1">IF(Calc!$AM288="","",INDEX(Setup!$E$20:$E$34,Calc!$AN288)&amp;"")</f>
        <v/>
      </c>
      <c r="K288" s="23" t="str">
        <f ca="1">IF(Calc!$AM288="","",INDEX(Setup!$F$20:$F$34,Calc!$AN288))</f>
        <v/>
      </c>
      <c r="L288" s="21" t="str">
        <f ca="1">IF(Calc!$AM288="","",SUBSTITUTE(SUBSTITUTE(SUBSTITUTE(SUBSTITUTE(INDEX(Setup!$H$20:$H$34,Calc!$AN288)&amp;"","{name}",$E288),"{years}",$G288),"{date}",TEXT($H288,"mmmm d, yyyy")),"{company}",Setup!$C$4))</f>
        <v/>
      </c>
      <c r="M288" s="21" t="str">
        <f ca="1">IF(Calc!$AM288="","",SUBSTITUTE(SUBSTITUTE(SUBSTITUTE(SUBSTITUTE(INDEX(Setup!$I$20:$I$34,Calc!$AN288)&amp;"","{name}",$E288),"{years}",$G288),"{date}",TEXT($H288,"mmmm d, yyyy")),"{company}",Setup!$C$4))</f>
        <v/>
      </c>
      <c r="N288" s="21" t="str">
        <f ca="1">IF(Calc!$AM288="","",SUBSTITUTE(SUBSTITUTE(SUBSTITUTE(SUBSTITUTE(INDEX(Setup!$J$20:$J$34,Calc!$AN288)&amp;"","{name}",$E288),"{years}",$G288),"{date}",TEXT($H288,"mmmm d, yyyy")),"{company}",Setup!$C$4))</f>
        <v/>
      </c>
      <c r="O288" s="21" t="str">
        <f ca="1">IF(Calc!$AM288="","",SUBSTITUTE(SUBSTITUTE(SUBSTITUTE(SUBSTITUTE(INDEX(Setup!$K$20:$K$34,Calc!$AN288)&amp;"","{name}",$E288),"{years}",$G288),"{date}",TEXT($H288,"mmmm d, yyyy")),"{company}",Setup!$C$4))</f>
        <v/>
      </c>
      <c r="P288" s="21" t="str">
        <f ca="1">IF(Calc!$AM288="","",SUBSTITUTE(SUBSTITUTE(TRIM(SUBSTITUTE($L288," ","~")&amp;" "&amp;SUBSTITUTE($M288," ","~")&amp;" "&amp;SUBSTITUTE($N288," ","~")&amp;" "&amp;SUBSTITUTE($O288," ","~"))," "," | "),"~"," "))</f>
        <v/>
      </c>
    </row>
    <row r="289" spans="1:16" x14ac:dyDescent="0.2">
      <c r="A289" s="19" t="str">
        <f ca="1">IF(Calc!$AM289="","",ROW()-5)</f>
        <v/>
      </c>
      <c r="B289" s="20" t="str">
        <f ca="1">IF(Calc!$AM289="","",INT(Calc!$AK289))</f>
        <v/>
      </c>
      <c r="C289" s="21" t="str">
        <f ca="1">IF(Calc!$AM289="","",IF($H289&lt;Setup!$C$5,"PAST DUE: milestone date has passed",IF($B289&lt;Setup!$C$5,"LATE: order today, ask about rush",IF($B289&lt;Setup!$C$5+14,"Order within 2 weeks","Scheduled"))))</f>
        <v/>
      </c>
      <c r="D289" s="21" t="str">
        <f ca="1">IF(Calc!$AM289="","",TEXT($B289,"mmmm yyyy"))</f>
        <v/>
      </c>
      <c r="E289" s="21" t="str">
        <f ca="1">IF(Calc!$AM289="","",INDEX(Roster!$A$6:$A$505,Calc!$AM289)&amp;"")</f>
        <v/>
      </c>
      <c r="F289" s="21" t="str">
        <f ca="1">IF(Calc!$AM289="","",INDEX(Roster!$C$6:$C$505,Calc!$AM289)&amp;"")</f>
        <v/>
      </c>
      <c r="G289" s="19" t="str">
        <f ca="1">IF(Calc!$AM289="","",INDEX(Setup!$C$20:$C$34,Calc!$AN289))</f>
        <v/>
      </c>
      <c r="H289" s="20" t="str">
        <f ca="1">IF(Calc!$AM289="","",INDEX(Calc!$B$6:$P$505,Calc!$AM289,Calc!$AN289))</f>
        <v/>
      </c>
      <c r="I289" s="21" t="str">
        <f ca="1">IF(Calc!$AM289="","",INDEX(Setup!$D$20:$D$34,Calc!$AN289)&amp;"")</f>
        <v/>
      </c>
      <c r="J289" s="21" t="str">
        <f ca="1">IF(Calc!$AM289="","",INDEX(Setup!$E$20:$E$34,Calc!$AN289)&amp;"")</f>
        <v/>
      </c>
      <c r="K289" s="23" t="str">
        <f ca="1">IF(Calc!$AM289="","",INDEX(Setup!$F$20:$F$34,Calc!$AN289))</f>
        <v/>
      </c>
      <c r="L289" s="21" t="str">
        <f ca="1">IF(Calc!$AM289="","",SUBSTITUTE(SUBSTITUTE(SUBSTITUTE(SUBSTITUTE(INDEX(Setup!$H$20:$H$34,Calc!$AN289)&amp;"","{name}",$E289),"{years}",$G289),"{date}",TEXT($H289,"mmmm d, yyyy")),"{company}",Setup!$C$4))</f>
        <v/>
      </c>
      <c r="M289" s="21" t="str">
        <f ca="1">IF(Calc!$AM289="","",SUBSTITUTE(SUBSTITUTE(SUBSTITUTE(SUBSTITUTE(INDEX(Setup!$I$20:$I$34,Calc!$AN289)&amp;"","{name}",$E289),"{years}",$G289),"{date}",TEXT($H289,"mmmm d, yyyy")),"{company}",Setup!$C$4))</f>
        <v/>
      </c>
      <c r="N289" s="21" t="str">
        <f ca="1">IF(Calc!$AM289="","",SUBSTITUTE(SUBSTITUTE(SUBSTITUTE(SUBSTITUTE(INDEX(Setup!$J$20:$J$34,Calc!$AN289)&amp;"","{name}",$E289),"{years}",$G289),"{date}",TEXT($H289,"mmmm d, yyyy")),"{company}",Setup!$C$4))</f>
        <v/>
      </c>
      <c r="O289" s="21" t="str">
        <f ca="1">IF(Calc!$AM289="","",SUBSTITUTE(SUBSTITUTE(SUBSTITUTE(SUBSTITUTE(INDEX(Setup!$K$20:$K$34,Calc!$AN289)&amp;"","{name}",$E289),"{years}",$G289),"{date}",TEXT($H289,"mmmm d, yyyy")),"{company}",Setup!$C$4))</f>
        <v/>
      </c>
      <c r="P289" s="21" t="str">
        <f ca="1">IF(Calc!$AM289="","",SUBSTITUTE(SUBSTITUTE(TRIM(SUBSTITUTE($L289," ","~")&amp;" "&amp;SUBSTITUTE($M289," ","~")&amp;" "&amp;SUBSTITUTE($N289," ","~")&amp;" "&amp;SUBSTITUTE($O289," ","~"))," "," | "),"~"," "))</f>
        <v/>
      </c>
    </row>
    <row r="290" spans="1:16" x14ac:dyDescent="0.2">
      <c r="A290" s="19" t="str">
        <f ca="1">IF(Calc!$AM290="","",ROW()-5)</f>
        <v/>
      </c>
      <c r="B290" s="20" t="str">
        <f ca="1">IF(Calc!$AM290="","",INT(Calc!$AK290))</f>
        <v/>
      </c>
      <c r="C290" s="21" t="str">
        <f ca="1">IF(Calc!$AM290="","",IF($H290&lt;Setup!$C$5,"PAST DUE: milestone date has passed",IF($B290&lt;Setup!$C$5,"LATE: order today, ask about rush",IF($B290&lt;Setup!$C$5+14,"Order within 2 weeks","Scheduled"))))</f>
        <v/>
      </c>
      <c r="D290" s="21" t="str">
        <f ca="1">IF(Calc!$AM290="","",TEXT($B290,"mmmm yyyy"))</f>
        <v/>
      </c>
      <c r="E290" s="21" t="str">
        <f ca="1">IF(Calc!$AM290="","",INDEX(Roster!$A$6:$A$505,Calc!$AM290)&amp;"")</f>
        <v/>
      </c>
      <c r="F290" s="21" t="str">
        <f ca="1">IF(Calc!$AM290="","",INDEX(Roster!$C$6:$C$505,Calc!$AM290)&amp;"")</f>
        <v/>
      </c>
      <c r="G290" s="19" t="str">
        <f ca="1">IF(Calc!$AM290="","",INDEX(Setup!$C$20:$C$34,Calc!$AN290))</f>
        <v/>
      </c>
      <c r="H290" s="20" t="str">
        <f ca="1">IF(Calc!$AM290="","",INDEX(Calc!$B$6:$P$505,Calc!$AM290,Calc!$AN290))</f>
        <v/>
      </c>
      <c r="I290" s="21" t="str">
        <f ca="1">IF(Calc!$AM290="","",INDEX(Setup!$D$20:$D$34,Calc!$AN290)&amp;"")</f>
        <v/>
      </c>
      <c r="J290" s="21" t="str">
        <f ca="1">IF(Calc!$AM290="","",INDEX(Setup!$E$20:$E$34,Calc!$AN290)&amp;"")</f>
        <v/>
      </c>
      <c r="K290" s="23" t="str">
        <f ca="1">IF(Calc!$AM290="","",INDEX(Setup!$F$20:$F$34,Calc!$AN290))</f>
        <v/>
      </c>
      <c r="L290" s="21" t="str">
        <f ca="1">IF(Calc!$AM290="","",SUBSTITUTE(SUBSTITUTE(SUBSTITUTE(SUBSTITUTE(INDEX(Setup!$H$20:$H$34,Calc!$AN290)&amp;"","{name}",$E290),"{years}",$G290),"{date}",TEXT($H290,"mmmm d, yyyy")),"{company}",Setup!$C$4))</f>
        <v/>
      </c>
      <c r="M290" s="21" t="str">
        <f ca="1">IF(Calc!$AM290="","",SUBSTITUTE(SUBSTITUTE(SUBSTITUTE(SUBSTITUTE(INDEX(Setup!$I$20:$I$34,Calc!$AN290)&amp;"","{name}",$E290),"{years}",$G290),"{date}",TEXT($H290,"mmmm d, yyyy")),"{company}",Setup!$C$4))</f>
        <v/>
      </c>
      <c r="N290" s="21" t="str">
        <f ca="1">IF(Calc!$AM290="","",SUBSTITUTE(SUBSTITUTE(SUBSTITUTE(SUBSTITUTE(INDEX(Setup!$J$20:$J$34,Calc!$AN290)&amp;"","{name}",$E290),"{years}",$G290),"{date}",TEXT($H290,"mmmm d, yyyy")),"{company}",Setup!$C$4))</f>
        <v/>
      </c>
      <c r="O290" s="21" t="str">
        <f ca="1">IF(Calc!$AM290="","",SUBSTITUTE(SUBSTITUTE(SUBSTITUTE(SUBSTITUTE(INDEX(Setup!$K$20:$K$34,Calc!$AN290)&amp;"","{name}",$E290),"{years}",$G290),"{date}",TEXT($H290,"mmmm d, yyyy")),"{company}",Setup!$C$4))</f>
        <v/>
      </c>
      <c r="P290" s="21" t="str">
        <f ca="1">IF(Calc!$AM290="","",SUBSTITUTE(SUBSTITUTE(TRIM(SUBSTITUTE($L290," ","~")&amp;" "&amp;SUBSTITUTE($M290," ","~")&amp;" "&amp;SUBSTITUTE($N290," ","~")&amp;" "&amp;SUBSTITUTE($O290," ","~"))," "," | "),"~"," "))</f>
        <v/>
      </c>
    </row>
    <row r="291" spans="1:16" x14ac:dyDescent="0.2">
      <c r="A291" s="19" t="str">
        <f ca="1">IF(Calc!$AM291="","",ROW()-5)</f>
        <v/>
      </c>
      <c r="B291" s="20" t="str">
        <f ca="1">IF(Calc!$AM291="","",INT(Calc!$AK291))</f>
        <v/>
      </c>
      <c r="C291" s="21" t="str">
        <f ca="1">IF(Calc!$AM291="","",IF($H291&lt;Setup!$C$5,"PAST DUE: milestone date has passed",IF($B291&lt;Setup!$C$5,"LATE: order today, ask about rush",IF($B291&lt;Setup!$C$5+14,"Order within 2 weeks","Scheduled"))))</f>
        <v/>
      </c>
      <c r="D291" s="21" t="str">
        <f ca="1">IF(Calc!$AM291="","",TEXT($B291,"mmmm yyyy"))</f>
        <v/>
      </c>
      <c r="E291" s="21" t="str">
        <f ca="1">IF(Calc!$AM291="","",INDEX(Roster!$A$6:$A$505,Calc!$AM291)&amp;"")</f>
        <v/>
      </c>
      <c r="F291" s="21" t="str">
        <f ca="1">IF(Calc!$AM291="","",INDEX(Roster!$C$6:$C$505,Calc!$AM291)&amp;"")</f>
        <v/>
      </c>
      <c r="G291" s="19" t="str">
        <f ca="1">IF(Calc!$AM291="","",INDEX(Setup!$C$20:$C$34,Calc!$AN291))</f>
        <v/>
      </c>
      <c r="H291" s="20" t="str">
        <f ca="1">IF(Calc!$AM291="","",INDEX(Calc!$B$6:$P$505,Calc!$AM291,Calc!$AN291))</f>
        <v/>
      </c>
      <c r="I291" s="21" t="str">
        <f ca="1">IF(Calc!$AM291="","",INDEX(Setup!$D$20:$D$34,Calc!$AN291)&amp;"")</f>
        <v/>
      </c>
      <c r="J291" s="21" t="str">
        <f ca="1">IF(Calc!$AM291="","",INDEX(Setup!$E$20:$E$34,Calc!$AN291)&amp;"")</f>
        <v/>
      </c>
      <c r="K291" s="23" t="str">
        <f ca="1">IF(Calc!$AM291="","",INDEX(Setup!$F$20:$F$34,Calc!$AN291))</f>
        <v/>
      </c>
      <c r="L291" s="21" t="str">
        <f ca="1">IF(Calc!$AM291="","",SUBSTITUTE(SUBSTITUTE(SUBSTITUTE(SUBSTITUTE(INDEX(Setup!$H$20:$H$34,Calc!$AN291)&amp;"","{name}",$E291),"{years}",$G291),"{date}",TEXT($H291,"mmmm d, yyyy")),"{company}",Setup!$C$4))</f>
        <v/>
      </c>
      <c r="M291" s="21" t="str">
        <f ca="1">IF(Calc!$AM291="","",SUBSTITUTE(SUBSTITUTE(SUBSTITUTE(SUBSTITUTE(INDEX(Setup!$I$20:$I$34,Calc!$AN291)&amp;"","{name}",$E291),"{years}",$G291),"{date}",TEXT($H291,"mmmm d, yyyy")),"{company}",Setup!$C$4))</f>
        <v/>
      </c>
      <c r="N291" s="21" t="str">
        <f ca="1">IF(Calc!$AM291="","",SUBSTITUTE(SUBSTITUTE(SUBSTITUTE(SUBSTITUTE(INDEX(Setup!$J$20:$J$34,Calc!$AN291)&amp;"","{name}",$E291),"{years}",$G291),"{date}",TEXT($H291,"mmmm d, yyyy")),"{company}",Setup!$C$4))</f>
        <v/>
      </c>
      <c r="O291" s="21" t="str">
        <f ca="1">IF(Calc!$AM291="","",SUBSTITUTE(SUBSTITUTE(SUBSTITUTE(SUBSTITUTE(INDEX(Setup!$K$20:$K$34,Calc!$AN291)&amp;"","{name}",$E291),"{years}",$G291),"{date}",TEXT($H291,"mmmm d, yyyy")),"{company}",Setup!$C$4))</f>
        <v/>
      </c>
      <c r="P291" s="21" t="str">
        <f ca="1">IF(Calc!$AM291="","",SUBSTITUTE(SUBSTITUTE(TRIM(SUBSTITUTE($L291," ","~")&amp;" "&amp;SUBSTITUTE($M291," ","~")&amp;" "&amp;SUBSTITUTE($N291," ","~")&amp;" "&amp;SUBSTITUTE($O291," ","~"))," "," | "),"~"," "))</f>
        <v/>
      </c>
    </row>
    <row r="292" spans="1:16" x14ac:dyDescent="0.2">
      <c r="A292" s="19" t="str">
        <f ca="1">IF(Calc!$AM292="","",ROW()-5)</f>
        <v/>
      </c>
      <c r="B292" s="20" t="str">
        <f ca="1">IF(Calc!$AM292="","",INT(Calc!$AK292))</f>
        <v/>
      </c>
      <c r="C292" s="21" t="str">
        <f ca="1">IF(Calc!$AM292="","",IF($H292&lt;Setup!$C$5,"PAST DUE: milestone date has passed",IF($B292&lt;Setup!$C$5,"LATE: order today, ask about rush",IF($B292&lt;Setup!$C$5+14,"Order within 2 weeks","Scheduled"))))</f>
        <v/>
      </c>
      <c r="D292" s="21" t="str">
        <f ca="1">IF(Calc!$AM292="","",TEXT($B292,"mmmm yyyy"))</f>
        <v/>
      </c>
      <c r="E292" s="21" t="str">
        <f ca="1">IF(Calc!$AM292="","",INDEX(Roster!$A$6:$A$505,Calc!$AM292)&amp;"")</f>
        <v/>
      </c>
      <c r="F292" s="21" t="str">
        <f ca="1">IF(Calc!$AM292="","",INDEX(Roster!$C$6:$C$505,Calc!$AM292)&amp;"")</f>
        <v/>
      </c>
      <c r="G292" s="19" t="str">
        <f ca="1">IF(Calc!$AM292="","",INDEX(Setup!$C$20:$C$34,Calc!$AN292))</f>
        <v/>
      </c>
      <c r="H292" s="20" t="str">
        <f ca="1">IF(Calc!$AM292="","",INDEX(Calc!$B$6:$P$505,Calc!$AM292,Calc!$AN292))</f>
        <v/>
      </c>
      <c r="I292" s="21" t="str">
        <f ca="1">IF(Calc!$AM292="","",INDEX(Setup!$D$20:$D$34,Calc!$AN292)&amp;"")</f>
        <v/>
      </c>
      <c r="J292" s="21" t="str">
        <f ca="1">IF(Calc!$AM292="","",INDEX(Setup!$E$20:$E$34,Calc!$AN292)&amp;"")</f>
        <v/>
      </c>
      <c r="K292" s="23" t="str">
        <f ca="1">IF(Calc!$AM292="","",INDEX(Setup!$F$20:$F$34,Calc!$AN292))</f>
        <v/>
      </c>
      <c r="L292" s="21" t="str">
        <f ca="1">IF(Calc!$AM292="","",SUBSTITUTE(SUBSTITUTE(SUBSTITUTE(SUBSTITUTE(INDEX(Setup!$H$20:$H$34,Calc!$AN292)&amp;"","{name}",$E292),"{years}",$G292),"{date}",TEXT($H292,"mmmm d, yyyy")),"{company}",Setup!$C$4))</f>
        <v/>
      </c>
      <c r="M292" s="21" t="str">
        <f ca="1">IF(Calc!$AM292="","",SUBSTITUTE(SUBSTITUTE(SUBSTITUTE(SUBSTITUTE(INDEX(Setup!$I$20:$I$34,Calc!$AN292)&amp;"","{name}",$E292),"{years}",$G292),"{date}",TEXT($H292,"mmmm d, yyyy")),"{company}",Setup!$C$4))</f>
        <v/>
      </c>
      <c r="N292" s="21" t="str">
        <f ca="1">IF(Calc!$AM292="","",SUBSTITUTE(SUBSTITUTE(SUBSTITUTE(SUBSTITUTE(INDEX(Setup!$J$20:$J$34,Calc!$AN292)&amp;"","{name}",$E292),"{years}",$G292),"{date}",TEXT($H292,"mmmm d, yyyy")),"{company}",Setup!$C$4))</f>
        <v/>
      </c>
      <c r="O292" s="21" t="str">
        <f ca="1">IF(Calc!$AM292="","",SUBSTITUTE(SUBSTITUTE(SUBSTITUTE(SUBSTITUTE(INDEX(Setup!$K$20:$K$34,Calc!$AN292)&amp;"","{name}",$E292),"{years}",$G292),"{date}",TEXT($H292,"mmmm d, yyyy")),"{company}",Setup!$C$4))</f>
        <v/>
      </c>
      <c r="P292" s="21" t="str">
        <f ca="1">IF(Calc!$AM292="","",SUBSTITUTE(SUBSTITUTE(TRIM(SUBSTITUTE($L292," ","~")&amp;" "&amp;SUBSTITUTE($M292," ","~")&amp;" "&amp;SUBSTITUTE($N292," ","~")&amp;" "&amp;SUBSTITUTE($O292," ","~"))," "," | "),"~"," "))</f>
        <v/>
      </c>
    </row>
    <row r="293" spans="1:16" x14ac:dyDescent="0.2">
      <c r="A293" s="19" t="str">
        <f ca="1">IF(Calc!$AM293="","",ROW()-5)</f>
        <v/>
      </c>
      <c r="B293" s="20" t="str">
        <f ca="1">IF(Calc!$AM293="","",INT(Calc!$AK293))</f>
        <v/>
      </c>
      <c r="C293" s="21" t="str">
        <f ca="1">IF(Calc!$AM293="","",IF($H293&lt;Setup!$C$5,"PAST DUE: milestone date has passed",IF($B293&lt;Setup!$C$5,"LATE: order today, ask about rush",IF($B293&lt;Setup!$C$5+14,"Order within 2 weeks","Scheduled"))))</f>
        <v/>
      </c>
      <c r="D293" s="21" t="str">
        <f ca="1">IF(Calc!$AM293="","",TEXT($B293,"mmmm yyyy"))</f>
        <v/>
      </c>
      <c r="E293" s="21" t="str">
        <f ca="1">IF(Calc!$AM293="","",INDEX(Roster!$A$6:$A$505,Calc!$AM293)&amp;"")</f>
        <v/>
      </c>
      <c r="F293" s="21" t="str">
        <f ca="1">IF(Calc!$AM293="","",INDEX(Roster!$C$6:$C$505,Calc!$AM293)&amp;"")</f>
        <v/>
      </c>
      <c r="G293" s="19" t="str">
        <f ca="1">IF(Calc!$AM293="","",INDEX(Setup!$C$20:$C$34,Calc!$AN293))</f>
        <v/>
      </c>
      <c r="H293" s="20" t="str">
        <f ca="1">IF(Calc!$AM293="","",INDEX(Calc!$B$6:$P$505,Calc!$AM293,Calc!$AN293))</f>
        <v/>
      </c>
      <c r="I293" s="21" t="str">
        <f ca="1">IF(Calc!$AM293="","",INDEX(Setup!$D$20:$D$34,Calc!$AN293)&amp;"")</f>
        <v/>
      </c>
      <c r="J293" s="21" t="str">
        <f ca="1">IF(Calc!$AM293="","",INDEX(Setup!$E$20:$E$34,Calc!$AN293)&amp;"")</f>
        <v/>
      </c>
      <c r="K293" s="23" t="str">
        <f ca="1">IF(Calc!$AM293="","",INDEX(Setup!$F$20:$F$34,Calc!$AN293))</f>
        <v/>
      </c>
      <c r="L293" s="21" t="str">
        <f ca="1">IF(Calc!$AM293="","",SUBSTITUTE(SUBSTITUTE(SUBSTITUTE(SUBSTITUTE(INDEX(Setup!$H$20:$H$34,Calc!$AN293)&amp;"","{name}",$E293),"{years}",$G293),"{date}",TEXT($H293,"mmmm d, yyyy")),"{company}",Setup!$C$4))</f>
        <v/>
      </c>
      <c r="M293" s="21" t="str">
        <f ca="1">IF(Calc!$AM293="","",SUBSTITUTE(SUBSTITUTE(SUBSTITUTE(SUBSTITUTE(INDEX(Setup!$I$20:$I$34,Calc!$AN293)&amp;"","{name}",$E293),"{years}",$G293),"{date}",TEXT($H293,"mmmm d, yyyy")),"{company}",Setup!$C$4))</f>
        <v/>
      </c>
      <c r="N293" s="21" t="str">
        <f ca="1">IF(Calc!$AM293="","",SUBSTITUTE(SUBSTITUTE(SUBSTITUTE(SUBSTITUTE(INDEX(Setup!$J$20:$J$34,Calc!$AN293)&amp;"","{name}",$E293),"{years}",$G293),"{date}",TEXT($H293,"mmmm d, yyyy")),"{company}",Setup!$C$4))</f>
        <v/>
      </c>
      <c r="O293" s="21" t="str">
        <f ca="1">IF(Calc!$AM293="","",SUBSTITUTE(SUBSTITUTE(SUBSTITUTE(SUBSTITUTE(INDEX(Setup!$K$20:$K$34,Calc!$AN293)&amp;"","{name}",$E293),"{years}",$G293),"{date}",TEXT($H293,"mmmm d, yyyy")),"{company}",Setup!$C$4))</f>
        <v/>
      </c>
      <c r="P293" s="21" t="str">
        <f ca="1">IF(Calc!$AM293="","",SUBSTITUTE(SUBSTITUTE(TRIM(SUBSTITUTE($L293," ","~")&amp;" "&amp;SUBSTITUTE($M293," ","~")&amp;" "&amp;SUBSTITUTE($N293," ","~")&amp;" "&amp;SUBSTITUTE($O293," ","~"))," "," | "),"~"," "))</f>
        <v/>
      </c>
    </row>
    <row r="294" spans="1:16" x14ac:dyDescent="0.2">
      <c r="A294" s="19" t="str">
        <f ca="1">IF(Calc!$AM294="","",ROW()-5)</f>
        <v/>
      </c>
      <c r="B294" s="20" t="str">
        <f ca="1">IF(Calc!$AM294="","",INT(Calc!$AK294))</f>
        <v/>
      </c>
      <c r="C294" s="21" t="str">
        <f ca="1">IF(Calc!$AM294="","",IF($H294&lt;Setup!$C$5,"PAST DUE: milestone date has passed",IF($B294&lt;Setup!$C$5,"LATE: order today, ask about rush",IF($B294&lt;Setup!$C$5+14,"Order within 2 weeks","Scheduled"))))</f>
        <v/>
      </c>
      <c r="D294" s="21" t="str">
        <f ca="1">IF(Calc!$AM294="","",TEXT($B294,"mmmm yyyy"))</f>
        <v/>
      </c>
      <c r="E294" s="21" t="str">
        <f ca="1">IF(Calc!$AM294="","",INDEX(Roster!$A$6:$A$505,Calc!$AM294)&amp;"")</f>
        <v/>
      </c>
      <c r="F294" s="21" t="str">
        <f ca="1">IF(Calc!$AM294="","",INDEX(Roster!$C$6:$C$505,Calc!$AM294)&amp;"")</f>
        <v/>
      </c>
      <c r="G294" s="19" t="str">
        <f ca="1">IF(Calc!$AM294="","",INDEX(Setup!$C$20:$C$34,Calc!$AN294))</f>
        <v/>
      </c>
      <c r="H294" s="20" t="str">
        <f ca="1">IF(Calc!$AM294="","",INDEX(Calc!$B$6:$P$505,Calc!$AM294,Calc!$AN294))</f>
        <v/>
      </c>
      <c r="I294" s="21" t="str">
        <f ca="1">IF(Calc!$AM294="","",INDEX(Setup!$D$20:$D$34,Calc!$AN294)&amp;"")</f>
        <v/>
      </c>
      <c r="J294" s="21" t="str">
        <f ca="1">IF(Calc!$AM294="","",INDEX(Setup!$E$20:$E$34,Calc!$AN294)&amp;"")</f>
        <v/>
      </c>
      <c r="K294" s="23" t="str">
        <f ca="1">IF(Calc!$AM294="","",INDEX(Setup!$F$20:$F$34,Calc!$AN294))</f>
        <v/>
      </c>
      <c r="L294" s="21" t="str">
        <f ca="1">IF(Calc!$AM294="","",SUBSTITUTE(SUBSTITUTE(SUBSTITUTE(SUBSTITUTE(INDEX(Setup!$H$20:$H$34,Calc!$AN294)&amp;"","{name}",$E294),"{years}",$G294),"{date}",TEXT($H294,"mmmm d, yyyy")),"{company}",Setup!$C$4))</f>
        <v/>
      </c>
      <c r="M294" s="21" t="str">
        <f ca="1">IF(Calc!$AM294="","",SUBSTITUTE(SUBSTITUTE(SUBSTITUTE(SUBSTITUTE(INDEX(Setup!$I$20:$I$34,Calc!$AN294)&amp;"","{name}",$E294),"{years}",$G294),"{date}",TEXT($H294,"mmmm d, yyyy")),"{company}",Setup!$C$4))</f>
        <v/>
      </c>
      <c r="N294" s="21" t="str">
        <f ca="1">IF(Calc!$AM294="","",SUBSTITUTE(SUBSTITUTE(SUBSTITUTE(SUBSTITUTE(INDEX(Setup!$J$20:$J$34,Calc!$AN294)&amp;"","{name}",$E294),"{years}",$G294),"{date}",TEXT($H294,"mmmm d, yyyy")),"{company}",Setup!$C$4))</f>
        <v/>
      </c>
      <c r="O294" s="21" t="str">
        <f ca="1">IF(Calc!$AM294="","",SUBSTITUTE(SUBSTITUTE(SUBSTITUTE(SUBSTITUTE(INDEX(Setup!$K$20:$K$34,Calc!$AN294)&amp;"","{name}",$E294),"{years}",$G294),"{date}",TEXT($H294,"mmmm d, yyyy")),"{company}",Setup!$C$4))</f>
        <v/>
      </c>
      <c r="P294" s="21" t="str">
        <f ca="1">IF(Calc!$AM294="","",SUBSTITUTE(SUBSTITUTE(TRIM(SUBSTITUTE($L294," ","~")&amp;" "&amp;SUBSTITUTE($M294," ","~")&amp;" "&amp;SUBSTITUTE($N294," ","~")&amp;" "&amp;SUBSTITUTE($O294," ","~"))," "," | "),"~"," "))</f>
        <v/>
      </c>
    </row>
    <row r="295" spans="1:16" x14ac:dyDescent="0.2">
      <c r="A295" s="19" t="str">
        <f ca="1">IF(Calc!$AM295="","",ROW()-5)</f>
        <v/>
      </c>
      <c r="B295" s="20" t="str">
        <f ca="1">IF(Calc!$AM295="","",INT(Calc!$AK295))</f>
        <v/>
      </c>
      <c r="C295" s="21" t="str">
        <f ca="1">IF(Calc!$AM295="","",IF($H295&lt;Setup!$C$5,"PAST DUE: milestone date has passed",IF($B295&lt;Setup!$C$5,"LATE: order today, ask about rush",IF($B295&lt;Setup!$C$5+14,"Order within 2 weeks","Scheduled"))))</f>
        <v/>
      </c>
      <c r="D295" s="21" t="str">
        <f ca="1">IF(Calc!$AM295="","",TEXT($B295,"mmmm yyyy"))</f>
        <v/>
      </c>
      <c r="E295" s="21" t="str">
        <f ca="1">IF(Calc!$AM295="","",INDEX(Roster!$A$6:$A$505,Calc!$AM295)&amp;"")</f>
        <v/>
      </c>
      <c r="F295" s="21" t="str">
        <f ca="1">IF(Calc!$AM295="","",INDEX(Roster!$C$6:$C$505,Calc!$AM295)&amp;"")</f>
        <v/>
      </c>
      <c r="G295" s="19" t="str">
        <f ca="1">IF(Calc!$AM295="","",INDEX(Setup!$C$20:$C$34,Calc!$AN295))</f>
        <v/>
      </c>
      <c r="H295" s="20" t="str">
        <f ca="1">IF(Calc!$AM295="","",INDEX(Calc!$B$6:$P$505,Calc!$AM295,Calc!$AN295))</f>
        <v/>
      </c>
      <c r="I295" s="21" t="str">
        <f ca="1">IF(Calc!$AM295="","",INDEX(Setup!$D$20:$D$34,Calc!$AN295)&amp;"")</f>
        <v/>
      </c>
      <c r="J295" s="21" t="str">
        <f ca="1">IF(Calc!$AM295="","",INDEX(Setup!$E$20:$E$34,Calc!$AN295)&amp;"")</f>
        <v/>
      </c>
      <c r="K295" s="23" t="str">
        <f ca="1">IF(Calc!$AM295="","",INDEX(Setup!$F$20:$F$34,Calc!$AN295))</f>
        <v/>
      </c>
      <c r="L295" s="21" t="str">
        <f ca="1">IF(Calc!$AM295="","",SUBSTITUTE(SUBSTITUTE(SUBSTITUTE(SUBSTITUTE(INDEX(Setup!$H$20:$H$34,Calc!$AN295)&amp;"","{name}",$E295),"{years}",$G295),"{date}",TEXT($H295,"mmmm d, yyyy")),"{company}",Setup!$C$4))</f>
        <v/>
      </c>
      <c r="M295" s="21" t="str">
        <f ca="1">IF(Calc!$AM295="","",SUBSTITUTE(SUBSTITUTE(SUBSTITUTE(SUBSTITUTE(INDEX(Setup!$I$20:$I$34,Calc!$AN295)&amp;"","{name}",$E295),"{years}",$G295),"{date}",TEXT($H295,"mmmm d, yyyy")),"{company}",Setup!$C$4))</f>
        <v/>
      </c>
      <c r="N295" s="21" t="str">
        <f ca="1">IF(Calc!$AM295="","",SUBSTITUTE(SUBSTITUTE(SUBSTITUTE(SUBSTITUTE(INDEX(Setup!$J$20:$J$34,Calc!$AN295)&amp;"","{name}",$E295),"{years}",$G295),"{date}",TEXT($H295,"mmmm d, yyyy")),"{company}",Setup!$C$4))</f>
        <v/>
      </c>
      <c r="O295" s="21" t="str">
        <f ca="1">IF(Calc!$AM295="","",SUBSTITUTE(SUBSTITUTE(SUBSTITUTE(SUBSTITUTE(INDEX(Setup!$K$20:$K$34,Calc!$AN295)&amp;"","{name}",$E295),"{years}",$G295),"{date}",TEXT($H295,"mmmm d, yyyy")),"{company}",Setup!$C$4))</f>
        <v/>
      </c>
      <c r="P295" s="21" t="str">
        <f ca="1">IF(Calc!$AM295="","",SUBSTITUTE(SUBSTITUTE(TRIM(SUBSTITUTE($L295," ","~")&amp;" "&amp;SUBSTITUTE($M295," ","~")&amp;" "&amp;SUBSTITUTE($N295," ","~")&amp;" "&amp;SUBSTITUTE($O295," ","~"))," "," | "),"~"," "))</f>
        <v/>
      </c>
    </row>
    <row r="296" spans="1:16" x14ac:dyDescent="0.2">
      <c r="A296" s="19" t="str">
        <f ca="1">IF(Calc!$AM296="","",ROW()-5)</f>
        <v/>
      </c>
      <c r="B296" s="20" t="str">
        <f ca="1">IF(Calc!$AM296="","",INT(Calc!$AK296))</f>
        <v/>
      </c>
      <c r="C296" s="21" t="str">
        <f ca="1">IF(Calc!$AM296="","",IF($H296&lt;Setup!$C$5,"PAST DUE: milestone date has passed",IF($B296&lt;Setup!$C$5,"LATE: order today, ask about rush",IF($B296&lt;Setup!$C$5+14,"Order within 2 weeks","Scheduled"))))</f>
        <v/>
      </c>
      <c r="D296" s="21" t="str">
        <f ca="1">IF(Calc!$AM296="","",TEXT($B296,"mmmm yyyy"))</f>
        <v/>
      </c>
      <c r="E296" s="21" t="str">
        <f ca="1">IF(Calc!$AM296="","",INDEX(Roster!$A$6:$A$505,Calc!$AM296)&amp;"")</f>
        <v/>
      </c>
      <c r="F296" s="21" t="str">
        <f ca="1">IF(Calc!$AM296="","",INDEX(Roster!$C$6:$C$505,Calc!$AM296)&amp;"")</f>
        <v/>
      </c>
      <c r="G296" s="19" t="str">
        <f ca="1">IF(Calc!$AM296="","",INDEX(Setup!$C$20:$C$34,Calc!$AN296))</f>
        <v/>
      </c>
      <c r="H296" s="20" t="str">
        <f ca="1">IF(Calc!$AM296="","",INDEX(Calc!$B$6:$P$505,Calc!$AM296,Calc!$AN296))</f>
        <v/>
      </c>
      <c r="I296" s="21" t="str">
        <f ca="1">IF(Calc!$AM296="","",INDEX(Setup!$D$20:$D$34,Calc!$AN296)&amp;"")</f>
        <v/>
      </c>
      <c r="J296" s="21" t="str">
        <f ca="1">IF(Calc!$AM296="","",INDEX(Setup!$E$20:$E$34,Calc!$AN296)&amp;"")</f>
        <v/>
      </c>
      <c r="K296" s="23" t="str">
        <f ca="1">IF(Calc!$AM296="","",INDEX(Setup!$F$20:$F$34,Calc!$AN296))</f>
        <v/>
      </c>
      <c r="L296" s="21" t="str">
        <f ca="1">IF(Calc!$AM296="","",SUBSTITUTE(SUBSTITUTE(SUBSTITUTE(SUBSTITUTE(INDEX(Setup!$H$20:$H$34,Calc!$AN296)&amp;"","{name}",$E296),"{years}",$G296),"{date}",TEXT($H296,"mmmm d, yyyy")),"{company}",Setup!$C$4))</f>
        <v/>
      </c>
      <c r="M296" s="21" t="str">
        <f ca="1">IF(Calc!$AM296="","",SUBSTITUTE(SUBSTITUTE(SUBSTITUTE(SUBSTITUTE(INDEX(Setup!$I$20:$I$34,Calc!$AN296)&amp;"","{name}",$E296),"{years}",$G296),"{date}",TEXT($H296,"mmmm d, yyyy")),"{company}",Setup!$C$4))</f>
        <v/>
      </c>
      <c r="N296" s="21" t="str">
        <f ca="1">IF(Calc!$AM296="","",SUBSTITUTE(SUBSTITUTE(SUBSTITUTE(SUBSTITUTE(INDEX(Setup!$J$20:$J$34,Calc!$AN296)&amp;"","{name}",$E296),"{years}",$G296),"{date}",TEXT($H296,"mmmm d, yyyy")),"{company}",Setup!$C$4))</f>
        <v/>
      </c>
      <c r="O296" s="21" t="str">
        <f ca="1">IF(Calc!$AM296="","",SUBSTITUTE(SUBSTITUTE(SUBSTITUTE(SUBSTITUTE(INDEX(Setup!$K$20:$K$34,Calc!$AN296)&amp;"","{name}",$E296),"{years}",$G296),"{date}",TEXT($H296,"mmmm d, yyyy")),"{company}",Setup!$C$4))</f>
        <v/>
      </c>
      <c r="P296" s="21" t="str">
        <f ca="1">IF(Calc!$AM296="","",SUBSTITUTE(SUBSTITUTE(TRIM(SUBSTITUTE($L296," ","~")&amp;" "&amp;SUBSTITUTE($M296," ","~")&amp;" "&amp;SUBSTITUTE($N296," ","~")&amp;" "&amp;SUBSTITUTE($O296," ","~"))," "," | "),"~"," "))</f>
        <v/>
      </c>
    </row>
    <row r="297" spans="1:16" x14ac:dyDescent="0.2">
      <c r="A297" s="19" t="str">
        <f ca="1">IF(Calc!$AM297="","",ROW()-5)</f>
        <v/>
      </c>
      <c r="B297" s="20" t="str">
        <f ca="1">IF(Calc!$AM297="","",INT(Calc!$AK297))</f>
        <v/>
      </c>
      <c r="C297" s="21" t="str">
        <f ca="1">IF(Calc!$AM297="","",IF($H297&lt;Setup!$C$5,"PAST DUE: milestone date has passed",IF($B297&lt;Setup!$C$5,"LATE: order today, ask about rush",IF($B297&lt;Setup!$C$5+14,"Order within 2 weeks","Scheduled"))))</f>
        <v/>
      </c>
      <c r="D297" s="21" t="str">
        <f ca="1">IF(Calc!$AM297="","",TEXT($B297,"mmmm yyyy"))</f>
        <v/>
      </c>
      <c r="E297" s="21" t="str">
        <f ca="1">IF(Calc!$AM297="","",INDEX(Roster!$A$6:$A$505,Calc!$AM297)&amp;"")</f>
        <v/>
      </c>
      <c r="F297" s="21" t="str">
        <f ca="1">IF(Calc!$AM297="","",INDEX(Roster!$C$6:$C$505,Calc!$AM297)&amp;"")</f>
        <v/>
      </c>
      <c r="G297" s="19" t="str">
        <f ca="1">IF(Calc!$AM297="","",INDEX(Setup!$C$20:$C$34,Calc!$AN297))</f>
        <v/>
      </c>
      <c r="H297" s="20" t="str">
        <f ca="1">IF(Calc!$AM297="","",INDEX(Calc!$B$6:$P$505,Calc!$AM297,Calc!$AN297))</f>
        <v/>
      </c>
      <c r="I297" s="21" t="str">
        <f ca="1">IF(Calc!$AM297="","",INDEX(Setup!$D$20:$D$34,Calc!$AN297)&amp;"")</f>
        <v/>
      </c>
      <c r="J297" s="21" t="str">
        <f ca="1">IF(Calc!$AM297="","",INDEX(Setup!$E$20:$E$34,Calc!$AN297)&amp;"")</f>
        <v/>
      </c>
      <c r="K297" s="23" t="str">
        <f ca="1">IF(Calc!$AM297="","",INDEX(Setup!$F$20:$F$34,Calc!$AN297))</f>
        <v/>
      </c>
      <c r="L297" s="21" t="str">
        <f ca="1">IF(Calc!$AM297="","",SUBSTITUTE(SUBSTITUTE(SUBSTITUTE(SUBSTITUTE(INDEX(Setup!$H$20:$H$34,Calc!$AN297)&amp;"","{name}",$E297),"{years}",$G297),"{date}",TEXT($H297,"mmmm d, yyyy")),"{company}",Setup!$C$4))</f>
        <v/>
      </c>
      <c r="M297" s="21" t="str">
        <f ca="1">IF(Calc!$AM297="","",SUBSTITUTE(SUBSTITUTE(SUBSTITUTE(SUBSTITUTE(INDEX(Setup!$I$20:$I$34,Calc!$AN297)&amp;"","{name}",$E297),"{years}",$G297),"{date}",TEXT($H297,"mmmm d, yyyy")),"{company}",Setup!$C$4))</f>
        <v/>
      </c>
      <c r="N297" s="21" t="str">
        <f ca="1">IF(Calc!$AM297="","",SUBSTITUTE(SUBSTITUTE(SUBSTITUTE(SUBSTITUTE(INDEX(Setup!$J$20:$J$34,Calc!$AN297)&amp;"","{name}",$E297),"{years}",$G297),"{date}",TEXT($H297,"mmmm d, yyyy")),"{company}",Setup!$C$4))</f>
        <v/>
      </c>
      <c r="O297" s="21" t="str">
        <f ca="1">IF(Calc!$AM297="","",SUBSTITUTE(SUBSTITUTE(SUBSTITUTE(SUBSTITUTE(INDEX(Setup!$K$20:$K$34,Calc!$AN297)&amp;"","{name}",$E297),"{years}",$G297),"{date}",TEXT($H297,"mmmm d, yyyy")),"{company}",Setup!$C$4))</f>
        <v/>
      </c>
      <c r="P297" s="21" t="str">
        <f ca="1">IF(Calc!$AM297="","",SUBSTITUTE(SUBSTITUTE(TRIM(SUBSTITUTE($L297," ","~")&amp;" "&amp;SUBSTITUTE($M297," ","~")&amp;" "&amp;SUBSTITUTE($N297," ","~")&amp;" "&amp;SUBSTITUTE($O297," ","~"))," "," | "),"~"," "))</f>
        <v/>
      </c>
    </row>
    <row r="298" spans="1:16" x14ac:dyDescent="0.2">
      <c r="A298" s="19" t="str">
        <f ca="1">IF(Calc!$AM298="","",ROW()-5)</f>
        <v/>
      </c>
      <c r="B298" s="20" t="str">
        <f ca="1">IF(Calc!$AM298="","",INT(Calc!$AK298))</f>
        <v/>
      </c>
      <c r="C298" s="21" t="str">
        <f ca="1">IF(Calc!$AM298="","",IF($H298&lt;Setup!$C$5,"PAST DUE: milestone date has passed",IF($B298&lt;Setup!$C$5,"LATE: order today, ask about rush",IF($B298&lt;Setup!$C$5+14,"Order within 2 weeks","Scheduled"))))</f>
        <v/>
      </c>
      <c r="D298" s="21" t="str">
        <f ca="1">IF(Calc!$AM298="","",TEXT($B298,"mmmm yyyy"))</f>
        <v/>
      </c>
      <c r="E298" s="21" t="str">
        <f ca="1">IF(Calc!$AM298="","",INDEX(Roster!$A$6:$A$505,Calc!$AM298)&amp;"")</f>
        <v/>
      </c>
      <c r="F298" s="21" t="str">
        <f ca="1">IF(Calc!$AM298="","",INDEX(Roster!$C$6:$C$505,Calc!$AM298)&amp;"")</f>
        <v/>
      </c>
      <c r="G298" s="19" t="str">
        <f ca="1">IF(Calc!$AM298="","",INDEX(Setup!$C$20:$C$34,Calc!$AN298))</f>
        <v/>
      </c>
      <c r="H298" s="20" t="str">
        <f ca="1">IF(Calc!$AM298="","",INDEX(Calc!$B$6:$P$505,Calc!$AM298,Calc!$AN298))</f>
        <v/>
      </c>
      <c r="I298" s="21" t="str">
        <f ca="1">IF(Calc!$AM298="","",INDEX(Setup!$D$20:$D$34,Calc!$AN298)&amp;"")</f>
        <v/>
      </c>
      <c r="J298" s="21" t="str">
        <f ca="1">IF(Calc!$AM298="","",INDEX(Setup!$E$20:$E$34,Calc!$AN298)&amp;"")</f>
        <v/>
      </c>
      <c r="K298" s="23" t="str">
        <f ca="1">IF(Calc!$AM298="","",INDEX(Setup!$F$20:$F$34,Calc!$AN298))</f>
        <v/>
      </c>
      <c r="L298" s="21" t="str">
        <f ca="1">IF(Calc!$AM298="","",SUBSTITUTE(SUBSTITUTE(SUBSTITUTE(SUBSTITUTE(INDEX(Setup!$H$20:$H$34,Calc!$AN298)&amp;"","{name}",$E298),"{years}",$G298),"{date}",TEXT($H298,"mmmm d, yyyy")),"{company}",Setup!$C$4))</f>
        <v/>
      </c>
      <c r="M298" s="21" t="str">
        <f ca="1">IF(Calc!$AM298="","",SUBSTITUTE(SUBSTITUTE(SUBSTITUTE(SUBSTITUTE(INDEX(Setup!$I$20:$I$34,Calc!$AN298)&amp;"","{name}",$E298),"{years}",$G298),"{date}",TEXT($H298,"mmmm d, yyyy")),"{company}",Setup!$C$4))</f>
        <v/>
      </c>
      <c r="N298" s="21" t="str">
        <f ca="1">IF(Calc!$AM298="","",SUBSTITUTE(SUBSTITUTE(SUBSTITUTE(SUBSTITUTE(INDEX(Setup!$J$20:$J$34,Calc!$AN298)&amp;"","{name}",$E298),"{years}",$G298),"{date}",TEXT($H298,"mmmm d, yyyy")),"{company}",Setup!$C$4))</f>
        <v/>
      </c>
      <c r="O298" s="21" t="str">
        <f ca="1">IF(Calc!$AM298="","",SUBSTITUTE(SUBSTITUTE(SUBSTITUTE(SUBSTITUTE(INDEX(Setup!$K$20:$K$34,Calc!$AN298)&amp;"","{name}",$E298),"{years}",$G298),"{date}",TEXT($H298,"mmmm d, yyyy")),"{company}",Setup!$C$4))</f>
        <v/>
      </c>
      <c r="P298" s="21" t="str">
        <f ca="1">IF(Calc!$AM298="","",SUBSTITUTE(SUBSTITUTE(TRIM(SUBSTITUTE($L298," ","~")&amp;" "&amp;SUBSTITUTE($M298," ","~")&amp;" "&amp;SUBSTITUTE($N298," ","~")&amp;" "&amp;SUBSTITUTE($O298," ","~"))," "," | "),"~"," "))</f>
        <v/>
      </c>
    </row>
    <row r="299" spans="1:16" x14ac:dyDescent="0.2">
      <c r="A299" s="19" t="str">
        <f ca="1">IF(Calc!$AM299="","",ROW()-5)</f>
        <v/>
      </c>
      <c r="B299" s="20" t="str">
        <f ca="1">IF(Calc!$AM299="","",INT(Calc!$AK299))</f>
        <v/>
      </c>
      <c r="C299" s="21" t="str">
        <f ca="1">IF(Calc!$AM299="","",IF($H299&lt;Setup!$C$5,"PAST DUE: milestone date has passed",IF($B299&lt;Setup!$C$5,"LATE: order today, ask about rush",IF($B299&lt;Setup!$C$5+14,"Order within 2 weeks","Scheduled"))))</f>
        <v/>
      </c>
      <c r="D299" s="21" t="str">
        <f ca="1">IF(Calc!$AM299="","",TEXT($B299,"mmmm yyyy"))</f>
        <v/>
      </c>
      <c r="E299" s="21" t="str">
        <f ca="1">IF(Calc!$AM299="","",INDEX(Roster!$A$6:$A$505,Calc!$AM299)&amp;"")</f>
        <v/>
      </c>
      <c r="F299" s="21" t="str">
        <f ca="1">IF(Calc!$AM299="","",INDEX(Roster!$C$6:$C$505,Calc!$AM299)&amp;"")</f>
        <v/>
      </c>
      <c r="G299" s="19" t="str">
        <f ca="1">IF(Calc!$AM299="","",INDEX(Setup!$C$20:$C$34,Calc!$AN299))</f>
        <v/>
      </c>
      <c r="H299" s="20" t="str">
        <f ca="1">IF(Calc!$AM299="","",INDEX(Calc!$B$6:$P$505,Calc!$AM299,Calc!$AN299))</f>
        <v/>
      </c>
      <c r="I299" s="21" t="str">
        <f ca="1">IF(Calc!$AM299="","",INDEX(Setup!$D$20:$D$34,Calc!$AN299)&amp;"")</f>
        <v/>
      </c>
      <c r="J299" s="21" t="str">
        <f ca="1">IF(Calc!$AM299="","",INDEX(Setup!$E$20:$E$34,Calc!$AN299)&amp;"")</f>
        <v/>
      </c>
      <c r="K299" s="23" t="str">
        <f ca="1">IF(Calc!$AM299="","",INDEX(Setup!$F$20:$F$34,Calc!$AN299))</f>
        <v/>
      </c>
      <c r="L299" s="21" t="str">
        <f ca="1">IF(Calc!$AM299="","",SUBSTITUTE(SUBSTITUTE(SUBSTITUTE(SUBSTITUTE(INDEX(Setup!$H$20:$H$34,Calc!$AN299)&amp;"","{name}",$E299),"{years}",$G299),"{date}",TEXT($H299,"mmmm d, yyyy")),"{company}",Setup!$C$4))</f>
        <v/>
      </c>
      <c r="M299" s="21" t="str">
        <f ca="1">IF(Calc!$AM299="","",SUBSTITUTE(SUBSTITUTE(SUBSTITUTE(SUBSTITUTE(INDEX(Setup!$I$20:$I$34,Calc!$AN299)&amp;"","{name}",$E299),"{years}",$G299),"{date}",TEXT($H299,"mmmm d, yyyy")),"{company}",Setup!$C$4))</f>
        <v/>
      </c>
      <c r="N299" s="21" t="str">
        <f ca="1">IF(Calc!$AM299="","",SUBSTITUTE(SUBSTITUTE(SUBSTITUTE(SUBSTITUTE(INDEX(Setup!$J$20:$J$34,Calc!$AN299)&amp;"","{name}",$E299),"{years}",$G299),"{date}",TEXT($H299,"mmmm d, yyyy")),"{company}",Setup!$C$4))</f>
        <v/>
      </c>
      <c r="O299" s="21" t="str">
        <f ca="1">IF(Calc!$AM299="","",SUBSTITUTE(SUBSTITUTE(SUBSTITUTE(SUBSTITUTE(INDEX(Setup!$K$20:$K$34,Calc!$AN299)&amp;"","{name}",$E299),"{years}",$G299),"{date}",TEXT($H299,"mmmm d, yyyy")),"{company}",Setup!$C$4))</f>
        <v/>
      </c>
      <c r="P299" s="21" t="str">
        <f ca="1">IF(Calc!$AM299="","",SUBSTITUTE(SUBSTITUTE(TRIM(SUBSTITUTE($L299," ","~")&amp;" "&amp;SUBSTITUTE($M299," ","~")&amp;" "&amp;SUBSTITUTE($N299," ","~")&amp;" "&amp;SUBSTITUTE($O299," ","~"))," "," | "),"~"," "))</f>
        <v/>
      </c>
    </row>
    <row r="300" spans="1:16" x14ac:dyDescent="0.2">
      <c r="A300" s="19" t="str">
        <f ca="1">IF(Calc!$AM300="","",ROW()-5)</f>
        <v/>
      </c>
      <c r="B300" s="20" t="str">
        <f ca="1">IF(Calc!$AM300="","",INT(Calc!$AK300))</f>
        <v/>
      </c>
      <c r="C300" s="21" t="str">
        <f ca="1">IF(Calc!$AM300="","",IF($H300&lt;Setup!$C$5,"PAST DUE: milestone date has passed",IF($B300&lt;Setup!$C$5,"LATE: order today, ask about rush",IF($B300&lt;Setup!$C$5+14,"Order within 2 weeks","Scheduled"))))</f>
        <v/>
      </c>
      <c r="D300" s="21" t="str">
        <f ca="1">IF(Calc!$AM300="","",TEXT($B300,"mmmm yyyy"))</f>
        <v/>
      </c>
      <c r="E300" s="21" t="str">
        <f ca="1">IF(Calc!$AM300="","",INDEX(Roster!$A$6:$A$505,Calc!$AM300)&amp;"")</f>
        <v/>
      </c>
      <c r="F300" s="21" t="str">
        <f ca="1">IF(Calc!$AM300="","",INDEX(Roster!$C$6:$C$505,Calc!$AM300)&amp;"")</f>
        <v/>
      </c>
      <c r="G300" s="19" t="str">
        <f ca="1">IF(Calc!$AM300="","",INDEX(Setup!$C$20:$C$34,Calc!$AN300))</f>
        <v/>
      </c>
      <c r="H300" s="20" t="str">
        <f ca="1">IF(Calc!$AM300="","",INDEX(Calc!$B$6:$P$505,Calc!$AM300,Calc!$AN300))</f>
        <v/>
      </c>
      <c r="I300" s="21" t="str">
        <f ca="1">IF(Calc!$AM300="","",INDEX(Setup!$D$20:$D$34,Calc!$AN300)&amp;"")</f>
        <v/>
      </c>
      <c r="J300" s="21" t="str">
        <f ca="1">IF(Calc!$AM300="","",INDEX(Setup!$E$20:$E$34,Calc!$AN300)&amp;"")</f>
        <v/>
      </c>
      <c r="K300" s="23" t="str">
        <f ca="1">IF(Calc!$AM300="","",INDEX(Setup!$F$20:$F$34,Calc!$AN300))</f>
        <v/>
      </c>
      <c r="L300" s="21" t="str">
        <f ca="1">IF(Calc!$AM300="","",SUBSTITUTE(SUBSTITUTE(SUBSTITUTE(SUBSTITUTE(INDEX(Setup!$H$20:$H$34,Calc!$AN300)&amp;"","{name}",$E300),"{years}",$G300),"{date}",TEXT($H300,"mmmm d, yyyy")),"{company}",Setup!$C$4))</f>
        <v/>
      </c>
      <c r="M300" s="21" t="str">
        <f ca="1">IF(Calc!$AM300="","",SUBSTITUTE(SUBSTITUTE(SUBSTITUTE(SUBSTITUTE(INDEX(Setup!$I$20:$I$34,Calc!$AN300)&amp;"","{name}",$E300),"{years}",$G300),"{date}",TEXT($H300,"mmmm d, yyyy")),"{company}",Setup!$C$4))</f>
        <v/>
      </c>
      <c r="N300" s="21" t="str">
        <f ca="1">IF(Calc!$AM300="","",SUBSTITUTE(SUBSTITUTE(SUBSTITUTE(SUBSTITUTE(INDEX(Setup!$J$20:$J$34,Calc!$AN300)&amp;"","{name}",$E300),"{years}",$G300),"{date}",TEXT($H300,"mmmm d, yyyy")),"{company}",Setup!$C$4))</f>
        <v/>
      </c>
      <c r="O300" s="21" t="str">
        <f ca="1">IF(Calc!$AM300="","",SUBSTITUTE(SUBSTITUTE(SUBSTITUTE(SUBSTITUTE(INDEX(Setup!$K$20:$K$34,Calc!$AN300)&amp;"","{name}",$E300),"{years}",$G300),"{date}",TEXT($H300,"mmmm d, yyyy")),"{company}",Setup!$C$4))</f>
        <v/>
      </c>
      <c r="P300" s="21" t="str">
        <f ca="1">IF(Calc!$AM300="","",SUBSTITUTE(SUBSTITUTE(TRIM(SUBSTITUTE($L300," ","~")&amp;" "&amp;SUBSTITUTE($M300," ","~")&amp;" "&amp;SUBSTITUTE($N300," ","~")&amp;" "&amp;SUBSTITUTE($O300," ","~"))," "," | "),"~"," "))</f>
        <v/>
      </c>
    </row>
    <row r="301" spans="1:16" x14ac:dyDescent="0.2">
      <c r="A301" s="19" t="str">
        <f ca="1">IF(Calc!$AM301="","",ROW()-5)</f>
        <v/>
      </c>
      <c r="B301" s="20" t="str">
        <f ca="1">IF(Calc!$AM301="","",INT(Calc!$AK301))</f>
        <v/>
      </c>
      <c r="C301" s="21" t="str">
        <f ca="1">IF(Calc!$AM301="","",IF($H301&lt;Setup!$C$5,"PAST DUE: milestone date has passed",IF($B301&lt;Setup!$C$5,"LATE: order today, ask about rush",IF($B301&lt;Setup!$C$5+14,"Order within 2 weeks","Scheduled"))))</f>
        <v/>
      </c>
      <c r="D301" s="21" t="str">
        <f ca="1">IF(Calc!$AM301="","",TEXT($B301,"mmmm yyyy"))</f>
        <v/>
      </c>
      <c r="E301" s="21" t="str">
        <f ca="1">IF(Calc!$AM301="","",INDEX(Roster!$A$6:$A$505,Calc!$AM301)&amp;"")</f>
        <v/>
      </c>
      <c r="F301" s="21" t="str">
        <f ca="1">IF(Calc!$AM301="","",INDEX(Roster!$C$6:$C$505,Calc!$AM301)&amp;"")</f>
        <v/>
      </c>
      <c r="G301" s="19" t="str">
        <f ca="1">IF(Calc!$AM301="","",INDEX(Setup!$C$20:$C$34,Calc!$AN301))</f>
        <v/>
      </c>
      <c r="H301" s="20" t="str">
        <f ca="1">IF(Calc!$AM301="","",INDEX(Calc!$B$6:$P$505,Calc!$AM301,Calc!$AN301))</f>
        <v/>
      </c>
      <c r="I301" s="21" t="str">
        <f ca="1">IF(Calc!$AM301="","",INDEX(Setup!$D$20:$D$34,Calc!$AN301)&amp;"")</f>
        <v/>
      </c>
      <c r="J301" s="21" t="str">
        <f ca="1">IF(Calc!$AM301="","",INDEX(Setup!$E$20:$E$34,Calc!$AN301)&amp;"")</f>
        <v/>
      </c>
      <c r="K301" s="23" t="str">
        <f ca="1">IF(Calc!$AM301="","",INDEX(Setup!$F$20:$F$34,Calc!$AN301))</f>
        <v/>
      </c>
      <c r="L301" s="21" t="str">
        <f ca="1">IF(Calc!$AM301="","",SUBSTITUTE(SUBSTITUTE(SUBSTITUTE(SUBSTITUTE(INDEX(Setup!$H$20:$H$34,Calc!$AN301)&amp;"","{name}",$E301),"{years}",$G301),"{date}",TEXT($H301,"mmmm d, yyyy")),"{company}",Setup!$C$4))</f>
        <v/>
      </c>
      <c r="M301" s="21" t="str">
        <f ca="1">IF(Calc!$AM301="","",SUBSTITUTE(SUBSTITUTE(SUBSTITUTE(SUBSTITUTE(INDEX(Setup!$I$20:$I$34,Calc!$AN301)&amp;"","{name}",$E301),"{years}",$G301),"{date}",TEXT($H301,"mmmm d, yyyy")),"{company}",Setup!$C$4))</f>
        <v/>
      </c>
      <c r="N301" s="21" t="str">
        <f ca="1">IF(Calc!$AM301="","",SUBSTITUTE(SUBSTITUTE(SUBSTITUTE(SUBSTITUTE(INDEX(Setup!$J$20:$J$34,Calc!$AN301)&amp;"","{name}",$E301),"{years}",$G301),"{date}",TEXT($H301,"mmmm d, yyyy")),"{company}",Setup!$C$4))</f>
        <v/>
      </c>
      <c r="O301" s="21" t="str">
        <f ca="1">IF(Calc!$AM301="","",SUBSTITUTE(SUBSTITUTE(SUBSTITUTE(SUBSTITUTE(INDEX(Setup!$K$20:$K$34,Calc!$AN301)&amp;"","{name}",$E301),"{years}",$G301),"{date}",TEXT($H301,"mmmm d, yyyy")),"{company}",Setup!$C$4))</f>
        <v/>
      </c>
      <c r="P301" s="21" t="str">
        <f ca="1">IF(Calc!$AM301="","",SUBSTITUTE(SUBSTITUTE(TRIM(SUBSTITUTE($L301," ","~")&amp;" "&amp;SUBSTITUTE($M301," ","~")&amp;" "&amp;SUBSTITUTE($N301," ","~")&amp;" "&amp;SUBSTITUTE($O301," ","~"))," "," | "),"~"," "))</f>
        <v/>
      </c>
    </row>
    <row r="302" spans="1:16" x14ac:dyDescent="0.2">
      <c r="A302" s="19" t="str">
        <f ca="1">IF(Calc!$AM302="","",ROW()-5)</f>
        <v/>
      </c>
      <c r="B302" s="20" t="str">
        <f ca="1">IF(Calc!$AM302="","",INT(Calc!$AK302))</f>
        <v/>
      </c>
      <c r="C302" s="21" t="str">
        <f ca="1">IF(Calc!$AM302="","",IF($H302&lt;Setup!$C$5,"PAST DUE: milestone date has passed",IF($B302&lt;Setup!$C$5,"LATE: order today, ask about rush",IF($B302&lt;Setup!$C$5+14,"Order within 2 weeks","Scheduled"))))</f>
        <v/>
      </c>
      <c r="D302" s="21" t="str">
        <f ca="1">IF(Calc!$AM302="","",TEXT($B302,"mmmm yyyy"))</f>
        <v/>
      </c>
      <c r="E302" s="21" t="str">
        <f ca="1">IF(Calc!$AM302="","",INDEX(Roster!$A$6:$A$505,Calc!$AM302)&amp;"")</f>
        <v/>
      </c>
      <c r="F302" s="21" t="str">
        <f ca="1">IF(Calc!$AM302="","",INDEX(Roster!$C$6:$C$505,Calc!$AM302)&amp;"")</f>
        <v/>
      </c>
      <c r="G302" s="19" t="str">
        <f ca="1">IF(Calc!$AM302="","",INDEX(Setup!$C$20:$C$34,Calc!$AN302))</f>
        <v/>
      </c>
      <c r="H302" s="20" t="str">
        <f ca="1">IF(Calc!$AM302="","",INDEX(Calc!$B$6:$P$505,Calc!$AM302,Calc!$AN302))</f>
        <v/>
      </c>
      <c r="I302" s="21" t="str">
        <f ca="1">IF(Calc!$AM302="","",INDEX(Setup!$D$20:$D$34,Calc!$AN302)&amp;"")</f>
        <v/>
      </c>
      <c r="J302" s="21" t="str">
        <f ca="1">IF(Calc!$AM302="","",INDEX(Setup!$E$20:$E$34,Calc!$AN302)&amp;"")</f>
        <v/>
      </c>
      <c r="K302" s="23" t="str">
        <f ca="1">IF(Calc!$AM302="","",INDEX(Setup!$F$20:$F$34,Calc!$AN302))</f>
        <v/>
      </c>
      <c r="L302" s="21" t="str">
        <f ca="1">IF(Calc!$AM302="","",SUBSTITUTE(SUBSTITUTE(SUBSTITUTE(SUBSTITUTE(INDEX(Setup!$H$20:$H$34,Calc!$AN302)&amp;"","{name}",$E302),"{years}",$G302),"{date}",TEXT($H302,"mmmm d, yyyy")),"{company}",Setup!$C$4))</f>
        <v/>
      </c>
      <c r="M302" s="21" t="str">
        <f ca="1">IF(Calc!$AM302="","",SUBSTITUTE(SUBSTITUTE(SUBSTITUTE(SUBSTITUTE(INDEX(Setup!$I$20:$I$34,Calc!$AN302)&amp;"","{name}",$E302),"{years}",$G302),"{date}",TEXT($H302,"mmmm d, yyyy")),"{company}",Setup!$C$4))</f>
        <v/>
      </c>
      <c r="N302" s="21" t="str">
        <f ca="1">IF(Calc!$AM302="","",SUBSTITUTE(SUBSTITUTE(SUBSTITUTE(SUBSTITUTE(INDEX(Setup!$J$20:$J$34,Calc!$AN302)&amp;"","{name}",$E302),"{years}",$G302),"{date}",TEXT($H302,"mmmm d, yyyy")),"{company}",Setup!$C$4))</f>
        <v/>
      </c>
      <c r="O302" s="21" t="str">
        <f ca="1">IF(Calc!$AM302="","",SUBSTITUTE(SUBSTITUTE(SUBSTITUTE(SUBSTITUTE(INDEX(Setup!$K$20:$K$34,Calc!$AN302)&amp;"","{name}",$E302),"{years}",$G302),"{date}",TEXT($H302,"mmmm d, yyyy")),"{company}",Setup!$C$4))</f>
        <v/>
      </c>
      <c r="P302" s="21" t="str">
        <f ca="1">IF(Calc!$AM302="","",SUBSTITUTE(SUBSTITUTE(TRIM(SUBSTITUTE($L302," ","~")&amp;" "&amp;SUBSTITUTE($M302," ","~")&amp;" "&amp;SUBSTITUTE($N302," ","~")&amp;" "&amp;SUBSTITUTE($O302," ","~"))," "," | "),"~"," "))</f>
        <v/>
      </c>
    </row>
    <row r="303" spans="1:16" x14ac:dyDescent="0.2">
      <c r="A303" s="19" t="str">
        <f ca="1">IF(Calc!$AM303="","",ROW()-5)</f>
        <v/>
      </c>
      <c r="B303" s="20" t="str">
        <f ca="1">IF(Calc!$AM303="","",INT(Calc!$AK303))</f>
        <v/>
      </c>
      <c r="C303" s="21" t="str">
        <f ca="1">IF(Calc!$AM303="","",IF($H303&lt;Setup!$C$5,"PAST DUE: milestone date has passed",IF($B303&lt;Setup!$C$5,"LATE: order today, ask about rush",IF($B303&lt;Setup!$C$5+14,"Order within 2 weeks","Scheduled"))))</f>
        <v/>
      </c>
      <c r="D303" s="21" t="str">
        <f ca="1">IF(Calc!$AM303="","",TEXT($B303,"mmmm yyyy"))</f>
        <v/>
      </c>
      <c r="E303" s="21" t="str">
        <f ca="1">IF(Calc!$AM303="","",INDEX(Roster!$A$6:$A$505,Calc!$AM303)&amp;"")</f>
        <v/>
      </c>
      <c r="F303" s="21" t="str">
        <f ca="1">IF(Calc!$AM303="","",INDEX(Roster!$C$6:$C$505,Calc!$AM303)&amp;"")</f>
        <v/>
      </c>
      <c r="G303" s="19" t="str">
        <f ca="1">IF(Calc!$AM303="","",INDEX(Setup!$C$20:$C$34,Calc!$AN303))</f>
        <v/>
      </c>
      <c r="H303" s="20" t="str">
        <f ca="1">IF(Calc!$AM303="","",INDEX(Calc!$B$6:$P$505,Calc!$AM303,Calc!$AN303))</f>
        <v/>
      </c>
      <c r="I303" s="21" t="str">
        <f ca="1">IF(Calc!$AM303="","",INDEX(Setup!$D$20:$D$34,Calc!$AN303)&amp;"")</f>
        <v/>
      </c>
      <c r="J303" s="21" t="str">
        <f ca="1">IF(Calc!$AM303="","",INDEX(Setup!$E$20:$E$34,Calc!$AN303)&amp;"")</f>
        <v/>
      </c>
      <c r="K303" s="23" t="str">
        <f ca="1">IF(Calc!$AM303="","",INDEX(Setup!$F$20:$F$34,Calc!$AN303))</f>
        <v/>
      </c>
      <c r="L303" s="21" t="str">
        <f ca="1">IF(Calc!$AM303="","",SUBSTITUTE(SUBSTITUTE(SUBSTITUTE(SUBSTITUTE(INDEX(Setup!$H$20:$H$34,Calc!$AN303)&amp;"","{name}",$E303),"{years}",$G303),"{date}",TEXT($H303,"mmmm d, yyyy")),"{company}",Setup!$C$4))</f>
        <v/>
      </c>
      <c r="M303" s="21" t="str">
        <f ca="1">IF(Calc!$AM303="","",SUBSTITUTE(SUBSTITUTE(SUBSTITUTE(SUBSTITUTE(INDEX(Setup!$I$20:$I$34,Calc!$AN303)&amp;"","{name}",$E303),"{years}",$G303),"{date}",TEXT($H303,"mmmm d, yyyy")),"{company}",Setup!$C$4))</f>
        <v/>
      </c>
      <c r="N303" s="21" t="str">
        <f ca="1">IF(Calc!$AM303="","",SUBSTITUTE(SUBSTITUTE(SUBSTITUTE(SUBSTITUTE(INDEX(Setup!$J$20:$J$34,Calc!$AN303)&amp;"","{name}",$E303),"{years}",$G303),"{date}",TEXT($H303,"mmmm d, yyyy")),"{company}",Setup!$C$4))</f>
        <v/>
      </c>
      <c r="O303" s="21" t="str">
        <f ca="1">IF(Calc!$AM303="","",SUBSTITUTE(SUBSTITUTE(SUBSTITUTE(SUBSTITUTE(INDEX(Setup!$K$20:$K$34,Calc!$AN303)&amp;"","{name}",$E303),"{years}",$G303),"{date}",TEXT($H303,"mmmm d, yyyy")),"{company}",Setup!$C$4))</f>
        <v/>
      </c>
      <c r="P303" s="21" t="str">
        <f ca="1">IF(Calc!$AM303="","",SUBSTITUTE(SUBSTITUTE(TRIM(SUBSTITUTE($L303," ","~")&amp;" "&amp;SUBSTITUTE($M303," ","~")&amp;" "&amp;SUBSTITUTE($N303," ","~")&amp;" "&amp;SUBSTITUTE($O303," ","~"))," "," | "),"~"," "))</f>
        <v/>
      </c>
    </row>
    <row r="304" spans="1:16" x14ac:dyDescent="0.2">
      <c r="A304" s="19" t="str">
        <f ca="1">IF(Calc!$AM304="","",ROW()-5)</f>
        <v/>
      </c>
      <c r="B304" s="20" t="str">
        <f ca="1">IF(Calc!$AM304="","",INT(Calc!$AK304))</f>
        <v/>
      </c>
      <c r="C304" s="21" t="str">
        <f ca="1">IF(Calc!$AM304="","",IF($H304&lt;Setup!$C$5,"PAST DUE: milestone date has passed",IF($B304&lt;Setup!$C$5,"LATE: order today, ask about rush",IF($B304&lt;Setup!$C$5+14,"Order within 2 weeks","Scheduled"))))</f>
        <v/>
      </c>
      <c r="D304" s="21" t="str">
        <f ca="1">IF(Calc!$AM304="","",TEXT($B304,"mmmm yyyy"))</f>
        <v/>
      </c>
      <c r="E304" s="21" t="str">
        <f ca="1">IF(Calc!$AM304="","",INDEX(Roster!$A$6:$A$505,Calc!$AM304)&amp;"")</f>
        <v/>
      </c>
      <c r="F304" s="21" t="str">
        <f ca="1">IF(Calc!$AM304="","",INDEX(Roster!$C$6:$C$505,Calc!$AM304)&amp;"")</f>
        <v/>
      </c>
      <c r="G304" s="19" t="str">
        <f ca="1">IF(Calc!$AM304="","",INDEX(Setup!$C$20:$C$34,Calc!$AN304))</f>
        <v/>
      </c>
      <c r="H304" s="20" t="str">
        <f ca="1">IF(Calc!$AM304="","",INDEX(Calc!$B$6:$P$505,Calc!$AM304,Calc!$AN304))</f>
        <v/>
      </c>
      <c r="I304" s="21" t="str">
        <f ca="1">IF(Calc!$AM304="","",INDEX(Setup!$D$20:$D$34,Calc!$AN304)&amp;"")</f>
        <v/>
      </c>
      <c r="J304" s="21" t="str">
        <f ca="1">IF(Calc!$AM304="","",INDEX(Setup!$E$20:$E$34,Calc!$AN304)&amp;"")</f>
        <v/>
      </c>
      <c r="K304" s="23" t="str">
        <f ca="1">IF(Calc!$AM304="","",INDEX(Setup!$F$20:$F$34,Calc!$AN304))</f>
        <v/>
      </c>
      <c r="L304" s="21" t="str">
        <f ca="1">IF(Calc!$AM304="","",SUBSTITUTE(SUBSTITUTE(SUBSTITUTE(SUBSTITUTE(INDEX(Setup!$H$20:$H$34,Calc!$AN304)&amp;"","{name}",$E304),"{years}",$G304),"{date}",TEXT($H304,"mmmm d, yyyy")),"{company}",Setup!$C$4))</f>
        <v/>
      </c>
      <c r="M304" s="21" t="str">
        <f ca="1">IF(Calc!$AM304="","",SUBSTITUTE(SUBSTITUTE(SUBSTITUTE(SUBSTITUTE(INDEX(Setup!$I$20:$I$34,Calc!$AN304)&amp;"","{name}",$E304),"{years}",$G304),"{date}",TEXT($H304,"mmmm d, yyyy")),"{company}",Setup!$C$4))</f>
        <v/>
      </c>
      <c r="N304" s="21" t="str">
        <f ca="1">IF(Calc!$AM304="","",SUBSTITUTE(SUBSTITUTE(SUBSTITUTE(SUBSTITUTE(INDEX(Setup!$J$20:$J$34,Calc!$AN304)&amp;"","{name}",$E304),"{years}",$G304),"{date}",TEXT($H304,"mmmm d, yyyy")),"{company}",Setup!$C$4))</f>
        <v/>
      </c>
      <c r="O304" s="21" t="str">
        <f ca="1">IF(Calc!$AM304="","",SUBSTITUTE(SUBSTITUTE(SUBSTITUTE(SUBSTITUTE(INDEX(Setup!$K$20:$K$34,Calc!$AN304)&amp;"","{name}",$E304),"{years}",$G304),"{date}",TEXT($H304,"mmmm d, yyyy")),"{company}",Setup!$C$4))</f>
        <v/>
      </c>
      <c r="P304" s="21" t="str">
        <f ca="1">IF(Calc!$AM304="","",SUBSTITUTE(SUBSTITUTE(TRIM(SUBSTITUTE($L304," ","~")&amp;" "&amp;SUBSTITUTE($M304," ","~")&amp;" "&amp;SUBSTITUTE($N304," ","~")&amp;" "&amp;SUBSTITUTE($O304," ","~"))," "," | "),"~"," "))</f>
        <v/>
      </c>
    </row>
    <row r="305" spans="1:16" x14ac:dyDescent="0.2">
      <c r="A305" s="19" t="str">
        <f ca="1">IF(Calc!$AM305="","",ROW()-5)</f>
        <v/>
      </c>
      <c r="B305" s="20" t="str">
        <f ca="1">IF(Calc!$AM305="","",INT(Calc!$AK305))</f>
        <v/>
      </c>
      <c r="C305" s="21" t="str">
        <f ca="1">IF(Calc!$AM305="","",IF($H305&lt;Setup!$C$5,"PAST DUE: milestone date has passed",IF($B305&lt;Setup!$C$5,"LATE: order today, ask about rush",IF($B305&lt;Setup!$C$5+14,"Order within 2 weeks","Scheduled"))))</f>
        <v/>
      </c>
      <c r="D305" s="21" t="str">
        <f ca="1">IF(Calc!$AM305="","",TEXT($B305,"mmmm yyyy"))</f>
        <v/>
      </c>
      <c r="E305" s="21" t="str">
        <f ca="1">IF(Calc!$AM305="","",INDEX(Roster!$A$6:$A$505,Calc!$AM305)&amp;"")</f>
        <v/>
      </c>
      <c r="F305" s="21" t="str">
        <f ca="1">IF(Calc!$AM305="","",INDEX(Roster!$C$6:$C$505,Calc!$AM305)&amp;"")</f>
        <v/>
      </c>
      <c r="G305" s="19" t="str">
        <f ca="1">IF(Calc!$AM305="","",INDEX(Setup!$C$20:$C$34,Calc!$AN305))</f>
        <v/>
      </c>
      <c r="H305" s="20" t="str">
        <f ca="1">IF(Calc!$AM305="","",INDEX(Calc!$B$6:$P$505,Calc!$AM305,Calc!$AN305))</f>
        <v/>
      </c>
      <c r="I305" s="21" t="str">
        <f ca="1">IF(Calc!$AM305="","",INDEX(Setup!$D$20:$D$34,Calc!$AN305)&amp;"")</f>
        <v/>
      </c>
      <c r="J305" s="21" t="str">
        <f ca="1">IF(Calc!$AM305="","",INDEX(Setup!$E$20:$E$34,Calc!$AN305)&amp;"")</f>
        <v/>
      </c>
      <c r="K305" s="23" t="str">
        <f ca="1">IF(Calc!$AM305="","",INDEX(Setup!$F$20:$F$34,Calc!$AN305))</f>
        <v/>
      </c>
      <c r="L305" s="21" t="str">
        <f ca="1">IF(Calc!$AM305="","",SUBSTITUTE(SUBSTITUTE(SUBSTITUTE(SUBSTITUTE(INDEX(Setup!$H$20:$H$34,Calc!$AN305)&amp;"","{name}",$E305),"{years}",$G305),"{date}",TEXT($H305,"mmmm d, yyyy")),"{company}",Setup!$C$4))</f>
        <v/>
      </c>
      <c r="M305" s="21" t="str">
        <f ca="1">IF(Calc!$AM305="","",SUBSTITUTE(SUBSTITUTE(SUBSTITUTE(SUBSTITUTE(INDEX(Setup!$I$20:$I$34,Calc!$AN305)&amp;"","{name}",$E305),"{years}",$G305),"{date}",TEXT($H305,"mmmm d, yyyy")),"{company}",Setup!$C$4))</f>
        <v/>
      </c>
      <c r="N305" s="21" t="str">
        <f ca="1">IF(Calc!$AM305="","",SUBSTITUTE(SUBSTITUTE(SUBSTITUTE(SUBSTITUTE(INDEX(Setup!$J$20:$J$34,Calc!$AN305)&amp;"","{name}",$E305),"{years}",$G305),"{date}",TEXT($H305,"mmmm d, yyyy")),"{company}",Setup!$C$4))</f>
        <v/>
      </c>
      <c r="O305" s="21" t="str">
        <f ca="1">IF(Calc!$AM305="","",SUBSTITUTE(SUBSTITUTE(SUBSTITUTE(SUBSTITUTE(INDEX(Setup!$K$20:$K$34,Calc!$AN305)&amp;"","{name}",$E305),"{years}",$G305),"{date}",TEXT($H305,"mmmm d, yyyy")),"{company}",Setup!$C$4))</f>
        <v/>
      </c>
      <c r="P305" s="21" t="str">
        <f ca="1">IF(Calc!$AM305="","",SUBSTITUTE(SUBSTITUTE(TRIM(SUBSTITUTE($L305," ","~")&amp;" "&amp;SUBSTITUTE($M305," ","~")&amp;" "&amp;SUBSTITUTE($N305," ","~")&amp;" "&amp;SUBSTITUTE($O305," ","~"))," "," | "),"~"," "))</f>
        <v/>
      </c>
    </row>
  </sheetData>
  <conditionalFormatting sqref="C6:C305">
    <cfRule type="expression" dxfId="0" priority="1">
      <formula>OR(LEFT(C6,4)="LATE",LEFT(C6,4)="PAST")</formula>
    </cfRule>
  </conditionalFormatting>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E2D54"/>
    <pageSetUpPr fitToPage="1"/>
  </sheetPr>
  <dimension ref="B1:G48"/>
  <sheetViews>
    <sheetView showGridLines="0" workbookViewId="0">
      <pane ySplit="4" topLeftCell="A5" activePane="bottomLeft" state="frozen"/>
      <selection pane="bottomLeft"/>
    </sheetView>
  </sheetViews>
  <sheetFormatPr baseColWidth="10" defaultColWidth="8.83203125" defaultRowHeight="15" x14ac:dyDescent="0.2"/>
  <cols>
    <col min="1" max="1" width="2" customWidth="1"/>
    <col min="2" max="2" width="24" customWidth="1"/>
    <col min="3" max="7" width="13" customWidth="1"/>
  </cols>
  <sheetData>
    <row r="1" spans="2:7" ht="26" customHeight="1" x14ac:dyDescent="0.2">
      <c r="B1" s="1" t="s">
        <v>148</v>
      </c>
    </row>
    <row r="2" spans="2:7" x14ac:dyDescent="0.2">
      <c r="B2" s="2" t="s">
        <v>149</v>
      </c>
      <c r="C2" s="3"/>
      <c r="D2" s="3"/>
      <c r="E2" s="3"/>
      <c r="F2" s="3"/>
      <c r="G2" s="3"/>
    </row>
    <row r="3" spans="2:7" ht="28" customHeight="1" x14ac:dyDescent="0.2">
      <c r="B3" s="35" t="str">
        <f>IF(COUNTIF(Calc!$AZ$20:$AZ$34,"&gt;1")&gt;0,"Two Setup rows use the same years, so these totals are wrong. Turn one off.",IF(SUMPRODUCT((Setup!$B$20:$B$34="Yes")*ISNUMBER(Setup!$C$20:$C$34)*(1-ISNUMBER(Setup!$F$20:$F$34)))&gt;0,SUMPRODUCT((Setup!$B$20:$B$34="Yes")*ISNUMBER(Setup!$C$20:$C$34)*(1-ISNUMBER(Setup!$F$20:$F$34)))&amp;IF(SUMPRODUCT((Setup!$B$20:$B$34="Yes")*ISNUMBER(Setup!$C$20:$C$34)*(1-ISNUMBER(Setup!$F$20:$F$34)))=1," milestone has"," milestones have")&amp;" no price on Setup, so these totals are short.","Whole calendar years, including anniversaries already past. Excludes tax, shipping, new hires, departures and any bonus or gift card given with an award."))</f>
        <v>Whole calendar years, including anniversaries already past. Excludes tax, shipping, new hires, departures and any bonus or gift card given with an award.</v>
      </c>
      <c r="C3" s="34"/>
      <c r="D3" s="34"/>
      <c r="E3" s="34"/>
      <c r="F3" s="34"/>
      <c r="G3" s="34"/>
    </row>
    <row r="5" spans="2:7" ht="16" x14ac:dyDescent="0.2">
      <c r="B5" s="4" t="s">
        <v>150</v>
      </c>
    </row>
    <row r="6" spans="2:7" x14ac:dyDescent="0.2">
      <c r="B6" s="15" t="s">
        <v>145</v>
      </c>
      <c r="C6" s="24">
        <f ca="1">YEAR(Setup!$C$5)+0</f>
        <v>2026</v>
      </c>
      <c r="D6" s="24">
        <f ca="1">YEAR(Setup!$C$5)+1</f>
        <v>2027</v>
      </c>
      <c r="E6" s="24">
        <f ca="1">YEAR(Setup!$C$5)+2</f>
        <v>2028</v>
      </c>
      <c r="F6" s="24">
        <f ca="1">YEAR(Setup!$C$5)+3</f>
        <v>2029</v>
      </c>
      <c r="G6" s="24">
        <f ca="1">YEAR(Setup!$C$5)+4</f>
        <v>2030</v>
      </c>
    </row>
    <row r="7" spans="2:7" x14ac:dyDescent="0.2">
      <c r="B7" s="25">
        <f>IF(AND(Setup!$B$20="Yes",ISNUMBER(Setup!$C$20)),Setup!$C$20,"")</f>
        <v>1</v>
      </c>
      <c r="C7" s="26">
        <f ca="1">COUNTIFS(Calc!$B$6:$B$505,"&gt;="&amp;DATE(C$6,1,1),Calc!$B$6:$B$505,"&lt;="&amp;DATE(C$6,12,31))</f>
        <v>2</v>
      </c>
      <c r="D7" s="26">
        <f ca="1">COUNTIFS(Calc!$B$6:$B$505,"&gt;="&amp;DATE(D$6,1,1),Calc!$B$6:$B$505,"&lt;="&amp;DATE(D$6,12,31))</f>
        <v>1</v>
      </c>
      <c r="E7" s="26">
        <f ca="1">COUNTIFS(Calc!$B$6:$B$505,"&gt;="&amp;DATE(E$6,1,1),Calc!$B$6:$B$505,"&lt;="&amp;DATE(E$6,12,31))</f>
        <v>0</v>
      </c>
      <c r="F7" s="26">
        <f ca="1">COUNTIFS(Calc!$B$6:$B$505,"&gt;="&amp;DATE(F$6,1,1),Calc!$B$6:$B$505,"&lt;="&amp;DATE(F$6,12,31))</f>
        <v>0</v>
      </c>
      <c r="G7" s="26">
        <f ca="1">COUNTIFS(Calc!$B$6:$B$505,"&gt;="&amp;DATE(G$6,1,1),Calc!$B$6:$B$505,"&lt;="&amp;DATE(G$6,12,31))</f>
        <v>0</v>
      </c>
    </row>
    <row r="8" spans="2:7" x14ac:dyDescent="0.2">
      <c r="B8" s="25">
        <f>IF(AND(Setup!$B$21="Yes",ISNUMBER(Setup!$C$21)),Setup!$C$21,"")</f>
        <v>3</v>
      </c>
      <c r="C8" s="26">
        <f ca="1">COUNTIFS(Calc!$C$6:$C$505,"&gt;="&amp;DATE(C$6,1,1),Calc!$C$6:$C$505,"&lt;="&amp;DATE(C$6,12,31))</f>
        <v>1</v>
      </c>
      <c r="D8" s="26">
        <f ca="1">COUNTIFS(Calc!$C$6:$C$505,"&gt;="&amp;DATE(D$6,1,1),Calc!$C$6:$C$505,"&lt;="&amp;DATE(D$6,12,31))</f>
        <v>1</v>
      </c>
      <c r="E8" s="26">
        <f ca="1">COUNTIFS(Calc!$C$6:$C$505,"&gt;="&amp;DATE(E$6,1,1),Calc!$C$6:$C$505,"&lt;="&amp;DATE(E$6,12,31))</f>
        <v>2</v>
      </c>
      <c r="F8" s="26">
        <f ca="1">COUNTIFS(Calc!$C$6:$C$505,"&gt;="&amp;DATE(F$6,1,1),Calc!$C$6:$C$505,"&lt;="&amp;DATE(F$6,12,31))</f>
        <v>1</v>
      </c>
      <c r="G8" s="26">
        <f ca="1">COUNTIFS(Calc!$C$6:$C$505,"&gt;="&amp;DATE(G$6,1,1),Calc!$C$6:$C$505,"&lt;="&amp;DATE(G$6,12,31))</f>
        <v>0</v>
      </c>
    </row>
    <row r="9" spans="2:7" x14ac:dyDescent="0.2">
      <c r="B9" s="25">
        <f>IF(AND(Setup!$B$22="Yes",ISNUMBER(Setup!$C$22)),Setup!$C$22,"")</f>
        <v>5</v>
      </c>
      <c r="C9" s="26">
        <f ca="1">COUNTIFS(Calc!$D$6:$D$505,"&gt;="&amp;DATE(C$6,1,1),Calc!$D$6:$D$505,"&lt;="&amp;DATE(C$6,12,31))</f>
        <v>1</v>
      </c>
      <c r="D9" s="26">
        <f ca="1">COUNTIFS(Calc!$D$6:$D$505,"&gt;="&amp;DATE(D$6,1,1),Calc!$D$6:$D$505,"&lt;="&amp;DATE(D$6,12,31))</f>
        <v>1</v>
      </c>
      <c r="E9" s="26">
        <f ca="1">COUNTIFS(Calc!$D$6:$D$505,"&gt;="&amp;DATE(E$6,1,1),Calc!$D$6:$D$505,"&lt;="&amp;DATE(E$6,12,31))</f>
        <v>1</v>
      </c>
      <c r="F9" s="26">
        <f ca="1">COUNTIFS(Calc!$D$6:$D$505,"&gt;="&amp;DATE(F$6,1,1),Calc!$D$6:$D$505,"&lt;="&amp;DATE(F$6,12,31))</f>
        <v>1</v>
      </c>
      <c r="G9" s="26">
        <f ca="1">COUNTIFS(Calc!$D$6:$D$505,"&gt;="&amp;DATE(G$6,1,1),Calc!$D$6:$D$505,"&lt;="&amp;DATE(G$6,12,31))</f>
        <v>2</v>
      </c>
    </row>
    <row r="10" spans="2:7" x14ac:dyDescent="0.2">
      <c r="B10" s="25">
        <f>IF(AND(Setup!$B$23="Yes",ISNUMBER(Setup!$C$23)),Setup!$C$23,"")</f>
        <v>10</v>
      </c>
      <c r="C10" s="26">
        <f ca="1">COUNTIFS(Calc!$E$6:$E$505,"&gt;="&amp;DATE(C$6,1,1),Calc!$E$6:$E$505,"&lt;="&amp;DATE(C$6,12,31))</f>
        <v>0</v>
      </c>
      <c r="D10" s="26">
        <f ca="1">COUNTIFS(Calc!$E$6:$E$505,"&gt;="&amp;DATE(D$6,1,1),Calc!$E$6:$E$505,"&lt;="&amp;DATE(D$6,12,31))</f>
        <v>1</v>
      </c>
      <c r="E10" s="26">
        <f ca="1">COUNTIFS(Calc!$E$6:$E$505,"&gt;="&amp;DATE(E$6,1,1),Calc!$E$6:$E$505,"&lt;="&amp;DATE(E$6,12,31))</f>
        <v>0</v>
      </c>
      <c r="F10" s="26">
        <f ca="1">COUNTIFS(Calc!$E$6:$E$505,"&gt;="&amp;DATE(F$6,1,1),Calc!$E$6:$E$505,"&lt;="&amp;DATE(F$6,12,31))</f>
        <v>0</v>
      </c>
      <c r="G10" s="26">
        <f ca="1">COUNTIFS(Calc!$E$6:$E$505,"&gt;="&amp;DATE(G$6,1,1),Calc!$E$6:$E$505,"&lt;="&amp;DATE(G$6,12,31))</f>
        <v>0</v>
      </c>
    </row>
    <row r="11" spans="2:7" x14ac:dyDescent="0.2">
      <c r="B11" s="25">
        <f>IF(AND(Setup!$B$24="Yes",ISNUMBER(Setup!$C$24)),Setup!$C$24,"")</f>
        <v>15</v>
      </c>
      <c r="C11" s="26">
        <f ca="1">COUNTIFS(Calc!$F$6:$F$505,"&gt;="&amp;DATE(C$6,1,1),Calc!$F$6:$F$505,"&lt;="&amp;DATE(C$6,12,31))</f>
        <v>0</v>
      </c>
      <c r="D11" s="26">
        <f ca="1">COUNTIFS(Calc!$F$6:$F$505,"&gt;="&amp;DATE(D$6,1,1),Calc!$F$6:$F$505,"&lt;="&amp;DATE(D$6,12,31))</f>
        <v>1</v>
      </c>
      <c r="E11" s="26">
        <f ca="1">COUNTIFS(Calc!$F$6:$F$505,"&gt;="&amp;DATE(E$6,1,1),Calc!$F$6:$F$505,"&lt;="&amp;DATE(E$6,12,31))</f>
        <v>0</v>
      </c>
      <c r="F11" s="26">
        <f ca="1">COUNTIFS(Calc!$F$6:$F$505,"&gt;="&amp;DATE(F$6,1,1),Calc!$F$6:$F$505,"&lt;="&amp;DATE(F$6,12,31))</f>
        <v>0</v>
      </c>
      <c r="G11" s="26">
        <f ca="1">COUNTIFS(Calc!$F$6:$F$505,"&gt;="&amp;DATE(G$6,1,1),Calc!$F$6:$F$505,"&lt;="&amp;DATE(G$6,12,31))</f>
        <v>0</v>
      </c>
    </row>
    <row r="12" spans="2:7" x14ac:dyDescent="0.2">
      <c r="B12" s="25">
        <f>IF(AND(Setup!$B$25="Yes",ISNUMBER(Setup!$C$25)),Setup!$C$25,"")</f>
        <v>20</v>
      </c>
      <c r="C12" s="26">
        <f ca="1">COUNTIFS(Calc!$G$6:$G$505,"&gt;="&amp;DATE(C$6,1,1),Calc!$G$6:$G$505,"&lt;="&amp;DATE(C$6,12,31))</f>
        <v>0</v>
      </c>
      <c r="D12" s="26">
        <f ca="1">COUNTIFS(Calc!$G$6:$G$505,"&gt;="&amp;DATE(D$6,1,1),Calc!$G$6:$G$505,"&lt;="&amp;DATE(D$6,12,31))</f>
        <v>1</v>
      </c>
      <c r="E12" s="26">
        <f ca="1">COUNTIFS(Calc!$G$6:$G$505,"&gt;="&amp;DATE(E$6,1,1),Calc!$G$6:$G$505,"&lt;="&amp;DATE(E$6,12,31))</f>
        <v>0</v>
      </c>
      <c r="F12" s="26">
        <f ca="1">COUNTIFS(Calc!$G$6:$G$505,"&gt;="&amp;DATE(F$6,1,1),Calc!$G$6:$G$505,"&lt;="&amp;DATE(F$6,12,31))</f>
        <v>0</v>
      </c>
      <c r="G12" s="26">
        <f ca="1">COUNTIFS(Calc!$G$6:$G$505,"&gt;="&amp;DATE(G$6,1,1),Calc!$G$6:$G$505,"&lt;="&amp;DATE(G$6,12,31))</f>
        <v>0</v>
      </c>
    </row>
    <row r="13" spans="2:7" x14ac:dyDescent="0.2">
      <c r="B13" s="25">
        <f>IF(AND(Setup!$B$26="Yes",ISNUMBER(Setup!$C$26)),Setup!$C$26,"")</f>
        <v>25</v>
      </c>
      <c r="C13" s="26">
        <f ca="1">COUNTIFS(Calc!$H$6:$H$505,"&gt;="&amp;DATE(C$6,1,1),Calc!$H$6:$H$505,"&lt;="&amp;DATE(C$6,12,31))</f>
        <v>0</v>
      </c>
      <c r="D13" s="26">
        <f ca="1">COUNTIFS(Calc!$H$6:$H$505,"&gt;="&amp;DATE(D$6,1,1),Calc!$H$6:$H$505,"&lt;="&amp;DATE(D$6,12,31))</f>
        <v>1</v>
      </c>
      <c r="E13" s="26">
        <f ca="1">COUNTIFS(Calc!$H$6:$H$505,"&gt;="&amp;DATE(E$6,1,1),Calc!$H$6:$H$505,"&lt;="&amp;DATE(E$6,12,31))</f>
        <v>0</v>
      </c>
      <c r="F13" s="26">
        <f ca="1">COUNTIFS(Calc!$H$6:$H$505,"&gt;="&amp;DATE(F$6,1,1),Calc!$H$6:$H$505,"&lt;="&amp;DATE(F$6,12,31))</f>
        <v>0</v>
      </c>
      <c r="G13" s="26">
        <f ca="1">COUNTIFS(Calc!$H$6:$H$505,"&gt;="&amp;DATE(G$6,1,1),Calc!$H$6:$H$505,"&lt;="&amp;DATE(G$6,12,31))</f>
        <v>0</v>
      </c>
    </row>
    <row r="14" spans="2:7" x14ac:dyDescent="0.2">
      <c r="B14" s="25">
        <f>IF(AND(Setup!$B$27="Yes",ISNUMBER(Setup!$C$27)),Setup!$C$27,"")</f>
        <v>30</v>
      </c>
      <c r="C14" s="26">
        <f ca="1">COUNTIFS(Calc!$I$6:$I$505,"&gt;="&amp;DATE(C$6,1,1),Calc!$I$6:$I$505,"&lt;="&amp;DATE(C$6,12,31))</f>
        <v>0</v>
      </c>
      <c r="D14" s="26">
        <f ca="1">COUNTIFS(Calc!$I$6:$I$505,"&gt;="&amp;DATE(D$6,1,1),Calc!$I$6:$I$505,"&lt;="&amp;DATE(D$6,12,31))</f>
        <v>1</v>
      </c>
      <c r="E14" s="26">
        <f ca="1">COUNTIFS(Calc!$I$6:$I$505,"&gt;="&amp;DATE(E$6,1,1),Calc!$I$6:$I$505,"&lt;="&amp;DATE(E$6,12,31))</f>
        <v>0</v>
      </c>
      <c r="F14" s="26">
        <f ca="1">COUNTIFS(Calc!$I$6:$I$505,"&gt;="&amp;DATE(F$6,1,1),Calc!$I$6:$I$505,"&lt;="&amp;DATE(F$6,12,31))</f>
        <v>0</v>
      </c>
      <c r="G14" s="26">
        <f ca="1">COUNTIFS(Calc!$I$6:$I$505,"&gt;="&amp;DATE(G$6,1,1),Calc!$I$6:$I$505,"&lt;="&amp;DATE(G$6,12,31))</f>
        <v>0</v>
      </c>
    </row>
    <row r="15" spans="2:7" x14ac:dyDescent="0.2">
      <c r="B15" s="25">
        <f>IF(AND(Setup!$B$28="Yes",ISNUMBER(Setup!$C$28)),Setup!$C$28,"")</f>
        <v>35</v>
      </c>
      <c r="C15" s="26">
        <f ca="1">COUNTIFS(Calc!$J$6:$J$505,"&gt;="&amp;DATE(C$6,1,1),Calc!$J$6:$J$505,"&lt;="&amp;DATE(C$6,12,31))</f>
        <v>0</v>
      </c>
      <c r="D15" s="26">
        <f ca="1">COUNTIFS(Calc!$J$6:$J$505,"&gt;="&amp;DATE(D$6,1,1),Calc!$J$6:$J$505,"&lt;="&amp;DATE(D$6,12,31))</f>
        <v>0</v>
      </c>
      <c r="E15" s="26">
        <f ca="1">COUNTIFS(Calc!$J$6:$J$505,"&gt;="&amp;DATE(E$6,1,1),Calc!$J$6:$J$505,"&lt;="&amp;DATE(E$6,12,31))</f>
        <v>0</v>
      </c>
      <c r="F15" s="26">
        <f ca="1">COUNTIFS(Calc!$J$6:$J$505,"&gt;="&amp;DATE(F$6,1,1),Calc!$J$6:$J$505,"&lt;="&amp;DATE(F$6,12,31))</f>
        <v>0</v>
      </c>
      <c r="G15" s="26">
        <f ca="1">COUNTIFS(Calc!$J$6:$J$505,"&gt;="&amp;DATE(G$6,1,1),Calc!$J$6:$J$505,"&lt;="&amp;DATE(G$6,12,31))</f>
        <v>0</v>
      </c>
    </row>
    <row r="16" spans="2:7" x14ac:dyDescent="0.2">
      <c r="B16" s="25">
        <f>IF(AND(Setup!$B$29="Yes",ISNUMBER(Setup!$C$29)),Setup!$C$29,"")</f>
        <v>40</v>
      </c>
      <c r="C16" s="26">
        <f ca="1">COUNTIFS(Calc!$K$6:$K$505,"&gt;="&amp;DATE(C$6,1,1),Calc!$K$6:$K$505,"&lt;="&amp;DATE(C$6,12,31))</f>
        <v>0</v>
      </c>
      <c r="D16" s="26">
        <f ca="1">COUNTIFS(Calc!$K$6:$K$505,"&gt;="&amp;DATE(D$6,1,1),Calc!$K$6:$K$505,"&lt;="&amp;DATE(D$6,12,31))</f>
        <v>0</v>
      </c>
      <c r="E16" s="26">
        <f ca="1">COUNTIFS(Calc!$K$6:$K$505,"&gt;="&amp;DATE(E$6,1,1),Calc!$K$6:$K$505,"&lt;="&amp;DATE(E$6,12,31))</f>
        <v>0</v>
      </c>
      <c r="F16" s="26">
        <f ca="1">COUNTIFS(Calc!$K$6:$K$505,"&gt;="&amp;DATE(F$6,1,1),Calc!$K$6:$K$505,"&lt;="&amp;DATE(F$6,12,31))</f>
        <v>0</v>
      </c>
      <c r="G16" s="26">
        <f ca="1">COUNTIFS(Calc!$K$6:$K$505,"&gt;="&amp;DATE(G$6,1,1),Calc!$K$6:$K$505,"&lt;="&amp;DATE(G$6,12,31))</f>
        <v>0</v>
      </c>
    </row>
    <row r="17" spans="2:7" x14ac:dyDescent="0.2">
      <c r="B17" s="25">
        <f>IF(AND(Setup!$B$30="Yes",ISNUMBER(Setup!$C$30)),Setup!$C$30,"")</f>
        <v>45</v>
      </c>
      <c r="C17" s="26">
        <f ca="1">COUNTIFS(Calc!$L$6:$L$505,"&gt;="&amp;DATE(C$6,1,1),Calc!$L$6:$L$505,"&lt;="&amp;DATE(C$6,12,31))</f>
        <v>0</v>
      </c>
      <c r="D17" s="26">
        <f ca="1">COUNTIFS(Calc!$L$6:$L$505,"&gt;="&amp;DATE(D$6,1,1),Calc!$L$6:$L$505,"&lt;="&amp;DATE(D$6,12,31))</f>
        <v>0</v>
      </c>
      <c r="E17" s="26">
        <f ca="1">COUNTIFS(Calc!$L$6:$L$505,"&gt;="&amp;DATE(E$6,1,1),Calc!$L$6:$L$505,"&lt;="&amp;DATE(E$6,12,31))</f>
        <v>0</v>
      </c>
      <c r="F17" s="26">
        <f ca="1">COUNTIFS(Calc!$L$6:$L$505,"&gt;="&amp;DATE(F$6,1,1),Calc!$L$6:$L$505,"&lt;="&amp;DATE(F$6,12,31))</f>
        <v>0</v>
      </c>
      <c r="G17" s="26">
        <f ca="1">COUNTIFS(Calc!$L$6:$L$505,"&gt;="&amp;DATE(G$6,1,1),Calc!$L$6:$L$505,"&lt;="&amp;DATE(G$6,12,31))</f>
        <v>0</v>
      </c>
    </row>
    <row r="18" spans="2:7" x14ac:dyDescent="0.2">
      <c r="B18" s="25">
        <f>IF(AND(Setup!$B$31="Yes",ISNUMBER(Setup!$C$31)),Setup!$C$31,"")</f>
        <v>50</v>
      </c>
      <c r="C18" s="26">
        <f ca="1">COUNTIFS(Calc!$M$6:$M$505,"&gt;="&amp;DATE(C$6,1,1),Calc!$M$6:$M$505,"&lt;="&amp;DATE(C$6,12,31))</f>
        <v>0</v>
      </c>
      <c r="D18" s="26">
        <f ca="1">COUNTIFS(Calc!$M$6:$M$505,"&gt;="&amp;DATE(D$6,1,1),Calc!$M$6:$M$505,"&lt;="&amp;DATE(D$6,12,31))</f>
        <v>0</v>
      </c>
      <c r="E18" s="26">
        <f ca="1">COUNTIFS(Calc!$M$6:$M$505,"&gt;="&amp;DATE(E$6,1,1),Calc!$M$6:$M$505,"&lt;="&amp;DATE(E$6,12,31))</f>
        <v>0</v>
      </c>
      <c r="F18" s="26">
        <f ca="1">COUNTIFS(Calc!$M$6:$M$505,"&gt;="&amp;DATE(F$6,1,1),Calc!$M$6:$M$505,"&lt;="&amp;DATE(F$6,12,31))</f>
        <v>0</v>
      </c>
      <c r="G18" s="26">
        <f ca="1">COUNTIFS(Calc!$M$6:$M$505,"&gt;="&amp;DATE(G$6,1,1),Calc!$M$6:$M$505,"&lt;="&amp;DATE(G$6,12,31))</f>
        <v>0</v>
      </c>
    </row>
    <row r="19" spans="2:7" x14ac:dyDescent="0.2">
      <c r="B19" s="25" t="str">
        <f>IF(AND(Setup!$B$32="Yes",ISNUMBER(Setup!$C$32)),Setup!$C$32,"")</f>
        <v/>
      </c>
      <c r="C19" s="26">
        <f ca="1">COUNTIFS(Calc!$N$6:$N$505,"&gt;="&amp;DATE(C$6,1,1),Calc!$N$6:$N$505,"&lt;="&amp;DATE(C$6,12,31))</f>
        <v>0</v>
      </c>
      <c r="D19" s="26">
        <f ca="1">COUNTIFS(Calc!$N$6:$N$505,"&gt;="&amp;DATE(D$6,1,1),Calc!$N$6:$N$505,"&lt;="&amp;DATE(D$6,12,31))</f>
        <v>0</v>
      </c>
      <c r="E19" s="26">
        <f ca="1">COUNTIFS(Calc!$N$6:$N$505,"&gt;="&amp;DATE(E$6,1,1),Calc!$N$6:$N$505,"&lt;="&amp;DATE(E$6,12,31))</f>
        <v>0</v>
      </c>
      <c r="F19" s="26">
        <f ca="1">COUNTIFS(Calc!$N$6:$N$505,"&gt;="&amp;DATE(F$6,1,1),Calc!$N$6:$N$505,"&lt;="&amp;DATE(F$6,12,31))</f>
        <v>0</v>
      </c>
      <c r="G19" s="26">
        <f ca="1">COUNTIFS(Calc!$N$6:$N$505,"&gt;="&amp;DATE(G$6,1,1),Calc!$N$6:$N$505,"&lt;="&amp;DATE(G$6,12,31))</f>
        <v>0</v>
      </c>
    </row>
    <row r="20" spans="2:7" x14ac:dyDescent="0.2">
      <c r="B20" s="25" t="str">
        <f>IF(AND(Setup!$B$33="Yes",ISNUMBER(Setup!$C$33)),Setup!$C$33,"")</f>
        <v/>
      </c>
      <c r="C20" s="26">
        <f ca="1">COUNTIFS(Calc!$O$6:$O$505,"&gt;="&amp;DATE(C$6,1,1),Calc!$O$6:$O$505,"&lt;="&amp;DATE(C$6,12,31))</f>
        <v>0</v>
      </c>
      <c r="D20" s="26">
        <f ca="1">COUNTIFS(Calc!$O$6:$O$505,"&gt;="&amp;DATE(D$6,1,1),Calc!$O$6:$O$505,"&lt;="&amp;DATE(D$6,12,31))</f>
        <v>0</v>
      </c>
      <c r="E20" s="26">
        <f ca="1">COUNTIFS(Calc!$O$6:$O$505,"&gt;="&amp;DATE(E$6,1,1),Calc!$O$6:$O$505,"&lt;="&amp;DATE(E$6,12,31))</f>
        <v>0</v>
      </c>
      <c r="F20" s="26">
        <f ca="1">COUNTIFS(Calc!$O$6:$O$505,"&gt;="&amp;DATE(F$6,1,1),Calc!$O$6:$O$505,"&lt;="&amp;DATE(F$6,12,31))</f>
        <v>0</v>
      </c>
      <c r="G20" s="26">
        <f ca="1">COUNTIFS(Calc!$O$6:$O$505,"&gt;="&amp;DATE(G$6,1,1),Calc!$O$6:$O$505,"&lt;="&amp;DATE(G$6,12,31))</f>
        <v>0</v>
      </c>
    </row>
    <row r="21" spans="2:7" x14ac:dyDescent="0.2">
      <c r="B21" s="25" t="str">
        <f>IF(AND(Setup!$B$34="Yes",ISNUMBER(Setup!$C$34)),Setup!$C$34,"")</f>
        <v/>
      </c>
      <c r="C21" s="26">
        <f ca="1">COUNTIFS(Calc!$P$6:$P$505,"&gt;="&amp;DATE(C$6,1,1),Calc!$P$6:$P$505,"&lt;="&amp;DATE(C$6,12,31))</f>
        <v>0</v>
      </c>
      <c r="D21" s="26">
        <f ca="1">COUNTIFS(Calc!$P$6:$P$505,"&gt;="&amp;DATE(D$6,1,1),Calc!$P$6:$P$505,"&lt;="&amp;DATE(D$6,12,31))</f>
        <v>0</v>
      </c>
      <c r="E21" s="26">
        <f ca="1">COUNTIFS(Calc!$P$6:$P$505,"&gt;="&amp;DATE(E$6,1,1),Calc!$P$6:$P$505,"&lt;="&amp;DATE(E$6,12,31))</f>
        <v>0</v>
      </c>
      <c r="F21" s="26">
        <f ca="1">COUNTIFS(Calc!$P$6:$P$505,"&gt;="&amp;DATE(F$6,1,1),Calc!$P$6:$P$505,"&lt;="&amp;DATE(F$6,12,31))</f>
        <v>0</v>
      </c>
      <c r="G21" s="26">
        <f ca="1">COUNTIFS(Calc!$P$6:$P$505,"&gt;="&amp;DATE(G$6,1,1),Calc!$P$6:$P$505,"&lt;="&amp;DATE(G$6,12,31))</f>
        <v>0</v>
      </c>
    </row>
    <row r="22" spans="2:7" x14ac:dyDescent="0.2">
      <c r="B22" s="27" t="s">
        <v>151</v>
      </c>
      <c r="C22" s="28">
        <f ca="1">SUM(C7:C21)</f>
        <v>4</v>
      </c>
      <c r="D22" s="28">
        <f ca="1">SUM(D7:D21)</f>
        <v>8</v>
      </c>
      <c r="E22" s="28">
        <f ca="1">SUM(E7:E21)</f>
        <v>3</v>
      </c>
      <c r="F22" s="28">
        <f ca="1">SUM(F7:F21)</f>
        <v>2</v>
      </c>
      <c r="G22" s="28">
        <f ca="1">SUM(G7:G21)</f>
        <v>2</v>
      </c>
    </row>
    <row r="24" spans="2:7" ht="16" x14ac:dyDescent="0.2">
      <c r="B24" s="4" t="s">
        <v>152</v>
      </c>
    </row>
    <row r="25" spans="2:7" x14ac:dyDescent="0.2">
      <c r="B25" s="15" t="s">
        <v>145</v>
      </c>
      <c r="C25" s="24">
        <f ca="1">YEAR(Setup!$C$5)+0</f>
        <v>2026</v>
      </c>
      <c r="D25" s="24">
        <f ca="1">YEAR(Setup!$C$5)+1</f>
        <v>2027</v>
      </c>
      <c r="E25" s="24">
        <f ca="1">YEAR(Setup!$C$5)+2</f>
        <v>2028</v>
      </c>
      <c r="F25" s="24">
        <f ca="1">YEAR(Setup!$C$5)+3</f>
        <v>2029</v>
      </c>
      <c r="G25" s="24">
        <f ca="1">YEAR(Setup!$C$5)+4</f>
        <v>2030</v>
      </c>
    </row>
    <row r="26" spans="2:7" x14ac:dyDescent="0.2">
      <c r="B26" s="25">
        <f>IF(AND(Setup!$B$20="Yes",ISNUMBER(Setup!$C$20)),Setup!$C$20,"")</f>
        <v>1</v>
      </c>
      <c r="C26" s="29">
        <f ca="1">C7*Setup!$F$20</f>
        <v>75</v>
      </c>
      <c r="D26" s="29">
        <f ca="1">D7*Setup!$F$20</f>
        <v>37.5</v>
      </c>
      <c r="E26" s="29">
        <f ca="1">E7*Setup!$F$20</f>
        <v>0</v>
      </c>
      <c r="F26" s="29">
        <f ca="1">F7*Setup!$F$20</f>
        <v>0</v>
      </c>
      <c r="G26" s="29">
        <f ca="1">G7*Setup!$F$20</f>
        <v>0</v>
      </c>
    </row>
    <row r="27" spans="2:7" x14ac:dyDescent="0.2">
      <c r="B27" s="25">
        <f>IF(AND(Setup!$B$21="Yes",ISNUMBER(Setup!$C$21)),Setup!$C$21,"")</f>
        <v>3</v>
      </c>
      <c r="C27" s="29">
        <f ca="1">C8*Setup!$F$21</f>
        <v>40.5</v>
      </c>
      <c r="D27" s="29">
        <f ca="1">D8*Setup!$F$21</f>
        <v>40.5</v>
      </c>
      <c r="E27" s="29">
        <f ca="1">E8*Setup!$F$21</f>
        <v>81</v>
      </c>
      <c r="F27" s="29">
        <f ca="1">F8*Setup!$F$21</f>
        <v>40.5</v>
      </c>
      <c r="G27" s="29">
        <f ca="1">G8*Setup!$F$21</f>
        <v>0</v>
      </c>
    </row>
    <row r="28" spans="2:7" x14ac:dyDescent="0.2">
      <c r="B28" s="25">
        <f>IF(AND(Setup!$B$22="Yes",ISNUMBER(Setup!$C$22)),Setup!$C$22,"")</f>
        <v>5</v>
      </c>
      <c r="C28" s="29">
        <f ca="1">C9*Setup!$F$22</f>
        <v>40.5</v>
      </c>
      <c r="D28" s="29">
        <f ca="1">D9*Setup!$F$22</f>
        <v>40.5</v>
      </c>
      <c r="E28" s="29">
        <f ca="1">E9*Setup!$F$22</f>
        <v>40.5</v>
      </c>
      <c r="F28" s="29">
        <f ca="1">F9*Setup!$F$22</f>
        <v>40.5</v>
      </c>
      <c r="G28" s="29">
        <f ca="1">G9*Setup!$F$22</f>
        <v>81</v>
      </c>
    </row>
    <row r="29" spans="2:7" x14ac:dyDescent="0.2">
      <c r="B29" s="25">
        <f>IF(AND(Setup!$B$23="Yes",ISNUMBER(Setup!$C$23)),Setup!$C$23,"")</f>
        <v>10</v>
      </c>
      <c r="C29" s="29">
        <f ca="1">C10*Setup!$F$23</f>
        <v>0</v>
      </c>
      <c r="D29" s="29">
        <f ca="1">D10*Setup!$F$23</f>
        <v>48.5</v>
      </c>
      <c r="E29" s="29">
        <f ca="1">E10*Setup!$F$23</f>
        <v>0</v>
      </c>
      <c r="F29" s="29">
        <f ca="1">F10*Setup!$F$23</f>
        <v>0</v>
      </c>
      <c r="G29" s="29">
        <f ca="1">G10*Setup!$F$23</f>
        <v>0</v>
      </c>
    </row>
    <row r="30" spans="2:7" x14ac:dyDescent="0.2">
      <c r="B30" s="25">
        <f>IF(AND(Setup!$B$24="Yes",ISNUMBER(Setup!$C$24)),Setup!$C$24,"")</f>
        <v>15</v>
      </c>
      <c r="C30" s="29">
        <f ca="1">C11*Setup!$F$24</f>
        <v>0</v>
      </c>
      <c r="D30" s="29">
        <f ca="1">D11*Setup!$F$24</f>
        <v>48.5</v>
      </c>
      <c r="E30" s="29">
        <f ca="1">E11*Setup!$F$24</f>
        <v>0</v>
      </c>
      <c r="F30" s="29">
        <f ca="1">F11*Setup!$F$24</f>
        <v>0</v>
      </c>
      <c r="G30" s="29">
        <f ca="1">G11*Setup!$F$24</f>
        <v>0</v>
      </c>
    </row>
    <row r="31" spans="2:7" x14ac:dyDescent="0.2">
      <c r="B31" s="25">
        <f>IF(AND(Setup!$B$25="Yes",ISNUMBER(Setup!$C$25)),Setup!$C$25,"")</f>
        <v>20</v>
      </c>
      <c r="C31" s="29">
        <f ca="1">C12*Setup!$F$25</f>
        <v>0</v>
      </c>
      <c r="D31" s="29">
        <f ca="1">D12*Setup!$F$25</f>
        <v>55.5</v>
      </c>
      <c r="E31" s="29">
        <f ca="1">E12*Setup!$F$25</f>
        <v>0</v>
      </c>
      <c r="F31" s="29">
        <f ca="1">F12*Setup!$F$25</f>
        <v>0</v>
      </c>
      <c r="G31" s="29">
        <f ca="1">G12*Setup!$F$25</f>
        <v>0</v>
      </c>
    </row>
    <row r="32" spans="2:7" x14ac:dyDescent="0.2">
      <c r="B32" s="25">
        <f>IF(AND(Setup!$B$26="Yes",ISNUMBER(Setup!$C$26)),Setup!$C$26,"")</f>
        <v>25</v>
      </c>
      <c r="C32" s="29">
        <f ca="1">C13*Setup!$F$26</f>
        <v>0</v>
      </c>
      <c r="D32" s="29">
        <f ca="1">D13*Setup!$F$26</f>
        <v>55.5</v>
      </c>
      <c r="E32" s="29">
        <f ca="1">E13*Setup!$F$26</f>
        <v>0</v>
      </c>
      <c r="F32" s="29">
        <f ca="1">F13*Setup!$F$26</f>
        <v>0</v>
      </c>
      <c r="G32" s="29">
        <f ca="1">G13*Setup!$F$26</f>
        <v>0</v>
      </c>
    </row>
    <row r="33" spans="2:7" x14ac:dyDescent="0.2">
      <c r="B33" s="25">
        <f>IF(AND(Setup!$B$27="Yes",ISNUMBER(Setup!$C$27)),Setup!$C$27,"")</f>
        <v>30</v>
      </c>
      <c r="C33" s="29">
        <f ca="1">C14*Setup!$F$27</f>
        <v>0</v>
      </c>
      <c r="D33" s="29">
        <f ca="1">D14*Setup!$F$27</f>
        <v>55.5</v>
      </c>
      <c r="E33" s="29">
        <f ca="1">E14*Setup!$F$27</f>
        <v>0</v>
      </c>
      <c r="F33" s="29">
        <f ca="1">F14*Setup!$F$27</f>
        <v>0</v>
      </c>
      <c r="G33" s="29">
        <f ca="1">G14*Setup!$F$27</f>
        <v>0</v>
      </c>
    </row>
    <row r="34" spans="2:7" x14ac:dyDescent="0.2">
      <c r="B34" s="25">
        <f>IF(AND(Setup!$B$28="Yes",ISNUMBER(Setup!$C$28)),Setup!$C$28,"")</f>
        <v>35</v>
      </c>
      <c r="C34" s="29">
        <f ca="1">C15*Setup!$F$28</f>
        <v>0</v>
      </c>
      <c r="D34" s="29">
        <f ca="1">D15*Setup!$F$28</f>
        <v>0</v>
      </c>
      <c r="E34" s="29">
        <f ca="1">E15*Setup!$F$28</f>
        <v>0</v>
      </c>
      <c r="F34" s="29">
        <f ca="1">F15*Setup!$F$28</f>
        <v>0</v>
      </c>
      <c r="G34" s="29">
        <f ca="1">G15*Setup!$F$28</f>
        <v>0</v>
      </c>
    </row>
    <row r="35" spans="2:7" x14ac:dyDescent="0.2">
      <c r="B35" s="25">
        <f>IF(AND(Setup!$B$29="Yes",ISNUMBER(Setup!$C$29)),Setup!$C$29,"")</f>
        <v>40</v>
      </c>
      <c r="C35" s="29">
        <f ca="1">C16*Setup!$F$29</f>
        <v>0</v>
      </c>
      <c r="D35" s="29">
        <f ca="1">D16*Setup!$F$29</f>
        <v>0</v>
      </c>
      <c r="E35" s="29">
        <f ca="1">E16*Setup!$F$29</f>
        <v>0</v>
      </c>
      <c r="F35" s="29">
        <f ca="1">F16*Setup!$F$29</f>
        <v>0</v>
      </c>
      <c r="G35" s="29">
        <f ca="1">G16*Setup!$F$29</f>
        <v>0</v>
      </c>
    </row>
    <row r="36" spans="2:7" x14ac:dyDescent="0.2">
      <c r="B36" s="25">
        <f>IF(AND(Setup!$B$30="Yes",ISNUMBER(Setup!$C$30)),Setup!$C$30,"")</f>
        <v>45</v>
      </c>
      <c r="C36" s="29">
        <f ca="1">C17*Setup!$F$30</f>
        <v>0</v>
      </c>
      <c r="D36" s="29">
        <f ca="1">D17*Setup!$F$30</f>
        <v>0</v>
      </c>
      <c r="E36" s="29">
        <f ca="1">E17*Setup!$F$30</f>
        <v>0</v>
      </c>
      <c r="F36" s="29">
        <f ca="1">F17*Setup!$F$30</f>
        <v>0</v>
      </c>
      <c r="G36" s="29">
        <f ca="1">G17*Setup!$F$30</f>
        <v>0</v>
      </c>
    </row>
    <row r="37" spans="2:7" x14ac:dyDescent="0.2">
      <c r="B37" s="25">
        <f>IF(AND(Setup!$B$31="Yes",ISNUMBER(Setup!$C$31)),Setup!$C$31,"")</f>
        <v>50</v>
      </c>
      <c r="C37" s="29">
        <f ca="1">C18*Setup!$F$31</f>
        <v>0</v>
      </c>
      <c r="D37" s="29">
        <f ca="1">D18*Setup!$F$31</f>
        <v>0</v>
      </c>
      <c r="E37" s="29">
        <f ca="1">E18*Setup!$F$31</f>
        <v>0</v>
      </c>
      <c r="F37" s="29">
        <f ca="1">F18*Setup!$F$31</f>
        <v>0</v>
      </c>
      <c r="G37" s="29">
        <f ca="1">G18*Setup!$F$31</f>
        <v>0</v>
      </c>
    </row>
    <row r="38" spans="2:7" x14ac:dyDescent="0.2">
      <c r="B38" s="25" t="str">
        <f>IF(AND(Setup!$B$32="Yes",ISNUMBER(Setup!$C$32)),Setup!$C$32,"")</f>
        <v/>
      </c>
      <c r="C38" s="29">
        <f ca="1">C19*Setup!$F$32</f>
        <v>0</v>
      </c>
      <c r="D38" s="29">
        <f ca="1">D19*Setup!$F$32</f>
        <v>0</v>
      </c>
      <c r="E38" s="29">
        <f ca="1">E19*Setup!$F$32</f>
        <v>0</v>
      </c>
      <c r="F38" s="29">
        <f ca="1">F19*Setup!$F$32</f>
        <v>0</v>
      </c>
      <c r="G38" s="29">
        <f ca="1">G19*Setup!$F$32</f>
        <v>0</v>
      </c>
    </row>
    <row r="39" spans="2:7" x14ac:dyDescent="0.2">
      <c r="B39" s="25" t="str">
        <f>IF(AND(Setup!$B$33="Yes",ISNUMBER(Setup!$C$33)),Setup!$C$33,"")</f>
        <v/>
      </c>
      <c r="C39" s="29">
        <f ca="1">C20*Setup!$F$33</f>
        <v>0</v>
      </c>
      <c r="D39" s="29">
        <f ca="1">D20*Setup!$F$33</f>
        <v>0</v>
      </c>
      <c r="E39" s="29">
        <f ca="1">E20*Setup!$F$33</f>
        <v>0</v>
      </c>
      <c r="F39" s="29">
        <f ca="1">F20*Setup!$F$33</f>
        <v>0</v>
      </c>
      <c r="G39" s="29">
        <f ca="1">G20*Setup!$F$33</f>
        <v>0</v>
      </c>
    </row>
    <row r="40" spans="2:7" x14ac:dyDescent="0.2">
      <c r="B40" s="25" t="str">
        <f>IF(AND(Setup!$B$34="Yes",ISNUMBER(Setup!$C$34)),Setup!$C$34,"")</f>
        <v/>
      </c>
      <c r="C40" s="29">
        <f ca="1">C21*Setup!$F$34</f>
        <v>0</v>
      </c>
      <c r="D40" s="29">
        <f ca="1">D21*Setup!$F$34</f>
        <v>0</v>
      </c>
      <c r="E40" s="29">
        <f ca="1">E21*Setup!$F$34</f>
        <v>0</v>
      </c>
      <c r="F40" s="29">
        <f ca="1">F21*Setup!$F$34</f>
        <v>0</v>
      </c>
      <c r="G40" s="29">
        <f ca="1">G21*Setup!$F$34</f>
        <v>0</v>
      </c>
    </row>
    <row r="41" spans="2:7" x14ac:dyDescent="0.2">
      <c r="B41" s="27" t="s">
        <v>151</v>
      </c>
      <c r="C41" s="30">
        <f ca="1">SUM(C26:C40)</f>
        <v>156</v>
      </c>
      <c r="D41" s="30">
        <f ca="1">SUM(D26:D40)</f>
        <v>382</v>
      </c>
      <c r="E41" s="30">
        <f ca="1">SUM(E26:E40)</f>
        <v>121.5</v>
      </c>
      <c r="F41" s="30">
        <f ca="1">SUM(F26:F40)</f>
        <v>81</v>
      </c>
      <c r="G41" s="30">
        <f ca="1">SUM(G26:G40)</f>
        <v>81</v>
      </c>
    </row>
    <row r="43" spans="2:7" ht="16" x14ac:dyDescent="0.2">
      <c r="B43" s="4" t="s">
        <v>153</v>
      </c>
    </row>
    <row r="44" spans="2:7" ht="30" customHeight="1" x14ac:dyDescent="0.2">
      <c r="B44" s="15" t="s">
        <v>154</v>
      </c>
      <c r="C44" s="24">
        <f ca="1">YEAR(Setup!$C$5)+0</f>
        <v>2026</v>
      </c>
      <c r="D44" s="24">
        <f ca="1">YEAR(Setup!$C$5)+1</f>
        <v>2027</v>
      </c>
      <c r="E44" s="24">
        <f ca="1">YEAR(Setup!$C$5)+2</f>
        <v>2028</v>
      </c>
      <c r="F44" s="24">
        <f ca="1">YEAR(Setup!$C$5)+3</f>
        <v>2029</v>
      </c>
      <c r="G44" s="24">
        <f ca="1">YEAR(Setup!$C$5)+4</f>
        <v>2030</v>
      </c>
    </row>
    <row r="45" spans="2:7" x14ac:dyDescent="0.2">
      <c r="B45" s="27" t="s">
        <v>155</v>
      </c>
      <c r="C45" s="26">
        <f ca="1">COUNTIF(Roster!$B$6:$B$505,"&lt;"&amp;DATE(C$44,1,1))-C22</f>
        <v>7</v>
      </c>
      <c r="D45" s="26">
        <f ca="1">COUNTIF(Roster!$B$6:$B$505,"&lt;"&amp;DATE(D$44,1,1))-D22</f>
        <v>4</v>
      </c>
      <c r="E45" s="26">
        <f ca="1">COUNTIF(Roster!$B$6:$B$505,"&lt;"&amp;DATE(E$44,1,1))-E22</f>
        <v>9</v>
      </c>
      <c r="F45" s="26">
        <f ca="1">COUNTIF(Roster!$B$6:$B$505,"&lt;"&amp;DATE(F$44,1,1))-F22</f>
        <v>10</v>
      </c>
      <c r="G45" s="26">
        <f ca="1">COUNTIF(Roster!$B$6:$B$505,"&lt;"&amp;DATE(G$44,1,1))-G22</f>
        <v>10</v>
      </c>
    </row>
    <row r="46" spans="2:7" x14ac:dyDescent="0.2">
      <c r="B46" s="21" t="s">
        <v>156</v>
      </c>
      <c r="C46" s="31">
        <v>0</v>
      </c>
    </row>
    <row r="47" spans="2:7" x14ac:dyDescent="0.2">
      <c r="B47" s="27" t="s">
        <v>157</v>
      </c>
      <c r="C47" s="29">
        <f ca="1">C45*$C$46</f>
        <v>0</v>
      </c>
      <c r="D47" s="29">
        <f ca="1">D45*$C$46</f>
        <v>0</v>
      </c>
      <c r="E47" s="29">
        <f ca="1">E45*$C$46</f>
        <v>0</v>
      </c>
      <c r="F47" s="29">
        <f ca="1">F45*$C$46</f>
        <v>0</v>
      </c>
      <c r="G47" s="29">
        <f ca="1">G45*$C$46</f>
        <v>0</v>
      </c>
    </row>
    <row r="48" spans="2:7" x14ac:dyDescent="0.2">
      <c r="B48" s="10" t="s">
        <v>158</v>
      </c>
    </row>
  </sheetData>
  <mergeCells count="1">
    <mergeCell ref="B3:G3"/>
  </mergeCells>
  <dataValidations count="1">
    <dataValidation type="decimal" operator="greaterThanOrEqual" showErrorMessage="1" errorTitle="Cost" error="Enter the cost as a number." sqref="C46" xr:uid="{00000000-0002-0000-0500-000000000000}">
      <formula1>0</formula1>
    </dataValidation>
  </dataValidations>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505"/>
  <sheetViews>
    <sheetView workbookViewId="0"/>
  </sheetViews>
  <sheetFormatPr baseColWidth="10" defaultColWidth="8.83203125" defaultRowHeight="15" x14ac:dyDescent="0.2"/>
  <sheetData>
    <row r="1" spans="1:49" x14ac:dyDescent="0.2">
      <c r="A1" t="s">
        <v>159</v>
      </c>
    </row>
    <row r="2" spans="1:49" x14ac:dyDescent="0.2">
      <c r="AJ2" t="s">
        <v>160</v>
      </c>
      <c r="AK2">
        <f ca="1">COUNTIF($R$6:$AF$505,"&lt;"&amp;(EDATE(Setup!$C$5,12)+1))</f>
        <v>11</v>
      </c>
      <c r="AV2">
        <f ca="1">COUNT($AR$6:$AR$505)</f>
        <v>12</v>
      </c>
    </row>
    <row r="6" spans="1:49" x14ac:dyDescent="0.2">
      <c r="B6" s="32">
        <f>IF(AND(ISNUMBER(Roster!$B6),Setup!$B$20="Yes",ISNUMBER(Setup!$C$20)),EDATE(Roster!$B6,12*Setup!$C$20),"")</f>
        <v>46346</v>
      </c>
      <c r="C6" s="32">
        <f>IF(AND(ISNUMBER(Roster!$B6),Setup!$B$21="Yes",ISNUMBER(Setup!$C$21)),EDATE(Roster!$B6,12*Setup!$C$21),"")</f>
        <v>47077</v>
      </c>
      <c r="D6" s="32">
        <f>IF(AND(ISNUMBER(Roster!$B6),Setup!$B$22="Yes",ISNUMBER(Setup!$C$22)),EDATE(Roster!$B6,12*Setup!$C$22),"")</f>
        <v>47807</v>
      </c>
      <c r="E6" s="32">
        <f>IF(AND(ISNUMBER(Roster!$B6),Setup!$B$23="Yes",ISNUMBER(Setup!$C$23)),EDATE(Roster!$B6,12*Setup!$C$23),"")</f>
        <v>49633</v>
      </c>
      <c r="F6" s="32">
        <f>IF(AND(ISNUMBER(Roster!$B6),Setup!$B$24="Yes",ISNUMBER(Setup!$C$24)),EDATE(Roster!$B6,12*Setup!$C$24),"")</f>
        <v>51460</v>
      </c>
      <c r="G6" s="32">
        <f>IF(AND(ISNUMBER(Roster!$B6),Setup!$B$25="Yes",ISNUMBER(Setup!$C$25)),EDATE(Roster!$B6,12*Setup!$C$25),"")</f>
        <v>53286</v>
      </c>
      <c r="H6" s="32">
        <f>IF(AND(ISNUMBER(Roster!$B6),Setup!$B$26="Yes",ISNUMBER(Setup!$C$26)),EDATE(Roster!$B6,12*Setup!$C$26),"")</f>
        <v>55112</v>
      </c>
      <c r="I6" s="32">
        <f>IF(AND(ISNUMBER(Roster!$B6),Setup!$B$27="Yes",ISNUMBER(Setup!$C$27)),EDATE(Roster!$B6,12*Setup!$C$27),"")</f>
        <v>56938</v>
      </c>
      <c r="J6" s="32">
        <f>IF(AND(ISNUMBER(Roster!$B6),Setup!$B$28="Yes",ISNUMBER(Setup!$C$28)),EDATE(Roster!$B6,12*Setup!$C$28),"")</f>
        <v>58765</v>
      </c>
      <c r="K6" s="32">
        <f>IF(AND(ISNUMBER(Roster!$B6),Setup!$B$29="Yes",ISNUMBER(Setup!$C$29)),EDATE(Roster!$B6,12*Setup!$C$29),"")</f>
        <v>60591</v>
      </c>
      <c r="L6" s="32">
        <f>IF(AND(ISNUMBER(Roster!$B6),Setup!$B$30="Yes",ISNUMBER(Setup!$C$30)),EDATE(Roster!$B6,12*Setup!$C$30),"")</f>
        <v>62417</v>
      </c>
      <c r="M6" s="32">
        <f>IF(AND(ISNUMBER(Roster!$B6),Setup!$B$31="Yes",ISNUMBER(Setup!$C$31)),EDATE(Roster!$B6,12*Setup!$C$31),"")</f>
        <v>64243</v>
      </c>
      <c r="N6" s="32" t="str">
        <f>IF(AND(ISNUMBER(Roster!$B6),Setup!$B$32="Yes",ISNUMBER(Setup!$C$32)),EDATE(Roster!$B6,12*Setup!$C$32),"")</f>
        <v/>
      </c>
      <c r="O6" s="32" t="str">
        <f>IF(AND(ISNUMBER(Roster!$B6),Setup!$B$33="Yes",ISNUMBER(Setup!$C$33)),EDATE(Roster!$B6,12*Setup!$C$33),"")</f>
        <v/>
      </c>
      <c r="P6" s="32" t="str">
        <f>IF(AND(ISNUMBER(Roster!$B6),Setup!$B$34="Yes",ISNUMBER(Setup!$C$34)),EDATE(Roster!$B6,12*Setup!$C$34),"")</f>
        <v/>
      </c>
      <c r="R6">
        <f ca="1">IF(B6="","",IF(B6&lt;Setup!$C$5-Setup!$C$6,"",IF(IF(ISNUMBER(Roster!$D6),Setup!$C$20&lt;=Roster!$D6,FALSE),"",IF(OR(IF(Setup!$C$15&lt;=Setup!$C$16,AND(MONTH(B6)&gt;=Setup!$C$15,MONTH(B6)&lt;=Setup!$C$16),OR(MONTH(B6)&gt;=Setup!$C$15,MONTH(B6)&lt;=Setup!$C$16)),IF(Setup!$C$15&lt;=Setup!$C$16,AND(MONTH(WORKDAY(B6,-(Setup!$C$13+Setup!$G$20),Setup!$C$39:$C$50))&gt;=Setup!$C$15,MONTH(WORKDAY(B6,-(Setup!$C$13+Setup!$G$20),Setup!$C$39:$C$50))&lt;=Setup!$C$16),OR(MONTH(WORKDAY(B6,-(Setup!$C$13+Setup!$G$20),Setup!$C$39:$C$50))&gt;=Setup!$C$15,MONTH(WORKDAY(B6,-(Setup!$C$13+Setup!$G$20),Setup!$C$39:$C$50))&lt;=Setup!$C$16))),WORKDAY(B6,-(Setup!$C$13+Setup!$G$20+Setup!$C$14),Setup!$C$39:$C$50),WORKDAY(B6,-(Setup!$C$13+Setup!$G$20),Setup!$C$39:$C$50))+(1*100+1)/10000000)))</f>
        <v>46311.000010099997</v>
      </c>
      <c r="S6">
        <f ca="1">IF(C6="","",IF(C6&lt;Setup!$C$5-Setup!$C$6,"",IF(IF(ISNUMBER(Roster!$D6),Setup!$C$21&lt;=Roster!$D6,FALSE),"",IF(OR(IF(Setup!$C$15&lt;=Setup!$C$16,AND(MONTH(C6)&gt;=Setup!$C$15,MONTH(C6)&lt;=Setup!$C$16),OR(MONTH(C6)&gt;=Setup!$C$15,MONTH(C6)&lt;=Setup!$C$16)),IF(Setup!$C$15&lt;=Setup!$C$16,AND(MONTH(WORKDAY(C6,-(Setup!$C$13+Setup!$G$21),Setup!$C$39:$C$50))&gt;=Setup!$C$15,MONTH(WORKDAY(C6,-(Setup!$C$13+Setup!$G$21),Setup!$C$39:$C$50))&lt;=Setup!$C$16),OR(MONTH(WORKDAY(C6,-(Setup!$C$13+Setup!$G$21),Setup!$C$39:$C$50))&gt;=Setup!$C$15,MONTH(WORKDAY(C6,-(Setup!$C$13+Setup!$G$21),Setup!$C$39:$C$50))&lt;=Setup!$C$16))),WORKDAY(C6,-(Setup!$C$13+Setup!$G$21+Setup!$C$14),Setup!$C$39:$C$50),WORKDAY(C6,-(Setup!$C$13+Setup!$G$21),Setup!$C$39:$C$50))+(1*100+2)/10000000)))</f>
        <v>47042.000010199998</v>
      </c>
      <c r="T6">
        <f ca="1">IF(D6="","",IF(D6&lt;Setup!$C$5-Setup!$C$6,"",IF(IF(ISNUMBER(Roster!$D6),Setup!$C$22&lt;=Roster!$D6,FALSE),"",IF(OR(IF(Setup!$C$15&lt;=Setup!$C$16,AND(MONTH(D6)&gt;=Setup!$C$15,MONTH(D6)&lt;=Setup!$C$16),OR(MONTH(D6)&gt;=Setup!$C$15,MONTH(D6)&lt;=Setup!$C$16)),IF(Setup!$C$15&lt;=Setup!$C$16,AND(MONTH(WORKDAY(D6,-(Setup!$C$13+Setup!$G$22),Setup!$C$39:$C$50))&gt;=Setup!$C$15,MONTH(WORKDAY(D6,-(Setup!$C$13+Setup!$G$22),Setup!$C$39:$C$50))&lt;=Setup!$C$16),OR(MONTH(WORKDAY(D6,-(Setup!$C$13+Setup!$G$22),Setup!$C$39:$C$50))&gt;=Setup!$C$15,MONTH(WORKDAY(D6,-(Setup!$C$13+Setup!$G$22),Setup!$C$39:$C$50))&lt;=Setup!$C$16))),WORKDAY(D6,-(Setup!$C$13+Setup!$G$22+Setup!$C$14),Setup!$C$39:$C$50),WORKDAY(D6,-(Setup!$C$13+Setup!$G$22),Setup!$C$39:$C$50))+(1*100+3)/10000000)))</f>
        <v>47772.000010299998</v>
      </c>
      <c r="U6">
        <f ca="1">IF(E6="","",IF(E6&lt;Setup!$C$5-Setup!$C$6,"",IF(IF(ISNUMBER(Roster!$D6),Setup!$C$23&lt;=Roster!$D6,FALSE),"",IF(OR(IF(Setup!$C$15&lt;=Setup!$C$16,AND(MONTH(E6)&gt;=Setup!$C$15,MONTH(E6)&lt;=Setup!$C$16),OR(MONTH(E6)&gt;=Setup!$C$15,MONTH(E6)&lt;=Setup!$C$16)),IF(Setup!$C$15&lt;=Setup!$C$16,AND(MONTH(WORKDAY(E6,-(Setup!$C$13+Setup!$G$23),Setup!$C$39:$C$50))&gt;=Setup!$C$15,MONTH(WORKDAY(E6,-(Setup!$C$13+Setup!$G$23),Setup!$C$39:$C$50))&lt;=Setup!$C$16),OR(MONTH(WORKDAY(E6,-(Setup!$C$13+Setup!$G$23),Setup!$C$39:$C$50))&gt;=Setup!$C$15,MONTH(WORKDAY(E6,-(Setup!$C$13+Setup!$G$23),Setup!$C$39:$C$50))&lt;=Setup!$C$16))),WORKDAY(E6,-(Setup!$C$13+Setup!$G$23+Setup!$C$14),Setup!$C$39:$C$50),WORKDAY(E6,-(Setup!$C$13+Setup!$G$23),Setup!$C$39:$C$50))+(1*100+4)/10000000)))</f>
        <v>49598.000010399999</v>
      </c>
      <c r="V6">
        <f ca="1">IF(F6="","",IF(F6&lt;Setup!$C$5-Setup!$C$6,"",IF(IF(ISNUMBER(Roster!$D6),Setup!$C$24&lt;=Roster!$D6,FALSE),"",IF(OR(IF(Setup!$C$15&lt;=Setup!$C$16,AND(MONTH(F6)&gt;=Setup!$C$15,MONTH(F6)&lt;=Setup!$C$16),OR(MONTH(F6)&gt;=Setup!$C$15,MONTH(F6)&lt;=Setup!$C$16)),IF(Setup!$C$15&lt;=Setup!$C$16,AND(MONTH(WORKDAY(F6,-(Setup!$C$13+Setup!$G$24),Setup!$C$39:$C$50))&gt;=Setup!$C$15,MONTH(WORKDAY(F6,-(Setup!$C$13+Setup!$G$24),Setup!$C$39:$C$50))&lt;=Setup!$C$16),OR(MONTH(WORKDAY(F6,-(Setup!$C$13+Setup!$G$24),Setup!$C$39:$C$50))&gt;=Setup!$C$15,MONTH(WORKDAY(F6,-(Setup!$C$13+Setup!$G$24),Setup!$C$39:$C$50))&lt;=Setup!$C$16))),WORKDAY(F6,-(Setup!$C$13+Setup!$G$24+Setup!$C$14),Setup!$C$39:$C$50),WORKDAY(F6,-(Setup!$C$13+Setup!$G$24),Setup!$C$39:$C$50))+(1*100+5)/10000000)))</f>
        <v>51425.0000105</v>
      </c>
      <c r="W6">
        <f ca="1">IF(G6="","",IF(G6&lt;Setup!$C$5-Setup!$C$6,"",IF(IF(ISNUMBER(Roster!$D6),Setup!$C$25&lt;=Roster!$D6,FALSE),"",IF(OR(IF(Setup!$C$15&lt;=Setup!$C$16,AND(MONTH(G6)&gt;=Setup!$C$15,MONTH(G6)&lt;=Setup!$C$16),OR(MONTH(G6)&gt;=Setup!$C$15,MONTH(G6)&lt;=Setup!$C$16)),IF(Setup!$C$15&lt;=Setup!$C$16,AND(MONTH(WORKDAY(G6,-(Setup!$C$13+Setup!$G$25),Setup!$C$39:$C$50))&gt;=Setup!$C$15,MONTH(WORKDAY(G6,-(Setup!$C$13+Setup!$G$25),Setup!$C$39:$C$50))&lt;=Setup!$C$16),OR(MONTH(WORKDAY(G6,-(Setup!$C$13+Setup!$G$25),Setup!$C$39:$C$50))&gt;=Setup!$C$15,MONTH(WORKDAY(G6,-(Setup!$C$13+Setup!$G$25),Setup!$C$39:$C$50))&lt;=Setup!$C$16))),WORKDAY(G6,-(Setup!$C$13+Setup!$G$25+Setup!$C$14),Setup!$C$39:$C$50),WORKDAY(G6,-(Setup!$C$13+Setup!$G$25),Setup!$C$39:$C$50))+(1*100+6)/10000000)))</f>
        <v>53251.000010600001</v>
      </c>
      <c r="X6">
        <f ca="1">IF(H6="","",IF(H6&lt;Setup!$C$5-Setup!$C$6,"",IF(IF(ISNUMBER(Roster!$D6),Setup!$C$26&lt;=Roster!$D6,FALSE),"",IF(OR(IF(Setup!$C$15&lt;=Setup!$C$16,AND(MONTH(H6)&gt;=Setup!$C$15,MONTH(H6)&lt;=Setup!$C$16),OR(MONTH(H6)&gt;=Setup!$C$15,MONTH(H6)&lt;=Setup!$C$16)),IF(Setup!$C$15&lt;=Setup!$C$16,AND(MONTH(WORKDAY(H6,-(Setup!$C$13+Setup!$G$26),Setup!$C$39:$C$50))&gt;=Setup!$C$15,MONTH(WORKDAY(H6,-(Setup!$C$13+Setup!$G$26),Setup!$C$39:$C$50))&lt;=Setup!$C$16),OR(MONTH(WORKDAY(H6,-(Setup!$C$13+Setup!$G$26),Setup!$C$39:$C$50))&gt;=Setup!$C$15,MONTH(WORKDAY(H6,-(Setup!$C$13+Setup!$G$26),Setup!$C$39:$C$50))&lt;=Setup!$C$16))),WORKDAY(H6,-(Setup!$C$13+Setup!$G$26+Setup!$C$14),Setup!$C$39:$C$50),WORKDAY(H6,-(Setup!$C$13+Setup!$G$26),Setup!$C$39:$C$50))+(1*100+7)/10000000)))</f>
        <v>55078.000010700001</v>
      </c>
      <c r="Y6">
        <f ca="1">IF(I6="","",IF(I6&lt;Setup!$C$5-Setup!$C$6,"",IF(IF(ISNUMBER(Roster!$D6),Setup!$C$27&lt;=Roster!$D6,FALSE),"",IF(OR(IF(Setup!$C$15&lt;=Setup!$C$16,AND(MONTH(I6)&gt;=Setup!$C$15,MONTH(I6)&lt;=Setup!$C$16),OR(MONTH(I6)&gt;=Setup!$C$15,MONTH(I6)&lt;=Setup!$C$16)),IF(Setup!$C$15&lt;=Setup!$C$16,AND(MONTH(WORKDAY(I6,-(Setup!$C$13+Setup!$G$27),Setup!$C$39:$C$50))&gt;=Setup!$C$15,MONTH(WORKDAY(I6,-(Setup!$C$13+Setup!$G$27),Setup!$C$39:$C$50))&lt;=Setup!$C$16),OR(MONTH(WORKDAY(I6,-(Setup!$C$13+Setup!$G$27),Setup!$C$39:$C$50))&gt;=Setup!$C$15,MONTH(WORKDAY(I6,-(Setup!$C$13+Setup!$G$27),Setup!$C$39:$C$50))&lt;=Setup!$C$16))),WORKDAY(I6,-(Setup!$C$13+Setup!$G$27+Setup!$C$14),Setup!$C$39:$C$50),WORKDAY(I6,-(Setup!$C$13+Setup!$G$27),Setup!$C$39:$C$50))+(1*100+8)/10000000)))</f>
        <v>56905.000010800002</v>
      </c>
      <c r="Z6">
        <f ca="1">IF(J6="","",IF(J6&lt;Setup!$C$5-Setup!$C$6,"",IF(IF(ISNUMBER(Roster!$D6),Setup!$C$28&lt;=Roster!$D6,FALSE),"",IF(OR(IF(Setup!$C$15&lt;=Setup!$C$16,AND(MONTH(J6)&gt;=Setup!$C$15,MONTH(J6)&lt;=Setup!$C$16),OR(MONTH(J6)&gt;=Setup!$C$15,MONTH(J6)&lt;=Setup!$C$16)),IF(Setup!$C$15&lt;=Setup!$C$16,AND(MONTH(WORKDAY(J6,-(Setup!$C$13+Setup!$G$28),Setup!$C$39:$C$50))&gt;=Setup!$C$15,MONTH(WORKDAY(J6,-(Setup!$C$13+Setup!$G$28),Setup!$C$39:$C$50))&lt;=Setup!$C$16),OR(MONTH(WORKDAY(J6,-(Setup!$C$13+Setup!$G$28),Setup!$C$39:$C$50))&gt;=Setup!$C$15,MONTH(WORKDAY(J6,-(Setup!$C$13+Setup!$G$28),Setup!$C$39:$C$50))&lt;=Setup!$C$16))),WORKDAY(J6,-(Setup!$C$13+Setup!$G$28+Setup!$C$14),Setup!$C$39:$C$50),WORKDAY(J6,-(Setup!$C$13+Setup!$G$28),Setup!$C$39:$C$50))+(1*100+9)/10000000)))</f>
        <v>58732.000010900003</v>
      </c>
      <c r="AA6">
        <f ca="1">IF(K6="","",IF(K6&lt;Setup!$C$5-Setup!$C$6,"",IF(IF(ISNUMBER(Roster!$D6),Setup!$C$29&lt;=Roster!$D6,FALSE),"",IF(OR(IF(Setup!$C$15&lt;=Setup!$C$16,AND(MONTH(K6)&gt;=Setup!$C$15,MONTH(K6)&lt;=Setup!$C$16),OR(MONTH(K6)&gt;=Setup!$C$15,MONTH(K6)&lt;=Setup!$C$16)),IF(Setup!$C$15&lt;=Setup!$C$16,AND(MONTH(WORKDAY(K6,-(Setup!$C$13+Setup!$G$29),Setup!$C$39:$C$50))&gt;=Setup!$C$15,MONTH(WORKDAY(K6,-(Setup!$C$13+Setup!$G$29),Setup!$C$39:$C$50))&lt;=Setup!$C$16),OR(MONTH(WORKDAY(K6,-(Setup!$C$13+Setup!$G$29),Setup!$C$39:$C$50))&gt;=Setup!$C$15,MONTH(WORKDAY(K6,-(Setup!$C$13+Setup!$G$29),Setup!$C$39:$C$50))&lt;=Setup!$C$16))),WORKDAY(K6,-(Setup!$C$13+Setup!$G$29+Setup!$C$14),Setup!$C$39:$C$50),WORKDAY(K6,-(Setup!$C$13+Setup!$G$29),Setup!$C$39:$C$50))+(1*100+10)/10000000)))</f>
        <v>60556.000010999996</v>
      </c>
      <c r="AB6">
        <f ca="1">IF(L6="","",IF(L6&lt;Setup!$C$5-Setup!$C$6,"",IF(IF(ISNUMBER(Roster!$D6),Setup!$C$30&lt;=Roster!$D6,FALSE),"",IF(OR(IF(Setup!$C$15&lt;=Setup!$C$16,AND(MONTH(L6)&gt;=Setup!$C$15,MONTH(L6)&lt;=Setup!$C$16),OR(MONTH(L6)&gt;=Setup!$C$15,MONTH(L6)&lt;=Setup!$C$16)),IF(Setup!$C$15&lt;=Setup!$C$16,AND(MONTH(WORKDAY(L6,-(Setup!$C$13+Setup!$G$30),Setup!$C$39:$C$50))&gt;=Setup!$C$15,MONTH(WORKDAY(L6,-(Setup!$C$13+Setup!$G$30),Setup!$C$39:$C$50))&lt;=Setup!$C$16),OR(MONTH(WORKDAY(L6,-(Setup!$C$13+Setup!$G$30),Setup!$C$39:$C$50))&gt;=Setup!$C$15,MONTH(WORKDAY(L6,-(Setup!$C$13+Setup!$G$30),Setup!$C$39:$C$50))&lt;=Setup!$C$16))),WORKDAY(L6,-(Setup!$C$13+Setup!$G$30+Setup!$C$14),Setup!$C$39:$C$50),WORKDAY(L6,-(Setup!$C$13+Setup!$G$30),Setup!$C$39:$C$50))+(1*100+11)/10000000)))</f>
        <v>62382.000011099997</v>
      </c>
      <c r="AC6">
        <f ca="1">IF(M6="","",IF(M6&lt;Setup!$C$5-Setup!$C$6,"",IF(IF(ISNUMBER(Roster!$D6),Setup!$C$31&lt;=Roster!$D6,FALSE),"",IF(OR(IF(Setup!$C$15&lt;=Setup!$C$16,AND(MONTH(M6)&gt;=Setup!$C$15,MONTH(M6)&lt;=Setup!$C$16),OR(MONTH(M6)&gt;=Setup!$C$15,MONTH(M6)&lt;=Setup!$C$16)),IF(Setup!$C$15&lt;=Setup!$C$16,AND(MONTH(WORKDAY(M6,-(Setup!$C$13+Setup!$G$31),Setup!$C$39:$C$50))&gt;=Setup!$C$15,MONTH(WORKDAY(M6,-(Setup!$C$13+Setup!$G$31),Setup!$C$39:$C$50))&lt;=Setup!$C$16),OR(MONTH(WORKDAY(M6,-(Setup!$C$13+Setup!$G$31),Setup!$C$39:$C$50))&gt;=Setup!$C$15,MONTH(WORKDAY(M6,-(Setup!$C$13+Setup!$G$31),Setup!$C$39:$C$50))&lt;=Setup!$C$16))),WORKDAY(M6,-(Setup!$C$13+Setup!$G$31+Setup!$C$14),Setup!$C$39:$C$50),WORKDAY(M6,-(Setup!$C$13+Setup!$G$31),Setup!$C$39:$C$50))+(1*100+12)/10000000)))</f>
        <v>64208.000011199998</v>
      </c>
      <c r="AD6" t="str">
        <f>IF(N6="","",IF(N6&lt;Setup!$C$5-Setup!$C$6,"",IF(IF(ISNUMBER(Roster!$D6),Setup!$C$32&lt;=Roster!$D6,FALSE),"",IF(OR(IF(Setup!$C$15&lt;=Setup!$C$16,AND(MONTH(N6)&gt;=Setup!$C$15,MONTH(N6)&lt;=Setup!$C$16),OR(MONTH(N6)&gt;=Setup!$C$15,MONTH(N6)&lt;=Setup!$C$16)),IF(Setup!$C$15&lt;=Setup!$C$16,AND(MONTH(WORKDAY(N6,-(Setup!$C$13+Setup!$G$32),Setup!$C$39:$C$50))&gt;=Setup!$C$15,MONTH(WORKDAY(N6,-(Setup!$C$13+Setup!$G$32),Setup!$C$39:$C$50))&lt;=Setup!$C$16),OR(MONTH(WORKDAY(N6,-(Setup!$C$13+Setup!$G$32),Setup!$C$39:$C$50))&gt;=Setup!$C$15,MONTH(WORKDAY(N6,-(Setup!$C$13+Setup!$G$32),Setup!$C$39:$C$50))&lt;=Setup!$C$16))),WORKDAY(N6,-(Setup!$C$13+Setup!$G$32+Setup!$C$14),Setup!$C$39:$C$50),WORKDAY(N6,-(Setup!$C$13+Setup!$G$32),Setup!$C$39:$C$50))+(1*100+13)/10000000)))</f>
        <v/>
      </c>
      <c r="AE6" t="str">
        <f>IF(O6="","",IF(O6&lt;Setup!$C$5-Setup!$C$6,"",IF(IF(ISNUMBER(Roster!$D6),Setup!$C$33&lt;=Roster!$D6,FALSE),"",IF(OR(IF(Setup!$C$15&lt;=Setup!$C$16,AND(MONTH(O6)&gt;=Setup!$C$15,MONTH(O6)&lt;=Setup!$C$16),OR(MONTH(O6)&gt;=Setup!$C$15,MONTH(O6)&lt;=Setup!$C$16)),IF(Setup!$C$15&lt;=Setup!$C$16,AND(MONTH(WORKDAY(O6,-(Setup!$C$13+Setup!$G$33),Setup!$C$39:$C$50))&gt;=Setup!$C$15,MONTH(WORKDAY(O6,-(Setup!$C$13+Setup!$G$33),Setup!$C$39:$C$50))&lt;=Setup!$C$16),OR(MONTH(WORKDAY(O6,-(Setup!$C$13+Setup!$G$33),Setup!$C$39:$C$50))&gt;=Setup!$C$15,MONTH(WORKDAY(O6,-(Setup!$C$13+Setup!$G$33),Setup!$C$39:$C$50))&lt;=Setup!$C$16))),WORKDAY(O6,-(Setup!$C$13+Setup!$G$33+Setup!$C$14),Setup!$C$39:$C$50),WORKDAY(O6,-(Setup!$C$13+Setup!$G$33),Setup!$C$39:$C$50))+(1*100+14)/10000000)))</f>
        <v/>
      </c>
      <c r="AF6" t="str">
        <f>IF(P6="","",IF(P6&lt;Setup!$C$5-Setup!$C$6,"",IF(IF(ISNUMBER(Roster!$D6),Setup!$C$34&lt;=Roster!$D6,FALSE),"",IF(OR(IF(Setup!$C$15&lt;=Setup!$C$16,AND(MONTH(P6)&gt;=Setup!$C$15,MONTH(P6)&lt;=Setup!$C$16),OR(MONTH(P6)&gt;=Setup!$C$15,MONTH(P6)&lt;=Setup!$C$16)),IF(Setup!$C$15&lt;=Setup!$C$16,AND(MONTH(WORKDAY(P6,-(Setup!$C$13+Setup!$G$34),Setup!$C$39:$C$50))&gt;=Setup!$C$15,MONTH(WORKDAY(P6,-(Setup!$C$13+Setup!$G$34),Setup!$C$39:$C$50))&lt;=Setup!$C$16),OR(MONTH(WORKDAY(P6,-(Setup!$C$13+Setup!$G$34),Setup!$C$39:$C$50))&gt;=Setup!$C$15,MONTH(WORKDAY(P6,-(Setup!$C$13+Setup!$G$34),Setup!$C$39:$C$50))&lt;=Setup!$C$16))),WORKDAY(P6,-(Setup!$C$13+Setup!$G$34+Setup!$C$14),Setup!$C$39:$C$50),WORKDAY(P6,-(Setup!$C$13+Setup!$G$34),Setup!$C$39:$C$50))+(1*100+15)/10000000)))</f>
        <v/>
      </c>
      <c r="AH6">
        <f t="shared" ref="AH6:AH69" ca="1" si="0">IF(COUNT(R6:AF6)=0,"",MIN(R6:AF6))</f>
        <v>46311.000010099997</v>
      </c>
      <c r="AI6">
        <f t="shared" ref="AI6:AI69" ca="1" si="1">IF(AH6="","",MOD(ROUND((AH6-INT(AH6))*10000000,0),100))</f>
        <v>1</v>
      </c>
      <c r="AK6">
        <f ca="1">IF(1&gt;$AK$2,"",SMALL($R$6:$AF$505,1))</f>
        <v>46294.0001003</v>
      </c>
      <c r="AL6">
        <f t="shared" ref="AL6:AL69" ca="1" si="2">IF(AK6="","",ROUND((AK6-INT(AK6))*10000000,0))</f>
        <v>1003</v>
      </c>
      <c r="AM6">
        <f t="shared" ref="AM6:AM69" ca="1" si="3">IF(AL6="","",INT(AL6/100))</f>
        <v>10</v>
      </c>
      <c r="AN6">
        <f t="shared" ref="AN6:AN69" ca="1" si="4">IF(AL6="","",MOD(AL6,100))</f>
        <v>3</v>
      </c>
      <c r="AP6">
        <f ca="1">IF(ISNUMBER(Roster!$B6),MAX(1,YEAR(Setup!$C$5)-YEAR(Roster!$B6)+IF(EDATE(Roster!$B6,12*(YEAR(Setup!$C$5)-YEAR(Roster!$B6)))&lt;Setup!$C$5,1,0)),"")</f>
        <v>1</v>
      </c>
      <c r="AQ6" s="32">
        <f ca="1">IF(AP6="","",EDATE(Roster!$B6,12*AP6))</f>
        <v>46346</v>
      </c>
      <c r="AR6">
        <f ca="1">IF(AQ6="","",IF(AQ6&lt;DATE(YEAR(Setup!$C$5)+1,MONTH(Setup!$C$5),DAY(Setup!$C$5)),AQ6+1/1000,""))</f>
        <v>46346.000999999997</v>
      </c>
      <c r="AS6">
        <f t="shared" ref="AS6:AS69" ca="1" si="5">IF(AR6="","",IFERROR(MATCH(AP6,$AY$20:$AY$34,0),""))</f>
        <v>1</v>
      </c>
      <c r="AT6" t="b">
        <f ca="1">IF(AS6="","",IF(ISNUMBER(Roster!$D6),Roster!$D6&gt;=AP6,FALSE))</f>
        <v>0</v>
      </c>
      <c r="AU6">
        <f t="shared" ref="AU6:AU69" ca="1" si="6">IF(AS6="","",IF(AT6,"",INT(INDEX($R6:$AF6,1,AS6))))</f>
        <v>46311</v>
      </c>
      <c r="AV6">
        <f ca="1">IF(1&gt;$AV$2,"",SMALL($AR$6:$AR$505,1))</f>
        <v>46346.000999999997</v>
      </c>
      <c r="AW6">
        <f t="shared" ref="AW6:AW69" ca="1" si="7">IF(AV6="","",ROUND((AV6-INT(AV6))*1000,0))</f>
        <v>1</v>
      </c>
    </row>
    <row r="7" spans="1:49" x14ac:dyDescent="0.2">
      <c r="B7" s="32">
        <f>IF(AND(ISNUMBER(Roster!$B7),Setup!$B$20="Yes",ISNUMBER(Setup!$C$20)),EDATE(Roster!$B7,12*Setup!$C$20),"")</f>
        <v>45641</v>
      </c>
      <c r="C7" s="32">
        <f>IF(AND(ISNUMBER(Roster!$B7),Setup!$B$21="Yes",ISNUMBER(Setup!$C$21)),EDATE(Roster!$B7,12*Setup!$C$21),"")</f>
        <v>46371</v>
      </c>
      <c r="D7" s="32">
        <f>IF(AND(ISNUMBER(Roster!$B7),Setup!$B$22="Yes",ISNUMBER(Setup!$C$22)),EDATE(Roster!$B7,12*Setup!$C$22),"")</f>
        <v>47102</v>
      </c>
      <c r="E7" s="32">
        <f>IF(AND(ISNUMBER(Roster!$B7),Setup!$B$23="Yes",ISNUMBER(Setup!$C$23)),EDATE(Roster!$B7,12*Setup!$C$23),"")</f>
        <v>48928</v>
      </c>
      <c r="F7" s="32">
        <f>IF(AND(ISNUMBER(Roster!$B7),Setup!$B$24="Yes",ISNUMBER(Setup!$C$24)),EDATE(Roster!$B7,12*Setup!$C$24),"")</f>
        <v>50754</v>
      </c>
      <c r="G7" s="32">
        <f>IF(AND(ISNUMBER(Roster!$B7),Setup!$B$25="Yes",ISNUMBER(Setup!$C$25)),EDATE(Roster!$B7,12*Setup!$C$25),"")</f>
        <v>52580</v>
      </c>
      <c r="H7" s="32">
        <f>IF(AND(ISNUMBER(Roster!$B7),Setup!$B$26="Yes",ISNUMBER(Setup!$C$26)),EDATE(Roster!$B7,12*Setup!$C$26),"")</f>
        <v>54407</v>
      </c>
      <c r="I7" s="32">
        <f>IF(AND(ISNUMBER(Roster!$B7),Setup!$B$27="Yes",ISNUMBER(Setup!$C$27)),EDATE(Roster!$B7,12*Setup!$C$27),"")</f>
        <v>56233</v>
      </c>
      <c r="J7" s="32">
        <f>IF(AND(ISNUMBER(Roster!$B7),Setup!$B$28="Yes",ISNUMBER(Setup!$C$28)),EDATE(Roster!$B7,12*Setup!$C$28),"")</f>
        <v>58059</v>
      </c>
      <c r="K7" s="32">
        <f>IF(AND(ISNUMBER(Roster!$B7),Setup!$B$29="Yes",ISNUMBER(Setup!$C$29)),EDATE(Roster!$B7,12*Setup!$C$29),"")</f>
        <v>59885</v>
      </c>
      <c r="L7" s="32">
        <f>IF(AND(ISNUMBER(Roster!$B7),Setup!$B$30="Yes",ISNUMBER(Setup!$C$30)),EDATE(Roster!$B7,12*Setup!$C$30),"")</f>
        <v>61712</v>
      </c>
      <c r="M7" s="32">
        <f>IF(AND(ISNUMBER(Roster!$B7),Setup!$B$31="Yes",ISNUMBER(Setup!$C$31)),EDATE(Roster!$B7,12*Setup!$C$31),"")</f>
        <v>63538</v>
      </c>
      <c r="N7" s="32" t="str">
        <f>IF(AND(ISNUMBER(Roster!$B7),Setup!$B$32="Yes",ISNUMBER(Setup!$C$32)),EDATE(Roster!$B7,12*Setup!$C$32),"")</f>
        <v/>
      </c>
      <c r="O7" s="32" t="str">
        <f>IF(AND(ISNUMBER(Roster!$B7),Setup!$B$33="Yes",ISNUMBER(Setup!$C$33)),EDATE(Roster!$B7,12*Setup!$C$33),"")</f>
        <v/>
      </c>
      <c r="P7" s="32" t="str">
        <f>IF(AND(ISNUMBER(Roster!$B7),Setup!$B$34="Yes",ISNUMBER(Setup!$C$34)),EDATE(Roster!$B7,12*Setup!$C$34),"")</f>
        <v/>
      </c>
      <c r="R7" t="str">
        <f ca="1">IF(B7="","",IF(B7&lt;Setup!$C$5-Setup!$C$6,"",IF(IF(ISNUMBER(Roster!$D7),Setup!$C$20&lt;=Roster!$D7,FALSE),"",IF(OR(IF(Setup!$C$15&lt;=Setup!$C$16,AND(MONTH(B7)&gt;=Setup!$C$15,MONTH(B7)&lt;=Setup!$C$16),OR(MONTH(B7)&gt;=Setup!$C$15,MONTH(B7)&lt;=Setup!$C$16)),IF(Setup!$C$15&lt;=Setup!$C$16,AND(MONTH(WORKDAY(B7,-(Setup!$C$13+Setup!$G$20),Setup!$C$39:$C$50))&gt;=Setup!$C$15,MONTH(WORKDAY(B7,-(Setup!$C$13+Setup!$G$20),Setup!$C$39:$C$50))&lt;=Setup!$C$16),OR(MONTH(WORKDAY(B7,-(Setup!$C$13+Setup!$G$20),Setup!$C$39:$C$50))&gt;=Setup!$C$15,MONTH(WORKDAY(B7,-(Setup!$C$13+Setup!$G$20),Setup!$C$39:$C$50))&lt;=Setup!$C$16))),WORKDAY(B7,-(Setup!$C$13+Setup!$G$20+Setup!$C$14),Setup!$C$39:$C$50),WORKDAY(B7,-(Setup!$C$13+Setup!$G$20),Setup!$C$39:$C$50))+(2*100+1)/10000000)))</f>
        <v/>
      </c>
      <c r="S7">
        <f ca="1">IF(C7="","",IF(C7&lt;Setup!$C$5-Setup!$C$6,"",IF(IF(ISNUMBER(Roster!$D7),Setup!$C$21&lt;=Roster!$D7,FALSE),"",IF(OR(IF(Setup!$C$15&lt;=Setup!$C$16,AND(MONTH(C7)&gt;=Setup!$C$15,MONTH(C7)&lt;=Setup!$C$16),OR(MONTH(C7)&gt;=Setup!$C$15,MONTH(C7)&lt;=Setup!$C$16)),IF(Setup!$C$15&lt;=Setup!$C$16,AND(MONTH(WORKDAY(C7,-(Setup!$C$13+Setup!$G$21),Setup!$C$39:$C$50))&gt;=Setup!$C$15,MONTH(WORKDAY(C7,-(Setup!$C$13+Setup!$G$21),Setup!$C$39:$C$50))&lt;=Setup!$C$16),OR(MONTH(WORKDAY(C7,-(Setup!$C$13+Setup!$G$21),Setup!$C$39:$C$50))&gt;=Setup!$C$15,MONTH(WORKDAY(C7,-(Setup!$C$13+Setup!$G$21),Setup!$C$39:$C$50))&lt;=Setup!$C$16))),WORKDAY(C7,-(Setup!$C$13+Setup!$G$21+Setup!$C$14),Setup!$C$39:$C$50),WORKDAY(C7,-(Setup!$C$13+Setup!$G$21),Setup!$C$39:$C$50))+(2*100+2)/10000000)))</f>
        <v>46335.000020200001</v>
      </c>
      <c r="T7">
        <f ca="1">IF(D7="","",IF(D7&lt;Setup!$C$5-Setup!$C$6,"",IF(IF(ISNUMBER(Roster!$D7),Setup!$C$22&lt;=Roster!$D7,FALSE),"",IF(OR(IF(Setup!$C$15&lt;=Setup!$C$16,AND(MONTH(D7)&gt;=Setup!$C$15,MONTH(D7)&lt;=Setup!$C$16),OR(MONTH(D7)&gt;=Setup!$C$15,MONTH(D7)&lt;=Setup!$C$16)),IF(Setup!$C$15&lt;=Setup!$C$16,AND(MONTH(WORKDAY(D7,-(Setup!$C$13+Setup!$G$22),Setup!$C$39:$C$50))&gt;=Setup!$C$15,MONTH(WORKDAY(D7,-(Setup!$C$13+Setup!$G$22),Setup!$C$39:$C$50))&lt;=Setup!$C$16),OR(MONTH(WORKDAY(D7,-(Setup!$C$13+Setup!$G$22),Setup!$C$39:$C$50))&gt;=Setup!$C$15,MONTH(WORKDAY(D7,-(Setup!$C$13+Setup!$G$22),Setup!$C$39:$C$50))&lt;=Setup!$C$16))),WORKDAY(D7,-(Setup!$C$13+Setup!$G$22+Setup!$C$14),Setup!$C$39:$C$50),WORKDAY(D7,-(Setup!$C$13+Setup!$G$22),Setup!$C$39:$C$50))+(2*100+3)/10000000)))</f>
        <v>47067.000020300002</v>
      </c>
      <c r="U7">
        <f ca="1">IF(E7="","",IF(E7&lt;Setup!$C$5-Setup!$C$6,"",IF(IF(ISNUMBER(Roster!$D7),Setup!$C$23&lt;=Roster!$D7,FALSE),"",IF(OR(IF(Setup!$C$15&lt;=Setup!$C$16,AND(MONTH(E7)&gt;=Setup!$C$15,MONTH(E7)&lt;=Setup!$C$16),OR(MONTH(E7)&gt;=Setup!$C$15,MONTH(E7)&lt;=Setup!$C$16)),IF(Setup!$C$15&lt;=Setup!$C$16,AND(MONTH(WORKDAY(E7,-(Setup!$C$13+Setup!$G$23),Setup!$C$39:$C$50))&gt;=Setup!$C$15,MONTH(WORKDAY(E7,-(Setup!$C$13+Setup!$G$23),Setup!$C$39:$C$50))&lt;=Setup!$C$16),OR(MONTH(WORKDAY(E7,-(Setup!$C$13+Setup!$G$23),Setup!$C$39:$C$50))&gt;=Setup!$C$15,MONTH(WORKDAY(E7,-(Setup!$C$13+Setup!$G$23),Setup!$C$39:$C$50))&lt;=Setup!$C$16))),WORKDAY(E7,-(Setup!$C$13+Setup!$G$23+Setup!$C$14),Setup!$C$39:$C$50),WORKDAY(E7,-(Setup!$C$13+Setup!$G$23),Setup!$C$39:$C$50))+(2*100+4)/10000000)))</f>
        <v>48893.000020400003</v>
      </c>
      <c r="V7">
        <f ca="1">IF(F7="","",IF(F7&lt;Setup!$C$5-Setup!$C$6,"",IF(IF(ISNUMBER(Roster!$D7),Setup!$C$24&lt;=Roster!$D7,FALSE),"",IF(OR(IF(Setup!$C$15&lt;=Setup!$C$16,AND(MONTH(F7)&gt;=Setup!$C$15,MONTH(F7)&lt;=Setup!$C$16),OR(MONTH(F7)&gt;=Setup!$C$15,MONTH(F7)&lt;=Setup!$C$16)),IF(Setup!$C$15&lt;=Setup!$C$16,AND(MONTH(WORKDAY(F7,-(Setup!$C$13+Setup!$G$24),Setup!$C$39:$C$50))&gt;=Setup!$C$15,MONTH(WORKDAY(F7,-(Setup!$C$13+Setup!$G$24),Setup!$C$39:$C$50))&lt;=Setup!$C$16),OR(MONTH(WORKDAY(F7,-(Setup!$C$13+Setup!$G$24),Setup!$C$39:$C$50))&gt;=Setup!$C$15,MONTH(WORKDAY(F7,-(Setup!$C$13+Setup!$G$24),Setup!$C$39:$C$50))&lt;=Setup!$C$16))),WORKDAY(F7,-(Setup!$C$13+Setup!$G$24+Setup!$C$14),Setup!$C$39:$C$50),WORKDAY(F7,-(Setup!$C$13+Setup!$G$24),Setup!$C$39:$C$50))+(2*100+5)/10000000)))</f>
        <v>50719.000020500003</v>
      </c>
      <c r="W7">
        <f ca="1">IF(G7="","",IF(G7&lt;Setup!$C$5-Setup!$C$6,"",IF(IF(ISNUMBER(Roster!$D7),Setup!$C$25&lt;=Roster!$D7,FALSE),"",IF(OR(IF(Setup!$C$15&lt;=Setup!$C$16,AND(MONTH(G7)&gt;=Setup!$C$15,MONTH(G7)&lt;=Setup!$C$16),OR(MONTH(G7)&gt;=Setup!$C$15,MONTH(G7)&lt;=Setup!$C$16)),IF(Setup!$C$15&lt;=Setup!$C$16,AND(MONTH(WORKDAY(G7,-(Setup!$C$13+Setup!$G$25),Setup!$C$39:$C$50))&gt;=Setup!$C$15,MONTH(WORKDAY(G7,-(Setup!$C$13+Setup!$G$25),Setup!$C$39:$C$50))&lt;=Setup!$C$16),OR(MONTH(WORKDAY(G7,-(Setup!$C$13+Setup!$G$25),Setup!$C$39:$C$50))&gt;=Setup!$C$15,MONTH(WORKDAY(G7,-(Setup!$C$13+Setup!$G$25),Setup!$C$39:$C$50))&lt;=Setup!$C$16))),WORKDAY(G7,-(Setup!$C$13+Setup!$G$25+Setup!$C$14),Setup!$C$39:$C$50),WORKDAY(G7,-(Setup!$C$13+Setup!$G$25),Setup!$C$39:$C$50))+(2*100+6)/10000000)))</f>
        <v>52545.000020599997</v>
      </c>
      <c r="X7">
        <f ca="1">IF(H7="","",IF(H7&lt;Setup!$C$5-Setup!$C$6,"",IF(IF(ISNUMBER(Roster!$D7),Setup!$C$26&lt;=Roster!$D7,FALSE),"",IF(OR(IF(Setup!$C$15&lt;=Setup!$C$16,AND(MONTH(H7)&gt;=Setup!$C$15,MONTH(H7)&lt;=Setup!$C$16),OR(MONTH(H7)&gt;=Setup!$C$15,MONTH(H7)&lt;=Setup!$C$16)),IF(Setup!$C$15&lt;=Setup!$C$16,AND(MONTH(WORKDAY(H7,-(Setup!$C$13+Setup!$G$26),Setup!$C$39:$C$50))&gt;=Setup!$C$15,MONTH(WORKDAY(H7,-(Setup!$C$13+Setup!$G$26),Setup!$C$39:$C$50))&lt;=Setup!$C$16),OR(MONTH(WORKDAY(H7,-(Setup!$C$13+Setup!$G$26),Setup!$C$39:$C$50))&gt;=Setup!$C$15,MONTH(WORKDAY(H7,-(Setup!$C$13+Setup!$G$26),Setup!$C$39:$C$50))&lt;=Setup!$C$16))),WORKDAY(H7,-(Setup!$C$13+Setup!$G$26+Setup!$C$14),Setup!$C$39:$C$50),WORKDAY(H7,-(Setup!$C$13+Setup!$G$26),Setup!$C$39:$C$50))+(2*100+7)/10000000)))</f>
        <v>54372.000020699998</v>
      </c>
      <c r="Y7">
        <f ca="1">IF(I7="","",IF(I7&lt;Setup!$C$5-Setup!$C$6,"",IF(IF(ISNUMBER(Roster!$D7),Setup!$C$27&lt;=Roster!$D7,FALSE),"",IF(OR(IF(Setup!$C$15&lt;=Setup!$C$16,AND(MONTH(I7)&gt;=Setup!$C$15,MONTH(I7)&lt;=Setup!$C$16),OR(MONTH(I7)&gt;=Setup!$C$15,MONTH(I7)&lt;=Setup!$C$16)),IF(Setup!$C$15&lt;=Setup!$C$16,AND(MONTH(WORKDAY(I7,-(Setup!$C$13+Setup!$G$27),Setup!$C$39:$C$50))&gt;=Setup!$C$15,MONTH(WORKDAY(I7,-(Setup!$C$13+Setup!$G$27),Setup!$C$39:$C$50))&lt;=Setup!$C$16),OR(MONTH(WORKDAY(I7,-(Setup!$C$13+Setup!$G$27),Setup!$C$39:$C$50))&gt;=Setup!$C$15,MONTH(WORKDAY(I7,-(Setup!$C$13+Setup!$G$27),Setup!$C$39:$C$50))&lt;=Setup!$C$16))),WORKDAY(I7,-(Setup!$C$13+Setup!$G$27+Setup!$C$14),Setup!$C$39:$C$50),WORKDAY(I7,-(Setup!$C$13+Setup!$G$27),Setup!$C$39:$C$50))+(2*100+8)/10000000)))</f>
        <v>56198.000020799998</v>
      </c>
      <c r="Z7">
        <f ca="1">IF(J7="","",IF(J7&lt;Setup!$C$5-Setup!$C$6,"",IF(IF(ISNUMBER(Roster!$D7),Setup!$C$28&lt;=Roster!$D7,FALSE),"",IF(OR(IF(Setup!$C$15&lt;=Setup!$C$16,AND(MONTH(J7)&gt;=Setup!$C$15,MONTH(J7)&lt;=Setup!$C$16),OR(MONTH(J7)&gt;=Setup!$C$15,MONTH(J7)&lt;=Setup!$C$16)),IF(Setup!$C$15&lt;=Setup!$C$16,AND(MONTH(WORKDAY(J7,-(Setup!$C$13+Setup!$G$28),Setup!$C$39:$C$50))&gt;=Setup!$C$15,MONTH(WORKDAY(J7,-(Setup!$C$13+Setup!$G$28),Setup!$C$39:$C$50))&lt;=Setup!$C$16),OR(MONTH(WORKDAY(J7,-(Setup!$C$13+Setup!$G$28),Setup!$C$39:$C$50))&gt;=Setup!$C$15,MONTH(WORKDAY(J7,-(Setup!$C$13+Setup!$G$28),Setup!$C$39:$C$50))&lt;=Setup!$C$16))),WORKDAY(J7,-(Setup!$C$13+Setup!$G$28+Setup!$C$14),Setup!$C$39:$C$50),WORKDAY(J7,-(Setup!$C$13+Setup!$G$28),Setup!$C$39:$C$50))+(2*100+9)/10000000)))</f>
        <v>58025.000020899999</v>
      </c>
      <c r="AA7">
        <f ca="1">IF(K7="","",IF(K7&lt;Setup!$C$5-Setup!$C$6,"",IF(IF(ISNUMBER(Roster!$D7),Setup!$C$29&lt;=Roster!$D7,FALSE),"",IF(OR(IF(Setup!$C$15&lt;=Setup!$C$16,AND(MONTH(K7)&gt;=Setup!$C$15,MONTH(K7)&lt;=Setup!$C$16),OR(MONTH(K7)&gt;=Setup!$C$15,MONTH(K7)&lt;=Setup!$C$16)),IF(Setup!$C$15&lt;=Setup!$C$16,AND(MONTH(WORKDAY(K7,-(Setup!$C$13+Setup!$G$29),Setup!$C$39:$C$50))&gt;=Setup!$C$15,MONTH(WORKDAY(K7,-(Setup!$C$13+Setup!$G$29),Setup!$C$39:$C$50))&lt;=Setup!$C$16),OR(MONTH(WORKDAY(K7,-(Setup!$C$13+Setup!$G$29),Setup!$C$39:$C$50))&gt;=Setup!$C$15,MONTH(WORKDAY(K7,-(Setup!$C$13+Setup!$G$29),Setup!$C$39:$C$50))&lt;=Setup!$C$16))),WORKDAY(K7,-(Setup!$C$13+Setup!$G$29+Setup!$C$14),Setup!$C$39:$C$50),WORKDAY(K7,-(Setup!$C$13+Setup!$G$29),Setup!$C$39:$C$50))+(2*100+10)/10000000)))</f>
        <v>59852.000021</v>
      </c>
      <c r="AB7">
        <f ca="1">IF(L7="","",IF(L7&lt;Setup!$C$5-Setup!$C$6,"",IF(IF(ISNUMBER(Roster!$D7),Setup!$C$30&lt;=Roster!$D7,FALSE),"",IF(OR(IF(Setup!$C$15&lt;=Setup!$C$16,AND(MONTH(L7)&gt;=Setup!$C$15,MONTH(L7)&lt;=Setup!$C$16),OR(MONTH(L7)&gt;=Setup!$C$15,MONTH(L7)&lt;=Setup!$C$16)),IF(Setup!$C$15&lt;=Setup!$C$16,AND(MONTH(WORKDAY(L7,-(Setup!$C$13+Setup!$G$30),Setup!$C$39:$C$50))&gt;=Setup!$C$15,MONTH(WORKDAY(L7,-(Setup!$C$13+Setup!$G$30),Setup!$C$39:$C$50))&lt;=Setup!$C$16),OR(MONTH(WORKDAY(L7,-(Setup!$C$13+Setup!$G$30),Setup!$C$39:$C$50))&gt;=Setup!$C$15,MONTH(WORKDAY(L7,-(Setup!$C$13+Setup!$G$30),Setup!$C$39:$C$50))&lt;=Setup!$C$16))),WORKDAY(L7,-(Setup!$C$13+Setup!$G$30+Setup!$C$14),Setup!$C$39:$C$50),WORKDAY(L7,-(Setup!$C$13+Setup!$G$30),Setup!$C$39:$C$50))+(2*100+11)/10000000)))</f>
        <v>61679.000021100001</v>
      </c>
      <c r="AC7">
        <f ca="1">IF(M7="","",IF(M7&lt;Setup!$C$5-Setup!$C$6,"",IF(IF(ISNUMBER(Roster!$D7),Setup!$C$31&lt;=Roster!$D7,FALSE),"",IF(OR(IF(Setup!$C$15&lt;=Setup!$C$16,AND(MONTH(M7)&gt;=Setup!$C$15,MONTH(M7)&lt;=Setup!$C$16),OR(MONTH(M7)&gt;=Setup!$C$15,MONTH(M7)&lt;=Setup!$C$16)),IF(Setup!$C$15&lt;=Setup!$C$16,AND(MONTH(WORKDAY(M7,-(Setup!$C$13+Setup!$G$31),Setup!$C$39:$C$50))&gt;=Setup!$C$15,MONTH(WORKDAY(M7,-(Setup!$C$13+Setup!$G$31),Setup!$C$39:$C$50))&lt;=Setup!$C$16),OR(MONTH(WORKDAY(M7,-(Setup!$C$13+Setup!$G$31),Setup!$C$39:$C$50))&gt;=Setup!$C$15,MONTH(WORKDAY(M7,-(Setup!$C$13+Setup!$G$31),Setup!$C$39:$C$50))&lt;=Setup!$C$16))),WORKDAY(M7,-(Setup!$C$13+Setup!$G$31+Setup!$C$14),Setup!$C$39:$C$50),WORKDAY(M7,-(Setup!$C$13+Setup!$G$31),Setup!$C$39:$C$50))+(2*100+12)/10000000)))</f>
        <v>63503.000021200001</v>
      </c>
      <c r="AD7" t="str">
        <f>IF(N7="","",IF(N7&lt;Setup!$C$5-Setup!$C$6,"",IF(IF(ISNUMBER(Roster!$D7),Setup!$C$32&lt;=Roster!$D7,FALSE),"",IF(OR(IF(Setup!$C$15&lt;=Setup!$C$16,AND(MONTH(N7)&gt;=Setup!$C$15,MONTH(N7)&lt;=Setup!$C$16),OR(MONTH(N7)&gt;=Setup!$C$15,MONTH(N7)&lt;=Setup!$C$16)),IF(Setup!$C$15&lt;=Setup!$C$16,AND(MONTH(WORKDAY(N7,-(Setup!$C$13+Setup!$G$32),Setup!$C$39:$C$50))&gt;=Setup!$C$15,MONTH(WORKDAY(N7,-(Setup!$C$13+Setup!$G$32),Setup!$C$39:$C$50))&lt;=Setup!$C$16),OR(MONTH(WORKDAY(N7,-(Setup!$C$13+Setup!$G$32),Setup!$C$39:$C$50))&gt;=Setup!$C$15,MONTH(WORKDAY(N7,-(Setup!$C$13+Setup!$G$32),Setup!$C$39:$C$50))&lt;=Setup!$C$16))),WORKDAY(N7,-(Setup!$C$13+Setup!$G$32+Setup!$C$14),Setup!$C$39:$C$50),WORKDAY(N7,-(Setup!$C$13+Setup!$G$32),Setup!$C$39:$C$50))+(2*100+13)/10000000)))</f>
        <v/>
      </c>
      <c r="AE7" t="str">
        <f>IF(O7="","",IF(O7&lt;Setup!$C$5-Setup!$C$6,"",IF(IF(ISNUMBER(Roster!$D7),Setup!$C$33&lt;=Roster!$D7,FALSE),"",IF(OR(IF(Setup!$C$15&lt;=Setup!$C$16,AND(MONTH(O7)&gt;=Setup!$C$15,MONTH(O7)&lt;=Setup!$C$16),OR(MONTH(O7)&gt;=Setup!$C$15,MONTH(O7)&lt;=Setup!$C$16)),IF(Setup!$C$15&lt;=Setup!$C$16,AND(MONTH(WORKDAY(O7,-(Setup!$C$13+Setup!$G$33),Setup!$C$39:$C$50))&gt;=Setup!$C$15,MONTH(WORKDAY(O7,-(Setup!$C$13+Setup!$G$33),Setup!$C$39:$C$50))&lt;=Setup!$C$16),OR(MONTH(WORKDAY(O7,-(Setup!$C$13+Setup!$G$33),Setup!$C$39:$C$50))&gt;=Setup!$C$15,MONTH(WORKDAY(O7,-(Setup!$C$13+Setup!$G$33),Setup!$C$39:$C$50))&lt;=Setup!$C$16))),WORKDAY(O7,-(Setup!$C$13+Setup!$G$33+Setup!$C$14),Setup!$C$39:$C$50),WORKDAY(O7,-(Setup!$C$13+Setup!$G$33),Setup!$C$39:$C$50))+(2*100+14)/10000000)))</f>
        <v/>
      </c>
      <c r="AF7" t="str">
        <f>IF(P7="","",IF(P7&lt;Setup!$C$5-Setup!$C$6,"",IF(IF(ISNUMBER(Roster!$D7),Setup!$C$34&lt;=Roster!$D7,FALSE),"",IF(OR(IF(Setup!$C$15&lt;=Setup!$C$16,AND(MONTH(P7)&gt;=Setup!$C$15,MONTH(P7)&lt;=Setup!$C$16),OR(MONTH(P7)&gt;=Setup!$C$15,MONTH(P7)&lt;=Setup!$C$16)),IF(Setup!$C$15&lt;=Setup!$C$16,AND(MONTH(WORKDAY(P7,-(Setup!$C$13+Setup!$G$34),Setup!$C$39:$C$50))&gt;=Setup!$C$15,MONTH(WORKDAY(P7,-(Setup!$C$13+Setup!$G$34),Setup!$C$39:$C$50))&lt;=Setup!$C$16),OR(MONTH(WORKDAY(P7,-(Setup!$C$13+Setup!$G$34),Setup!$C$39:$C$50))&gt;=Setup!$C$15,MONTH(WORKDAY(P7,-(Setup!$C$13+Setup!$G$34),Setup!$C$39:$C$50))&lt;=Setup!$C$16))),WORKDAY(P7,-(Setup!$C$13+Setup!$G$34+Setup!$C$14),Setup!$C$39:$C$50),WORKDAY(P7,-(Setup!$C$13+Setup!$G$34),Setup!$C$39:$C$50))+(2*100+15)/10000000)))</f>
        <v/>
      </c>
      <c r="AH7">
        <f t="shared" ca="1" si="0"/>
        <v>46335.000020200001</v>
      </c>
      <c r="AI7">
        <f t="shared" ca="1" si="1"/>
        <v>2</v>
      </c>
      <c r="AK7">
        <f ca="1">IF(2&gt;$AK$2,"",SMALL($R$6:$AF$505,2))</f>
        <v>46311.000010099997</v>
      </c>
      <c r="AL7">
        <f t="shared" ca="1" si="2"/>
        <v>101</v>
      </c>
      <c r="AM7">
        <f t="shared" ca="1" si="3"/>
        <v>1</v>
      </c>
      <c r="AN7">
        <f t="shared" ca="1" si="4"/>
        <v>1</v>
      </c>
      <c r="AP7">
        <f ca="1">IF(ISNUMBER(Roster!$B7),MAX(1,YEAR(Setup!$C$5)-YEAR(Roster!$B7)+IF(EDATE(Roster!$B7,12*(YEAR(Setup!$C$5)-YEAR(Roster!$B7)))&lt;Setup!$C$5,1,0)),"")</f>
        <v>3</v>
      </c>
      <c r="AQ7" s="32">
        <f ca="1">IF(AP7="","",EDATE(Roster!$B7,12*AP7))</f>
        <v>46371</v>
      </c>
      <c r="AR7">
        <f ca="1">IF(AQ7="","",IF(AQ7&lt;DATE(YEAR(Setup!$C$5)+1,MONTH(Setup!$C$5),DAY(Setup!$C$5)),AQ7+2/1000,""))</f>
        <v>46371.002</v>
      </c>
      <c r="AS7">
        <f t="shared" ca="1" si="5"/>
        <v>2</v>
      </c>
      <c r="AT7" t="b">
        <f ca="1">IF(AS7="","",IF(ISNUMBER(Roster!$D7),Roster!$D7&gt;=AP7,FALSE))</f>
        <v>0</v>
      </c>
      <c r="AU7">
        <f t="shared" ca="1" si="6"/>
        <v>46335</v>
      </c>
      <c r="AV7">
        <f ca="1">IF(2&gt;$AV$2,"",SMALL($AR$6:$AR$505,2))</f>
        <v>46371.002</v>
      </c>
      <c r="AW7">
        <f t="shared" ca="1" si="7"/>
        <v>2</v>
      </c>
    </row>
    <row r="8" spans="1:49" x14ac:dyDescent="0.2">
      <c r="B8" s="32">
        <f>IF(AND(ISNUMBER(Roster!$B8),Setup!$B$20="Yes",ISNUMBER(Setup!$C$20)),EDATE(Roster!$B8,12*Setup!$C$20),"")</f>
        <v>44944</v>
      </c>
      <c r="C8" s="32">
        <f>IF(AND(ISNUMBER(Roster!$B8),Setup!$B$21="Yes",ISNUMBER(Setup!$C$21)),EDATE(Roster!$B8,12*Setup!$C$21),"")</f>
        <v>45675</v>
      </c>
      <c r="D8" s="32">
        <f>IF(AND(ISNUMBER(Roster!$B8),Setup!$B$22="Yes",ISNUMBER(Setup!$C$22)),EDATE(Roster!$B8,12*Setup!$C$22),"")</f>
        <v>46405</v>
      </c>
      <c r="E8" s="32">
        <f>IF(AND(ISNUMBER(Roster!$B8),Setup!$B$23="Yes",ISNUMBER(Setup!$C$23)),EDATE(Roster!$B8,12*Setup!$C$23),"")</f>
        <v>48231</v>
      </c>
      <c r="F8" s="32">
        <f>IF(AND(ISNUMBER(Roster!$B8),Setup!$B$24="Yes",ISNUMBER(Setup!$C$24)),EDATE(Roster!$B8,12*Setup!$C$24),"")</f>
        <v>50058</v>
      </c>
      <c r="G8" s="32">
        <f>IF(AND(ISNUMBER(Roster!$B8),Setup!$B$25="Yes",ISNUMBER(Setup!$C$25)),EDATE(Roster!$B8,12*Setup!$C$25),"")</f>
        <v>51884</v>
      </c>
      <c r="H8" s="32">
        <f>IF(AND(ISNUMBER(Roster!$B8),Setup!$B$26="Yes",ISNUMBER(Setup!$C$26)),EDATE(Roster!$B8,12*Setup!$C$26),"")</f>
        <v>53710</v>
      </c>
      <c r="I8" s="32">
        <f>IF(AND(ISNUMBER(Roster!$B8),Setup!$B$27="Yes",ISNUMBER(Setup!$C$27)),EDATE(Roster!$B8,12*Setup!$C$27),"")</f>
        <v>55536</v>
      </c>
      <c r="J8" s="32">
        <f>IF(AND(ISNUMBER(Roster!$B8),Setup!$B$28="Yes",ISNUMBER(Setup!$C$28)),EDATE(Roster!$B8,12*Setup!$C$28),"")</f>
        <v>57363</v>
      </c>
      <c r="K8" s="32">
        <f>IF(AND(ISNUMBER(Roster!$B8),Setup!$B$29="Yes",ISNUMBER(Setup!$C$29)),EDATE(Roster!$B8,12*Setup!$C$29),"")</f>
        <v>59189</v>
      </c>
      <c r="L8" s="32">
        <f>IF(AND(ISNUMBER(Roster!$B8),Setup!$B$30="Yes",ISNUMBER(Setup!$C$30)),EDATE(Roster!$B8,12*Setup!$C$30),"")</f>
        <v>61015</v>
      </c>
      <c r="M8" s="32">
        <f>IF(AND(ISNUMBER(Roster!$B8),Setup!$B$31="Yes",ISNUMBER(Setup!$C$31)),EDATE(Roster!$B8,12*Setup!$C$31),"")</f>
        <v>62841</v>
      </c>
      <c r="N8" s="32" t="str">
        <f>IF(AND(ISNUMBER(Roster!$B8),Setup!$B$32="Yes",ISNUMBER(Setup!$C$32)),EDATE(Roster!$B8,12*Setup!$C$32),"")</f>
        <v/>
      </c>
      <c r="O8" s="32" t="str">
        <f>IF(AND(ISNUMBER(Roster!$B8),Setup!$B$33="Yes",ISNUMBER(Setup!$C$33)),EDATE(Roster!$B8,12*Setup!$C$33),"")</f>
        <v/>
      </c>
      <c r="P8" s="32" t="str">
        <f>IF(AND(ISNUMBER(Roster!$B8),Setup!$B$34="Yes",ISNUMBER(Setup!$C$34)),EDATE(Roster!$B8,12*Setup!$C$34),"")</f>
        <v/>
      </c>
      <c r="R8" t="str">
        <f ca="1">IF(B8="","",IF(B8&lt;Setup!$C$5-Setup!$C$6,"",IF(IF(ISNUMBER(Roster!$D8),Setup!$C$20&lt;=Roster!$D8,FALSE),"",IF(OR(IF(Setup!$C$15&lt;=Setup!$C$16,AND(MONTH(B8)&gt;=Setup!$C$15,MONTH(B8)&lt;=Setup!$C$16),OR(MONTH(B8)&gt;=Setup!$C$15,MONTH(B8)&lt;=Setup!$C$16)),IF(Setup!$C$15&lt;=Setup!$C$16,AND(MONTH(WORKDAY(B8,-(Setup!$C$13+Setup!$G$20),Setup!$C$39:$C$50))&gt;=Setup!$C$15,MONTH(WORKDAY(B8,-(Setup!$C$13+Setup!$G$20),Setup!$C$39:$C$50))&lt;=Setup!$C$16),OR(MONTH(WORKDAY(B8,-(Setup!$C$13+Setup!$G$20),Setup!$C$39:$C$50))&gt;=Setup!$C$15,MONTH(WORKDAY(B8,-(Setup!$C$13+Setup!$G$20),Setup!$C$39:$C$50))&lt;=Setup!$C$16))),WORKDAY(B8,-(Setup!$C$13+Setup!$G$20+Setup!$C$14),Setup!$C$39:$C$50),WORKDAY(B8,-(Setup!$C$13+Setup!$G$20),Setup!$C$39:$C$50))+(3*100+1)/10000000)))</f>
        <v/>
      </c>
      <c r="S8" t="str">
        <f ca="1">IF(C8="","",IF(C8&lt;Setup!$C$5-Setup!$C$6,"",IF(IF(ISNUMBER(Roster!$D8),Setup!$C$21&lt;=Roster!$D8,FALSE),"",IF(OR(IF(Setup!$C$15&lt;=Setup!$C$16,AND(MONTH(C8)&gt;=Setup!$C$15,MONTH(C8)&lt;=Setup!$C$16),OR(MONTH(C8)&gt;=Setup!$C$15,MONTH(C8)&lt;=Setup!$C$16)),IF(Setup!$C$15&lt;=Setup!$C$16,AND(MONTH(WORKDAY(C8,-(Setup!$C$13+Setup!$G$21),Setup!$C$39:$C$50))&gt;=Setup!$C$15,MONTH(WORKDAY(C8,-(Setup!$C$13+Setup!$G$21),Setup!$C$39:$C$50))&lt;=Setup!$C$16),OR(MONTH(WORKDAY(C8,-(Setup!$C$13+Setup!$G$21),Setup!$C$39:$C$50))&gt;=Setup!$C$15,MONTH(WORKDAY(C8,-(Setup!$C$13+Setup!$G$21),Setup!$C$39:$C$50))&lt;=Setup!$C$16))),WORKDAY(C8,-(Setup!$C$13+Setup!$G$21+Setup!$C$14),Setup!$C$39:$C$50),WORKDAY(C8,-(Setup!$C$13+Setup!$G$21),Setup!$C$39:$C$50))+(3*100+2)/10000000)))</f>
        <v/>
      </c>
      <c r="T8">
        <f ca="1">IF(D8="","",IF(D8&lt;Setup!$C$5-Setup!$C$6,"",IF(IF(ISNUMBER(Roster!$D8),Setup!$C$22&lt;=Roster!$D8,FALSE),"",IF(OR(IF(Setup!$C$15&lt;=Setup!$C$16,AND(MONTH(D8)&gt;=Setup!$C$15,MONTH(D8)&lt;=Setup!$C$16),OR(MONTH(D8)&gt;=Setup!$C$15,MONTH(D8)&lt;=Setup!$C$16)),IF(Setup!$C$15&lt;=Setup!$C$16,AND(MONTH(WORKDAY(D8,-(Setup!$C$13+Setup!$G$22),Setup!$C$39:$C$50))&gt;=Setup!$C$15,MONTH(WORKDAY(D8,-(Setup!$C$13+Setup!$G$22),Setup!$C$39:$C$50))&lt;=Setup!$C$16),OR(MONTH(WORKDAY(D8,-(Setup!$C$13+Setup!$G$22),Setup!$C$39:$C$50))&gt;=Setup!$C$15,MONTH(WORKDAY(D8,-(Setup!$C$13+Setup!$G$22),Setup!$C$39:$C$50))&lt;=Setup!$C$16))),WORKDAY(D8,-(Setup!$C$13+Setup!$G$22+Setup!$C$14),Setup!$C$39:$C$50),WORKDAY(D8,-(Setup!$C$13+Setup!$G$22),Setup!$C$39:$C$50))+(3*100+3)/10000000)))</f>
        <v>46366.000030299998</v>
      </c>
      <c r="U8">
        <f ca="1">IF(E8="","",IF(E8&lt;Setup!$C$5-Setup!$C$6,"",IF(IF(ISNUMBER(Roster!$D8),Setup!$C$23&lt;=Roster!$D8,FALSE),"",IF(OR(IF(Setup!$C$15&lt;=Setup!$C$16,AND(MONTH(E8)&gt;=Setup!$C$15,MONTH(E8)&lt;=Setup!$C$16),OR(MONTH(E8)&gt;=Setup!$C$15,MONTH(E8)&lt;=Setup!$C$16)),IF(Setup!$C$15&lt;=Setup!$C$16,AND(MONTH(WORKDAY(E8,-(Setup!$C$13+Setup!$G$23),Setup!$C$39:$C$50))&gt;=Setup!$C$15,MONTH(WORKDAY(E8,-(Setup!$C$13+Setup!$G$23),Setup!$C$39:$C$50))&lt;=Setup!$C$16),OR(MONTH(WORKDAY(E8,-(Setup!$C$13+Setup!$G$23),Setup!$C$39:$C$50))&gt;=Setup!$C$15,MONTH(WORKDAY(E8,-(Setup!$C$13+Setup!$G$23),Setup!$C$39:$C$50))&lt;=Setup!$C$16))),WORKDAY(E8,-(Setup!$C$13+Setup!$G$23+Setup!$C$14),Setup!$C$39:$C$50),WORKDAY(E8,-(Setup!$C$13+Setup!$G$23),Setup!$C$39:$C$50))+(3*100+4)/10000000)))</f>
        <v>48197.000030399999</v>
      </c>
      <c r="V8">
        <f ca="1">IF(F8="","",IF(F8&lt;Setup!$C$5-Setup!$C$6,"",IF(IF(ISNUMBER(Roster!$D8),Setup!$C$24&lt;=Roster!$D8,FALSE),"",IF(OR(IF(Setup!$C$15&lt;=Setup!$C$16,AND(MONTH(F8)&gt;=Setup!$C$15,MONTH(F8)&lt;=Setup!$C$16),OR(MONTH(F8)&gt;=Setup!$C$15,MONTH(F8)&lt;=Setup!$C$16)),IF(Setup!$C$15&lt;=Setup!$C$16,AND(MONTH(WORKDAY(F8,-(Setup!$C$13+Setup!$G$24),Setup!$C$39:$C$50))&gt;=Setup!$C$15,MONTH(WORKDAY(F8,-(Setup!$C$13+Setup!$G$24),Setup!$C$39:$C$50))&lt;=Setup!$C$16),OR(MONTH(WORKDAY(F8,-(Setup!$C$13+Setup!$G$24),Setup!$C$39:$C$50))&gt;=Setup!$C$15,MONTH(WORKDAY(F8,-(Setup!$C$13+Setup!$G$24),Setup!$C$39:$C$50))&lt;=Setup!$C$16))),WORKDAY(F8,-(Setup!$C$13+Setup!$G$24+Setup!$C$14),Setup!$C$39:$C$50),WORKDAY(F8,-(Setup!$C$13+Setup!$G$24),Setup!$C$39:$C$50))+(3*100+5)/10000000)))</f>
        <v>50024.000030499999</v>
      </c>
      <c r="W8">
        <f ca="1">IF(G8="","",IF(G8&lt;Setup!$C$5-Setup!$C$6,"",IF(IF(ISNUMBER(Roster!$D8),Setup!$C$25&lt;=Roster!$D8,FALSE),"",IF(OR(IF(Setup!$C$15&lt;=Setup!$C$16,AND(MONTH(G8)&gt;=Setup!$C$15,MONTH(G8)&lt;=Setup!$C$16),OR(MONTH(G8)&gt;=Setup!$C$15,MONTH(G8)&lt;=Setup!$C$16)),IF(Setup!$C$15&lt;=Setup!$C$16,AND(MONTH(WORKDAY(G8,-(Setup!$C$13+Setup!$G$25),Setup!$C$39:$C$50))&gt;=Setup!$C$15,MONTH(WORKDAY(G8,-(Setup!$C$13+Setup!$G$25),Setup!$C$39:$C$50))&lt;=Setup!$C$16),OR(MONTH(WORKDAY(G8,-(Setup!$C$13+Setup!$G$25),Setup!$C$39:$C$50))&gt;=Setup!$C$15,MONTH(WORKDAY(G8,-(Setup!$C$13+Setup!$G$25),Setup!$C$39:$C$50))&lt;=Setup!$C$16))),WORKDAY(G8,-(Setup!$C$13+Setup!$G$25+Setup!$C$14),Setup!$C$39:$C$50),WORKDAY(G8,-(Setup!$C$13+Setup!$G$25),Setup!$C$39:$C$50))+(3*100+6)/10000000)))</f>
        <v>51851.0000306</v>
      </c>
      <c r="X8">
        <f ca="1">IF(H8="","",IF(H8&lt;Setup!$C$5-Setup!$C$6,"",IF(IF(ISNUMBER(Roster!$D8),Setup!$C$26&lt;=Roster!$D8,FALSE),"",IF(OR(IF(Setup!$C$15&lt;=Setup!$C$16,AND(MONTH(H8)&gt;=Setup!$C$15,MONTH(H8)&lt;=Setup!$C$16),OR(MONTH(H8)&gt;=Setup!$C$15,MONTH(H8)&lt;=Setup!$C$16)),IF(Setup!$C$15&lt;=Setup!$C$16,AND(MONTH(WORKDAY(H8,-(Setup!$C$13+Setup!$G$26),Setup!$C$39:$C$50))&gt;=Setup!$C$15,MONTH(WORKDAY(H8,-(Setup!$C$13+Setup!$G$26),Setup!$C$39:$C$50))&lt;=Setup!$C$16),OR(MONTH(WORKDAY(H8,-(Setup!$C$13+Setup!$G$26),Setup!$C$39:$C$50))&gt;=Setup!$C$15,MONTH(WORKDAY(H8,-(Setup!$C$13+Setup!$G$26),Setup!$C$39:$C$50))&lt;=Setup!$C$16))),WORKDAY(H8,-(Setup!$C$13+Setup!$G$26+Setup!$C$14),Setup!$C$39:$C$50),WORKDAY(H8,-(Setup!$C$13+Setup!$G$26),Setup!$C$39:$C$50))+(3*100+7)/10000000)))</f>
        <v>53675.000030700001</v>
      </c>
      <c r="Y8">
        <f ca="1">IF(I8="","",IF(I8&lt;Setup!$C$5-Setup!$C$6,"",IF(IF(ISNUMBER(Roster!$D8),Setup!$C$27&lt;=Roster!$D8,FALSE),"",IF(OR(IF(Setup!$C$15&lt;=Setup!$C$16,AND(MONTH(I8)&gt;=Setup!$C$15,MONTH(I8)&lt;=Setup!$C$16),OR(MONTH(I8)&gt;=Setup!$C$15,MONTH(I8)&lt;=Setup!$C$16)),IF(Setup!$C$15&lt;=Setup!$C$16,AND(MONTH(WORKDAY(I8,-(Setup!$C$13+Setup!$G$27),Setup!$C$39:$C$50))&gt;=Setup!$C$15,MONTH(WORKDAY(I8,-(Setup!$C$13+Setup!$G$27),Setup!$C$39:$C$50))&lt;=Setup!$C$16),OR(MONTH(WORKDAY(I8,-(Setup!$C$13+Setup!$G$27),Setup!$C$39:$C$50))&gt;=Setup!$C$15,MONTH(WORKDAY(I8,-(Setup!$C$13+Setup!$G$27),Setup!$C$39:$C$50))&lt;=Setup!$C$16))),WORKDAY(I8,-(Setup!$C$13+Setup!$G$27+Setup!$C$14),Setup!$C$39:$C$50),WORKDAY(I8,-(Setup!$C$13+Setup!$G$27),Setup!$C$39:$C$50))+(3*100+8)/10000000)))</f>
        <v>55501.000030800002</v>
      </c>
      <c r="Z8">
        <f ca="1">IF(J8="","",IF(J8&lt;Setup!$C$5-Setup!$C$6,"",IF(IF(ISNUMBER(Roster!$D8),Setup!$C$28&lt;=Roster!$D8,FALSE),"",IF(OR(IF(Setup!$C$15&lt;=Setup!$C$16,AND(MONTH(J8)&gt;=Setup!$C$15,MONTH(J8)&lt;=Setup!$C$16),OR(MONTH(J8)&gt;=Setup!$C$15,MONTH(J8)&lt;=Setup!$C$16)),IF(Setup!$C$15&lt;=Setup!$C$16,AND(MONTH(WORKDAY(J8,-(Setup!$C$13+Setup!$G$28),Setup!$C$39:$C$50))&gt;=Setup!$C$15,MONTH(WORKDAY(J8,-(Setup!$C$13+Setup!$G$28),Setup!$C$39:$C$50))&lt;=Setup!$C$16),OR(MONTH(WORKDAY(J8,-(Setup!$C$13+Setup!$G$28),Setup!$C$39:$C$50))&gt;=Setup!$C$15,MONTH(WORKDAY(J8,-(Setup!$C$13+Setup!$G$28),Setup!$C$39:$C$50))&lt;=Setup!$C$16))),WORKDAY(J8,-(Setup!$C$13+Setup!$G$28+Setup!$C$14),Setup!$C$39:$C$50),WORKDAY(J8,-(Setup!$C$13+Setup!$G$28),Setup!$C$39:$C$50))+(3*100+9)/10000000)))</f>
        <v>57328.000030900002</v>
      </c>
      <c r="AA8">
        <f ca="1">IF(K8="","",IF(K8&lt;Setup!$C$5-Setup!$C$6,"",IF(IF(ISNUMBER(Roster!$D8),Setup!$C$29&lt;=Roster!$D8,FALSE),"",IF(OR(IF(Setup!$C$15&lt;=Setup!$C$16,AND(MONTH(K8)&gt;=Setup!$C$15,MONTH(K8)&lt;=Setup!$C$16),OR(MONTH(K8)&gt;=Setup!$C$15,MONTH(K8)&lt;=Setup!$C$16)),IF(Setup!$C$15&lt;=Setup!$C$16,AND(MONTH(WORKDAY(K8,-(Setup!$C$13+Setup!$G$29),Setup!$C$39:$C$50))&gt;=Setup!$C$15,MONTH(WORKDAY(K8,-(Setup!$C$13+Setup!$G$29),Setup!$C$39:$C$50))&lt;=Setup!$C$16),OR(MONTH(WORKDAY(K8,-(Setup!$C$13+Setup!$G$29),Setup!$C$39:$C$50))&gt;=Setup!$C$15,MONTH(WORKDAY(K8,-(Setup!$C$13+Setup!$G$29),Setup!$C$39:$C$50))&lt;=Setup!$C$16))),WORKDAY(K8,-(Setup!$C$13+Setup!$G$29+Setup!$C$14),Setup!$C$39:$C$50),WORKDAY(K8,-(Setup!$C$13+Setup!$G$29),Setup!$C$39:$C$50))+(3*100+10)/10000000)))</f>
        <v>59154.000031000003</v>
      </c>
      <c r="AB8">
        <f ca="1">IF(L8="","",IF(L8&lt;Setup!$C$5-Setup!$C$6,"",IF(IF(ISNUMBER(Roster!$D8),Setup!$C$30&lt;=Roster!$D8,FALSE),"",IF(OR(IF(Setup!$C$15&lt;=Setup!$C$16,AND(MONTH(L8)&gt;=Setup!$C$15,MONTH(L8)&lt;=Setup!$C$16),OR(MONTH(L8)&gt;=Setup!$C$15,MONTH(L8)&lt;=Setup!$C$16)),IF(Setup!$C$15&lt;=Setup!$C$16,AND(MONTH(WORKDAY(L8,-(Setup!$C$13+Setup!$G$30),Setup!$C$39:$C$50))&gt;=Setup!$C$15,MONTH(WORKDAY(L8,-(Setup!$C$13+Setup!$G$30),Setup!$C$39:$C$50))&lt;=Setup!$C$16),OR(MONTH(WORKDAY(L8,-(Setup!$C$13+Setup!$G$30),Setup!$C$39:$C$50))&gt;=Setup!$C$15,MONTH(WORKDAY(L8,-(Setup!$C$13+Setup!$G$30),Setup!$C$39:$C$50))&lt;=Setup!$C$16))),WORKDAY(L8,-(Setup!$C$13+Setup!$G$30+Setup!$C$14),Setup!$C$39:$C$50),WORKDAY(L8,-(Setup!$C$13+Setup!$G$30),Setup!$C$39:$C$50))+(3*100+11)/10000000)))</f>
        <v>60980.000031099997</v>
      </c>
      <c r="AC8">
        <f ca="1">IF(M8="","",IF(M8&lt;Setup!$C$5-Setup!$C$6,"",IF(IF(ISNUMBER(Roster!$D8),Setup!$C$31&lt;=Roster!$D8,FALSE),"",IF(OR(IF(Setup!$C$15&lt;=Setup!$C$16,AND(MONTH(M8)&gt;=Setup!$C$15,MONTH(M8)&lt;=Setup!$C$16),OR(MONTH(M8)&gt;=Setup!$C$15,MONTH(M8)&lt;=Setup!$C$16)),IF(Setup!$C$15&lt;=Setup!$C$16,AND(MONTH(WORKDAY(M8,-(Setup!$C$13+Setup!$G$31),Setup!$C$39:$C$50))&gt;=Setup!$C$15,MONTH(WORKDAY(M8,-(Setup!$C$13+Setup!$G$31),Setup!$C$39:$C$50))&lt;=Setup!$C$16),OR(MONTH(WORKDAY(M8,-(Setup!$C$13+Setup!$G$31),Setup!$C$39:$C$50))&gt;=Setup!$C$15,MONTH(WORKDAY(M8,-(Setup!$C$13+Setup!$G$31),Setup!$C$39:$C$50))&lt;=Setup!$C$16))),WORKDAY(M8,-(Setup!$C$13+Setup!$G$31+Setup!$C$14),Setup!$C$39:$C$50),WORKDAY(M8,-(Setup!$C$13+Setup!$G$31),Setup!$C$39:$C$50))+(3*100+12)/10000000)))</f>
        <v>62806.000031199997</v>
      </c>
      <c r="AD8" t="str">
        <f>IF(N8="","",IF(N8&lt;Setup!$C$5-Setup!$C$6,"",IF(IF(ISNUMBER(Roster!$D8),Setup!$C$32&lt;=Roster!$D8,FALSE),"",IF(OR(IF(Setup!$C$15&lt;=Setup!$C$16,AND(MONTH(N8)&gt;=Setup!$C$15,MONTH(N8)&lt;=Setup!$C$16),OR(MONTH(N8)&gt;=Setup!$C$15,MONTH(N8)&lt;=Setup!$C$16)),IF(Setup!$C$15&lt;=Setup!$C$16,AND(MONTH(WORKDAY(N8,-(Setup!$C$13+Setup!$G$32),Setup!$C$39:$C$50))&gt;=Setup!$C$15,MONTH(WORKDAY(N8,-(Setup!$C$13+Setup!$G$32),Setup!$C$39:$C$50))&lt;=Setup!$C$16),OR(MONTH(WORKDAY(N8,-(Setup!$C$13+Setup!$G$32),Setup!$C$39:$C$50))&gt;=Setup!$C$15,MONTH(WORKDAY(N8,-(Setup!$C$13+Setup!$G$32),Setup!$C$39:$C$50))&lt;=Setup!$C$16))),WORKDAY(N8,-(Setup!$C$13+Setup!$G$32+Setup!$C$14),Setup!$C$39:$C$50),WORKDAY(N8,-(Setup!$C$13+Setup!$G$32),Setup!$C$39:$C$50))+(3*100+13)/10000000)))</f>
        <v/>
      </c>
      <c r="AE8" t="str">
        <f>IF(O8="","",IF(O8&lt;Setup!$C$5-Setup!$C$6,"",IF(IF(ISNUMBER(Roster!$D8),Setup!$C$33&lt;=Roster!$D8,FALSE),"",IF(OR(IF(Setup!$C$15&lt;=Setup!$C$16,AND(MONTH(O8)&gt;=Setup!$C$15,MONTH(O8)&lt;=Setup!$C$16),OR(MONTH(O8)&gt;=Setup!$C$15,MONTH(O8)&lt;=Setup!$C$16)),IF(Setup!$C$15&lt;=Setup!$C$16,AND(MONTH(WORKDAY(O8,-(Setup!$C$13+Setup!$G$33),Setup!$C$39:$C$50))&gt;=Setup!$C$15,MONTH(WORKDAY(O8,-(Setup!$C$13+Setup!$G$33),Setup!$C$39:$C$50))&lt;=Setup!$C$16),OR(MONTH(WORKDAY(O8,-(Setup!$C$13+Setup!$G$33),Setup!$C$39:$C$50))&gt;=Setup!$C$15,MONTH(WORKDAY(O8,-(Setup!$C$13+Setup!$G$33),Setup!$C$39:$C$50))&lt;=Setup!$C$16))),WORKDAY(O8,-(Setup!$C$13+Setup!$G$33+Setup!$C$14),Setup!$C$39:$C$50),WORKDAY(O8,-(Setup!$C$13+Setup!$G$33),Setup!$C$39:$C$50))+(3*100+14)/10000000)))</f>
        <v/>
      </c>
      <c r="AF8" t="str">
        <f>IF(P8="","",IF(P8&lt;Setup!$C$5-Setup!$C$6,"",IF(IF(ISNUMBER(Roster!$D8),Setup!$C$34&lt;=Roster!$D8,FALSE),"",IF(OR(IF(Setup!$C$15&lt;=Setup!$C$16,AND(MONTH(P8)&gt;=Setup!$C$15,MONTH(P8)&lt;=Setup!$C$16),OR(MONTH(P8)&gt;=Setup!$C$15,MONTH(P8)&lt;=Setup!$C$16)),IF(Setup!$C$15&lt;=Setup!$C$16,AND(MONTH(WORKDAY(P8,-(Setup!$C$13+Setup!$G$34),Setup!$C$39:$C$50))&gt;=Setup!$C$15,MONTH(WORKDAY(P8,-(Setup!$C$13+Setup!$G$34),Setup!$C$39:$C$50))&lt;=Setup!$C$16),OR(MONTH(WORKDAY(P8,-(Setup!$C$13+Setup!$G$34),Setup!$C$39:$C$50))&gt;=Setup!$C$15,MONTH(WORKDAY(P8,-(Setup!$C$13+Setup!$G$34),Setup!$C$39:$C$50))&lt;=Setup!$C$16))),WORKDAY(P8,-(Setup!$C$13+Setup!$G$34+Setup!$C$14),Setup!$C$39:$C$50),WORKDAY(P8,-(Setup!$C$13+Setup!$G$34),Setup!$C$39:$C$50))+(3*100+15)/10000000)))</f>
        <v/>
      </c>
      <c r="AH8">
        <f t="shared" ca="1" si="0"/>
        <v>46366.000030299998</v>
      </c>
      <c r="AI8">
        <f t="shared" ca="1" si="1"/>
        <v>3</v>
      </c>
      <c r="AK8">
        <f ca="1">IF(3&gt;$AK$2,"",SMALL($R$6:$AF$505,3))</f>
        <v>46335.000020200001</v>
      </c>
      <c r="AL8">
        <f t="shared" ca="1" si="2"/>
        <v>202</v>
      </c>
      <c r="AM8">
        <f t="shared" ca="1" si="3"/>
        <v>2</v>
      </c>
      <c r="AN8">
        <f t="shared" ca="1" si="4"/>
        <v>2</v>
      </c>
      <c r="AP8">
        <f ca="1">IF(ISNUMBER(Roster!$B8),MAX(1,YEAR(Setup!$C$5)-YEAR(Roster!$B8)+IF(EDATE(Roster!$B8,12*(YEAR(Setup!$C$5)-YEAR(Roster!$B8)))&lt;Setup!$C$5,1,0)),"")</f>
        <v>5</v>
      </c>
      <c r="AQ8" s="32">
        <f ca="1">IF(AP8="","",EDATE(Roster!$B8,12*AP8))</f>
        <v>46405</v>
      </c>
      <c r="AR8">
        <f ca="1">IF(AQ8="","",IF(AQ8&lt;DATE(YEAR(Setup!$C$5)+1,MONTH(Setup!$C$5),DAY(Setup!$C$5)),AQ8+3/1000,""))</f>
        <v>46405.002999999997</v>
      </c>
      <c r="AS8">
        <f t="shared" ca="1" si="5"/>
        <v>3</v>
      </c>
      <c r="AT8" t="b">
        <f ca="1">IF(AS8="","",IF(ISNUMBER(Roster!$D8),Roster!$D8&gt;=AP8,FALSE))</f>
        <v>0</v>
      </c>
      <c r="AU8">
        <f t="shared" ca="1" si="6"/>
        <v>46366</v>
      </c>
      <c r="AV8">
        <f ca="1">IF(3&gt;$AV$2,"",SMALL($AR$6:$AR$505,3))</f>
        <v>46399.012000000002</v>
      </c>
      <c r="AW8">
        <f t="shared" ca="1" si="7"/>
        <v>12</v>
      </c>
    </row>
    <row r="9" spans="1:49" x14ac:dyDescent="0.2">
      <c r="B9" s="32">
        <f>IF(AND(ISNUMBER(Roster!$B9),Setup!$B$20="Yes",ISNUMBER(Setup!$C$20)),EDATE(Roster!$B9,12*Setup!$C$20),"")</f>
        <v>43166</v>
      </c>
      <c r="C9" s="32">
        <f>IF(AND(ISNUMBER(Roster!$B9),Setup!$B$21="Yes",ISNUMBER(Setup!$C$21)),EDATE(Roster!$B9,12*Setup!$C$21),"")</f>
        <v>43897</v>
      </c>
      <c r="D9" s="32">
        <f>IF(AND(ISNUMBER(Roster!$B9),Setup!$B$22="Yes",ISNUMBER(Setup!$C$22)),EDATE(Roster!$B9,12*Setup!$C$22),"")</f>
        <v>44627</v>
      </c>
      <c r="E9" s="32">
        <f>IF(AND(ISNUMBER(Roster!$B9),Setup!$B$23="Yes",ISNUMBER(Setup!$C$23)),EDATE(Roster!$B9,12*Setup!$C$23),"")</f>
        <v>46453</v>
      </c>
      <c r="F9" s="32">
        <f>IF(AND(ISNUMBER(Roster!$B9),Setup!$B$24="Yes",ISNUMBER(Setup!$C$24)),EDATE(Roster!$B9,12*Setup!$C$24),"")</f>
        <v>48280</v>
      </c>
      <c r="G9" s="32">
        <f>IF(AND(ISNUMBER(Roster!$B9),Setup!$B$25="Yes",ISNUMBER(Setup!$C$25)),EDATE(Roster!$B9,12*Setup!$C$25),"")</f>
        <v>50106</v>
      </c>
      <c r="H9" s="32">
        <f>IF(AND(ISNUMBER(Roster!$B9),Setup!$B$26="Yes",ISNUMBER(Setup!$C$26)),EDATE(Roster!$B9,12*Setup!$C$26),"")</f>
        <v>51932</v>
      </c>
      <c r="I9" s="32">
        <f>IF(AND(ISNUMBER(Roster!$B9),Setup!$B$27="Yes",ISNUMBER(Setup!$C$27)),EDATE(Roster!$B9,12*Setup!$C$27),"")</f>
        <v>53758</v>
      </c>
      <c r="J9" s="32">
        <f>IF(AND(ISNUMBER(Roster!$B9),Setup!$B$28="Yes",ISNUMBER(Setup!$C$28)),EDATE(Roster!$B9,12*Setup!$C$28),"")</f>
        <v>55585</v>
      </c>
      <c r="K9" s="32">
        <f>IF(AND(ISNUMBER(Roster!$B9),Setup!$B$29="Yes",ISNUMBER(Setup!$C$29)),EDATE(Roster!$B9,12*Setup!$C$29),"")</f>
        <v>57411</v>
      </c>
      <c r="L9" s="32">
        <f>IF(AND(ISNUMBER(Roster!$B9),Setup!$B$30="Yes",ISNUMBER(Setup!$C$30)),EDATE(Roster!$B9,12*Setup!$C$30),"")</f>
        <v>59237</v>
      </c>
      <c r="M9" s="32">
        <f>IF(AND(ISNUMBER(Roster!$B9),Setup!$B$31="Yes",ISNUMBER(Setup!$C$31)),EDATE(Roster!$B9,12*Setup!$C$31),"")</f>
        <v>61063</v>
      </c>
      <c r="N9" s="32" t="str">
        <f>IF(AND(ISNUMBER(Roster!$B9),Setup!$B$32="Yes",ISNUMBER(Setup!$C$32)),EDATE(Roster!$B9,12*Setup!$C$32),"")</f>
        <v/>
      </c>
      <c r="O9" s="32" t="str">
        <f>IF(AND(ISNUMBER(Roster!$B9),Setup!$B$33="Yes",ISNUMBER(Setup!$C$33)),EDATE(Roster!$B9,12*Setup!$C$33),"")</f>
        <v/>
      </c>
      <c r="P9" s="32" t="str">
        <f>IF(AND(ISNUMBER(Roster!$B9),Setup!$B$34="Yes",ISNUMBER(Setup!$C$34)),EDATE(Roster!$B9,12*Setup!$C$34),"")</f>
        <v/>
      </c>
      <c r="R9" t="str">
        <f ca="1">IF(B9="","",IF(B9&lt;Setup!$C$5-Setup!$C$6,"",IF(IF(ISNUMBER(Roster!$D9),Setup!$C$20&lt;=Roster!$D9,FALSE),"",IF(OR(IF(Setup!$C$15&lt;=Setup!$C$16,AND(MONTH(B9)&gt;=Setup!$C$15,MONTH(B9)&lt;=Setup!$C$16),OR(MONTH(B9)&gt;=Setup!$C$15,MONTH(B9)&lt;=Setup!$C$16)),IF(Setup!$C$15&lt;=Setup!$C$16,AND(MONTH(WORKDAY(B9,-(Setup!$C$13+Setup!$G$20),Setup!$C$39:$C$50))&gt;=Setup!$C$15,MONTH(WORKDAY(B9,-(Setup!$C$13+Setup!$G$20),Setup!$C$39:$C$50))&lt;=Setup!$C$16),OR(MONTH(WORKDAY(B9,-(Setup!$C$13+Setup!$G$20),Setup!$C$39:$C$50))&gt;=Setup!$C$15,MONTH(WORKDAY(B9,-(Setup!$C$13+Setup!$G$20),Setup!$C$39:$C$50))&lt;=Setup!$C$16))),WORKDAY(B9,-(Setup!$C$13+Setup!$G$20+Setup!$C$14),Setup!$C$39:$C$50),WORKDAY(B9,-(Setup!$C$13+Setup!$G$20),Setup!$C$39:$C$50))+(4*100+1)/10000000)))</f>
        <v/>
      </c>
      <c r="S9" t="str">
        <f ca="1">IF(C9="","",IF(C9&lt;Setup!$C$5-Setup!$C$6,"",IF(IF(ISNUMBER(Roster!$D9),Setup!$C$21&lt;=Roster!$D9,FALSE),"",IF(OR(IF(Setup!$C$15&lt;=Setup!$C$16,AND(MONTH(C9)&gt;=Setup!$C$15,MONTH(C9)&lt;=Setup!$C$16),OR(MONTH(C9)&gt;=Setup!$C$15,MONTH(C9)&lt;=Setup!$C$16)),IF(Setup!$C$15&lt;=Setup!$C$16,AND(MONTH(WORKDAY(C9,-(Setup!$C$13+Setup!$G$21),Setup!$C$39:$C$50))&gt;=Setup!$C$15,MONTH(WORKDAY(C9,-(Setup!$C$13+Setup!$G$21),Setup!$C$39:$C$50))&lt;=Setup!$C$16),OR(MONTH(WORKDAY(C9,-(Setup!$C$13+Setup!$G$21),Setup!$C$39:$C$50))&gt;=Setup!$C$15,MONTH(WORKDAY(C9,-(Setup!$C$13+Setup!$G$21),Setup!$C$39:$C$50))&lt;=Setup!$C$16))),WORKDAY(C9,-(Setup!$C$13+Setup!$G$21+Setup!$C$14),Setup!$C$39:$C$50),WORKDAY(C9,-(Setup!$C$13+Setup!$G$21),Setup!$C$39:$C$50))+(4*100+2)/10000000)))</f>
        <v/>
      </c>
      <c r="T9" t="str">
        <f ca="1">IF(D9="","",IF(D9&lt;Setup!$C$5-Setup!$C$6,"",IF(IF(ISNUMBER(Roster!$D9),Setup!$C$22&lt;=Roster!$D9,FALSE),"",IF(OR(IF(Setup!$C$15&lt;=Setup!$C$16,AND(MONTH(D9)&gt;=Setup!$C$15,MONTH(D9)&lt;=Setup!$C$16),OR(MONTH(D9)&gt;=Setup!$C$15,MONTH(D9)&lt;=Setup!$C$16)),IF(Setup!$C$15&lt;=Setup!$C$16,AND(MONTH(WORKDAY(D9,-(Setup!$C$13+Setup!$G$22),Setup!$C$39:$C$50))&gt;=Setup!$C$15,MONTH(WORKDAY(D9,-(Setup!$C$13+Setup!$G$22),Setup!$C$39:$C$50))&lt;=Setup!$C$16),OR(MONTH(WORKDAY(D9,-(Setup!$C$13+Setup!$G$22),Setup!$C$39:$C$50))&gt;=Setup!$C$15,MONTH(WORKDAY(D9,-(Setup!$C$13+Setup!$G$22),Setup!$C$39:$C$50))&lt;=Setup!$C$16))),WORKDAY(D9,-(Setup!$C$13+Setup!$G$22+Setup!$C$14),Setup!$C$39:$C$50),WORKDAY(D9,-(Setup!$C$13+Setup!$G$22),Setup!$C$39:$C$50))+(4*100+3)/10000000)))</f>
        <v/>
      </c>
      <c r="U9">
        <f ca="1">IF(E9="","",IF(E9&lt;Setup!$C$5-Setup!$C$6,"",IF(IF(ISNUMBER(Roster!$D9),Setup!$C$23&lt;=Roster!$D9,FALSE),"",IF(OR(IF(Setup!$C$15&lt;=Setup!$C$16,AND(MONTH(E9)&gt;=Setup!$C$15,MONTH(E9)&lt;=Setup!$C$16),OR(MONTH(E9)&gt;=Setup!$C$15,MONTH(E9)&lt;=Setup!$C$16)),IF(Setup!$C$15&lt;=Setup!$C$16,AND(MONTH(WORKDAY(E9,-(Setup!$C$13+Setup!$G$23),Setup!$C$39:$C$50))&gt;=Setup!$C$15,MONTH(WORKDAY(E9,-(Setup!$C$13+Setup!$G$23),Setup!$C$39:$C$50))&lt;=Setup!$C$16),OR(MONTH(WORKDAY(E9,-(Setup!$C$13+Setup!$G$23),Setup!$C$39:$C$50))&gt;=Setup!$C$15,MONTH(WORKDAY(E9,-(Setup!$C$13+Setup!$G$23),Setup!$C$39:$C$50))&lt;=Setup!$C$16))),WORKDAY(E9,-(Setup!$C$13+Setup!$G$23+Setup!$C$14),Setup!$C$39:$C$50),WORKDAY(E9,-(Setup!$C$13+Setup!$G$23),Setup!$C$39:$C$50))+(4*100+4)/10000000)))</f>
        <v>46433.000040400002</v>
      </c>
      <c r="V9">
        <f ca="1">IF(F9="","",IF(F9&lt;Setup!$C$5-Setup!$C$6,"",IF(IF(ISNUMBER(Roster!$D9),Setup!$C$24&lt;=Roster!$D9,FALSE),"",IF(OR(IF(Setup!$C$15&lt;=Setup!$C$16,AND(MONTH(F9)&gt;=Setup!$C$15,MONTH(F9)&lt;=Setup!$C$16),OR(MONTH(F9)&gt;=Setup!$C$15,MONTH(F9)&lt;=Setup!$C$16)),IF(Setup!$C$15&lt;=Setup!$C$16,AND(MONTH(WORKDAY(F9,-(Setup!$C$13+Setup!$G$24),Setup!$C$39:$C$50))&gt;=Setup!$C$15,MONTH(WORKDAY(F9,-(Setup!$C$13+Setup!$G$24),Setup!$C$39:$C$50))&lt;=Setup!$C$16),OR(MONTH(WORKDAY(F9,-(Setup!$C$13+Setup!$G$24),Setup!$C$39:$C$50))&gt;=Setup!$C$15,MONTH(WORKDAY(F9,-(Setup!$C$13+Setup!$G$24),Setup!$C$39:$C$50))&lt;=Setup!$C$16))),WORKDAY(F9,-(Setup!$C$13+Setup!$G$24+Setup!$C$14),Setup!$C$39:$C$50),WORKDAY(F9,-(Setup!$C$13+Setup!$G$24),Setup!$C$39:$C$50))+(4*100+5)/10000000)))</f>
        <v>48260.000040500003</v>
      </c>
      <c r="W9">
        <f ca="1">IF(G9="","",IF(G9&lt;Setup!$C$5-Setup!$C$6,"",IF(IF(ISNUMBER(Roster!$D9),Setup!$C$25&lt;=Roster!$D9,FALSE),"",IF(OR(IF(Setup!$C$15&lt;=Setup!$C$16,AND(MONTH(G9)&gt;=Setup!$C$15,MONTH(G9)&lt;=Setup!$C$16),OR(MONTH(G9)&gt;=Setup!$C$15,MONTH(G9)&lt;=Setup!$C$16)),IF(Setup!$C$15&lt;=Setup!$C$16,AND(MONTH(WORKDAY(G9,-(Setup!$C$13+Setup!$G$25),Setup!$C$39:$C$50))&gt;=Setup!$C$15,MONTH(WORKDAY(G9,-(Setup!$C$13+Setup!$G$25),Setup!$C$39:$C$50))&lt;=Setup!$C$16),OR(MONTH(WORKDAY(G9,-(Setup!$C$13+Setup!$G$25),Setup!$C$39:$C$50))&gt;=Setup!$C$15,MONTH(WORKDAY(G9,-(Setup!$C$13+Setup!$G$25),Setup!$C$39:$C$50))&lt;=Setup!$C$16))),WORKDAY(G9,-(Setup!$C$13+Setup!$G$25+Setup!$C$14),Setup!$C$39:$C$50),WORKDAY(G9,-(Setup!$C$13+Setup!$G$25),Setup!$C$39:$C$50))+(4*100+6)/10000000)))</f>
        <v>50087.000040600004</v>
      </c>
      <c r="X9">
        <f ca="1">IF(H9="","",IF(H9&lt;Setup!$C$5-Setup!$C$6,"",IF(IF(ISNUMBER(Roster!$D9),Setup!$C$26&lt;=Roster!$D9,FALSE),"",IF(OR(IF(Setup!$C$15&lt;=Setup!$C$16,AND(MONTH(H9)&gt;=Setup!$C$15,MONTH(H9)&lt;=Setup!$C$16),OR(MONTH(H9)&gt;=Setup!$C$15,MONTH(H9)&lt;=Setup!$C$16)),IF(Setup!$C$15&lt;=Setup!$C$16,AND(MONTH(WORKDAY(H9,-(Setup!$C$13+Setup!$G$26),Setup!$C$39:$C$50))&gt;=Setup!$C$15,MONTH(WORKDAY(H9,-(Setup!$C$13+Setup!$G$26),Setup!$C$39:$C$50))&lt;=Setup!$C$16),OR(MONTH(WORKDAY(H9,-(Setup!$C$13+Setup!$G$26),Setup!$C$39:$C$50))&gt;=Setup!$C$15,MONTH(WORKDAY(H9,-(Setup!$C$13+Setup!$G$26),Setup!$C$39:$C$50))&lt;=Setup!$C$16))),WORKDAY(H9,-(Setup!$C$13+Setup!$G$26+Setup!$C$14),Setup!$C$39:$C$50),WORKDAY(H9,-(Setup!$C$13+Setup!$G$26),Setup!$C$39:$C$50))+(4*100+7)/10000000)))</f>
        <v>51911.000040699997</v>
      </c>
      <c r="Y9">
        <f ca="1">IF(I9="","",IF(I9&lt;Setup!$C$5-Setup!$C$6,"",IF(IF(ISNUMBER(Roster!$D9),Setup!$C$27&lt;=Roster!$D9,FALSE),"",IF(OR(IF(Setup!$C$15&lt;=Setup!$C$16,AND(MONTH(I9)&gt;=Setup!$C$15,MONTH(I9)&lt;=Setup!$C$16),OR(MONTH(I9)&gt;=Setup!$C$15,MONTH(I9)&lt;=Setup!$C$16)),IF(Setup!$C$15&lt;=Setup!$C$16,AND(MONTH(WORKDAY(I9,-(Setup!$C$13+Setup!$G$27),Setup!$C$39:$C$50))&gt;=Setup!$C$15,MONTH(WORKDAY(I9,-(Setup!$C$13+Setup!$G$27),Setup!$C$39:$C$50))&lt;=Setup!$C$16),OR(MONTH(WORKDAY(I9,-(Setup!$C$13+Setup!$G$27),Setup!$C$39:$C$50))&gt;=Setup!$C$15,MONTH(WORKDAY(I9,-(Setup!$C$13+Setup!$G$27),Setup!$C$39:$C$50))&lt;=Setup!$C$16))),WORKDAY(I9,-(Setup!$C$13+Setup!$G$27+Setup!$C$14),Setup!$C$39:$C$50),WORKDAY(I9,-(Setup!$C$13+Setup!$G$27),Setup!$C$39:$C$50))+(4*100+8)/10000000)))</f>
        <v>53737.000040799998</v>
      </c>
      <c r="Z9">
        <f ca="1">IF(J9="","",IF(J9&lt;Setup!$C$5-Setup!$C$6,"",IF(IF(ISNUMBER(Roster!$D9),Setup!$C$28&lt;=Roster!$D9,FALSE),"",IF(OR(IF(Setup!$C$15&lt;=Setup!$C$16,AND(MONTH(J9)&gt;=Setup!$C$15,MONTH(J9)&lt;=Setup!$C$16),OR(MONTH(J9)&gt;=Setup!$C$15,MONTH(J9)&lt;=Setup!$C$16)),IF(Setup!$C$15&lt;=Setup!$C$16,AND(MONTH(WORKDAY(J9,-(Setup!$C$13+Setup!$G$28),Setup!$C$39:$C$50))&gt;=Setup!$C$15,MONTH(WORKDAY(J9,-(Setup!$C$13+Setup!$G$28),Setup!$C$39:$C$50))&lt;=Setup!$C$16),OR(MONTH(WORKDAY(J9,-(Setup!$C$13+Setup!$G$28),Setup!$C$39:$C$50))&gt;=Setup!$C$15,MONTH(WORKDAY(J9,-(Setup!$C$13+Setup!$G$28),Setup!$C$39:$C$50))&lt;=Setup!$C$16))),WORKDAY(J9,-(Setup!$C$13+Setup!$G$28+Setup!$C$14),Setup!$C$39:$C$50),WORKDAY(J9,-(Setup!$C$13+Setup!$G$28),Setup!$C$39:$C$50))+(4*100+9)/10000000)))</f>
        <v>55564.000040899999</v>
      </c>
      <c r="AA9">
        <f ca="1">IF(K9="","",IF(K9&lt;Setup!$C$5-Setup!$C$6,"",IF(IF(ISNUMBER(Roster!$D9),Setup!$C$29&lt;=Roster!$D9,FALSE),"",IF(OR(IF(Setup!$C$15&lt;=Setup!$C$16,AND(MONTH(K9)&gt;=Setup!$C$15,MONTH(K9)&lt;=Setup!$C$16),OR(MONTH(K9)&gt;=Setup!$C$15,MONTH(K9)&lt;=Setup!$C$16)),IF(Setup!$C$15&lt;=Setup!$C$16,AND(MONTH(WORKDAY(K9,-(Setup!$C$13+Setup!$G$29),Setup!$C$39:$C$50))&gt;=Setup!$C$15,MONTH(WORKDAY(K9,-(Setup!$C$13+Setup!$G$29),Setup!$C$39:$C$50))&lt;=Setup!$C$16),OR(MONTH(WORKDAY(K9,-(Setup!$C$13+Setup!$G$29),Setup!$C$39:$C$50))&gt;=Setup!$C$15,MONTH(WORKDAY(K9,-(Setup!$C$13+Setup!$G$29),Setup!$C$39:$C$50))&lt;=Setup!$C$16))),WORKDAY(K9,-(Setup!$C$13+Setup!$G$29+Setup!$C$14),Setup!$C$39:$C$50),WORKDAY(K9,-(Setup!$C$13+Setup!$G$29),Setup!$C$39:$C$50))+(4*100+10)/10000000)))</f>
        <v>57390.000040999999</v>
      </c>
      <c r="AB9">
        <f ca="1">IF(L9="","",IF(L9&lt;Setup!$C$5-Setup!$C$6,"",IF(IF(ISNUMBER(Roster!$D9),Setup!$C$30&lt;=Roster!$D9,FALSE),"",IF(OR(IF(Setup!$C$15&lt;=Setup!$C$16,AND(MONTH(L9)&gt;=Setup!$C$15,MONTH(L9)&lt;=Setup!$C$16),OR(MONTH(L9)&gt;=Setup!$C$15,MONTH(L9)&lt;=Setup!$C$16)),IF(Setup!$C$15&lt;=Setup!$C$16,AND(MONTH(WORKDAY(L9,-(Setup!$C$13+Setup!$G$30),Setup!$C$39:$C$50))&gt;=Setup!$C$15,MONTH(WORKDAY(L9,-(Setup!$C$13+Setup!$G$30),Setup!$C$39:$C$50))&lt;=Setup!$C$16),OR(MONTH(WORKDAY(L9,-(Setup!$C$13+Setup!$G$30),Setup!$C$39:$C$50))&gt;=Setup!$C$15,MONTH(WORKDAY(L9,-(Setup!$C$13+Setup!$G$30),Setup!$C$39:$C$50))&lt;=Setup!$C$16))),WORKDAY(L9,-(Setup!$C$13+Setup!$G$30+Setup!$C$14),Setup!$C$39:$C$50),WORKDAY(L9,-(Setup!$C$13+Setup!$G$30),Setup!$C$39:$C$50))+(4*100+11)/10000000)))</f>
        <v>59216.0000411</v>
      </c>
      <c r="AC9">
        <f ca="1">IF(M9="","",IF(M9&lt;Setup!$C$5-Setup!$C$6,"",IF(IF(ISNUMBER(Roster!$D9),Setup!$C$31&lt;=Roster!$D9,FALSE),"",IF(OR(IF(Setup!$C$15&lt;=Setup!$C$16,AND(MONTH(M9)&gt;=Setup!$C$15,MONTH(M9)&lt;=Setup!$C$16),OR(MONTH(M9)&gt;=Setup!$C$15,MONTH(M9)&lt;=Setup!$C$16)),IF(Setup!$C$15&lt;=Setup!$C$16,AND(MONTH(WORKDAY(M9,-(Setup!$C$13+Setup!$G$31),Setup!$C$39:$C$50))&gt;=Setup!$C$15,MONTH(WORKDAY(M9,-(Setup!$C$13+Setup!$G$31),Setup!$C$39:$C$50))&lt;=Setup!$C$16),OR(MONTH(WORKDAY(M9,-(Setup!$C$13+Setup!$G$31),Setup!$C$39:$C$50))&gt;=Setup!$C$15,MONTH(WORKDAY(M9,-(Setup!$C$13+Setup!$G$31),Setup!$C$39:$C$50))&lt;=Setup!$C$16))),WORKDAY(M9,-(Setup!$C$13+Setup!$G$31+Setup!$C$14),Setup!$C$39:$C$50),WORKDAY(M9,-(Setup!$C$13+Setup!$G$31),Setup!$C$39:$C$50))+(4*100+12)/10000000)))</f>
        <v>61042.000041200001</v>
      </c>
      <c r="AD9" t="str">
        <f>IF(N9="","",IF(N9&lt;Setup!$C$5-Setup!$C$6,"",IF(IF(ISNUMBER(Roster!$D9),Setup!$C$32&lt;=Roster!$D9,FALSE),"",IF(OR(IF(Setup!$C$15&lt;=Setup!$C$16,AND(MONTH(N9)&gt;=Setup!$C$15,MONTH(N9)&lt;=Setup!$C$16),OR(MONTH(N9)&gt;=Setup!$C$15,MONTH(N9)&lt;=Setup!$C$16)),IF(Setup!$C$15&lt;=Setup!$C$16,AND(MONTH(WORKDAY(N9,-(Setup!$C$13+Setup!$G$32),Setup!$C$39:$C$50))&gt;=Setup!$C$15,MONTH(WORKDAY(N9,-(Setup!$C$13+Setup!$G$32),Setup!$C$39:$C$50))&lt;=Setup!$C$16),OR(MONTH(WORKDAY(N9,-(Setup!$C$13+Setup!$G$32),Setup!$C$39:$C$50))&gt;=Setup!$C$15,MONTH(WORKDAY(N9,-(Setup!$C$13+Setup!$G$32),Setup!$C$39:$C$50))&lt;=Setup!$C$16))),WORKDAY(N9,-(Setup!$C$13+Setup!$G$32+Setup!$C$14),Setup!$C$39:$C$50),WORKDAY(N9,-(Setup!$C$13+Setup!$G$32),Setup!$C$39:$C$50))+(4*100+13)/10000000)))</f>
        <v/>
      </c>
      <c r="AE9" t="str">
        <f>IF(O9="","",IF(O9&lt;Setup!$C$5-Setup!$C$6,"",IF(IF(ISNUMBER(Roster!$D9),Setup!$C$33&lt;=Roster!$D9,FALSE),"",IF(OR(IF(Setup!$C$15&lt;=Setup!$C$16,AND(MONTH(O9)&gt;=Setup!$C$15,MONTH(O9)&lt;=Setup!$C$16),OR(MONTH(O9)&gt;=Setup!$C$15,MONTH(O9)&lt;=Setup!$C$16)),IF(Setup!$C$15&lt;=Setup!$C$16,AND(MONTH(WORKDAY(O9,-(Setup!$C$13+Setup!$G$33),Setup!$C$39:$C$50))&gt;=Setup!$C$15,MONTH(WORKDAY(O9,-(Setup!$C$13+Setup!$G$33),Setup!$C$39:$C$50))&lt;=Setup!$C$16),OR(MONTH(WORKDAY(O9,-(Setup!$C$13+Setup!$G$33),Setup!$C$39:$C$50))&gt;=Setup!$C$15,MONTH(WORKDAY(O9,-(Setup!$C$13+Setup!$G$33),Setup!$C$39:$C$50))&lt;=Setup!$C$16))),WORKDAY(O9,-(Setup!$C$13+Setup!$G$33+Setup!$C$14),Setup!$C$39:$C$50),WORKDAY(O9,-(Setup!$C$13+Setup!$G$33),Setup!$C$39:$C$50))+(4*100+14)/10000000)))</f>
        <v/>
      </c>
      <c r="AF9" t="str">
        <f>IF(P9="","",IF(P9&lt;Setup!$C$5-Setup!$C$6,"",IF(IF(ISNUMBER(Roster!$D9),Setup!$C$34&lt;=Roster!$D9,FALSE),"",IF(OR(IF(Setup!$C$15&lt;=Setup!$C$16,AND(MONTH(P9)&gt;=Setup!$C$15,MONTH(P9)&lt;=Setup!$C$16),OR(MONTH(P9)&gt;=Setup!$C$15,MONTH(P9)&lt;=Setup!$C$16)),IF(Setup!$C$15&lt;=Setup!$C$16,AND(MONTH(WORKDAY(P9,-(Setup!$C$13+Setup!$G$34),Setup!$C$39:$C$50))&gt;=Setup!$C$15,MONTH(WORKDAY(P9,-(Setup!$C$13+Setup!$G$34),Setup!$C$39:$C$50))&lt;=Setup!$C$16),OR(MONTH(WORKDAY(P9,-(Setup!$C$13+Setup!$G$34),Setup!$C$39:$C$50))&gt;=Setup!$C$15,MONTH(WORKDAY(P9,-(Setup!$C$13+Setup!$G$34),Setup!$C$39:$C$50))&lt;=Setup!$C$16))),WORKDAY(P9,-(Setup!$C$13+Setup!$G$34+Setup!$C$14),Setup!$C$39:$C$50),WORKDAY(P9,-(Setup!$C$13+Setup!$G$34),Setup!$C$39:$C$50))+(4*100+15)/10000000)))</f>
        <v/>
      </c>
      <c r="AH9">
        <f t="shared" ca="1" si="0"/>
        <v>46433.000040400002</v>
      </c>
      <c r="AI9">
        <f t="shared" ca="1" si="1"/>
        <v>4</v>
      </c>
      <c r="AK9">
        <f ca="1">IF(4&gt;$AK$2,"",SMALL($R$6:$AF$505,4))</f>
        <v>46360.000120099998</v>
      </c>
      <c r="AL9">
        <f t="shared" ca="1" si="2"/>
        <v>1201</v>
      </c>
      <c r="AM9">
        <f t="shared" ca="1" si="3"/>
        <v>12</v>
      </c>
      <c r="AN9">
        <f t="shared" ca="1" si="4"/>
        <v>1</v>
      </c>
      <c r="AP9">
        <f ca="1">IF(ISNUMBER(Roster!$B9),MAX(1,YEAR(Setup!$C$5)-YEAR(Roster!$B9)+IF(EDATE(Roster!$B9,12*(YEAR(Setup!$C$5)-YEAR(Roster!$B9)))&lt;Setup!$C$5,1,0)),"")</f>
        <v>10</v>
      </c>
      <c r="AQ9" s="32">
        <f ca="1">IF(AP9="","",EDATE(Roster!$B9,12*AP9))</f>
        <v>46453</v>
      </c>
      <c r="AR9">
        <f ca="1">IF(AQ9="","",IF(AQ9&lt;DATE(YEAR(Setup!$C$5)+1,MONTH(Setup!$C$5),DAY(Setup!$C$5)),AQ9+4/1000,""))</f>
        <v>46453.004000000001</v>
      </c>
      <c r="AS9">
        <f t="shared" ca="1" si="5"/>
        <v>4</v>
      </c>
      <c r="AT9" t="b">
        <f ca="1">IF(AS9="","",IF(ISNUMBER(Roster!$D9),Roster!$D9&gt;=AP9,FALSE))</f>
        <v>0</v>
      </c>
      <c r="AU9">
        <f t="shared" ca="1" si="6"/>
        <v>46433</v>
      </c>
      <c r="AV9">
        <f ca="1">IF(4&gt;$AV$2,"",SMALL($AR$6:$AR$505,4))</f>
        <v>46405.002999999997</v>
      </c>
      <c r="AW9">
        <f t="shared" ca="1" si="7"/>
        <v>3</v>
      </c>
    </row>
    <row r="10" spans="1:49" x14ac:dyDescent="0.2">
      <c r="B10" s="32">
        <f>IF(AND(ISNUMBER(Roster!$B10),Setup!$B$20="Yes",ISNUMBER(Setup!$C$20)),EDATE(Roster!$B10,12*Setup!$C$20),"")</f>
        <v>41426</v>
      </c>
      <c r="C10" s="32">
        <f>IF(AND(ISNUMBER(Roster!$B10),Setup!$B$21="Yes",ISNUMBER(Setup!$C$21)),EDATE(Roster!$B10,12*Setup!$C$21),"")</f>
        <v>42156</v>
      </c>
      <c r="D10" s="32">
        <f>IF(AND(ISNUMBER(Roster!$B10),Setup!$B$22="Yes",ISNUMBER(Setup!$C$22)),EDATE(Roster!$B10,12*Setup!$C$22),"")</f>
        <v>42887</v>
      </c>
      <c r="E10" s="32">
        <f>IF(AND(ISNUMBER(Roster!$B10),Setup!$B$23="Yes",ISNUMBER(Setup!$C$23)),EDATE(Roster!$B10,12*Setup!$C$23),"")</f>
        <v>44713</v>
      </c>
      <c r="F10" s="32">
        <f>IF(AND(ISNUMBER(Roster!$B10),Setup!$B$24="Yes",ISNUMBER(Setup!$C$24)),EDATE(Roster!$B10,12*Setup!$C$24),"")</f>
        <v>46539</v>
      </c>
      <c r="G10" s="32">
        <f>IF(AND(ISNUMBER(Roster!$B10),Setup!$B$25="Yes",ISNUMBER(Setup!$C$25)),EDATE(Roster!$B10,12*Setup!$C$25),"")</f>
        <v>48366</v>
      </c>
      <c r="H10" s="32">
        <f>IF(AND(ISNUMBER(Roster!$B10),Setup!$B$26="Yes",ISNUMBER(Setup!$C$26)),EDATE(Roster!$B10,12*Setup!$C$26),"")</f>
        <v>50192</v>
      </c>
      <c r="I10" s="32">
        <f>IF(AND(ISNUMBER(Roster!$B10),Setup!$B$27="Yes",ISNUMBER(Setup!$C$27)),EDATE(Roster!$B10,12*Setup!$C$27),"")</f>
        <v>52018</v>
      </c>
      <c r="J10" s="32">
        <f>IF(AND(ISNUMBER(Roster!$B10),Setup!$B$28="Yes",ISNUMBER(Setup!$C$28)),EDATE(Roster!$B10,12*Setup!$C$28),"")</f>
        <v>53844</v>
      </c>
      <c r="K10" s="32">
        <f>IF(AND(ISNUMBER(Roster!$B10),Setup!$B$29="Yes",ISNUMBER(Setup!$C$29)),EDATE(Roster!$B10,12*Setup!$C$29),"")</f>
        <v>55671</v>
      </c>
      <c r="L10" s="32">
        <f>IF(AND(ISNUMBER(Roster!$B10),Setup!$B$30="Yes",ISNUMBER(Setup!$C$30)),EDATE(Roster!$B10,12*Setup!$C$30),"")</f>
        <v>57497</v>
      </c>
      <c r="M10" s="32">
        <f>IF(AND(ISNUMBER(Roster!$B10),Setup!$B$31="Yes",ISNUMBER(Setup!$C$31)),EDATE(Roster!$B10,12*Setup!$C$31),"")</f>
        <v>59323</v>
      </c>
      <c r="N10" s="32" t="str">
        <f>IF(AND(ISNUMBER(Roster!$B10),Setup!$B$32="Yes",ISNUMBER(Setup!$C$32)),EDATE(Roster!$B10,12*Setup!$C$32),"")</f>
        <v/>
      </c>
      <c r="O10" s="32" t="str">
        <f>IF(AND(ISNUMBER(Roster!$B10),Setup!$B$33="Yes",ISNUMBER(Setup!$C$33)),EDATE(Roster!$B10,12*Setup!$C$33),"")</f>
        <v/>
      </c>
      <c r="P10" s="32" t="str">
        <f>IF(AND(ISNUMBER(Roster!$B10),Setup!$B$34="Yes",ISNUMBER(Setup!$C$34)),EDATE(Roster!$B10,12*Setup!$C$34),"")</f>
        <v/>
      </c>
      <c r="R10" t="str">
        <f ca="1">IF(B10="","",IF(B10&lt;Setup!$C$5-Setup!$C$6,"",IF(IF(ISNUMBER(Roster!$D10),Setup!$C$20&lt;=Roster!$D10,FALSE),"",IF(OR(IF(Setup!$C$15&lt;=Setup!$C$16,AND(MONTH(B10)&gt;=Setup!$C$15,MONTH(B10)&lt;=Setup!$C$16),OR(MONTH(B10)&gt;=Setup!$C$15,MONTH(B10)&lt;=Setup!$C$16)),IF(Setup!$C$15&lt;=Setup!$C$16,AND(MONTH(WORKDAY(B10,-(Setup!$C$13+Setup!$G$20),Setup!$C$39:$C$50))&gt;=Setup!$C$15,MONTH(WORKDAY(B10,-(Setup!$C$13+Setup!$G$20),Setup!$C$39:$C$50))&lt;=Setup!$C$16),OR(MONTH(WORKDAY(B10,-(Setup!$C$13+Setup!$G$20),Setup!$C$39:$C$50))&gt;=Setup!$C$15,MONTH(WORKDAY(B10,-(Setup!$C$13+Setup!$G$20),Setup!$C$39:$C$50))&lt;=Setup!$C$16))),WORKDAY(B10,-(Setup!$C$13+Setup!$G$20+Setup!$C$14),Setup!$C$39:$C$50),WORKDAY(B10,-(Setup!$C$13+Setup!$G$20),Setup!$C$39:$C$50))+(5*100+1)/10000000)))</f>
        <v/>
      </c>
      <c r="S10" t="str">
        <f ca="1">IF(C10="","",IF(C10&lt;Setup!$C$5-Setup!$C$6,"",IF(IF(ISNUMBER(Roster!$D10),Setup!$C$21&lt;=Roster!$D10,FALSE),"",IF(OR(IF(Setup!$C$15&lt;=Setup!$C$16,AND(MONTH(C10)&gt;=Setup!$C$15,MONTH(C10)&lt;=Setup!$C$16),OR(MONTH(C10)&gt;=Setup!$C$15,MONTH(C10)&lt;=Setup!$C$16)),IF(Setup!$C$15&lt;=Setup!$C$16,AND(MONTH(WORKDAY(C10,-(Setup!$C$13+Setup!$G$21),Setup!$C$39:$C$50))&gt;=Setup!$C$15,MONTH(WORKDAY(C10,-(Setup!$C$13+Setup!$G$21),Setup!$C$39:$C$50))&lt;=Setup!$C$16),OR(MONTH(WORKDAY(C10,-(Setup!$C$13+Setup!$G$21),Setup!$C$39:$C$50))&gt;=Setup!$C$15,MONTH(WORKDAY(C10,-(Setup!$C$13+Setup!$G$21),Setup!$C$39:$C$50))&lt;=Setup!$C$16))),WORKDAY(C10,-(Setup!$C$13+Setup!$G$21+Setup!$C$14),Setup!$C$39:$C$50),WORKDAY(C10,-(Setup!$C$13+Setup!$G$21),Setup!$C$39:$C$50))+(5*100+2)/10000000)))</f>
        <v/>
      </c>
      <c r="T10" t="str">
        <f ca="1">IF(D10="","",IF(D10&lt;Setup!$C$5-Setup!$C$6,"",IF(IF(ISNUMBER(Roster!$D10),Setup!$C$22&lt;=Roster!$D10,FALSE),"",IF(OR(IF(Setup!$C$15&lt;=Setup!$C$16,AND(MONTH(D10)&gt;=Setup!$C$15,MONTH(D10)&lt;=Setup!$C$16),OR(MONTH(D10)&gt;=Setup!$C$15,MONTH(D10)&lt;=Setup!$C$16)),IF(Setup!$C$15&lt;=Setup!$C$16,AND(MONTH(WORKDAY(D10,-(Setup!$C$13+Setup!$G$22),Setup!$C$39:$C$50))&gt;=Setup!$C$15,MONTH(WORKDAY(D10,-(Setup!$C$13+Setup!$G$22),Setup!$C$39:$C$50))&lt;=Setup!$C$16),OR(MONTH(WORKDAY(D10,-(Setup!$C$13+Setup!$G$22),Setup!$C$39:$C$50))&gt;=Setup!$C$15,MONTH(WORKDAY(D10,-(Setup!$C$13+Setup!$G$22),Setup!$C$39:$C$50))&lt;=Setup!$C$16))),WORKDAY(D10,-(Setup!$C$13+Setup!$G$22+Setup!$C$14),Setup!$C$39:$C$50),WORKDAY(D10,-(Setup!$C$13+Setup!$G$22),Setup!$C$39:$C$50))+(5*100+3)/10000000)))</f>
        <v/>
      </c>
      <c r="U10" t="str">
        <f ca="1">IF(E10="","",IF(E10&lt;Setup!$C$5-Setup!$C$6,"",IF(IF(ISNUMBER(Roster!$D10),Setup!$C$23&lt;=Roster!$D10,FALSE),"",IF(OR(IF(Setup!$C$15&lt;=Setup!$C$16,AND(MONTH(E10)&gt;=Setup!$C$15,MONTH(E10)&lt;=Setup!$C$16),OR(MONTH(E10)&gt;=Setup!$C$15,MONTH(E10)&lt;=Setup!$C$16)),IF(Setup!$C$15&lt;=Setup!$C$16,AND(MONTH(WORKDAY(E10,-(Setup!$C$13+Setup!$G$23),Setup!$C$39:$C$50))&gt;=Setup!$C$15,MONTH(WORKDAY(E10,-(Setup!$C$13+Setup!$G$23),Setup!$C$39:$C$50))&lt;=Setup!$C$16),OR(MONTH(WORKDAY(E10,-(Setup!$C$13+Setup!$G$23),Setup!$C$39:$C$50))&gt;=Setup!$C$15,MONTH(WORKDAY(E10,-(Setup!$C$13+Setup!$G$23),Setup!$C$39:$C$50))&lt;=Setup!$C$16))),WORKDAY(E10,-(Setup!$C$13+Setup!$G$23+Setup!$C$14),Setup!$C$39:$C$50),WORKDAY(E10,-(Setup!$C$13+Setup!$G$23),Setup!$C$39:$C$50))+(5*100+4)/10000000)))</f>
        <v/>
      </c>
      <c r="V10">
        <f ca="1">IF(F10="","",IF(F10&lt;Setup!$C$5-Setup!$C$6,"",IF(IF(ISNUMBER(Roster!$D10),Setup!$C$24&lt;=Roster!$D10,FALSE),"",IF(OR(IF(Setup!$C$15&lt;=Setup!$C$16,AND(MONTH(F10)&gt;=Setup!$C$15,MONTH(F10)&lt;=Setup!$C$16),OR(MONTH(F10)&gt;=Setup!$C$15,MONTH(F10)&lt;=Setup!$C$16)),IF(Setup!$C$15&lt;=Setup!$C$16,AND(MONTH(WORKDAY(F10,-(Setup!$C$13+Setup!$G$24),Setup!$C$39:$C$50))&gt;=Setup!$C$15,MONTH(WORKDAY(F10,-(Setup!$C$13+Setup!$G$24),Setup!$C$39:$C$50))&lt;=Setup!$C$16),OR(MONTH(WORKDAY(F10,-(Setup!$C$13+Setup!$G$24),Setup!$C$39:$C$50))&gt;=Setup!$C$15,MONTH(WORKDAY(F10,-(Setup!$C$13+Setup!$G$24),Setup!$C$39:$C$50))&lt;=Setup!$C$16))),WORKDAY(F10,-(Setup!$C$13+Setup!$G$24+Setup!$C$14),Setup!$C$39:$C$50),WORKDAY(F10,-(Setup!$C$13+Setup!$G$24),Setup!$C$39:$C$50))+(5*100+5)/10000000)))</f>
        <v>46517.000050499999</v>
      </c>
      <c r="W10">
        <f ca="1">IF(G10="","",IF(G10&lt;Setup!$C$5-Setup!$C$6,"",IF(IF(ISNUMBER(Roster!$D10),Setup!$C$25&lt;=Roster!$D10,FALSE),"",IF(OR(IF(Setup!$C$15&lt;=Setup!$C$16,AND(MONTH(G10)&gt;=Setup!$C$15,MONTH(G10)&lt;=Setup!$C$16),OR(MONTH(G10)&gt;=Setup!$C$15,MONTH(G10)&lt;=Setup!$C$16)),IF(Setup!$C$15&lt;=Setup!$C$16,AND(MONTH(WORKDAY(G10,-(Setup!$C$13+Setup!$G$25),Setup!$C$39:$C$50))&gt;=Setup!$C$15,MONTH(WORKDAY(G10,-(Setup!$C$13+Setup!$G$25),Setup!$C$39:$C$50))&lt;=Setup!$C$16),OR(MONTH(WORKDAY(G10,-(Setup!$C$13+Setup!$G$25),Setup!$C$39:$C$50))&gt;=Setup!$C$15,MONTH(WORKDAY(G10,-(Setup!$C$13+Setup!$G$25),Setup!$C$39:$C$50))&lt;=Setup!$C$16))),WORKDAY(G10,-(Setup!$C$13+Setup!$G$25+Setup!$C$14),Setup!$C$39:$C$50),WORKDAY(G10,-(Setup!$C$13+Setup!$G$25),Setup!$C$39:$C$50))+(5*100+6)/10000000)))</f>
        <v>48345.0000506</v>
      </c>
      <c r="X10">
        <f ca="1">IF(H10="","",IF(H10&lt;Setup!$C$5-Setup!$C$6,"",IF(IF(ISNUMBER(Roster!$D10),Setup!$C$26&lt;=Roster!$D10,FALSE),"",IF(OR(IF(Setup!$C$15&lt;=Setup!$C$16,AND(MONTH(H10)&gt;=Setup!$C$15,MONTH(H10)&lt;=Setup!$C$16),OR(MONTH(H10)&gt;=Setup!$C$15,MONTH(H10)&lt;=Setup!$C$16)),IF(Setup!$C$15&lt;=Setup!$C$16,AND(MONTH(WORKDAY(H10,-(Setup!$C$13+Setup!$G$26),Setup!$C$39:$C$50))&gt;=Setup!$C$15,MONTH(WORKDAY(H10,-(Setup!$C$13+Setup!$G$26),Setup!$C$39:$C$50))&lt;=Setup!$C$16),OR(MONTH(WORKDAY(H10,-(Setup!$C$13+Setup!$G$26),Setup!$C$39:$C$50))&gt;=Setup!$C$15,MONTH(WORKDAY(H10,-(Setup!$C$13+Setup!$G$26),Setup!$C$39:$C$50))&lt;=Setup!$C$16))),WORKDAY(H10,-(Setup!$C$13+Setup!$G$26+Setup!$C$14),Setup!$C$39:$C$50),WORKDAY(H10,-(Setup!$C$13+Setup!$G$26),Setup!$C$39:$C$50))+(5*100+7)/10000000)))</f>
        <v>50171.0000507</v>
      </c>
      <c r="Y10">
        <f ca="1">IF(I10="","",IF(I10&lt;Setup!$C$5-Setup!$C$6,"",IF(IF(ISNUMBER(Roster!$D10),Setup!$C$27&lt;=Roster!$D10,FALSE),"",IF(OR(IF(Setup!$C$15&lt;=Setup!$C$16,AND(MONTH(I10)&gt;=Setup!$C$15,MONTH(I10)&lt;=Setup!$C$16),OR(MONTH(I10)&gt;=Setup!$C$15,MONTH(I10)&lt;=Setup!$C$16)),IF(Setup!$C$15&lt;=Setup!$C$16,AND(MONTH(WORKDAY(I10,-(Setup!$C$13+Setup!$G$27),Setup!$C$39:$C$50))&gt;=Setup!$C$15,MONTH(WORKDAY(I10,-(Setup!$C$13+Setup!$G$27),Setup!$C$39:$C$50))&lt;=Setup!$C$16),OR(MONTH(WORKDAY(I10,-(Setup!$C$13+Setup!$G$27),Setup!$C$39:$C$50))&gt;=Setup!$C$15,MONTH(WORKDAY(I10,-(Setup!$C$13+Setup!$G$27),Setup!$C$39:$C$50))&lt;=Setup!$C$16))),WORKDAY(I10,-(Setup!$C$13+Setup!$G$27+Setup!$C$14),Setup!$C$39:$C$50),WORKDAY(I10,-(Setup!$C$13+Setup!$G$27),Setup!$C$39:$C$50))+(5*100+8)/10000000)))</f>
        <v>51998.000050800001</v>
      </c>
      <c r="Z10">
        <f ca="1">IF(J10="","",IF(J10&lt;Setup!$C$5-Setup!$C$6,"",IF(IF(ISNUMBER(Roster!$D10),Setup!$C$28&lt;=Roster!$D10,FALSE),"",IF(OR(IF(Setup!$C$15&lt;=Setup!$C$16,AND(MONTH(J10)&gt;=Setup!$C$15,MONTH(J10)&lt;=Setup!$C$16),OR(MONTH(J10)&gt;=Setup!$C$15,MONTH(J10)&lt;=Setup!$C$16)),IF(Setup!$C$15&lt;=Setup!$C$16,AND(MONTH(WORKDAY(J10,-(Setup!$C$13+Setup!$G$28),Setup!$C$39:$C$50))&gt;=Setup!$C$15,MONTH(WORKDAY(J10,-(Setup!$C$13+Setup!$G$28),Setup!$C$39:$C$50))&lt;=Setup!$C$16),OR(MONTH(WORKDAY(J10,-(Setup!$C$13+Setup!$G$28),Setup!$C$39:$C$50))&gt;=Setup!$C$15,MONTH(WORKDAY(J10,-(Setup!$C$13+Setup!$G$28),Setup!$C$39:$C$50))&lt;=Setup!$C$16))),WORKDAY(J10,-(Setup!$C$13+Setup!$G$28+Setup!$C$14),Setup!$C$39:$C$50),WORKDAY(J10,-(Setup!$C$13+Setup!$G$28),Setup!$C$39:$C$50))+(5*100+9)/10000000)))</f>
        <v>53825.000050900002</v>
      </c>
      <c r="AA10">
        <f ca="1">IF(K10="","",IF(K10&lt;Setup!$C$5-Setup!$C$6,"",IF(IF(ISNUMBER(Roster!$D10),Setup!$C$29&lt;=Roster!$D10,FALSE),"",IF(OR(IF(Setup!$C$15&lt;=Setup!$C$16,AND(MONTH(K10)&gt;=Setup!$C$15,MONTH(K10)&lt;=Setup!$C$16),OR(MONTH(K10)&gt;=Setup!$C$15,MONTH(K10)&lt;=Setup!$C$16)),IF(Setup!$C$15&lt;=Setup!$C$16,AND(MONTH(WORKDAY(K10,-(Setup!$C$13+Setup!$G$29),Setup!$C$39:$C$50))&gt;=Setup!$C$15,MONTH(WORKDAY(K10,-(Setup!$C$13+Setup!$G$29),Setup!$C$39:$C$50))&lt;=Setup!$C$16),OR(MONTH(WORKDAY(K10,-(Setup!$C$13+Setup!$G$29),Setup!$C$39:$C$50))&gt;=Setup!$C$15,MONTH(WORKDAY(K10,-(Setup!$C$13+Setup!$G$29),Setup!$C$39:$C$50))&lt;=Setup!$C$16))),WORKDAY(K10,-(Setup!$C$13+Setup!$G$29+Setup!$C$14),Setup!$C$39:$C$50),WORKDAY(K10,-(Setup!$C$13+Setup!$G$29),Setup!$C$39:$C$50))+(5*100+10)/10000000)))</f>
        <v>55652.000051000003</v>
      </c>
      <c r="AB10">
        <f ca="1">IF(L10="","",IF(L10&lt;Setup!$C$5-Setup!$C$6,"",IF(IF(ISNUMBER(Roster!$D10),Setup!$C$30&lt;=Roster!$D10,FALSE),"",IF(OR(IF(Setup!$C$15&lt;=Setup!$C$16,AND(MONTH(L10)&gt;=Setup!$C$15,MONTH(L10)&lt;=Setup!$C$16),OR(MONTH(L10)&gt;=Setup!$C$15,MONTH(L10)&lt;=Setup!$C$16)),IF(Setup!$C$15&lt;=Setup!$C$16,AND(MONTH(WORKDAY(L10,-(Setup!$C$13+Setup!$G$30),Setup!$C$39:$C$50))&gt;=Setup!$C$15,MONTH(WORKDAY(L10,-(Setup!$C$13+Setup!$G$30),Setup!$C$39:$C$50))&lt;=Setup!$C$16),OR(MONTH(WORKDAY(L10,-(Setup!$C$13+Setup!$G$30),Setup!$C$39:$C$50))&gt;=Setup!$C$15,MONTH(WORKDAY(L10,-(Setup!$C$13+Setup!$G$30),Setup!$C$39:$C$50))&lt;=Setup!$C$16))),WORKDAY(L10,-(Setup!$C$13+Setup!$G$30+Setup!$C$14),Setup!$C$39:$C$50),WORKDAY(L10,-(Setup!$C$13+Setup!$G$30),Setup!$C$39:$C$50))+(5*100+11)/10000000)))</f>
        <v>57476.000051100003</v>
      </c>
      <c r="AC10">
        <f ca="1">IF(M10="","",IF(M10&lt;Setup!$C$5-Setup!$C$6,"",IF(IF(ISNUMBER(Roster!$D10),Setup!$C$31&lt;=Roster!$D10,FALSE),"",IF(OR(IF(Setup!$C$15&lt;=Setup!$C$16,AND(MONTH(M10)&gt;=Setup!$C$15,MONTH(M10)&lt;=Setup!$C$16),OR(MONTH(M10)&gt;=Setup!$C$15,MONTH(M10)&lt;=Setup!$C$16)),IF(Setup!$C$15&lt;=Setup!$C$16,AND(MONTH(WORKDAY(M10,-(Setup!$C$13+Setup!$G$31),Setup!$C$39:$C$50))&gt;=Setup!$C$15,MONTH(WORKDAY(M10,-(Setup!$C$13+Setup!$G$31),Setup!$C$39:$C$50))&lt;=Setup!$C$16),OR(MONTH(WORKDAY(M10,-(Setup!$C$13+Setup!$G$31),Setup!$C$39:$C$50))&gt;=Setup!$C$15,MONTH(WORKDAY(M10,-(Setup!$C$13+Setup!$G$31),Setup!$C$39:$C$50))&lt;=Setup!$C$16))),WORKDAY(M10,-(Setup!$C$13+Setup!$G$31+Setup!$C$14),Setup!$C$39:$C$50),WORKDAY(M10,-(Setup!$C$13+Setup!$G$31),Setup!$C$39:$C$50))+(5*100+12)/10000000)))</f>
        <v>59302.000051199997</v>
      </c>
      <c r="AD10" t="str">
        <f>IF(N10="","",IF(N10&lt;Setup!$C$5-Setup!$C$6,"",IF(IF(ISNUMBER(Roster!$D10),Setup!$C$32&lt;=Roster!$D10,FALSE),"",IF(OR(IF(Setup!$C$15&lt;=Setup!$C$16,AND(MONTH(N10)&gt;=Setup!$C$15,MONTH(N10)&lt;=Setup!$C$16),OR(MONTH(N10)&gt;=Setup!$C$15,MONTH(N10)&lt;=Setup!$C$16)),IF(Setup!$C$15&lt;=Setup!$C$16,AND(MONTH(WORKDAY(N10,-(Setup!$C$13+Setup!$G$32),Setup!$C$39:$C$50))&gt;=Setup!$C$15,MONTH(WORKDAY(N10,-(Setup!$C$13+Setup!$G$32),Setup!$C$39:$C$50))&lt;=Setup!$C$16),OR(MONTH(WORKDAY(N10,-(Setup!$C$13+Setup!$G$32),Setup!$C$39:$C$50))&gt;=Setup!$C$15,MONTH(WORKDAY(N10,-(Setup!$C$13+Setup!$G$32),Setup!$C$39:$C$50))&lt;=Setup!$C$16))),WORKDAY(N10,-(Setup!$C$13+Setup!$G$32+Setup!$C$14),Setup!$C$39:$C$50),WORKDAY(N10,-(Setup!$C$13+Setup!$G$32),Setup!$C$39:$C$50))+(5*100+13)/10000000)))</f>
        <v/>
      </c>
      <c r="AE10" t="str">
        <f>IF(O10="","",IF(O10&lt;Setup!$C$5-Setup!$C$6,"",IF(IF(ISNUMBER(Roster!$D10),Setup!$C$33&lt;=Roster!$D10,FALSE),"",IF(OR(IF(Setup!$C$15&lt;=Setup!$C$16,AND(MONTH(O10)&gt;=Setup!$C$15,MONTH(O10)&lt;=Setup!$C$16),OR(MONTH(O10)&gt;=Setup!$C$15,MONTH(O10)&lt;=Setup!$C$16)),IF(Setup!$C$15&lt;=Setup!$C$16,AND(MONTH(WORKDAY(O10,-(Setup!$C$13+Setup!$G$33),Setup!$C$39:$C$50))&gt;=Setup!$C$15,MONTH(WORKDAY(O10,-(Setup!$C$13+Setup!$G$33),Setup!$C$39:$C$50))&lt;=Setup!$C$16),OR(MONTH(WORKDAY(O10,-(Setup!$C$13+Setup!$G$33),Setup!$C$39:$C$50))&gt;=Setup!$C$15,MONTH(WORKDAY(O10,-(Setup!$C$13+Setup!$G$33),Setup!$C$39:$C$50))&lt;=Setup!$C$16))),WORKDAY(O10,-(Setup!$C$13+Setup!$G$33+Setup!$C$14),Setup!$C$39:$C$50),WORKDAY(O10,-(Setup!$C$13+Setup!$G$33),Setup!$C$39:$C$50))+(5*100+14)/10000000)))</f>
        <v/>
      </c>
      <c r="AF10" t="str">
        <f>IF(P10="","",IF(P10&lt;Setup!$C$5-Setup!$C$6,"",IF(IF(ISNUMBER(Roster!$D10),Setup!$C$34&lt;=Roster!$D10,FALSE),"",IF(OR(IF(Setup!$C$15&lt;=Setup!$C$16,AND(MONTH(P10)&gt;=Setup!$C$15,MONTH(P10)&lt;=Setup!$C$16),OR(MONTH(P10)&gt;=Setup!$C$15,MONTH(P10)&lt;=Setup!$C$16)),IF(Setup!$C$15&lt;=Setup!$C$16,AND(MONTH(WORKDAY(P10,-(Setup!$C$13+Setup!$G$34),Setup!$C$39:$C$50))&gt;=Setup!$C$15,MONTH(WORKDAY(P10,-(Setup!$C$13+Setup!$G$34),Setup!$C$39:$C$50))&lt;=Setup!$C$16),OR(MONTH(WORKDAY(P10,-(Setup!$C$13+Setup!$G$34),Setup!$C$39:$C$50))&gt;=Setup!$C$15,MONTH(WORKDAY(P10,-(Setup!$C$13+Setup!$G$34),Setup!$C$39:$C$50))&lt;=Setup!$C$16))),WORKDAY(P10,-(Setup!$C$13+Setup!$G$34+Setup!$C$14),Setup!$C$39:$C$50),WORKDAY(P10,-(Setup!$C$13+Setup!$G$34),Setup!$C$39:$C$50))+(5*100+15)/10000000)))</f>
        <v/>
      </c>
      <c r="AH10">
        <f t="shared" ca="1" si="0"/>
        <v>46517.000050499999</v>
      </c>
      <c r="AI10">
        <f t="shared" ca="1" si="1"/>
        <v>5</v>
      </c>
      <c r="AK10">
        <f ca="1">IF(5&gt;$AK$2,"",SMALL($R$6:$AF$505,5))</f>
        <v>46366.000030299998</v>
      </c>
      <c r="AL10">
        <f t="shared" ca="1" si="2"/>
        <v>303</v>
      </c>
      <c r="AM10">
        <f t="shared" ca="1" si="3"/>
        <v>3</v>
      </c>
      <c r="AN10">
        <f t="shared" ca="1" si="4"/>
        <v>3</v>
      </c>
      <c r="AP10">
        <f ca="1">IF(ISNUMBER(Roster!$B10),MAX(1,YEAR(Setup!$C$5)-YEAR(Roster!$B10)+IF(EDATE(Roster!$B10,12*(YEAR(Setup!$C$5)-YEAR(Roster!$B10)))&lt;Setup!$C$5,1,0)),"")</f>
        <v>15</v>
      </c>
      <c r="AQ10" s="32">
        <f ca="1">IF(AP10="","",EDATE(Roster!$B10,12*AP10))</f>
        <v>46539</v>
      </c>
      <c r="AR10">
        <f ca="1">IF(AQ10="","",IF(AQ10&lt;DATE(YEAR(Setup!$C$5)+1,MONTH(Setup!$C$5),DAY(Setup!$C$5)),AQ10+5/1000,""))</f>
        <v>46539.004999999997</v>
      </c>
      <c r="AS10">
        <f t="shared" ca="1" si="5"/>
        <v>5</v>
      </c>
      <c r="AT10" t="b">
        <f ca="1">IF(AS10="","",IF(ISNUMBER(Roster!$D10),Roster!$D10&gt;=AP10,FALSE))</f>
        <v>0</v>
      </c>
      <c r="AU10">
        <f t="shared" ca="1" si="6"/>
        <v>46517</v>
      </c>
      <c r="AV10">
        <f ca="1">IF(5&gt;$AV$2,"",SMALL($AR$6:$AR$505,5))</f>
        <v>46446.006000000001</v>
      </c>
      <c r="AW10">
        <f t="shared" ca="1" si="7"/>
        <v>6</v>
      </c>
    </row>
    <row r="11" spans="1:49" x14ac:dyDescent="0.2">
      <c r="B11" s="32">
        <f>IF(AND(ISNUMBER(Roster!$B11),Setup!$B$20="Yes",ISNUMBER(Setup!$C$20)),EDATE(Roster!$B11,12*Setup!$C$20),"")</f>
        <v>45716</v>
      </c>
      <c r="C11" s="32">
        <f>IF(AND(ISNUMBER(Roster!$B11),Setup!$B$21="Yes",ISNUMBER(Setup!$C$21)),EDATE(Roster!$B11,12*Setup!$C$21),"")</f>
        <v>46446</v>
      </c>
      <c r="D11" s="32">
        <f>IF(AND(ISNUMBER(Roster!$B11),Setup!$B$22="Yes",ISNUMBER(Setup!$C$22)),EDATE(Roster!$B11,12*Setup!$C$22),"")</f>
        <v>47177</v>
      </c>
      <c r="E11" s="32">
        <f>IF(AND(ISNUMBER(Roster!$B11),Setup!$B$23="Yes",ISNUMBER(Setup!$C$23)),EDATE(Roster!$B11,12*Setup!$C$23),"")</f>
        <v>49003</v>
      </c>
      <c r="F11" s="32">
        <f>IF(AND(ISNUMBER(Roster!$B11),Setup!$B$24="Yes",ISNUMBER(Setup!$C$24)),EDATE(Roster!$B11,12*Setup!$C$24),"")</f>
        <v>50829</v>
      </c>
      <c r="G11" s="32">
        <f>IF(AND(ISNUMBER(Roster!$B11),Setup!$B$25="Yes",ISNUMBER(Setup!$C$25)),EDATE(Roster!$B11,12*Setup!$C$25),"")</f>
        <v>52656</v>
      </c>
      <c r="H11" s="32">
        <f>IF(AND(ISNUMBER(Roster!$B11),Setup!$B$26="Yes",ISNUMBER(Setup!$C$26)),EDATE(Roster!$B11,12*Setup!$C$26),"")</f>
        <v>54482</v>
      </c>
      <c r="I11" s="32">
        <f>IF(AND(ISNUMBER(Roster!$B11),Setup!$B$27="Yes",ISNUMBER(Setup!$C$27)),EDATE(Roster!$B11,12*Setup!$C$27),"")</f>
        <v>56308</v>
      </c>
      <c r="J11" s="32">
        <f>IF(AND(ISNUMBER(Roster!$B11),Setup!$B$28="Yes",ISNUMBER(Setup!$C$28)),EDATE(Roster!$B11,12*Setup!$C$28),"")</f>
        <v>58134</v>
      </c>
      <c r="K11" s="32">
        <f>IF(AND(ISNUMBER(Roster!$B11),Setup!$B$29="Yes",ISNUMBER(Setup!$C$29)),EDATE(Roster!$B11,12*Setup!$C$29),"")</f>
        <v>59961</v>
      </c>
      <c r="L11" s="32">
        <f>IF(AND(ISNUMBER(Roster!$B11),Setup!$B$30="Yes",ISNUMBER(Setup!$C$30)),EDATE(Roster!$B11,12*Setup!$C$30),"")</f>
        <v>61787</v>
      </c>
      <c r="M11" s="32">
        <f>IF(AND(ISNUMBER(Roster!$B11),Setup!$B$31="Yes",ISNUMBER(Setup!$C$31)),EDATE(Roster!$B11,12*Setup!$C$31),"")</f>
        <v>63613</v>
      </c>
      <c r="N11" s="32" t="str">
        <f>IF(AND(ISNUMBER(Roster!$B11),Setup!$B$32="Yes",ISNUMBER(Setup!$C$32)),EDATE(Roster!$B11,12*Setup!$C$32),"")</f>
        <v/>
      </c>
      <c r="O11" s="32" t="str">
        <f>IF(AND(ISNUMBER(Roster!$B11),Setup!$B$33="Yes",ISNUMBER(Setup!$C$33)),EDATE(Roster!$B11,12*Setup!$C$33),"")</f>
        <v/>
      </c>
      <c r="P11" s="32" t="str">
        <f>IF(AND(ISNUMBER(Roster!$B11),Setup!$B$34="Yes",ISNUMBER(Setup!$C$34)),EDATE(Roster!$B11,12*Setup!$C$34),"")</f>
        <v/>
      </c>
      <c r="R11" t="str">
        <f ca="1">IF(B11="","",IF(B11&lt;Setup!$C$5-Setup!$C$6,"",IF(IF(ISNUMBER(Roster!$D11),Setup!$C$20&lt;=Roster!$D11,FALSE),"",IF(OR(IF(Setup!$C$15&lt;=Setup!$C$16,AND(MONTH(B11)&gt;=Setup!$C$15,MONTH(B11)&lt;=Setup!$C$16),OR(MONTH(B11)&gt;=Setup!$C$15,MONTH(B11)&lt;=Setup!$C$16)),IF(Setup!$C$15&lt;=Setup!$C$16,AND(MONTH(WORKDAY(B11,-(Setup!$C$13+Setup!$G$20),Setup!$C$39:$C$50))&gt;=Setup!$C$15,MONTH(WORKDAY(B11,-(Setup!$C$13+Setup!$G$20),Setup!$C$39:$C$50))&lt;=Setup!$C$16),OR(MONTH(WORKDAY(B11,-(Setup!$C$13+Setup!$G$20),Setup!$C$39:$C$50))&gt;=Setup!$C$15,MONTH(WORKDAY(B11,-(Setup!$C$13+Setup!$G$20),Setup!$C$39:$C$50))&lt;=Setup!$C$16))),WORKDAY(B11,-(Setup!$C$13+Setup!$G$20+Setup!$C$14),Setup!$C$39:$C$50),WORKDAY(B11,-(Setup!$C$13+Setup!$G$20),Setup!$C$39:$C$50))+(6*100+1)/10000000)))</f>
        <v/>
      </c>
      <c r="S11">
        <f ca="1">IF(C11="","",IF(C11&lt;Setup!$C$5-Setup!$C$6,"",IF(IF(ISNUMBER(Roster!$D11),Setup!$C$21&lt;=Roster!$D11,FALSE),"",IF(OR(IF(Setup!$C$15&lt;=Setup!$C$16,AND(MONTH(C11)&gt;=Setup!$C$15,MONTH(C11)&lt;=Setup!$C$16),OR(MONTH(C11)&gt;=Setup!$C$15,MONTH(C11)&lt;=Setup!$C$16)),IF(Setup!$C$15&lt;=Setup!$C$16,AND(MONTH(WORKDAY(C11,-(Setup!$C$13+Setup!$G$21),Setup!$C$39:$C$50))&gt;=Setup!$C$15,MONTH(WORKDAY(C11,-(Setup!$C$13+Setup!$G$21),Setup!$C$39:$C$50))&lt;=Setup!$C$16),OR(MONTH(WORKDAY(C11,-(Setup!$C$13+Setup!$G$21),Setup!$C$39:$C$50))&gt;=Setup!$C$15,MONTH(WORKDAY(C11,-(Setup!$C$13+Setup!$G$21),Setup!$C$39:$C$50))&lt;=Setup!$C$16))),WORKDAY(C11,-(Setup!$C$13+Setup!$G$21+Setup!$C$14),Setup!$C$39:$C$50),WORKDAY(C11,-(Setup!$C$13+Setup!$G$21),Setup!$C$39:$C$50))+(6*100+2)/10000000)))</f>
        <v>46426.0000602</v>
      </c>
      <c r="T11">
        <f ca="1">IF(D11="","",IF(D11&lt;Setup!$C$5-Setup!$C$6,"",IF(IF(ISNUMBER(Roster!$D11),Setup!$C$22&lt;=Roster!$D11,FALSE),"",IF(OR(IF(Setup!$C$15&lt;=Setup!$C$16,AND(MONTH(D11)&gt;=Setup!$C$15,MONTH(D11)&lt;=Setup!$C$16),OR(MONTH(D11)&gt;=Setup!$C$15,MONTH(D11)&lt;=Setup!$C$16)),IF(Setup!$C$15&lt;=Setup!$C$16,AND(MONTH(WORKDAY(D11,-(Setup!$C$13+Setup!$G$22),Setup!$C$39:$C$50))&gt;=Setup!$C$15,MONTH(WORKDAY(D11,-(Setup!$C$13+Setup!$G$22),Setup!$C$39:$C$50))&lt;=Setup!$C$16),OR(MONTH(WORKDAY(D11,-(Setup!$C$13+Setup!$G$22),Setup!$C$39:$C$50))&gt;=Setup!$C$15,MONTH(WORKDAY(D11,-(Setup!$C$13+Setup!$G$22),Setup!$C$39:$C$50))&lt;=Setup!$C$16))),WORKDAY(D11,-(Setup!$C$13+Setup!$G$22+Setup!$C$14),Setup!$C$39:$C$50),WORKDAY(D11,-(Setup!$C$13+Setup!$G$22),Setup!$C$39:$C$50))+(6*100+3)/10000000)))</f>
        <v>47156.000060300001</v>
      </c>
      <c r="U11">
        <f ca="1">IF(E11="","",IF(E11&lt;Setup!$C$5-Setup!$C$6,"",IF(IF(ISNUMBER(Roster!$D11),Setup!$C$23&lt;=Roster!$D11,FALSE),"",IF(OR(IF(Setup!$C$15&lt;=Setup!$C$16,AND(MONTH(E11)&gt;=Setup!$C$15,MONTH(E11)&lt;=Setup!$C$16),OR(MONTH(E11)&gt;=Setup!$C$15,MONTH(E11)&lt;=Setup!$C$16)),IF(Setup!$C$15&lt;=Setup!$C$16,AND(MONTH(WORKDAY(E11,-(Setup!$C$13+Setup!$G$23),Setup!$C$39:$C$50))&gt;=Setup!$C$15,MONTH(WORKDAY(E11,-(Setup!$C$13+Setup!$G$23),Setup!$C$39:$C$50))&lt;=Setup!$C$16),OR(MONTH(WORKDAY(E11,-(Setup!$C$13+Setup!$G$23),Setup!$C$39:$C$50))&gt;=Setup!$C$15,MONTH(WORKDAY(E11,-(Setup!$C$13+Setup!$G$23),Setup!$C$39:$C$50))&lt;=Setup!$C$16))),WORKDAY(E11,-(Setup!$C$13+Setup!$G$23+Setup!$C$14),Setup!$C$39:$C$50),WORKDAY(E11,-(Setup!$C$13+Setup!$G$23),Setup!$C$39:$C$50))+(6*100+4)/10000000)))</f>
        <v>48982.000060400002</v>
      </c>
      <c r="V11">
        <f ca="1">IF(F11="","",IF(F11&lt;Setup!$C$5-Setup!$C$6,"",IF(IF(ISNUMBER(Roster!$D11),Setup!$C$24&lt;=Roster!$D11,FALSE),"",IF(OR(IF(Setup!$C$15&lt;=Setup!$C$16,AND(MONTH(F11)&gt;=Setup!$C$15,MONTH(F11)&lt;=Setup!$C$16),OR(MONTH(F11)&gt;=Setup!$C$15,MONTH(F11)&lt;=Setup!$C$16)),IF(Setup!$C$15&lt;=Setup!$C$16,AND(MONTH(WORKDAY(F11,-(Setup!$C$13+Setup!$G$24),Setup!$C$39:$C$50))&gt;=Setup!$C$15,MONTH(WORKDAY(F11,-(Setup!$C$13+Setup!$G$24),Setup!$C$39:$C$50))&lt;=Setup!$C$16),OR(MONTH(WORKDAY(F11,-(Setup!$C$13+Setup!$G$24),Setup!$C$39:$C$50))&gt;=Setup!$C$15,MONTH(WORKDAY(F11,-(Setup!$C$13+Setup!$G$24),Setup!$C$39:$C$50))&lt;=Setup!$C$16))),WORKDAY(F11,-(Setup!$C$13+Setup!$G$24+Setup!$C$14),Setup!$C$39:$C$50),WORKDAY(F11,-(Setup!$C$13+Setup!$G$24),Setup!$C$39:$C$50))+(6*100+5)/10000000)))</f>
        <v>50808.000060500002</v>
      </c>
      <c r="W11">
        <f ca="1">IF(G11="","",IF(G11&lt;Setup!$C$5-Setup!$C$6,"",IF(IF(ISNUMBER(Roster!$D11),Setup!$C$25&lt;=Roster!$D11,FALSE),"",IF(OR(IF(Setup!$C$15&lt;=Setup!$C$16,AND(MONTH(G11)&gt;=Setup!$C$15,MONTH(G11)&lt;=Setup!$C$16),OR(MONTH(G11)&gt;=Setup!$C$15,MONTH(G11)&lt;=Setup!$C$16)),IF(Setup!$C$15&lt;=Setup!$C$16,AND(MONTH(WORKDAY(G11,-(Setup!$C$13+Setup!$G$25),Setup!$C$39:$C$50))&gt;=Setup!$C$15,MONTH(WORKDAY(G11,-(Setup!$C$13+Setup!$G$25),Setup!$C$39:$C$50))&lt;=Setup!$C$16),OR(MONTH(WORKDAY(G11,-(Setup!$C$13+Setup!$G$25),Setup!$C$39:$C$50))&gt;=Setup!$C$15,MONTH(WORKDAY(G11,-(Setup!$C$13+Setup!$G$25),Setup!$C$39:$C$50))&lt;=Setup!$C$16))),WORKDAY(G11,-(Setup!$C$13+Setup!$G$25+Setup!$C$14),Setup!$C$39:$C$50),WORKDAY(G11,-(Setup!$C$13+Setup!$G$25),Setup!$C$39:$C$50))+(6*100+6)/10000000)))</f>
        <v>52635.000060600003</v>
      </c>
      <c r="X11">
        <f ca="1">IF(H11="","",IF(H11&lt;Setup!$C$5-Setup!$C$6,"",IF(IF(ISNUMBER(Roster!$D11),Setup!$C$26&lt;=Roster!$D11,FALSE),"",IF(OR(IF(Setup!$C$15&lt;=Setup!$C$16,AND(MONTH(H11)&gt;=Setup!$C$15,MONTH(H11)&lt;=Setup!$C$16),OR(MONTH(H11)&gt;=Setup!$C$15,MONTH(H11)&lt;=Setup!$C$16)),IF(Setup!$C$15&lt;=Setup!$C$16,AND(MONTH(WORKDAY(H11,-(Setup!$C$13+Setup!$G$26),Setup!$C$39:$C$50))&gt;=Setup!$C$15,MONTH(WORKDAY(H11,-(Setup!$C$13+Setup!$G$26),Setup!$C$39:$C$50))&lt;=Setup!$C$16),OR(MONTH(WORKDAY(H11,-(Setup!$C$13+Setup!$G$26),Setup!$C$39:$C$50))&gt;=Setup!$C$15,MONTH(WORKDAY(H11,-(Setup!$C$13+Setup!$G$26),Setup!$C$39:$C$50))&lt;=Setup!$C$16))),WORKDAY(H11,-(Setup!$C$13+Setup!$G$26+Setup!$C$14),Setup!$C$39:$C$50),WORKDAY(H11,-(Setup!$C$13+Setup!$G$26),Setup!$C$39:$C$50))+(6*100+7)/10000000)))</f>
        <v>54462.000060699997</v>
      </c>
      <c r="Y11">
        <f ca="1">IF(I11="","",IF(I11&lt;Setup!$C$5-Setup!$C$6,"",IF(IF(ISNUMBER(Roster!$D11),Setup!$C$27&lt;=Roster!$D11,FALSE),"",IF(OR(IF(Setup!$C$15&lt;=Setup!$C$16,AND(MONTH(I11)&gt;=Setup!$C$15,MONTH(I11)&lt;=Setup!$C$16),OR(MONTH(I11)&gt;=Setup!$C$15,MONTH(I11)&lt;=Setup!$C$16)),IF(Setup!$C$15&lt;=Setup!$C$16,AND(MONTH(WORKDAY(I11,-(Setup!$C$13+Setup!$G$27),Setup!$C$39:$C$50))&gt;=Setup!$C$15,MONTH(WORKDAY(I11,-(Setup!$C$13+Setup!$G$27),Setup!$C$39:$C$50))&lt;=Setup!$C$16),OR(MONTH(WORKDAY(I11,-(Setup!$C$13+Setup!$G$27),Setup!$C$39:$C$50))&gt;=Setup!$C$15,MONTH(WORKDAY(I11,-(Setup!$C$13+Setup!$G$27),Setup!$C$39:$C$50))&lt;=Setup!$C$16))),WORKDAY(I11,-(Setup!$C$13+Setup!$G$27+Setup!$C$14),Setup!$C$39:$C$50),WORKDAY(I11,-(Setup!$C$13+Setup!$G$27),Setup!$C$39:$C$50))+(6*100+8)/10000000)))</f>
        <v>56289.000060799997</v>
      </c>
      <c r="Z11">
        <f ca="1">IF(J11="","",IF(J11&lt;Setup!$C$5-Setup!$C$6,"",IF(IF(ISNUMBER(Roster!$D11),Setup!$C$28&lt;=Roster!$D11,FALSE),"",IF(OR(IF(Setup!$C$15&lt;=Setup!$C$16,AND(MONTH(J11)&gt;=Setup!$C$15,MONTH(J11)&lt;=Setup!$C$16),OR(MONTH(J11)&gt;=Setup!$C$15,MONTH(J11)&lt;=Setup!$C$16)),IF(Setup!$C$15&lt;=Setup!$C$16,AND(MONTH(WORKDAY(J11,-(Setup!$C$13+Setup!$G$28),Setup!$C$39:$C$50))&gt;=Setup!$C$15,MONTH(WORKDAY(J11,-(Setup!$C$13+Setup!$G$28),Setup!$C$39:$C$50))&lt;=Setup!$C$16),OR(MONTH(WORKDAY(J11,-(Setup!$C$13+Setup!$G$28),Setup!$C$39:$C$50))&gt;=Setup!$C$15,MONTH(WORKDAY(J11,-(Setup!$C$13+Setup!$G$28),Setup!$C$39:$C$50))&lt;=Setup!$C$16))),WORKDAY(J11,-(Setup!$C$13+Setup!$G$28+Setup!$C$14),Setup!$C$39:$C$50),WORKDAY(J11,-(Setup!$C$13+Setup!$G$28),Setup!$C$39:$C$50))+(6*100+9)/10000000)))</f>
        <v>58113.000060899998</v>
      </c>
      <c r="AA11">
        <f ca="1">IF(K11="","",IF(K11&lt;Setup!$C$5-Setup!$C$6,"",IF(IF(ISNUMBER(Roster!$D11),Setup!$C$29&lt;=Roster!$D11,FALSE),"",IF(OR(IF(Setup!$C$15&lt;=Setup!$C$16,AND(MONTH(K11)&gt;=Setup!$C$15,MONTH(K11)&lt;=Setup!$C$16),OR(MONTH(K11)&gt;=Setup!$C$15,MONTH(K11)&lt;=Setup!$C$16)),IF(Setup!$C$15&lt;=Setup!$C$16,AND(MONTH(WORKDAY(K11,-(Setup!$C$13+Setup!$G$29),Setup!$C$39:$C$50))&gt;=Setup!$C$15,MONTH(WORKDAY(K11,-(Setup!$C$13+Setup!$G$29),Setup!$C$39:$C$50))&lt;=Setup!$C$16),OR(MONTH(WORKDAY(K11,-(Setup!$C$13+Setup!$G$29),Setup!$C$39:$C$50))&gt;=Setup!$C$15,MONTH(WORKDAY(K11,-(Setup!$C$13+Setup!$G$29),Setup!$C$39:$C$50))&lt;=Setup!$C$16))),WORKDAY(K11,-(Setup!$C$13+Setup!$G$29+Setup!$C$14),Setup!$C$39:$C$50),WORKDAY(K11,-(Setup!$C$13+Setup!$G$29),Setup!$C$39:$C$50))+(6*100+10)/10000000)))</f>
        <v>59940.000060999999</v>
      </c>
      <c r="AB11">
        <f ca="1">IF(L11="","",IF(L11&lt;Setup!$C$5-Setup!$C$6,"",IF(IF(ISNUMBER(Roster!$D11),Setup!$C$30&lt;=Roster!$D11,FALSE),"",IF(OR(IF(Setup!$C$15&lt;=Setup!$C$16,AND(MONTH(L11)&gt;=Setup!$C$15,MONTH(L11)&lt;=Setup!$C$16),OR(MONTH(L11)&gt;=Setup!$C$15,MONTH(L11)&lt;=Setup!$C$16)),IF(Setup!$C$15&lt;=Setup!$C$16,AND(MONTH(WORKDAY(L11,-(Setup!$C$13+Setup!$G$30),Setup!$C$39:$C$50))&gt;=Setup!$C$15,MONTH(WORKDAY(L11,-(Setup!$C$13+Setup!$G$30),Setup!$C$39:$C$50))&lt;=Setup!$C$16),OR(MONTH(WORKDAY(L11,-(Setup!$C$13+Setup!$G$30),Setup!$C$39:$C$50))&gt;=Setup!$C$15,MONTH(WORKDAY(L11,-(Setup!$C$13+Setup!$G$30),Setup!$C$39:$C$50))&lt;=Setup!$C$16))),WORKDAY(L11,-(Setup!$C$13+Setup!$G$30+Setup!$C$14),Setup!$C$39:$C$50),WORKDAY(L11,-(Setup!$C$13+Setup!$G$30),Setup!$C$39:$C$50))+(6*100+11)/10000000)))</f>
        <v>61766.0000611</v>
      </c>
      <c r="AC11">
        <f ca="1">IF(M11="","",IF(M11&lt;Setup!$C$5-Setup!$C$6,"",IF(IF(ISNUMBER(Roster!$D11),Setup!$C$31&lt;=Roster!$D11,FALSE),"",IF(OR(IF(Setup!$C$15&lt;=Setup!$C$16,AND(MONTH(M11)&gt;=Setup!$C$15,MONTH(M11)&lt;=Setup!$C$16),OR(MONTH(M11)&gt;=Setup!$C$15,MONTH(M11)&lt;=Setup!$C$16)),IF(Setup!$C$15&lt;=Setup!$C$16,AND(MONTH(WORKDAY(M11,-(Setup!$C$13+Setup!$G$31),Setup!$C$39:$C$50))&gt;=Setup!$C$15,MONTH(WORKDAY(M11,-(Setup!$C$13+Setup!$G$31),Setup!$C$39:$C$50))&lt;=Setup!$C$16),OR(MONTH(WORKDAY(M11,-(Setup!$C$13+Setup!$G$31),Setup!$C$39:$C$50))&gt;=Setup!$C$15,MONTH(WORKDAY(M11,-(Setup!$C$13+Setup!$G$31),Setup!$C$39:$C$50))&lt;=Setup!$C$16))),WORKDAY(M11,-(Setup!$C$13+Setup!$G$31+Setup!$C$14),Setup!$C$39:$C$50),WORKDAY(M11,-(Setup!$C$13+Setup!$G$31),Setup!$C$39:$C$50))+(6*100+12)/10000000)))</f>
        <v>63592.0000612</v>
      </c>
      <c r="AD11" t="str">
        <f>IF(N11="","",IF(N11&lt;Setup!$C$5-Setup!$C$6,"",IF(IF(ISNUMBER(Roster!$D11),Setup!$C$32&lt;=Roster!$D11,FALSE),"",IF(OR(IF(Setup!$C$15&lt;=Setup!$C$16,AND(MONTH(N11)&gt;=Setup!$C$15,MONTH(N11)&lt;=Setup!$C$16),OR(MONTH(N11)&gt;=Setup!$C$15,MONTH(N11)&lt;=Setup!$C$16)),IF(Setup!$C$15&lt;=Setup!$C$16,AND(MONTH(WORKDAY(N11,-(Setup!$C$13+Setup!$G$32),Setup!$C$39:$C$50))&gt;=Setup!$C$15,MONTH(WORKDAY(N11,-(Setup!$C$13+Setup!$G$32),Setup!$C$39:$C$50))&lt;=Setup!$C$16),OR(MONTH(WORKDAY(N11,-(Setup!$C$13+Setup!$G$32),Setup!$C$39:$C$50))&gt;=Setup!$C$15,MONTH(WORKDAY(N11,-(Setup!$C$13+Setup!$G$32),Setup!$C$39:$C$50))&lt;=Setup!$C$16))),WORKDAY(N11,-(Setup!$C$13+Setup!$G$32+Setup!$C$14),Setup!$C$39:$C$50),WORKDAY(N11,-(Setup!$C$13+Setup!$G$32),Setup!$C$39:$C$50))+(6*100+13)/10000000)))</f>
        <v/>
      </c>
      <c r="AE11" t="str">
        <f>IF(O11="","",IF(O11&lt;Setup!$C$5-Setup!$C$6,"",IF(IF(ISNUMBER(Roster!$D11),Setup!$C$33&lt;=Roster!$D11,FALSE),"",IF(OR(IF(Setup!$C$15&lt;=Setup!$C$16,AND(MONTH(O11)&gt;=Setup!$C$15,MONTH(O11)&lt;=Setup!$C$16),OR(MONTH(O11)&gt;=Setup!$C$15,MONTH(O11)&lt;=Setup!$C$16)),IF(Setup!$C$15&lt;=Setup!$C$16,AND(MONTH(WORKDAY(O11,-(Setup!$C$13+Setup!$G$33),Setup!$C$39:$C$50))&gt;=Setup!$C$15,MONTH(WORKDAY(O11,-(Setup!$C$13+Setup!$G$33),Setup!$C$39:$C$50))&lt;=Setup!$C$16),OR(MONTH(WORKDAY(O11,-(Setup!$C$13+Setup!$G$33),Setup!$C$39:$C$50))&gt;=Setup!$C$15,MONTH(WORKDAY(O11,-(Setup!$C$13+Setup!$G$33),Setup!$C$39:$C$50))&lt;=Setup!$C$16))),WORKDAY(O11,-(Setup!$C$13+Setup!$G$33+Setup!$C$14),Setup!$C$39:$C$50),WORKDAY(O11,-(Setup!$C$13+Setup!$G$33),Setup!$C$39:$C$50))+(6*100+14)/10000000)))</f>
        <v/>
      </c>
      <c r="AF11" t="str">
        <f>IF(P11="","",IF(P11&lt;Setup!$C$5-Setup!$C$6,"",IF(IF(ISNUMBER(Roster!$D11),Setup!$C$34&lt;=Roster!$D11,FALSE),"",IF(OR(IF(Setup!$C$15&lt;=Setup!$C$16,AND(MONTH(P11)&gt;=Setup!$C$15,MONTH(P11)&lt;=Setup!$C$16),OR(MONTH(P11)&gt;=Setup!$C$15,MONTH(P11)&lt;=Setup!$C$16)),IF(Setup!$C$15&lt;=Setup!$C$16,AND(MONTH(WORKDAY(P11,-(Setup!$C$13+Setup!$G$34),Setup!$C$39:$C$50))&gt;=Setup!$C$15,MONTH(WORKDAY(P11,-(Setup!$C$13+Setup!$G$34),Setup!$C$39:$C$50))&lt;=Setup!$C$16),OR(MONTH(WORKDAY(P11,-(Setup!$C$13+Setup!$G$34),Setup!$C$39:$C$50))&gt;=Setup!$C$15,MONTH(WORKDAY(P11,-(Setup!$C$13+Setup!$G$34),Setup!$C$39:$C$50))&lt;=Setup!$C$16))),WORKDAY(P11,-(Setup!$C$13+Setup!$G$34+Setup!$C$14),Setup!$C$39:$C$50),WORKDAY(P11,-(Setup!$C$13+Setup!$G$34),Setup!$C$39:$C$50))+(6*100+15)/10000000)))</f>
        <v/>
      </c>
      <c r="AH11">
        <f t="shared" ca="1" si="0"/>
        <v>46426.0000602</v>
      </c>
      <c r="AI11">
        <f t="shared" ca="1" si="1"/>
        <v>2</v>
      </c>
      <c r="AK11">
        <f ca="1">IF(6&gt;$AK$2,"",SMALL($R$6:$AF$505,6))</f>
        <v>46426.0000602</v>
      </c>
      <c r="AL11">
        <f t="shared" ca="1" si="2"/>
        <v>602</v>
      </c>
      <c r="AM11">
        <f t="shared" ca="1" si="3"/>
        <v>6</v>
      </c>
      <c r="AN11">
        <f t="shared" ca="1" si="4"/>
        <v>2</v>
      </c>
      <c r="AP11">
        <f ca="1">IF(ISNUMBER(Roster!$B11),MAX(1,YEAR(Setup!$C$5)-YEAR(Roster!$B11)+IF(EDATE(Roster!$B11,12*(YEAR(Setup!$C$5)-YEAR(Roster!$B11)))&lt;Setup!$C$5,1,0)),"")</f>
        <v>3</v>
      </c>
      <c r="AQ11" s="32">
        <f ca="1">IF(AP11="","",EDATE(Roster!$B11,12*AP11))</f>
        <v>46446</v>
      </c>
      <c r="AR11">
        <f ca="1">IF(AQ11="","",IF(AQ11&lt;DATE(YEAR(Setup!$C$5)+1,MONTH(Setup!$C$5),DAY(Setup!$C$5)),AQ11+6/1000,""))</f>
        <v>46446.006000000001</v>
      </c>
      <c r="AS11">
        <f t="shared" ca="1" si="5"/>
        <v>2</v>
      </c>
      <c r="AT11" t="b">
        <f ca="1">IF(AS11="","",IF(ISNUMBER(Roster!$D11),Roster!$D11&gt;=AP11,FALSE))</f>
        <v>0</v>
      </c>
      <c r="AU11">
        <f t="shared" ca="1" si="6"/>
        <v>46426</v>
      </c>
      <c r="AV11">
        <f ca="1">IF(6&gt;$AV$2,"",SMALL($AR$6:$AR$505,6))</f>
        <v>46453.004000000001</v>
      </c>
      <c r="AW11">
        <f t="shared" ca="1" si="7"/>
        <v>4</v>
      </c>
    </row>
    <row r="12" spans="1:49" x14ac:dyDescent="0.2">
      <c r="B12" s="32">
        <f>IF(AND(ISNUMBER(Roster!$B12),Setup!$B$20="Yes",ISNUMBER(Setup!$C$20)),EDATE(Roster!$B12,12*Setup!$C$20),"")</f>
        <v>39550</v>
      </c>
      <c r="C12" s="32">
        <f>IF(AND(ISNUMBER(Roster!$B12),Setup!$B$21="Yes",ISNUMBER(Setup!$C$21)),EDATE(Roster!$B12,12*Setup!$C$21),"")</f>
        <v>40280</v>
      </c>
      <c r="D12" s="32">
        <f>IF(AND(ISNUMBER(Roster!$B12),Setup!$B$22="Yes",ISNUMBER(Setup!$C$22)),EDATE(Roster!$B12,12*Setup!$C$22),"")</f>
        <v>41011</v>
      </c>
      <c r="E12" s="32">
        <f>IF(AND(ISNUMBER(Roster!$B12),Setup!$B$23="Yes",ISNUMBER(Setup!$C$23)),EDATE(Roster!$B12,12*Setup!$C$23),"")</f>
        <v>42837</v>
      </c>
      <c r="F12" s="32">
        <f>IF(AND(ISNUMBER(Roster!$B12),Setup!$B$24="Yes",ISNUMBER(Setup!$C$24)),EDATE(Roster!$B12,12*Setup!$C$24),"")</f>
        <v>44663</v>
      </c>
      <c r="G12" s="32">
        <f>IF(AND(ISNUMBER(Roster!$B12),Setup!$B$25="Yes",ISNUMBER(Setup!$C$25)),EDATE(Roster!$B12,12*Setup!$C$25),"")</f>
        <v>46489</v>
      </c>
      <c r="H12" s="32">
        <f>IF(AND(ISNUMBER(Roster!$B12),Setup!$B$26="Yes",ISNUMBER(Setup!$C$26)),EDATE(Roster!$B12,12*Setup!$C$26),"")</f>
        <v>48316</v>
      </c>
      <c r="I12" s="32">
        <f>IF(AND(ISNUMBER(Roster!$B12),Setup!$B$27="Yes",ISNUMBER(Setup!$C$27)),EDATE(Roster!$B12,12*Setup!$C$27),"")</f>
        <v>50142</v>
      </c>
      <c r="J12" s="32">
        <f>IF(AND(ISNUMBER(Roster!$B12),Setup!$B$28="Yes",ISNUMBER(Setup!$C$28)),EDATE(Roster!$B12,12*Setup!$C$28),"")</f>
        <v>51968</v>
      </c>
      <c r="K12" s="32">
        <f>IF(AND(ISNUMBER(Roster!$B12),Setup!$B$29="Yes",ISNUMBER(Setup!$C$29)),EDATE(Roster!$B12,12*Setup!$C$29),"")</f>
        <v>53794</v>
      </c>
      <c r="L12" s="32">
        <f>IF(AND(ISNUMBER(Roster!$B12),Setup!$B$30="Yes",ISNUMBER(Setup!$C$30)),EDATE(Roster!$B12,12*Setup!$C$30),"")</f>
        <v>55621</v>
      </c>
      <c r="M12" s="32">
        <f>IF(AND(ISNUMBER(Roster!$B12),Setup!$B$31="Yes",ISNUMBER(Setup!$C$31)),EDATE(Roster!$B12,12*Setup!$C$31),"")</f>
        <v>57447</v>
      </c>
      <c r="N12" s="32" t="str">
        <f>IF(AND(ISNUMBER(Roster!$B12),Setup!$B$32="Yes",ISNUMBER(Setup!$C$32)),EDATE(Roster!$B12,12*Setup!$C$32),"")</f>
        <v/>
      </c>
      <c r="O12" s="32" t="str">
        <f>IF(AND(ISNUMBER(Roster!$B12),Setup!$B$33="Yes",ISNUMBER(Setup!$C$33)),EDATE(Roster!$B12,12*Setup!$C$33),"")</f>
        <v/>
      </c>
      <c r="P12" s="32" t="str">
        <f>IF(AND(ISNUMBER(Roster!$B12),Setup!$B$34="Yes",ISNUMBER(Setup!$C$34)),EDATE(Roster!$B12,12*Setup!$C$34),"")</f>
        <v/>
      </c>
      <c r="R12" t="str">
        <f ca="1">IF(B12="","",IF(B12&lt;Setup!$C$5-Setup!$C$6,"",IF(IF(ISNUMBER(Roster!$D12),Setup!$C$20&lt;=Roster!$D12,FALSE),"",IF(OR(IF(Setup!$C$15&lt;=Setup!$C$16,AND(MONTH(B12)&gt;=Setup!$C$15,MONTH(B12)&lt;=Setup!$C$16),OR(MONTH(B12)&gt;=Setup!$C$15,MONTH(B12)&lt;=Setup!$C$16)),IF(Setup!$C$15&lt;=Setup!$C$16,AND(MONTH(WORKDAY(B12,-(Setup!$C$13+Setup!$G$20),Setup!$C$39:$C$50))&gt;=Setup!$C$15,MONTH(WORKDAY(B12,-(Setup!$C$13+Setup!$G$20),Setup!$C$39:$C$50))&lt;=Setup!$C$16),OR(MONTH(WORKDAY(B12,-(Setup!$C$13+Setup!$G$20),Setup!$C$39:$C$50))&gt;=Setup!$C$15,MONTH(WORKDAY(B12,-(Setup!$C$13+Setup!$G$20),Setup!$C$39:$C$50))&lt;=Setup!$C$16))),WORKDAY(B12,-(Setup!$C$13+Setup!$G$20+Setup!$C$14),Setup!$C$39:$C$50),WORKDAY(B12,-(Setup!$C$13+Setup!$G$20),Setup!$C$39:$C$50))+(7*100+1)/10000000)))</f>
        <v/>
      </c>
      <c r="S12" t="str">
        <f ca="1">IF(C12="","",IF(C12&lt;Setup!$C$5-Setup!$C$6,"",IF(IF(ISNUMBER(Roster!$D12),Setup!$C$21&lt;=Roster!$D12,FALSE),"",IF(OR(IF(Setup!$C$15&lt;=Setup!$C$16,AND(MONTH(C12)&gt;=Setup!$C$15,MONTH(C12)&lt;=Setup!$C$16),OR(MONTH(C12)&gt;=Setup!$C$15,MONTH(C12)&lt;=Setup!$C$16)),IF(Setup!$C$15&lt;=Setup!$C$16,AND(MONTH(WORKDAY(C12,-(Setup!$C$13+Setup!$G$21),Setup!$C$39:$C$50))&gt;=Setup!$C$15,MONTH(WORKDAY(C12,-(Setup!$C$13+Setup!$G$21),Setup!$C$39:$C$50))&lt;=Setup!$C$16),OR(MONTH(WORKDAY(C12,-(Setup!$C$13+Setup!$G$21),Setup!$C$39:$C$50))&gt;=Setup!$C$15,MONTH(WORKDAY(C12,-(Setup!$C$13+Setup!$G$21),Setup!$C$39:$C$50))&lt;=Setup!$C$16))),WORKDAY(C12,-(Setup!$C$13+Setup!$G$21+Setup!$C$14),Setup!$C$39:$C$50),WORKDAY(C12,-(Setup!$C$13+Setup!$G$21),Setup!$C$39:$C$50))+(7*100+2)/10000000)))</f>
        <v/>
      </c>
      <c r="T12" t="str">
        <f ca="1">IF(D12="","",IF(D12&lt;Setup!$C$5-Setup!$C$6,"",IF(IF(ISNUMBER(Roster!$D12),Setup!$C$22&lt;=Roster!$D12,FALSE),"",IF(OR(IF(Setup!$C$15&lt;=Setup!$C$16,AND(MONTH(D12)&gt;=Setup!$C$15,MONTH(D12)&lt;=Setup!$C$16),OR(MONTH(D12)&gt;=Setup!$C$15,MONTH(D12)&lt;=Setup!$C$16)),IF(Setup!$C$15&lt;=Setup!$C$16,AND(MONTH(WORKDAY(D12,-(Setup!$C$13+Setup!$G$22),Setup!$C$39:$C$50))&gt;=Setup!$C$15,MONTH(WORKDAY(D12,-(Setup!$C$13+Setup!$G$22),Setup!$C$39:$C$50))&lt;=Setup!$C$16),OR(MONTH(WORKDAY(D12,-(Setup!$C$13+Setup!$G$22),Setup!$C$39:$C$50))&gt;=Setup!$C$15,MONTH(WORKDAY(D12,-(Setup!$C$13+Setup!$G$22),Setup!$C$39:$C$50))&lt;=Setup!$C$16))),WORKDAY(D12,-(Setup!$C$13+Setup!$G$22+Setup!$C$14),Setup!$C$39:$C$50),WORKDAY(D12,-(Setup!$C$13+Setup!$G$22),Setup!$C$39:$C$50))+(7*100+3)/10000000)))</f>
        <v/>
      </c>
      <c r="U12" t="str">
        <f ca="1">IF(E12="","",IF(E12&lt;Setup!$C$5-Setup!$C$6,"",IF(IF(ISNUMBER(Roster!$D12),Setup!$C$23&lt;=Roster!$D12,FALSE),"",IF(OR(IF(Setup!$C$15&lt;=Setup!$C$16,AND(MONTH(E12)&gt;=Setup!$C$15,MONTH(E12)&lt;=Setup!$C$16),OR(MONTH(E12)&gt;=Setup!$C$15,MONTH(E12)&lt;=Setup!$C$16)),IF(Setup!$C$15&lt;=Setup!$C$16,AND(MONTH(WORKDAY(E12,-(Setup!$C$13+Setup!$G$23),Setup!$C$39:$C$50))&gt;=Setup!$C$15,MONTH(WORKDAY(E12,-(Setup!$C$13+Setup!$G$23),Setup!$C$39:$C$50))&lt;=Setup!$C$16),OR(MONTH(WORKDAY(E12,-(Setup!$C$13+Setup!$G$23),Setup!$C$39:$C$50))&gt;=Setup!$C$15,MONTH(WORKDAY(E12,-(Setup!$C$13+Setup!$G$23),Setup!$C$39:$C$50))&lt;=Setup!$C$16))),WORKDAY(E12,-(Setup!$C$13+Setup!$G$23+Setup!$C$14),Setup!$C$39:$C$50),WORKDAY(E12,-(Setup!$C$13+Setup!$G$23),Setup!$C$39:$C$50))+(7*100+4)/10000000)))</f>
        <v/>
      </c>
      <c r="V12" t="str">
        <f ca="1">IF(F12="","",IF(F12&lt;Setup!$C$5-Setup!$C$6,"",IF(IF(ISNUMBER(Roster!$D12),Setup!$C$24&lt;=Roster!$D12,FALSE),"",IF(OR(IF(Setup!$C$15&lt;=Setup!$C$16,AND(MONTH(F12)&gt;=Setup!$C$15,MONTH(F12)&lt;=Setup!$C$16),OR(MONTH(F12)&gt;=Setup!$C$15,MONTH(F12)&lt;=Setup!$C$16)),IF(Setup!$C$15&lt;=Setup!$C$16,AND(MONTH(WORKDAY(F12,-(Setup!$C$13+Setup!$G$24),Setup!$C$39:$C$50))&gt;=Setup!$C$15,MONTH(WORKDAY(F12,-(Setup!$C$13+Setup!$G$24),Setup!$C$39:$C$50))&lt;=Setup!$C$16),OR(MONTH(WORKDAY(F12,-(Setup!$C$13+Setup!$G$24),Setup!$C$39:$C$50))&gt;=Setup!$C$15,MONTH(WORKDAY(F12,-(Setup!$C$13+Setup!$G$24),Setup!$C$39:$C$50))&lt;=Setup!$C$16))),WORKDAY(F12,-(Setup!$C$13+Setup!$G$24+Setup!$C$14),Setup!$C$39:$C$50),WORKDAY(F12,-(Setup!$C$13+Setup!$G$24),Setup!$C$39:$C$50))+(7*100+5)/10000000)))</f>
        <v/>
      </c>
      <c r="W12">
        <f ca="1">IF(G12="","",IF(G12&lt;Setup!$C$5-Setup!$C$6,"",IF(IF(ISNUMBER(Roster!$D12),Setup!$C$25&lt;=Roster!$D12,FALSE),"",IF(OR(IF(Setup!$C$15&lt;=Setup!$C$16,AND(MONTH(G12)&gt;=Setup!$C$15,MONTH(G12)&lt;=Setup!$C$16),OR(MONTH(G12)&gt;=Setup!$C$15,MONTH(G12)&lt;=Setup!$C$16)),IF(Setup!$C$15&lt;=Setup!$C$16,AND(MONTH(WORKDAY(G12,-(Setup!$C$13+Setup!$G$25),Setup!$C$39:$C$50))&gt;=Setup!$C$15,MONTH(WORKDAY(G12,-(Setup!$C$13+Setup!$G$25),Setup!$C$39:$C$50))&lt;=Setup!$C$16),OR(MONTH(WORKDAY(G12,-(Setup!$C$13+Setup!$G$25),Setup!$C$39:$C$50))&gt;=Setup!$C$15,MONTH(WORKDAY(G12,-(Setup!$C$13+Setup!$G$25),Setup!$C$39:$C$50))&lt;=Setup!$C$16))),WORKDAY(G12,-(Setup!$C$13+Setup!$G$25+Setup!$C$14),Setup!$C$39:$C$50),WORKDAY(G12,-(Setup!$C$13+Setup!$G$25),Setup!$C$39:$C$50))+(7*100+6)/10000000)))</f>
        <v>46468.000070599999</v>
      </c>
      <c r="X12">
        <f ca="1">IF(H12="","",IF(H12&lt;Setup!$C$5-Setup!$C$6,"",IF(IF(ISNUMBER(Roster!$D12),Setup!$C$26&lt;=Roster!$D12,FALSE),"",IF(OR(IF(Setup!$C$15&lt;=Setup!$C$16,AND(MONTH(H12)&gt;=Setup!$C$15,MONTH(H12)&lt;=Setup!$C$16),OR(MONTH(H12)&gt;=Setup!$C$15,MONTH(H12)&lt;=Setup!$C$16)),IF(Setup!$C$15&lt;=Setup!$C$16,AND(MONTH(WORKDAY(H12,-(Setup!$C$13+Setup!$G$26),Setup!$C$39:$C$50))&gt;=Setup!$C$15,MONTH(WORKDAY(H12,-(Setup!$C$13+Setup!$G$26),Setup!$C$39:$C$50))&lt;=Setup!$C$16),OR(MONTH(WORKDAY(H12,-(Setup!$C$13+Setup!$G$26),Setup!$C$39:$C$50))&gt;=Setup!$C$15,MONTH(WORKDAY(H12,-(Setup!$C$13+Setup!$G$26),Setup!$C$39:$C$50))&lt;=Setup!$C$16))),WORKDAY(H12,-(Setup!$C$13+Setup!$G$26+Setup!$C$14),Setup!$C$39:$C$50),WORKDAY(H12,-(Setup!$C$13+Setup!$G$26),Setup!$C$39:$C$50))+(7*100+7)/10000000)))</f>
        <v>48295.0000707</v>
      </c>
      <c r="Y12">
        <f ca="1">IF(I12="","",IF(I12&lt;Setup!$C$5-Setup!$C$6,"",IF(IF(ISNUMBER(Roster!$D12),Setup!$C$27&lt;=Roster!$D12,FALSE),"",IF(OR(IF(Setup!$C$15&lt;=Setup!$C$16,AND(MONTH(I12)&gt;=Setup!$C$15,MONTH(I12)&lt;=Setup!$C$16),OR(MONTH(I12)&gt;=Setup!$C$15,MONTH(I12)&lt;=Setup!$C$16)),IF(Setup!$C$15&lt;=Setup!$C$16,AND(MONTH(WORKDAY(I12,-(Setup!$C$13+Setup!$G$27),Setup!$C$39:$C$50))&gt;=Setup!$C$15,MONTH(WORKDAY(I12,-(Setup!$C$13+Setup!$G$27),Setup!$C$39:$C$50))&lt;=Setup!$C$16),OR(MONTH(WORKDAY(I12,-(Setup!$C$13+Setup!$G$27),Setup!$C$39:$C$50))&gt;=Setup!$C$15,MONTH(WORKDAY(I12,-(Setup!$C$13+Setup!$G$27),Setup!$C$39:$C$50))&lt;=Setup!$C$16))),WORKDAY(I12,-(Setup!$C$13+Setup!$G$27+Setup!$C$14),Setup!$C$39:$C$50),WORKDAY(I12,-(Setup!$C$13+Setup!$G$27),Setup!$C$39:$C$50))+(7*100+8)/10000000)))</f>
        <v>50122.000070800001</v>
      </c>
      <c r="Z12">
        <f ca="1">IF(J12="","",IF(J12&lt;Setup!$C$5-Setup!$C$6,"",IF(IF(ISNUMBER(Roster!$D12),Setup!$C$28&lt;=Roster!$D12,FALSE),"",IF(OR(IF(Setup!$C$15&lt;=Setup!$C$16,AND(MONTH(J12)&gt;=Setup!$C$15,MONTH(J12)&lt;=Setup!$C$16),OR(MONTH(J12)&gt;=Setup!$C$15,MONTH(J12)&lt;=Setup!$C$16)),IF(Setup!$C$15&lt;=Setup!$C$16,AND(MONTH(WORKDAY(J12,-(Setup!$C$13+Setup!$G$28),Setup!$C$39:$C$50))&gt;=Setup!$C$15,MONTH(WORKDAY(J12,-(Setup!$C$13+Setup!$G$28),Setup!$C$39:$C$50))&lt;=Setup!$C$16),OR(MONTH(WORKDAY(J12,-(Setup!$C$13+Setup!$G$28),Setup!$C$39:$C$50))&gt;=Setup!$C$15,MONTH(WORKDAY(J12,-(Setup!$C$13+Setup!$G$28),Setup!$C$39:$C$50))&lt;=Setup!$C$16))),WORKDAY(J12,-(Setup!$C$13+Setup!$G$28+Setup!$C$14),Setup!$C$39:$C$50),WORKDAY(J12,-(Setup!$C$13+Setup!$G$28),Setup!$C$39:$C$50))+(7*100+9)/10000000)))</f>
        <v>51949.000070900001</v>
      </c>
      <c r="AA12">
        <f ca="1">IF(K12="","",IF(K12&lt;Setup!$C$5-Setup!$C$6,"",IF(IF(ISNUMBER(Roster!$D12),Setup!$C$29&lt;=Roster!$D12,FALSE),"",IF(OR(IF(Setup!$C$15&lt;=Setup!$C$16,AND(MONTH(K12)&gt;=Setup!$C$15,MONTH(K12)&lt;=Setup!$C$16),OR(MONTH(K12)&gt;=Setup!$C$15,MONTH(K12)&lt;=Setup!$C$16)),IF(Setup!$C$15&lt;=Setup!$C$16,AND(MONTH(WORKDAY(K12,-(Setup!$C$13+Setup!$G$29),Setup!$C$39:$C$50))&gt;=Setup!$C$15,MONTH(WORKDAY(K12,-(Setup!$C$13+Setup!$G$29),Setup!$C$39:$C$50))&lt;=Setup!$C$16),OR(MONTH(WORKDAY(K12,-(Setup!$C$13+Setup!$G$29),Setup!$C$39:$C$50))&gt;=Setup!$C$15,MONTH(WORKDAY(K12,-(Setup!$C$13+Setup!$G$29),Setup!$C$39:$C$50))&lt;=Setup!$C$16))),WORKDAY(K12,-(Setup!$C$13+Setup!$G$29+Setup!$C$14),Setup!$C$39:$C$50),WORKDAY(K12,-(Setup!$C$13+Setup!$G$29),Setup!$C$39:$C$50))+(7*100+10)/10000000)))</f>
        <v>53773.000071000002</v>
      </c>
      <c r="AB12">
        <f ca="1">IF(L12="","",IF(L12&lt;Setup!$C$5-Setup!$C$6,"",IF(IF(ISNUMBER(Roster!$D12),Setup!$C$30&lt;=Roster!$D12,FALSE),"",IF(OR(IF(Setup!$C$15&lt;=Setup!$C$16,AND(MONTH(L12)&gt;=Setup!$C$15,MONTH(L12)&lt;=Setup!$C$16),OR(MONTH(L12)&gt;=Setup!$C$15,MONTH(L12)&lt;=Setup!$C$16)),IF(Setup!$C$15&lt;=Setup!$C$16,AND(MONTH(WORKDAY(L12,-(Setup!$C$13+Setup!$G$30),Setup!$C$39:$C$50))&gt;=Setup!$C$15,MONTH(WORKDAY(L12,-(Setup!$C$13+Setup!$G$30),Setup!$C$39:$C$50))&lt;=Setup!$C$16),OR(MONTH(WORKDAY(L12,-(Setup!$C$13+Setup!$G$30),Setup!$C$39:$C$50))&gt;=Setup!$C$15,MONTH(WORKDAY(L12,-(Setup!$C$13+Setup!$G$30),Setup!$C$39:$C$50))&lt;=Setup!$C$16))),WORKDAY(L12,-(Setup!$C$13+Setup!$G$30+Setup!$C$14),Setup!$C$39:$C$50),WORKDAY(L12,-(Setup!$C$13+Setup!$G$30),Setup!$C$39:$C$50))+(7*100+11)/10000000)))</f>
        <v>55600.000071100003</v>
      </c>
      <c r="AC12">
        <f ca="1">IF(M12="","",IF(M12&lt;Setup!$C$5-Setup!$C$6,"",IF(IF(ISNUMBER(Roster!$D12),Setup!$C$31&lt;=Roster!$D12,FALSE),"",IF(OR(IF(Setup!$C$15&lt;=Setup!$C$16,AND(MONTH(M12)&gt;=Setup!$C$15,MONTH(M12)&lt;=Setup!$C$16),OR(MONTH(M12)&gt;=Setup!$C$15,MONTH(M12)&lt;=Setup!$C$16)),IF(Setup!$C$15&lt;=Setup!$C$16,AND(MONTH(WORKDAY(M12,-(Setup!$C$13+Setup!$G$31),Setup!$C$39:$C$50))&gt;=Setup!$C$15,MONTH(WORKDAY(M12,-(Setup!$C$13+Setup!$G$31),Setup!$C$39:$C$50))&lt;=Setup!$C$16),OR(MONTH(WORKDAY(M12,-(Setup!$C$13+Setup!$G$31),Setup!$C$39:$C$50))&gt;=Setup!$C$15,MONTH(WORKDAY(M12,-(Setup!$C$13+Setup!$G$31),Setup!$C$39:$C$50))&lt;=Setup!$C$16))),WORKDAY(M12,-(Setup!$C$13+Setup!$G$31+Setup!$C$14),Setup!$C$39:$C$50),WORKDAY(M12,-(Setup!$C$13+Setup!$G$31),Setup!$C$39:$C$50))+(7*100+12)/10000000)))</f>
        <v>57426.000071199996</v>
      </c>
      <c r="AD12" t="str">
        <f>IF(N12="","",IF(N12&lt;Setup!$C$5-Setup!$C$6,"",IF(IF(ISNUMBER(Roster!$D12),Setup!$C$32&lt;=Roster!$D12,FALSE),"",IF(OR(IF(Setup!$C$15&lt;=Setup!$C$16,AND(MONTH(N12)&gt;=Setup!$C$15,MONTH(N12)&lt;=Setup!$C$16),OR(MONTH(N12)&gt;=Setup!$C$15,MONTH(N12)&lt;=Setup!$C$16)),IF(Setup!$C$15&lt;=Setup!$C$16,AND(MONTH(WORKDAY(N12,-(Setup!$C$13+Setup!$G$32),Setup!$C$39:$C$50))&gt;=Setup!$C$15,MONTH(WORKDAY(N12,-(Setup!$C$13+Setup!$G$32),Setup!$C$39:$C$50))&lt;=Setup!$C$16),OR(MONTH(WORKDAY(N12,-(Setup!$C$13+Setup!$G$32),Setup!$C$39:$C$50))&gt;=Setup!$C$15,MONTH(WORKDAY(N12,-(Setup!$C$13+Setup!$G$32),Setup!$C$39:$C$50))&lt;=Setup!$C$16))),WORKDAY(N12,-(Setup!$C$13+Setup!$G$32+Setup!$C$14),Setup!$C$39:$C$50),WORKDAY(N12,-(Setup!$C$13+Setup!$G$32),Setup!$C$39:$C$50))+(7*100+13)/10000000)))</f>
        <v/>
      </c>
      <c r="AE12" t="str">
        <f>IF(O12="","",IF(O12&lt;Setup!$C$5-Setup!$C$6,"",IF(IF(ISNUMBER(Roster!$D12),Setup!$C$33&lt;=Roster!$D12,FALSE),"",IF(OR(IF(Setup!$C$15&lt;=Setup!$C$16,AND(MONTH(O12)&gt;=Setup!$C$15,MONTH(O12)&lt;=Setup!$C$16),OR(MONTH(O12)&gt;=Setup!$C$15,MONTH(O12)&lt;=Setup!$C$16)),IF(Setup!$C$15&lt;=Setup!$C$16,AND(MONTH(WORKDAY(O12,-(Setup!$C$13+Setup!$G$33),Setup!$C$39:$C$50))&gt;=Setup!$C$15,MONTH(WORKDAY(O12,-(Setup!$C$13+Setup!$G$33),Setup!$C$39:$C$50))&lt;=Setup!$C$16),OR(MONTH(WORKDAY(O12,-(Setup!$C$13+Setup!$G$33),Setup!$C$39:$C$50))&gt;=Setup!$C$15,MONTH(WORKDAY(O12,-(Setup!$C$13+Setup!$G$33),Setup!$C$39:$C$50))&lt;=Setup!$C$16))),WORKDAY(O12,-(Setup!$C$13+Setup!$G$33+Setup!$C$14),Setup!$C$39:$C$50),WORKDAY(O12,-(Setup!$C$13+Setup!$G$33),Setup!$C$39:$C$50))+(7*100+14)/10000000)))</f>
        <v/>
      </c>
      <c r="AF12" t="str">
        <f>IF(P12="","",IF(P12&lt;Setup!$C$5-Setup!$C$6,"",IF(IF(ISNUMBER(Roster!$D12),Setup!$C$34&lt;=Roster!$D12,FALSE),"",IF(OR(IF(Setup!$C$15&lt;=Setup!$C$16,AND(MONTH(P12)&gt;=Setup!$C$15,MONTH(P12)&lt;=Setup!$C$16),OR(MONTH(P12)&gt;=Setup!$C$15,MONTH(P12)&lt;=Setup!$C$16)),IF(Setup!$C$15&lt;=Setup!$C$16,AND(MONTH(WORKDAY(P12,-(Setup!$C$13+Setup!$G$34),Setup!$C$39:$C$50))&gt;=Setup!$C$15,MONTH(WORKDAY(P12,-(Setup!$C$13+Setup!$G$34),Setup!$C$39:$C$50))&lt;=Setup!$C$16),OR(MONTH(WORKDAY(P12,-(Setup!$C$13+Setup!$G$34),Setup!$C$39:$C$50))&gt;=Setup!$C$15,MONTH(WORKDAY(P12,-(Setup!$C$13+Setup!$G$34),Setup!$C$39:$C$50))&lt;=Setup!$C$16))),WORKDAY(P12,-(Setup!$C$13+Setup!$G$34+Setup!$C$14),Setup!$C$39:$C$50),WORKDAY(P12,-(Setup!$C$13+Setup!$G$34),Setup!$C$39:$C$50))+(7*100+15)/10000000)))</f>
        <v/>
      </c>
      <c r="AH12">
        <f t="shared" ca="1" si="0"/>
        <v>46468.000070599999</v>
      </c>
      <c r="AI12">
        <f t="shared" ca="1" si="1"/>
        <v>6</v>
      </c>
      <c r="AK12">
        <f ca="1">IF(7&gt;$AK$2,"",SMALL($R$6:$AF$505,7))</f>
        <v>46433.000040400002</v>
      </c>
      <c r="AL12">
        <f t="shared" ca="1" si="2"/>
        <v>404</v>
      </c>
      <c r="AM12">
        <f t="shared" ca="1" si="3"/>
        <v>4</v>
      </c>
      <c r="AN12">
        <f t="shared" ca="1" si="4"/>
        <v>4</v>
      </c>
      <c r="AP12">
        <f ca="1">IF(ISNUMBER(Roster!$B12),MAX(1,YEAR(Setup!$C$5)-YEAR(Roster!$B12)+IF(EDATE(Roster!$B12,12*(YEAR(Setup!$C$5)-YEAR(Roster!$B12)))&lt;Setup!$C$5,1,0)),"")</f>
        <v>20</v>
      </c>
      <c r="AQ12" s="32">
        <f ca="1">IF(AP12="","",EDATE(Roster!$B12,12*AP12))</f>
        <v>46489</v>
      </c>
      <c r="AR12">
        <f ca="1">IF(AQ12="","",IF(AQ12&lt;DATE(YEAR(Setup!$C$5)+1,MONTH(Setup!$C$5),DAY(Setup!$C$5)),AQ12+7/1000,""))</f>
        <v>46489.006999999998</v>
      </c>
      <c r="AS12">
        <f t="shared" ca="1" si="5"/>
        <v>6</v>
      </c>
      <c r="AT12" t="b">
        <f ca="1">IF(AS12="","",IF(ISNUMBER(Roster!$D12),Roster!$D12&gt;=AP12,FALSE))</f>
        <v>0</v>
      </c>
      <c r="AU12">
        <f t="shared" ca="1" si="6"/>
        <v>46468</v>
      </c>
      <c r="AV12">
        <f ca="1">IF(7&gt;$AV$2,"",SMALL($AR$6:$AR$505,7))</f>
        <v>46489.006999999998</v>
      </c>
      <c r="AW12">
        <f t="shared" ca="1" si="7"/>
        <v>7</v>
      </c>
    </row>
    <row r="13" spans="1:49" x14ac:dyDescent="0.2">
      <c r="B13" s="32">
        <f>IF(AND(ISNUMBER(Roster!$B13),Setup!$B$20="Yes",ISNUMBER(Setup!$C$20)),EDATE(Roster!$B13,12*Setup!$C$20),"")</f>
        <v>37853</v>
      </c>
      <c r="C13" s="32">
        <f>IF(AND(ISNUMBER(Roster!$B13),Setup!$B$21="Yes",ISNUMBER(Setup!$C$21)),EDATE(Roster!$B13,12*Setup!$C$21),"")</f>
        <v>38584</v>
      </c>
      <c r="D13" s="32">
        <f>IF(AND(ISNUMBER(Roster!$B13),Setup!$B$22="Yes",ISNUMBER(Setup!$C$22)),EDATE(Roster!$B13,12*Setup!$C$22),"")</f>
        <v>39314</v>
      </c>
      <c r="E13" s="32">
        <f>IF(AND(ISNUMBER(Roster!$B13),Setup!$B$23="Yes",ISNUMBER(Setup!$C$23)),EDATE(Roster!$B13,12*Setup!$C$23),"")</f>
        <v>41141</v>
      </c>
      <c r="F13" s="32">
        <f>IF(AND(ISNUMBER(Roster!$B13),Setup!$B$24="Yes",ISNUMBER(Setup!$C$24)),EDATE(Roster!$B13,12*Setup!$C$24),"")</f>
        <v>42967</v>
      </c>
      <c r="G13" s="32">
        <f>IF(AND(ISNUMBER(Roster!$B13),Setup!$B$25="Yes",ISNUMBER(Setup!$C$25)),EDATE(Roster!$B13,12*Setup!$C$25),"")</f>
        <v>44793</v>
      </c>
      <c r="H13" s="32">
        <f>IF(AND(ISNUMBER(Roster!$B13),Setup!$B$26="Yes",ISNUMBER(Setup!$C$26)),EDATE(Roster!$B13,12*Setup!$C$26),"")</f>
        <v>46619</v>
      </c>
      <c r="I13" s="32">
        <f>IF(AND(ISNUMBER(Roster!$B13),Setup!$B$27="Yes",ISNUMBER(Setup!$C$27)),EDATE(Roster!$B13,12*Setup!$C$27),"")</f>
        <v>48446</v>
      </c>
      <c r="J13" s="32">
        <f>IF(AND(ISNUMBER(Roster!$B13),Setup!$B$28="Yes",ISNUMBER(Setup!$C$28)),EDATE(Roster!$B13,12*Setup!$C$28),"")</f>
        <v>50272</v>
      </c>
      <c r="K13" s="32">
        <f>IF(AND(ISNUMBER(Roster!$B13),Setup!$B$29="Yes",ISNUMBER(Setup!$C$29)),EDATE(Roster!$B13,12*Setup!$C$29),"")</f>
        <v>52098</v>
      </c>
      <c r="L13" s="32">
        <f>IF(AND(ISNUMBER(Roster!$B13),Setup!$B$30="Yes",ISNUMBER(Setup!$C$30)),EDATE(Roster!$B13,12*Setup!$C$30),"")</f>
        <v>53924</v>
      </c>
      <c r="M13" s="32">
        <f>IF(AND(ISNUMBER(Roster!$B13),Setup!$B$31="Yes",ISNUMBER(Setup!$C$31)),EDATE(Roster!$B13,12*Setup!$C$31),"")</f>
        <v>55751</v>
      </c>
      <c r="N13" s="32" t="str">
        <f>IF(AND(ISNUMBER(Roster!$B13),Setup!$B$32="Yes",ISNUMBER(Setup!$C$32)),EDATE(Roster!$B13,12*Setup!$C$32),"")</f>
        <v/>
      </c>
      <c r="O13" s="32" t="str">
        <f>IF(AND(ISNUMBER(Roster!$B13),Setup!$B$33="Yes",ISNUMBER(Setup!$C$33)),EDATE(Roster!$B13,12*Setup!$C$33),"")</f>
        <v/>
      </c>
      <c r="P13" s="32" t="str">
        <f>IF(AND(ISNUMBER(Roster!$B13),Setup!$B$34="Yes",ISNUMBER(Setup!$C$34)),EDATE(Roster!$B13,12*Setup!$C$34),"")</f>
        <v/>
      </c>
      <c r="R13" t="str">
        <f ca="1">IF(B13="","",IF(B13&lt;Setup!$C$5-Setup!$C$6,"",IF(IF(ISNUMBER(Roster!$D13),Setup!$C$20&lt;=Roster!$D13,FALSE),"",IF(OR(IF(Setup!$C$15&lt;=Setup!$C$16,AND(MONTH(B13)&gt;=Setup!$C$15,MONTH(B13)&lt;=Setup!$C$16),OR(MONTH(B13)&gt;=Setup!$C$15,MONTH(B13)&lt;=Setup!$C$16)),IF(Setup!$C$15&lt;=Setup!$C$16,AND(MONTH(WORKDAY(B13,-(Setup!$C$13+Setup!$G$20),Setup!$C$39:$C$50))&gt;=Setup!$C$15,MONTH(WORKDAY(B13,-(Setup!$C$13+Setup!$G$20),Setup!$C$39:$C$50))&lt;=Setup!$C$16),OR(MONTH(WORKDAY(B13,-(Setup!$C$13+Setup!$G$20),Setup!$C$39:$C$50))&gt;=Setup!$C$15,MONTH(WORKDAY(B13,-(Setup!$C$13+Setup!$G$20),Setup!$C$39:$C$50))&lt;=Setup!$C$16))),WORKDAY(B13,-(Setup!$C$13+Setup!$G$20+Setup!$C$14),Setup!$C$39:$C$50),WORKDAY(B13,-(Setup!$C$13+Setup!$G$20),Setup!$C$39:$C$50))+(8*100+1)/10000000)))</f>
        <v/>
      </c>
      <c r="S13" t="str">
        <f ca="1">IF(C13="","",IF(C13&lt;Setup!$C$5-Setup!$C$6,"",IF(IF(ISNUMBER(Roster!$D13),Setup!$C$21&lt;=Roster!$D13,FALSE),"",IF(OR(IF(Setup!$C$15&lt;=Setup!$C$16,AND(MONTH(C13)&gt;=Setup!$C$15,MONTH(C13)&lt;=Setup!$C$16),OR(MONTH(C13)&gt;=Setup!$C$15,MONTH(C13)&lt;=Setup!$C$16)),IF(Setup!$C$15&lt;=Setup!$C$16,AND(MONTH(WORKDAY(C13,-(Setup!$C$13+Setup!$G$21),Setup!$C$39:$C$50))&gt;=Setup!$C$15,MONTH(WORKDAY(C13,-(Setup!$C$13+Setup!$G$21),Setup!$C$39:$C$50))&lt;=Setup!$C$16),OR(MONTH(WORKDAY(C13,-(Setup!$C$13+Setup!$G$21),Setup!$C$39:$C$50))&gt;=Setup!$C$15,MONTH(WORKDAY(C13,-(Setup!$C$13+Setup!$G$21),Setup!$C$39:$C$50))&lt;=Setup!$C$16))),WORKDAY(C13,-(Setup!$C$13+Setup!$G$21+Setup!$C$14),Setup!$C$39:$C$50),WORKDAY(C13,-(Setup!$C$13+Setup!$G$21),Setup!$C$39:$C$50))+(8*100+2)/10000000)))</f>
        <v/>
      </c>
      <c r="T13" t="str">
        <f ca="1">IF(D13="","",IF(D13&lt;Setup!$C$5-Setup!$C$6,"",IF(IF(ISNUMBER(Roster!$D13),Setup!$C$22&lt;=Roster!$D13,FALSE),"",IF(OR(IF(Setup!$C$15&lt;=Setup!$C$16,AND(MONTH(D13)&gt;=Setup!$C$15,MONTH(D13)&lt;=Setup!$C$16),OR(MONTH(D13)&gt;=Setup!$C$15,MONTH(D13)&lt;=Setup!$C$16)),IF(Setup!$C$15&lt;=Setup!$C$16,AND(MONTH(WORKDAY(D13,-(Setup!$C$13+Setup!$G$22),Setup!$C$39:$C$50))&gt;=Setup!$C$15,MONTH(WORKDAY(D13,-(Setup!$C$13+Setup!$G$22),Setup!$C$39:$C$50))&lt;=Setup!$C$16),OR(MONTH(WORKDAY(D13,-(Setup!$C$13+Setup!$G$22),Setup!$C$39:$C$50))&gt;=Setup!$C$15,MONTH(WORKDAY(D13,-(Setup!$C$13+Setup!$G$22),Setup!$C$39:$C$50))&lt;=Setup!$C$16))),WORKDAY(D13,-(Setup!$C$13+Setup!$G$22+Setup!$C$14),Setup!$C$39:$C$50),WORKDAY(D13,-(Setup!$C$13+Setup!$G$22),Setup!$C$39:$C$50))+(8*100+3)/10000000)))</f>
        <v/>
      </c>
      <c r="U13" t="str">
        <f ca="1">IF(E13="","",IF(E13&lt;Setup!$C$5-Setup!$C$6,"",IF(IF(ISNUMBER(Roster!$D13),Setup!$C$23&lt;=Roster!$D13,FALSE),"",IF(OR(IF(Setup!$C$15&lt;=Setup!$C$16,AND(MONTH(E13)&gt;=Setup!$C$15,MONTH(E13)&lt;=Setup!$C$16),OR(MONTH(E13)&gt;=Setup!$C$15,MONTH(E13)&lt;=Setup!$C$16)),IF(Setup!$C$15&lt;=Setup!$C$16,AND(MONTH(WORKDAY(E13,-(Setup!$C$13+Setup!$G$23),Setup!$C$39:$C$50))&gt;=Setup!$C$15,MONTH(WORKDAY(E13,-(Setup!$C$13+Setup!$G$23),Setup!$C$39:$C$50))&lt;=Setup!$C$16),OR(MONTH(WORKDAY(E13,-(Setup!$C$13+Setup!$G$23),Setup!$C$39:$C$50))&gt;=Setup!$C$15,MONTH(WORKDAY(E13,-(Setup!$C$13+Setup!$G$23),Setup!$C$39:$C$50))&lt;=Setup!$C$16))),WORKDAY(E13,-(Setup!$C$13+Setup!$G$23+Setup!$C$14),Setup!$C$39:$C$50),WORKDAY(E13,-(Setup!$C$13+Setup!$G$23),Setup!$C$39:$C$50))+(8*100+4)/10000000)))</f>
        <v/>
      </c>
      <c r="V13" t="str">
        <f ca="1">IF(F13="","",IF(F13&lt;Setup!$C$5-Setup!$C$6,"",IF(IF(ISNUMBER(Roster!$D13),Setup!$C$24&lt;=Roster!$D13,FALSE),"",IF(OR(IF(Setup!$C$15&lt;=Setup!$C$16,AND(MONTH(F13)&gt;=Setup!$C$15,MONTH(F13)&lt;=Setup!$C$16),OR(MONTH(F13)&gt;=Setup!$C$15,MONTH(F13)&lt;=Setup!$C$16)),IF(Setup!$C$15&lt;=Setup!$C$16,AND(MONTH(WORKDAY(F13,-(Setup!$C$13+Setup!$G$24),Setup!$C$39:$C$50))&gt;=Setup!$C$15,MONTH(WORKDAY(F13,-(Setup!$C$13+Setup!$G$24),Setup!$C$39:$C$50))&lt;=Setup!$C$16),OR(MONTH(WORKDAY(F13,-(Setup!$C$13+Setup!$G$24),Setup!$C$39:$C$50))&gt;=Setup!$C$15,MONTH(WORKDAY(F13,-(Setup!$C$13+Setup!$G$24),Setup!$C$39:$C$50))&lt;=Setup!$C$16))),WORKDAY(F13,-(Setup!$C$13+Setup!$G$24+Setup!$C$14),Setup!$C$39:$C$50),WORKDAY(F13,-(Setup!$C$13+Setup!$G$24),Setup!$C$39:$C$50))+(8*100+5)/10000000)))</f>
        <v/>
      </c>
      <c r="W13" t="str">
        <f ca="1">IF(G13="","",IF(G13&lt;Setup!$C$5-Setup!$C$6,"",IF(IF(ISNUMBER(Roster!$D13),Setup!$C$25&lt;=Roster!$D13,FALSE),"",IF(OR(IF(Setup!$C$15&lt;=Setup!$C$16,AND(MONTH(G13)&gt;=Setup!$C$15,MONTH(G13)&lt;=Setup!$C$16),OR(MONTH(G13)&gt;=Setup!$C$15,MONTH(G13)&lt;=Setup!$C$16)),IF(Setup!$C$15&lt;=Setup!$C$16,AND(MONTH(WORKDAY(G13,-(Setup!$C$13+Setup!$G$25),Setup!$C$39:$C$50))&gt;=Setup!$C$15,MONTH(WORKDAY(G13,-(Setup!$C$13+Setup!$G$25),Setup!$C$39:$C$50))&lt;=Setup!$C$16),OR(MONTH(WORKDAY(G13,-(Setup!$C$13+Setup!$G$25),Setup!$C$39:$C$50))&gt;=Setup!$C$15,MONTH(WORKDAY(G13,-(Setup!$C$13+Setup!$G$25),Setup!$C$39:$C$50))&lt;=Setup!$C$16))),WORKDAY(G13,-(Setup!$C$13+Setup!$G$25+Setup!$C$14),Setup!$C$39:$C$50),WORKDAY(G13,-(Setup!$C$13+Setup!$G$25),Setup!$C$39:$C$50))+(8*100+6)/10000000)))</f>
        <v/>
      </c>
      <c r="X13">
        <f ca="1">IF(H13="","",IF(H13&lt;Setup!$C$5-Setup!$C$6,"",IF(IF(ISNUMBER(Roster!$D13),Setup!$C$26&lt;=Roster!$D13,FALSE),"",IF(OR(IF(Setup!$C$15&lt;=Setup!$C$16,AND(MONTH(H13)&gt;=Setup!$C$15,MONTH(H13)&lt;=Setup!$C$16),OR(MONTH(H13)&gt;=Setup!$C$15,MONTH(H13)&lt;=Setup!$C$16)),IF(Setup!$C$15&lt;=Setup!$C$16,AND(MONTH(WORKDAY(H13,-(Setup!$C$13+Setup!$G$26),Setup!$C$39:$C$50))&gt;=Setup!$C$15,MONTH(WORKDAY(H13,-(Setup!$C$13+Setup!$G$26),Setup!$C$39:$C$50))&lt;=Setup!$C$16),OR(MONTH(WORKDAY(H13,-(Setup!$C$13+Setup!$G$26),Setup!$C$39:$C$50))&gt;=Setup!$C$15,MONTH(WORKDAY(H13,-(Setup!$C$13+Setup!$G$26),Setup!$C$39:$C$50))&lt;=Setup!$C$16))),WORKDAY(H13,-(Setup!$C$13+Setup!$G$26+Setup!$C$14),Setup!$C$39:$C$50),WORKDAY(H13,-(Setup!$C$13+Setup!$G$26),Setup!$C$39:$C$50))+(8*100+7)/10000000)))</f>
        <v>46598.000080700003</v>
      </c>
      <c r="Y13">
        <f ca="1">IF(I13="","",IF(I13&lt;Setup!$C$5-Setup!$C$6,"",IF(IF(ISNUMBER(Roster!$D13),Setup!$C$27&lt;=Roster!$D13,FALSE),"",IF(OR(IF(Setup!$C$15&lt;=Setup!$C$16,AND(MONTH(I13)&gt;=Setup!$C$15,MONTH(I13)&lt;=Setup!$C$16),OR(MONTH(I13)&gt;=Setup!$C$15,MONTH(I13)&lt;=Setup!$C$16)),IF(Setup!$C$15&lt;=Setup!$C$16,AND(MONTH(WORKDAY(I13,-(Setup!$C$13+Setup!$G$27),Setup!$C$39:$C$50))&gt;=Setup!$C$15,MONTH(WORKDAY(I13,-(Setup!$C$13+Setup!$G$27),Setup!$C$39:$C$50))&lt;=Setup!$C$16),OR(MONTH(WORKDAY(I13,-(Setup!$C$13+Setup!$G$27),Setup!$C$39:$C$50))&gt;=Setup!$C$15,MONTH(WORKDAY(I13,-(Setup!$C$13+Setup!$G$27),Setup!$C$39:$C$50))&lt;=Setup!$C$16))),WORKDAY(I13,-(Setup!$C$13+Setup!$G$27+Setup!$C$14),Setup!$C$39:$C$50),WORKDAY(I13,-(Setup!$C$13+Setup!$G$27),Setup!$C$39:$C$50))+(8*100+8)/10000000)))</f>
        <v>48425.000080799997</v>
      </c>
      <c r="Z13">
        <f ca="1">IF(J13="","",IF(J13&lt;Setup!$C$5-Setup!$C$6,"",IF(IF(ISNUMBER(Roster!$D13),Setup!$C$28&lt;=Roster!$D13,FALSE),"",IF(OR(IF(Setup!$C$15&lt;=Setup!$C$16,AND(MONTH(J13)&gt;=Setup!$C$15,MONTH(J13)&lt;=Setup!$C$16),OR(MONTH(J13)&gt;=Setup!$C$15,MONTH(J13)&lt;=Setup!$C$16)),IF(Setup!$C$15&lt;=Setup!$C$16,AND(MONTH(WORKDAY(J13,-(Setup!$C$13+Setup!$G$28),Setup!$C$39:$C$50))&gt;=Setup!$C$15,MONTH(WORKDAY(J13,-(Setup!$C$13+Setup!$G$28),Setup!$C$39:$C$50))&lt;=Setup!$C$16),OR(MONTH(WORKDAY(J13,-(Setup!$C$13+Setup!$G$28),Setup!$C$39:$C$50))&gt;=Setup!$C$15,MONTH(WORKDAY(J13,-(Setup!$C$13+Setup!$G$28),Setup!$C$39:$C$50))&lt;=Setup!$C$16))),WORKDAY(J13,-(Setup!$C$13+Setup!$G$28+Setup!$C$14),Setup!$C$39:$C$50),WORKDAY(J13,-(Setup!$C$13+Setup!$G$28),Setup!$C$39:$C$50))+(8*100+9)/10000000)))</f>
        <v>50251.000080899998</v>
      </c>
      <c r="AA13">
        <f ca="1">IF(K13="","",IF(K13&lt;Setup!$C$5-Setup!$C$6,"",IF(IF(ISNUMBER(Roster!$D13),Setup!$C$29&lt;=Roster!$D13,FALSE),"",IF(OR(IF(Setup!$C$15&lt;=Setup!$C$16,AND(MONTH(K13)&gt;=Setup!$C$15,MONTH(K13)&lt;=Setup!$C$16),OR(MONTH(K13)&gt;=Setup!$C$15,MONTH(K13)&lt;=Setup!$C$16)),IF(Setup!$C$15&lt;=Setup!$C$16,AND(MONTH(WORKDAY(K13,-(Setup!$C$13+Setup!$G$29),Setup!$C$39:$C$50))&gt;=Setup!$C$15,MONTH(WORKDAY(K13,-(Setup!$C$13+Setup!$G$29),Setup!$C$39:$C$50))&lt;=Setup!$C$16),OR(MONTH(WORKDAY(K13,-(Setup!$C$13+Setup!$G$29),Setup!$C$39:$C$50))&gt;=Setup!$C$15,MONTH(WORKDAY(K13,-(Setup!$C$13+Setup!$G$29),Setup!$C$39:$C$50))&lt;=Setup!$C$16))),WORKDAY(K13,-(Setup!$C$13+Setup!$G$29+Setup!$C$14),Setup!$C$39:$C$50),WORKDAY(K13,-(Setup!$C$13+Setup!$G$29),Setup!$C$39:$C$50))+(8*100+10)/10000000)))</f>
        <v>52077.000080999998</v>
      </c>
      <c r="AB13">
        <f ca="1">IF(L13="","",IF(L13&lt;Setup!$C$5-Setup!$C$6,"",IF(IF(ISNUMBER(Roster!$D13),Setup!$C$30&lt;=Roster!$D13,FALSE),"",IF(OR(IF(Setup!$C$15&lt;=Setup!$C$16,AND(MONTH(L13)&gt;=Setup!$C$15,MONTH(L13)&lt;=Setup!$C$16),OR(MONTH(L13)&gt;=Setup!$C$15,MONTH(L13)&lt;=Setup!$C$16)),IF(Setup!$C$15&lt;=Setup!$C$16,AND(MONTH(WORKDAY(L13,-(Setup!$C$13+Setup!$G$30),Setup!$C$39:$C$50))&gt;=Setup!$C$15,MONTH(WORKDAY(L13,-(Setup!$C$13+Setup!$G$30),Setup!$C$39:$C$50))&lt;=Setup!$C$16),OR(MONTH(WORKDAY(L13,-(Setup!$C$13+Setup!$G$30),Setup!$C$39:$C$50))&gt;=Setup!$C$15,MONTH(WORKDAY(L13,-(Setup!$C$13+Setup!$G$30),Setup!$C$39:$C$50))&lt;=Setup!$C$16))),WORKDAY(L13,-(Setup!$C$13+Setup!$G$30+Setup!$C$14),Setup!$C$39:$C$50),WORKDAY(L13,-(Setup!$C$13+Setup!$G$30),Setup!$C$39:$C$50))+(8*100+11)/10000000)))</f>
        <v>53903.000081099999</v>
      </c>
      <c r="AC13">
        <f ca="1">IF(M13="","",IF(M13&lt;Setup!$C$5-Setup!$C$6,"",IF(IF(ISNUMBER(Roster!$D13),Setup!$C$31&lt;=Roster!$D13,FALSE),"",IF(OR(IF(Setup!$C$15&lt;=Setup!$C$16,AND(MONTH(M13)&gt;=Setup!$C$15,MONTH(M13)&lt;=Setup!$C$16),OR(MONTH(M13)&gt;=Setup!$C$15,MONTH(M13)&lt;=Setup!$C$16)),IF(Setup!$C$15&lt;=Setup!$C$16,AND(MONTH(WORKDAY(M13,-(Setup!$C$13+Setup!$G$31),Setup!$C$39:$C$50))&gt;=Setup!$C$15,MONTH(WORKDAY(M13,-(Setup!$C$13+Setup!$G$31),Setup!$C$39:$C$50))&lt;=Setup!$C$16),OR(MONTH(WORKDAY(M13,-(Setup!$C$13+Setup!$G$31),Setup!$C$39:$C$50))&gt;=Setup!$C$15,MONTH(WORKDAY(M13,-(Setup!$C$13+Setup!$G$31),Setup!$C$39:$C$50))&lt;=Setup!$C$16))),WORKDAY(M13,-(Setup!$C$13+Setup!$G$31+Setup!$C$14),Setup!$C$39:$C$50),WORKDAY(M13,-(Setup!$C$13+Setup!$G$31),Setup!$C$39:$C$50))+(8*100+12)/10000000)))</f>
        <v>55730.0000812</v>
      </c>
      <c r="AD13" t="str">
        <f>IF(N13="","",IF(N13&lt;Setup!$C$5-Setup!$C$6,"",IF(IF(ISNUMBER(Roster!$D13),Setup!$C$32&lt;=Roster!$D13,FALSE),"",IF(OR(IF(Setup!$C$15&lt;=Setup!$C$16,AND(MONTH(N13)&gt;=Setup!$C$15,MONTH(N13)&lt;=Setup!$C$16),OR(MONTH(N13)&gt;=Setup!$C$15,MONTH(N13)&lt;=Setup!$C$16)),IF(Setup!$C$15&lt;=Setup!$C$16,AND(MONTH(WORKDAY(N13,-(Setup!$C$13+Setup!$G$32),Setup!$C$39:$C$50))&gt;=Setup!$C$15,MONTH(WORKDAY(N13,-(Setup!$C$13+Setup!$G$32),Setup!$C$39:$C$50))&lt;=Setup!$C$16),OR(MONTH(WORKDAY(N13,-(Setup!$C$13+Setup!$G$32),Setup!$C$39:$C$50))&gt;=Setup!$C$15,MONTH(WORKDAY(N13,-(Setup!$C$13+Setup!$G$32),Setup!$C$39:$C$50))&lt;=Setup!$C$16))),WORKDAY(N13,-(Setup!$C$13+Setup!$G$32+Setup!$C$14),Setup!$C$39:$C$50),WORKDAY(N13,-(Setup!$C$13+Setup!$G$32),Setup!$C$39:$C$50))+(8*100+13)/10000000)))</f>
        <v/>
      </c>
      <c r="AE13" t="str">
        <f>IF(O13="","",IF(O13&lt;Setup!$C$5-Setup!$C$6,"",IF(IF(ISNUMBER(Roster!$D13),Setup!$C$33&lt;=Roster!$D13,FALSE),"",IF(OR(IF(Setup!$C$15&lt;=Setup!$C$16,AND(MONTH(O13)&gt;=Setup!$C$15,MONTH(O13)&lt;=Setup!$C$16),OR(MONTH(O13)&gt;=Setup!$C$15,MONTH(O13)&lt;=Setup!$C$16)),IF(Setup!$C$15&lt;=Setup!$C$16,AND(MONTH(WORKDAY(O13,-(Setup!$C$13+Setup!$G$33),Setup!$C$39:$C$50))&gt;=Setup!$C$15,MONTH(WORKDAY(O13,-(Setup!$C$13+Setup!$G$33),Setup!$C$39:$C$50))&lt;=Setup!$C$16),OR(MONTH(WORKDAY(O13,-(Setup!$C$13+Setup!$G$33),Setup!$C$39:$C$50))&gt;=Setup!$C$15,MONTH(WORKDAY(O13,-(Setup!$C$13+Setup!$G$33),Setup!$C$39:$C$50))&lt;=Setup!$C$16))),WORKDAY(O13,-(Setup!$C$13+Setup!$G$33+Setup!$C$14),Setup!$C$39:$C$50),WORKDAY(O13,-(Setup!$C$13+Setup!$G$33),Setup!$C$39:$C$50))+(8*100+14)/10000000)))</f>
        <v/>
      </c>
      <c r="AF13" t="str">
        <f>IF(P13="","",IF(P13&lt;Setup!$C$5-Setup!$C$6,"",IF(IF(ISNUMBER(Roster!$D13),Setup!$C$34&lt;=Roster!$D13,FALSE),"",IF(OR(IF(Setup!$C$15&lt;=Setup!$C$16,AND(MONTH(P13)&gt;=Setup!$C$15,MONTH(P13)&lt;=Setup!$C$16),OR(MONTH(P13)&gt;=Setup!$C$15,MONTH(P13)&lt;=Setup!$C$16)),IF(Setup!$C$15&lt;=Setup!$C$16,AND(MONTH(WORKDAY(P13,-(Setup!$C$13+Setup!$G$34),Setup!$C$39:$C$50))&gt;=Setup!$C$15,MONTH(WORKDAY(P13,-(Setup!$C$13+Setup!$G$34),Setup!$C$39:$C$50))&lt;=Setup!$C$16),OR(MONTH(WORKDAY(P13,-(Setup!$C$13+Setup!$G$34),Setup!$C$39:$C$50))&gt;=Setup!$C$15,MONTH(WORKDAY(P13,-(Setup!$C$13+Setup!$G$34),Setup!$C$39:$C$50))&lt;=Setup!$C$16))),WORKDAY(P13,-(Setup!$C$13+Setup!$G$34+Setup!$C$14),Setup!$C$39:$C$50),WORKDAY(P13,-(Setup!$C$13+Setup!$G$34),Setup!$C$39:$C$50))+(8*100+15)/10000000)))</f>
        <v/>
      </c>
      <c r="AH13">
        <f t="shared" ca="1" si="0"/>
        <v>46598.000080700003</v>
      </c>
      <c r="AI13">
        <f t="shared" ca="1" si="1"/>
        <v>7</v>
      </c>
      <c r="AK13">
        <f ca="1">IF(8&gt;$AK$2,"",SMALL($R$6:$AF$505,8))</f>
        <v>46468.000070599999</v>
      </c>
      <c r="AL13">
        <f t="shared" ca="1" si="2"/>
        <v>706</v>
      </c>
      <c r="AM13">
        <f t="shared" ca="1" si="3"/>
        <v>7</v>
      </c>
      <c r="AN13">
        <f t="shared" ca="1" si="4"/>
        <v>6</v>
      </c>
      <c r="AP13">
        <f ca="1">IF(ISNUMBER(Roster!$B13),MAX(1,YEAR(Setup!$C$5)-YEAR(Roster!$B13)+IF(EDATE(Roster!$B13,12*(YEAR(Setup!$C$5)-YEAR(Roster!$B13)))&lt;Setup!$C$5,1,0)),"")</f>
        <v>25</v>
      </c>
      <c r="AQ13" s="32">
        <f ca="1">IF(AP13="","",EDATE(Roster!$B13,12*AP13))</f>
        <v>46619</v>
      </c>
      <c r="AR13">
        <f ca="1">IF(AQ13="","",IF(AQ13&lt;DATE(YEAR(Setup!$C$5)+1,MONTH(Setup!$C$5),DAY(Setup!$C$5)),AQ13+8/1000,""))</f>
        <v>46619.008000000002</v>
      </c>
      <c r="AS13">
        <f t="shared" ca="1" si="5"/>
        <v>7</v>
      </c>
      <c r="AT13" t="b">
        <f ca="1">IF(AS13="","",IF(ISNUMBER(Roster!$D13),Roster!$D13&gt;=AP13,FALSE))</f>
        <v>0</v>
      </c>
      <c r="AU13">
        <f t="shared" ca="1" si="6"/>
        <v>46598</v>
      </c>
      <c r="AV13">
        <f ca="1">IF(8&gt;$AV$2,"",SMALL($AR$6:$AR$505,8))</f>
        <v>46512.010999999999</v>
      </c>
      <c r="AW13">
        <f t="shared" ca="1" si="7"/>
        <v>11</v>
      </c>
    </row>
    <row r="14" spans="1:49" x14ac:dyDescent="0.2">
      <c r="B14" s="32">
        <f>IF(AND(ISNUMBER(Roster!$B14),Setup!$B$20="Yes",ISNUMBER(Setup!$C$20)),EDATE(Roster!$B14,12*Setup!$C$20),"")</f>
        <v>36047</v>
      </c>
      <c r="C14" s="32">
        <f>IF(AND(ISNUMBER(Roster!$B14),Setup!$B$21="Yes",ISNUMBER(Setup!$C$21)),EDATE(Roster!$B14,12*Setup!$C$21),"")</f>
        <v>36778</v>
      </c>
      <c r="D14" s="32">
        <f>IF(AND(ISNUMBER(Roster!$B14),Setup!$B$22="Yes",ISNUMBER(Setup!$C$22)),EDATE(Roster!$B14,12*Setup!$C$22),"")</f>
        <v>37508</v>
      </c>
      <c r="E14" s="32">
        <f>IF(AND(ISNUMBER(Roster!$B14),Setup!$B$23="Yes",ISNUMBER(Setup!$C$23)),EDATE(Roster!$B14,12*Setup!$C$23),"")</f>
        <v>39334</v>
      </c>
      <c r="F14" s="32">
        <f>IF(AND(ISNUMBER(Roster!$B14),Setup!$B$24="Yes",ISNUMBER(Setup!$C$24)),EDATE(Roster!$B14,12*Setup!$C$24),"")</f>
        <v>41161</v>
      </c>
      <c r="G14" s="32">
        <f>IF(AND(ISNUMBER(Roster!$B14),Setup!$B$25="Yes",ISNUMBER(Setup!$C$25)),EDATE(Roster!$B14,12*Setup!$C$25),"")</f>
        <v>42987</v>
      </c>
      <c r="H14" s="32">
        <f>IF(AND(ISNUMBER(Roster!$B14),Setup!$B$26="Yes",ISNUMBER(Setup!$C$26)),EDATE(Roster!$B14,12*Setup!$C$26),"")</f>
        <v>44813</v>
      </c>
      <c r="I14" s="32">
        <f>IF(AND(ISNUMBER(Roster!$B14),Setup!$B$27="Yes",ISNUMBER(Setup!$C$27)),EDATE(Roster!$B14,12*Setup!$C$27),"")</f>
        <v>46639</v>
      </c>
      <c r="J14" s="32">
        <f>IF(AND(ISNUMBER(Roster!$B14),Setup!$B$28="Yes",ISNUMBER(Setup!$C$28)),EDATE(Roster!$B14,12*Setup!$C$28),"")</f>
        <v>48466</v>
      </c>
      <c r="K14" s="32">
        <f>IF(AND(ISNUMBER(Roster!$B14),Setup!$B$29="Yes",ISNUMBER(Setup!$C$29)),EDATE(Roster!$B14,12*Setup!$C$29),"")</f>
        <v>50292</v>
      </c>
      <c r="L14" s="32">
        <f>IF(AND(ISNUMBER(Roster!$B14),Setup!$B$30="Yes",ISNUMBER(Setup!$C$30)),EDATE(Roster!$B14,12*Setup!$C$30),"")</f>
        <v>52118</v>
      </c>
      <c r="M14" s="32">
        <f>IF(AND(ISNUMBER(Roster!$B14),Setup!$B$31="Yes",ISNUMBER(Setup!$C$31)),EDATE(Roster!$B14,12*Setup!$C$31),"")</f>
        <v>53944</v>
      </c>
      <c r="N14" s="32" t="str">
        <f>IF(AND(ISNUMBER(Roster!$B14),Setup!$B$32="Yes",ISNUMBER(Setup!$C$32)),EDATE(Roster!$B14,12*Setup!$C$32),"")</f>
        <v/>
      </c>
      <c r="O14" s="32" t="str">
        <f>IF(AND(ISNUMBER(Roster!$B14),Setup!$B$33="Yes",ISNUMBER(Setup!$C$33)),EDATE(Roster!$B14,12*Setup!$C$33),"")</f>
        <v/>
      </c>
      <c r="P14" s="32" t="str">
        <f>IF(AND(ISNUMBER(Roster!$B14),Setup!$B$34="Yes",ISNUMBER(Setup!$C$34)),EDATE(Roster!$B14,12*Setup!$C$34),"")</f>
        <v/>
      </c>
      <c r="R14" t="str">
        <f ca="1">IF(B14="","",IF(B14&lt;Setup!$C$5-Setup!$C$6,"",IF(IF(ISNUMBER(Roster!$D14),Setup!$C$20&lt;=Roster!$D14,FALSE),"",IF(OR(IF(Setup!$C$15&lt;=Setup!$C$16,AND(MONTH(B14)&gt;=Setup!$C$15,MONTH(B14)&lt;=Setup!$C$16),OR(MONTH(B14)&gt;=Setup!$C$15,MONTH(B14)&lt;=Setup!$C$16)),IF(Setup!$C$15&lt;=Setup!$C$16,AND(MONTH(WORKDAY(B14,-(Setup!$C$13+Setup!$G$20),Setup!$C$39:$C$50))&gt;=Setup!$C$15,MONTH(WORKDAY(B14,-(Setup!$C$13+Setup!$G$20),Setup!$C$39:$C$50))&lt;=Setup!$C$16),OR(MONTH(WORKDAY(B14,-(Setup!$C$13+Setup!$G$20),Setup!$C$39:$C$50))&gt;=Setup!$C$15,MONTH(WORKDAY(B14,-(Setup!$C$13+Setup!$G$20),Setup!$C$39:$C$50))&lt;=Setup!$C$16))),WORKDAY(B14,-(Setup!$C$13+Setup!$G$20+Setup!$C$14),Setup!$C$39:$C$50),WORKDAY(B14,-(Setup!$C$13+Setup!$G$20),Setup!$C$39:$C$50))+(9*100+1)/10000000)))</f>
        <v/>
      </c>
      <c r="S14" t="str">
        <f ca="1">IF(C14="","",IF(C14&lt;Setup!$C$5-Setup!$C$6,"",IF(IF(ISNUMBER(Roster!$D14),Setup!$C$21&lt;=Roster!$D14,FALSE),"",IF(OR(IF(Setup!$C$15&lt;=Setup!$C$16,AND(MONTH(C14)&gt;=Setup!$C$15,MONTH(C14)&lt;=Setup!$C$16),OR(MONTH(C14)&gt;=Setup!$C$15,MONTH(C14)&lt;=Setup!$C$16)),IF(Setup!$C$15&lt;=Setup!$C$16,AND(MONTH(WORKDAY(C14,-(Setup!$C$13+Setup!$G$21),Setup!$C$39:$C$50))&gt;=Setup!$C$15,MONTH(WORKDAY(C14,-(Setup!$C$13+Setup!$G$21),Setup!$C$39:$C$50))&lt;=Setup!$C$16),OR(MONTH(WORKDAY(C14,-(Setup!$C$13+Setup!$G$21),Setup!$C$39:$C$50))&gt;=Setup!$C$15,MONTH(WORKDAY(C14,-(Setup!$C$13+Setup!$G$21),Setup!$C$39:$C$50))&lt;=Setup!$C$16))),WORKDAY(C14,-(Setup!$C$13+Setup!$G$21+Setup!$C$14),Setup!$C$39:$C$50),WORKDAY(C14,-(Setup!$C$13+Setup!$G$21),Setup!$C$39:$C$50))+(9*100+2)/10000000)))</f>
        <v/>
      </c>
      <c r="T14" t="str">
        <f ca="1">IF(D14="","",IF(D14&lt;Setup!$C$5-Setup!$C$6,"",IF(IF(ISNUMBER(Roster!$D14),Setup!$C$22&lt;=Roster!$D14,FALSE),"",IF(OR(IF(Setup!$C$15&lt;=Setup!$C$16,AND(MONTH(D14)&gt;=Setup!$C$15,MONTH(D14)&lt;=Setup!$C$16),OR(MONTH(D14)&gt;=Setup!$C$15,MONTH(D14)&lt;=Setup!$C$16)),IF(Setup!$C$15&lt;=Setup!$C$16,AND(MONTH(WORKDAY(D14,-(Setup!$C$13+Setup!$G$22),Setup!$C$39:$C$50))&gt;=Setup!$C$15,MONTH(WORKDAY(D14,-(Setup!$C$13+Setup!$G$22),Setup!$C$39:$C$50))&lt;=Setup!$C$16),OR(MONTH(WORKDAY(D14,-(Setup!$C$13+Setup!$G$22),Setup!$C$39:$C$50))&gt;=Setup!$C$15,MONTH(WORKDAY(D14,-(Setup!$C$13+Setup!$G$22),Setup!$C$39:$C$50))&lt;=Setup!$C$16))),WORKDAY(D14,-(Setup!$C$13+Setup!$G$22+Setup!$C$14),Setup!$C$39:$C$50),WORKDAY(D14,-(Setup!$C$13+Setup!$G$22),Setup!$C$39:$C$50))+(9*100+3)/10000000)))</f>
        <v/>
      </c>
      <c r="U14" t="str">
        <f ca="1">IF(E14="","",IF(E14&lt;Setup!$C$5-Setup!$C$6,"",IF(IF(ISNUMBER(Roster!$D14),Setup!$C$23&lt;=Roster!$D14,FALSE),"",IF(OR(IF(Setup!$C$15&lt;=Setup!$C$16,AND(MONTH(E14)&gt;=Setup!$C$15,MONTH(E14)&lt;=Setup!$C$16),OR(MONTH(E14)&gt;=Setup!$C$15,MONTH(E14)&lt;=Setup!$C$16)),IF(Setup!$C$15&lt;=Setup!$C$16,AND(MONTH(WORKDAY(E14,-(Setup!$C$13+Setup!$G$23),Setup!$C$39:$C$50))&gt;=Setup!$C$15,MONTH(WORKDAY(E14,-(Setup!$C$13+Setup!$G$23),Setup!$C$39:$C$50))&lt;=Setup!$C$16),OR(MONTH(WORKDAY(E14,-(Setup!$C$13+Setup!$G$23),Setup!$C$39:$C$50))&gt;=Setup!$C$15,MONTH(WORKDAY(E14,-(Setup!$C$13+Setup!$G$23),Setup!$C$39:$C$50))&lt;=Setup!$C$16))),WORKDAY(E14,-(Setup!$C$13+Setup!$G$23+Setup!$C$14),Setup!$C$39:$C$50),WORKDAY(E14,-(Setup!$C$13+Setup!$G$23),Setup!$C$39:$C$50))+(9*100+4)/10000000)))</f>
        <v/>
      </c>
      <c r="V14" t="str">
        <f ca="1">IF(F14="","",IF(F14&lt;Setup!$C$5-Setup!$C$6,"",IF(IF(ISNUMBER(Roster!$D14),Setup!$C$24&lt;=Roster!$D14,FALSE),"",IF(OR(IF(Setup!$C$15&lt;=Setup!$C$16,AND(MONTH(F14)&gt;=Setup!$C$15,MONTH(F14)&lt;=Setup!$C$16),OR(MONTH(F14)&gt;=Setup!$C$15,MONTH(F14)&lt;=Setup!$C$16)),IF(Setup!$C$15&lt;=Setup!$C$16,AND(MONTH(WORKDAY(F14,-(Setup!$C$13+Setup!$G$24),Setup!$C$39:$C$50))&gt;=Setup!$C$15,MONTH(WORKDAY(F14,-(Setup!$C$13+Setup!$G$24),Setup!$C$39:$C$50))&lt;=Setup!$C$16),OR(MONTH(WORKDAY(F14,-(Setup!$C$13+Setup!$G$24),Setup!$C$39:$C$50))&gt;=Setup!$C$15,MONTH(WORKDAY(F14,-(Setup!$C$13+Setup!$G$24),Setup!$C$39:$C$50))&lt;=Setup!$C$16))),WORKDAY(F14,-(Setup!$C$13+Setup!$G$24+Setup!$C$14),Setup!$C$39:$C$50),WORKDAY(F14,-(Setup!$C$13+Setup!$G$24),Setup!$C$39:$C$50))+(9*100+5)/10000000)))</f>
        <v/>
      </c>
      <c r="W14" t="str">
        <f ca="1">IF(G14="","",IF(G14&lt;Setup!$C$5-Setup!$C$6,"",IF(IF(ISNUMBER(Roster!$D14),Setup!$C$25&lt;=Roster!$D14,FALSE),"",IF(OR(IF(Setup!$C$15&lt;=Setup!$C$16,AND(MONTH(G14)&gt;=Setup!$C$15,MONTH(G14)&lt;=Setup!$C$16),OR(MONTH(G14)&gt;=Setup!$C$15,MONTH(G14)&lt;=Setup!$C$16)),IF(Setup!$C$15&lt;=Setup!$C$16,AND(MONTH(WORKDAY(G14,-(Setup!$C$13+Setup!$G$25),Setup!$C$39:$C$50))&gt;=Setup!$C$15,MONTH(WORKDAY(G14,-(Setup!$C$13+Setup!$G$25),Setup!$C$39:$C$50))&lt;=Setup!$C$16),OR(MONTH(WORKDAY(G14,-(Setup!$C$13+Setup!$G$25),Setup!$C$39:$C$50))&gt;=Setup!$C$15,MONTH(WORKDAY(G14,-(Setup!$C$13+Setup!$G$25),Setup!$C$39:$C$50))&lt;=Setup!$C$16))),WORKDAY(G14,-(Setup!$C$13+Setup!$G$25+Setup!$C$14),Setup!$C$39:$C$50),WORKDAY(G14,-(Setup!$C$13+Setup!$G$25),Setup!$C$39:$C$50))+(9*100+6)/10000000)))</f>
        <v/>
      </c>
      <c r="X14" t="str">
        <f ca="1">IF(H14="","",IF(H14&lt;Setup!$C$5-Setup!$C$6,"",IF(IF(ISNUMBER(Roster!$D14),Setup!$C$26&lt;=Roster!$D14,FALSE),"",IF(OR(IF(Setup!$C$15&lt;=Setup!$C$16,AND(MONTH(H14)&gt;=Setup!$C$15,MONTH(H14)&lt;=Setup!$C$16),OR(MONTH(H14)&gt;=Setup!$C$15,MONTH(H14)&lt;=Setup!$C$16)),IF(Setup!$C$15&lt;=Setup!$C$16,AND(MONTH(WORKDAY(H14,-(Setup!$C$13+Setup!$G$26),Setup!$C$39:$C$50))&gt;=Setup!$C$15,MONTH(WORKDAY(H14,-(Setup!$C$13+Setup!$G$26),Setup!$C$39:$C$50))&lt;=Setup!$C$16),OR(MONTH(WORKDAY(H14,-(Setup!$C$13+Setup!$G$26),Setup!$C$39:$C$50))&gt;=Setup!$C$15,MONTH(WORKDAY(H14,-(Setup!$C$13+Setup!$G$26),Setup!$C$39:$C$50))&lt;=Setup!$C$16))),WORKDAY(H14,-(Setup!$C$13+Setup!$G$26+Setup!$C$14),Setup!$C$39:$C$50),WORKDAY(H14,-(Setup!$C$13+Setup!$G$26),Setup!$C$39:$C$50))+(9*100+7)/10000000)))</f>
        <v/>
      </c>
      <c r="Y14">
        <f ca="1">IF(I14="","",IF(I14&lt;Setup!$C$5-Setup!$C$6,"",IF(IF(ISNUMBER(Roster!$D14),Setup!$C$27&lt;=Roster!$D14,FALSE),"",IF(OR(IF(Setup!$C$15&lt;=Setup!$C$16,AND(MONTH(I14)&gt;=Setup!$C$15,MONTH(I14)&lt;=Setup!$C$16),OR(MONTH(I14)&gt;=Setup!$C$15,MONTH(I14)&lt;=Setup!$C$16)),IF(Setup!$C$15&lt;=Setup!$C$16,AND(MONTH(WORKDAY(I14,-(Setup!$C$13+Setup!$G$27),Setup!$C$39:$C$50))&gt;=Setup!$C$15,MONTH(WORKDAY(I14,-(Setup!$C$13+Setup!$G$27),Setup!$C$39:$C$50))&lt;=Setup!$C$16),OR(MONTH(WORKDAY(I14,-(Setup!$C$13+Setup!$G$27),Setup!$C$39:$C$50))&gt;=Setup!$C$15,MONTH(WORKDAY(I14,-(Setup!$C$13+Setup!$G$27),Setup!$C$39:$C$50))&lt;=Setup!$C$16))),WORKDAY(I14,-(Setup!$C$13+Setup!$G$27+Setup!$C$14),Setup!$C$39:$C$50),WORKDAY(I14,-(Setup!$C$13+Setup!$G$27),Setup!$C$39:$C$50))+(9*100+8)/10000000)))</f>
        <v>46617.0000908</v>
      </c>
      <c r="Z14">
        <f ca="1">IF(J14="","",IF(J14&lt;Setup!$C$5-Setup!$C$6,"",IF(IF(ISNUMBER(Roster!$D14),Setup!$C$28&lt;=Roster!$D14,FALSE),"",IF(OR(IF(Setup!$C$15&lt;=Setup!$C$16,AND(MONTH(J14)&gt;=Setup!$C$15,MONTH(J14)&lt;=Setup!$C$16),OR(MONTH(J14)&gt;=Setup!$C$15,MONTH(J14)&lt;=Setup!$C$16)),IF(Setup!$C$15&lt;=Setup!$C$16,AND(MONTH(WORKDAY(J14,-(Setup!$C$13+Setup!$G$28),Setup!$C$39:$C$50))&gt;=Setup!$C$15,MONTH(WORKDAY(J14,-(Setup!$C$13+Setup!$G$28),Setup!$C$39:$C$50))&lt;=Setup!$C$16),OR(MONTH(WORKDAY(J14,-(Setup!$C$13+Setup!$G$28),Setup!$C$39:$C$50))&gt;=Setup!$C$15,MONTH(WORKDAY(J14,-(Setup!$C$13+Setup!$G$28),Setup!$C$39:$C$50))&lt;=Setup!$C$16))),WORKDAY(J14,-(Setup!$C$13+Setup!$G$28+Setup!$C$14),Setup!$C$39:$C$50),WORKDAY(J14,-(Setup!$C$13+Setup!$G$28),Setup!$C$39:$C$50))+(9*100+9)/10000000)))</f>
        <v>48445.000090900001</v>
      </c>
      <c r="AA14">
        <f ca="1">IF(K14="","",IF(K14&lt;Setup!$C$5-Setup!$C$6,"",IF(IF(ISNUMBER(Roster!$D14),Setup!$C$29&lt;=Roster!$D14,FALSE),"",IF(OR(IF(Setup!$C$15&lt;=Setup!$C$16,AND(MONTH(K14)&gt;=Setup!$C$15,MONTH(K14)&lt;=Setup!$C$16),OR(MONTH(K14)&gt;=Setup!$C$15,MONTH(K14)&lt;=Setup!$C$16)),IF(Setup!$C$15&lt;=Setup!$C$16,AND(MONTH(WORKDAY(K14,-(Setup!$C$13+Setup!$G$29),Setup!$C$39:$C$50))&gt;=Setup!$C$15,MONTH(WORKDAY(K14,-(Setup!$C$13+Setup!$G$29),Setup!$C$39:$C$50))&lt;=Setup!$C$16),OR(MONTH(WORKDAY(K14,-(Setup!$C$13+Setup!$G$29),Setup!$C$39:$C$50))&gt;=Setup!$C$15,MONTH(WORKDAY(K14,-(Setup!$C$13+Setup!$G$29),Setup!$C$39:$C$50))&lt;=Setup!$C$16))),WORKDAY(K14,-(Setup!$C$13+Setup!$G$29+Setup!$C$14),Setup!$C$39:$C$50),WORKDAY(K14,-(Setup!$C$13+Setup!$G$29),Setup!$C$39:$C$50))+(9*100+10)/10000000)))</f>
        <v>50271.000091000002</v>
      </c>
      <c r="AB14">
        <f ca="1">IF(L14="","",IF(L14&lt;Setup!$C$5-Setup!$C$6,"",IF(IF(ISNUMBER(Roster!$D14),Setup!$C$30&lt;=Roster!$D14,FALSE),"",IF(OR(IF(Setup!$C$15&lt;=Setup!$C$16,AND(MONTH(L14)&gt;=Setup!$C$15,MONTH(L14)&lt;=Setup!$C$16),OR(MONTH(L14)&gt;=Setup!$C$15,MONTH(L14)&lt;=Setup!$C$16)),IF(Setup!$C$15&lt;=Setup!$C$16,AND(MONTH(WORKDAY(L14,-(Setup!$C$13+Setup!$G$30),Setup!$C$39:$C$50))&gt;=Setup!$C$15,MONTH(WORKDAY(L14,-(Setup!$C$13+Setup!$G$30),Setup!$C$39:$C$50))&lt;=Setup!$C$16),OR(MONTH(WORKDAY(L14,-(Setup!$C$13+Setup!$G$30),Setup!$C$39:$C$50))&gt;=Setup!$C$15,MONTH(WORKDAY(L14,-(Setup!$C$13+Setup!$G$30),Setup!$C$39:$C$50))&lt;=Setup!$C$16))),WORKDAY(L14,-(Setup!$C$13+Setup!$G$30+Setup!$C$14),Setup!$C$39:$C$50),WORKDAY(L14,-(Setup!$C$13+Setup!$G$30),Setup!$C$39:$C$50))+(9*100+11)/10000000)))</f>
        <v>52097.000091100002</v>
      </c>
      <c r="AC14">
        <f ca="1">IF(M14="","",IF(M14&lt;Setup!$C$5-Setup!$C$6,"",IF(IF(ISNUMBER(Roster!$D14),Setup!$C$31&lt;=Roster!$D14,FALSE),"",IF(OR(IF(Setup!$C$15&lt;=Setup!$C$16,AND(MONTH(M14)&gt;=Setup!$C$15,MONTH(M14)&lt;=Setup!$C$16),OR(MONTH(M14)&gt;=Setup!$C$15,MONTH(M14)&lt;=Setup!$C$16)),IF(Setup!$C$15&lt;=Setup!$C$16,AND(MONTH(WORKDAY(M14,-(Setup!$C$13+Setup!$G$31),Setup!$C$39:$C$50))&gt;=Setup!$C$15,MONTH(WORKDAY(M14,-(Setup!$C$13+Setup!$G$31),Setup!$C$39:$C$50))&lt;=Setup!$C$16),OR(MONTH(WORKDAY(M14,-(Setup!$C$13+Setup!$G$31),Setup!$C$39:$C$50))&gt;=Setup!$C$15,MONTH(WORKDAY(M14,-(Setup!$C$13+Setup!$G$31),Setup!$C$39:$C$50))&lt;=Setup!$C$16))),WORKDAY(M14,-(Setup!$C$13+Setup!$G$31+Setup!$C$14),Setup!$C$39:$C$50),WORKDAY(M14,-(Setup!$C$13+Setup!$G$31),Setup!$C$39:$C$50))+(9*100+12)/10000000)))</f>
        <v>53923.000091200003</v>
      </c>
      <c r="AD14" t="str">
        <f>IF(N14="","",IF(N14&lt;Setup!$C$5-Setup!$C$6,"",IF(IF(ISNUMBER(Roster!$D14),Setup!$C$32&lt;=Roster!$D14,FALSE),"",IF(OR(IF(Setup!$C$15&lt;=Setup!$C$16,AND(MONTH(N14)&gt;=Setup!$C$15,MONTH(N14)&lt;=Setup!$C$16),OR(MONTH(N14)&gt;=Setup!$C$15,MONTH(N14)&lt;=Setup!$C$16)),IF(Setup!$C$15&lt;=Setup!$C$16,AND(MONTH(WORKDAY(N14,-(Setup!$C$13+Setup!$G$32),Setup!$C$39:$C$50))&gt;=Setup!$C$15,MONTH(WORKDAY(N14,-(Setup!$C$13+Setup!$G$32),Setup!$C$39:$C$50))&lt;=Setup!$C$16),OR(MONTH(WORKDAY(N14,-(Setup!$C$13+Setup!$G$32),Setup!$C$39:$C$50))&gt;=Setup!$C$15,MONTH(WORKDAY(N14,-(Setup!$C$13+Setup!$G$32),Setup!$C$39:$C$50))&lt;=Setup!$C$16))),WORKDAY(N14,-(Setup!$C$13+Setup!$G$32+Setup!$C$14),Setup!$C$39:$C$50),WORKDAY(N14,-(Setup!$C$13+Setup!$G$32),Setup!$C$39:$C$50))+(9*100+13)/10000000)))</f>
        <v/>
      </c>
      <c r="AE14" t="str">
        <f>IF(O14="","",IF(O14&lt;Setup!$C$5-Setup!$C$6,"",IF(IF(ISNUMBER(Roster!$D14),Setup!$C$33&lt;=Roster!$D14,FALSE),"",IF(OR(IF(Setup!$C$15&lt;=Setup!$C$16,AND(MONTH(O14)&gt;=Setup!$C$15,MONTH(O14)&lt;=Setup!$C$16),OR(MONTH(O14)&gt;=Setup!$C$15,MONTH(O14)&lt;=Setup!$C$16)),IF(Setup!$C$15&lt;=Setup!$C$16,AND(MONTH(WORKDAY(O14,-(Setup!$C$13+Setup!$G$33),Setup!$C$39:$C$50))&gt;=Setup!$C$15,MONTH(WORKDAY(O14,-(Setup!$C$13+Setup!$G$33),Setup!$C$39:$C$50))&lt;=Setup!$C$16),OR(MONTH(WORKDAY(O14,-(Setup!$C$13+Setup!$G$33),Setup!$C$39:$C$50))&gt;=Setup!$C$15,MONTH(WORKDAY(O14,-(Setup!$C$13+Setup!$G$33),Setup!$C$39:$C$50))&lt;=Setup!$C$16))),WORKDAY(O14,-(Setup!$C$13+Setup!$G$33+Setup!$C$14),Setup!$C$39:$C$50),WORKDAY(O14,-(Setup!$C$13+Setup!$G$33),Setup!$C$39:$C$50))+(9*100+14)/10000000)))</f>
        <v/>
      </c>
      <c r="AF14" t="str">
        <f>IF(P14="","",IF(P14&lt;Setup!$C$5-Setup!$C$6,"",IF(IF(ISNUMBER(Roster!$D14),Setup!$C$34&lt;=Roster!$D14,FALSE),"",IF(OR(IF(Setup!$C$15&lt;=Setup!$C$16,AND(MONTH(P14)&gt;=Setup!$C$15,MONTH(P14)&lt;=Setup!$C$16),OR(MONTH(P14)&gt;=Setup!$C$15,MONTH(P14)&lt;=Setup!$C$16)),IF(Setup!$C$15&lt;=Setup!$C$16,AND(MONTH(WORKDAY(P14,-(Setup!$C$13+Setup!$G$34),Setup!$C$39:$C$50))&gt;=Setup!$C$15,MONTH(WORKDAY(P14,-(Setup!$C$13+Setup!$G$34),Setup!$C$39:$C$50))&lt;=Setup!$C$16),OR(MONTH(WORKDAY(P14,-(Setup!$C$13+Setup!$G$34),Setup!$C$39:$C$50))&gt;=Setup!$C$15,MONTH(WORKDAY(P14,-(Setup!$C$13+Setup!$G$34),Setup!$C$39:$C$50))&lt;=Setup!$C$16))),WORKDAY(P14,-(Setup!$C$13+Setup!$G$34+Setup!$C$14),Setup!$C$39:$C$50),WORKDAY(P14,-(Setup!$C$13+Setup!$G$34),Setup!$C$39:$C$50))+(9*100+15)/10000000)))</f>
        <v/>
      </c>
      <c r="AH14">
        <f t="shared" ca="1" si="0"/>
        <v>46617.0000908</v>
      </c>
      <c r="AI14">
        <f t="shared" ca="1" si="1"/>
        <v>8</v>
      </c>
      <c r="AK14">
        <f ca="1">IF(9&gt;$AK$2,"",SMALL($R$6:$AF$505,9))</f>
        <v>46517.000050499999</v>
      </c>
      <c r="AL14">
        <f t="shared" ca="1" si="2"/>
        <v>505</v>
      </c>
      <c r="AM14">
        <f t="shared" ca="1" si="3"/>
        <v>5</v>
      </c>
      <c r="AN14">
        <f t="shared" ca="1" si="4"/>
        <v>5</v>
      </c>
      <c r="AP14">
        <f ca="1">IF(ISNUMBER(Roster!$B14),MAX(1,YEAR(Setup!$C$5)-YEAR(Roster!$B14)+IF(EDATE(Roster!$B14,12*(YEAR(Setup!$C$5)-YEAR(Roster!$B14)))&lt;Setup!$C$5,1,0)),"")</f>
        <v>30</v>
      </c>
      <c r="AQ14" s="32">
        <f ca="1">IF(AP14="","",EDATE(Roster!$B14,12*AP14))</f>
        <v>46639</v>
      </c>
      <c r="AR14">
        <f ca="1">IF(AQ14="","",IF(AQ14&lt;DATE(YEAR(Setup!$C$5)+1,MONTH(Setup!$C$5),DAY(Setup!$C$5)),AQ14+9/1000,""))</f>
        <v>46639.008999999998</v>
      </c>
      <c r="AS14">
        <f t="shared" ca="1" si="5"/>
        <v>8</v>
      </c>
      <c r="AT14" t="b">
        <f ca="1">IF(AS14="","",IF(ISNUMBER(Roster!$D14),Roster!$D14&gt;=AP14,FALSE))</f>
        <v>0</v>
      </c>
      <c r="AU14">
        <f t="shared" ca="1" si="6"/>
        <v>46617</v>
      </c>
      <c r="AV14">
        <f ca="1">IF(9&gt;$AV$2,"",SMALL($AR$6:$AR$505,9))</f>
        <v>46539.004999999997</v>
      </c>
      <c r="AW14">
        <f t="shared" ca="1" si="7"/>
        <v>5</v>
      </c>
    </row>
    <row r="15" spans="1:49" x14ac:dyDescent="0.2">
      <c r="B15" s="32">
        <f>IF(AND(ISNUMBER(Roster!$B15),Setup!$B$20="Yes",ISNUMBER(Setup!$C$20)),EDATE(Roster!$B15,12*Setup!$C$20),"")</f>
        <v>44854</v>
      </c>
      <c r="C15" s="32">
        <f>IF(AND(ISNUMBER(Roster!$B15),Setup!$B$21="Yes",ISNUMBER(Setup!$C$21)),EDATE(Roster!$B15,12*Setup!$C$21),"")</f>
        <v>45585</v>
      </c>
      <c r="D15" s="32">
        <f>IF(AND(ISNUMBER(Roster!$B15),Setup!$B$22="Yes",ISNUMBER(Setup!$C$22)),EDATE(Roster!$B15,12*Setup!$C$22),"")</f>
        <v>46315</v>
      </c>
      <c r="E15" s="32">
        <f>IF(AND(ISNUMBER(Roster!$B15),Setup!$B$23="Yes",ISNUMBER(Setup!$C$23)),EDATE(Roster!$B15,12*Setup!$C$23),"")</f>
        <v>48141</v>
      </c>
      <c r="F15" s="32">
        <f>IF(AND(ISNUMBER(Roster!$B15),Setup!$B$24="Yes",ISNUMBER(Setup!$C$24)),EDATE(Roster!$B15,12*Setup!$C$24),"")</f>
        <v>49968</v>
      </c>
      <c r="G15" s="32">
        <f>IF(AND(ISNUMBER(Roster!$B15),Setup!$B$25="Yes",ISNUMBER(Setup!$C$25)),EDATE(Roster!$B15,12*Setup!$C$25),"")</f>
        <v>51794</v>
      </c>
      <c r="H15" s="32">
        <f>IF(AND(ISNUMBER(Roster!$B15),Setup!$B$26="Yes",ISNUMBER(Setup!$C$26)),EDATE(Roster!$B15,12*Setup!$C$26),"")</f>
        <v>53620</v>
      </c>
      <c r="I15" s="32">
        <f>IF(AND(ISNUMBER(Roster!$B15),Setup!$B$27="Yes",ISNUMBER(Setup!$C$27)),EDATE(Roster!$B15,12*Setup!$C$27),"")</f>
        <v>55446</v>
      </c>
      <c r="J15" s="32">
        <f>IF(AND(ISNUMBER(Roster!$B15),Setup!$B$28="Yes",ISNUMBER(Setup!$C$28)),EDATE(Roster!$B15,12*Setup!$C$28),"")</f>
        <v>57273</v>
      </c>
      <c r="K15" s="32">
        <f>IF(AND(ISNUMBER(Roster!$B15),Setup!$B$29="Yes",ISNUMBER(Setup!$C$29)),EDATE(Roster!$B15,12*Setup!$C$29),"")</f>
        <v>59099</v>
      </c>
      <c r="L15" s="32">
        <f>IF(AND(ISNUMBER(Roster!$B15),Setup!$B$30="Yes",ISNUMBER(Setup!$C$30)),EDATE(Roster!$B15,12*Setup!$C$30),"")</f>
        <v>60925</v>
      </c>
      <c r="M15" s="32">
        <f>IF(AND(ISNUMBER(Roster!$B15),Setup!$B$31="Yes",ISNUMBER(Setup!$C$31)),EDATE(Roster!$B15,12*Setup!$C$31),"")</f>
        <v>62751</v>
      </c>
      <c r="N15" s="32" t="str">
        <f>IF(AND(ISNUMBER(Roster!$B15),Setup!$B$32="Yes",ISNUMBER(Setup!$C$32)),EDATE(Roster!$B15,12*Setup!$C$32),"")</f>
        <v/>
      </c>
      <c r="O15" s="32" t="str">
        <f>IF(AND(ISNUMBER(Roster!$B15),Setup!$B$33="Yes",ISNUMBER(Setup!$C$33)),EDATE(Roster!$B15,12*Setup!$C$33),"")</f>
        <v/>
      </c>
      <c r="P15" s="32" t="str">
        <f>IF(AND(ISNUMBER(Roster!$B15),Setup!$B$34="Yes",ISNUMBER(Setup!$C$34)),EDATE(Roster!$B15,12*Setup!$C$34),"")</f>
        <v/>
      </c>
      <c r="R15" t="str">
        <f ca="1">IF(B15="","",IF(B15&lt;Setup!$C$5-Setup!$C$6,"",IF(IF(ISNUMBER(Roster!$D15),Setup!$C$20&lt;=Roster!$D15,FALSE),"",IF(OR(IF(Setup!$C$15&lt;=Setup!$C$16,AND(MONTH(B15)&gt;=Setup!$C$15,MONTH(B15)&lt;=Setup!$C$16),OR(MONTH(B15)&gt;=Setup!$C$15,MONTH(B15)&lt;=Setup!$C$16)),IF(Setup!$C$15&lt;=Setup!$C$16,AND(MONTH(WORKDAY(B15,-(Setup!$C$13+Setup!$G$20),Setup!$C$39:$C$50))&gt;=Setup!$C$15,MONTH(WORKDAY(B15,-(Setup!$C$13+Setup!$G$20),Setup!$C$39:$C$50))&lt;=Setup!$C$16),OR(MONTH(WORKDAY(B15,-(Setup!$C$13+Setup!$G$20),Setup!$C$39:$C$50))&gt;=Setup!$C$15,MONTH(WORKDAY(B15,-(Setup!$C$13+Setup!$G$20),Setup!$C$39:$C$50))&lt;=Setup!$C$16))),WORKDAY(B15,-(Setup!$C$13+Setup!$G$20+Setup!$C$14),Setup!$C$39:$C$50),WORKDAY(B15,-(Setup!$C$13+Setup!$G$20),Setup!$C$39:$C$50))+(10*100+1)/10000000)))</f>
        <v/>
      </c>
      <c r="S15" t="str">
        <f ca="1">IF(C15="","",IF(C15&lt;Setup!$C$5-Setup!$C$6,"",IF(IF(ISNUMBER(Roster!$D15),Setup!$C$21&lt;=Roster!$D15,FALSE),"",IF(OR(IF(Setup!$C$15&lt;=Setup!$C$16,AND(MONTH(C15)&gt;=Setup!$C$15,MONTH(C15)&lt;=Setup!$C$16),OR(MONTH(C15)&gt;=Setup!$C$15,MONTH(C15)&lt;=Setup!$C$16)),IF(Setup!$C$15&lt;=Setup!$C$16,AND(MONTH(WORKDAY(C15,-(Setup!$C$13+Setup!$G$21),Setup!$C$39:$C$50))&gt;=Setup!$C$15,MONTH(WORKDAY(C15,-(Setup!$C$13+Setup!$G$21),Setup!$C$39:$C$50))&lt;=Setup!$C$16),OR(MONTH(WORKDAY(C15,-(Setup!$C$13+Setup!$G$21),Setup!$C$39:$C$50))&gt;=Setup!$C$15,MONTH(WORKDAY(C15,-(Setup!$C$13+Setup!$G$21),Setup!$C$39:$C$50))&lt;=Setup!$C$16))),WORKDAY(C15,-(Setup!$C$13+Setup!$G$21+Setup!$C$14),Setup!$C$39:$C$50),WORKDAY(C15,-(Setup!$C$13+Setup!$G$21),Setup!$C$39:$C$50))+(10*100+2)/10000000)))</f>
        <v/>
      </c>
      <c r="T15">
        <f ca="1">IF(D15="","",IF(D15&lt;Setup!$C$5-Setup!$C$6,"",IF(IF(ISNUMBER(Roster!$D15),Setup!$C$22&lt;=Roster!$D15,FALSE),"",IF(OR(IF(Setup!$C$15&lt;=Setup!$C$16,AND(MONTH(D15)&gt;=Setup!$C$15,MONTH(D15)&lt;=Setup!$C$16),OR(MONTH(D15)&gt;=Setup!$C$15,MONTH(D15)&lt;=Setup!$C$16)),IF(Setup!$C$15&lt;=Setup!$C$16,AND(MONTH(WORKDAY(D15,-(Setup!$C$13+Setup!$G$22),Setup!$C$39:$C$50))&gt;=Setup!$C$15,MONTH(WORKDAY(D15,-(Setup!$C$13+Setup!$G$22),Setup!$C$39:$C$50))&lt;=Setup!$C$16),OR(MONTH(WORKDAY(D15,-(Setup!$C$13+Setup!$G$22),Setup!$C$39:$C$50))&gt;=Setup!$C$15,MONTH(WORKDAY(D15,-(Setup!$C$13+Setup!$G$22),Setup!$C$39:$C$50))&lt;=Setup!$C$16))),WORKDAY(D15,-(Setup!$C$13+Setup!$G$22+Setup!$C$14),Setup!$C$39:$C$50),WORKDAY(D15,-(Setup!$C$13+Setup!$G$22),Setup!$C$39:$C$50))+(10*100+3)/10000000)))</f>
        <v>46294.0001003</v>
      </c>
      <c r="U15">
        <f ca="1">IF(E15="","",IF(E15&lt;Setup!$C$5-Setup!$C$6,"",IF(IF(ISNUMBER(Roster!$D15),Setup!$C$23&lt;=Roster!$D15,FALSE),"",IF(OR(IF(Setup!$C$15&lt;=Setup!$C$16,AND(MONTH(E15)&gt;=Setup!$C$15,MONTH(E15)&lt;=Setup!$C$16),OR(MONTH(E15)&gt;=Setup!$C$15,MONTH(E15)&lt;=Setup!$C$16)),IF(Setup!$C$15&lt;=Setup!$C$16,AND(MONTH(WORKDAY(E15,-(Setup!$C$13+Setup!$G$23),Setup!$C$39:$C$50))&gt;=Setup!$C$15,MONTH(WORKDAY(E15,-(Setup!$C$13+Setup!$G$23),Setup!$C$39:$C$50))&lt;=Setup!$C$16),OR(MONTH(WORKDAY(E15,-(Setup!$C$13+Setup!$G$23),Setup!$C$39:$C$50))&gt;=Setup!$C$15,MONTH(WORKDAY(E15,-(Setup!$C$13+Setup!$G$23),Setup!$C$39:$C$50))&lt;=Setup!$C$16))),WORKDAY(E15,-(Setup!$C$13+Setup!$G$23+Setup!$C$14),Setup!$C$39:$C$50),WORKDAY(E15,-(Setup!$C$13+Setup!$G$23),Setup!$C$39:$C$50))+(10*100+4)/10000000)))</f>
        <v>48120.000100400001</v>
      </c>
      <c r="V15">
        <f ca="1">IF(F15="","",IF(F15&lt;Setup!$C$5-Setup!$C$6,"",IF(IF(ISNUMBER(Roster!$D15),Setup!$C$24&lt;=Roster!$D15,FALSE),"",IF(OR(IF(Setup!$C$15&lt;=Setup!$C$16,AND(MONTH(F15)&gt;=Setup!$C$15,MONTH(F15)&lt;=Setup!$C$16),OR(MONTH(F15)&gt;=Setup!$C$15,MONTH(F15)&lt;=Setup!$C$16)),IF(Setup!$C$15&lt;=Setup!$C$16,AND(MONTH(WORKDAY(F15,-(Setup!$C$13+Setup!$G$24),Setup!$C$39:$C$50))&gt;=Setup!$C$15,MONTH(WORKDAY(F15,-(Setup!$C$13+Setup!$G$24),Setup!$C$39:$C$50))&lt;=Setup!$C$16),OR(MONTH(WORKDAY(F15,-(Setup!$C$13+Setup!$G$24),Setup!$C$39:$C$50))&gt;=Setup!$C$15,MONTH(WORKDAY(F15,-(Setup!$C$13+Setup!$G$24),Setup!$C$39:$C$50))&lt;=Setup!$C$16))),WORKDAY(F15,-(Setup!$C$13+Setup!$G$24+Setup!$C$14),Setup!$C$39:$C$50),WORKDAY(F15,-(Setup!$C$13+Setup!$G$24),Setup!$C$39:$C$50))+(10*100+5)/10000000)))</f>
        <v>49947.000100500001</v>
      </c>
      <c r="W15">
        <f ca="1">IF(G15="","",IF(G15&lt;Setup!$C$5-Setup!$C$6,"",IF(IF(ISNUMBER(Roster!$D15),Setup!$C$25&lt;=Roster!$D15,FALSE),"",IF(OR(IF(Setup!$C$15&lt;=Setup!$C$16,AND(MONTH(G15)&gt;=Setup!$C$15,MONTH(G15)&lt;=Setup!$C$16),OR(MONTH(G15)&gt;=Setup!$C$15,MONTH(G15)&lt;=Setup!$C$16)),IF(Setup!$C$15&lt;=Setup!$C$16,AND(MONTH(WORKDAY(G15,-(Setup!$C$13+Setup!$G$25),Setup!$C$39:$C$50))&gt;=Setup!$C$15,MONTH(WORKDAY(G15,-(Setup!$C$13+Setup!$G$25),Setup!$C$39:$C$50))&lt;=Setup!$C$16),OR(MONTH(WORKDAY(G15,-(Setup!$C$13+Setup!$G$25),Setup!$C$39:$C$50))&gt;=Setup!$C$15,MONTH(WORKDAY(G15,-(Setup!$C$13+Setup!$G$25),Setup!$C$39:$C$50))&lt;=Setup!$C$16))),WORKDAY(G15,-(Setup!$C$13+Setup!$G$25+Setup!$C$14),Setup!$C$39:$C$50),WORKDAY(G15,-(Setup!$C$13+Setup!$G$25),Setup!$C$39:$C$50))+(10*100+6)/10000000)))</f>
        <v>51774.000100600002</v>
      </c>
      <c r="X15">
        <f ca="1">IF(H15="","",IF(H15&lt;Setup!$C$5-Setup!$C$6,"",IF(IF(ISNUMBER(Roster!$D15),Setup!$C$26&lt;=Roster!$D15,FALSE),"",IF(OR(IF(Setup!$C$15&lt;=Setup!$C$16,AND(MONTH(H15)&gt;=Setup!$C$15,MONTH(H15)&lt;=Setup!$C$16),OR(MONTH(H15)&gt;=Setup!$C$15,MONTH(H15)&lt;=Setup!$C$16)),IF(Setup!$C$15&lt;=Setup!$C$16,AND(MONTH(WORKDAY(H15,-(Setup!$C$13+Setup!$G$26),Setup!$C$39:$C$50))&gt;=Setup!$C$15,MONTH(WORKDAY(H15,-(Setup!$C$13+Setup!$G$26),Setup!$C$39:$C$50))&lt;=Setup!$C$16),OR(MONTH(WORKDAY(H15,-(Setup!$C$13+Setup!$G$26),Setup!$C$39:$C$50))&gt;=Setup!$C$15,MONTH(WORKDAY(H15,-(Setup!$C$13+Setup!$G$26),Setup!$C$39:$C$50))&lt;=Setup!$C$16))),WORKDAY(H15,-(Setup!$C$13+Setup!$G$26+Setup!$C$14),Setup!$C$39:$C$50),WORKDAY(H15,-(Setup!$C$13+Setup!$G$26),Setup!$C$39:$C$50))+(10*100+7)/10000000)))</f>
        <v>53601.000100700003</v>
      </c>
      <c r="Y15">
        <f ca="1">IF(I15="","",IF(I15&lt;Setup!$C$5-Setup!$C$6,"",IF(IF(ISNUMBER(Roster!$D15),Setup!$C$27&lt;=Roster!$D15,FALSE),"",IF(OR(IF(Setup!$C$15&lt;=Setup!$C$16,AND(MONTH(I15)&gt;=Setup!$C$15,MONTH(I15)&lt;=Setup!$C$16),OR(MONTH(I15)&gt;=Setup!$C$15,MONTH(I15)&lt;=Setup!$C$16)),IF(Setup!$C$15&lt;=Setup!$C$16,AND(MONTH(WORKDAY(I15,-(Setup!$C$13+Setup!$G$27),Setup!$C$39:$C$50))&gt;=Setup!$C$15,MONTH(WORKDAY(I15,-(Setup!$C$13+Setup!$G$27),Setup!$C$39:$C$50))&lt;=Setup!$C$16),OR(MONTH(WORKDAY(I15,-(Setup!$C$13+Setup!$G$27),Setup!$C$39:$C$50))&gt;=Setup!$C$15,MONTH(WORKDAY(I15,-(Setup!$C$13+Setup!$G$27),Setup!$C$39:$C$50))&lt;=Setup!$C$16))),WORKDAY(I15,-(Setup!$C$13+Setup!$G$27+Setup!$C$14),Setup!$C$39:$C$50),WORKDAY(I15,-(Setup!$C$13+Setup!$G$27),Setup!$C$39:$C$50))+(10*100+8)/10000000)))</f>
        <v>55425.000100800004</v>
      </c>
      <c r="Z15">
        <f ca="1">IF(J15="","",IF(J15&lt;Setup!$C$5-Setup!$C$6,"",IF(IF(ISNUMBER(Roster!$D15),Setup!$C$28&lt;=Roster!$D15,FALSE),"",IF(OR(IF(Setup!$C$15&lt;=Setup!$C$16,AND(MONTH(J15)&gt;=Setup!$C$15,MONTH(J15)&lt;=Setup!$C$16),OR(MONTH(J15)&gt;=Setup!$C$15,MONTH(J15)&lt;=Setup!$C$16)),IF(Setup!$C$15&lt;=Setup!$C$16,AND(MONTH(WORKDAY(J15,-(Setup!$C$13+Setup!$G$28),Setup!$C$39:$C$50))&gt;=Setup!$C$15,MONTH(WORKDAY(J15,-(Setup!$C$13+Setup!$G$28),Setup!$C$39:$C$50))&lt;=Setup!$C$16),OR(MONTH(WORKDAY(J15,-(Setup!$C$13+Setup!$G$28),Setup!$C$39:$C$50))&gt;=Setup!$C$15,MONTH(WORKDAY(J15,-(Setup!$C$13+Setup!$G$28),Setup!$C$39:$C$50))&lt;=Setup!$C$16))),WORKDAY(J15,-(Setup!$C$13+Setup!$G$28+Setup!$C$14),Setup!$C$39:$C$50),WORKDAY(J15,-(Setup!$C$13+Setup!$G$28),Setup!$C$39:$C$50))+(10*100+9)/10000000)))</f>
        <v>57252.000100899997</v>
      </c>
      <c r="AA15">
        <f ca="1">IF(K15="","",IF(K15&lt;Setup!$C$5-Setup!$C$6,"",IF(IF(ISNUMBER(Roster!$D15),Setup!$C$29&lt;=Roster!$D15,FALSE),"",IF(OR(IF(Setup!$C$15&lt;=Setup!$C$16,AND(MONTH(K15)&gt;=Setup!$C$15,MONTH(K15)&lt;=Setup!$C$16),OR(MONTH(K15)&gt;=Setup!$C$15,MONTH(K15)&lt;=Setup!$C$16)),IF(Setup!$C$15&lt;=Setup!$C$16,AND(MONTH(WORKDAY(K15,-(Setup!$C$13+Setup!$G$29),Setup!$C$39:$C$50))&gt;=Setup!$C$15,MONTH(WORKDAY(K15,-(Setup!$C$13+Setup!$G$29),Setup!$C$39:$C$50))&lt;=Setup!$C$16),OR(MONTH(WORKDAY(K15,-(Setup!$C$13+Setup!$G$29),Setup!$C$39:$C$50))&gt;=Setup!$C$15,MONTH(WORKDAY(K15,-(Setup!$C$13+Setup!$G$29),Setup!$C$39:$C$50))&lt;=Setup!$C$16))),WORKDAY(K15,-(Setup!$C$13+Setup!$G$29+Setup!$C$14),Setup!$C$39:$C$50),WORKDAY(K15,-(Setup!$C$13+Setup!$G$29),Setup!$C$39:$C$50))+(10*100+10)/10000000)))</f>
        <v>59078.000100999998</v>
      </c>
      <c r="AB15">
        <f ca="1">IF(L15="","",IF(L15&lt;Setup!$C$5-Setup!$C$6,"",IF(IF(ISNUMBER(Roster!$D15),Setup!$C$30&lt;=Roster!$D15,FALSE),"",IF(OR(IF(Setup!$C$15&lt;=Setup!$C$16,AND(MONTH(L15)&gt;=Setup!$C$15,MONTH(L15)&lt;=Setup!$C$16),OR(MONTH(L15)&gt;=Setup!$C$15,MONTH(L15)&lt;=Setup!$C$16)),IF(Setup!$C$15&lt;=Setup!$C$16,AND(MONTH(WORKDAY(L15,-(Setup!$C$13+Setup!$G$30),Setup!$C$39:$C$50))&gt;=Setup!$C$15,MONTH(WORKDAY(L15,-(Setup!$C$13+Setup!$G$30),Setup!$C$39:$C$50))&lt;=Setup!$C$16),OR(MONTH(WORKDAY(L15,-(Setup!$C$13+Setup!$G$30),Setup!$C$39:$C$50))&gt;=Setup!$C$15,MONTH(WORKDAY(L15,-(Setup!$C$13+Setup!$G$30),Setup!$C$39:$C$50))&lt;=Setup!$C$16))),WORKDAY(L15,-(Setup!$C$13+Setup!$G$30+Setup!$C$14),Setup!$C$39:$C$50),WORKDAY(L15,-(Setup!$C$13+Setup!$G$30),Setup!$C$39:$C$50))+(10*100+11)/10000000)))</f>
        <v>60904.000101099999</v>
      </c>
      <c r="AC15">
        <f ca="1">IF(M15="","",IF(M15&lt;Setup!$C$5-Setup!$C$6,"",IF(IF(ISNUMBER(Roster!$D15),Setup!$C$31&lt;=Roster!$D15,FALSE),"",IF(OR(IF(Setup!$C$15&lt;=Setup!$C$16,AND(MONTH(M15)&gt;=Setup!$C$15,MONTH(M15)&lt;=Setup!$C$16),OR(MONTH(M15)&gt;=Setup!$C$15,MONTH(M15)&lt;=Setup!$C$16)),IF(Setup!$C$15&lt;=Setup!$C$16,AND(MONTH(WORKDAY(M15,-(Setup!$C$13+Setup!$G$31),Setup!$C$39:$C$50))&gt;=Setup!$C$15,MONTH(WORKDAY(M15,-(Setup!$C$13+Setup!$G$31),Setup!$C$39:$C$50))&lt;=Setup!$C$16),OR(MONTH(WORKDAY(M15,-(Setup!$C$13+Setup!$G$31),Setup!$C$39:$C$50))&gt;=Setup!$C$15,MONTH(WORKDAY(M15,-(Setup!$C$13+Setup!$G$31),Setup!$C$39:$C$50))&lt;=Setup!$C$16))),WORKDAY(M15,-(Setup!$C$13+Setup!$G$31+Setup!$C$14),Setup!$C$39:$C$50),WORKDAY(M15,-(Setup!$C$13+Setup!$G$31),Setup!$C$39:$C$50))+(10*100+12)/10000000)))</f>
        <v>62730.000101199999</v>
      </c>
      <c r="AD15" t="str">
        <f>IF(N15="","",IF(N15&lt;Setup!$C$5-Setup!$C$6,"",IF(IF(ISNUMBER(Roster!$D15),Setup!$C$32&lt;=Roster!$D15,FALSE),"",IF(OR(IF(Setup!$C$15&lt;=Setup!$C$16,AND(MONTH(N15)&gt;=Setup!$C$15,MONTH(N15)&lt;=Setup!$C$16),OR(MONTH(N15)&gt;=Setup!$C$15,MONTH(N15)&lt;=Setup!$C$16)),IF(Setup!$C$15&lt;=Setup!$C$16,AND(MONTH(WORKDAY(N15,-(Setup!$C$13+Setup!$G$32),Setup!$C$39:$C$50))&gt;=Setup!$C$15,MONTH(WORKDAY(N15,-(Setup!$C$13+Setup!$G$32),Setup!$C$39:$C$50))&lt;=Setup!$C$16),OR(MONTH(WORKDAY(N15,-(Setup!$C$13+Setup!$G$32),Setup!$C$39:$C$50))&gt;=Setup!$C$15,MONTH(WORKDAY(N15,-(Setup!$C$13+Setup!$G$32),Setup!$C$39:$C$50))&lt;=Setup!$C$16))),WORKDAY(N15,-(Setup!$C$13+Setup!$G$32+Setup!$C$14),Setup!$C$39:$C$50),WORKDAY(N15,-(Setup!$C$13+Setup!$G$32),Setup!$C$39:$C$50))+(10*100+13)/10000000)))</f>
        <v/>
      </c>
      <c r="AE15" t="str">
        <f>IF(O15="","",IF(O15&lt;Setup!$C$5-Setup!$C$6,"",IF(IF(ISNUMBER(Roster!$D15),Setup!$C$33&lt;=Roster!$D15,FALSE),"",IF(OR(IF(Setup!$C$15&lt;=Setup!$C$16,AND(MONTH(O15)&gt;=Setup!$C$15,MONTH(O15)&lt;=Setup!$C$16),OR(MONTH(O15)&gt;=Setup!$C$15,MONTH(O15)&lt;=Setup!$C$16)),IF(Setup!$C$15&lt;=Setup!$C$16,AND(MONTH(WORKDAY(O15,-(Setup!$C$13+Setup!$G$33),Setup!$C$39:$C$50))&gt;=Setup!$C$15,MONTH(WORKDAY(O15,-(Setup!$C$13+Setup!$G$33),Setup!$C$39:$C$50))&lt;=Setup!$C$16),OR(MONTH(WORKDAY(O15,-(Setup!$C$13+Setup!$G$33),Setup!$C$39:$C$50))&gt;=Setup!$C$15,MONTH(WORKDAY(O15,-(Setup!$C$13+Setup!$G$33),Setup!$C$39:$C$50))&lt;=Setup!$C$16))),WORKDAY(O15,-(Setup!$C$13+Setup!$G$33+Setup!$C$14),Setup!$C$39:$C$50),WORKDAY(O15,-(Setup!$C$13+Setup!$G$33),Setup!$C$39:$C$50))+(10*100+14)/10000000)))</f>
        <v/>
      </c>
      <c r="AF15" t="str">
        <f>IF(P15="","",IF(P15&lt;Setup!$C$5-Setup!$C$6,"",IF(IF(ISNUMBER(Roster!$D15),Setup!$C$34&lt;=Roster!$D15,FALSE),"",IF(OR(IF(Setup!$C$15&lt;=Setup!$C$16,AND(MONTH(P15)&gt;=Setup!$C$15,MONTH(P15)&lt;=Setup!$C$16),OR(MONTH(P15)&gt;=Setup!$C$15,MONTH(P15)&lt;=Setup!$C$16)),IF(Setup!$C$15&lt;=Setup!$C$16,AND(MONTH(WORKDAY(P15,-(Setup!$C$13+Setup!$G$34),Setup!$C$39:$C$50))&gt;=Setup!$C$15,MONTH(WORKDAY(P15,-(Setup!$C$13+Setup!$G$34),Setup!$C$39:$C$50))&lt;=Setup!$C$16),OR(MONTH(WORKDAY(P15,-(Setup!$C$13+Setup!$G$34),Setup!$C$39:$C$50))&gt;=Setup!$C$15,MONTH(WORKDAY(P15,-(Setup!$C$13+Setup!$G$34),Setup!$C$39:$C$50))&lt;=Setup!$C$16))),WORKDAY(P15,-(Setup!$C$13+Setup!$G$34+Setup!$C$14),Setup!$C$39:$C$50),WORKDAY(P15,-(Setup!$C$13+Setup!$G$34),Setup!$C$39:$C$50))+(10*100+15)/10000000)))</f>
        <v/>
      </c>
      <c r="AH15">
        <f t="shared" ca="1" si="0"/>
        <v>46294.0001003</v>
      </c>
      <c r="AI15">
        <f t="shared" ca="1" si="1"/>
        <v>3</v>
      </c>
      <c r="AK15">
        <f ca="1">IF(10&gt;$AK$2,"",SMALL($R$6:$AF$505,10))</f>
        <v>46598.000080700003</v>
      </c>
      <c r="AL15">
        <f t="shared" ca="1" si="2"/>
        <v>807</v>
      </c>
      <c r="AM15">
        <f t="shared" ca="1" si="3"/>
        <v>8</v>
      </c>
      <c r="AN15">
        <f t="shared" ca="1" si="4"/>
        <v>7</v>
      </c>
      <c r="AP15">
        <f ca="1">IF(ISNUMBER(Roster!$B15),MAX(1,YEAR(Setup!$C$5)-YEAR(Roster!$B15)+IF(EDATE(Roster!$B15,12*(YEAR(Setup!$C$5)-YEAR(Roster!$B15)))&lt;Setup!$C$5,1,0)),"")</f>
        <v>6</v>
      </c>
      <c r="AQ15" s="32">
        <f ca="1">IF(AP15="","",EDATE(Roster!$B15,12*AP15))</f>
        <v>46680</v>
      </c>
      <c r="AR15">
        <f ca="1">IF(AQ15="","",IF(AQ15&lt;DATE(YEAR(Setup!$C$5)+1,MONTH(Setup!$C$5),DAY(Setup!$C$5)),AQ15+10/1000,""))</f>
        <v>46680.01</v>
      </c>
      <c r="AS15" t="str">
        <f t="shared" ca="1" si="5"/>
        <v/>
      </c>
      <c r="AT15" t="str">
        <f ca="1">IF(AS15="","",IF(ISNUMBER(Roster!$D15),Roster!$D15&gt;=AP15,FALSE))</f>
        <v/>
      </c>
      <c r="AU15" t="str">
        <f t="shared" ca="1" si="6"/>
        <v/>
      </c>
      <c r="AV15">
        <f ca="1">IF(10&gt;$AV$2,"",SMALL($AR$6:$AR$505,10))</f>
        <v>46619.008000000002</v>
      </c>
      <c r="AW15">
        <f t="shared" ca="1" si="7"/>
        <v>8</v>
      </c>
    </row>
    <row r="16" spans="1:49" x14ac:dyDescent="0.2">
      <c r="B16" s="32">
        <f>IF(AND(ISNUMBER(Roster!$B16),Setup!$B$20="Yes",ISNUMBER(Setup!$C$20)),EDATE(Roster!$B16,12*Setup!$C$20),"")</f>
        <v>46147</v>
      </c>
      <c r="C16" s="32">
        <f>IF(AND(ISNUMBER(Roster!$B16),Setup!$B$21="Yes",ISNUMBER(Setup!$C$21)),EDATE(Roster!$B16,12*Setup!$C$21),"")</f>
        <v>46878</v>
      </c>
      <c r="D16" s="32">
        <f>IF(AND(ISNUMBER(Roster!$B16),Setup!$B$22="Yes",ISNUMBER(Setup!$C$22)),EDATE(Roster!$B16,12*Setup!$C$22),"")</f>
        <v>47608</v>
      </c>
      <c r="E16" s="32">
        <f>IF(AND(ISNUMBER(Roster!$B16),Setup!$B$23="Yes",ISNUMBER(Setup!$C$23)),EDATE(Roster!$B16,12*Setup!$C$23),"")</f>
        <v>49434</v>
      </c>
      <c r="F16" s="32">
        <f>IF(AND(ISNUMBER(Roster!$B16),Setup!$B$24="Yes",ISNUMBER(Setup!$C$24)),EDATE(Roster!$B16,12*Setup!$C$24),"")</f>
        <v>51261</v>
      </c>
      <c r="G16" s="32">
        <f>IF(AND(ISNUMBER(Roster!$B16),Setup!$B$25="Yes",ISNUMBER(Setup!$C$25)),EDATE(Roster!$B16,12*Setup!$C$25),"")</f>
        <v>53087</v>
      </c>
      <c r="H16" s="32">
        <f>IF(AND(ISNUMBER(Roster!$B16),Setup!$B$26="Yes",ISNUMBER(Setup!$C$26)),EDATE(Roster!$B16,12*Setup!$C$26),"")</f>
        <v>54913</v>
      </c>
      <c r="I16" s="32">
        <f>IF(AND(ISNUMBER(Roster!$B16),Setup!$B$27="Yes",ISNUMBER(Setup!$C$27)),EDATE(Roster!$B16,12*Setup!$C$27),"")</f>
        <v>56739</v>
      </c>
      <c r="J16" s="32">
        <f>IF(AND(ISNUMBER(Roster!$B16),Setup!$B$28="Yes",ISNUMBER(Setup!$C$28)),EDATE(Roster!$B16,12*Setup!$C$28),"")</f>
        <v>58566</v>
      </c>
      <c r="K16" s="32">
        <f>IF(AND(ISNUMBER(Roster!$B16),Setup!$B$29="Yes",ISNUMBER(Setup!$C$29)),EDATE(Roster!$B16,12*Setup!$C$29),"")</f>
        <v>60392</v>
      </c>
      <c r="L16" s="32">
        <f>IF(AND(ISNUMBER(Roster!$B16),Setup!$B$30="Yes",ISNUMBER(Setup!$C$30)),EDATE(Roster!$B16,12*Setup!$C$30),"")</f>
        <v>62218</v>
      </c>
      <c r="M16" s="32">
        <f>IF(AND(ISNUMBER(Roster!$B16),Setup!$B$31="Yes",ISNUMBER(Setup!$C$31)),EDATE(Roster!$B16,12*Setup!$C$31),"")</f>
        <v>64044</v>
      </c>
      <c r="N16" s="32" t="str">
        <f>IF(AND(ISNUMBER(Roster!$B16),Setup!$B$32="Yes",ISNUMBER(Setup!$C$32)),EDATE(Roster!$B16,12*Setup!$C$32),"")</f>
        <v/>
      </c>
      <c r="O16" s="32" t="str">
        <f>IF(AND(ISNUMBER(Roster!$B16),Setup!$B$33="Yes",ISNUMBER(Setup!$C$33)),EDATE(Roster!$B16,12*Setup!$C$33),"")</f>
        <v/>
      </c>
      <c r="P16" s="32" t="str">
        <f>IF(AND(ISNUMBER(Roster!$B16),Setup!$B$34="Yes",ISNUMBER(Setup!$C$34)),EDATE(Roster!$B16,12*Setup!$C$34),"")</f>
        <v/>
      </c>
      <c r="R16" t="str">
        <f ca="1">IF(B16="","",IF(B16&lt;Setup!$C$5-Setup!$C$6,"",IF(IF(ISNUMBER(Roster!$D16),Setup!$C$20&lt;=Roster!$D16,FALSE),"",IF(OR(IF(Setup!$C$15&lt;=Setup!$C$16,AND(MONTH(B16)&gt;=Setup!$C$15,MONTH(B16)&lt;=Setup!$C$16),OR(MONTH(B16)&gt;=Setup!$C$15,MONTH(B16)&lt;=Setup!$C$16)),IF(Setup!$C$15&lt;=Setup!$C$16,AND(MONTH(WORKDAY(B16,-(Setup!$C$13+Setup!$G$20),Setup!$C$39:$C$50))&gt;=Setup!$C$15,MONTH(WORKDAY(B16,-(Setup!$C$13+Setup!$G$20),Setup!$C$39:$C$50))&lt;=Setup!$C$16),OR(MONTH(WORKDAY(B16,-(Setup!$C$13+Setup!$G$20),Setup!$C$39:$C$50))&gt;=Setup!$C$15,MONTH(WORKDAY(B16,-(Setup!$C$13+Setup!$G$20),Setup!$C$39:$C$50))&lt;=Setup!$C$16))),WORKDAY(B16,-(Setup!$C$13+Setup!$G$20+Setup!$C$14),Setup!$C$39:$C$50),WORKDAY(B16,-(Setup!$C$13+Setup!$G$20),Setup!$C$39:$C$50))+(11*100+1)/10000000)))</f>
        <v/>
      </c>
      <c r="S16">
        <f ca="1">IF(C16="","",IF(C16&lt;Setup!$C$5-Setup!$C$6,"",IF(IF(ISNUMBER(Roster!$D16),Setup!$C$21&lt;=Roster!$D16,FALSE),"",IF(OR(IF(Setup!$C$15&lt;=Setup!$C$16,AND(MONTH(C16)&gt;=Setup!$C$15,MONTH(C16)&lt;=Setup!$C$16),OR(MONTH(C16)&gt;=Setup!$C$15,MONTH(C16)&lt;=Setup!$C$16)),IF(Setup!$C$15&lt;=Setup!$C$16,AND(MONTH(WORKDAY(C16,-(Setup!$C$13+Setup!$G$21),Setup!$C$39:$C$50))&gt;=Setup!$C$15,MONTH(WORKDAY(C16,-(Setup!$C$13+Setup!$G$21),Setup!$C$39:$C$50))&lt;=Setup!$C$16),OR(MONTH(WORKDAY(C16,-(Setup!$C$13+Setup!$G$21),Setup!$C$39:$C$50))&gt;=Setup!$C$15,MONTH(WORKDAY(C16,-(Setup!$C$13+Setup!$G$21),Setup!$C$39:$C$50))&lt;=Setup!$C$16))),WORKDAY(C16,-(Setup!$C$13+Setup!$G$21+Setup!$C$14),Setup!$C$39:$C$50),WORKDAY(C16,-(Setup!$C$13+Setup!$G$21),Setup!$C$39:$C$50))+(11*100+2)/10000000)))</f>
        <v>46857.000110200002</v>
      </c>
      <c r="T16">
        <f ca="1">IF(D16="","",IF(D16&lt;Setup!$C$5-Setup!$C$6,"",IF(IF(ISNUMBER(Roster!$D16),Setup!$C$22&lt;=Roster!$D16,FALSE),"",IF(OR(IF(Setup!$C$15&lt;=Setup!$C$16,AND(MONTH(D16)&gt;=Setup!$C$15,MONTH(D16)&lt;=Setup!$C$16),OR(MONTH(D16)&gt;=Setup!$C$15,MONTH(D16)&lt;=Setup!$C$16)),IF(Setup!$C$15&lt;=Setup!$C$16,AND(MONTH(WORKDAY(D16,-(Setup!$C$13+Setup!$G$22),Setup!$C$39:$C$50))&gt;=Setup!$C$15,MONTH(WORKDAY(D16,-(Setup!$C$13+Setup!$G$22),Setup!$C$39:$C$50))&lt;=Setup!$C$16),OR(MONTH(WORKDAY(D16,-(Setup!$C$13+Setup!$G$22),Setup!$C$39:$C$50))&gt;=Setup!$C$15,MONTH(WORKDAY(D16,-(Setup!$C$13+Setup!$G$22),Setup!$C$39:$C$50))&lt;=Setup!$C$16))),WORKDAY(D16,-(Setup!$C$13+Setup!$G$22+Setup!$C$14),Setup!$C$39:$C$50),WORKDAY(D16,-(Setup!$C$13+Setup!$G$22),Setup!$C$39:$C$50))+(11*100+3)/10000000)))</f>
        <v>47588.000110300003</v>
      </c>
      <c r="U16">
        <f ca="1">IF(E16="","",IF(E16&lt;Setup!$C$5-Setup!$C$6,"",IF(IF(ISNUMBER(Roster!$D16),Setup!$C$23&lt;=Roster!$D16,FALSE),"",IF(OR(IF(Setup!$C$15&lt;=Setup!$C$16,AND(MONTH(E16)&gt;=Setup!$C$15,MONTH(E16)&lt;=Setup!$C$16),OR(MONTH(E16)&gt;=Setup!$C$15,MONTH(E16)&lt;=Setup!$C$16)),IF(Setup!$C$15&lt;=Setup!$C$16,AND(MONTH(WORKDAY(E16,-(Setup!$C$13+Setup!$G$23),Setup!$C$39:$C$50))&gt;=Setup!$C$15,MONTH(WORKDAY(E16,-(Setup!$C$13+Setup!$G$23),Setup!$C$39:$C$50))&lt;=Setup!$C$16),OR(MONTH(WORKDAY(E16,-(Setup!$C$13+Setup!$G$23),Setup!$C$39:$C$50))&gt;=Setup!$C$15,MONTH(WORKDAY(E16,-(Setup!$C$13+Setup!$G$23),Setup!$C$39:$C$50))&lt;=Setup!$C$16))),WORKDAY(E16,-(Setup!$C$13+Setup!$G$23+Setup!$C$14),Setup!$C$39:$C$50),WORKDAY(E16,-(Setup!$C$13+Setup!$G$23),Setup!$C$39:$C$50))+(11*100+4)/10000000)))</f>
        <v>49415.000110399997</v>
      </c>
      <c r="V16">
        <f ca="1">IF(F16="","",IF(F16&lt;Setup!$C$5-Setup!$C$6,"",IF(IF(ISNUMBER(Roster!$D16),Setup!$C$24&lt;=Roster!$D16,FALSE),"",IF(OR(IF(Setup!$C$15&lt;=Setup!$C$16,AND(MONTH(F16)&gt;=Setup!$C$15,MONTH(F16)&lt;=Setup!$C$16),OR(MONTH(F16)&gt;=Setup!$C$15,MONTH(F16)&lt;=Setup!$C$16)),IF(Setup!$C$15&lt;=Setup!$C$16,AND(MONTH(WORKDAY(F16,-(Setup!$C$13+Setup!$G$24),Setup!$C$39:$C$50))&gt;=Setup!$C$15,MONTH(WORKDAY(F16,-(Setup!$C$13+Setup!$G$24),Setup!$C$39:$C$50))&lt;=Setup!$C$16),OR(MONTH(WORKDAY(F16,-(Setup!$C$13+Setup!$G$24),Setup!$C$39:$C$50))&gt;=Setup!$C$15,MONTH(WORKDAY(F16,-(Setup!$C$13+Setup!$G$24),Setup!$C$39:$C$50))&lt;=Setup!$C$16))),WORKDAY(F16,-(Setup!$C$13+Setup!$G$24+Setup!$C$14),Setup!$C$39:$C$50),WORKDAY(F16,-(Setup!$C$13+Setup!$G$24),Setup!$C$39:$C$50))+(11*100+5)/10000000)))</f>
        <v>51242.000110499997</v>
      </c>
      <c r="W16">
        <f ca="1">IF(G16="","",IF(G16&lt;Setup!$C$5-Setup!$C$6,"",IF(IF(ISNUMBER(Roster!$D16),Setup!$C$25&lt;=Roster!$D16,FALSE),"",IF(OR(IF(Setup!$C$15&lt;=Setup!$C$16,AND(MONTH(G16)&gt;=Setup!$C$15,MONTH(G16)&lt;=Setup!$C$16),OR(MONTH(G16)&gt;=Setup!$C$15,MONTH(G16)&lt;=Setup!$C$16)),IF(Setup!$C$15&lt;=Setup!$C$16,AND(MONTH(WORKDAY(G16,-(Setup!$C$13+Setup!$G$25),Setup!$C$39:$C$50))&gt;=Setup!$C$15,MONTH(WORKDAY(G16,-(Setup!$C$13+Setup!$G$25),Setup!$C$39:$C$50))&lt;=Setup!$C$16),OR(MONTH(WORKDAY(G16,-(Setup!$C$13+Setup!$G$25),Setup!$C$39:$C$50))&gt;=Setup!$C$15,MONTH(WORKDAY(G16,-(Setup!$C$13+Setup!$G$25),Setup!$C$39:$C$50))&lt;=Setup!$C$16))),WORKDAY(G16,-(Setup!$C$13+Setup!$G$25+Setup!$C$14),Setup!$C$39:$C$50),WORKDAY(G16,-(Setup!$C$13+Setup!$G$25),Setup!$C$39:$C$50))+(11*100+6)/10000000)))</f>
        <v>53066.000110599998</v>
      </c>
      <c r="X16">
        <f ca="1">IF(H16="","",IF(H16&lt;Setup!$C$5-Setup!$C$6,"",IF(IF(ISNUMBER(Roster!$D16),Setup!$C$26&lt;=Roster!$D16,FALSE),"",IF(OR(IF(Setup!$C$15&lt;=Setup!$C$16,AND(MONTH(H16)&gt;=Setup!$C$15,MONTH(H16)&lt;=Setup!$C$16),OR(MONTH(H16)&gt;=Setup!$C$15,MONTH(H16)&lt;=Setup!$C$16)),IF(Setup!$C$15&lt;=Setup!$C$16,AND(MONTH(WORKDAY(H16,-(Setup!$C$13+Setup!$G$26),Setup!$C$39:$C$50))&gt;=Setup!$C$15,MONTH(WORKDAY(H16,-(Setup!$C$13+Setup!$G$26),Setup!$C$39:$C$50))&lt;=Setup!$C$16),OR(MONTH(WORKDAY(H16,-(Setup!$C$13+Setup!$G$26),Setup!$C$39:$C$50))&gt;=Setup!$C$15,MONTH(WORKDAY(H16,-(Setup!$C$13+Setup!$G$26),Setup!$C$39:$C$50))&lt;=Setup!$C$16))),WORKDAY(H16,-(Setup!$C$13+Setup!$G$26+Setup!$C$14),Setup!$C$39:$C$50),WORKDAY(H16,-(Setup!$C$13+Setup!$G$26),Setup!$C$39:$C$50))+(11*100+7)/10000000)))</f>
        <v>54892.000110699999</v>
      </c>
      <c r="Y16">
        <f ca="1">IF(I16="","",IF(I16&lt;Setup!$C$5-Setup!$C$6,"",IF(IF(ISNUMBER(Roster!$D16),Setup!$C$27&lt;=Roster!$D16,FALSE),"",IF(OR(IF(Setup!$C$15&lt;=Setup!$C$16,AND(MONTH(I16)&gt;=Setup!$C$15,MONTH(I16)&lt;=Setup!$C$16),OR(MONTH(I16)&gt;=Setup!$C$15,MONTH(I16)&lt;=Setup!$C$16)),IF(Setup!$C$15&lt;=Setup!$C$16,AND(MONTH(WORKDAY(I16,-(Setup!$C$13+Setup!$G$27),Setup!$C$39:$C$50))&gt;=Setup!$C$15,MONTH(WORKDAY(I16,-(Setup!$C$13+Setup!$G$27),Setup!$C$39:$C$50))&lt;=Setup!$C$16),OR(MONTH(WORKDAY(I16,-(Setup!$C$13+Setup!$G$27),Setup!$C$39:$C$50))&gt;=Setup!$C$15,MONTH(WORKDAY(I16,-(Setup!$C$13+Setup!$G$27),Setup!$C$39:$C$50))&lt;=Setup!$C$16))),WORKDAY(I16,-(Setup!$C$13+Setup!$G$27+Setup!$C$14),Setup!$C$39:$C$50),WORKDAY(I16,-(Setup!$C$13+Setup!$G$27),Setup!$C$39:$C$50))+(11*100+8)/10000000)))</f>
        <v>56718.0001108</v>
      </c>
      <c r="Z16">
        <f ca="1">IF(J16="","",IF(J16&lt;Setup!$C$5-Setup!$C$6,"",IF(IF(ISNUMBER(Roster!$D16),Setup!$C$28&lt;=Roster!$D16,FALSE),"",IF(OR(IF(Setup!$C$15&lt;=Setup!$C$16,AND(MONTH(J16)&gt;=Setup!$C$15,MONTH(J16)&lt;=Setup!$C$16),OR(MONTH(J16)&gt;=Setup!$C$15,MONTH(J16)&lt;=Setup!$C$16)),IF(Setup!$C$15&lt;=Setup!$C$16,AND(MONTH(WORKDAY(J16,-(Setup!$C$13+Setup!$G$28),Setup!$C$39:$C$50))&gt;=Setup!$C$15,MONTH(WORKDAY(J16,-(Setup!$C$13+Setup!$G$28),Setup!$C$39:$C$50))&lt;=Setup!$C$16),OR(MONTH(WORKDAY(J16,-(Setup!$C$13+Setup!$G$28),Setup!$C$39:$C$50))&gt;=Setup!$C$15,MONTH(WORKDAY(J16,-(Setup!$C$13+Setup!$G$28),Setup!$C$39:$C$50))&lt;=Setup!$C$16))),WORKDAY(J16,-(Setup!$C$13+Setup!$G$28+Setup!$C$14),Setup!$C$39:$C$50),WORKDAY(J16,-(Setup!$C$13+Setup!$G$28),Setup!$C$39:$C$50))+(11*100+9)/10000000)))</f>
        <v>58545.0001109</v>
      </c>
      <c r="AA16">
        <f ca="1">IF(K16="","",IF(K16&lt;Setup!$C$5-Setup!$C$6,"",IF(IF(ISNUMBER(Roster!$D16),Setup!$C$29&lt;=Roster!$D16,FALSE),"",IF(OR(IF(Setup!$C$15&lt;=Setup!$C$16,AND(MONTH(K16)&gt;=Setup!$C$15,MONTH(K16)&lt;=Setup!$C$16),OR(MONTH(K16)&gt;=Setup!$C$15,MONTH(K16)&lt;=Setup!$C$16)),IF(Setup!$C$15&lt;=Setup!$C$16,AND(MONTH(WORKDAY(K16,-(Setup!$C$13+Setup!$G$29),Setup!$C$39:$C$50))&gt;=Setup!$C$15,MONTH(WORKDAY(K16,-(Setup!$C$13+Setup!$G$29),Setup!$C$39:$C$50))&lt;=Setup!$C$16),OR(MONTH(WORKDAY(K16,-(Setup!$C$13+Setup!$G$29),Setup!$C$39:$C$50))&gt;=Setup!$C$15,MONTH(WORKDAY(K16,-(Setup!$C$13+Setup!$G$29),Setup!$C$39:$C$50))&lt;=Setup!$C$16))),WORKDAY(K16,-(Setup!$C$13+Setup!$G$29+Setup!$C$14),Setup!$C$39:$C$50),WORKDAY(K16,-(Setup!$C$13+Setup!$G$29),Setup!$C$39:$C$50))+(11*100+10)/10000000)))</f>
        <v>60371.000111000001</v>
      </c>
      <c r="AB16">
        <f ca="1">IF(L16="","",IF(L16&lt;Setup!$C$5-Setup!$C$6,"",IF(IF(ISNUMBER(Roster!$D16),Setup!$C$30&lt;=Roster!$D16,FALSE),"",IF(OR(IF(Setup!$C$15&lt;=Setup!$C$16,AND(MONTH(L16)&gt;=Setup!$C$15,MONTH(L16)&lt;=Setup!$C$16),OR(MONTH(L16)&gt;=Setup!$C$15,MONTH(L16)&lt;=Setup!$C$16)),IF(Setup!$C$15&lt;=Setup!$C$16,AND(MONTH(WORKDAY(L16,-(Setup!$C$13+Setup!$G$30),Setup!$C$39:$C$50))&gt;=Setup!$C$15,MONTH(WORKDAY(L16,-(Setup!$C$13+Setup!$G$30),Setup!$C$39:$C$50))&lt;=Setup!$C$16),OR(MONTH(WORKDAY(L16,-(Setup!$C$13+Setup!$G$30),Setup!$C$39:$C$50))&gt;=Setup!$C$15,MONTH(WORKDAY(L16,-(Setup!$C$13+Setup!$G$30),Setup!$C$39:$C$50))&lt;=Setup!$C$16))),WORKDAY(L16,-(Setup!$C$13+Setup!$G$30+Setup!$C$14),Setup!$C$39:$C$50),WORKDAY(L16,-(Setup!$C$13+Setup!$G$30),Setup!$C$39:$C$50))+(11*100+11)/10000000)))</f>
        <v>62197.000111100002</v>
      </c>
      <c r="AC16">
        <f ca="1">IF(M16="","",IF(M16&lt;Setup!$C$5-Setup!$C$6,"",IF(IF(ISNUMBER(Roster!$D16),Setup!$C$31&lt;=Roster!$D16,FALSE),"",IF(OR(IF(Setup!$C$15&lt;=Setup!$C$16,AND(MONTH(M16)&gt;=Setup!$C$15,MONTH(M16)&lt;=Setup!$C$16),OR(MONTH(M16)&gt;=Setup!$C$15,MONTH(M16)&lt;=Setup!$C$16)),IF(Setup!$C$15&lt;=Setup!$C$16,AND(MONTH(WORKDAY(M16,-(Setup!$C$13+Setup!$G$31),Setup!$C$39:$C$50))&gt;=Setup!$C$15,MONTH(WORKDAY(M16,-(Setup!$C$13+Setup!$G$31),Setup!$C$39:$C$50))&lt;=Setup!$C$16),OR(MONTH(WORKDAY(M16,-(Setup!$C$13+Setup!$G$31),Setup!$C$39:$C$50))&gt;=Setup!$C$15,MONTH(WORKDAY(M16,-(Setup!$C$13+Setup!$G$31),Setup!$C$39:$C$50))&lt;=Setup!$C$16))),WORKDAY(M16,-(Setup!$C$13+Setup!$G$31+Setup!$C$14),Setup!$C$39:$C$50),WORKDAY(M16,-(Setup!$C$13+Setup!$G$31),Setup!$C$39:$C$50))+(11*100+12)/10000000)))</f>
        <v>64024.000111200003</v>
      </c>
      <c r="AD16" t="str">
        <f>IF(N16="","",IF(N16&lt;Setup!$C$5-Setup!$C$6,"",IF(IF(ISNUMBER(Roster!$D16),Setup!$C$32&lt;=Roster!$D16,FALSE),"",IF(OR(IF(Setup!$C$15&lt;=Setup!$C$16,AND(MONTH(N16)&gt;=Setup!$C$15,MONTH(N16)&lt;=Setup!$C$16),OR(MONTH(N16)&gt;=Setup!$C$15,MONTH(N16)&lt;=Setup!$C$16)),IF(Setup!$C$15&lt;=Setup!$C$16,AND(MONTH(WORKDAY(N16,-(Setup!$C$13+Setup!$G$32),Setup!$C$39:$C$50))&gt;=Setup!$C$15,MONTH(WORKDAY(N16,-(Setup!$C$13+Setup!$G$32),Setup!$C$39:$C$50))&lt;=Setup!$C$16),OR(MONTH(WORKDAY(N16,-(Setup!$C$13+Setup!$G$32),Setup!$C$39:$C$50))&gt;=Setup!$C$15,MONTH(WORKDAY(N16,-(Setup!$C$13+Setup!$G$32),Setup!$C$39:$C$50))&lt;=Setup!$C$16))),WORKDAY(N16,-(Setup!$C$13+Setup!$G$32+Setup!$C$14),Setup!$C$39:$C$50),WORKDAY(N16,-(Setup!$C$13+Setup!$G$32),Setup!$C$39:$C$50))+(11*100+13)/10000000)))</f>
        <v/>
      </c>
      <c r="AE16" t="str">
        <f>IF(O16="","",IF(O16&lt;Setup!$C$5-Setup!$C$6,"",IF(IF(ISNUMBER(Roster!$D16),Setup!$C$33&lt;=Roster!$D16,FALSE),"",IF(OR(IF(Setup!$C$15&lt;=Setup!$C$16,AND(MONTH(O16)&gt;=Setup!$C$15,MONTH(O16)&lt;=Setup!$C$16),OR(MONTH(O16)&gt;=Setup!$C$15,MONTH(O16)&lt;=Setup!$C$16)),IF(Setup!$C$15&lt;=Setup!$C$16,AND(MONTH(WORKDAY(O16,-(Setup!$C$13+Setup!$G$33),Setup!$C$39:$C$50))&gt;=Setup!$C$15,MONTH(WORKDAY(O16,-(Setup!$C$13+Setup!$G$33),Setup!$C$39:$C$50))&lt;=Setup!$C$16),OR(MONTH(WORKDAY(O16,-(Setup!$C$13+Setup!$G$33),Setup!$C$39:$C$50))&gt;=Setup!$C$15,MONTH(WORKDAY(O16,-(Setup!$C$13+Setup!$G$33),Setup!$C$39:$C$50))&lt;=Setup!$C$16))),WORKDAY(O16,-(Setup!$C$13+Setup!$G$33+Setup!$C$14),Setup!$C$39:$C$50),WORKDAY(O16,-(Setup!$C$13+Setup!$G$33),Setup!$C$39:$C$50))+(11*100+14)/10000000)))</f>
        <v/>
      </c>
      <c r="AF16" t="str">
        <f>IF(P16="","",IF(P16&lt;Setup!$C$5-Setup!$C$6,"",IF(IF(ISNUMBER(Roster!$D16),Setup!$C$34&lt;=Roster!$D16,FALSE),"",IF(OR(IF(Setup!$C$15&lt;=Setup!$C$16,AND(MONTH(P16)&gt;=Setup!$C$15,MONTH(P16)&lt;=Setup!$C$16),OR(MONTH(P16)&gt;=Setup!$C$15,MONTH(P16)&lt;=Setup!$C$16)),IF(Setup!$C$15&lt;=Setup!$C$16,AND(MONTH(WORKDAY(P16,-(Setup!$C$13+Setup!$G$34),Setup!$C$39:$C$50))&gt;=Setup!$C$15,MONTH(WORKDAY(P16,-(Setup!$C$13+Setup!$G$34),Setup!$C$39:$C$50))&lt;=Setup!$C$16),OR(MONTH(WORKDAY(P16,-(Setup!$C$13+Setup!$G$34),Setup!$C$39:$C$50))&gt;=Setup!$C$15,MONTH(WORKDAY(P16,-(Setup!$C$13+Setup!$G$34),Setup!$C$39:$C$50))&lt;=Setup!$C$16))),WORKDAY(P16,-(Setup!$C$13+Setup!$G$34+Setup!$C$14),Setup!$C$39:$C$50),WORKDAY(P16,-(Setup!$C$13+Setup!$G$34),Setup!$C$39:$C$50))+(11*100+15)/10000000)))</f>
        <v/>
      </c>
      <c r="AH16">
        <f t="shared" ca="1" si="0"/>
        <v>46857.000110200002</v>
      </c>
      <c r="AI16">
        <f t="shared" ca="1" si="1"/>
        <v>2</v>
      </c>
      <c r="AK16">
        <f ca="1">IF(11&gt;$AK$2,"",SMALL($R$6:$AF$505,11))</f>
        <v>46617.0000908</v>
      </c>
      <c r="AL16">
        <f t="shared" ca="1" si="2"/>
        <v>908</v>
      </c>
      <c r="AM16">
        <f t="shared" ca="1" si="3"/>
        <v>9</v>
      </c>
      <c r="AN16">
        <f t="shared" ca="1" si="4"/>
        <v>8</v>
      </c>
      <c r="AP16">
        <f ca="1">IF(ISNUMBER(Roster!$B16),MAX(1,YEAR(Setup!$C$5)-YEAR(Roster!$B16)+IF(EDATE(Roster!$B16,12*(YEAR(Setup!$C$5)-YEAR(Roster!$B16)))&lt;Setup!$C$5,1,0)),"")</f>
        <v>2</v>
      </c>
      <c r="AQ16" s="32">
        <f ca="1">IF(AP16="","",EDATE(Roster!$B16,12*AP16))</f>
        <v>46512</v>
      </c>
      <c r="AR16">
        <f ca="1">IF(AQ16="","",IF(AQ16&lt;DATE(YEAR(Setup!$C$5)+1,MONTH(Setup!$C$5),DAY(Setup!$C$5)),AQ16+11/1000,""))</f>
        <v>46512.010999999999</v>
      </c>
      <c r="AS16" t="str">
        <f t="shared" ca="1" si="5"/>
        <v/>
      </c>
      <c r="AT16" t="str">
        <f ca="1">IF(AS16="","",IF(ISNUMBER(Roster!$D16),Roster!$D16&gt;=AP16,FALSE))</f>
        <v/>
      </c>
      <c r="AU16" t="str">
        <f t="shared" ca="1" si="6"/>
        <v/>
      </c>
      <c r="AV16">
        <f ca="1">IF(11&gt;$AV$2,"",SMALL($AR$6:$AR$505,11))</f>
        <v>46639.008999999998</v>
      </c>
      <c r="AW16">
        <f t="shared" ca="1" si="7"/>
        <v>9</v>
      </c>
    </row>
    <row r="17" spans="2:52" x14ac:dyDescent="0.2">
      <c r="B17" s="32">
        <f>IF(AND(ISNUMBER(Roster!$B17),Setup!$B$20="Yes",ISNUMBER(Setup!$C$20)),EDATE(Roster!$B17,12*Setup!$C$20),"")</f>
        <v>46399</v>
      </c>
      <c r="C17" s="32">
        <f>IF(AND(ISNUMBER(Roster!$B17),Setup!$B$21="Yes",ISNUMBER(Setup!$C$21)),EDATE(Roster!$B17,12*Setup!$C$21),"")</f>
        <v>47130</v>
      </c>
      <c r="D17" s="32">
        <f>IF(AND(ISNUMBER(Roster!$B17),Setup!$B$22="Yes",ISNUMBER(Setup!$C$22)),EDATE(Roster!$B17,12*Setup!$C$22),"")</f>
        <v>47860</v>
      </c>
      <c r="E17" s="32">
        <f>IF(AND(ISNUMBER(Roster!$B17),Setup!$B$23="Yes",ISNUMBER(Setup!$C$23)),EDATE(Roster!$B17,12*Setup!$C$23),"")</f>
        <v>49686</v>
      </c>
      <c r="F17" s="32">
        <f>IF(AND(ISNUMBER(Roster!$B17),Setup!$B$24="Yes",ISNUMBER(Setup!$C$24)),EDATE(Roster!$B17,12*Setup!$C$24),"")</f>
        <v>51513</v>
      </c>
      <c r="G17" s="32">
        <f>IF(AND(ISNUMBER(Roster!$B17),Setup!$B$25="Yes",ISNUMBER(Setup!$C$25)),EDATE(Roster!$B17,12*Setup!$C$25),"")</f>
        <v>53339</v>
      </c>
      <c r="H17" s="32">
        <f>IF(AND(ISNUMBER(Roster!$B17),Setup!$B$26="Yes",ISNUMBER(Setup!$C$26)),EDATE(Roster!$B17,12*Setup!$C$26),"")</f>
        <v>55165</v>
      </c>
      <c r="I17" s="32">
        <f>IF(AND(ISNUMBER(Roster!$B17),Setup!$B$27="Yes",ISNUMBER(Setup!$C$27)),EDATE(Roster!$B17,12*Setup!$C$27),"")</f>
        <v>56991</v>
      </c>
      <c r="J17" s="32">
        <f>IF(AND(ISNUMBER(Roster!$B17),Setup!$B$28="Yes",ISNUMBER(Setup!$C$28)),EDATE(Roster!$B17,12*Setup!$C$28),"")</f>
        <v>58818</v>
      </c>
      <c r="K17" s="32">
        <f>IF(AND(ISNUMBER(Roster!$B17),Setup!$B$29="Yes",ISNUMBER(Setup!$C$29)),EDATE(Roster!$B17,12*Setup!$C$29),"")</f>
        <v>60644</v>
      </c>
      <c r="L17" s="32">
        <f>IF(AND(ISNUMBER(Roster!$B17),Setup!$B$30="Yes",ISNUMBER(Setup!$C$30)),EDATE(Roster!$B17,12*Setup!$C$30),"")</f>
        <v>62470</v>
      </c>
      <c r="M17" s="32">
        <f>IF(AND(ISNUMBER(Roster!$B17),Setup!$B$31="Yes",ISNUMBER(Setup!$C$31)),EDATE(Roster!$B17,12*Setup!$C$31),"")</f>
        <v>64296</v>
      </c>
      <c r="N17" s="32" t="str">
        <f>IF(AND(ISNUMBER(Roster!$B17),Setup!$B$32="Yes",ISNUMBER(Setup!$C$32)),EDATE(Roster!$B17,12*Setup!$C$32),"")</f>
        <v/>
      </c>
      <c r="O17" s="32" t="str">
        <f>IF(AND(ISNUMBER(Roster!$B17),Setup!$B$33="Yes",ISNUMBER(Setup!$C$33)),EDATE(Roster!$B17,12*Setup!$C$33),"")</f>
        <v/>
      </c>
      <c r="P17" s="32" t="str">
        <f>IF(AND(ISNUMBER(Roster!$B17),Setup!$B$34="Yes",ISNUMBER(Setup!$C$34)),EDATE(Roster!$B17,12*Setup!$C$34),"")</f>
        <v/>
      </c>
      <c r="R17">
        <f ca="1">IF(B17="","",IF(B17&lt;Setup!$C$5-Setup!$C$6,"",IF(IF(ISNUMBER(Roster!$D17),Setup!$C$20&lt;=Roster!$D17,FALSE),"",IF(OR(IF(Setup!$C$15&lt;=Setup!$C$16,AND(MONTH(B17)&gt;=Setup!$C$15,MONTH(B17)&lt;=Setup!$C$16),OR(MONTH(B17)&gt;=Setup!$C$15,MONTH(B17)&lt;=Setup!$C$16)),IF(Setup!$C$15&lt;=Setup!$C$16,AND(MONTH(WORKDAY(B17,-(Setup!$C$13+Setup!$G$20),Setup!$C$39:$C$50))&gt;=Setup!$C$15,MONTH(WORKDAY(B17,-(Setup!$C$13+Setup!$G$20),Setup!$C$39:$C$50))&lt;=Setup!$C$16),OR(MONTH(WORKDAY(B17,-(Setup!$C$13+Setup!$G$20),Setup!$C$39:$C$50))&gt;=Setup!$C$15,MONTH(WORKDAY(B17,-(Setup!$C$13+Setup!$G$20),Setup!$C$39:$C$50))&lt;=Setup!$C$16))),WORKDAY(B17,-(Setup!$C$13+Setup!$G$20+Setup!$C$14),Setup!$C$39:$C$50),WORKDAY(B17,-(Setup!$C$13+Setup!$G$20),Setup!$C$39:$C$50))+(12*100+1)/10000000)))</f>
        <v>46360.000120099998</v>
      </c>
      <c r="S17">
        <f ca="1">IF(C17="","",IF(C17&lt;Setup!$C$5-Setup!$C$6,"",IF(IF(ISNUMBER(Roster!$D17),Setup!$C$21&lt;=Roster!$D17,FALSE),"",IF(OR(IF(Setup!$C$15&lt;=Setup!$C$16,AND(MONTH(C17)&gt;=Setup!$C$15,MONTH(C17)&lt;=Setup!$C$16),OR(MONTH(C17)&gt;=Setup!$C$15,MONTH(C17)&lt;=Setup!$C$16)),IF(Setup!$C$15&lt;=Setup!$C$16,AND(MONTH(WORKDAY(C17,-(Setup!$C$13+Setup!$G$21),Setup!$C$39:$C$50))&gt;=Setup!$C$15,MONTH(WORKDAY(C17,-(Setup!$C$13+Setup!$G$21),Setup!$C$39:$C$50))&lt;=Setup!$C$16),OR(MONTH(WORKDAY(C17,-(Setup!$C$13+Setup!$G$21),Setup!$C$39:$C$50))&gt;=Setup!$C$15,MONTH(WORKDAY(C17,-(Setup!$C$13+Setup!$G$21),Setup!$C$39:$C$50))&lt;=Setup!$C$16))),WORKDAY(C17,-(Setup!$C$13+Setup!$G$21+Setup!$C$14),Setup!$C$39:$C$50),WORKDAY(C17,-(Setup!$C$13+Setup!$G$21),Setup!$C$39:$C$50))+(12*100+2)/10000000)))</f>
        <v>47095.000120199998</v>
      </c>
      <c r="T17">
        <f ca="1">IF(D17="","",IF(D17&lt;Setup!$C$5-Setup!$C$6,"",IF(IF(ISNUMBER(Roster!$D17),Setup!$C$22&lt;=Roster!$D17,FALSE),"",IF(OR(IF(Setup!$C$15&lt;=Setup!$C$16,AND(MONTH(D17)&gt;=Setup!$C$15,MONTH(D17)&lt;=Setup!$C$16),OR(MONTH(D17)&gt;=Setup!$C$15,MONTH(D17)&lt;=Setup!$C$16)),IF(Setup!$C$15&lt;=Setup!$C$16,AND(MONTH(WORKDAY(D17,-(Setup!$C$13+Setup!$G$22),Setup!$C$39:$C$50))&gt;=Setup!$C$15,MONTH(WORKDAY(D17,-(Setup!$C$13+Setup!$G$22),Setup!$C$39:$C$50))&lt;=Setup!$C$16),OR(MONTH(WORKDAY(D17,-(Setup!$C$13+Setup!$G$22),Setup!$C$39:$C$50))&gt;=Setup!$C$15,MONTH(WORKDAY(D17,-(Setup!$C$13+Setup!$G$22),Setup!$C$39:$C$50))&lt;=Setup!$C$16))),WORKDAY(D17,-(Setup!$C$13+Setup!$G$22+Setup!$C$14),Setup!$C$39:$C$50),WORKDAY(D17,-(Setup!$C$13+Setup!$G$22),Setup!$C$39:$C$50))+(12*100+3)/10000000)))</f>
        <v>47826.000120299999</v>
      </c>
      <c r="U17">
        <f ca="1">IF(E17="","",IF(E17&lt;Setup!$C$5-Setup!$C$6,"",IF(IF(ISNUMBER(Roster!$D17),Setup!$C$23&lt;=Roster!$D17,FALSE),"",IF(OR(IF(Setup!$C$15&lt;=Setup!$C$16,AND(MONTH(E17)&gt;=Setup!$C$15,MONTH(E17)&lt;=Setup!$C$16),OR(MONTH(E17)&gt;=Setup!$C$15,MONTH(E17)&lt;=Setup!$C$16)),IF(Setup!$C$15&lt;=Setup!$C$16,AND(MONTH(WORKDAY(E17,-(Setup!$C$13+Setup!$G$23),Setup!$C$39:$C$50))&gt;=Setup!$C$15,MONTH(WORKDAY(E17,-(Setup!$C$13+Setup!$G$23),Setup!$C$39:$C$50))&lt;=Setup!$C$16),OR(MONTH(WORKDAY(E17,-(Setup!$C$13+Setup!$G$23),Setup!$C$39:$C$50))&gt;=Setup!$C$15,MONTH(WORKDAY(E17,-(Setup!$C$13+Setup!$G$23),Setup!$C$39:$C$50))&lt;=Setup!$C$16))),WORKDAY(E17,-(Setup!$C$13+Setup!$G$23+Setup!$C$14),Setup!$C$39:$C$50),WORKDAY(E17,-(Setup!$C$13+Setup!$G$23),Setup!$C$39:$C$50))+(12*100+4)/10000000)))</f>
        <v>49653.0001204</v>
      </c>
      <c r="V17">
        <f ca="1">IF(F17="","",IF(F17&lt;Setup!$C$5-Setup!$C$6,"",IF(IF(ISNUMBER(Roster!$D17),Setup!$C$24&lt;=Roster!$D17,FALSE),"",IF(OR(IF(Setup!$C$15&lt;=Setup!$C$16,AND(MONTH(F17)&gt;=Setup!$C$15,MONTH(F17)&lt;=Setup!$C$16),OR(MONTH(F17)&gt;=Setup!$C$15,MONTH(F17)&lt;=Setup!$C$16)),IF(Setup!$C$15&lt;=Setup!$C$16,AND(MONTH(WORKDAY(F17,-(Setup!$C$13+Setup!$G$24),Setup!$C$39:$C$50))&gt;=Setup!$C$15,MONTH(WORKDAY(F17,-(Setup!$C$13+Setup!$G$24),Setup!$C$39:$C$50))&lt;=Setup!$C$16),OR(MONTH(WORKDAY(F17,-(Setup!$C$13+Setup!$G$24),Setup!$C$39:$C$50))&gt;=Setup!$C$15,MONTH(WORKDAY(F17,-(Setup!$C$13+Setup!$G$24),Setup!$C$39:$C$50))&lt;=Setup!$C$16))),WORKDAY(F17,-(Setup!$C$13+Setup!$G$24+Setup!$C$14),Setup!$C$39:$C$50),WORKDAY(F17,-(Setup!$C$13+Setup!$G$24),Setup!$C$39:$C$50))+(12*100+5)/10000000)))</f>
        <v>51480.000120500001</v>
      </c>
      <c r="W17">
        <f ca="1">IF(G17="","",IF(G17&lt;Setup!$C$5-Setup!$C$6,"",IF(IF(ISNUMBER(Roster!$D17),Setup!$C$25&lt;=Roster!$D17,FALSE),"",IF(OR(IF(Setup!$C$15&lt;=Setup!$C$16,AND(MONTH(G17)&gt;=Setup!$C$15,MONTH(G17)&lt;=Setup!$C$16),OR(MONTH(G17)&gt;=Setup!$C$15,MONTH(G17)&lt;=Setup!$C$16)),IF(Setup!$C$15&lt;=Setup!$C$16,AND(MONTH(WORKDAY(G17,-(Setup!$C$13+Setup!$G$25),Setup!$C$39:$C$50))&gt;=Setup!$C$15,MONTH(WORKDAY(G17,-(Setup!$C$13+Setup!$G$25),Setup!$C$39:$C$50))&lt;=Setup!$C$16),OR(MONTH(WORKDAY(G17,-(Setup!$C$13+Setup!$G$25),Setup!$C$39:$C$50))&gt;=Setup!$C$15,MONTH(WORKDAY(G17,-(Setup!$C$13+Setup!$G$25),Setup!$C$39:$C$50))&lt;=Setup!$C$16))),WORKDAY(G17,-(Setup!$C$13+Setup!$G$25+Setup!$C$14),Setup!$C$39:$C$50),WORKDAY(G17,-(Setup!$C$13+Setup!$G$25),Setup!$C$39:$C$50))+(12*100+6)/10000000)))</f>
        <v>53304.000120600002</v>
      </c>
      <c r="X17">
        <f ca="1">IF(H17="","",IF(H17&lt;Setup!$C$5-Setup!$C$6,"",IF(IF(ISNUMBER(Roster!$D17),Setup!$C$26&lt;=Roster!$D17,FALSE),"",IF(OR(IF(Setup!$C$15&lt;=Setup!$C$16,AND(MONTH(H17)&gt;=Setup!$C$15,MONTH(H17)&lt;=Setup!$C$16),OR(MONTH(H17)&gt;=Setup!$C$15,MONTH(H17)&lt;=Setup!$C$16)),IF(Setup!$C$15&lt;=Setup!$C$16,AND(MONTH(WORKDAY(H17,-(Setup!$C$13+Setup!$G$26),Setup!$C$39:$C$50))&gt;=Setup!$C$15,MONTH(WORKDAY(H17,-(Setup!$C$13+Setup!$G$26),Setup!$C$39:$C$50))&lt;=Setup!$C$16),OR(MONTH(WORKDAY(H17,-(Setup!$C$13+Setup!$G$26),Setup!$C$39:$C$50))&gt;=Setup!$C$15,MONTH(WORKDAY(H17,-(Setup!$C$13+Setup!$G$26),Setup!$C$39:$C$50))&lt;=Setup!$C$16))),WORKDAY(H17,-(Setup!$C$13+Setup!$G$26+Setup!$C$14),Setup!$C$39:$C$50),WORKDAY(H17,-(Setup!$C$13+Setup!$G$26),Setup!$C$39:$C$50))+(12*100+7)/10000000)))</f>
        <v>55130.000120700002</v>
      </c>
      <c r="Y17">
        <f ca="1">IF(I17="","",IF(I17&lt;Setup!$C$5-Setup!$C$6,"",IF(IF(ISNUMBER(Roster!$D17),Setup!$C$27&lt;=Roster!$D17,FALSE),"",IF(OR(IF(Setup!$C$15&lt;=Setup!$C$16,AND(MONTH(I17)&gt;=Setup!$C$15,MONTH(I17)&lt;=Setup!$C$16),OR(MONTH(I17)&gt;=Setup!$C$15,MONTH(I17)&lt;=Setup!$C$16)),IF(Setup!$C$15&lt;=Setup!$C$16,AND(MONTH(WORKDAY(I17,-(Setup!$C$13+Setup!$G$27),Setup!$C$39:$C$50))&gt;=Setup!$C$15,MONTH(WORKDAY(I17,-(Setup!$C$13+Setup!$G$27),Setup!$C$39:$C$50))&lt;=Setup!$C$16),OR(MONTH(WORKDAY(I17,-(Setup!$C$13+Setup!$G$27),Setup!$C$39:$C$50))&gt;=Setup!$C$15,MONTH(WORKDAY(I17,-(Setup!$C$13+Setup!$G$27),Setup!$C$39:$C$50))&lt;=Setup!$C$16))),WORKDAY(I17,-(Setup!$C$13+Setup!$G$27+Setup!$C$14),Setup!$C$39:$C$50),WORKDAY(I17,-(Setup!$C$13+Setup!$G$27),Setup!$C$39:$C$50))+(12*100+8)/10000000)))</f>
        <v>56956.000120800003</v>
      </c>
      <c r="Z17">
        <f ca="1">IF(J17="","",IF(J17&lt;Setup!$C$5-Setup!$C$6,"",IF(IF(ISNUMBER(Roster!$D17),Setup!$C$28&lt;=Roster!$D17,FALSE),"",IF(OR(IF(Setup!$C$15&lt;=Setup!$C$16,AND(MONTH(J17)&gt;=Setup!$C$15,MONTH(J17)&lt;=Setup!$C$16),OR(MONTH(J17)&gt;=Setup!$C$15,MONTH(J17)&lt;=Setup!$C$16)),IF(Setup!$C$15&lt;=Setup!$C$16,AND(MONTH(WORKDAY(J17,-(Setup!$C$13+Setup!$G$28),Setup!$C$39:$C$50))&gt;=Setup!$C$15,MONTH(WORKDAY(J17,-(Setup!$C$13+Setup!$G$28),Setup!$C$39:$C$50))&lt;=Setup!$C$16),OR(MONTH(WORKDAY(J17,-(Setup!$C$13+Setup!$G$28),Setup!$C$39:$C$50))&gt;=Setup!$C$15,MONTH(WORKDAY(J17,-(Setup!$C$13+Setup!$G$28),Setup!$C$39:$C$50))&lt;=Setup!$C$16))),WORKDAY(J17,-(Setup!$C$13+Setup!$G$28+Setup!$C$14),Setup!$C$39:$C$50),WORKDAY(J17,-(Setup!$C$13+Setup!$G$28),Setup!$C$39:$C$50))+(12*100+9)/10000000)))</f>
        <v>58783.000120899997</v>
      </c>
      <c r="AA17">
        <f ca="1">IF(K17="","",IF(K17&lt;Setup!$C$5-Setup!$C$6,"",IF(IF(ISNUMBER(Roster!$D17),Setup!$C$29&lt;=Roster!$D17,FALSE),"",IF(OR(IF(Setup!$C$15&lt;=Setup!$C$16,AND(MONTH(K17)&gt;=Setup!$C$15,MONTH(K17)&lt;=Setup!$C$16),OR(MONTH(K17)&gt;=Setup!$C$15,MONTH(K17)&lt;=Setup!$C$16)),IF(Setup!$C$15&lt;=Setup!$C$16,AND(MONTH(WORKDAY(K17,-(Setup!$C$13+Setup!$G$29),Setup!$C$39:$C$50))&gt;=Setup!$C$15,MONTH(WORKDAY(K17,-(Setup!$C$13+Setup!$G$29),Setup!$C$39:$C$50))&lt;=Setup!$C$16),OR(MONTH(WORKDAY(K17,-(Setup!$C$13+Setup!$G$29),Setup!$C$39:$C$50))&gt;=Setup!$C$15,MONTH(WORKDAY(K17,-(Setup!$C$13+Setup!$G$29),Setup!$C$39:$C$50))&lt;=Setup!$C$16))),WORKDAY(K17,-(Setup!$C$13+Setup!$G$29+Setup!$C$14),Setup!$C$39:$C$50),WORKDAY(K17,-(Setup!$C$13+Setup!$G$29),Setup!$C$39:$C$50))+(12*100+10)/10000000)))</f>
        <v>60609.000120999997</v>
      </c>
      <c r="AB17">
        <f ca="1">IF(L17="","",IF(L17&lt;Setup!$C$5-Setup!$C$6,"",IF(IF(ISNUMBER(Roster!$D17),Setup!$C$30&lt;=Roster!$D17,FALSE),"",IF(OR(IF(Setup!$C$15&lt;=Setup!$C$16,AND(MONTH(L17)&gt;=Setup!$C$15,MONTH(L17)&lt;=Setup!$C$16),OR(MONTH(L17)&gt;=Setup!$C$15,MONTH(L17)&lt;=Setup!$C$16)),IF(Setup!$C$15&lt;=Setup!$C$16,AND(MONTH(WORKDAY(L17,-(Setup!$C$13+Setup!$G$30),Setup!$C$39:$C$50))&gt;=Setup!$C$15,MONTH(WORKDAY(L17,-(Setup!$C$13+Setup!$G$30),Setup!$C$39:$C$50))&lt;=Setup!$C$16),OR(MONTH(WORKDAY(L17,-(Setup!$C$13+Setup!$G$30),Setup!$C$39:$C$50))&gt;=Setup!$C$15,MONTH(WORKDAY(L17,-(Setup!$C$13+Setup!$G$30),Setup!$C$39:$C$50))&lt;=Setup!$C$16))),WORKDAY(L17,-(Setup!$C$13+Setup!$G$30+Setup!$C$14),Setup!$C$39:$C$50),WORKDAY(L17,-(Setup!$C$13+Setup!$G$30),Setup!$C$39:$C$50))+(12*100+11)/10000000)))</f>
        <v>62435.000121099998</v>
      </c>
      <c r="AC17">
        <f ca="1">IF(M17="","",IF(M17&lt;Setup!$C$5-Setup!$C$6,"",IF(IF(ISNUMBER(Roster!$D17),Setup!$C$31&lt;=Roster!$D17,FALSE),"",IF(OR(IF(Setup!$C$15&lt;=Setup!$C$16,AND(MONTH(M17)&gt;=Setup!$C$15,MONTH(M17)&lt;=Setup!$C$16),OR(MONTH(M17)&gt;=Setup!$C$15,MONTH(M17)&lt;=Setup!$C$16)),IF(Setup!$C$15&lt;=Setup!$C$16,AND(MONTH(WORKDAY(M17,-(Setup!$C$13+Setup!$G$31),Setup!$C$39:$C$50))&gt;=Setup!$C$15,MONTH(WORKDAY(M17,-(Setup!$C$13+Setup!$G$31),Setup!$C$39:$C$50))&lt;=Setup!$C$16),OR(MONTH(WORKDAY(M17,-(Setup!$C$13+Setup!$G$31),Setup!$C$39:$C$50))&gt;=Setup!$C$15,MONTH(WORKDAY(M17,-(Setup!$C$13+Setup!$G$31),Setup!$C$39:$C$50))&lt;=Setup!$C$16))),WORKDAY(M17,-(Setup!$C$13+Setup!$G$31+Setup!$C$14),Setup!$C$39:$C$50),WORKDAY(M17,-(Setup!$C$13+Setup!$G$31),Setup!$C$39:$C$50))+(12*100+12)/10000000)))</f>
        <v>64262.000121199999</v>
      </c>
      <c r="AD17" t="str">
        <f>IF(N17="","",IF(N17&lt;Setup!$C$5-Setup!$C$6,"",IF(IF(ISNUMBER(Roster!$D17),Setup!$C$32&lt;=Roster!$D17,FALSE),"",IF(OR(IF(Setup!$C$15&lt;=Setup!$C$16,AND(MONTH(N17)&gt;=Setup!$C$15,MONTH(N17)&lt;=Setup!$C$16),OR(MONTH(N17)&gt;=Setup!$C$15,MONTH(N17)&lt;=Setup!$C$16)),IF(Setup!$C$15&lt;=Setup!$C$16,AND(MONTH(WORKDAY(N17,-(Setup!$C$13+Setup!$G$32),Setup!$C$39:$C$50))&gt;=Setup!$C$15,MONTH(WORKDAY(N17,-(Setup!$C$13+Setup!$G$32),Setup!$C$39:$C$50))&lt;=Setup!$C$16),OR(MONTH(WORKDAY(N17,-(Setup!$C$13+Setup!$G$32),Setup!$C$39:$C$50))&gt;=Setup!$C$15,MONTH(WORKDAY(N17,-(Setup!$C$13+Setup!$G$32),Setup!$C$39:$C$50))&lt;=Setup!$C$16))),WORKDAY(N17,-(Setup!$C$13+Setup!$G$32+Setup!$C$14),Setup!$C$39:$C$50),WORKDAY(N17,-(Setup!$C$13+Setup!$G$32),Setup!$C$39:$C$50))+(12*100+13)/10000000)))</f>
        <v/>
      </c>
      <c r="AE17" t="str">
        <f>IF(O17="","",IF(O17&lt;Setup!$C$5-Setup!$C$6,"",IF(IF(ISNUMBER(Roster!$D17),Setup!$C$33&lt;=Roster!$D17,FALSE),"",IF(OR(IF(Setup!$C$15&lt;=Setup!$C$16,AND(MONTH(O17)&gt;=Setup!$C$15,MONTH(O17)&lt;=Setup!$C$16),OR(MONTH(O17)&gt;=Setup!$C$15,MONTH(O17)&lt;=Setup!$C$16)),IF(Setup!$C$15&lt;=Setup!$C$16,AND(MONTH(WORKDAY(O17,-(Setup!$C$13+Setup!$G$33),Setup!$C$39:$C$50))&gt;=Setup!$C$15,MONTH(WORKDAY(O17,-(Setup!$C$13+Setup!$G$33),Setup!$C$39:$C$50))&lt;=Setup!$C$16),OR(MONTH(WORKDAY(O17,-(Setup!$C$13+Setup!$G$33),Setup!$C$39:$C$50))&gt;=Setup!$C$15,MONTH(WORKDAY(O17,-(Setup!$C$13+Setup!$G$33),Setup!$C$39:$C$50))&lt;=Setup!$C$16))),WORKDAY(O17,-(Setup!$C$13+Setup!$G$33+Setup!$C$14),Setup!$C$39:$C$50),WORKDAY(O17,-(Setup!$C$13+Setup!$G$33),Setup!$C$39:$C$50))+(12*100+14)/10000000)))</f>
        <v/>
      </c>
      <c r="AF17" t="str">
        <f>IF(P17="","",IF(P17&lt;Setup!$C$5-Setup!$C$6,"",IF(IF(ISNUMBER(Roster!$D17),Setup!$C$34&lt;=Roster!$D17,FALSE),"",IF(OR(IF(Setup!$C$15&lt;=Setup!$C$16,AND(MONTH(P17)&gt;=Setup!$C$15,MONTH(P17)&lt;=Setup!$C$16),OR(MONTH(P17)&gt;=Setup!$C$15,MONTH(P17)&lt;=Setup!$C$16)),IF(Setup!$C$15&lt;=Setup!$C$16,AND(MONTH(WORKDAY(P17,-(Setup!$C$13+Setup!$G$34),Setup!$C$39:$C$50))&gt;=Setup!$C$15,MONTH(WORKDAY(P17,-(Setup!$C$13+Setup!$G$34),Setup!$C$39:$C$50))&lt;=Setup!$C$16),OR(MONTH(WORKDAY(P17,-(Setup!$C$13+Setup!$G$34),Setup!$C$39:$C$50))&gt;=Setup!$C$15,MONTH(WORKDAY(P17,-(Setup!$C$13+Setup!$G$34),Setup!$C$39:$C$50))&lt;=Setup!$C$16))),WORKDAY(P17,-(Setup!$C$13+Setup!$G$34+Setup!$C$14),Setup!$C$39:$C$50),WORKDAY(P17,-(Setup!$C$13+Setup!$G$34),Setup!$C$39:$C$50))+(12*100+15)/10000000)))</f>
        <v/>
      </c>
      <c r="AH17">
        <f t="shared" ca="1" si="0"/>
        <v>46360.000120099998</v>
      </c>
      <c r="AI17">
        <f t="shared" ca="1" si="1"/>
        <v>1</v>
      </c>
      <c r="AK17" t="str">
        <f ca="1">IF(12&gt;$AK$2,"",SMALL($R$6:$AF$505,12))</f>
        <v/>
      </c>
      <c r="AL17" t="str">
        <f t="shared" ca="1" si="2"/>
        <v/>
      </c>
      <c r="AM17" t="str">
        <f t="shared" ca="1" si="3"/>
        <v/>
      </c>
      <c r="AN17" t="str">
        <f t="shared" ca="1" si="4"/>
        <v/>
      </c>
      <c r="AP17">
        <f ca="1">IF(ISNUMBER(Roster!$B17),MAX(1,YEAR(Setup!$C$5)-YEAR(Roster!$B17)+IF(EDATE(Roster!$B17,12*(YEAR(Setup!$C$5)-YEAR(Roster!$B17)))&lt;Setup!$C$5,1,0)),"")</f>
        <v>1</v>
      </c>
      <c r="AQ17" s="32">
        <f ca="1">IF(AP17="","",EDATE(Roster!$B17,12*AP17))</f>
        <v>46399</v>
      </c>
      <c r="AR17">
        <f ca="1">IF(AQ17="","",IF(AQ17&lt;DATE(YEAR(Setup!$C$5)+1,MONTH(Setup!$C$5),DAY(Setup!$C$5)),AQ17+12/1000,""))</f>
        <v>46399.012000000002</v>
      </c>
      <c r="AS17">
        <f t="shared" ca="1" si="5"/>
        <v>1</v>
      </c>
      <c r="AT17" t="b">
        <f ca="1">IF(AS17="","",IF(ISNUMBER(Roster!$D17),Roster!$D17&gt;=AP17,FALSE))</f>
        <v>0</v>
      </c>
      <c r="AU17">
        <f t="shared" ca="1" si="6"/>
        <v>46360</v>
      </c>
      <c r="AV17">
        <f ca="1">IF(12&gt;$AV$2,"",SMALL($AR$6:$AR$505,12))</f>
        <v>46680.01</v>
      </c>
      <c r="AW17">
        <f t="shared" ca="1" si="7"/>
        <v>10</v>
      </c>
    </row>
    <row r="18" spans="2:52" x14ac:dyDescent="0.2">
      <c r="B18" s="32" t="str">
        <f>IF(AND(ISNUMBER(Roster!$B18),Setup!$B$20="Yes",ISNUMBER(Setup!$C$20)),EDATE(Roster!$B18,12*Setup!$C$20),"")</f>
        <v/>
      </c>
      <c r="C18" s="32" t="str">
        <f>IF(AND(ISNUMBER(Roster!$B18),Setup!$B$21="Yes",ISNUMBER(Setup!$C$21)),EDATE(Roster!$B18,12*Setup!$C$21),"")</f>
        <v/>
      </c>
      <c r="D18" s="32" t="str">
        <f>IF(AND(ISNUMBER(Roster!$B18),Setup!$B$22="Yes",ISNUMBER(Setup!$C$22)),EDATE(Roster!$B18,12*Setup!$C$22),"")</f>
        <v/>
      </c>
      <c r="E18" s="32" t="str">
        <f>IF(AND(ISNUMBER(Roster!$B18),Setup!$B$23="Yes",ISNUMBER(Setup!$C$23)),EDATE(Roster!$B18,12*Setup!$C$23),"")</f>
        <v/>
      </c>
      <c r="F18" s="32" t="str">
        <f>IF(AND(ISNUMBER(Roster!$B18),Setup!$B$24="Yes",ISNUMBER(Setup!$C$24)),EDATE(Roster!$B18,12*Setup!$C$24),"")</f>
        <v/>
      </c>
      <c r="G18" s="32" t="str">
        <f>IF(AND(ISNUMBER(Roster!$B18),Setup!$B$25="Yes",ISNUMBER(Setup!$C$25)),EDATE(Roster!$B18,12*Setup!$C$25),"")</f>
        <v/>
      </c>
      <c r="H18" s="32" t="str">
        <f>IF(AND(ISNUMBER(Roster!$B18),Setup!$B$26="Yes",ISNUMBER(Setup!$C$26)),EDATE(Roster!$B18,12*Setup!$C$26),"")</f>
        <v/>
      </c>
      <c r="I18" s="32" t="str">
        <f>IF(AND(ISNUMBER(Roster!$B18),Setup!$B$27="Yes",ISNUMBER(Setup!$C$27)),EDATE(Roster!$B18,12*Setup!$C$27),"")</f>
        <v/>
      </c>
      <c r="J18" s="32" t="str">
        <f>IF(AND(ISNUMBER(Roster!$B18),Setup!$B$28="Yes",ISNUMBER(Setup!$C$28)),EDATE(Roster!$B18,12*Setup!$C$28),"")</f>
        <v/>
      </c>
      <c r="K18" s="32" t="str">
        <f>IF(AND(ISNUMBER(Roster!$B18),Setup!$B$29="Yes",ISNUMBER(Setup!$C$29)),EDATE(Roster!$B18,12*Setup!$C$29),"")</f>
        <v/>
      </c>
      <c r="L18" s="32" t="str">
        <f>IF(AND(ISNUMBER(Roster!$B18),Setup!$B$30="Yes",ISNUMBER(Setup!$C$30)),EDATE(Roster!$B18,12*Setup!$C$30),"")</f>
        <v/>
      </c>
      <c r="M18" s="32" t="str">
        <f>IF(AND(ISNUMBER(Roster!$B18),Setup!$B$31="Yes",ISNUMBER(Setup!$C$31)),EDATE(Roster!$B18,12*Setup!$C$31),"")</f>
        <v/>
      </c>
      <c r="N18" s="32" t="str">
        <f>IF(AND(ISNUMBER(Roster!$B18),Setup!$B$32="Yes",ISNUMBER(Setup!$C$32)),EDATE(Roster!$B18,12*Setup!$C$32),"")</f>
        <v/>
      </c>
      <c r="O18" s="32" t="str">
        <f>IF(AND(ISNUMBER(Roster!$B18),Setup!$B$33="Yes",ISNUMBER(Setup!$C$33)),EDATE(Roster!$B18,12*Setup!$C$33),"")</f>
        <v/>
      </c>
      <c r="P18" s="32" t="str">
        <f>IF(AND(ISNUMBER(Roster!$B18),Setup!$B$34="Yes",ISNUMBER(Setup!$C$34)),EDATE(Roster!$B18,12*Setup!$C$34),"")</f>
        <v/>
      </c>
      <c r="R18" t="str">
        <f>IF(B18="","",IF(B18&lt;Setup!$C$5-Setup!$C$6,"",IF(IF(ISNUMBER(Roster!$D18),Setup!$C$20&lt;=Roster!$D18,FALSE),"",IF(OR(IF(Setup!$C$15&lt;=Setup!$C$16,AND(MONTH(B18)&gt;=Setup!$C$15,MONTH(B18)&lt;=Setup!$C$16),OR(MONTH(B18)&gt;=Setup!$C$15,MONTH(B18)&lt;=Setup!$C$16)),IF(Setup!$C$15&lt;=Setup!$C$16,AND(MONTH(WORKDAY(B18,-(Setup!$C$13+Setup!$G$20),Setup!$C$39:$C$50))&gt;=Setup!$C$15,MONTH(WORKDAY(B18,-(Setup!$C$13+Setup!$G$20),Setup!$C$39:$C$50))&lt;=Setup!$C$16),OR(MONTH(WORKDAY(B18,-(Setup!$C$13+Setup!$G$20),Setup!$C$39:$C$50))&gt;=Setup!$C$15,MONTH(WORKDAY(B18,-(Setup!$C$13+Setup!$G$20),Setup!$C$39:$C$50))&lt;=Setup!$C$16))),WORKDAY(B18,-(Setup!$C$13+Setup!$G$20+Setup!$C$14),Setup!$C$39:$C$50),WORKDAY(B18,-(Setup!$C$13+Setup!$G$20),Setup!$C$39:$C$50))+(13*100+1)/10000000)))</f>
        <v/>
      </c>
      <c r="S18" t="str">
        <f>IF(C18="","",IF(C18&lt;Setup!$C$5-Setup!$C$6,"",IF(IF(ISNUMBER(Roster!$D18),Setup!$C$21&lt;=Roster!$D18,FALSE),"",IF(OR(IF(Setup!$C$15&lt;=Setup!$C$16,AND(MONTH(C18)&gt;=Setup!$C$15,MONTH(C18)&lt;=Setup!$C$16),OR(MONTH(C18)&gt;=Setup!$C$15,MONTH(C18)&lt;=Setup!$C$16)),IF(Setup!$C$15&lt;=Setup!$C$16,AND(MONTH(WORKDAY(C18,-(Setup!$C$13+Setup!$G$21),Setup!$C$39:$C$50))&gt;=Setup!$C$15,MONTH(WORKDAY(C18,-(Setup!$C$13+Setup!$G$21),Setup!$C$39:$C$50))&lt;=Setup!$C$16),OR(MONTH(WORKDAY(C18,-(Setup!$C$13+Setup!$G$21),Setup!$C$39:$C$50))&gt;=Setup!$C$15,MONTH(WORKDAY(C18,-(Setup!$C$13+Setup!$G$21),Setup!$C$39:$C$50))&lt;=Setup!$C$16))),WORKDAY(C18,-(Setup!$C$13+Setup!$G$21+Setup!$C$14),Setup!$C$39:$C$50),WORKDAY(C18,-(Setup!$C$13+Setup!$G$21),Setup!$C$39:$C$50))+(13*100+2)/10000000)))</f>
        <v/>
      </c>
      <c r="T18" t="str">
        <f>IF(D18="","",IF(D18&lt;Setup!$C$5-Setup!$C$6,"",IF(IF(ISNUMBER(Roster!$D18),Setup!$C$22&lt;=Roster!$D18,FALSE),"",IF(OR(IF(Setup!$C$15&lt;=Setup!$C$16,AND(MONTH(D18)&gt;=Setup!$C$15,MONTH(D18)&lt;=Setup!$C$16),OR(MONTH(D18)&gt;=Setup!$C$15,MONTH(D18)&lt;=Setup!$C$16)),IF(Setup!$C$15&lt;=Setup!$C$16,AND(MONTH(WORKDAY(D18,-(Setup!$C$13+Setup!$G$22),Setup!$C$39:$C$50))&gt;=Setup!$C$15,MONTH(WORKDAY(D18,-(Setup!$C$13+Setup!$G$22),Setup!$C$39:$C$50))&lt;=Setup!$C$16),OR(MONTH(WORKDAY(D18,-(Setup!$C$13+Setup!$G$22),Setup!$C$39:$C$50))&gt;=Setup!$C$15,MONTH(WORKDAY(D18,-(Setup!$C$13+Setup!$G$22),Setup!$C$39:$C$50))&lt;=Setup!$C$16))),WORKDAY(D18,-(Setup!$C$13+Setup!$G$22+Setup!$C$14),Setup!$C$39:$C$50),WORKDAY(D18,-(Setup!$C$13+Setup!$G$22),Setup!$C$39:$C$50))+(13*100+3)/10000000)))</f>
        <v/>
      </c>
      <c r="U18" t="str">
        <f>IF(E18="","",IF(E18&lt;Setup!$C$5-Setup!$C$6,"",IF(IF(ISNUMBER(Roster!$D18),Setup!$C$23&lt;=Roster!$D18,FALSE),"",IF(OR(IF(Setup!$C$15&lt;=Setup!$C$16,AND(MONTH(E18)&gt;=Setup!$C$15,MONTH(E18)&lt;=Setup!$C$16),OR(MONTH(E18)&gt;=Setup!$C$15,MONTH(E18)&lt;=Setup!$C$16)),IF(Setup!$C$15&lt;=Setup!$C$16,AND(MONTH(WORKDAY(E18,-(Setup!$C$13+Setup!$G$23),Setup!$C$39:$C$50))&gt;=Setup!$C$15,MONTH(WORKDAY(E18,-(Setup!$C$13+Setup!$G$23),Setup!$C$39:$C$50))&lt;=Setup!$C$16),OR(MONTH(WORKDAY(E18,-(Setup!$C$13+Setup!$G$23),Setup!$C$39:$C$50))&gt;=Setup!$C$15,MONTH(WORKDAY(E18,-(Setup!$C$13+Setup!$G$23),Setup!$C$39:$C$50))&lt;=Setup!$C$16))),WORKDAY(E18,-(Setup!$C$13+Setup!$G$23+Setup!$C$14),Setup!$C$39:$C$50),WORKDAY(E18,-(Setup!$C$13+Setup!$G$23),Setup!$C$39:$C$50))+(13*100+4)/10000000)))</f>
        <v/>
      </c>
      <c r="V18" t="str">
        <f>IF(F18="","",IF(F18&lt;Setup!$C$5-Setup!$C$6,"",IF(IF(ISNUMBER(Roster!$D18),Setup!$C$24&lt;=Roster!$D18,FALSE),"",IF(OR(IF(Setup!$C$15&lt;=Setup!$C$16,AND(MONTH(F18)&gt;=Setup!$C$15,MONTH(F18)&lt;=Setup!$C$16),OR(MONTH(F18)&gt;=Setup!$C$15,MONTH(F18)&lt;=Setup!$C$16)),IF(Setup!$C$15&lt;=Setup!$C$16,AND(MONTH(WORKDAY(F18,-(Setup!$C$13+Setup!$G$24),Setup!$C$39:$C$50))&gt;=Setup!$C$15,MONTH(WORKDAY(F18,-(Setup!$C$13+Setup!$G$24),Setup!$C$39:$C$50))&lt;=Setup!$C$16),OR(MONTH(WORKDAY(F18,-(Setup!$C$13+Setup!$G$24),Setup!$C$39:$C$50))&gt;=Setup!$C$15,MONTH(WORKDAY(F18,-(Setup!$C$13+Setup!$G$24),Setup!$C$39:$C$50))&lt;=Setup!$C$16))),WORKDAY(F18,-(Setup!$C$13+Setup!$G$24+Setup!$C$14),Setup!$C$39:$C$50),WORKDAY(F18,-(Setup!$C$13+Setup!$G$24),Setup!$C$39:$C$50))+(13*100+5)/10000000)))</f>
        <v/>
      </c>
      <c r="W18" t="str">
        <f>IF(G18="","",IF(G18&lt;Setup!$C$5-Setup!$C$6,"",IF(IF(ISNUMBER(Roster!$D18),Setup!$C$25&lt;=Roster!$D18,FALSE),"",IF(OR(IF(Setup!$C$15&lt;=Setup!$C$16,AND(MONTH(G18)&gt;=Setup!$C$15,MONTH(G18)&lt;=Setup!$C$16),OR(MONTH(G18)&gt;=Setup!$C$15,MONTH(G18)&lt;=Setup!$C$16)),IF(Setup!$C$15&lt;=Setup!$C$16,AND(MONTH(WORKDAY(G18,-(Setup!$C$13+Setup!$G$25),Setup!$C$39:$C$50))&gt;=Setup!$C$15,MONTH(WORKDAY(G18,-(Setup!$C$13+Setup!$G$25),Setup!$C$39:$C$50))&lt;=Setup!$C$16),OR(MONTH(WORKDAY(G18,-(Setup!$C$13+Setup!$G$25),Setup!$C$39:$C$50))&gt;=Setup!$C$15,MONTH(WORKDAY(G18,-(Setup!$C$13+Setup!$G$25),Setup!$C$39:$C$50))&lt;=Setup!$C$16))),WORKDAY(G18,-(Setup!$C$13+Setup!$G$25+Setup!$C$14),Setup!$C$39:$C$50),WORKDAY(G18,-(Setup!$C$13+Setup!$G$25),Setup!$C$39:$C$50))+(13*100+6)/10000000)))</f>
        <v/>
      </c>
      <c r="X18" t="str">
        <f>IF(H18="","",IF(H18&lt;Setup!$C$5-Setup!$C$6,"",IF(IF(ISNUMBER(Roster!$D18),Setup!$C$26&lt;=Roster!$D18,FALSE),"",IF(OR(IF(Setup!$C$15&lt;=Setup!$C$16,AND(MONTH(H18)&gt;=Setup!$C$15,MONTH(H18)&lt;=Setup!$C$16),OR(MONTH(H18)&gt;=Setup!$C$15,MONTH(H18)&lt;=Setup!$C$16)),IF(Setup!$C$15&lt;=Setup!$C$16,AND(MONTH(WORKDAY(H18,-(Setup!$C$13+Setup!$G$26),Setup!$C$39:$C$50))&gt;=Setup!$C$15,MONTH(WORKDAY(H18,-(Setup!$C$13+Setup!$G$26),Setup!$C$39:$C$50))&lt;=Setup!$C$16),OR(MONTH(WORKDAY(H18,-(Setup!$C$13+Setup!$G$26),Setup!$C$39:$C$50))&gt;=Setup!$C$15,MONTH(WORKDAY(H18,-(Setup!$C$13+Setup!$G$26),Setup!$C$39:$C$50))&lt;=Setup!$C$16))),WORKDAY(H18,-(Setup!$C$13+Setup!$G$26+Setup!$C$14),Setup!$C$39:$C$50),WORKDAY(H18,-(Setup!$C$13+Setup!$G$26),Setup!$C$39:$C$50))+(13*100+7)/10000000)))</f>
        <v/>
      </c>
      <c r="Y18" t="str">
        <f>IF(I18="","",IF(I18&lt;Setup!$C$5-Setup!$C$6,"",IF(IF(ISNUMBER(Roster!$D18),Setup!$C$27&lt;=Roster!$D18,FALSE),"",IF(OR(IF(Setup!$C$15&lt;=Setup!$C$16,AND(MONTH(I18)&gt;=Setup!$C$15,MONTH(I18)&lt;=Setup!$C$16),OR(MONTH(I18)&gt;=Setup!$C$15,MONTH(I18)&lt;=Setup!$C$16)),IF(Setup!$C$15&lt;=Setup!$C$16,AND(MONTH(WORKDAY(I18,-(Setup!$C$13+Setup!$G$27),Setup!$C$39:$C$50))&gt;=Setup!$C$15,MONTH(WORKDAY(I18,-(Setup!$C$13+Setup!$G$27),Setup!$C$39:$C$50))&lt;=Setup!$C$16),OR(MONTH(WORKDAY(I18,-(Setup!$C$13+Setup!$G$27),Setup!$C$39:$C$50))&gt;=Setup!$C$15,MONTH(WORKDAY(I18,-(Setup!$C$13+Setup!$G$27),Setup!$C$39:$C$50))&lt;=Setup!$C$16))),WORKDAY(I18,-(Setup!$C$13+Setup!$G$27+Setup!$C$14),Setup!$C$39:$C$50),WORKDAY(I18,-(Setup!$C$13+Setup!$G$27),Setup!$C$39:$C$50))+(13*100+8)/10000000)))</f>
        <v/>
      </c>
      <c r="Z18" t="str">
        <f>IF(J18="","",IF(J18&lt;Setup!$C$5-Setup!$C$6,"",IF(IF(ISNUMBER(Roster!$D18),Setup!$C$28&lt;=Roster!$D18,FALSE),"",IF(OR(IF(Setup!$C$15&lt;=Setup!$C$16,AND(MONTH(J18)&gt;=Setup!$C$15,MONTH(J18)&lt;=Setup!$C$16),OR(MONTH(J18)&gt;=Setup!$C$15,MONTH(J18)&lt;=Setup!$C$16)),IF(Setup!$C$15&lt;=Setup!$C$16,AND(MONTH(WORKDAY(J18,-(Setup!$C$13+Setup!$G$28),Setup!$C$39:$C$50))&gt;=Setup!$C$15,MONTH(WORKDAY(J18,-(Setup!$C$13+Setup!$G$28),Setup!$C$39:$C$50))&lt;=Setup!$C$16),OR(MONTH(WORKDAY(J18,-(Setup!$C$13+Setup!$G$28),Setup!$C$39:$C$50))&gt;=Setup!$C$15,MONTH(WORKDAY(J18,-(Setup!$C$13+Setup!$G$28),Setup!$C$39:$C$50))&lt;=Setup!$C$16))),WORKDAY(J18,-(Setup!$C$13+Setup!$G$28+Setup!$C$14),Setup!$C$39:$C$50),WORKDAY(J18,-(Setup!$C$13+Setup!$G$28),Setup!$C$39:$C$50))+(13*100+9)/10000000)))</f>
        <v/>
      </c>
      <c r="AA18" t="str">
        <f>IF(K18="","",IF(K18&lt;Setup!$C$5-Setup!$C$6,"",IF(IF(ISNUMBER(Roster!$D18),Setup!$C$29&lt;=Roster!$D18,FALSE),"",IF(OR(IF(Setup!$C$15&lt;=Setup!$C$16,AND(MONTH(K18)&gt;=Setup!$C$15,MONTH(K18)&lt;=Setup!$C$16),OR(MONTH(K18)&gt;=Setup!$C$15,MONTH(K18)&lt;=Setup!$C$16)),IF(Setup!$C$15&lt;=Setup!$C$16,AND(MONTH(WORKDAY(K18,-(Setup!$C$13+Setup!$G$29),Setup!$C$39:$C$50))&gt;=Setup!$C$15,MONTH(WORKDAY(K18,-(Setup!$C$13+Setup!$G$29),Setup!$C$39:$C$50))&lt;=Setup!$C$16),OR(MONTH(WORKDAY(K18,-(Setup!$C$13+Setup!$G$29),Setup!$C$39:$C$50))&gt;=Setup!$C$15,MONTH(WORKDAY(K18,-(Setup!$C$13+Setup!$G$29),Setup!$C$39:$C$50))&lt;=Setup!$C$16))),WORKDAY(K18,-(Setup!$C$13+Setup!$G$29+Setup!$C$14),Setup!$C$39:$C$50),WORKDAY(K18,-(Setup!$C$13+Setup!$G$29),Setup!$C$39:$C$50))+(13*100+10)/10000000)))</f>
        <v/>
      </c>
      <c r="AB18" t="str">
        <f>IF(L18="","",IF(L18&lt;Setup!$C$5-Setup!$C$6,"",IF(IF(ISNUMBER(Roster!$D18),Setup!$C$30&lt;=Roster!$D18,FALSE),"",IF(OR(IF(Setup!$C$15&lt;=Setup!$C$16,AND(MONTH(L18)&gt;=Setup!$C$15,MONTH(L18)&lt;=Setup!$C$16),OR(MONTH(L18)&gt;=Setup!$C$15,MONTH(L18)&lt;=Setup!$C$16)),IF(Setup!$C$15&lt;=Setup!$C$16,AND(MONTH(WORKDAY(L18,-(Setup!$C$13+Setup!$G$30),Setup!$C$39:$C$50))&gt;=Setup!$C$15,MONTH(WORKDAY(L18,-(Setup!$C$13+Setup!$G$30),Setup!$C$39:$C$50))&lt;=Setup!$C$16),OR(MONTH(WORKDAY(L18,-(Setup!$C$13+Setup!$G$30),Setup!$C$39:$C$50))&gt;=Setup!$C$15,MONTH(WORKDAY(L18,-(Setup!$C$13+Setup!$G$30),Setup!$C$39:$C$50))&lt;=Setup!$C$16))),WORKDAY(L18,-(Setup!$C$13+Setup!$G$30+Setup!$C$14),Setup!$C$39:$C$50),WORKDAY(L18,-(Setup!$C$13+Setup!$G$30),Setup!$C$39:$C$50))+(13*100+11)/10000000)))</f>
        <v/>
      </c>
      <c r="AC18" t="str">
        <f>IF(M18="","",IF(M18&lt;Setup!$C$5-Setup!$C$6,"",IF(IF(ISNUMBER(Roster!$D18),Setup!$C$31&lt;=Roster!$D18,FALSE),"",IF(OR(IF(Setup!$C$15&lt;=Setup!$C$16,AND(MONTH(M18)&gt;=Setup!$C$15,MONTH(M18)&lt;=Setup!$C$16),OR(MONTH(M18)&gt;=Setup!$C$15,MONTH(M18)&lt;=Setup!$C$16)),IF(Setup!$C$15&lt;=Setup!$C$16,AND(MONTH(WORKDAY(M18,-(Setup!$C$13+Setup!$G$31),Setup!$C$39:$C$50))&gt;=Setup!$C$15,MONTH(WORKDAY(M18,-(Setup!$C$13+Setup!$G$31),Setup!$C$39:$C$50))&lt;=Setup!$C$16),OR(MONTH(WORKDAY(M18,-(Setup!$C$13+Setup!$G$31),Setup!$C$39:$C$50))&gt;=Setup!$C$15,MONTH(WORKDAY(M18,-(Setup!$C$13+Setup!$G$31),Setup!$C$39:$C$50))&lt;=Setup!$C$16))),WORKDAY(M18,-(Setup!$C$13+Setup!$G$31+Setup!$C$14),Setup!$C$39:$C$50),WORKDAY(M18,-(Setup!$C$13+Setup!$G$31),Setup!$C$39:$C$50))+(13*100+12)/10000000)))</f>
        <v/>
      </c>
      <c r="AD18" t="str">
        <f>IF(N18="","",IF(N18&lt;Setup!$C$5-Setup!$C$6,"",IF(IF(ISNUMBER(Roster!$D18),Setup!$C$32&lt;=Roster!$D18,FALSE),"",IF(OR(IF(Setup!$C$15&lt;=Setup!$C$16,AND(MONTH(N18)&gt;=Setup!$C$15,MONTH(N18)&lt;=Setup!$C$16),OR(MONTH(N18)&gt;=Setup!$C$15,MONTH(N18)&lt;=Setup!$C$16)),IF(Setup!$C$15&lt;=Setup!$C$16,AND(MONTH(WORKDAY(N18,-(Setup!$C$13+Setup!$G$32),Setup!$C$39:$C$50))&gt;=Setup!$C$15,MONTH(WORKDAY(N18,-(Setup!$C$13+Setup!$G$32),Setup!$C$39:$C$50))&lt;=Setup!$C$16),OR(MONTH(WORKDAY(N18,-(Setup!$C$13+Setup!$G$32),Setup!$C$39:$C$50))&gt;=Setup!$C$15,MONTH(WORKDAY(N18,-(Setup!$C$13+Setup!$G$32),Setup!$C$39:$C$50))&lt;=Setup!$C$16))),WORKDAY(N18,-(Setup!$C$13+Setup!$G$32+Setup!$C$14),Setup!$C$39:$C$50),WORKDAY(N18,-(Setup!$C$13+Setup!$G$32),Setup!$C$39:$C$50))+(13*100+13)/10000000)))</f>
        <v/>
      </c>
      <c r="AE18" t="str">
        <f>IF(O18="","",IF(O18&lt;Setup!$C$5-Setup!$C$6,"",IF(IF(ISNUMBER(Roster!$D18),Setup!$C$33&lt;=Roster!$D18,FALSE),"",IF(OR(IF(Setup!$C$15&lt;=Setup!$C$16,AND(MONTH(O18)&gt;=Setup!$C$15,MONTH(O18)&lt;=Setup!$C$16),OR(MONTH(O18)&gt;=Setup!$C$15,MONTH(O18)&lt;=Setup!$C$16)),IF(Setup!$C$15&lt;=Setup!$C$16,AND(MONTH(WORKDAY(O18,-(Setup!$C$13+Setup!$G$33),Setup!$C$39:$C$50))&gt;=Setup!$C$15,MONTH(WORKDAY(O18,-(Setup!$C$13+Setup!$G$33),Setup!$C$39:$C$50))&lt;=Setup!$C$16),OR(MONTH(WORKDAY(O18,-(Setup!$C$13+Setup!$G$33),Setup!$C$39:$C$50))&gt;=Setup!$C$15,MONTH(WORKDAY(O18,-(Setup!$C$13+Setup!$G$33),Setup!$C$39:$C$50))&lt;=Setup!$C$16))),WORKDAY(O18,-(Setup!$C$13+Setup!$G$33+Setup!$C$14),Setup!$C$39:$C$50),WORKDAY(O18,-(Setup!$C$13+Setup!$G$33),Setup!$C$39:$C$50))+(13*100+14)/10000000)))</f>
        <v/>
      </c>
      <c r="AF18" t="str">
        <f>IF(P18="","",IF(P18&lt;Setup!$C$5-Setup!$C$6,"",IF(IF(ISNUMBER(Roster!$D18),Setup!$C$34&lt;=Roster!$D18,FALSE),"",IF(OR(IF(Setup!$C$15&lt;=Setup!$C$16,AND(MONTH(P18)&gt;=Setup!$C$15,MONTH(P18)&lt;=Setup!$C$16),OR(MONTH(P18)&gt;=Setup!$C$15,MONTH(P18)&lt;=Setup!$C$16)),IF(Setup!$C$15&lt;=Setup!$C$16,AND(MONTH(WORKDAY(P18,-(Setup!$C$13+Setup!$G$34),Setup!$C$39:$C$50))&gt;=Setup!$C$15,MONTH(WORKDAY(P18,-(Setup!$C$13+Setup!$G$34),Setup!$C$39:$C$50))&lt;=Setup!$C$16),OR(MONTH(WORKDAY(P18,-(Setup!$C$13+Setup!$G$34),Setup!$C$39:$C$50))&gt;=Setup!$C$15,MONTH(WORKDAY(P18,-(Setup!$C$13+Setup!$G$34),Setup!$C$39:$C$50))&lt;=Setup!$C$16))),WORKDAY(P18,-(Setup!$C$13+Setup!$G$34+Setup!$C$14),Setup!$C$39:$C$50),WORKDAY(P18,-(Setup!$C$13+Setup!$G$34),Setup!$C$39:$C$50))+(13*100+15)/10000000)))</f>
        <v/>
      </c>
      <c r="AH18" t="str">
        <f t="shared" si="0"/>
        <v/>
      </c>
      <c r="AI18" t="str">
        <f t="shared" si="1"/>
        <v/>
      </c>
      <c r="AK18" t="str">
        <f ca="1">IF(13&gt;$AK$2,"",SMALL($R$6:$AF$505,13))</f>
        <v/>
      </c>
      <c r="AL18" t="str">
        <f t="shared" ca="1" si="2"/>
        <v/>
      </c>
      <c r="AM18" t="str">
        <f t="shared" ca="1" si="3"/>
        <v/>
      </c>
      <c r="AN18" t="str">
        <f t="shared" ca="1" si="4"/>
        <v/>
      </c>
      <c r="AP18" t="str">
        <f>IF(ISNUMBER(Roster!$B18),MAX(1,YEAR(Setup!$C$5)-YEAR(Roster!$B18)+IF(EDATE(Roster!$B18,12*(YEAR(Setup!$C$5)-YEAR(Roster!$B18)))&lt;Setup!$C$5,1,0)),"")</f>
        <v/>
      </c>
      <c r="AQ18" s="32" t="str">
        <f>IF(AP18="","",EDATE(Roster!$B18,12*AP18))</f>
        <v/>
      </c>
      <c r="AR18" t="str">
        <f>IF(AQ18="","",IF(AQ18&lt;DATE(YEAR(Setup!$C$5)+1,MONTH(Setup!$C$5),DAY(Setup!$C$5)),AQ18+13/1000,""))</f>
        <v/>
      </c>
      <c r="AS18" t="str">
        <f t="shared" si="5"/>
        <v/>
      </c>
      <c r="AT18" t="str">
        <f>IF(AS18="","",IF(ISNUMBER(Roster!$D18),Roster!$D18&gt;=AP18,FALSE))</f>
        <v/>
      </c>
      <c r="AU18" t="str">
        <f t="shared" si="6"/>
        <v/>
      </c>
      <c r="AV18" t="str">
        <f ca="1">IF(13&gt;$AV$2,"",SMALL($AR$6:$AR$505,13))</f>
        <v/>
      </c>
      <c r="AW18" t="str">
        <f t="shared" ca="1" si="7"/>
        <v/>
      </c>
    </row>
    <row r="19" spans="2:52" x14ac:dyDescent="0.2">
      <c r="B19" s="32" t="str">
        <f>IF(AND(ISNUMBER(Roster!$B19),Setup!$B$20="Yes",ISNUMBER(Setup!$C$20)),EDATE(Roster!$B19,12*Setup!$C$20),"")</f>
        <v/>
      </c>
      <c r="C19" s="32" t="str">
        <f>IF(AND(ISNUMBER(Roster!$B19),Setup!$B$21="Yes",ISNUMBER(Setup!$C$21)),EDATE(Roster!$B19,12*Setup!$C$21),"")</f>
        <v/>
      </c>
      <c r="D19" s="32" t="str">
        <f>IF(AND(ISNUMBER(Roster!$B19),Setup!$B$22="Yes",ISNUMBER(Setup!$C$22)),EDATE(Roster!$B19,12*Setup!$C$22),"")</f>
        <v/>
      </c>
      <c r="E19" s="32" t="str">
        <f>IF(AND(ISNUMBER(Roster!$B19),Setup!$B$23="Yes",ISNUMBER(Setup!$C$23)),EDATE(Roster!$B19,12*Setup!$C$23),"")</f>
        <v/>
      </c>
      <c r="F19" s="32" t="str">
        <f>IF(AND(ISNUMBER(Roster!$B19),Setup!$B$24="Yes",ISNUMBER(Setup!$C$24)),EDATE(Roster!$B19,12*Setup!$C$24),"")</f>
        <v/>
      </c>
      <c r="G19" s="32" t="str">
        <f>IF(AND(ISNUMBER(Roster!$B19),Setup!$B$25="Yes",ISNUMBER(Setup!$C$25)),EDATE(Roster!$B19,12*Setup!$C$25),"")</f>
        <v/>
      </c>
      <c r="H19" s="32" t="str">
        <f>IF(AND(ISNUMBER(Roster!$B19),Setup!$B$26="Yes",ISNUMBER(Setup!$C$26)),EDATE(Roster!$B19,12*Setup!$C$26),"")</f>
        <v/>
      </c>
      <c r="I19" s="32" t="str">
        <f>IF(AND(ISNUMBER(Roster!$B19),Setup!$B$27="Yes",ISNUMBER(Setup!$C$27)),EDATE(Roster!$B19,12*Setup!$C$27),"")</f>
        <v/>
      </c>
      <c r="J19" s="32" t="str">
        <f>IF(AND(ISNUMBER(Roster!$B19),Setup!$B$28="Yes",ISNUMBER(Setup!$C$28)),EDATE(Roster!$B19,12*Setup!$C$28),"")</f>
        <v/>
      </c>
      <c r="K19" s="32" t="str">
        <f>IF(AND(ISNUMBER(Roster!$B19),Setup!$B$29="Yes",ISNUMBER(Setup!$C$29)),EDATE(Roster!$B19,12*Setup!$C$29),"")</f>
        <v/>
      </c>
      <c r="L19" s="32" t="str">
        <f>IF(AND(ISNUMBER(Roster!$B19),Setup!$B$30="Yes",ISNUMBER(Setup!$C$30)),EDATE(Roster!$B19,12*Setup!$C$30),"")</f>
        <v/>
      </c>
      <c r="M19" s="32" t="str">
        <f>IF(AND(ISNUMBER(Roster!$B19),Setup!$B$31="Yes",ISNUMBER(Setup!$C$31)),EDATE(Roster!$B19,12*Setup!$C$31),"")</f>
        <v/>
      </c>
      <c r="N19" s="32" t="str">
        <f>IF(AND(ISNUMBER(Roster!$B19),Setup!$B$32="Yes",ISNUMBER(Setup!$C$32)),EDATE(Roster!$B19,12*Setup!$C$32),"")</f>
        <v/>
      </c>
      <c r="O19" s="32" t="str">
        <f>IF(AND(ISNUMBER(Roster!$B19),Setup!$B$33="Yes",ISNUMBER(Setup!$C$33)),EDATE(Roster!$B19,12*Setup!$C$33),"")</f>
        <v/>
      </c>
      <c r="P19" s="32" t="str">
        <f>IF(AND(ISNUMBER(Roster!$B19),Setup!$B$34="Yes",ISNUMBER(Setup!$C$34)),EDATE(Roster!$B19,12*Setup!$C$34),"")</f>
        <v/>
      </c>
      <c r="R19" t="str">
        <f>IF(B19="","",IF(B19&lt;Setup!$C$5-Setup!$C$6,"",IF(IF(ISNUMBER(Roster!$D19),Setup!$C$20&lt;=Roster!$D19,FALSE),"",IF(OR(IF(Setup!$C$15&lt;=Setup!$C$16,AND(MONTH(B19)&gt;=Setup!$C$15,MONTH(B19)&lt;=Setup!$C$16),OR(MONTH(B19)&gt;=Setup!$C$15,MONTH(B19)&lt;=Setup!$C$16)),IF(Setup!$C$15&lt;=Setup!$C$16,AND(MONTH(WORKDAY(B19,-(Setup!$C$13+Setup!$G$20),Setup!$C$39:$C$50))&gt;=Setup!$C$15,MONTH(WORKDAY(B19,-(Setup!$C$13+Setup!$G$20),Setup!$C$39:$C$50))&lt;=Setup!$C$16),OR(MONTH(WORKDAY(B19,-(Setup!$C$13+Setup!$G$20),Setup!$C$39:$C$50))&gt;=Setup!$C$15,MONTH(WORKDAY(B19,-(Setup!$C$13+Setup!$G$20),Setup!$C$39:$C$50))&lt;=Setup!$C$16))),WORKDAY(B19,-(Setup!$C$13+Setup!$G$20+Setup!$C$14),Setup!$C$39:$C$50),WORKDAY(B19,-(Setup!$C$13+Setup!$G$20),Setup!$C$39:$C$50))+(14*100+1)/10000000)))</f>
        <v/>
      </c>
      <c r="S19" t="str">
        <f>IF(C19="","",IF(C19&lt;Setup!$C$5-Setup!$C$6,"",IF(IF(ISNUMBER(Roster!$D19),Setup!$C$21&lt;=Roster!$D19,FALSE),"",IF(OR(IF(Setup!$C$15&lt;=Setup!$C$16,AND(MONTH(C19)&gt;=Setup!$C$15,MONTH(C19)&lt;=Setup!$C$16),OR(MONTH(C19)&gt;=Setup!$C$15,MONTH(C19)&lt;=Setup!$C$16)),IF(Setup!$C$15&lt;=Setup!$C$16,AND(MONTH(WORKDAY(C19,-(Setup!$C$13+Setup!$G$21),Setup!$C$39:$C$50))&gt;=Setup!$C$15,MONTH(WORKDAY(C19,-(Setup!$C$13+Setup!$G$21),Setup!$C$39:$C$50))&lt;=Setup!$C$16),OR(MONTH(WORKDAY(C19,-(Setup!$C$13+Setup!$G$21),Setup!$C$39:$C$50))&gt;=Setup!$C$15,MONTH(WORKDAY(C19,-(Setup!$C$13+Setup!$G$21),Setup!$C$39:$C$50))&lt;=Setup!$C$16))),WORKDAY(C19,-(Setup!$C$13+Setup!$G$21+Setup!$C$14),Setup!$C$39:$C$50),WORKDAY(C19,-(Setup!$C$13+Setup!$G$21),Setup!$C$39:$C$50))+(14*100+2)/10000000)))</f>
        <v/>
      </c>
      <c r="T19" t="str">
        <f>IF(D19="","",IF(D19&lt;Setup!$C$5-Setup!$C$6,"",IF(IF(ISNUMBER(Roster!$D19),Setup!$C$22&lt;=Roster!$D19,FALSE),"",IF(OR(IF(Setup!$C$15&lt;=Setup!$C$16,AND(MONTH(D19)&gt;=Setup!$C$15,MONTH(D19)&lt;=Setup!$C$16),OR(MONTH(D19)&gt;=Setup!$C$15,MONTH(D19)&lt;=Setup!$C$16)),IF(Setup!$C$15&lt;=Setup!$C$16,AND(MONTH(WORKDAY(D19,-(Setup!$C$13+Setup!$G$22),Setup!$C$39:$C$50))&gt;=Setup!$C$15,MONTH(WORKDAY(D19,-(Setup!$C$13+Setup!$G$22),Setup!$C$39:$C$50))&lt;=Setup!$C$16),OR(MONTH(WORKDAY(D19,-(Setup!$C$13+Setup!$G$22),Setup!$C$39:$C$50))&gt;=Setup!$C$15,MONTH(WORKDAY(D19,-(Setup!$C$13+Setup!$G$22),Setup!$C$39:$C$50))&lt;=Setup!$C$16))),WORKDAY(D19,-(Setup!$C$13+Setup!$G$22+Setup!$C$14),Setup!$C$39:$C$50),WORKDAY(D19,-(Setup!$C$13+Setup!$G$22),Setup!$C$39:$C$50))+(14*100+3)/10000000)))</f>
        <v/>
      </c>
      <c r="U19" t="str">
        <f>IF(E19="","",IF(E19&lt;Setup!$C$5-Setup!$C$6,"",IF(IF(ISNUMBER(Roster!$D19),Setup!$C$23&lt;=Roster!$D19,FALSE),"",IF(OR(IF(Setup!$C$15&lt;=Setup!$C$16,AND(MONTH(E19)&gt;=Setup!$C$15,MONTH(E19)&lt;=Setup!$C$16),OR(MONTH(E19)&gt;=Setup!$C$15,MONTH(E19)&lt;=Setup!$C$16)),IF(Setup!$C$15&lt;=Setup!$C$16,AND(MONTH(WORKDAY(E19,-(Setup!$C$13+Setup!$G$23),Setup!$C$39:$C$50))&gt;=Setup!$C$15,MONTH(WORKDAY(E19,-(Setup!$C$13+Setup!$G$23),Setup!$C$39:$C$50))&lt;=Setup!$C$16),OR(MONTH(WORKDAY(E19,-(Setup!$C$13+Setup!$G$23),Setup!$C$39:$C$50))&gt;=Setup!$C$15,MONTH(WORKDAY(E19,-(Setup!$C$13+Setup!$G$23),Setup!$C$39:$C$50))&lt;=Setup!$C$16))),WORKDAY(E19,-(Setup!$C$13+Setup!$G$23+Setup!$C$14),Setup!$C$39:$C$50),WORKDAY(E19,-(Setup!$C$13+Setup!$G$23),Setup!$C$39:$C$50))+(14*100+4)/10000000)))</f>
        <v/>
      </c>
      <c r="V19" t="str">
        <f>IF(F19="","",IF(F19&lt;Setup!$C$5-Setup!$C$6,"",IF(IF(ISNUMBER(Roster!$D19),Setup!$C$24&lt;=Roster!$D19,FALSE),"",IF(OR(IF(Setup!$C$15&lt;=Setup!$C$16,AND(MONTH(F19)&gt;=Setup!$C$15,MONTH(F19)&lt;=Setup!$C$16),OR(MONTH(F19)&gt;=Setup!$C$15,MONTH(F19)&lt;=Setup!$C$16)),IF(Setup!$C$15&lt;=Setup!$C$16,AND(MONTH(WORKDAY(F19,-(Setup!$C$13+Setup!$G$24),Setup!$C$39:$C$50))&gt;=Setup!$C$15,MONTH(WORKDAY(F19,-(Setup!$C$13+Setup!$G$24),Setup!$C$39:$C$50))&lt;=Setup!$C$16),OR(MONTH(WORKDAY(F19,-(Setup!$C$13+Setup!$G$24),Setup!$C$39:$C$50))&gt;=Setup!$C$15,MONTH(WORKDAY(F19,-(Setup!$C$13+Setup!$G$24),Setup!$C$39:$C$50))&lt;=Setup!$C$16))),WORKDAY(F19,-(Setup!$C$13+Setup!$G$24+Setup!$C$14),Setup!$C$39:$C$50),WORKDAY(F19,-(Setup!$C$13+Setup!$G$24),Setup!$C$39:$C$50))+(14*100+5)/10000000)))</f>
        <v/>
      </c>
      <c r="W19" t="str">
        <f>IF(G19="","",IF(G19&lt;Setup!$C$5-Setup!$C$6,"",IF(IF(ISNUMBER(Roster!$D19),Setup!$C$25&lt;=Roster!$D19,FALSE),"",IF(OR(IF(Setup!$C$15&lt;=Setup!$C$16,AND(MONTH(G19)&gt;=Setup!$C$15,MONTH(G19)&lt;=Setup!$C$16),OR(MONTH(G19)&gt;=Setup!$C$15,MONTH(G19)&lt;=Setup!$C$16)),IF(Setup!$C$15&lt;=Setup!$C$16,AND(MONTH(WORKDAY(G19,-(Setup!$C$13+Setup!$G$25),Setup!$C$39:$C$50))&gt;=Setup!$C$15,MONTH(WORKDAY(G19,-(Setup!$C$13+Setup!$G$25),Setup!$C$39:$C$50))&lt;=Setup!$C$16),OR(MONTH(WORKDAY(G19,-(Setup!$C$13+Setup!$G$25),Setup!$C$39:$C$50))&gt;=Setup!$C$15,MONTH(WORKDAY(G19,-(Setup!$C$13+Setup!$G$25),Setup!$C$39:$C$50))&lt;=Setup!$C$16))),WORKDAY(G19,-(Setup!$C$13+Setup!$G$25+Setup!$C$14),Setup!$C$39:$C$50),WORKDAY(G19,-(Setup!$C$13+Setup!$G$25),Setup!$C$39:$C$50))+(14*100+6)/10000000)))</f>
        <v/>
      </c>
      <c r="X19" t="str">
        <f>IF(H19="","",IF(H19&lt;Setup!$C$5-Setup!$C$6,"",IF(IF(ISNUMBER(Roster!$D19),Setup!$C$26&lt;=Roster!$D19,FALSE),"",IF(OR(IF(Setup!$C$15&lt;=Setup!$C$16,AND(MONTH(H19)&gt;=Setup!$C$15,MONTH(H19)&lt;=Setup!$C$16),OR(MONTH(H19)&gt;=Setup!$C$15,MONTH(H19)&lt;=Setup!$C$16)),IF(Setup!$C$15&lt;=Setup!$C$16,AND(MONTH(WORKDAY(H19,-(Setup!$C$13+Setup!$G$26),Setup!$C$39:$C$50))&gt;=Setup!$C$15,MONTH(WORKDAY(H19,-(Setup!$C$13+Setup!$G$26),Setup!$C$39:$C$50))&lt;=Setup!$C$16),OR(MONTH(WORKDAY(H19,-(Setup!$C$13+Setup!$G$26),Setup!$C$39:$C$50))&gt;=Setup!$C$15,MONTH(WORKDAY(H19,-(Setup!$C$13+Setup!$G$26),Setup!$C$39:$C$50))&lt;=Setup!$C$16))),WORKDAY(H19,-(Setup!$C$13+Setup!$G$26+Setup!$C$14),Setup!$C$39:$C$50),WORKDAY(H19,-(Setup!$C$13+Setup!$G$26),Setup!$C$39:$C$50))+(14*100+7)/10000000)))</f>
        <v/>
      </c>
      <c r="Y19" t="str">
        <f>IF(I19="","",IF(I19&lt;Setup!$C$5-Setup!$C$6,"",IF(IF(ISNUMBER(Roster!$D19),Setup!$C$27&lt;=Roster!$D19,FALSE),"",IF(OR(IF(Setup!$C$15&lt;=Setup!$C$16,AND(MONTH(I19)&gt;=Setup!$C$15,MONTH(I19)&lt;=Setup!$C$16),OR(MONTH(I19)&gt;=Setup!$C$15,MONTH(I19)&lt;=Setup!$C$16)),IF(Setup!$C$15&lt;=Setup!$C$16,AND(MONTH(WORKDAY(I19,-(Setup!$C$13+Setup!$G$27),Setup!$C$39:$C$50))&gt;=Setup!$C$15,MONTH(WORKDAY(I19,-(Setup!$C$13+Setup!$G$27),Setup!$C$39:$C$50))&lt;=Setup!$C$16),OR(MONTH(WORKDAY(I19,-(Setup!$C$13+Setup!$G$27),Setup!$C$39:$C$50))&gt;=Setup!$C$15,MONTH(WORKDAY(I19,-(Setup!$C$13+Setup!$G$27),Setup!$C$39:$C$50))&lt;=Setup!$C$16))),WORKDAY(I19,-(Setup!$C$13+Setup!$G$27+Setup!$C$14),Setup!$C$39:$C$50),WORKDAY(I19,-(Setup!$C$13+Setup!$G$27),Setup!$C$39:$C$50))+(14*100+8)/10000000)))</f>
        <v/>
      </c>
      <c r="Z19" t="str">
        <f>IF(J19="","",IF(J19&lt;Setup!$C$5-Setup!$C$6,"",IF(IF(ISNUMBER(Roster!$D19),Setup!$C$28&lt;=Roster!$D19,FALSE),"",IF(OR(IF(Setup!$C$15&lt;=Setup!$C$16,AND(MONTH(J19)&gt;=Setup!$C$15,MONTH(J19)&lt;=Setup!$C$16),OR(MONTH(J19)&gt;=Setup!$C$15,MONTH(J19)&lt;=Setup!$C$16)),IF(Setup!$C$15&lt;=Setup!$C$16,AND(MONTH(WORKDAY(J19,-(Setup!$C$13+Setup!$G$28),Setup!$C$39:$C$50))&gt;=Setup!$C$15,MONTH(WORKDAY(J19,-(Setup!$C$13+Setup!$G$28),Setup!$C$39:$C$50))&lt;=Setup!$C$16),OR(MONTH(WORKDAY(J19,-(Setup!$C$13+Setup!$G$28),Setup!$C$39:$C$50))&gt;=Setup!$C$15,MONTH(WORKDAY(J19,-(Setup!$C$13+Setup!$G$28),Setup!$C$39:$C$50))&lt;=Setup!$C$16))),WORKDAY(J19,-(Setup!$C$13+Setup!$G$28+Setup!$C$14),Setup!$C$39:$C$50),WORKDAY(J19,-(Setup!$C$13+Setup!$G$28),Setup!$C$39:$C$50))+(14*100+9)/10000000)))</f>
        <v/>
      </c>
      <c r="AA19" t="str">
        <f>IF(K19="","",IF(K19&lt;Setup!$C$5-Setup!$C$6,"",IF(IF(ISNUMBER(Roster!$D19),Setup!$C$29&lt;=Roster!$D19,FALSE),"",IF(OR(IF(Setup!$C$15&lt;=Setup!$C$16,AND(MONTH(K19)&gt;=Setup!$C$15,MONTH(K19)&lt;=Setup!$C$16),OR(MONTH(K19)&gt;=Setup!$C$15,MONTH(K19)&lt;=Setup!$C$16)),IF(Setup!$C$15&lt;=Setup!$C$16,AND(MONTH(WORKDAY(K19,-(Setup!$C$13+Setup!$G$29),Setup!$C$39:$C$50))&gt;=Setup!$C$15,MONTH(WORKDAY(K19,-(Setup!$C$13+Setup!$G$29),Setup!$C$39:$C$50))&lt;=Setup!$C$16),OR(MONTH(WORKDAY(K19,-(Setup!$C$13+Setup!$G$29),Setup!$C$39:$C$50))&gt;=Setup!$C$15,MONTH(WORKDAY(K19,-(Setup!$C$13+Setup!$G$29),Setup!$C$39:$C$50))&lt;=Setup!$C$16))),WORKDAY(K19,-(Setup!$C$13+Setup!$G$29+Setup!$C$14),Setup!$C$39:$C$50),WORKDAY(K19,-(Setup!$C$13+Setup!$G$29),Setup!$C$39:$C$50))+(14*100+10)/10000000)))</f>
        <v/>
      </c>
      <c r="AB19" t="str">
        <f>IF(L19="","",IF(L19&lt;Setup!$C$5-Setup!$C$6,"",IF(IF(ISNUMBER(Roster!$D19),Setup!$C$30&lt;=Roster!$D19,FALSE),"",IF(OR(IF(Setup!$C$15&lt;=Setup!$C$16,AND(MONTH(L19)&gt;=Setup!$C$15,MONTH(L19)&lt;=Setup!$C$16),OR(MONTH(L19)&gt;=Setup!$C$15,MONTH(L19)&lt;=Setup!$C$16)),IF(Setup!$C$15&lt;=Setup!$C$16,AND(MONTH(WORKDAY(L19,-(Setup!$C$13+Setup!$G$30),Setup!$C$39:$C$50))&gt;=Setup!$C$15,MONTH(WORKDAY(L19,-(Setup!$C$13+Setup!$G$30),Setup!$C$39:$C$50))&lt;=Setup!$C$16),OR(MONTH(WORKDAY(L19,-(Setup!$C$13+Setup!$G$30),Setup!$C$39:$C$50))&gt;=Setup!$C$15,MONTH(WORKDAY(L19,-(Setup!$C$13+Setup!$G$30),Setup!$C$39:$C$50))&lt;=Setup!$C$16))),WORKDAY(L19,-(Setup!$C$13+Setup!$G$30+Setup!$C$14),Setup!$C$39:$C$50),WORKDAY(L19,-(Setup!$C$13+Setup!$G$30),Setup!$C$39:$C$50))+(14*100+11)/10000000)))</f>
        <v/>
      </c>
      <c r="AC19" t="str">
        <f>IF(M19="","",IF(M19&lt;Setup!$C$5-Setup!$C$6,"",IF(IF(ISNUMBER(Roster!$D19),Setup!$C$31&lt;=Roster!$D19,FALSE),"",IF(OR(IF(Setup!$C$15&lt;=Setup!$C$16,AND(MONTH(M19)&gt;=Setup!$C$15,MONTH(M19)&lt;=Setup!$C$16),OR(MONTH(M19)&gt;=Setup!$C$15,MONTH(M19)&lt;=Setup!$C$16)),IF(Setup!$C$15&lt;=Setup!$C$16,AND(MONTH(WORKDAY(M19,-(Setup!$C$13+Setup!$G$31),Setup!$C$39:$C$50))&gt;=Setup!$C$15,MONTH(WORKDAY(M19,-(Setup!$C$13+Setup!$G$31),Setup!$C$39:$C$50))&lt;=Setup!$C$16),OR(MONTH(WORKDAY(M19,-(Setup!$C$13+Setup!$G$31),Setup!$C$39:$C$50))&gt;=Setup!$C$15,MONTH(WORKDAY(M19,-(Setup!$C$13+Setup!$G$31),Setup!$C$39:$C$50))&lt;=Setup!$C$16))),WORKDAY(M19,-(Setup!$C$13+Setup!$G$31+Setup!$C$14),Setup!$C$39:$C$50),WORKDAY(M19,-(Setup!$C$13+Setup!$G$31),Setup!$C$39:$C$50))+(14*100+12)/10000000)))</f>
        <v/>
      </c>
      <c r="AD19" t="str">
        <f>IF(N19="","",IF(N19&lt;Setup!$C$5-Setup!$C$6,"",IF(IF(ISNUMBER(Roster!$D19),Setup!$C$32&lt;=Roster!$D19,FALSE),"",IF(OR(IF(Setup!$C$15&lt;=Setup!$C$16,AND(MONTH(N19)&gt;=Setup!$C$15,MONTH(N19)&lt;=Setup!$C$16),OR(MONTH(N19)&gt;=Setup!$C$15,MONTH(N19)&lt;=Setup!$C$16)),IF(Setup!$C$15&lt;=Setup!$C$16,AND(MONTH(WORKDAY(N19,-(Setup!$C$13+Setup!$G$32),Setup!$C$39:$C$50))&gt;=Setup!$C$15,MONTH(WORKDAY(N19,-(Setup!$C$13+Setup!$G$32),Setup!$C$39:$C$50))&lt;=Setup!$C$16),OR(MONTH(WORKDAY(N19,-(Setup!$C$13+Setup!$G$32),Setup!$C$39:$C$50))&gt;=Setup!$C$15,MONTH(WORKDAY(N19,-(Setup!$C$13+Setup!$G$32),Setup!$C$39:$C$50))&lt;=Setup!$C$16))),WORKDAY(N19,-(Setup!$C$13+Setup!$G$32+Setup!$C$14),Setup!$C$39:$C$50),WORKDAY(N19,-(Setup!$C$13+Setup!$G$32),Setup!$C$39:$C$50))+(14*100+13)/10000000)))</f>
        <v/>
      </c>
      <c r="AE19" t="str">
        <f>IF(O19="","",IF(O19&lt;Setup!$C$5-Setup!$C$6,"",IF(IF(ISNUMBER(Roster!$D19),Setup!$C$33&lt;=Roster!$D19,FALSE),"",IF(OR(IF(Setup!$C$15&lt;=Setup!$C$16,AND(MONTH(O19)&gt;=Setup!$C$15,MONTH(O19)&lt;=Setup!$C$16),OR(MONTH(O19)&gt;=Setup!$C$15,MONTH(O19)&lt;=Setup!$C$16)),IF(Setup!$C$15&lt;=Setup!$C$16,AND(MONTH(WORKDAY(O19,-(Setup!$C$13+Setup!$G$33),Setup!$C$39:$C$50))&gt;=Setup!$C$15,MONTH(WORKDAY(O19,-(Setup!$C$13+Setup!$G$33),Setup!$C$39:$C$50))&lt;=Setup!$C$16),OR(MONTH(WORKDAY(O19,-(Setup!$C$13+Setup!$G$33),Setup!$C$39:$C$50))&gt;=Setup!$C$15,MONTH(WORKDAY(O19,-(Setup!$C$13+Setup!$G$33),Setup!$C$39:$C$50))&lt;=Setup!$C$16))),WORKDAY(O19,-(Setup!$C$13+Setup!$G$33+Setup!$C$14),Setup!$C$39:$C$50),WORKDAY(O19,-(Setup!$C$13+Setup!$G$33),Setup!$C$39:$C$50))+(14*100+14)/10000000)))</f>
        <v/>
      </c>
      <c r="AF19" t="str">
        <f>IF(P19="","",IF(P19&lt;Setup!$C$5-Setup!$C$6,"",IF(IF(ISNUMBER(Roster!$D19),Setup!$C$34&lt;=Roster!$D19,FALSE),"",IF(OR(IF(Setup!$C$15&lt;=Setup!$C$16,AND(MONTH(P19)&gt;=Setup!$C$15,MONTH(P19)&lt;=Setup!$C$16),OR(MONTH(P19)&gt;=Setup!$C$15,MONTH(P19)&lt;=Setup!$C$16)),IF(Setup!$C$15&lt;=Setup!$C$16,AND(MONTH(WORKDAY(P19,-(Setup!$C$13+Setup!$G$34),Setup!$C$39:$C$50))&gt;=Setup!$C$15,MONTH(WORKDAY(P19,-(Setup!$C$13+Setup!$G$34),Setup!$C$39:$C$50))&lt;=Setup!$C$16),OR(MONTH(WORKDAY(P19,-(Setup!$C$13+Setup!$G$34),Setup!$C$39:$C$50))&gt;=Setup!$C$15,MONTH(WORKDAY(P19,-(Setup!$C$13+Setup!$G$34),Setup!$C$39:$C$50))&lt;=Setup!$C$16))),WORKDAY(P19,-(Setup!$C$13+Setup!$G$34+Setup!$C$14),Setup!$C$39:$C$50),WORKDAY(P19,-(Setup!$C$13+Setup!$G$34),Setup!$C$39:$C$50))+(14*100+15)/10000000)))</f>
        <v/>
      </c>
      <c r="AH19" t="str">
        <f t="shared" si="0"/>
        <v/>
      </c>
      <c r="AI19" t="str">
        <f t="shared" si="1"/>
        <v/>
      </c>
      <c r="AK19" t="str">
        <f ca="1">IF(14&gt;$AK$2,"",SMALL($R$6:$AF$505,14))</f>
        <v/>
      </c>
      <c r="AL19" t="str">
        <f t="shared" ca="1" si="2"/>
        <v/>
      </c>
      <c r="AM19" t="str">
        <f t="shared" ca="1" si="3"/>
        <v/>
      </c>
      <c r="AN19" t="str">
        <f t="shared" ca="1" si="4"/>
        <v/>
      </c>
      <c r="AP19" t="str">
        <f>IF(ISNUMBER(Roster!$B19),MAX(1,YEAR(Setup!$C$5)-YEAR(Roster!$B19)+IF(EDATE(Roster!$B19,12*(YEAR(Setup!$C$5)-YEAR(Roster!$B19)))&lt;Setup!$C$5,1,0)),"")</f>
        <v/>
      </c>
      <c r="AQ19" s="32" t="str">
        <f>IF(AP19="","",EDATE(Roster!$B19,12*AP19))</f>
        <v/>
      </c>
      <c r="AR19" t="str">
        <f>IF(AQ19="","",IF(AQ19&lt;DATE(YEAR(Setup!$C$5)+1,MONTH(Setup!$C$5),DAY(Setup!$C$5)),AQ19+14/1000,""))</f>
        <v/>
      </c>
      <c r="AS19" t="str">
        <f t="shared" si="5"/>
        <v/>
      </c>
      <c r="AT19" t="str">
        <f>IF(AS19="","",IF(ISNUMBER(Roster!$D19),Roster!$D19&gt;=AP19,FALSE))</f>
        <v/>
      </c>
      <c r="AU19" t="str">
        <f t="shared" si="6"/>
        <v/>
      </c>
      <c r="AV19" t="str">
        <f ca="1">IF(14&gt;$AV$2,"",SMALL($AR$6:$AR$505,14))</f>
        <v/>
      </c>
      <c r="AW19" t="str">
        <f t="shared" ca="1" si="7"/>
        <v/>
      </c>
    </row>
    <row r="20" spans="2:52" x14ac:dyDescent="0.2">
      <c r="B20" s="32" t="str">
        <f>IF(AND(ISNUMBER(Roster!$B20),Setup!$B$20="Yes",ISNUMBER(Setup!$C$20)),EDATE(Roster!$B20,12*Setup!$C$20),"")</f>
        <v/>
      </c>
      <c r="C20" s="32" t="str">
        <f>IF(AND(ISNUMBER(Roster!$B20),Setup!$B$21="Yes",ISNUMBER(Setup!$C$21)),EDATE(Roster!$B20,12*Setup!$C$21),"")</f>
        <v/>
      </c>
      <c r="D20" s="32" t="str">
        <f>IF(AND(ISNUMBER(Roster!$B20),Setup!$B$22="Yes",ISNUMBER(Setup!$C$22)),EDATE(Roster!$B20,12*Setup!$C$22),"")</f>
        <v/>
      </c>
      <c r="E20" s="32" t="str">
        <f>IF(AND(ISNUMBER(Roster!$B20),Setup!$B$23="Yes",ISNUMBER(Setup!$C$23)),EDATE(Roster!$B20,12*Setup!$C$23),"")</f>
        <v/>
      </c>
      <c r="F20" s="32" t="str">
        <f>IF(AND(ISNUMBER(Roster!$B20),Setup!$B$24="Yes",ISNUMBER(Setup!$C$24)),EDATE(Roster!$B20,12*Setup!$C$24),"")</f>
        <v/>
      </c>
      <c r="G20" s="32" t="str">
        <f>IF(AND(ISNUMBER(Roster!$B20),Setup!$B$25="Yes",ISNUMBER(Setup!$C$25)),EDATE(Roster!$B20,12*Setup!$C$25),"")</f>
        <v/>
      </c>
      <c r="H20" s="32" t="str">
        <f>IF(AND(ISNUMBER(Roster!$B20),Setup!$B$26="Yes",ISNUMBER(Setup!$C$26)),EDATE(Roster!$B20,12*Setup!$C$26),"")</f>
        <v/>
      </c>
      <c r="I20" s="32" t="str">
        <f>IF(AND(ISNUMBER(Roster!$B20),Setup!$B$27="Yes",ISNUMBER(Setup!$C$27)),EDATE(Roster!$B20,12*Setup!$C$27),"")</f>
        <v/>
      </c>
      <c r="J20" s="32" t="str">
        <f>IF(AND(ISNUMBER(Roster!$B20),Setup!$B$28="Yes",ISNUMBER(Setup!$C$28)),EDATE(Roster!$B20,12*Setup!$C$28),"")</f>
        <v/>
      </c>
      <c r="K20" s="32" t="str">
        <f>IF(AND(ISNUMBER(Roster!$B20),Setup!$B$29="Yes",ISNUMBER(Setup!$C$29)),EDATE(Roster!$B20,12*Setup!$C$29),"")</f>
        <v/>
      </c>
      <c r="L20" s="32" t="str">
        <f>IF(AND(ISNUMBER(Roster!$B20),Setup!$B$30="Yes",ISNUMBER(Setup!$C$30)),EDATE(Roster!$B20,12*Setup!$C$30),"")</f>
        <v/>
      </c>
      <c r="M20" s="32" t="str">
        <f>IF(AND(ISNUMBER(Roster!$B20),Setup!$B$31="Yes",ISNUMBER(Setup!$C$31)),EDATE(Roster!$B20,12*Setup!$C$31),"")</f>
        <v/>
      </c>
      <c r="N20" s="32" t="str">
        <f>IF(AND(ISNUMBER(Roster!$B20),Setup!$B$32="Yes",ISNUMBER(Setup!$C$32)),EDATE(Roster!$B20,12*Setup!$C$32),"")</f>
        <v/>
      </c>
      <c r="O20" s="32" t="str">
        <f>IF(AND(ISNUMBER(Roster!$B20),Setup!$B$33="Yes",ISNUMBER(Setup!$C$33)),EDATE(Roster!$B20,12*Setup!$C$33),"")</f>
        <v/>
      </c>
      <c r="P20" s="32" t="str">
        <f>IF(AND(ISNUMBER(Roster!$B20),Setup!$B$34="Yes",ISNUMBER(Setup!$C$34)),EDATE(Roster!$B20,12*Setup!$C$34),"")</f>
        <v/>
      </c>
      <c r="R20" t="str">
        <f>IF(B20="","",IF(B20&lt;Setup!$C$5-Setup!$C$6,"",IF(IF(ISNUMBER(Roster!$D20),Setup!$C$20&lt;=Roster!$D20,FALSE),"",IF(OR(IF(Setup!$C$15&lt;=Setup!$C$16,AND(MONTH(B20)&gt;=Setup!$C$15,MONTH(B20)&lt;=Setup!$C$16),OR(MONTH(B20)&gt;=Setup!$C$15,MONTH(B20)&lt;=Setup!$C$16)),IF(Setup!$C$15&lt;=Setup!$C$16,AND(MONTH(WORKDAY(B20,-(Setup!$C$13+Setup!$G$20),Setup!$C$39:$C$50))&gt;=Setup!$C$15,MONTH(WORKDAY(B20,-(Setup!$C$13+Setup!$G$20),Setup!$C$39:$C$50))&lt;=Setup!$C$16),OR(MONTH(WORKDAY(B20,-(Setup!$C$13+Setup!$G$20),Setup!$C$39:$C$50))&gt;=Setup!$C$15,MONTH(WORKDAY(B20,-(Setup!$C$13+Setup!$G$20),Setup!$C$39:$C$50))&lt;=Setup!$C$16))),WORKDAY(B20,-(Setup!$C$13+Setup!$G$20+Setup!$C$14),Setup!$C$39:$C$50),WORKDAY(B20,-(Setup!$C$13+Setup!$G$20),Setup!$C$39:$C$50))+(15*100+1)/10000000)))</f>
        <v/>
      </c>
      <c r="S20" t="str">
        <f>IF(C20="","",IF(C20&lt;Setup!$C$5-Setup!$C$6,"",IF(IF(ISNUMBER(Roster!$D20),Setup!$C$21&lt;=Roster!$D20,FALSE),"",IF(OR(IF(Setup!$C$15&lt;=Setup!$C$16,AND(MONTH(C20)&gt;=Setup!$C$15,MONTH(C20)&lt;=Setup!$C$16),OR(MONTH(C20)&gt;=Setup!$C$15,MONTH(C20)&lt;=Setup!$C$16)),IF(Setup!$C$15&lt;=Setup!$C$16,AND(MONTH(WORKDAY(C20,-(Setup!$C$13+Setup!$G$21),Setup!$C$39:$C$50))&gt;=Setup!$C$15,MONTH(WORKDAY(C20,-(Setup!$C$13+Setup!$G$21),Setup!$C$39:$C$50))&lt;=Setup!$C$16),OR(MONTH(WORKDAY(C20,-(Setup!$C$13+Setup!$G$21),Setup!$C$39:$C$50))&gt;=Setup!$C$15,MONTH(WORKDAY(C20,-(Setup!$C$13+Setup!$G$21),Setup!$C$39:$C$50))&lt;=Setup!$C$16))),WORKDAY(C20,-(Setup!$C$13+Setup!$G$21+Setup!$C$14),Setup!$C$39:$C$50),WORKDAY(C20,-(Setup!$C$13+Setup!$G$21),Setup!$C$39:$C$50))+(15*100+2)/10000000)))</f>
        <v/>
      </c>
      <c r="T20" t="str">
        <f>IF(D20="","",IF(D20&lt;Setup!$C$5-Setup!$C$6,"",IF(IF(ISNUMBER(Roster!$D20),Setup!$C$22&lt;=Roster!$D20,FALSE),"",IF(OR(IF(Setup!$C$15&lt;=Setup!$C$16,AND(MONTH(D20)&gt;=Setup!$C$15,MONTH(D20)&lt;=Setup!$C$16),OR(MONTH(D20)&gt;=Setup!$C$15,MONTH(D20)&lt;=Setup!$C$16)),IF(Setup!$C$15&lt;=Setup!$C$16,AND(MONTH(WORKDAY(D20,-(Setup!$C$13+Setup!$G$22),Setup!$C$39:$C$50))&gt;=Setup!$C$15,MONTH(WORKDAY(D20,-(Setup!$C$13+Setup!$G$22),Setup!$C$39:$C$50))&lt;=Setup!$C$16),OR(MONTH(WORKDAY(D20,-(Setup!$C$13+Setup!$G$22),Setup!$C$39:$C$50))&gt;=Setup!$C$15,MONTH(WORKDAY(D20,-(Setup!$C$13+Setup!$G$22),Setup!$C$39:$C$50))&lt;=Setup!$C$16))),WORKDAY(D20,-(Setup!$C$13+Setup!$G$22+Setup!$C$14),Setup!$C$39:$C$50),WORKDAY(D20,-(Setup!$C$13+Setup!$G$22),Setup!$C$39:$C$50))+(15*100+3)/10000000)))</f>
        <v/>
      </c>
      <c r="U20" t="str">
        <f>IF(E20="","",IF(E20&lt;Setup!$C$5-Setup!$C$6,"",IF(IF(ISNUMBER(Roster!$D20),Setup!$C$23&lt;=Roster!$D20,FALSE),"",IF(OR(IF(Setup!$C$15&lt;=Setup!$C$16,AND(MONTH(E20)&gt;=Setup!$C$15,MONTH(E20)&lt;=Setup!$C$16),OR(MONTH(E20)&gt;=Setup!$C$15,MONTH(E20)&lt;=Setup!$C$16)),IF(Setup!$C$15&lt;=Setup!$C$16,AND(MONTH(WORKDAY(E20,-(Setup!$C$13+Setup!$G$23),Setup!$C$39:$C$50))&gt;=Setup!$C$15,MONTH(WORKDAY(E20,-(Setup!$C$13+Setup!$G$23),Setup!$C$39:$C$50))&lt;=Setup!$C$16),OR(MONTH(WORKDAY(E20,-(Setup!$C$13+Setup!$G$23),Setup!$C$39:$C$50))&gt;=Setup!$C$15,MONTH(WORKDAY(E20,-(Setup!$C$13+Setup!$G$23),Setup!$C$39:$C$50))&lt;=Setup!$C$16))),WORKDAY(E20,-(Setup!$C$13+Setup!$G$23+Setup!$C$14),Setup!$C$39:$C$50),WORKDAY(E20,-(Setup!$C$13+Setup!$G$23),Setup!$C$39:$C$50))+(15*100+4)/10000000)))</f>
        <v/>
      </c>
      <c r="V20" t="str">
        <f>IF(F20="","",IF(F20&lt;Setup!$C$5-Setup!$C$6,"",IF(IF(ISNUMBER(Roster!$D20),Setup!$C$24&lt;=Roster!$D20,FALSE),"",IF(OR(IF(Setup!$C$15&lt;=Setup!$C$16,AND(MONTH(F20)&gt;=Setup!$C$15,MONTH(F20)&lt;=Setup!$C$16),OR(MONTH(F20)&gt;=Setup!$C$15,MONTH(F20)&lt;=Setup!$C$16)),IF(Setup!$C$15&lt;=Setup!$C$16,AND(MONTH(WORKDAY(F20,-(Setup!$C$13+Setup!$G$24),Setup!$C$39:$C$50))&gt;=Setup!$C$15,MONTH(WORKDAY(F20,-(Setup!$C$13+Setup!$G$24),Setup!$C$39:$C$50))&lt;=Setup!$C$16),OR(MONTH(WORKDAY(F20,-(Setup!$C$13+Setup!$G$24),Setup!$C$39:$C$50))&gt;=Setup!$C$15,MONTH(WORKDAY(F20,-(Setup!$C$13+Setup!$G$24),Setup!$C$39:$C$50))&lt;=Setup!$C$16))),WORKDAY(F20,-(Setup!$C$13+Setup!$G$24+Setup!$C$14),Setup!$C$39:$C$50),WORKDAY(F20,-(Setup!$C$13+Setup!$G$24),Setup!$C$39:$C$50))+(15*100+5)/10000000)))</f>
        <v/>
      </c>
      <c r="W20" t="str">
        <f>IF(G20="","",IF(G20&lt;Setup!$C$5-Setup!$C$6,"",IF(IF(ISNUMBER(Roster!$D20),Setup!$C$25&lt;=Roster!$D20,FALSE),"",IF(OR(IF(Setup!$C$15&lt;=Setup!$C$16,AND(MONTH(G20)&gt;=Setup!$C$15,MONTH(G20)&lt;=Setup!$C$16),OR(MONTH(G20)&gt;=Setup!$C$15,MONTH(G20)&lt;=Setup!$C$16)),IF(Setup!$C$15&lt;=Setup!$C$16,AND(MONTH(WORKDAY(G20,-(Setup!$C$13+Setup!$G$25),Setup!$C$39:$C$50))&gt;=Setup!$C$15,MONTH(WORKDAY(G20,-(Setup!$C$13+Setup!$G$25),Setup!$C$39:$C$50))&lt;=Setup!$C$16),OR(MONTH(WORKDAY(G20,-(Setup!$C$13+Setup!$G$25),Setup!$C$39:$C$50))&gt;=Setup!$C$15,MONTH(WORKDAY(G20,-(Setup!$C$13+Setup!$G$25),Setup!$C$39:$C$50))&lt;=Setup!$C$16))),WORKDAY(G20,-(Setup!$C$13+Setup!$G$25+Setup!$C$14),Setup!$C$39:$C$50),WORKDAY(G20,-(Setup!$C$13+Setup!$G$25),Setup!$C$39:$C$50))+(15*100+6)/10000000)))</f>
        <v/>
      </c>
      <c r="X20" t="str">
        <f>IF(H20="","",IF(H20&lt;Setup!$C$5-Setup!$C$6,"",IF(IF(ISNUMBER(Roster!$D20),Setup!$C$26&lt;=Roster!$D20,FALSE),"",IF(OR(IF(Setup!$C$15&lt;=Setup!$C$16,AND(MONTH(H20)&gt;=Setup!$C$15,MONTH(H20)&lt;=Setup!$C$16),OR(MONTH(H20)&gt;=Setup!$C$15,MONTH(H20)&lt;=Setup!$C$16)),IF(Setup!$C$15&lt;=Setup!$C$16,AND(MONTH(WORKDAY(H20,-(Setup!$C$13+Setup!$G$26),Setup!$C$39:$C$50))&gt;=Setup!$C$15,MONTH(WORKDAY(H20,-(Setup!$C$13+Setup!$G$26),Setup!$C$39:$C$50))&lt;=Setup!$C$16),OR(MONTH(WORKDAY(H20,-(Setup!$C$13+Setup!$G$26),Setup!$C$39:$C$50))&gt;=Setup!$C$15,MONTH(WORKDAY(H20,-(Setup!$C$13+Setup!$G$26),Setup!$C$39:$C$50))&lt;=Setup!$C$16))),WORKDAY(H20,-(Setup!$C$13+Setup!$G$26+Setup!$C$14),Setup!$C$39:$C$50),WORKDAY(H20,-(Setup!$C$13+Setup!$G$26),Setup!$C$39:$C$50))+(15*100+7)/10000000)))</f>
        <v/>
      </c>
      <c r="Y20" t="str">
        <f>IF(I20="","",IF(I20&lt;Setup!$C$5-Setup!$C$6,"",IF(IF(ISNUMBER(Roster!$D20),Setup!$C$27&lt;=Roster!$D20,FALSE),"",IF(OR(IF(Setup!$C$15&lt;=Setup!$C$16,AND(MONTH(I20)&gt;=Setup!$C$15,MONTH(I20)&lt;=Setup!$C$16),OR(MONTH(I20)&gt;=Setup!$C$15,MONTH(I20)&lt;=Setup!$C$16)),IF(Setup!$C$15&lt;=Setup!$C$16,AND(MONTH(WORKDAY(I20,-(Setup!$C$13+Setup!$G$27),Setup!$C$39:$C$50))&gt;=Setup!$C$15,MONTH(WORKDAY(I20,-(Setup!$C$13+Setup!$G$27),Setup!$C$39:$C$50))&lt;=Setup!$C$16),OR(MONTH(WORKDAY(I20,-(Setup!$C$13+Setup!$G$27),Setup!$C$39:$C$50))&gt;=Setup!$C$15,MONTH(WORKDAY(I20,-(Setup!$C$13+Setup!$G$27),Setup!$C$39:$C$50))&lt;=Setup!$C$16))),WORKDAY(I20,-(Setup!$C$13+Setup!$G$27+Setup!$C$14),Setup!$C$39:$C$50),WORKDAY(I20,-(Setup!$C$13+Setup!$G$27),Setup!$C$39:$C$50))+(15*100+8)/10000000)))</f>
        <v/>
      </c>
      <c r="Z20" t="str">
        <f>IF(J20="","",IF(J20&lt;Setup!$C$5-Setup!$C$6,"",IF(IF(ISNUMBER(Roster!$D20),Setup!$C$28&lt;=Roster!$D20,FALSE),"",IF(OR(IF(Setup!$C$15&lt;=Setup!$C$16,AND(MONTH(J20)&gt;=Setup!$C$15,MONTH(J20)&lt;=Setup!$C$16),OR(MONTH(J20)&gt;=Setup!$C$15,MONTH(J20)&lt;=Setup!$C$16)),IF(Setup!$C$15&lt;=Setup!$C$16,AND(MONTH(WORKDAY(J20,-(Setup!$C$13+Setup!$G$28),Setup!$C$39:$C$50))&gt;=Setup!$C$15,MONTH(WORKDAY(J20,-(Setup!$C$13+Setup!$G$28),Setup!$C$39:$C$50))&lt;=Setup!$C$16),OR(MONTH(WORKDAY(J20,-(Setup!$C$13+Setup!$G$28),Setup!$C$39:$C$50))&gt;=Setup!$C$15,MONTH(WORKDAY(J20,-(Setup!$C$13+Setup!$G$28),Setup!$C$39:$C$50))&lt;=Setup!$C$16))),WORKDAY(J20,-(Setup!$C$13+Setup!$G$28+Setup!$C$14),Setup!$C$39:$C$50),WORKDAY(J20,-(Setup!$C$13+Setup!$G$28),Setup!$C$39:$C$50))+(15*100+9)/10000000)))</f>
        <v/>
      </c>
      <c r="AA20" t="str">
        <f>IF(K20="","",IF(K20&lt;Setup!$C$5-Setup!$C$6,"",IF(IF(ISNUMBER(Roster!$D20),Setup!$C$29&lt;=Roster!$D20,FALSE),"",IF(OR(IF(Setup!$C$15&lt;=Setup!$C$16,AND(MONTH(K20)&gt;=Setup!$C$15,MONTH(K20)&lt;=Setup!$C$16),OR(MONTH(K20)&gt;=Setup!$C$15,MONTH(K20)&lt;=Setup!$C$16)),IF(Setup!$C$15&lt;=Setup!$C$16,AND(MONTH(WORKDAY(K20,-(Setup!$C$13+Setup!$G$29),Setup!$C$39:$C$50))&gt;=Setup!$C$15,MONTH(WORKDAY(K20,-(Setup!$C$13+Setup!$G$29),Setup!$C$39:$C$50))&lt;=Setup!$C$16),OR(MONTH(WORKDAY(K20,-(Setup!$C$13+Setup!$G$29),Setup!$C$39:$C$50))&gt;=Setup!$C$15,MONTH(WORKDAY(K20,-(Setup!$C$13+Setup!$G$29),Setup!$C$39:$C$50))&lt;=Setup!$C$16))),WORKDAY(K20,-(Setup!$C$13+Setup!$G$29+Setup!$C$14),Setup!$C$39:$C$50),WORKDAY(K20,-(Setup!$C$13+Setup!$G$29),Setup!$C$39:$C$50))+(15*100+10)/10000000)))</f>
        <v/>
      </c>
      <c r="AB20" t="str">
        <f>IF(L20="","",IF(L20&lt;Setup!$C$5-Setup!$C$6,"",IF(IF(ISNUMBER(Roster!$D20),Setup!$C$30&lt;=Roster!$D20,FALSE),"",IF(OR(IF(Setup!$C$15&lt;=Setup!$C$16,AND(MONTH(L20)&gt;=Setup!$C$15,MONTH(L20)&lt;=Setup!$C$16),OR(MONTH(L20)&gt;=Setup!$C$15,MONTH(L20)&lt;=Setup!$C$16)),IF(Setup!$C$15&lt;=Setup!$C$16,AND(MONTH(WORKDAY(L20,-(Setup!$C$13+Setup!$G$30),Setup!$C$39:$C$50))&gt;=Setup!$C$15,MONTH(WORKDAY(L20,-(Setup!$C$13+Setup!$G$30),Setup!$C$39:$C$50))&lt;=Setup!$C$16),OR(MONTH(WORKDAY(L20,-(Setup!$C$13+Setup!$G$30),Setup!$C$39:$C$50))&gt;=Setup!$C$15,MONTH(WORKDAY(L20,-(Setup!$C$13+Setup!$G$30),Setup!$C$39:$C$50))&lt;=Setup!$C$16))),WORKDAY(L20,-(Setup!$C$13+Setup!$G$30+Setup!$C$14),Setup!$C$39:$C$50),WORKDAY(L20,-(Setup!$C$13+Setup!$G$30),Setup!$C$39:$C$50))+(15*100+11)/10000000)))</f>
        <v/>
      </c>
      <c r="AC20" t="str">
        <f>IF(M20="","",IF(M20&lt;Setup!$C$5-Setup!$C$6,"",IF(IF(ISNUMBER(Roster!$D20),Setup!$C$31&lt;=Roster!$D20,FALSE),"",IF(OR(IF(Setup!$C$15&lt;=Setup!$C$16,AND(MONTH(M20)&gt;=Setup!$C$15,MONTH(M20)&lt;=Setup!$C$16),OR(MONTH(M20)&gt;=Setup!$C$15,MONTH(M20)&lt;=Setup!$C$16)),IF(Setup!$C$15&lt;=Setup!$C$16,AND(MONTH(WORKDAY(M20,-(Setup!$C$13+Setup!$G$31),Setup!$C$39:$C$50))&gt;=Setup!$C$15,MONTH(WORKDAY(M20,-(Setup!$C$13+Setup!$G$31),Setup!$C$39:$C$50))&lt;=Setup!$C$16),OR(MONTH(WORKDAY(M20,-(Setup!$C$13+Setup!$G$31),Setup!$C$39:$C$50))&gt;=Setup!$C$15,MONTH(WORKDAY(M20,-(Setup!$C$13+Setup!$G$31),Setup!$C$39:$C$50))&lt;=Setup!$C$16))),WORKDAY(M20,-(Setup!$C$13+Setup!$G$31+Setup!$C$14),Setup!$C$39:$C$50),WORKDAY(M20,-(Setup!$C$13+Setup!$G$31),Setup!$C$39:$C$50))+(15*100+12)/10000000)))</f>
        <v/>
      </c>
      <c r="AD20" t="str">
        <f>IF(N20="","",IF(N20&lt;Setup!$C$5-Setup!$C$6,"",IF(IF(ISNUMBER(Roster!$D20),Setup!$C$32&lt;=Roster!$D20,FALSE),"",IF(OR(IF(Setup!$C$15&lt;=Setup!$C$16,AND(MONTH(N20)&gt;=Setup!$C$15,MONTH(N20)&lt;=Setup!$C$16),OR(MONTH(N20)&gt;=Setup!$C$15,MONTH(N20)&lt;=Setup!$C$16)),IF(Setup!$C$15&lt;=Setup!$C$16,AND(MONTH(WORKDAY(N20,-(Setup!$C$13+Setup!$G$32),Setup!$C$39:$C$50))&gt;=Setup!$C$15,MONTH(WORKDAY(N20,-(Setup!$C$13+Setup!$G$32),Setup!$C$39:$C$50))&lt;=Setup!$C$16),OR(MONTH(WORKDAY(N20,-(Setup!$C$13+Setup!$G$32),Setup!$C$39:$C$50))&gt;=Setup!$C$15,MONTH(WORKDAY(N20,-(Setup!$C$13+Setup!$G$32),Setup!$C$39:$C$50))&lt;=Setup!$C$16))),WORKDAY(N20,-(Setup!$C$13+Setup!$G$32+Setup!$C$14),Setup!$C$39:$C$50),WORKDAY(N20,-(Setup!$C$13+Setup!$G$32),Setup!$C$39:$C$50))+(15*100+13)/10000000)))</f>
        <v/>
      </c>
      <c r="AE20" t="str">
        <f>IF(O20="","",IF(O20&lt;Setup!$C$5-Setup!$C$6,"",IF(IF(ISNUMBER(Roster!$D20),Setup!$C$33&lt;=Roster!$D20,FALSE),"",IF(OR(IF(Setup!$C$15&lt;=Setup!$C$16,AND(MONTH(O20)&gt;=Setup!$C$15,MONTH(O20)&lt;=Setup!$C$16),OR(MONTH(O20)&gt;=Setup!$C$15,MONTH(O20)&lt;=Setup!$C$16)),IF(Setup!$C$15&lt;=Setup!$C$16,AND(MONTH(WORKDAY(O20,-(Setup!$C$13+Setup!$G$33),Setup!$C$39:$C$50))&gt;=Setup!$C$15,MONTH(WORKDAY(O20,-(Setup!$C$13+Setup!$G$33),Setup!$C$39:$C$50))&lt;=Setup!$C$16),OR(MONTH(WORKDAY(O20,-(Setup!$C$13+Setup!$G$33),Setup!$C$39:$C$50))&gt;=Setup!$C$15,MONTH(WORKDAY(O20,-(Setup!$C$13+Setup!$G$33),Setup!$C$39:$C$50))&lt;=Setup!$C$16))),WORKDAY(O20,-(Setup!$C$13+Setup!$G$33+Setup!$C$14),Setup!$C$39:$C$50),WORKDAY(O20,-(Setup!$C$13+Setup!$G$33),Setup!$C$39:$C$50))+(15*100+14)/10000000)))</f>
        <v/>
      </c>
      <c r="AF20" t="str">
        <f>IF(P20="","",IF(P20&lt;Setup!$C$5-Setup!$C$6,"",IF(IF(ISNUMBER(Roster!$D20),Setup!$C$34&lt;=Roster!$D20,FALSE),"",IF(OR(IF(Setup!$C$15&lt;=Setup!$C$16,AND(MONTH(P20)&gt;=Setup!$C$15,MONTH(P20)&lt;=Setup!$C$16),OR(MONTH(P20)&gt;=Setup!$C$15,MONTH(P20)&lt;=Setup!$C$16)),IF(Setup!$C$15&lt;=Setup!$C$16,AND(MONTH(WORKDAY(P20,-(Setup!$C$13+Setup!$G$34),Setup!$C$39:$C$50))&gt;=Setup!$C$15,MONTH(WORKDAY(P20,-(Setup!$C$13+Setup!$G$34),Setup!$C$39:$C$50))&lt;=Setup!$C$16),OR(MONTH(WORKDAY(P20,-(Setup!$C$13+Setup!$G$34),Setup!$C$39:$C$50))&gt;=Setup!$C$15,MONTH(WORKDAY(P20,-(Setup!$C$13+Setup!$G$34),Setup!$C$39:$C$50))&lt;=Setup!$C$16))),WORKDAY(P20,-(Setup!$C$13+Setup!$G$34+Setup!$C$14),Setup!$C$39:$C$50),WORKDAY(P20,-(Setup!$C$13+Setup!$G$34),Setup!$C$39:$C$50))+(15*100+15)/10000000)))</f>
        <v/>
      </c>
      <c r="AH20" t="str">
        <f t="shared" si="0"/>
        <v/>
      </c>
      <c r="AI20" t="str">
        <f t="shared" si="1"/>
        <v/>
      </c>
      <c r="AK20" t="str">
        <f ca="1">IF(15&gt;$AK$2,"",SMALL($R$6:$AF$505,15))</f>
        <v/>
      </c>
      <c r="AL20" t="str">
        <f t="shared" ca="1" si="2"/>
        <v/>
      </c>
      <c r="AM20" t="str">
        <f t="shared" ca="1" si="3"/>
        <v/>
      </c>
      <c r="AN20" t="str">
        <f t="shared" ca="1" si="4"/>
        <v/>
      </c>
      <c r="AP20" t="str">
        <f>IF(ISNUMBER(Roster!$B20),MAX(1,YEAR(Setup!$C$5)-YEAR(Roster!$B20)+IF(EDATE(Roster!$B20,12*(YEAR(Setup!$C$5)-YEAR(Roster!$B20)))&lt;Setup!$C$5,1,0)),"")</f>
        <v/>
      </c>
      <c r="AQ20" s="32" t="str">
        <f>IF(AP20="","",EDATE(Roster!$B20,12*AP20))</f>
        <v/>
      </c>
      <c r="AR20" t="str">
        <f>IF(AQ20="","",IF(AQ20&lt;DATE(YEAR(Setup!$C$5)+1,MONTH(Setup!$C$5),DAY(Setup!$C$5)),AQ20+15/1000,""))</f>
        <v/>
      </c>
      <c r="AS20" t="str">
        <f t="shared" si="5"/>
        <v/>
      </c>
      <c r="AT20" t="str">
        <f>IF(AS20="","",IF(ISNUMBER(Roster!$D20),Roster!$D20&gt;=AP20,FALSE))</f>
        <v/>
      </c>
      <c r="AU20" t="str">
        <f t="shared" si="6"/>
        <v/>
      </c>
      <c r="AV20" t="str">
        <f ca="1">IF(15&gt;$AV$2,"",SMALL($AR$6:$AR$505,15))</f>
        <v/>
      </c>
      <c r="AW20" t="str">
        <f t="shared" ca="1" si="7"/>
        <v/>
      </c>
      <c r="AY20">
        <f>IF(AND(Setup!$B$20="Yes",ISNUMBER(Setup!$C$20)),Setup!$C$20,"")</f>
        <v>1</v>
      </c>
      <c r="AZ20">
        <f t="shared" ref="AZ20:AZ34" si="8">IF(AY20="","",COUNTIF($AY$20:$AY$34,AY20))</f>
        <v>1</v>
      </c>
    </row>
    <row r="21" spans="2:52" x14ac:dyDescent="0.2">
      <c r="B21" s="32" t="str">
        <f>IF(AND(ISNUMBER(Roster!$B21),Setup!$B$20="Yes",ISNUMBER(Setup!$C$20)),EDATE(Roster!$B21,12*Setup!$C$20),"")</f>
        <v/>
      </c>
      <c r="C21" s="32" t="str">
        <f>IF(AND(ISNUMBER(Roster!$B21),Setup!$B$21="Yes",ISNUMBER(Setup!$C$21)),EDATE(Roster!$B21,12*Setup!$C$21),"")</f>
        <v/>
      </c>
      <c r="D21" s="32" t="str">
        <f>IF(AND(ISNUMBER(Roster!$B21),Setup!$B$22="Yes",ISNUMBER(Setup!$C$22)),EDATE(Roster!$B21,12*Setup!$C$22),"")</f>
        <v/>
      </c>
      <c r="E21" s="32" t="str">
        <f>IF(AND(ISNUMBER(Roster!$B21),Setup!$B$23="Yes",ISNUMBER(Setup!$C$23)),EDATE(Roster!$B21,12*Setup!$C$23),"")</f>
        <v/>
      </c>
      <c r="F21" s="32" t="str">
        <f>IF(AND(ISNUMBER(Roster!$B21),Setup!$B$24="Yes",ISNUMBER(Setup!$C$24)),EDATE(Roster!$B21,12*Setup!$C$24),"")</f>
        <v/>
      </c>
      <c r="G21" s="32" t="str">
        <f>IF(AND(ISNUMBER(Roster!$B21),Setup!$B$25="Yes",ISNUMBER(Setup!$C$25)),EDATE(Roster!$B21,12*Setup!$C$25),"")</f>
        <v/>
      </c>
      <c r="H21" s="32" t="str">
        <f>IF(AND(ISNUMBER(Roster!$B21),Setup!$B$26="Yes",ISNUMBER(Setup!$C$26)),EDATE(Roster!$B21,12*Setup!$C$26),"")</f>
        <v/>
      </c>
      <c r="I21" s="32" t="str">
        <f>IF(AND(ISNUMBER(Roster!$B21),Setup!$B$27="Yes",ISNUMBER(Setup!$C$27)),EDATE(Roster!$B21,12*Setup!$C$27),"")</f>
        <v/>
      </c>
      <c r="J21" s="32" t="str">
        <f>IF(AND(ISNUMBER(Roster!$B21),Setup!$B$28="Yes",ISNUMBER(Setup!$C$28)),EDATE(Roster!$B21,12*Setup!$C$28),"")</f>
        <v/>
      </c>
      <c r="K21" s="32" t="str">
        <f>IF(AND(ISNUMBER(Roster!$B21),Setup!$B$29="Yes",ISNUMBER(Setup!$C$29)),EDATE(Roster!$B21,12*Setup!$C$29),"")</f>
        <v/>
      </c>
      <c r="L21" s="32" t="str">
        <f>IF(AND(ISNUMBER(Roster!$B21),Setup!$B$30="Yes",ISNUMBER(Setup!$C$30)),EDATE(Roster!$B21,12*Setup!$C$30),"")</f>
        <v/>
      </c>
      <c r="M21" s="32" t="str">
        <f>IF(AND(ISNUMBER(Roster!$B21),Setup!$B$31="Yes",ISNUMBER(Setup!$C$31)),EDATE(Roster!$B21,12*Setup!$C$31),"")</f>
        <v/>
      </c>
      <c r="N21" s="32" t="str">
        <f>IF(AND(ISNUMBER(Roster!$B21),Setup!$B$32="Yes",ISNUMBER(Setup!$C$32)),EDATE(Roster!$B21,12*Setup!$C$32),"")</f>
        <v/>
      </c>
      <c r="O21" s="32" t="str">
        <f>IF(AND(ISNUMBER(Roster!$B21),Setup!$B$33="Yes",ISNUMBER(Setup!$C$33)),EDATE(Roster!$B21,12*Setup!$C$33),"")</f>
        <v/>
      </c>
      <c r="P21" s="32" t="str">
        <f>IF(AND(ISNUMBER(Roster!$B21),Setup!$B$34="Yes",ISNUMBER(Setup!$C$34)),EDATE(Roster!$B21,12*Setup!$C$34),"")</f>
        <v/>
      </c>
      <c r="R21" t="str">
        <f>IF(B21="","",IF(B21&lt;Setup!$C$5-Setup!$C$6,"",IF(IF(ISNUMBER(Roster!$D21),Setup!$C$20&lt;=Roster!$D21,FALSE),"",IF(OR(IF(Setup!$C$15&lt;=Setup!$C$16,AND(MONTH(B21)&gt;=Setup!$C$15,MONTH(B21)&lt;=Setup!$C$16),OR(MONTH(B21)&gt;=Setup!$C$15,MONTH(B21)&lt;=Setup!$C$16)),IF(Setup!$C$15&lt;=Setup!$C$16,AND(MONTH(WORKDAY(B21,-(Setup!$C$13+Setup!$G$20),Setup!$C$39:$C$50))&gt;=Setup!$C$15,MONTH(WORKDAY(B21,-(Setup!$C$13+Setup!$G$20),Setup!$C$39:$C$50))&lt;=Setup!$C$16),OR(MONTH(WORKDAY(B21,-(Setup!$C$13+Setup!$G$20),Setup!$C$39:$C$50))&gt;=Setup!$C$15,MONTH(WORKDAY(B21,-(Setup!$C$13+Setup!$G$20),Setup!$C$39:$C$50))&lt;=Setup!$C$16))),WORKDAY(B21,-(Setup!$C$13+Setup!$G$20+Setup!$C$14),Setup!$C$39:$C$50),WORKDAY(B21,-(Setup!$C$13+Setup!$G$20),Setup!$C$39:$C$50))+(16*100+1)/10000000)))</f>
        <v/>
      </c>
      <c r="S21" t="str">
        <f>IF(C21="","",IF(C21&lt;Setup!$C$5-Setup!$C$6,"",IF(IF(ISNUMBER(Roster!$D21),Setup!$C$21&lt;=Roster!$D21,FALSE),"",IF(OR(IF(Setup!$C$15&lt;=Setup!$C$16,AND(MONTH(C21)&gt;=Setup!$C$15,MONTH(C21)&lt;=Setup!$C$16),OR(MONTH(C21)&gt;=Setup!$C$15,MONTH(C21)&lt;=Setup!$C$16)),IF(Setup!$C$15&lt;=Setup!$C$16,AND(MONTH(WORKDAY(C21,-(Setup!$C$13+Setup!$G$21),Setup!$C$39:$C$50))&gt;=Setup!$C$15,MONTH(WORKDAY(C21,-(Setup!$C$13+Setup!$G$21),Setup!$C$39:$C$50))&lt;=Setup!$C$16),OR(MONTH(WORKDAY(C21,-(Setup!$C$13+Setup!$G$21),Setup!$C$39:$C$50))&gt;=Setup!$C$15,MONTH(WORKDAY(C21,-(Setup!$C$13+Setup!$G$21),Setup!$C$39:$C$50))&lt;=Setup!$C$16))),WORKDAY(C21,-(Setup!$C$13+Setup!$G$21+Setup!$C$14),Setup!$C$39:$C$50),WORKDAY(C21,-(Setup!$C$13+Setup!$G$21),Setup!$C$39:$C$50))+(16*100+2)/10000000)))</f>
        <v/>
      </c>
      <c r="T21" t="str">
        <f>IF(D21="","",IF(D21&lt;Setup!$C$5-Setup!$C$6,"",IF(IF(ISNUMBER(Roster!$D21),Setup!$C$22&lt;=Roster!$D21,FALSE),"",IF(OR(IF(Setup!$C$15&lt;=Setup!$C$16,AND(MONTH(D21)&gt;=Setup!$C$15,MONTH(D21)&lt;=Setup!$C$16),OR(MONTH(D21)&gt;=Setup!$C$15,MONTH(D21)&lt;=Setup!$C$16)),IF(Setup!$C$15&lt;=Setup!$C$16,AND(MONTH(WORKDAY(D21,-(Setup!$C$13+Setup!$G$22),Setup!$C$39:$C$50))&gt;=Setup!$C$15,MONTH(WORKDAY(D21,-(Setup!$C$13+Setup!$G$22),Setup!$C$39:$C$50))&lt;=Setup!$C$16),OR(MONTH(WORKDAY(D21,-(Setup!$C$13+Setup!$G$22),Setup!$C$39:$C$50))&gt;=Setup!$C$15,MONTH(WORKDAY(D21,-(Setup!$C$13+Setup!$G$22),Setup!$C$39:$C$50))&lt;=Setup!$C$16))),WORKDAY(D21,-(Setup!$C$13+Setup!$G$22+Setup!$C$14),Setup!$C$39:$C$50),WORKDAY(D21,-(Setup!$C$13+Setup!$G$22),Setup!$C$39:$C$50))+(16*100+3)/10000000)))</f>
        <v/>
      </c>
      <c r="U21" t="str">
        <f>IF(E21="","",IF(E21&lt;Setup!$C$5-Setup!$C$6,"",IF(IF(ISNUMBER(Roster!$D21),Setup!$C$23&lt;=Roster!$D21,FALSE),"",IF(OR(IF(Setup!$C$15&lt;=Setup!$C$16,AND(MONTH(E21)&gt;=Setup!$C$15,MONTH(E21)&lt;=Setup!$C$16),OR(MONTH(E21)&gt;=Setup!$C$15,MONTH(E21)&lt;=Setup!$C$16)),IF(Setup!$C$15&lt;=Setup!$C$16,AND(MONTH(WORKDAY(E21,-(Setup!$C$13+Setup!$G$23),Setup!$C$39:$C$50))&gt;=Setup!$C$15,MONTH(WORKDAY(E21,-(Setup!$C$13+Setup!$G$23),Setup!$C$39:$C$50))&lt;=Setup!$C$16),OR(MONTH(WORKDAY(E21,-(Setup!$C$13+Setup!$G$23),Setup!$C$39:$C$50))&gt;=Setup!$C$15,MONTH(WORKDAY(E21,-(Setup!$C$13+Setup!$G$23),Setup!$C$39:$C$50))&lt;=Setup!$C$16))),WORKDAY(E21,-(Setup!$C$13+Setup!$G$23+Setup!$C$14),Setup!$C$39:$C$50),WORKDAY(E21,-(Setup!$C$13+Setup!$G$23),Setup!$C$39:$C$50))+(16*100+4)/10000000)))</f>
        <v/>
      </c>
      <c r="V21" t="str">
        <f>IF(F21="","",IF(F21&lt;Setup!$C$5-Setup!$C$6,"",IF(IF(ISNUMBER(Roster!$D21),Setup!$C$24&lt;=Roster!$D21,FALSE),"",IF(OR(IF(Setup!$C$15&lt;=Setup!$C$16,AND(MONTH(F21)&gt;=Setup!$C$15,MONTH(F21)&lt;=Setup!$C$16),OR(MONTH(F21)&gt;=Setup!$C$15,MONTH(F21)&lt;=Setup!$C$16)),IF(Setup!$C$15&lt;=Setup!$C$16,AND(MONTH(WORKDAY(F21,-(Setup!$C$13+Setup!$G$24),Setup!$C$39:$C$50))&gt;=Setup!$C$15,MONTH(WORKDAY(F21,-(Setup!$C$13+Setup!$G$24),Setup!$C$39:$C$50))&lt;=Setup!$C$16),OR(MONTH(WORKDAY(F21,-(Setup!$C$13+Setup!$G$24),Setup!$C$39:$C$50))&gt;=Setup!$C$15,MONTH(WORKDAY(F21,-(Setup!$C$13+Setup!$G$24),Setup!$C$39:$C$50))&lt;=Setup!$C$16))),WORKDAY(F21,-(Setup!$C$13+Setup!$G$24+Setup!$C$14),Setup!$C$39:$C$50),WORKDAY(F21,-(Setup!$C$13+Setup!$G$24),Setup!$C$39:$C$50))+(16*100+5)/10000000)))</f>
        <v/>
      </c>
      <c r="W21" t="str">
        <f>IF(G21="","",IF(G21&lt;Setup!$C$5-Setup!$C$6,"",IF(IF(ISNUMBER(Roster!$D21),Setup!$C$25&lt;=Roster!$D21,FALSE),"",IF(OR(IF(Setup!$C$15&lt;=Setup!$C$16,AND(MONTH(G21)&gt;=Setup!$C$15,MONTH(G21)&lt;=Setup!$C$16),OR(MONTH(G21)&gt;=Setup!$C$15,MONTH(G21)&lt;=Setup!$C$16)),IF(Setup!$C$15&lt;=Setup!$C$16,AND(MONTH(WORKDAY(G21,-(Setup!$C$13+Setup!$G$25),Setup!$C$39:$C$50))&gt;=Setup!$C$15,MONTH(WORKDAY(G21,-(Setup!$C$13+Setup!$G$25),Setup!$C$39:$C$50))&lt;=Setup!$C$16),OR(MONTH(WORKDAY(G21,-(Setup!$C$13+Setup!$G$25),Setup!$C$39:$C$50))&gt;=Setup!$C$15,MONTH(WORKDAY(G21,-(Setup!$C$13+Setup!$G$25),Setup!$C$39:$C$50))&lt;=Setup!$C$16))),WORKDAY(G21,-(Setup!$C$13+Setup!$G$25+Setup!$C$14),Setup!$C$39:$C$50),WORKDAY(G21,-(Setup!$C$13+Setup!$G$25),Setup!$C$39:$C$50))+(16*100+6)/10000000)))</f>
        <v/>
      </c>
      <c r="X21" t="str">
        <f>IF(H21="","",IF(H21&lt;Setup!$C$5-Setup!$C$6,"",IF(IF(ISNUMBER(Roster!$D21),Setup!$C$26&lt;=Roster!$D21,FALSE),"",IF(OR(IF(Setup!$C$15&lt;=Setup!$C$16,AND(MONTH(H21)&gt;=Setup!$C$15,MONTH(H21)&lt;=Setup!$C$16),OR(MONTH(H21)&gt;=Setup!$C$15,MONTH(H21)&lt;=Setup!$C$16)),IF(Setup!$C$15&lt;=Setup!$C$16,AND(MONTH(WORKDAY(H21,-(Setup!$C$13+Setup!$G$26),Setup!$C$39:$C$50))&gt;=Setup!$C$15,MONTH(WORKDAY(H21,-(Setup!$C$13+Setup!$G$26),Setup!$C$39:$C$50))&lt;=Setup!$C$16),OR(MONTH(WORKDAY(H21,-(Setup!$C$13+Setup!$G$26),Setup!$C$39:$C$50))&gt;=Setup!$C$15,MONTH(WORKDAY(H21,-(Setup!$C$13+Setup!$G$26),Setup!$C$39:$C$50))&lt;=Setup!$C$16))),WORKDAY(H21,-(Setup!$C$13+Setup!$G$26+Setup!$C$14),Setup!$C$39:$C$50),WORKDAY(H21,-(Setup!$C$13+Setup!$G$26),Setup!$C$39:$C$50))+(16*100+7)/10000000)))</f>
        <v/>
      </c>
      <c r="Y21" t="str">
        <f>IF(I21="","",IF(I21&lt;Setup!$C$5-Setup!$C$6,"",IF(IF(ISNUMBER(Roster!$D21),Setup!$C$27&lt;=Roster!$D21,FALSE),"",IF(OR(IF(Setup!$C$15&lt;=Setup!$C$16,AND(MONTH(I21)&gt;=Setup!$C$15,MONTH(I21)&lt;=Setup!$C$16),OR(MONTH(I21)&gt;=Setup!$C$15,MONTH(I21)&lt;=Setup!$C$16)),IF(Setup!$C$15&lt;=Setup!$C$16,AND(MONTH(WORKDAY(I21,-(Setup!$C$13+Setup!$G$27),Setup!$C$39:$C$50))&gt;=Setup!$C$15,MONTH(WORKDAY(I21,-(Setup!$C$13+Setup!$G$27),Setup!$C$39:$C$50))&lt;=Setup!$C$16),OR(MONTH(WORKDAY(I21,-(Setup!$C$13+Setup!$G$27),Setup!$C$39:$C$50))&gt;=Setup!$C$15,MONTH(WORKDAY(I21,-(Setup!$C$13+Setup!$G$27),Setup!$C$39:$C$50))&lt;=Setup!$C$16))),WORKDAY(I21,-(Setup!$C$13+Setup!$G$27+Setup!$C$14),Setup!$C$39:$C$50),WORKDAY(I21,-(Setup!$C$13+Setup!$G$27),Setup!$C$39:$C$50))+(16*100+8)/10000000)))</f>
        <v/>
      </c>
      <c r="Z21" t="str">
        <f>IF(J21="","",IF(J21&lt;Setup!$C$5-Setup!$C$6,"",IF(IF(ISNUMBER(Roster!$D21),Setup!$C$28&lt;=Roster!$D21,FALSE),"",IF(OR(IF(Setup!$C$15&lt;=Setup!$C$16,AND(MONTH(J21)&gt;=Setup!$C$15,MONTH(J21)&lt;=Setup!$C$16),OR(MONTH(J21)&gt;=Setup!$C$15,MONTH(J21)&lt;=Setup!$C$16)),IF(Setup!$C$15&lt;=Setup!$C$16,AND(MONTH(WORKDAY(J21,-(Setup!$C$13+Setup!$G$28),Setup!$C$39:$C$50))&gt;=Setup!$C$15,MONTH(WORKDAY(J21,-(Setup!$C$13+Setup!$G$28),Setup!$C$39:$C$50))&lt;=Setup!$C$16),OR(MONTH(WORKDAY(J21,-(Setup!$C$13+Setup!$G$28),Setup!$C$39:$C$50))&gt;=Setup!$C$15,MONTH(WORKDAY(J21,-(Setup!$C$13+Setup!$G$28),Setup!$C$39:$C$50))&lt;=Setup!$C$16))),WORKDAY(J21,-(Setup!$C$13+Setup!$G$28+Setup!$C$14),Setup!$C$39:$C$50),WORKDAY(J21,-(Setup!$C$13+Setup!$G$28),Setup!$C$39:$C$50))+(16*100+9)/10000000)))</f>
        <v/>
      </c>
      <c r="AA21" t="str">
        <f>IF(K21="","",IF(K21&lt;Setup!$C$5-Setup!$C$6,"",IF(IF(ISNUMBER(Roster!$D21),Setup!$C$29&lt;=Roster!$D21,FALSE),"",IF(OR(IF(Setup!$C$15&lt;=Setup!$C$16,AND(MONTH(K21)&gt;=Setup!$C$15,MONTH(K21)&lt;=Setup!$C$16),OR(MONTH(K21)&gt;=Setup!$C$15,MONTH(K21)&lt;=Setup!$C$16)),IF(Setup!$C$15&lt;=Setup!$C$16,AND(MONTH(WORKDAY(K21,-(Setup!$C$13+Setup!$G$29),Setup!$C$39:$C$50))&gt;=Setup!$C$15,MONTH(WORKDAY(K21,-(Setup!$C$13+Setup!$G$29),Setup!$C$39:$C$50))&lt;=Setup!$C$16),OR(MONTH(WORKDAY(K21,-(Setup!$C$13+Setup!$G$29),Setup!$C$39:$C$50))&gt;=Setup!$C$15,MONTH(WORKDAY(K21,-(Setup!$C$13+Setup!$G$29),Setup!$C$39:$C$50))&lt;=Setup!$C$16))),WORKDAY(K21,-(Setup!$C$13+Setup!$G$29+Setup!$C$14),Setup!$C$39:$C$50),WORKDAY(K21,-(Setup!$C$13+Setup!$G$29),Setup!$C$39:$C$50))+(16*100+10)/10000000)))</f>
        <v/>
      </c>
      <c r="AB21" t="str">
        <f>IF(L21="","",IF(L21&lt;Setup!$C$5-Setup!$C$6,"",IF(IF(ISNUMBER(Roster!$D21),Setup!$C$30&lt;=Roster!$D21,FALSE),"",IF(OR(IF(Setup!$C$15&lt;=Setup!$C$16,AND(MONTH(L21)&gt;=Setup!$C$15,MONTH(L21)&lt;=Setup!$C$16),OR(MONTH(L21)&gt;=Setup!$C$15,MONTH(L21)&lt;=Setup!$C$16)),IF(Setup!$C$15&lt;=Setup!$C$16,AND(MONTH(WORKDAY(L21,-(Setup!$C$13+Setup!$G$30),Setup!$C$39:$C$50))&gt;=Setup!$C$15,MONTH(WORKDAY(L21,-(Setup!$C$13+Setup!$G$30),Setup!$C$39:$C$50))&lt;=Setup!$C$16),OR(MONTH(WORKDAY(L21,-(Setup!$C$13+Setup!$G$30),Setup!$C$39:$C$50))&gt;=Setup!$C$15,MONTH(WORKDAY(L21,-(Setup!$C$13+Setup!$G$30),Setup!$C$39:$C$50))&lt;=Setup!$C$16))),WORKDAY(L21,-(Setup!$C$13+Setup!$G$30+Setup!$C$14),Setup!$C$39:$C$50),WORKDAY(L21,-(Setup!$C$13+Setup!$G$30),Setup!$C$39:$C$50))+(16*100+11)/10000000)))</f>
        <v/>
      </c>
      <c r="AC21" t="str">
        <f>IF(M21="","",IF(M21&lt;Setup!$C$5-Setup!$C$6,"",IF(IF(ISNUMBER(Roster!$D21),Setup!$C$31&lt;=Roster!$D21,FALSE),"",IF(OR(IF(Setup!$C$15&lt;=Setup!$C$16,AND(MONTH(M21)&gt;=Setup!$C$15,MONTH(M21)&lt;=Setup!$C$16),OR(MONTH(M21)&gt;=Setup!$C$15,MONTH(M21)&lt;=Setup!$C$16)),IF(Setup!$C$15&lt;=Setup!$C$16,AND(MONTH(WORKDAY(M21,-(Setup!$C$13+Setup!$G$31),Setup!$C$39:$C$50))&gt;=Setup!$C$15,MONTH(WORKDAY(M21,-(Setup!$C$13+Setup!$G$31),Setup!$C$39:$C$50))&lt;=Setup!$C$16),OR(MONTH(WORKDAY(M21,-(Setup!$C$13+Setup!$G$31),Setup!$C$39:$C$50))&gt;=Setup!$C$15,MONTH(WORKDAY(M21,-(Setup!$C$13+Setup!$G$31),Setup!$C$39:$C$50))&lt;=Setup!$C$16))),WORKDAY(M21,-(Setup!$C$13+Setup!$G$31+Setup!$C$14),Setup!$C$39:$C$50),WORKDAY(M21,-(Setup!$C$13+Setup!$G$31),Setup!$C$39:$C$50))+(16*100+12)/10000000)))</f>
        <v/>
      </c>
      <c r="AD21" t="str">
        <f>IF(N21="","",IF(N21&lt;Setup!$C$5-Setup!$C$6,"",IF(IF(ISNUMBER(Roster!$D21),Setup!$C$32&lt;=Roster!$D21,FALSE),"",IF(OR(IF(Setup!$C$15&lt;=Setup!$C$16,AND(MONTH(N21)&gt;=Setup!$C$15,MONTH(N21)&lt;=Setup!$C$16),OR(MONTH(N21)&gt;=Setup!$C$15,MONTH(N21)&lt;=Setup!$C$16)),IF(Setup!$C$15&lt;=Setup!$C$16,AND(MONTH(WORKDAY(N21,-(Setup!$C$13+Setup!$G$32),Setup!$C$39:$C$50))&gt;=Setup!$C$15,MONTH(WORKDAY(N21,-(Setup!$C$13+Setup!$G$32),Setup!$C$39:$C$50))&lt;=Setup!$C$16),OR(MONTH(WORKDAY(N21,-(Setup!$C$13+Setup!$G$32),Setup!$C$39:$C$50))&gt;=Setup!$C$15,MONTH(WORKDAY(N21,-(Setup!$C$13+Setup!$G$32),Setup!$C$39:$C$50))&lt;=Setup!$C$16))),WORKDAY(N21,-(Setup!$C$13+Setup!$G$32+Setup!$C$14),Setup!$C$39:$C$50),WORKDAY(N21,-(Setup!$C$13+Setup!$G$32),Setup!$C$39:$C$50))+(16*100+13)/10000000)))</f>
        <v/>
      </c>
      <c r="AE21" t="str">
        <f>IF(O21="","",IF(O21&lt;Setup!$C$5-Setup!$C$6,"",IF(IF(ISNUMBER(Roster!$D21),Setup!$C$33&lt;=Roster!$D21,FALSE),"",IF(OR(IF(Setup!$C$15&lt;=Setup!$C$16,AND(MONTH(O21)&gt;=Setup!$C$15,MONTH(O21)&lt;=Setup!$C$16),OR(MONTH(O21)&gt;=Setup!$C$15,MONTH(O21)&lt;=Setup!$C$16)),IF(Setup!$C$15&lt;=Setup!$C$16,AND(MONTH(WORKDAY(O21,-(Setup!$C$13+Setup!$G$33),Setup!$C$39:$C$50))&gt;=Setup!$C$15,MONTH(WORKDAY(O21,-(Setup!$C$13+Setup!$G$33),Setup!$C$39:$C$50))&lt;=Setup!$C$16),OR(MONTH(WORKDAY(O21,-(Setup!$C$13+Setup!$G$33),Setup!$C$39:$C$50))&gt;=Setup!$C$15,MONTH(WORKDAY(O21,-(Setup!$C$13+Setup!$G$33),Setup!$C$39:$C$50))&lt;=Setup!$C$16))),WORKDAY(O21,-(Setup!$C$13+Setup!$G$33+Setup!$C$14),Setup!$C$39:$C$50),WORKDAY(O21,-(Setup!$C$13+Setup!$G$33),Setup!$C$39:$C$50))+(16*100+14)/10000000)))</f>
        <v/>
      </c>
      <c r="AF21" t="str">
        <f>IF(P21="","",IF(P21&lt;Setup!$C$5-Setup!$C$6,"",IF(IF(ISNUMBER(Roster!$D21),Setup!$C$34&lt;=Roster!$D21,FALSE),"",IF(OR(IF(Setup!$C$15&lt;=Setup!$C$16,AND(MONTH(P21)&gt;=Setup!$C$15,MONTH(P21)&lt;=Setup!$C$16),OR(MONTH(P21)&gt;=Setup!$C$15,MONTH(P21)&lt;=Setup!$C$16)),IF(Setup!$C$15&lt;=Setup!$C$16,AND(MONTH(WORKDAY(P21,-(Setup!$C$13+Setup!$G$34),Setup!$C$39:$C$50))&gt;=Setup!$C$15,MONTH(WORKDAY(P21,-(Setup!$C$13+Setup!$G$34),Setup!$C$39:$C$50))&lt;=Setup!$C$16),OR(MONTH(WORKDAY(P21,-(Setup!$C$13+Setup!$G$34),Setup!$C$39:$C$50))&gt;=Setup!$C$15,MONTH(WORKDAY(P21,-(Setup!$C$13+Setup!$G$34),Setup!$C$39:$C$50))&lt;=Setup!$C$16))),WORKDAY(P21,-(Setup!$C$13+Setup!$G$34+Setup!$C$14),Setup!$C$39:$C$50),WORKDAY(P21,-(Setup!$C$13+Setup!$G$34),Setup!$C$39:$C$50))+(16*100+15)/10000000)))</f>
        <v/>
      </c>
      <c r="AH21" t="str">
        <f t="shared" si="0"/>
        <v/>
      </c>
      <c r="AI21" t="str">
        <f t="shared" si="1"/>
        <v/>
      </c>
      <c r="AK21" t="str">
        <f ca="1">IF(16&gt;$AK$2,"",SMALL($R$6:$AF$505,16))</f>
        <v/>
      </c>
      <c r="AL21" t="str">
        <f t="shared" ca="1" si="2"/>
        <v/>
      </c>
      <c r="AM21" t="str">
        <f t="shared" ca="1" si="3"/>
        <v/>
      </c>
      <c r="AN21" t="str">
        <f t="shared" ca="1" si="4"/>
        <v/>
      </c>
      <c r="AP21" t="str">
        <f>IF(ISNUMBER(Roster!$B21),MAX(1,YEAR(Setup!$C$5)-YEAR(Roster!$B21)+IF(EDATE(Roster!$B21,12*(YEAR(Setup!$C$5)-YEAR(Roster!$B21)))&lt;Setup!$C$5,1,0)),"")</f>
        <v/>
      </c>
      <c r="AQ21" s="32" t="str">
        <f>IF(AP21="","",EDATE(Roster!$B21,12*AP21))</f>
        <v/>
      </c>
      <c r="AR21" t="str">
        <f>IF(AQ21="","",IF(AQ21&lt;DATE(YEAR(Setup!$C$5)+1,MONTH(Setup!$C$5),DAY(Setup!$C$5)),AQ21+16/1000,""))</f>
        <v/>
      </c>
      <c r="AS21" t="str">
        <f t="shared" si="5"/>
        <v/>
      </c>
      <c r="AT21" t="str">
        <f>IF(AS21="","",IF(ISNUMBER(Roster!$D21),Roster!$D21&gt;=AP21,FALSE))</f>
        <v/>
      </c>
      <c r="AU21" t="str">
        <f t="shared" si="6"/>
        <v/>
      </c>
      <c r="AV21" t="str">
        <f ca="1">IF(16&gt;$AV$2,"",SMALL($AR$6:$AR$505,16))</f>
        <v/>
      </c>
      <c r="AW21" t="str">
        <f t="shared" ca="1" si="7"/>
        <v/>
      </c>
      <c r="AY21">
        <f>IF(AND(Setup!$B$21="Yes",ISNUMBER(Setup!$C$21)),Setup!$C$21,"")</f>
        <v>3</v>
      </c>
      <c r="AZ21">
        <f t="shared" si="8"/>
        <v>1</v>
      </c>
    </row>
    <row r="22" spans="2:52" x14ac:dyDescent="0.2">
      <c r="B22" s="32" t="str">
        <f>IF(AND(ISNUMBER(Roster!$B22),Setup!$B$20="Yes",ISNUMBER(Setup!$C$20)),EDATE(Roster!$B22,12*Setup!$C$20),"")</f>
        <v/>
      </c>
      <c r="C22" s="32" t="str">
        <f>IF(AND(ISNUMBER(Roster!$B22),Setup!$B$21="Yes",ISNUMBER(Setup!$C$21)),EDATE(Roster!$B22,12*Setup!$C$21),"")</f>
        <v/>
      </c>
      <c r="D22" s="32" t="str">
        <f>IF(AND(ISNUMBER(Roster!$B22),Setup!$B$22="Yes",ISNUMBER(Setup!$C$22)),EDATE(Roster!$B22,12*Setup!$C$22),"")</f>
        <v/>
      </c>
      <c r="E22" s="32" t="str">
        <f>IF(AND(ISNUMBER(Roster!$B22),Setup!$B$23="Yes",ISNUMBER(Setup!$C$23)),EDATE(Roster!$B22,12*Setup!$C$23),"")</f>
        <v/>
      </c>
      <c r="F22" s="32" t="str">
        <f>IF(AND(ISNUMBER(Roster!$B22),Setup!$B$24="Yes",ISNUMBER(Setup!$C$24)),EDATE(Roster!$B22,12*Setup!$C$24),"")</f>
        <v/>
      </c>
      <c r="G22" s="32" t="str">
        <f>IF(AND(ISNUMBER(Roster!$B22),Setup!$B$25="Yes",ISNUMBER(Setup!$C$25)),EDATE(Roster!$B22,12*Setup!$C$25),"")</f>
        <v/>
      </c>
      <c r="H22" s="32" t="str">
        <f>IF(AND(ISNUMBER(Roster!$B22),Setup!$B$26="Yes",ISNUMBER(Setup!$C$26)),EDATE(Roster!$B22,12*Setup!$C$26),"")</f>
        <v/>
      </c>
      <c r="I22" s="32" t="str">
        <f>IF(AND(ISNUMBER(Roster!$B22),Setup!$B$27="Yes",ISNUMBER(Setup!$C$27)),EDATE(Roster!$B22,12*Setup!$C$27),"")</f>
        <v/>
      </c>
      <c r="J22" s="32" t="str">
        <f>IF(AND(ISNUMBER(Roster!$B22),Setup!$B$28="Yes",ISNUMBER(Setup!$C$28)),EDATE(Roster!$B22,12*Setup!$C$28),"")</f>
        <v/>
      </c>
      <c r="K22" s="32" t="str">
        <f>IF(AND(ISNUMBER(Roster!$B22),Setup!$B$29="Yes",ISNUMBER(Setup!$C$29)),EDATE(Roster!$B22,12*Setup!$C$29),"")</f>
        <v/>
      </c>
      <c r="L22" s="32" t="str">
        <f>IF(AND(ISNUMBER(Roster!$B22),Setup!$B$30="Yes",ISNUMBER(Setup!$C$30)),EDATE(Roster!$B22,12*Setup!$C$30),"")</f>
        <v/>
      </c>
      <c r="M22" s="32" t="str">
        <f>IF(AND(ISNUMBER(Roster!$B22),Setup!$B$31="Yes",ISNUMBER(Setup!$C$31)),EDATE(Roster!$B22,12*Setup!$C$31),"")</f>
        <v/>
      </c>
      <c r="N22" s="32" t="str">
        <f>IF(AND(ISNUMBER(Roster!$B22),Setup!$B$32="Yes",ISNUMBER(Setup!$C$32)),EDATE(Roster!$B22,12*Setup!$C$32),"")</f>
        <v/>
      </c>
      <c r="O22" s="32" t="str">
        <f>IF(AND(ISNUMBER(Roster!$B22),Setup!$B$33="Yes",ISNUMBER(Setup!$C$33)),EDATE(Roster!$B22,12*Setup!$C$33),"")</f>
        <v/>
      </c>
      <c r="P22" s="32" t="str">
        <f>IF(AND(ISNUMBER(Roster!$B22),Setup!$B$34="Yes",ISNUMBER(Setup!$C$34)),EDATE(Roster!$B22,12*Setup!$C$34),"")</f>
        <v/>
      </c>
      <c r="R22" t="str">
        <f>IF(B22="","",IF(B22&lt;Setup!$C$5-Setup!$C$6,"",IF(IF(ISNUMBER(Roster!$D22),Setup!$C$20&lt;=Roster!$D22,FALSE),"",IF(OR(IF(Setup!$C$15&lt;=Setup!$C$16,AND(MONTH(B22)&gt;=Setup!$C$15,MONTH(B22)&lt;=Setup!$C$16),OR(MONTH(B22)&gt;=Setup!$C$15,MONTH(B22)&lt;=Setup!$C$16)),IF(Setup!$C$15&lt;=Setup!$C$16,AND(MONTH(WORKDAY(B22,-(Setup!$C$13+Setup!$G$20),Setup!$C$39:$C$50))&gt;=Setup!$C$15,MONTH(WORKDAY(B22,-(Setup!$C$13+Setup!$G$20),Setup!$C$39:$C$50))&lt;=Setup!$C$16),OR(MONTH(WORKDAY(B22,-(Setup!$C$13+Setup!$G$20),Setup!$C$39:$C$50))&gt;=Setup!$C$15,MONTH(WORKDAY(B22,-(Setup!$C$13+Setup!$G$20),Setup!$C$39:$C$50))&lt;=Setup!$C$16))),WORKDAY(B22,-(Setup!$C$13+Setup!$G$20+Setup!$C$14),Setup!$C$39:$C$50),WORKDAY(B22,-(Setup!$C$13+Setup!$G$20),Setup!$C$39:$C$50))+(17*100+1)/10000000)))</f>
        <v/>
      </c>
      <c r="S22" t="str">
        <f>IF(C22="","",IF(C22&lt;Setup!$C$5-Setup!$C$6,"",IF(IF(ISNUMBER(Roster!$D22),Setup!$C$21&lt;=Roster!$D22,FALSE),"",IF(OR(IF(Setup!$C$15&lt;=Setup!$C$16,AND(MONTH(C22)&gt;=Setup!$C$15,MONTH(C22)&lt;=Setup!$C$16),OR(MONTH(C22)&gt;=Setup!$C$15,MONTH(C22)&lt;=Setup!$C$16)),IF(Setup!$C$15&lt;=Setup!$C$16,AND(MONTH(WORKDAY(C22,-(Setup!$C$13+Setup!$G$21),Setup!$C$39:$C$50))&gt;=Setup!$C$15,MONTH(WORKDAY(C22,-(Setup!$C$13+Setup!$G$21),Setup!$C$39:$C$50))&lt;=Setup!$C$16),OR(MONTH(WORKDAY(C22,-(Setup!$C$13+Setup!$G$21),Setup!$C$39:$C$50))&gt;=Setup!$C$15,MONTH(WORKDAY(C22,-(Setup!$C$13+Setup!$G$21),Setup!$C$39:$C$50))&lt;=Setup!$C$16))),WORKDAY(C22,-(Setup!$C$13+Setup!$G$21+Setup!$C$14),Setup!$C$39:$C$50),WORKDAY(C22,-(Setup!$C$13+Setup!$G$21),Setup!$C$39:$C$50))+(17*100+2)/10000000)))</f>
        <v/>
      </c>
      <c r="T22" t="str">
        <f>IF(D22="","",IF(D22&lt;Setup!$C$5-Setup!$C$6,"",IF(IF(ISNUMBER(Roster!$D22),Setup!$C$22&lt;=Roster!$D22,FALSE),"",IF(OR(IF(Setup!$C$15&lt;=Setup!$C$16,AND(MONTH(D22)&gt;=Setup!$C$15,MONTH(D22)&lt;=Setup!$C$16),OR(MONTH(D22)&gt;=Setup!$C$15,MONTH(D22)&lt;=Setup!$C$16)),IF(Setup!$C$15&lt;=Setup!$C$16,AND(MONTH(WORKDAY(D22,-(Setup!$C$13+Setup!$G$22),Setup!$C$39:$C$50))&gt;=Setup!$C$15,MONTH(WORKDAY(D22,-(Setup!$C$13+Setup!$G$22),Setup!$C$39:$C$50))&lt;=Setup!$C$16),OR(MONTH(WORKDAY(D22,-(Setup!$C$13+Setup!$G$22),Setup!$C$39:$C$50))&gt;=Setup!$C$15,MONTH(WORKDAY(D22,-(Setup!$C$13+Setup!$G$22),Setup!$C$39:$C$50))&lt;=Setup!$C$16))),WORKDAY(D22,-(Setup!$C$13+Setup!$G$22+Setup!$C$14),Setup!$C$39:$C$50),WORKDAY(D22,-(Setup!$C$13+Setup!$G$22),Setup!$C$39:$C$50))+(17*100+3)/10000000)))</f>
        <v/>
      </c>
      <c r="U22" t="str">
        <f>IF(E22="","",IF(E22&lt;Setup!$C$5-Setup!$C$6,"",IF(IF(ISNUMBER(Roster!$D22),Setup!$C$23&lt;=Roster!$D22,FALSE),"",IF(OR(IF(Setup!$C$15&lt;=Setup!$C$16,AND(MONTH(E22)&gt;=Setup!$C$15,MONTH(E22)&lt;=Setup!$C$16),OR(MONTH(E22)&gt;=Setup!$C$15,MONTH(E22)&lt;=Setup!$C$16)),IF(Setup!$C$15&lt;=Setup!$C$16,AND(MONTH(WORKDAY(E22,-(Setup!$C$13+Setup!$G$23),Setup!$C$39:$C$50))&gt;=Setup!$C$15,MONTH(WORKDAY(E22,-(Setup!$C$13+Setup!$G$23),Setup!$C$39:$C$50))&lt;=Setup!$C$16),OR(MONTH(WORKDAY(E22,-(Setup!$C$13+Setup!$G$23),Setup!$C$39:$C$50))&gt;=Setup!$C$15,MONTH(WORKDAY(E22,-(Setup!$C$13+Setup!$G$23),Setup!$C$39:$C$50))&lt;=Setup!$C$16))),WORKDAY(E22,-(Setup!$C$13+Setup!$G$23+Setup!$C$14),Setup!$C$39:$C$50),WORKDAY(E22,-(Setup!$C$13+Setup!$G$23),Setup!$C$39:$C$50))+(17*100+4)/10000000)))</f>
        <v/>
      </c>
      <c r="V22" t="str">
        <f>IF(F22="","",IF(F22&lt;Setup!$C$5-Setup!$C$6,"",IF(IF(ISNUMBER(Roster!$D22),Setup!$C$24&lt;=Roster!$D22,FALSE),"",IF(OR(IF(Setup!$C$15&lt;=Setup!$C$16,AND(MONTH(F22)&gt;=Setup!$C$15,MONTH(F22)&lt;=Setup!$C$16),OR(MONTH(F22)&gt;=Setup!$C$15,MONTH(F22)&lt;=Setup!$C$16)),IF(Setup!$C$15&lt;=Setup!$C$16,AND(MONTH(WORKDAY(F22,-(Setup!$C$13+Setup!$G$24),Setup!$C$39:$C$50))&gt;=Setup!$C$15,MONTH(WORKDAY(F22,-(Setup!$C$13+Setup!$G$24),Setup!$C$39:$C$50))&lt;=Setup!$C$16),OR(MONTH(WORKDAY(F22,-(Setup!$C$13+Setup!$G$24),Setup!$C$39:$C$50))&gt;=Setup!$C$15,MONTH(WORKDAY(F22,-(Setup!$C$13+Setup!$G$24),Setup!$C$39:$C$50))&lt;=Setup!$C$16))),WORKDAY(F22,-(Setup!$C$13+Setup!$G$24+Setup!$C$14),Setup!$C$39:$C$50),WORKDAY(F22,-(Setup!$C$13+Setup!$G$24),Setup!$C$39:$C$50))+(17*100+5)/10000000)))</f>
        <v/>
      </c>
      <c r="W22" t="str">
        <f>IF(G22="","",IF(G22&lt;Setup!$C$5-Setup!$C$6,"",IF(IF(ISNUMBER(Roster!$D22),Setup!$C$25&lt;=Roster!$D22,FALSE),"",IF(OR(IF(Setup!$C$15&lt;=Setup!$C$16,AND(MONTH(G22)&gt;=Setup!$C$15,MONTH(G22)&lt;=Setup!$C$16),OR(MONTH(G22)&gt;=Setup!$C$15,MONTH(G22)&lt;=Setup!$C$16)),IF(Setup!$C$15&lt;=Setup!$C$16,AND(MONTH(WORKDAY(G22,-(Setup!$C$13+Setup!$G$25),Setup!$C$39:$C$50))&gt;=Setup!$C$15,MONTH(WORKDAY(G22,-(Setup!$C$13+Setup!$G$25),Setup!$C$39:$C$50))&lt;=Setup!$C$16),OR(MONTH(WORKDAY(G22,-(Setup!$C$13+Setup!$G$25),Setup!$C$39:$C$50))&gt;=Setup!$C$15,MONTH(WORKDAY(G22,-(Setup!$C$13+Setup!$G$25),Setup!$C$39:$C$50))&lt;=Setup!$C$16))),WORKDAY(G22,-(Setup!$C$13+Setup!$G$25+Setup!$C$14),Setup!$C$39:$C$50),WORKDAY(G22,-(Setup!$C$13+Setup!$G$25),Setup!$C$39:$C$50))+(17*100+6)/10000000)))</f>
        <v/>
      </c>
      <c r="X22" t="str">
        <f>IF(H22="","",IF(H22&lt;Setup!$C$5-Setup!$C$6,"",IF(IF(ISNUMBER(Roster!$D22),Setup!$C$26&lt;=Roster!$D22,FALSE),"",IF(OR(IF(Setup!$C$15&lt;=Setup!$C$16,AND(MONTH(H22)&gt;=Setup!$C$15,MONTH(H22)&lt;=Setup!$C$16),OR(MONTH(H22)&gt;=Setup!$C$15,MONTH(H22)&lt;=Setup!$C$16)),IF(Setup!$C$15&lt;=Setup!$C$16,AND(MONTH(WORKDAY(H22,-(Setup!$C$13+Setup!$G$26),Setup!$C$39:$C$50))&gt;=Setup!$C$15,MONTH(WORKDAY(H22,-(Setup!$C$13+Setup!$G$26),Setup!$C$39:$C$50))&lt;=Setup!$C$16),OR(MONTH(WORKDAY(H22,-(Setup!$C$13+Setup!$G$26),Setup!$C$39:$C$50))&gt;=Setup!$C$15,MONTH(WORKDAY(H22,-(Setup!$C$13+Setup!$G$26),Setup!$C$39:$C$50))&lt;=Setup!$C$16))),WORKDAY(H22,-(Setup!$C$13+Setup!$G$26+Setup!$C$14),Setup!$C$39:$C$50),WORKDAY(H22,-(Setup!$C$13+Setup!$G$26),Setup!$C$39:$C$50))+(17*100+7)/10000000)))</f>
        <v/>
      </c>
      <c r="Y22" t="str">
        <f>IF(I22="","",IF(I22&lt;Setup!$C$5-Setup!$C$6,"",IF(IF(ISNUMBER(Roster!$D22),Setup!$C$27&lt;=Roster!$D22,FALSE),"",IF(OR(IF(Setup!$C$15&lt;=Setup!$C$16,AND(MONTH(I22)&gt;=Setup!$C$15,MONTH(I22)&lt;=Setup!$C$16),OR(MONTH(I22)&gt;=Setup!$C$15,MONTH(I22)&lt;=Setup!$C$16)),IF(Setup!$C$15&lt;=Setup!$C$16,AND(MONTH(WORKDAY(I22,-(Setup!$C$13+Setup!$G$27),Setup!$C$39:$C$50))&gt;=Setup!$C$15,MONTH(WORKDAY(I22,-(Setup!$C$13+Setup!$G$27),Setup!$C$39:$C$50))&lt;=Setup!$C$16),OR(MONTH(WORKDAY(I22,-(Setup!$C$13+Setup!$G$27),Setup!$C$39:$C$50))&gt;=Setup!$C$15,MONTH(WORKDAY(I22,-(Setup!$C$13+Setup!$G$27),Setup!$C$39:$C$50))&lt;=Setup!$C$16))),WORKDAY(I22,-(Setup!$C$13+Setup!$G$27+Setup!$C$14),Setup!$C$39:$C$50),WORKDAY(I22,-(Setup!$C$13+Setup!$G$27),Setup!$C$39:$C$50))+(17*100+8)/10000000)))</f>
        <v/>
      </c>
      <c r="Z22" t="str">
        <f>IF(J22="","",IF(J22&lt;Setup!$C$5-Setup!$C$6,"",IF(IF(ISNUMBER(Roster!$D22),Setup!$C$28&lt;=Roster!$D22,FALSE),"",IF(OR(IF(Setup!$C$15&lt;=Setup!$C$16,AND(MONTH(J22)&gt;=Setup!$C$15,MONTH(J22)&lt;=Setup!$C$16),OR(MONTH(J22)&gt;=Setup!$C$15,MONTH(J22)&lt;=Setup!$C$16)),IF(Setup!$C$15&lt;=Setup!$C$16,AND(MONTH(WORKDAY(J22,-(Setup!$C$13+Setup!$G$28),Setup!$C$39:$C$50))&gt;=Setup!$C$15,MONTH(WORKDAY(J22,-(Setup!$C$13+Setup!$G$28),Setup!$C$39:$C$50))&lt;=Setup!$C$16),OR(MONTH(WORKDAY(J22,-(Setup!$C$13+Setup!$G$28),Setup!$C$39:$C$50))&gt;=Setup!$C$15,MONTH(WORKDAY(J22,-(Setup!$C$13+Setup!$G$28),Setup!$C$39:$C$50))&lt;=Setup!$C$16))),WORKDAY(J22,-(Setup!$C$13+Setup!$G$28+Setup!$C$14),Setup!$C$39:$C$50),WORKDAY(J22,-(Setup!$C$13+Setup!$G$28),Setup!$C$39:$C$50))+(17*100+9)/10000000)))</f>
        <v/>
      </c>
      <c r="AA22" t="str">
        <f>IF(K22="","",IF(K22&lt;Setup!$C$5-Setup!$C$6,"",IF(IF(ISNUMBER(Roster!$D22),Setup!$C$29&lt;=Roster!$D22,FALSE),"",IF(OR(IF(Setup!$C$15&lt;=Setup!$C$16,AND(MONTH(K22)&gt;=Setup!$C$15,MONTH(K22)&lt;=Setup!$C$16),OR(MONTH(K22)&gt;=Setup!$C$15,MONTH(K22)&lt;=Setup!$C$16)),IF(Setup!$C$15&lt;=Setup!$C$16,AND(MONTH(WORKDAY(K22,-(Setup!$C$13+Setup!$G$29),Setup!$C$39:$C$50))&gt;=Setup!$C$15,MONTH(WORKDAY(K22,-(Setup!$C$13+Setup!$G$29),Setup!$C$39:$C$50))&lt;=Setup!$C$16),OR(MONTH(WORKDAY(K22,-(Setup!$C$13+Setup!$G$29),Setup!$C$39:$C$50))&gt;=Setup!$C$15,MONTH(WORKDAY(K22,-(Setup!$C$13+Setup!$G$29),Setup!$C$39:$C$50))&lt;=Setup!$C$16))),WORKDAY(K22,-(Setup!$C$13+Setup!$G$29+Setup!$C$14),Setup!$C$39:$C$50),WORKDAY(K22,-(Setup!$C$13+Setup!$G$29),Setup!$C$39:$C$50))+(17*100+10)/10000000)))</f>
        <v/>
      </c>
      <c r="AB22" t="str">
        <f>IF(L22="","",IF(L22&lt;Setup!$C$5-Setup!$C$6,"",IF(IF(ISNUMBER(Roster!$D22),Setup!$C$30&lt;=Roster!$D22,FALSE),"",IF(OR(IF(Setup!$C$15&lt;=Setup!$C$16,AND(MONTH(L22)&gt;=Setup!$C$15,MONTH(L22)&lt;=Setup!$C$16),OR(MONTH(L22)&gt;=Setup!$C$15,MONTH(L22)&lt;=Setup!$C$16)),IF(Setup!$C$15&lt;=Setup!$C$16,AND(MONTH(WORKDAY(L22,-(Setup!$C$13+Setup!$G$30),Setup!$C$39:$C$50))&gt;=Setup!$C$15,MONTH(WORKDAY(L22,-(Setup!$C$13+Setup!$G$30),Setup!$C$39:$C$50))&lt;=Setup!$C$16),OR(MONTH(WORKDAY(L22,-(Setup!$C$13+Setup!$G$30),Setup!$C$39:$C$50))&gt;=Setup!$C$15,MONTH(WORKDAY(L22,-(Setup!$C$13+Setup!$G$30),Setup!$C$39:$C$50))&lt;=Setup!$C$16))),WORKDAY(L22,-(Setup!$C$13+Setup!$G$30+Setup!$C$14),Setup!$C$39:$C$50),WORKDAY(L22,-(Setup!$C$13+Setup!$G$30),Setup!$C$39:$C$50))+(17*100+11)/10000000)))</f>
        <v/>
      </c>
      <c r="AC22" t="str">
        <f>IF(M22="","",IF(M22&lt;Setup!$C$5-Setup!$C$6,"",IF(IF(ISNUMBER(Roster!$D22),Setup!$C$31&lt;=Roster!$D22,FALSE),"",IF(OR(IF(Setup!$C$15&lt;=Setup!$C$16,AND(MONTH(M22)&gt;=Setup!$C$15,MONTH(M22)&lt;=Setup!$C$16),OR(MONTH(M22)&gt;=Setup!$C$15,MONTH(M22)&lt;=Setup!$C$16)),IF(Setup!$C$15&lt;=Setup!$C$16,AND(MONTH(WORKDAY(M22,-(Setup!$C$13+Setup!$G$31),Setup!$C$39:$C$50))&gt;=Setup!$C$15,MONTH(WORKDAY(M22,-(Setup!$C$13+Setup!$G$31),Setup!$C$39:$C$50))&lt;=Setup!$C$16),OR(MONTH(WORKDAY(M22,-(Setup!$C$13+Setup!$G$31),Setup!$C$39:$C$50))&gt;=Setup!$C$15,MONTH(WORKDAY(M22,-(Setup!$C$13+Setup!$G$31),Setup!$C$39:$C$50))&lt;=Setup!$C$16))),WORKDAY(M22,-(Setup!$C$13+Setup!$G$31+Setup!$C$14),Setup!$C$39:$C$50),WORKDAY(M22,-(Setup!$C$13+Setup!$G$31),Setup!$C$39:$C$50))+(17*100+12)/10000000)))</f>
        <v/>
      </c>
      <c r="AD22" t="str">
        <f>IF(N22="","",IF(N22&lt;Setup!$C$5-Setup!$C$6,"",IF(IF(ISNUMBER(Roster!$D22),Setup!$C$32&lt;=Roster!$D22,FALSE),"",IF(OR(IF(Setup!$C$15&lt;=Setup!$C$16,AND(MONTH(N22)&gt;=Setup!$C$15,MONTH(N22)&lt;=Setup!$C$16),OR(MONTH(N22)&gt;=Setup!$C$15,MONTH(N22)&lt;=Setup!$C$16)),IF(Setup!$C$15&lt;=Setup!$C$16,AND(MONTH(WORKDAY(N22,-(Setup!$C$13+Setup!$G$32),Setup!$C$39:$C$50))&gt;=Setup!$C$15,MONTH(WORKDAY(N22,-(Setup!$C$13+Setup!$G$32),Setup!$C$39:$C$50))&lt;=Setup!$C$16),OR(MONTH(WORKDAY(N22,-(Setup!$C$13+Setup!$G$32),Setup!$C$39:$C$50))&gt;=Setup!$C$15,MONTH(WORKDAY(N22,-(Setup!$C$13+Setup!$G$32),Setup!$C$39:$C$50))&lt;=Setup!$C$16))),WORKDAY(N22,-(Setup!$C$13+Setup!$G$32+Setup!$C$14),Setup!$C$39:$C$50),WORKDAY(N22,-(Setup!$C$13+Setup!$G$32),Setup!$C$39:$C$50))+(17*100+13)/10000000)))</f>
        <v/>
      </c>
      <c r="AE22" t="str">
        <f>IF(O22="","",IF(O22&lt;Setup!$C$5-Setup!$C$6,"",IF(IF(ISNUMBER(Roster!$D22),Setup!$C$33&lt;=Roster!$D22,FALSE),"",IF(OR(IF(Setup!$C$15&lt;=Setup!$C$16,AND(MONTH(O22)&gt;=Setup!$C$15,MONTH(O22)&lt;=Setup!$C$16),OR(MONTH(O22)&gt;=Setup!$C$15,MONTH(O22)&lt;=Setup!$C$16)),IF(Setup!$C$15&lt;=Setup!$C$16,AND(MONTH(WORKDAY(O22,-(Setup!$C$13+Setup!$G$33),Setup!$C$39:$C$50))&gt;=Setup!$C$15,MONTH(WORKDAY(O22,-(Setup!$C$13+Setup!$G$33),Setup!$C$39:$C$50))&lt;=Setup!$C$16),OR(MONTH(WORKDAY(O22,-(Setup!$C$13+Setup!$G$33),Setup!$C$39:$C$50))&gt;=Setup!$C$15,MONTH(WORKDAY(O22,-(Setup!$C$13+Setup!$G$33),Setup!$C$39:$C$50))&lt;=Setup!$C$16))),WORKDAY(O22,-(Setup!$C$13+Setup!$G$33+Setup!$C$14),Setup!$C$39:$C$50),WORKDAY(O22,-(Setup!$C$13+Setup!$G$33),Setup!$C$39:$C$50))+(17*100+14)/10000000)))</f>
        <v/>
      </c>
      <c r="AF22" t="str">
        <f>IF(P22="","",IF(P22&lt;Setup!$C$5-Setup!$C$6,"",IF(IF(ISNUMBER(Roster!$D22),Setup!$C$34&lt;=Roster!$D22,FALSE),"",IF(OR(IF(Setup!$C$15&lt;=Setup!$C$16,AND(MONTH(P22)&gt;=Setup!$C$15,MONTH(P22)&lt;=Setup!$C$16),OR(MONTH(P22)&gt;=Setup!$C$15,MONTH(P22)&lt;=Setup!$C$16)),IF(Setup!$C$15&lt;=Setup!$C$16,AND(MONTH(WORKDAY(P22,-(Setup!$C$13+Setup!$G$34),Setup!$C$39:$C$50))&gt;=Setup!$C$15,MONTH(WORKDAY(P22,-(Setup!$C$13+Setup!$G$34),Setup!$C$39:$C$50))&lt;=Setup!$C$16),OR(MONTH(WORKDAY(P22,-(Setup!$C$13+Setup!$G$34),Setup!$C$39:$C$50))&gt;=Setup!$C$15,MONTH(WORKDAY(P22,-(Setup!$C$13+Setup!$G$34),Setup!$C$39:$C$50))&lt;=Setup!$C$16))),WORKDAY(P22,-(Setup!$C$13+Setup!$G$34+Setup!$C$14),Setup!$C$39:$C$50),WORKDAY(P22,-(Setup!$C$13+Setup!$G$34),Setup!$C$39:$C$50))+(17*100+15)/10000000)))</f>
        <v/>
      </c>
      <c r="AH22" t="str">
        <f t="shared" si="0"/>
        <v/>
      </c>
      <c r="AI22" t="str">
        <f t="shared" si="1"/>
        <v/>
      </c>
      <c r="AK22" t="str">
        <f ca="1">IF(17&gt;$AK$2,"",SMALL($R$6:$AF$505,17))</f>
        <v/>
      </c>
      <c r="AL22" t="str">
        <f t="shared" ca="1" si="2"/>
        <v/>
      </c>
      <c r="AM22" t="str">
        <f t="shared" ca="1" si="3"/>
        <v/>
      </c>
      <c r="AN22" t="str">
        <f t="shared" ca="1" si="4"/>
        <v/>
      </c>
      <c r="AP22" t="str">
        <f>IF(ISNUMBER(Roster!$B22),MAX(1,YEAR(Setup!$C$5)-YEAR(Roster!$B22)+IF(EDATE(Roster!$B22,12*(YEAR(Setup!$C$5)-YEAR(Roster!$B22)))&lt;Setup!$C$5,1,0)),"")</f>
        <v/>
      </c>
      <c r="AQ22" s="32" t="str">
        <f>IF(AP22="","",EDATE(Roster!$B22,12*AP22))</f>
        <v/>
      </c>
      <c r="AR22" t="str">
        <f>IF(AQ22="","",IF(AQ22&lt;DATE(YEAR(Setup!$C$5)+1,MONTH(Setup!$C$5),DAY(Setup!$C$5)),AQ22+17/1000,""))</f>
        <v/>
      </c>
      <c r="AS22" t="str">
        <f t="shared" si="5"/>
        <v/>
      </c>
      <c r="AT22" t="str">
        <f>IF(AS22="","",IF(ISNUMBER(Roster!$D22),Roster!$D22&gt;=AP22,FALSE))</f>
        <v/>
      </c>
      <c r="AU22" t="str">
        <f t="shared" si="6"/>
        <v/>
      </c>
      <c r="AV22" t="str">
        <f ca="1">IF(17&gt;$AV$2,"",SMALL($AR$6:$AR$505,17))</f>
        <v/>
      </c>
      <c r="AW22" t="str">
        <f t="shared" ca="1" si="7"/>
        <v/>
      </c>
      <c r="AY22">
        <f>IF(AND(Setup!$B$22="Yes",ISNUMBER(Setup!$C$22)),Setup!$C$22,"")</f>
        <v>5</v>
      </c>
      <c r="AZ22">
        <f t="shared" si="8"/>
        <v>1</v>
      </c>
    </row>
    <row r="23" spans="2:52" x14ac:dyDescent="0.2">
      <c r="B23" s="32" t="str">
        <f>IF(AND(ISNUMBER(Roster!$B23),Setup!$B$20="Yes",ISNUMBER(Setup!$C$20)),EDATE(Roster!$B23,12*Setup!$C$20),"")</f>
        <v/>
      </c>
      <c r="C23" s="32" t="str">
        <f>IF(AND(ISNUMBER(Roster!$B23),Setup!$B$21="Yes",ISNUMBER(Setup!$C$21)),EDATE(Roster!$B23,12*Setup!$C$21),"")</f>
        <v/>
      </c>
      <c r="D23" s="32" t="str">
        <f>IF(AND(ISNUMBER(Roster!$B23),Setup!$B$22="Yes",ISNUMBER(Setup!$C$22)),EDATE(Roster!$B23,12*Setup!$C$22),"")</f>
        <v/>
      </c>
      <c r="E23" s="32" t="str">
        <f>IF(AND(ISNUMBER(Roster!$B23),Setup!$B$23="Yes",ISNUMBER(Setup!$C$23)),EDATE(Roster!$B23,12*Setup!$C$23),"")</f>
        <v/>
      </c>
      <c r="F23" s="32" t="str">
        <f>IF(AND(ISNUMBER(Roster!$B23),Setup!$B$24="Yes",ISNUMBER(Setup!$C$24)),EDATE(Roster!$B23,12*Setup!$C$24),"")</f>
        <v/>
      </c>
      <c r="G23" s="32" t="str">
        <f>IF(AND(ISNUMBER(Roster!$B23),Setup!$B$25="Yes",ISNUMBER(Setup!$C$25)),EDATE(Roster!$B23,12*Setup!$C$25),"")</f>
        <v/>
      </c>
      <c r="H23" s="32" t="str">
        <f>IF(AND(ISNUMBER(Roster!$B23),Setup!$B$26="Yes",ISNUMBER(Setup!$C$26)),EDATE(Roster!$B23,12*Setup!$C$26),"")</f>
        <v/>
      </c>
      <c r="I23" s="32" t="str">
        <f>IF(AND(ISNUMBER(Roster!$B23),Setup!$B$27="Yes",ISNUMBER(Setup!$C$27)),EDATE(Roster!$B23,12*Setup!$C$27),"")</f>
        <v/>
      </c>
      <c r="J23" s="32" t="str">
        <f>IF(AND(ISNUMBER(Roster!$B23),Setup!$B$28="Yes",ISNUMBER(Setup!$C$28)),EDATE(Roster!$B23,12*Setup!$C$28),"")</f>
        <v/>
      </c>
      <c r="K23" s="32" t="str">
        <f>IF(AND(ISNUMBER(Roster!$B23),Setup!$B$29="Yes",ISNUMBER(Setup!$C$29)),EDATE(Roster!$B23,12*Setup!$C$29),"")</f>
        <v/>
      </c>
      <c r="L23" s="32" t="str">
        <f>IF(AND(ISNUMBER(Roster!$B23),Setup!$B$30="Yes",ISNUMBER(Setup!$C$30)),EDATE(Roster!$B23,12*Setup!$C$30),"")</f>
        <v/>
      </c>
      <c r="M23" s="32" t="str">
        <f>IF(AND(ISNUMBER(Roster!$B23),Setup!$B$31="Yes",ISNUMBER(Setup!$C$31)),EDATE(Roster!$B23,12*Setup!$C$31),"")</f>
        <v/>
      </c>
      <c r="N23" s="32" t="str">
        <f>IF(AND(ISNUMBER(Roster!$B23),Setup!$B$32="Yes",ISNUMBER(Setup!$C$32)),EDATE(Roster!$B23,12*Setup!$C$32),"")</f>
        <v/>
      </c>
      <c r="O23" s="32" t="str">
        <f>IF(AND(ISNUMBER(Roster!$B23),Setup!$B$33="Yes",ISNUMBER(Setup!$C$33)),EDATE(Roster!$B23,12*Setup!$C$33),"")</f>
        <v/>
      </c>
      <c r="P23" s="32" t="str">
        <f>IF(AND(ISNUMBER(Roster!$B23),Setup!$B$34="Yes",ISNUMBER(Setup!$C$34)),EDATE(Roster!$B23,12*Setup!$C$34),"")</f>
        <v/>
      </c>
      <c r="R23" t="str">
        <f>IF(B23="","",IF(B23&lt;Setup!$C$5-Setup!$C$6,"",IF(IF(ISNUMBER(Roster!$D23),Setup!$C$20&lt;=Roster!$D23,FALSE),"",IF(OR(IF(Setup!$C$15&lt;=Setup!$C$16,AND(MONTH(B23)&gt;=Setup!$C$15,MONTH(B23)&lt;=Setup!$C$16),OR(MONTH(B23)&gt;=Setup!$C$15,MONTH(B23)&lt;=Setup!$C$16)),IF(Setup!$C$15&lt;=Setup!$C$16,AND(MONTH(WORKDAY(B23,-(Setup!$C$13+Setup!$G$20),Setup!$C$39:$C$50))&gt;=Setup!$C$15,MONTH(WORKDAY(B23,-(Setup!$C$13+Setup!$G$20),Setup!$C$39:$C$50))&lt;=Setup!$C$16),OR(MONTH(WORKDAY(B23,-(Setup!$C$13+Setup!$G$20),Setup!$C$39:$C$50))&gt;=Setup!$C$15,MONTH(WORKDAY(B23,-(Setup!$C$13+Setup!$G$20),Setup!$C$39:$C$50))&lt;=Setup!$C$16))),WORKDAY(B23,-(Setup!$C$13+Setup!$G$20+Setup!$C$14),Setup!$C$39:$C$50),WORKDAY(B23,-(Setup!$C$13+Setup!$G$20),Setup!$C$39:$C$50))+(18*100+1)/10000000)))</f>
        <v/>
      </c>
      <c r="S23" t="str">
        <f>IF(C23="","",IF(C23&lt;Setup!$C$5-Setup!$C$6,"",IF(IF(ISNUMBER(Roster!$D23),Setup!$C$21&lt;=Roster!$D23,FALSE),"",IF(OR(IF(Setup!$C$15&lt;=Setup!$C$16,AND(MONTH(C23)&gt;=Setup!$C$15,MONTH(C23)&lt;=Setup!$C$16),OR(MONTH(C23)&gt;=Setup!$C$15,MONTH(C23)&lt;=Setup!$C$16)),IF(Setup!$C$15&lt;=Setup!$C$16,AND(MONTH(WORKDAY(C23,-(Setup!$C$13+Setup!$G$21),Setup!$C$39:$C$50))&gt;=Setup!$C$15,MONTH(WORKDAY(C23,-(Setup!$C$13+Setup!$G$21),Setup!$C$39:$C$50))&lt;=Setup!$C$16),OR(MONTH(WORKDAY(C23,-(Setup!$C$13+Setup!$G$21),Setup!$C$39:$C$50))&gt;=Setup!$C$15,MONTH(WORKDAY(C23,-(Setup!$C$13+Setup!$G$21),Setup!$C$39:$C$50))&lt;=Setup!$C$16))),WORKDAY(C23,-(Setup!$C$13+Setup!$G$21+Setup!$C$14),Setup!$C$39:$C$50),WORKDAY(C23,-(Setup!$C$13+Setup!$G$21),Setup!$C$39:$C$50))+(18*100+2)/10000000)))</f>
        <v/>
      </c>
      <c r="T23" t="str">
        <f>IF(D23="","",IF(D23&lt;Setup!$C$5-Setup!$C$6,"",IF(IF(ISNUMBER(Roster!$D23),Setup!$C$22&lt;=Roster!$D23,FALSE),"",IF(OR(IF(Setup!$C$15&lt;=Setup!$C$16,AND(MONTH(D23)&gt;=Setup!$C$15,MONTH(D23)&lt;=Setup!$C$16),OR(MONTH(D23)&gt;=Setup!$C$15,MONTH(D23)&lt;=Setup!$C$16)),IF(Setup!$C$15&lt;=Setup!$C$16,AND(MONTH(WORKDAY(D23,-(Setup!$C$13+Setup!$G$22),Setup!$C$39:$C$50))&gt;=Setup!$C$15,MONTH(WORKDAY(D23,-(Setup!$C$13+Setup!$G$22),Setup!$C$39:$C$50))&lt;=Setup!$C$16),OR(MONTH(WORKDAY(D23,-(Setup!$C$13+Setup!$G$22),Setup!$C$39:$C$50))&gt;=Setup!$C$15,MONTH(WORKDAY(D23,-(Setup!$C$13+Setup!$G$22),Setup!$C$39:$C$50))&lt;=Setup!$C$16))),WORKDAY(D23,-(Setup!$C$13+Setup!$G$22+Setup!$C$14),Setup!$C$39:$C$50),WORKDAY(D23,-(Setup!$C$13+Setup!$G$22),Setup!$C$39:$C$50))+(18*100+3)/10000000)))</f>
        <v/>
      </c>
      <c r="U23" t="str">
        <f>IF(E23="","",IF(E23&lt;Setup!$C$5-Setup!$C$6,"",IF(IF(ISNUMBER(Roster!$D23),Setup!$C$23&lt;=Roster!$D23,FALSE),"",IF(OR(IF(Setup!$C$15&lt;=Setup!$C$16,AND(MONTH(E23)&gt;=Setup!$C$15,MONTH(E23)&lt;=Setup!$C$16),OR(MONTH(E23)&gt;=Setup!$C$15,MONTH(E23)&lt;=Setup!$C$16)),IF(Setup!$C$15&lt;=Setup!$C$16,AND(MONTH(WORKDAY(E23,-(Setup!$C$13+Setup!$G$23),Setup!$C$39:$C$50))&gt;=Setup!$C$15,MONTH(WORKDAY(E23,-(Setup!$C$13+Setup!$G$23),Setup!$C$39:$C$50))&lt;=Setup!$C$16),OR(MONTH(WORKDAY(E23,-(Setup!$C$13+Setup!$G$23),Setup!$C$39:$C$50))&gt;=Setup!$C$15,MONTH(WORKDAY(E23,-(Setup!$C$13+Setup!$G$23),Setup!$C$39:$C$50))&lt;=Setup!$C$16))),WORKDAY(E23,-(Setup!$C$13+Setup!$G$23+Setup!$C$14),Setup!$C$39:$C$50),WORKDAY(E23,-(Setup!$C$13+Setup!$G$23),Setup!$C$39:$C$50))+(18*100+4)/10000000)))</f>
        <v/>
      </c>
      <c r="V23" t="str">
        <f>IF(F23="","",IF(F23&lt;Setup!$C$5-Setup!$C$6,"",IF(IF(ISNUMBER(Roster!$D23),Setup!$C$24&lt;=Roster!$D23,FALSE),"",IF(OR(IF(Setup!$C$15&lt;=Setup!$C$16,AND(MONTH(F23)&gt;=Setup!$C$15,MONTH(F23)&lt;=Setup!$C$16),OR(MONTH(F23)&gt;=Setup!$C$15,MONTH(F23)&lt;=Setup!$C$16)),IF(Setup!$C$15&lt;=Setup!$C$16,AND(MONTH(WORKDAY(F23,-(Setup!$C$13+Setup!$G$24),Setup!$C$39:$C$50))&gt;=Setup!$C$15,MONTH(WORKDAY(F23,-(Setup!$C$13+Setup!$G$24),Setup!$C$39:$C$50))&lt;=Setup!$C$16),OR(MONTH(WORKDAY(F23,-(Setup!$C$13+Setup!$G$24),Setup!$C$39:$C$50))&gt;=Setup!$C$15,MONTH(WORKDAY(F23,-(Setup!$C$13+Setup!$G$24),Setup!$C$39:$C$50))&lt;=Setup!$C$16))),WORKDAY(F23,-(Setup!$C$13+Setup!$G$24+Setup!$C$14),Setup!$C$39:$C$50),WORKDAY(F23,-(Setup!$C$13+Setup!$G$24),Setup!$C$39:$C$50))+(18*100+5)/10000000)))</f>
        <v/>
      </c>
      <c r="W23" t="str">
        <f>IF(G23="","",IF(G23&lt;Setup!$C$5-Setup!$C$6,"",IF(IF(ISNUMBER(Roster!$D23),Setup!$C$25&lt;=Roster!$D23,FALSE),"",IF(OR(IF(Setup!$C$15&lt;=Setup!$C$16,AND(MONTH(G23)&gt;=Setup!$C$15,MONTH(G23)&lt;=Setup!$C$16),OR(MONTH(G23)&gt;=Setup!$C$15,MONTH(G23)&lt;=Setup!$C$16)),IF(Setup!$C$15&lt;=Setup!$C$16,AND(MONTH(WORKDAY(G23,-(Setup!$C$13+Setup!$G$25),Setup!$C$39:$C$50))&gt;=Setup!$C$15,MONTH(WORKDAY(G23,-(Setup!$C$13+Setup!$G$25),Setup!$C$39:$C$50))&lt;=Setup!$C$16),OR(MONTH(WORKDAY(G23,-(Setup!$C$13+Setup!$G$25),Setup!$C$39:$C$50))&gt;=Setup!$C$15,MONTH(WORKDAY(G23,-(Setup!$C$13+Setup!$G$25),Setup!$C$39:$C$50))&lt;=Setup!$C$16))),WORKDAY(G23,-(Setup!$C$13+Setup!$G$25+Setup!$C$14),Setup!$C$39:$C$50),WORKDAY(G23,-(Setup!$C$13+Setup!$G$25),Setup!$C$39:$C$50))+(18*100+6)/10000000)))</f>
        <v/>
      </c>
      <c r="X23" t="str">
        <f>IF(H23="","",IF(H23&lt;Setup!$C$5-Setup!$C$6,"",IF(IF(ISNUMBER(Roster!$D23),Setup!$C$26&lt;=Roster!$D23,FALSE),"",IF(OR(IF(Setup!$C$15&lt;=Setup!$C$16,AND(MONTH(H23)&gt;=Setup!$C$15,MONTH(H23)&lt;=Setup!$C$16),OR(MONTH(H23)&gt;=Setup!$C$15,MONTH(H23)&lt;=Setup!$C$16)),IF(Setup!$C$15&lt;=Setup!$C$16,AND(MONTH(WORKDAY(H23,-(Setup!$C$13+Setup!$G$26),Setup!$C$39:$C$50))&gt;=Setup!$C$15,MONTH(WORKDAY(H23,-(Setup!$C$13+Setup!$G$26),Setup!$C$39:$C$50))&lt;=Setup!$C$16),OR(MONTH(WORKDAY(H23,-(Setup!$C$13+Setup!$G$26),Setup!$C$39:$C$50))&gt;=Setup!$C$15,MONTH(WORKDAY(H23,-(Setup!$C$13+Setup!$G$26),Setup!$C$39:$C$50))&lt;=Setup!$C$16))),WORKDAY(H23,-(Setup!$C$13+Setup!$G$26+Setup!$C$14),Setup!$C$39:$C$50),WORKDAY(H23,-(Setup!$C$13+Setup!$G$26),Setup!$C$39:$C$50))+(18*100+7)/10000000)))</f>
        <v/>
      </c>
      <c r="Y23" t="str">
        <f>IF(I23="","",IF(I23&lt;Setup!$C$5-Setup!$C$6,"",IF(IF(ISNUMBER(Roster!$D23),Setup!$C$27&lt;=Roster!$D23,FALSE),"",IF(OR(IF(Setup!$C$15&lt;=Setup!$C$16,AND(MONTH(I23)&gt;=Setup!$C$15,MONTH(I23)&lt;=Setup!$C$16),OR(MONTH(I23)&gt;=Setup!$C$15,MONTH(I23)&lt;=Setup!$C$16)),IF(Setup!$C$15&lt;=Setup!$C$16,AND(MONTH(WORKDAY(I23,-(Setup!$C$13+Setup!$G$27),Setup!$C$39:$C$50))&gt;=Setup!$C$15,MONTH(WORKDAY(I23,-(Setup!$C$13+Setup!$G$27),Setup!$C$39:$C$50))&lt;=Setup!$C$16),OR(MONTH(WORKDAY(I23,-(Setup!$C$13+Setup!$G$27),Setup!$C$39:$C$50))&gt;=Setup!$C$15,MONTH(WORKDAY(I23,-(Setup!$C$13+Setup!$G$27),Setup!$C$39:$C$50))&lt;=Setup!$C$16))),WORKDAY(I23,-(Setup!$C$13+Setup!$G$27+Setup!$C$14),Setup!$C$39:$C$50),WORKDAY(I23,-(Setup!$C$13+Setup!$G$27),Setup!$C$39:$C$50))+(18*100+8)/10000000)))</f>
        <v/>
      </c>
      <c r="Z23" t="str">
        <f>IF(J23="","",IF(J23&lt;Setup!$C$5-Setup!$C$6,"",IF(IF(ISNUMBER(Roster!$D23),Setup!$C$28&lt;=Roster!$D23,FALSE),"",IF(OR(IF(Setup!$C$15&lt;=Setup!$C$16,AND(MONTH(J23)&gt;=Setup!$C$15,MONTH(J23)&lt;=Setup!$C$16),OR(MONTH(J23)&gt;=Setup!$C$15,MONTH(J23)&lt;=Setup!$C$16)),IF(Setup!$C$15&lt;=Setup!$C$16,AND(MONTH(WORKDAY(J23,-(Setup!$C$13+Setup!$G$28),Setup!$C$39:$C$50))&gt;=Setup!$C$15,MONTH(WORKDAY(J23,-(Setup!$C$13+Setup!$G$28),Setup!$C$39:$C$50))&lt;=Setup!$C$16),OR(MONTH(WORKDAY(J23,-(Setup!$C$13+Setup!$G$28),Setup!$C$39:$C$50))&gt;=Setup!$C$15,MONTH(WORKDAY(J23,-(Setup!$C$13+Setup!$G$28),Setup!$C$39:$C$50))&lt;=Setup!$C$16))),WORKDAY(J23,-(Setup!$C$13+Setup!$G$28+Setup!$C$14),Setup!$C$39:$C$50),WORKDAY(J23,-(Setup!$C$13+Setup!$G$28),Setup!$C$39:$C$50))+(18*100+9)/10000000)))</f>
        <v/>
      </c>
      <c r="AA23" t="str">
        <f>IF(K23="","",IF(K23&lt;Setup!$C$5-Setup!$C$6,"",IF(IF(ISNUMBER(Roster!$D23),Setup!$C$29&lt;=Roster!$D23,FALSE),"",IF(OR(IF(Setup!$C$15&lt;=Setup!$C$16,AND(MONTH(K23)&gt;=Setup!$C$15,MONTH(K23)&lt;=Setup!$C$16),OR(MONTH(K23)&gt;=Setup!$C$15,MONTH(K23)&lt;=Setup!$C$16)),IF(Setup!$C$15&lt;=Setup!$C$16,AND(MONTH(WORKDAY(K23,-(Setup!$C$13+Setup!$G$29),Setup!$C$39:$C$50))&gt;=Setup!$C$15,MONTH(WORKDAY(K23,-(Setup!$C$13+Setup!$G$29),Setup!$C$39:$C$50))&lt;=Setup!$C$16),OR(MONTH(WORKDAY(K23,-(Setup!$C$13+Setup!$G$29),Setup!$C$39:$C$50))&gt;=Setup!$C$15,MONTH(WORKDAY(K23,-(Setup!$C$13+Setup!$G$29),Setup!$C$39:$C$50))&lt;=Setup!$C$16))),WORKDAY(K23,-(Setup!$C$13+Setup!$G$29+Setup!$C$14),Setup!$C$39:$C$50),WORKDAY(K23,-(Setup!$C$13+Setup!$G$29),Setup!$C$39:$C$50))+(18*100+10)/10000000)))</f>
        <v/>
      </c>
      <c r="AB23" t="str">
        <f>IF(L23="","",IF(L23&lt;Setup!$C$5-Setup!$C$6,"",IF(IF(ISNUMBER(Roster!$D23),Setup!$C$30&lt;=Roster!$D23,FALSE),"",IF(OR(IF(Setup!$C$15&lt;=Setup!$C$16,AND(MONTH(L23)&gt;=Setup!$C$15,MONTH(L23)&lt;=Setup!$C$16),OR(MONTH(L23)&gt;=Setup!$C$15,MONTH(L23)&lt;=Setup!$C$16)),IF(Setup!$C$15&lt;=Setup!$C$16,AND(MONTH(WORKDAY(L23,-(Setup!$C$13+Setup!$G$30),Setup!$C$39:$C$50))&gt;=Setup!$C$15,MONTH(WORKDAY(L23,-(Setup!$C$13+Setup!$G$30),Setup!$C$39:$C$50))&lt;=Setup!$C$16),OR(MONTH(WORKDAY(L23,-(Setup!$C$13+Setup!$G$30),Setup!$C$39:$C$50))&gt;=Setup!$C$15,MONTH(WORKDAY(L23,-(Setup!$C$13+Setup!$G$30),Setup!$C$39:$C$50))&lt;=Setup!$C$16))),WORKDAY(L23,-(Setup!$C$13+Setup!$G$30+Setup!$C$14),Setup!$C$39:$C$50),WORKDAY(L23,-(Setup!$C$13+Setup!$G$30),Setup!$C$39:$C$50))+(18*100+11)/10000000)))</f>
        <v/>
      </c>
      <c r="AC23" t="str">
        <f>IF(M23="","",IF(M23&lt;Setup!$C$5-Setup!$C$6,"",IF(IF(ISNUMBER(Roster!$D23),Setup!$C$31&lt;=Roster!$D23,FALSE),"",IF(OR(IF(Setup!$C$15&lt;=Setup!$C$16,AND(MONTH(M23)&gt;=Setup!$C$15,MONTH(M23)&lt;=Setup!$C$16),OR(MONTH(M23)&gt;=Setup!$C$15,MONTH(M23)&lt;=Setup!$C$16)),IF(Setup!$C$15&lt;=Setup!$C$16,AND(MONTH(WORKDAY(M23,-(Setup!$C$13+Setup!$G$31),Setup!$C$39:$C$50))&gt;=Setup!$C$15,MONTH(WORKDAY(M23,-(Setup!$C$13+Setup!$G$31),Setup!$C$39:$C$50))&lt;=Setup!$C$16),OR(MONTH(WORKDAY(M23,-(Setup!$C$13+Setup!$G$31),Setup!$C$39:$C$50))&gt;=Setup!$C$15,MONTH(WORKDAY(M23,-(Setup!$C$13+Setup!$G$31),Setup!$C$39:$C$50))&lt;=Setup!$C$16))),WORKDAY(M23,-(Setup!$C$13+Setup!$G$31+Setup!$C$14),Setup!$C$39:$C$50),WORKDAY(M23,-(Setup!$C$13+Setup!$G$31),Setup!$C$39:$C$50))+(18*100+12)/10000000)))</f>
        <v/>
      </c>
      <c r="AD23" t="str">
        <f>IF(N23="","",IF(N23&lt;Setup!$C$5-Setup!$C$6,"",IF(IF(ISNUMBER(Roster!$D23),Setup!$C$32&lt;=Roster!$D23,FALSE),"",IF(OR(IF(Setup!$C$15&lt;=Setup!$C$16,AND(MONTH(N23)&gt;=Setup!$C$15,MONTH(N23)&lt;=Setup!$C$16),OR(MONTH(N23)&gt;=Setup!$C$15,MONTH(N23)&lt;=Setup!$C$16)),IF(Setup!$C$15&lt;=Setup!$C$16,AND(MONTH(WORKDAY(N23,-(Setup!$C$13+Setup!$G$32),Setup!$C$39:$C$50))&gt;=Setup!$C$15,MONTH(WORKDAY(N23,-(Setup!$C$13+Setup!$G$32),Setup!$C$39:$C$50))&lt;=Setup!$C$16),OR(MONTH(WORKDAY(N23,-(Setup!$C$13+Setup!$G$32),Setup!$C$39:$C$50))&gt;=Setup!$C$15,MONTH(WORKDAY(N23,-(Setup!$C$13+Setup!$G$32),Setup!$C$39:$C$50))&lt;=Setup!$C$16))),WORKDAY(N23,-(Setup!$C$13+Setup!$G$32+Setup!$C$14),Setup!$C$39:$C$50),WORKDAY(N23,-(Setup!$C$13+Setup!$G$32),Setup!$C$39:$C$50))+(18*100+13)/10000000)))</f>
        <v/>
      </c>
      <c r="AE23" t="str">
        <f>IF(O23="","",IF(O23&lt;Setup!$C$5-Setup!$C$6,"",IF(IF(ISNUMBER(Roster!$D23),Setup!$C$33&lt;=Roster!$D23,FALSE),"",IF(OR(IF(Setup!$C$15&lt;=Setup!$C$16,AND(MONTH(O23)&gt;=Setup!$C$15,MONTH(O23)&lt;=Setup!$C$16),OR(MONTH(O23)&gt;=Setup!$C$15,MONTH(O23)&lt;=Setup!$C$16)),IF(Setup!$C$15&lt;=Setup!$C$16,AND(MONTH(WORKDAY(O23,-(Setup!$C$13+Setup!$G$33),Setup!$C$39:$C$50))&gt;=Setup!$C$15,MONTH(WORKDAY(O23,-(Setup!$C$13+Setup!$G$33),Setup!$C$39:$C$50))&lt;=Setup!$C$16),OR(MONTH(WORKDAY(O23,-(Setup!$C$13+Setup!$G$33),Setup!$C$39:$C$50))&gt;=Setup!$C$15,MONTH(WORKDAY(O23,-(Setup!$C$13+Setup!$G$33),Setup!$C$39:$C$50))&lt;=Setup!$C$16))),WORKDAY(O23,-(Setup!$C$13+Setup!$G$33+Setup!$C$14),Setup!$C$39:$C$50),WORKDAY(O23,-(Setup!$C$13+Setup!$G$33),Setup!$C$39:$C$50))+(18*100+14)/10000000)))</f>
        <v/>
      </c>
      <c r="AF23" t="str">
        <f>IF(P23="","",IF(P23&lt;Setup!$C$5-Setup!$C$6,"",IF(IF(ISNUMBER(Roster!$D23),Setup!$C$34&lt;=Roster!$D23,FALSE),"",IF(OR(IF(Setup!$C$15&lt;=Setup!$C$16,AND(MONTH(P23)&gt;=Setup!$C$15,MONTH(P23)&lt;=Setup!$C$16),OR(MONTH(P23)&gt;=Setup!$C$15,MONTH(P23)&lt;=Setup!$C$16)),IF(Setup!$C$15&lt;=Setup!$C$16,AND(MONTH(WORKDAY(P23,-(Setup!$C$13+Setup!$G$34),Setup!$C$39:$C$50))&gt;=Setup!$C$15,MONTH(WORKDAY(P23,-(Setup!$C$13+Setup!$G$34),Setup!$C$39:$C$50))&lt;=Setup!$C$16),OR(MONTH(WORKDAY(P23,-(Setup!$C$13+Setup!$G$34),Setup!$C$39:$C$50))&gt;=Setup!$C$15,MONTH(WORKDAY(P23,-(Setup!$C$13+Setup!$G$34),Setup!$C$39:$C$50))&lt;=Setup!$C$16))),WORKDAY(P23,-(Setup!$C$13+Setup!$G$34+Setup!$C$14),Setup!$C$39:$C$50),WORKDAY(P23,-(Setup!$C$13+Setup!$G$34),Setup!$C$39:$C$50))+(18*100+15)/10000000)))</f>
        <v/>
      </c>
      <c r="AH23" t="str">
        <f t="shared" si="0"/>
        <v/>
      </c>
      <c r="AI23" t="str">
        <f t="shared" si="1"/>
        <v/>
      </c>
      <c r="AK23" t="str">
        <f ca="1">IF(18&gt;$AK$2,"",SMALL($R$6:$AF$505,18))</f>
        <v/>
      </c>
      <c r="AL23" t="str">
        <f t="shared" ca="1" si="2"/>
        <v/>
      </c>
      <c r="AM23" t="str">
        <f t="shared" ca="1" si="3"/>
        <v/>
      </c>
      <c r="AN23" t="str">
        <f t="shared" ca="1" si="4"/>
        <v/>
      </c>
      <c r="AP23" t="str">
        <f>IF(ISNUMBER(Roster!$B23),MAX(1,YEAR(Setup!$C$5)-YEAR(Roster!$B23)+IF(EDATE(Roster!$B23,12*(YEAR(Setup!$C$5)-YEAR(Roster!$B23)))&lt;Setup!$C$5,1,0)),"")</f>
        <v/>
      </c>
      <c r="AQ23" s="32" t="str">
        <f>IF(AP23="","",EDATE(Roster!$B23,12*AP23))</f>
        <v/>
      </c>
      <c r="AR23" t="str">
        <f>IF(AQ23="","",IF(AQ23&lt;DATE(YEAR(Setup!$C$5)+1,MONTH(Setup!$C$5),DAY(Setup!$C$5)),AQ23+18/1000,""))</f>
        <v/>
      </c>
      <c r="AS23" t="str">
        <f t="shared" si="5"/>
        <v/>
      </c>
      <c r="AT23" t="str">
        <f>IF(AS23="","",IF(ISNUMBER(Roster!$D23),Roster!$D23&gt;=AP23,FALSE))</f>
        <v/>
      </c>
      <c r="AU23" t="str">
        <f t="shared" si="6"/>
        <v/>
      </c>
      <c r="AV23" t="str">
        <f ca="1">IF(18&gt;$AV$2,"",SMALL($AR$6:$AR$505,18))</f>
        <v/>
      </c>
      <c r="AW23" t="str">
        <f t="shared" ca="1" si="7"/>
        <v/>
      </c>
      <c r="AY23">
        <f>IF(AND(Setup!$B$23="Yes",ISNUMBER(Setup!$C$23)),Setup!$C$23,"")</f>
        <v>10</v>
      </c>
      <c r="AZ23">
        <f t="shared" si="8"/>
        <v>1</v>
      </c>
    </row>
    <row r="24" spans="2:52" x14ac:dyDescent="0.2">
      <c r="B24" s="32" t="str">
        <f>IF(AND(ISNUMBER(Roster!$B24),Setup!$B$20="Yes",ISNUMBER(Setup!$C$20)),EDATE(Roster!$B24,12*Setup!$C$20),"")</f>
        <v/>
      </c>
      <c r="C24" s="32" t="str">
        <f>IF(AND(ISNUMBER(Roster!$B24),Setup!$B$21="Yes",ISNUMBER(Setup!$C$21)),EDATE(Roster!$B24,12*Setup!$C$21),"")</f>
        <v/>
      </c>
      <c r="D24" s="32" t="str">
        <f>IF(AND(ISNUMBER(Roster!$B24),Setup!$B$22="Yes",ISNUMBER(Setup!$C$22)),EDATE(Roster!$B24,12*Setup!$C$22),"")</f>
        <v/>
      </c>
      <c r="E24" s="32" t="str">
        <f>IF(AND(ISNUMBER(Roster!$B24),Setup!$B$23="Yes",ISNUMBER(Setup!$C$23)),EDATE(Roster!$B24,12*Setup!$C$23),"")</f>
        <v/>
      </c>
      <c r="F24" s="32" t="str">
        <f>IF(AND(ISNUMBER(Roster!$B24),Setup!$B$24="Yes",ISNUMBER(Setup!$C$24)),EDATE(Roster!$B24,12*Setup!$C$24),"")</f>
        <v/>
      </c>
      <c r="G24" s="32" t="str">
        <f>IF(AND(ISNUMBER(Roster!$B24),Setup!$B$25="Yes",ISNUMBER(Setup!$C$25)),EDATE(Roster!$B24,12*Setup!$C$25),"")</f>
        <v/>
      </c>
      <c r="H24" s="32" t="str">
        <f>IF(AND(ISNUMBER(Roster!$B24),Setup!$B$26="Yes",ISNUMBER(Setup!$C$26)),EDATE(Roster!$B24,12*Setup!$C$26),"")</f>
        <v/>
      </c>
      <c r="I24" s="32" t="str">
        <f>IF(AND(ISNUMBER(Roster!$B24),Setup!$B$27="Yes",ISNUMBER(Setup!$C$27)),EDATE(Roster!$B24,12*Setup!$C$27),"")</f>
        <v/>
      </c>
      <c r="J24" s="32" t="str">
        <f>IF(AND(ISNUMBER(Roster!$B24),Setup!$B$28="Yes",ISNUMBER(Setup!$C$28)),EDATE(Roster!$B24,12*Setup!$C$28),"")</f>
        <v/>
      </c>
      <c r="K24" s="32" t="str">
        <f>IF(AND(ISNUMBER(Roster!$B24),Setup!$B$29="Yes",ISNUMBER(Setup!$C$29)),EDATE(Roster!$B24,12*Setup!$C$29),"")</f>
        <v/>
      </c>
      <c r="L24" s="32" t="str">
        <f>IF(AND(ISNUMBER(Roster!$B24),Setup!$B$30="Yes",ISNUMBER(Setup!$C$30)),EDATE(Roster!$B24,12*Setup!$C$30),"")</f>
        <v/>
      </c>
      <c r="M24" s="32" t="str">
        <f>IF(AND(ISNUMBER(Roster!$B24),Setup!$B$31="Yes",ISNUMBER(Setup!$C$31)),EDATE(Roster!$B24,12*Setup!$C$31),"")</f>
        <v/>
      </c>
      <c r="N24" s="32" t="str">
        <f>IF(AND(ISNUMBER(Roster!$B24),Setup!$B$32="Yes",ISNUMBER(Setup!$C$32)),EDATE(Roster!$B24,12*Setup!$C$32),"")</f>
        <v/>
      </c>
      <c r="O24" s="32" t="str">
        <f>IF(AND(ISNUMBER(Roster!$B24),Setup!$B$33="Yes",ISNUMBER(Setup!$C$33)),EDATE(Roster!$B24,12*Setup!$C$33),"")</f>
        <v/>
      </c>
      <c r="P24" s="32" t="str">
        <f>IF(AND(ISNUMBER(Roster!$B24),Setup!$B$34="Yes",ISNUMBER(Setup!$C$34)),EDATE(Roster!$B24,12*Setup!$C$34),"")</f>
        <v/>
      </c>
      <c r="R24" t="str">
        <f>IF(B24="","",IF(B24&lt;Setup!$C$5-Setup!$C$6,"",IF(IF(ISNUMBER(Roster!$D24),Setup!$C$20&lt;=Roster!$D24,FALSE),"",IF(OR(IF(Setup!$C$15&lt;=Setup!$C$16,AND(MONTH(B24)&gt;=Setup!$C$15,MONTH(B24)&lt;=Setup!$C$16),OR(MONTH(B24)&gt;=Setup!$C$15,MONTH(B24)&lt;=Setup!$C$16)),IF(Setup!$C$15&lt;=Setup!$C$16,AND(MONTH(WORKDAY(B24,-(Setup!$C$13+Setup!$G$20),Setup!$C$39:$C$50))&gt;=Setup!$C$15,MONTH(WORKDAY(B24,-(Setup!$C$13+Setup!$G$20),Setup!$C$39:$C$50))&lt;=Setup!$C$16),OR(MONTH(WORKDAY(B24,-(Setup!$C$13+Setup!$G$20),Setup!$C$39:$C$50))&gt;=Setup!$C$15,MONTH(WORKDAY(B24,-(Setup!$C$13+Setup!$G$20),Setup!$C$39:$C$50))&lt;=Setup!$C$16))),WORKDAY(B24,-(Setup!$C$13+Setup!$G$20+Setup!$C$14),Setup!$C$39:$C$50),WORKDAY(B24,-(Setup!$C$13+Setup!$G$20),Setup!$C$39:$C$50))+(19*100+1)/10000000)))</f>
        <v/>
      </c>
      <c r="S24" t="str">
        <f>IF(C24="","",IF(C24&lt;Setup!$C$5-Setup!$C$6,"",IF(IF(ISNUMBER(Roster!$D24),Setup!$C$21&lt;=Roster!$D24,FALSE),"",IF(OR(IF(Setup!$C$15&lt;=Setup!$C$16,AND(MONTH(C24)&gt;=Setup!$C$15,MONTH(C24)&lt;=Setup!$C$16),OR(MONTH(C24)&gt;=Setup!$C$15,MONTH(C24)&lt;=Setup!$C$16)),IF(Setup!$C$15&lt;=Setup!$C$16,AND(MONTH(WORKDAY(C24,-(Setup!$C$13+Setup!$G$21),Setup!$C$39:$C$50))&gt;=Setup!$C$15,MONTH(WORKDAY(C24,-(Setup!$C$13+Setup!$G$21),Setup!$C$39:$C$50))&lt;=Setup!$C$16),OR(MONTH(WORKDAY(C24,-(Setup!$C$13+Setup!$G$21),Setup!$C$39:$C$50))&gt;=Setup!$C$15,MONTH(WORKDAY(C24,-(Setup!$C$13+Setup!$G$21),Setup!$C$39:$C$50))&lt;=Setup!$C$16))),WORKDAY(C24,-(Setup!$C$13+Setup!$G$21+Setup!$C$14),Setup!$C$39:$C$50),WORKDAY(C24,-(Setup!$C$13+Setup!$G$21),Setup!$C$39:$C$50))+(19*100+2)/10000000)))</f>
        <v/>
      </c>
      <c r="T24" t="str">
        <f>IF(D24="","",IF(D24&lt;Setup!$C$5-Setup!$C$6,"",IF(IF(ISNUMBER(Roster!$D24),Setup!$C$22&lt;=Roster!$D24,FALSE),"",IF(OR(IF(Setup!$C$15&lt;=Setup!$C$16,AND(MONTH(D24)&gt;=Setup!$C$15,MONTH(D24)&lt;=Setup!$C$16),OR(MONTH(D24)&gt;=Setup!$C$15,MONTH(D24)&lt;=Setup!$C$16)),IF(Setup!$C$15&lt;=Setup!$C$16,AND(MONTH(WORKDAY(D24,-(Setup!$C$13+Setup!$G$22),Setup!$C$39:$C$50))&gt;=Setup!$C$15,MONTH(WORKDAY(D24,-(Setup!$C$13+Setup!$G$22),Setup!$C$39:$C$50))&lt;=Setup!$C$16),OR(MONTH(WORKDAY(D24,-(Setup!$C$13+Setup!$G$22),Setup!$C$39:$C$50))&gt;=Setup!$C$15,MONTH(WORKDAY(D24,-(Setup!$C$13+Setup!$G$22),Setup!$C$39:$C$50))&lt;=Setup!$C$16))),WORKDAY(D24,-(Setup!$C$13+Setup!$G$22+Setup!$C$14),Setup!$C$39:$C$50),WORKDAY(D24,-(Setup!$C$13+Setup!$G$22),Setup!$C$39:$C$50))+(19*100+3)/10000000)))</f>
        <v/>
      </c>
      <c r="U24" t="str">
        <f>IF(E24="","",IF(E24&lt;Setup!$C$5-Setup!$C$6,"",IF(IF(ISNUMBER(Roster!$D24),Setup!$C$23&lt;=Roster!$D24,FALSE),"",IF(OR(IF(Setup!$C$15&lt;=Setup!$C$16,AND(MONTH(E24)&gt;=Setup!$C$15,MONTH(E24)&lt;=Setup!$C$16),OR(MONTH(E24)&gt;=Setup!$C$15,MONTH(E24)&lt;=Setup!$C$16)),IF(Setup!$C$15&lt;=Setup!$C$16,AND(MONTH(WORKDAY(E24,-(Setup!$C$13+Setup!$G$23),Setup!$C$39:$C$50))&gt;=Setup!$C$15,MONTH(WORKDAY(E24,-(Setup!$C$13+Setup!$G$23),Setup!$C$39:$C$50))&lt;=Setup!$C$16),OR(MONTH(WORKDAY(E24,-(Setup!$C$13+Setup!$G$23),Setup!$C$39:$C$50))&gt;=Setup!$C$15,MONTH(WORKDAY(E24,-(Setup!$C$13+Setup!$G$23),Setup!$C$39:$C$50))&lt;=Setup!$C$16))),WORKDAY(E24,-(Setup!$C$13+Setup!$G$23+Setup!$C$14),Setup!$C$39:$C$50),WORKDAY(E24,-(Setup!$C$13+Setup!$G$23),Setup!$C$39:$C$50))+(19*100+4)/10000000)))</f>
        <v/>
      </c>
      <c r="V24" t="str">
        <f>IF(F24="","",IF(F24&lt;Setup!$C$5-Setup!$C$6,"",IF(IF(ISNUMBER(Roster!$D24),Setup!$C$24&lt;=Roster!$D24,FALSE),"",IF(OR(IF(Setup!$C$15&lt;=Setup!$C$16,AND(MONTH(F24)&gt;=Setup!$C$15,MONTH(F24)&lt;=Setup!$C$16),OR(MONTH(F24)&gt;=Setup!$C$15,MONTH(F24)&lt;=Setup!$C$16)),IF(Setup!$C$15&lt;=Setup!$C$16,AND(MONTH(WORKDAY(F24,-(Setup!$C$13+Setup!$G$24),Setup!$C$39:$C$50))&gt;=Setup!$C$15,MONTH(WORKDAY(F24,-(Setup!$C$13+Setup!$G$24),Setup!$C$39:$C$50))&lt;=Setup!$C$16),OR(MONTH(WORKDAY(F24,-(Setup!$C$13+Setup!$G$24),Setup!$C$39:$C$50))&gt;=Setup!$C$15,MONTH(WORKDAY(F24,-(Setup!$C$13+Setup!$G$24),Setup!$C$39:$C$50))&lt;=Setup!$C$16))),WORKDAY(F24,-(Setup!$C$13+Setup!$G$24+Setup!$C$14),Setup!$C$39:$C$50),WORKDAY(F24,-(Setup!$C$13+Setup!$G$24),Setup!$C$39:$C$50))+(19*100+5)/10000000)))</f>
        <v/>
      </c>
      <c r="W24" t="str">
        <f>IF(G24="","",IF(G24&lt;Setup!$C$5-Setup!$C$6,"",IF(IF(ISNUMBER(Roster!$D24),Setup!$C$25&lt;=Roster!$D24,FALSE),"",IF(OR(IF(Setup!$C$15&lt;=Setup!$C$16,AND(MONTH(G24)&gt;=Setup!$C$15,MONTH(G24)&lt;=Setup!$C$16),OR(MONTH(G24)&gt;=Setup!$C$15,MONTH(G24)&lt;=Setup!$C$16)),IF(Setup!$C$15&lt;=Setup!$C$16,AND(MONTH(WORKDAY(G24,-(Setup!$C$13+Setup!$G$25),Setup!$C$39:$C$50))&gt;=Setup!$C$15,MONTH(WORKDAY(G24,-(Setup!$C$13+Setup!$G$25),Setup!$C$39:$C$50))&lt;=Setup!$C$16),OR(MONTH(WORKDAY(G24,-(Setup!$C$13+Setup!$G$25),Setup!$C$39:$C$50))&gt;=Setup!$C$15,MONTH(WORKDAY(G24,-(Setup!$C$13+Setup!$G$25),Setup!$C$39:$C$50))&lt;=Setup!$C$16))),WORKDAY(G24,-(Setup!$C$13+Setup!$G$25+Setup!$C$14),Setup!$C$39:$C$50),WORKDAY(G24,-(Setup!$C$13+Setup!$G$25),Setup!$C$39:$C$50))+(19*100+6)/10000000)))</f>
        <v/>
      </c>
      <c r="X24" t="str">
        <f>IF(H24="","",IF(H24&lt;Setup!$C$5-Setup!$C$6,"",IF(IF(ISNUMBER(Roster!$D24),Setup!$C$26&lt;=Roster!$D24,FALSE),"",IF(OR(IF(Setup!$C$15&lt;=Setup!$C$16,AND(MONTH(H24)&gt;=Setup!$C$15,MONTH(H24)&lt;=Setup!$C$16),OR(MONTH(H24)&gt;=Setup!$C$15,MONTH(H24)&lt;=Setup!$C$16)),IF(Setup!$C$15&lt;=Setup!$C$16,AND(MONTH(WORKDAY(H24,-(Setup!$C$13+Setup!$G$26),Setup!$C$39:$C$50))&gt;=Setup!$C$15,MONTH(WORKDAY(H24,-(Setup!$C$13+Setup!$G$26),Setup!$C$39:$C$50))&lt;=Setup!$C$16),OR(MONTH(WORKDAY(H24,-(Setup!$C$13+Setup!$G$26),Setup!$C$39:$C$50))&gt;=Setup!$C$15,MONTH(WORKDAY(H24,-(Setup!$C$13+Setup!$G$26),Setup!$C$39:$C$50))&lt;=Setup!$C$16))),WORKDAY(H24,-(Setup!$C$13+Setup!$G$26+Setup!$C$14),Setup!$C$39:$C$50),WORKDAY(H24,-(Setup!$C$13+Setup!$G$26),Setup!$C$39:$C$50))+(19*100+7)/10000000)))</f>
        <v/>
      </c>
      <c r="Y24" t="str">
        <f>IF(I24="","",IF(I24&lt;Setup!$C$5-Setup!$C$6,"",IF(IF(ISNUMBER(Roster!$D24),Setup!$C$27&lt;=Roster!$D24,FALSE),"",IF(OR(IF(Setup!$C$15&lt;=Setup!$C$16,AND(MONTH(I24)&gt;=Setup!$C$15,MONTH(I24)&lt;=Setup!$C$16),OR(MONTH(I24)&gt;=Setup!$C$15,MONTH(I24)&lt;=Setup!$C$16)),IF(Setup!$C$15&lt;=Setup!$C$16,AND(MONTH(WORKDAY(I24,-(Setup!$C$13+Setup!$G$27),Setup!$C$39:$C$50))&gt;=Setup!$C$15,MONTH(WORKDAY(I24,-(Setup!$C$13+Setup!$G$27),Setup!$C$39:$C$50))&lt;=Setup!$C$16),OR(MONTH(WORKDAY(I24,-(Setup!$C$13+Setup!$G$27),Setup!$C$39:$C$50))&gt;=Setup!$C$15,MONTH(WORKDAY(I24,-(Setup!$C$13+Setup!$G$27),Setup!$C$39:$C$50))&lt;=Setup!$C$16))),WORKDAY(I24,-(Setup!$C$13+Setup!$G$27+Setup!$C$14),Setup!$C$39:$C$50),WORKDAY(I24,-(Setup!$C$13+Setup!$G$27),Setup!$C$39:$C$50))+(19*100+8)/10000000)))</f>
        <v/>
      </c>
      <c r="Z24" t="str">
        <f>IF(J24="","",IF(J24&lt;Setup!$C$5-Setup!$C$6,"",IF(IF(ISNUMBER(Roster!$D24),Setup!$C$28&lt;=Roster!$D24,FALSE),"",IF(OR(IF(Setup!$C$15&lt;=Setup!$C$16,AND(MONTH(J24)&gt;=Setup!$C$15,MONTH(J24)&lt;=Setup!$C$16),OR(MONTH(J24)&gt;=Setup!$C$15,MONTH(J24)&lt;=Setup!$C$16)),IF(Setup!$C$15&lt;=Setup!$C$16,AND(MONTH(WORKDAY(J24,-(Setup!$C$13+Setup!$G$28),Setup!$C$39:$C$50))&gt;=Setup!$C$15,MONTH(WORKDAY(J24,-(Setup!$C$13+Setup!$G$28),Setup!$C$39:$C$50))&lt;=Setup!$C$16),OR(MONTH(WORKDAY(J24,-(Setup!$C$13+Setup!$G$28),Setup!$C$39:$C$50))&gt;=Setup!$C$15,MONTH(WORKDAY(J24,-(Setup!$C$13+Setup!$G$28),Setup!$C$39:$C$50))&lt;=Setup!$C$16))),WORKDAY(J24,-(Setup!$C$13+Setup!$G$28+Setup!$C$14),Setup!$C$39:$C$50),WORKDAY(J24,-(Setup!$C$13+Setup!$G$28),Setup!$C$39:$C$50))+(19*100+9)/10000000)))</f>
        <v/>
      </c>
      <c r="AA24" t="str">
        <f>IF(K24="","",IF(K24&lt;Setup!$C$5-Setup!$C$6,"",IF(IF(ISNUMBER(Roster!$D24),Setup!$C$29&lt;=Roster!$D24,FALSE),"",IF(OR(IF(Setup!$C$15&lt;=Setup!$C$16,AND(MONTH(K24)&gt;=Setup!$C$15,MONTH(K24)&lt;=Setup!$C$16),OR(MONTH(K24)&gt;=Setup!$C$15,MONTH(K24)&lt;=Setup!$C$16)),IF(Setup!$C$15&lt;=Setup!$C$16,AND(MONTH(WORKDAY(K24,-(Setup!$C$13+Setup!$G$29),Setup!$C$39:$C$50))&gt;=Setup!$C$15,MONTH(WORKDAY(K24,-(Setup!$C$13+Setup!$G$29),Setup!$C$39:$C$50))&lt;=Setup!$C$16),OR(MONTH(WORKDAY(K24,-(Setup!$C$13+Setup!$G$29),Setup!$C$39:$C$50))&gt;=Setup!$C$15,MONTH(WORKDAY(K24,-(Setup!$C$13+Setup!$G$29),Setup!$C$39:$C$50))&lt;=Setup!$C$16))),WORKDAY(K24,-(Setup!$C$13+Setup!$G$29+Setup!$C$14),Setup!$C$39:$C$50),WORKDAY(K24,-(Setup!$C$13+Setup!$G$29),Setup!$C$39:$C$50))+(19*100+10)/10000000)))</f>
        <v/>
      </c>
      <c r="AB24" t="str">
        <f>IF(L24="","",IF(L24&lt;Setup!$C$5-Setup!$C$6,"",IF(IF(ISNUMBER(Roster!$D24),Setup!$C$30&lt;=Roster!$D24,FALSE),"",IF(OR(IF(Setup!$C$15&lt;=Setup!$C$16,AND(MONTH(L24)&gt;=Setup!$C$15,MONTH(L24)&lt;=Setup!$C$16),OR(MONTH(L24)&gt;=Setup!$C$15,MONTH(L24)&lt;=Setup!$C$16)),IF(Setup!$C$15&lt;=Setup!$C$16,AND(MONTH(WORKDAY(L24,-(Setup!$C$13+Setup!$G$30),Setup!$C$39:$C$50))&gt;=Setup!$C$15,MONTH(WORKDAY(L24,-(Setup!$C$13+Setup!$G$30),Setup!$C$39:$C$50))&lt;=Setup!$C$16),OR(MONTH(WORKDAY(L24,-(Setup!$C$13+Setup!$G$30),Setup!$C$39:$C$50))&gt;=Setup!$C$15,MONTH(WORKDAY(L24,-(Setup!$C$13+Setup!$G$30),Setup!$C$39:$C$50))&lt;=Setup!$C$16))),WORKDAY(L24,-(Setup!$C$13+Setup!$G$30+Setup!$C$14),Setup!$C$39:$C$50),WORKDAY(L24,-(Setup!$C$13+Setup!$G$30),Setup!$C$39:$C$50))+(19*100+11)/10000000)))</f>
        <v/>
      </c>
      <c r="AC24" t="str">
        <f>IF(M24="","",IF(M24&lt;Setup!$C$5-Setup!$C$6,"",IF(IF(ISNUMBER(Roster!$D24),Setup!$C$31&lt;=Roster!$D24,FALSE),"",IF(OR(IF(Setup!$C$15&lt;=Setup!$C$16,AND(MONTH(M24)&gt;=Setup!$C$15,MONTH(M24)&lt;=Setup!$C$16),OR(MONTH(M24)&gt;=Setup!$C$15,MONTH(M24)&lt;=Setup!$C$16)),IF(Setup!$C$15&lt;=Setup!$C$16,AND(MONTH(WORKDAY(M24,-(Setup!$C$13+Setup!$G$31),Setup!$C$39:$C$50))&gt;=Setup!$C$15,MONTH(WORKDAY(M24,-(Setup!$C$13+Setup!$G$31),Setup!$C$39:$C$50))&lt;=Setup!$C$16),OR(MONTH(WORKDAY(M24,-(Setup!$C$13+Setup!$G$31),Setup!$C$39:$C$50))&gt;=Setup!$C$15,MONTH(WORKDAY(M24,-(Setup!$C$13+Setup!$G$31),Setup!$C$39:$C$50))&lt;=Setup!$C$16))),WORKDAY(M24,-(Setup!$C$13+Setup!$G$31+Setup!$C$14),Setup!$C$39:$C$50),WORKDAY(M24,-(Setup!$C$13+Setup!$G$31),Setup!$C$39:$C$50))+(19*100+12)/10000000)))</f>
        <v/>
      </c>
      <c r="AD24" t="str">
        <f>IF(N24="","",IF(N24&lt;Setup!$C$5-Setup!$C$6,"",IF(IF(ISNUMBER(Roster!$D24),Setup!$C$32&lt;=Roster!$D24,FALSE),"",IF(OR(IF(Setup!$C$15&lt;=Setup!$C$16,AND(MONTH(N24)&gt;=Setup!$C$15,MONTH(N24)&lt;=Setup!$C$16),OR(MONTH(N24)&gt;=Setup!$C$15,MONTH(N24)&lt;=Setup!$C$16)),IF(Setup!$C$15&lt;=Setup!$C$16,AND(MONTH(WORKDAY(N24,-(Setup!$C$13+Setup!$G$32),Setup!$C$39:$C$50))&gt;=Setup!$C$15,MONTH(WORKDAY(N24,-(Setup!$C$13+Setup!$G$32),Setup!$C$39:$C$50))&lt;=Setup!$C$16),OR(MONTH(WORKDAY(N24,-(Setup!$C$13+Setup!$G$32),Setup!$C$39:$C$50))&gt;=Setup!$C$15,MONTH(WORKDAY(N24,-(Setup!$C$13+Setup!$G$32),Setup!$C$39:$C$50))&lt;=Setup!$C$16))),WORKDAY(N24,-(Setup!$C$13+Setup!$G$32+Setup!$C$14),Setup!$C$39:$C$50),WORKDAY(N24,-(Setup!$C$13+Setup!$G$32),Setup!$C$39:$C$50))+(19*100+13)/10000000)))</f>
        <v/>
      </c>
      <c r="AE24" t="str">
        <f>IF(O24="","",IF(O24&lt;Setup!$C$5-Setup!$C$6,"",IF(IF(ISNUMBER(Roster!$D24),Setup!$C$33&lt;=Roster!$D24,FALSE),"",IF(OR(IF(Setup!$C$15&lt;=Setup!$C$16,AND(MONTH(O24)&gt;=Setup!$C$15,MONTH(O24)&lt;=Setup!$C$16),OR(MONTH(O24)&gt;=Setup!$C$15,MONTH(O24)&lt;=Setup!$C$16)),IF(Setup!$C$15&lt;=Setup!$C$16,AND(MONTH(WORKDAY(O24,-(Setup!$C$13+Setup!$G$33),Setup!$C$39:$C$50))&gt;=Setup!$C$15,MONTH(WORKDAY(O24,-(Setup!$C$13+Setup!$G$33),Setup!$C$39:$C$50))&lt;=Setup!$C$16),OR(MONTH(WORKDAY(O24,-(Setup!$C$13+Setup!$G$33),Setup!$C$39:$C$50))&gt;=Setup!$C$15,MONTH(WORKDAY(O24,-(Setup!$C$13+Setup!$G$33),Setup!$C$39:$C$50))&lt;=Setup!$C$16))),WORKDAY(O24,-(Setup!$C$13+Setup!$G$33+Setup!$C$14),Setup!$C$39:$C$50),WORKDAY(O24,-(Setup!$C$13+Setup!$G$33),Setup!$C$39:$C$50))+(19*100+14)/10000000)))</f>
        <v/>
      </c>
      <c r="AF24" t="str">
        <f>IF(P24="","",IF(P24&lt;Setup!$C$5-Setup!$C$6,"",IF(IF(ISNUMBER(Roster!$D24),Setup!$C$34&lt;=Roster!$D24,FALSE),"",IF(OR(IF(Setup!$C$15&lt;=Setup!$C$16,AND(MONTH(P24)&gt;=Setup!$C$15,MONTH(P24)&lt;=Setup!$C$16),OR(MONTH(P24)&gt;=Setup!$C$15,MONTH(P24)&lt;=Setup!$C$16)),IF(Setup!$C$15&lt;=Setup!$C$16,AND(MONTH(WORKDAY(P24,-(Setup!$C$13+Setup!$G$34),Setup!$C$39:$C$50))&gt;=Setup!$C$15,MONTH(WORKDAY(P24,-(Setup!$C$13+Setup!$G$34),Setup!$C$39:$C$50))&lt;=Setup!$C$16),OR(MONTH(WORKDAY(P24,-(Setup!$C$13+Setup!$G$34),Setup!$C$39:$C$50))&gt;=Setup!$C$15,MONTH(WORKDAY(P24,-(Setup!$C$13+Setup!$G$34),Setup!$C$39:$C$50))&lt;=Setup!$C$16))),WORKDAY(P24,-(Setup!$C$13+Setup!$G$34+Setup!$C$14),Setup!$C$39:$C$50),WORKDAY(P24,-(Setup!$C$13+Setup!$G$34),Setup!$C$39:$C$50))+(19*100+15)/10000000)))</f>
        <v/>
      </c>
      <c r="AH24" t="str">
        <f t="shared" si="0"/>
        <v/>
      </c>
      <c r="AI24" t="str">
        <f t="shared" si="1"/>
        <v/>
      </c>
      <c r="AK24" t="str">
        <f ca="1">IF(19&gt;$AK$2,"",SMALL($R$6:$AF$505,19))</f>
        <v/>
      </c>
      <c r="AL24" t="str">
        <f t="shared" ca="1" si="2"/>
        <v/>
      </c>
      <c r="AM24" t="str">
        <f t="shared" ca="1" si="3"/>
        <v/>
      </c>
      <c r="AN24" t="str">
        <f t="shared" ca="1" si="4"/>
        <v/>
      </c>
      <c r="AP24" t="str">
        <f>IF(ISNUMBER(Roster!$B24),MAX(1,YEAR(Setup!$C$5)-YEAR(Roster!$B24)+IF(EDATE(Roster!$B24,12*(YEAR(Setup!$C$5)-YEAR(Roster!$B24)))&lt;Setup!$C$5,1,0)),"")</f>
        <v/>
      </c>
      <c r="AQ24" s="32" t="str">
        <f>IF(AP24="","",EDATE(Roster!$B24,12*AP24))</f>
        <v/>
      </c>
      <c r="AR24" t="str">
        <f>IF(AQ24="","",IF(AQ24&lt;DATE(YEAR(Setup!$C$5)+1,MONTH(Setup!$C$5),DAY(Setup!$C$5)),AQ24+19/1000,""))</f>
        <v/>
      </c>
      <c r="AS24" t="str">
        <f t="shared" si="5"/>
        <v/>
      </c>
      <c r="AT24" t="str">
        <f>IF(AS24="","",IF(ISNUMBER(Roster!$D24),Roster!$D24&gt;=AP24,FALSE))</f>
        <v/>
      </c>
      <c r="AU24" t="str">
        <f t="shared" si="6"/>
        <v/>
      </c>
      <c r="AV24" t="str">
        <f ca="1">IF(19&gt;$AV$2,"",SMALL($AR$6:$AR$505,19))</f>
        <v/>
      </c>
      <c r="AW24" t="str">
        <f t="shared" ca="1" si="7"/>
        <v/>
      </c>
      <c r="AY24">
        <f>IF(AND(Setup!$B$24="Yes",ISNUMBER(Setup!$C$24)),Setup!$C$24,"")</f>
        <v>15</v>
      </c>
      <c r="AZ24">
        <f t="shared" si="8"/>
        <v>1</v>
      </c>
    </row>
    <row r="25" spans="2:52" x14ac:dyDescent="0.2">
      <c r="B25" s="32" t="str">
        <f>IF(AND(ISNUMBER(Roster!$B25),Setup!$B$20="Yes",ISNUMBER(Setup!$C$20)),EDATE(Roster!$B25,12*Setup!$C$20),"")</f>
        <v/>
      </c>
      <c r="C25" s="32" t="str">
        <f>IF(AND(ISNUMBER(Roster!$B25),Setup!$B$21="Yes",ISNUMBER(Setup!$C$21)),EDATE(Roster!$B25,12*Setup!$C$21),"")</f>
        <v/>
      </c>
      <c r="D25" s="32" t="str">
        <f>IF(AND(ISNUMBER(Roster!$B25),Setup!$B$22="Yes",ISNUMBER(Setup!$C$22)),EDATE(Roster!$B25,12*Setup!$C$22),"")</f>
        <v/>
      </c>
      <c r="E25" s="32" t="str">
        <f>IF(AND(ISNUMBER(Roster!$B25),Setup!$B$23="Yes",ISNUMBER(Setup!$C$23)),EDATE(Roster!$B25,12*Setup!$C$23),"")</f>
        <v/>
      </c>
      <c r="F25" s="32" t="str">
        <f>IF(AND(ISNUMBER(Roster!$B25),Setup!$B$24="Yes",ISNUMBER(Setup!$C$24)),EDATE(Roster!$B25,12*Setup!$C$24),"")</f>
        <v/>
      </c>
      <c r="G25" s="32" t="str">
        <f>IF(AND(ISNUMBER(Roster!$B25),Setup!$B$25="Yes",ISNUMBER(Setup!$C$25)),EDATE(Roster!$B25,12*Setup!$C$25),"")</f>
        <v/>
      </c>
      <c r="H25" s="32" t="str">
        <f>IF(AND(ISNUMBER(Roster!$B25),Setup!$B$26="Yes",ISNUMBER(Setup!$C$26)),EDATE(Roster!$B25,12*Setup!$C$26),"")</f>
        <v/>
      </c>
      <c r="I25" s="32" t="str">
        <f>IF(AND(ISNUMBER(Roster!$B25),Setup!$B$27="Yes",ISNUMBER(Setup!$C$27)),EDATE(Roster!$B25,12*Setup!$C$27),"")</f>
        <v/>
      </c>
      <c r="J25" s="32" t="str">
        <f>IF(AND(ISNUMBER(Roster!$B25),Setup!$B$28="Yes",ISNUMBER(Setup!$C$28)),EDATE(Roster!$B25,12*Setup!$C$28),"")</f>
        <v/>
      </c>
      <c r="K25" s="32" t="str">
        <f>IF(AND(ISNUMBER(Roster!$B25),Setup!$B$29="Yes",ISNUMBER(Setup!$C$29)),EDATE(Roster!$B25,12*Setup!$C$29),"")</f>
        <v/>
      </c>
      <c r="L25" s="32" t="str">
        <f>IF(AND(ISNUMBER(Roster!$B25),Setup!$B$30="Yes",ISNUMBER(Setup!$C$30)),EDATE(Roster!$B25,12*Setup!$C$30),"")</f>
        <v/>
      </c>
      <c r="M25" s="32" t="str">
        <f>IF(AND(ISNUMBER(Roster!$B25),Setup!$B$31="Yes",ISNUMBER(Setup!$C$31)),EDATE(Roster!$B25,12*Setup!$C$31),"")</f>
        <v/>
      </c>
      <c r="N25" s="32" t="str">
        <f>IF(AND(ISNUMBER(Roster!$B25),Setup!$B$32="Yes",ISNUMBER(Setup!$C$32)),EDATE(Roster!$B25,12*Setup!$C$32),"")</f>
        <v/>
      </c>
      <c r="O25" s="32" t="str">
        <f>IF(AND(ISNUMBER(Roster!$B25),Setup!$B$33="Yes",ISNUMBER(Setup!$C$33)),EDATE(Roster!$B25,12*Setup!$C$33),"")</f>
        <v/>
      </c>
      <c r="P25" s="32" t="str">
        <f>IF(AND(ISNUMBER(Roster!$B25),Setup!$B$34="Yes",ISNUMBER(Setup!$C$34)),EDATE(Roster!$B25,12*Setup!$C$34),"")</f>
        <v/>
      </c>
      <c r="R25" t="str">
        <f>IF(B25="","",IF(B25&lt;Setup!$C$5-Setup!$C$6,"",IF(IF(ISNUMBER(Roster!$D25),Setup!$C$20&lt;=Roster!$D25,FALSE),"",IF(OR(IF(Setup!$C$15&lt;=Setup!$C$16,AND(MONTH(B25)&gt;=Setup!$C$15,MONTH(B25)&lt;=Setup!$C$16),OR(MONTH(B25)&gt;=Setup!$C$15,MONTH(B25)&lt;=Setup!$C$16)),IF(Setup!$C$15&lt;=Setup!$C$16,AND(MONTH(WORKDAY(B25,-(Setup!$C$13+Setup!$G$20),Setup!$C$39:$C$50))&gt;=Setup!$C$15,MONTH(WORKDAY(B25,-(Setup!$C$13+Setup!$G$20),Setup!$C$39:$C$50))&lt;=Setup!$C$16),OR(MONTH(WORKDAY(B25,-(Setup!$C$13+Setup!$G$20),Setup!$C$39:$C$50))&gt;=Setup!$C$15,MONTH(WORKDAY(B25,-(Setup!$C$13+Setup!$G$20),Setup!$C$39:$C$50))&lt;=Setup!$C$16))),WORKDAY(B25,-(Setup!$C$13+Setup!$G$20+Setup!$C$14),Setup!$C$39:$C$50),WORKDAY(B25,-(Setup!$C$13+Setup!$G$20),Setup!$C$39:$C$50))+(20*100+1)/10000000)))</f>
        <v/>
      </c>
      <c r="S25" t="str">
        <f>IF(C25="","",IF(C25&lt;Setup!$C$5-Setup!$C$6,"",IF(IF(ISNUMBER(Roster!$D25),Setup!$C$21&lt;=Roster!$D25,FALSE),"",IF(OR(IF(Setup!$C$15&lt;=Setup!$C$16,AND(MONTH(C25)&gt;=Setup!$C$15,MONTH(C25)&lt;=Setup!$C$16),OR(MONTH(C25)&gt;=Setup!$C$15,MONTH(C25)&lt;=Setup!$C$16)),IF(Setup!$C$15&lt;=Setup!$C$16,AND(MONTH(WORKDAY(C25,-(Setup!$C$13+Setup!$G$21),Setup!$C$39:$C$50))&gt;=Setup!$C$15,MONTH(WORKDAY(C25,-(Setup!$C$13+Setup!$G$21),Setup!$C$39:$C$50))&lt;=Setup!$C$16),OR(MONTH(WORKDAY(C25,-(Setup!$C$13+Setup!$G$21),Setup!$C$39:$C$50))&gt;=Setup!$C$15,MONTH(WORKDAY(C25,-(Setup!$C$13+Setup!$G$21),Setup!$C$39:$C$50))&lt;=Setup!$C$16))),WORKDAY(C25,-(Setup!$C$13+Setup!$G$21+Setup!$C$14),Setup!$C$39:$C$50),WORKDAY(C25,-(Setup!$C$13+Setup!$G$21),Setup!$C$39:$C$50))+(20*100+2)/10000000)))</f>
        <v/>
      </c>
      <c r="T25" t="str">
        <f>IF(D25="","",IF(D25&lt;Setup!$C$5-Setup!$C$6,"",IF(IF(ISNUMBER(Roster!$D25),Setup!$C$22&lt;=Roster!$D25,FALSE),"",IF(OR(IF(Setup!$C$15&lt;=Setup!$C$16,AND(MONTH(D25)&gt;=Setup!$C$15,MONTH(D25)&lt;=Setup!$C$16),OR(MONTH(D25)&gt;=Setup!$C$15,MONTH(D25)&lt;=Setup!$C$16)),IF(Setup!$C$15&lt;=Setup!$C$16,AND(MONTH(WORKDAY(D25,-(Setup!$C$13+Setup!$G$22),Setup!$C$39:$C$50))&gt;=Setup!$C$15,MONTH(WORKDAY(D25,-(Setup!$C$13+Setup!$G$22),Setup!$C$39:$C$50))&lt;=Setup!$C$16),OR(MONTH(WORKDAY(D25,-(Setup!$C$13+Setup!$G$22),Setup!$C$39:$C$50))&gt;=Setup!$C$15,MONTH(WORKDAY(D25,-(Setup!$C$13+Setup!$G$22),Setup!$C$39:$C$50))&lt;=Setup!$C$16))),WORKDAY(D25,-(Setup!$C$13+Setup!$G$22+Setup!$C$14),Setup!$C$39:$C$50),WORKDAY(D25,-(Setup!$C$13+Setup!$G$22),Setup!$C$39:$C$50))+(20*100+3)/10000000)))</f>
        <v/>
      </c>
      <c r="U25" t="str">
        <f>IF(E25="","",IF(E25&lt;Setup!$C$5-Setup!$C$6,"",IF(IF(ISNUMBER(Roster!$D25),Setup!$C$23&lt;=Roster!$D25,FALSE),"",IF(OR(IF(Setup!$C$15&lt;=Setup!$C$16,AND(MONTH(E25)&gt;=Setup!$C$15,MONTH(E25)&lt;=Setup!$C$16),OR(MONTH(E25)&gt;=Setup!$C$15,MONTH(E25)&lt;=Setup!$C$16)),IF(Setup!$C$15&lt;=Setup!$C$16,AND(MONTH(WORKDAY(E25,-(Setup!$C$13+Setup!$G$23),Setup!$C$39:$C$50))&gt;=Setup!$C$15,MONTH(WORKDAY(E25,-(Setup!$C$13+Setup!$G$23),Setup!$C$39:$C$50))&lt;=Setup!$C$16),OR(MONTH(WORKDAY(E25,-(Setup!$C$13+Setup!$G$23),Setup!$C$39:$C$50))&gt;=Setup!$C$15,MONTH(WORKDAY(E25,-(Setup!$C$13+Setup!$G$23),Setup!$C$39:$C$50))&lt;=Setup!$C$16))),WORKDAY(E25,-(Setup!$C$13+Setup!$G$23+Setup!$C$14),Setup!$C$39:$C$50),WORKDAY(E25,-(Setup!$C$13+Setup!$G$23),Setup!$C$39:$C$50))+(20*100+4)/10000000)))</f>
        <v/>
      </c>
      <c r="V25" t="str">
        <f>IF(F25="","",IF(F25&lt;Setup!$C$5-Setup!$C$6,"",IF(IF(ISNUMBER(Roster!$D25),Setup!$C$24&lt;=Roster!$D25,FALSE),"",IF(OR(IF(Setup!$C$15&lt;=Setup!$C$16,AND(MONTH(F25)&gt;=Setup!$C$15,MONTH(F25)&lt;=Setup!$C$16),OR(MONTH(F25)&gt;=Setup!$C$15,MONTH(F25)&lt;=Setup!$C$16)),IF(Setup!$C$15&lt;=Setup!$C$16,AND(MONTH(WORKDAY(F25,-(Setup!$C$13+Setup!$G$24),Setup!$C$39:$C$50))&gt;=Setup!$C$15,MONTH(WORKDAY(F25,-(Setup!$C$13+Setup!$G$24),Setup!$C$39:$C$50))&lt;=Setup!$C$16),OR(MONTH(WORKDAY(F25,-(Setup!$C$13+Setup!$G$24),Setup!$C$39:$C$50))&gt;=Setup!$C$15,MONTH(WORKDAY(F25,-(Setup!$C$13+Setup!$G$24),Setup!$C$39:$C$50))&lt;=Setup!$C$16))),WORKDAY(F25,-(Setup!$C$13+Setup!$G$24+Setup!$C$14),Setup!$C$39:$C$50),WORKDAY(F25,-(Setup!$C$13+Setup!$G$24),Setup!$C$39:$C$50))+(20*100+5)/10000000)))</f>
        <v/>
      </c>
      <c r="W25" t="str">
        <f>IF(G25="","",IF(G25&lt;Setup!$C$5-Setup!$C$6,"",IF(IF(ISNUMBER(Roster!$D25),Setup!$C$25&lt;=Roster!$D25,FALSE),"",IF(OR(IF(Setup!$C$15&lt;=Setup!$C$16,AND(MONTH(G25)&gt;=Setup!$C$15,MONTH(G25)&lt;=Setup!$C$16),OR(MONTH(G25)&gt;=Setup!$C$15,MONTH(G25)&lt;=Setup!$C$16)),IF(Setup!$C$15&lt;=Setup!$C$16,AND(MONTH(WORKDAY(G25,-(Setup!$C$13+Setup!$G$25),Setup!$C$39:$C$50))&gt;=Setup!$C$15,MONTH(WORKDAY(G25,-(Setup!$C$13+Setup!$G$25),Setup!$C$39:$C$50))&lt;=Setup!$C$16),OR(MONTH(WORKDAY(G25,-(Setup!$C$13+Setup!$G$25),Setup!$C$39:$C$50))&gt;=Setup!$C$15,MONTH(WORKDAY(G25,-(Setup!$C$13+Setup!$G$25),Setup!$C$39:$C$50))&lt;=Setup!$C$16))),WORKDAY(G25,-(Setup!$C$13+Setup!$G$25+Setup!$C$14),Setup!$C$39:$C$50),WORKDAY(G25,-(Setup!$C$13+Setup!$G$25),Setup!$C$39:$C$50))+(20*100+6)/10000000)))</f>
        <v/>
      </c>
      <c r="X25" t="str">
        <f>IF(H25="","",IF(H25&lt;Setup!$C$5-Setup!$C$6,"",IF(IF(ISNUMBER(Roster!$D25),Setup!$C$26&lt;=Roster!$D25,FALSE),"",IF(OR(IF(Setup!$C$15&lt;=Setup!$C$16,AND(MONTH(H25)&gt;=Setup!$C$15,MONTH(H25)&lt;=Setup!$C$16),OR(MONTH(H25)&gt;=Setup!$C$15,MONTH(H25)&lt;=Setup!$C$16)),IF(Setup!$C$15&lt;=Setup!$C$16,AND(MONTH(WORKDAY(H25,-(Setup!$C$13+Setup!$G$26),Setup!$C$39:$C$50))&gt;=Setup!$C$15,MONTH(WORKDAY(H25,-(Setup!$C$13+Setup!$G$26),Setup!$C$39:$C$50))&lt;=Setup!$C$16),OR(MONTH(WORKDAY(H25,-(Setup!$C$13+Setup!$G$26),Setup!$C$39:$C$50))&gt;=Setup!$C$15,MONTH(WORKDAY(H25,-(Setup!$C$13+Setup!$G$26),Setup!$C$39:$C$50))&lt;=Setup!$C$16))),WORKDAY(H25,-(Setup!$C$13+Setup!$G$26+Setup!$C$14),Setup!$C$39:$C$50),WORKDAY(H25,-(Setup!$C$13+Setup!$G$26),Setup!$C$39:$C$50))+(20*100+7)/10000000)))</f>
        <v/>
      </c>
      <c r="Y25" t="str">
        <f>IF(I25="","",IF(I25&lt;Setup!$C$5-Setup!$C$6,"",IF(IF(ISNUMBER(Roster!$D25),Setup!$C$27&lt;=Roster!$D25,FALSE),"",IF(OR(IF(Setup!$C$15&lt;=Setup!$C$16,AND(MONTH(I25)&gt;=Setup!$C$15,MONTH(I25)&lt;=Setup!$C$16),OR(MONTH(I25)&gt;=Setup!$C$15,MONTH(I25)&lt;=Setup!$C$16)),IF(Setup!$C$15&lt;=Setup!$C$16,AND(MONTH(WORKDAY(I25,-(Setup!$C$13+Setup!$G$27),Setup!$C$39:$C$50))&gt;=Setup!$C$15,MONTH(WORKDAY(I25,-(Setup!$C$13+Setup!$G$27),Setup!$C$39:$C$50))&lt;=Setup!$C$16),OR(MONTH(WORKDAY(I25,-(Setup!$C$13+Setup!$G$27),Setup!$C$39:$C$50))&gt;=Setup!$C$15,MONTH(WORKDAY(I25,-(Setup!$C$13+Setup!$G$27),Setup!$C$39:$C$50))&lt;=Setup!$C$16))),WORKDAY(I25,-(Setup!$C$13+Setup!$G$27+Setup!$C$14),Setup!$C$39:$C$50),WORKDAY(I25,-(Setup!$C$13+Setup!$G$27),Setup!$C$39:$C$50))+(20*100+8)/10000000)))</f>
        <v/>
      </c>
      <c r="Z25" t="str">
        <f>IF(J25="","",IF(J25&lt;Setup!$C$5-Setup!$C$6,"",IF(IF(ISNUMBER(Roster!$D25),Setup!$C$28&lt;=Roster!$D25,FALSE),"",IF(OR(IF(Setup!$C$15&lt;=Setup!$C$16,AND(MONTH(J25)&gt;=Setup!$C$15,MONTH(J25)&lt;=Setup!$C$16),OR(MONTH(J25)&gt;=Setup!$C$15,MONTH(J25)&lt;=Setup!$C$16)),IF(Setup!$C$15&lt;=Setup!$C$16,AND(MONTH(WORKDAY(J25,-(Setup!$C$13+Setup!$G$28),Setup!$C$39:$C$50))&gt;=Setup!$C$15,MONTH(WORKDAY(J25,-(Setup!$C$13+Setup!$G$28),Setup!$C$39:$C$50))&lt;=Setup!$C$16),OR(MONTH(WORKDAY(J25,-(Setup!$C$13+Setup!$G$28),Setup!$C$39:$C$50))&gt;=Setup!$C$15,MONTH(WORKDAY(J25,-(Setup!$C$13+Setup!$G$28),Setup!$C$39:$C$50))&lt;=Setup!$C$16))),WORKDAY(J25,-(Setup!$C$13+Setup!$G$28+Setup!$C$14),Setup!$C$39:$C$50),WORKDAY(J25,-(Setup!$C$13+Setup!$G$28),Setup!$C$39:$C$50))+(20*100+9)/10000000)))</f>
        <v/>
      </c>
      <c r="AA25" t="str">
        <f>IF(K25="","",IF(K25&lt;Setup!$C$5-Setup!$C$6,"",IF(IF(ISNUMBER(Roster!$D25),Setup!$C$29&lt;=Roster!$D25,FALSE),"",IF(OR(IF(Setup!$C$15&lt;=Setup!$C$16,AND(MONTH(K25)&gt;=Setup!$C$15,MONTH(K25)&lt;=Setup!$C$16),OR(MONTH(K25)&gt;=Setup!$C$15,MONTH(K25)&lt;=Setup!$C$16)),IF(Setup!$C$15&lt;=Setup!$C$16,AND(MONTH(WORKDAY(K25,-(Setup!$C$13+Setup!$G$29),Setup!$C$39:$C$50))&gt;=Setup!$C$15,MONTH(WORKDAY(K25,-(Setup!$C$13+Setup!$G$29),Setup!$C$39:$C$50))&lt;=Setup!$C$16),OR(MONTH(WORKDAY(K25,-(Setup!$C$13+Setup!$G$29),Setup!$C$39:$C$50))&gt;=Setup!$C$15,MONTH(WORKDAY(K25,-(Setup!$C$13+Setup!$G$29),Setup!$C$39:$C$50))&lt;=Setup!$C$16))),WORKDAY(K25,-(Setup!$C$13+Setup!$G$29+Setup!$C$14),Setup!$C$39:$C$50),WORKDAY(K25,-(Setup!$C$13+Setup!$G$29),Setup!$C$39:$C$50))+(20*100+10)/10000000)))</f>
        <v/>
      </c>
      <c r="AB25" t="str">
        <f>IF(L25="","",IF(L25&lt;Setup!$C$5-Setup!$C$6,"",IF(IF(ISNUMBER(Roster!$D25),Setup!$C$30&lt;=Roster!$D25,FALSE),"",IF(OR(IF(Setup!$C$15&lt;=Setup!$C$16,AND(MONTH(L25)&gt;=Setup!$C$15,MONTH(L25)&lt;=Setup!$C$16),OR(MONTH(L25)&gt;=Setup!$C$15,MONTH(L25)&lt;=Setup!$C$16)),IF(Setup!$C$15&lt;=Setup!$C$16,AND(MONTH(WORKDAY(L25,-(Setup!$C$13+Setup!$G$30),Setup!$C$39:$C$50))&gt;=Setup!$C$15,MONTH(WORKDAY(L25,-(Setup!$C$13+Setup!$G$30),Setup!$C$39:$C$50))&lt;=Setup!$C$16),OR(MONTH(WORKDAY(L25,-(Setup!$C$13+Setup!$G$30),Setup!$C$39:$C$50))&gt;=Setup!$C$15,MONTH(WORKDAY(L25,-(Setup!$C$13+Setup!$G$30),Setup!$C$39:$C$50))&lt;=Setup!$C$16))),WORKDAY(L25,-(Setup!$C$13+Setup!$G$30+Setup!$C$14),Setup!$C$39:$C$50),WORKDAY(L25,-(Setup!$C$13+Setup!$G$30),Setup!$C$39:$C$50))+(20*100+11)/10000000)))</f>
        <v/>
      </c>
      <c r="AC25" t="str">
        <f>IF(M25="","",IF(M25&lt;Setup!$C$5-Setup!$C$6,"",IF(IF(ISNUMBER(Roster!$D25),Setup!$C$31&lt;=Roster!$D25,FALSE),"",IF(OR(IF(Setup!$C$15&lt;=Setup!$C$16,AND(MONTH(M25)&gt;=Setup!$C$15,MONTH(M25)&lt;=Setup!$C$16),OR(MONTH(M25)&gt;=Setup!$C$15,MONTH(M25)&lt;=Setup!$C$16)),IF(Setup!$C$15&lt;=Setup!$C$16,AND(MONTH(WORKDAY(M25,-(Setup!$C$13+Setup!$G$31),Setup!$C$39:$C$50))&gt;=Setup!$C$15,MONTH(WORKDAY(M25,-(Setup!$C$13+Setup!$G$31),Setup!$C$39:$C$50))&lt;=Setup!$C$16),OR(MONTH(WORKDAY(M25,-(Setup!$C$13+Setup!$G$31),Setup!$C$39:$C$50))&gt;=Setup!$C$15,MONTH(WORKDAY(M25,-(Setup!$C$13+Setup!$G$31),Setup!$C$39:$C$50))&lt;=Setup!$C$16))),WORKDAY(M25,-(Setup!$C$13+Setup!$G$31+Setup!$C$14),Setup!$C$39:$C$50),WORKDAY(M25,-(Setup!$C$13+Setup!$G$31),Setup!$C$39:$C$50))+(20*100+12)/10000000)))</f>
        <v/>
      </c>
      <c r="AD25" t="str">
        <f>IF(N25="","",IF(N25&lt;Setup!$C$5-Setup!$C$6,"",IF(IF(ISNUMBER(Roster!$D25),Setup!$C$32&lt;=Roster!$D25,FALSE),"",IF(OR(IF(Setup!$C$15&lt;=Setup!$C$16,AND(MONTH(N25)&gt;=Setup!$C$15,MONTH(N25)&lt;=Setup!$C$16),OR(MONTH(N25)&gt;=Setup!$C$15,MONTH(N25)&lt;=Setup!$C$16)),IF(Setup!$C$15&lt;=Setup!$C$16,AND(MONTH(WORKDAY(N25,-(Setup!$C$13+Setup!$G$32),Setup!$C$39:$C$50))&gt;=Setup!$C$15,MONTH(WORKDAY(N25,-(Setup!$C$13+Setup!$G$32),Setup!$C$39:$C$50))&lt;=Setup!$C$16),OR(MONTH(WORKDAY(N25,-(Setup!$C$13+Setup!$G$32),Setup!$C$39:$C$50))&gt;=Setup!$C$15,MONTH(WORKDAY(N25,-(Setup!$C$13+Setup!$G$32),Setup!$C$39:$C$50))&lt;=Setup!$C$16))),WORKDAY(N25,-(Setup!$C$13+Setup!$G$32+Setup!$C$14),Setup!$C$39:$C$50),WORKDAY(N25,-(Setup!$C$13+Setup!$G$32),Setup!$C$39:$C$50))+(20*100+13)/10000000)))</f>
        <v/>
      </c>
      <c r="AE25" t="str">
        <f>IF(O25="","",IF(O25&lt;Setup!$C$5-Setup!$C$6,"",IF(IF(ISNUMBER(Roster!$D25),Setup!$C$33&lt;=Roster!$D25,FALSE),"",IF(OR(IF(Setup!$C$15&lt;=Setup!$C$16,AND(MONTH(O25)&gt;=Setup!$C$15,MONTH(O25)&lt;=Setup!$C$16),OR(MONTH(O25)&gt;=Setup!$C$15,MONTH(O25)&lt;=Setup!$C$16)),IF(Setup!$C$15&lt;=Setup!$C$16,AND(MONTH(WORKDAY(O25,-(Setup!$C$13+Setup!$G$33),Setup!$C$39:$C$50))&gt;=Setup!$C$15,MONTH(WORKDAY(O25,-(Setup!$C$13+Setup!$G$33),Setup!$C$39:$C$50))&lt;=Setup!$C$16),OR(MONTH(WORKDAY(O25,-(Setup!$C$13+Setup!$G$33),Setup!$C$39:$C$50))&gt;=Setup!$C$15,MONTH(WORKDAY(O25,-(Setup!$C$13+Setup!$G$33),Setup!$C$39:$C$50))&lt;=Setup!$C$16))),WORKDAY(O25,-(Setup!$C$13+Setup!$G$33+Setup!$C$14),Setup!$C$39:$C$50),WORKDAY(O25,-(Setup!$C$13+Setup!$G$33),Setup!$C$39:$C$50))+(20*100+14)/10000000)))</f>
        <v/>
      </c>
      <c r="AF25" t="str">
        <f>IF(P25="","",IF(P25&lt;Setup!$C$5-Setup!$C$6,"",IF(IF(ISNUMBER(Roster!$D25),Setup!$C$34&lt;=Roster!$D25,FALSE),"",IF(OR(IF(Setup!$C$15&lt;=Setup!$C$16,AND(MONTH(P25)&gt;=Setup!$C$15,MONTH(P25)&lt;=Setup!$C$16),OR(MONTH(P25)&gt;=Setup!$C$15,MONTH(P25)&lt;=Setup!$C$16)),IF(Setup!$C$15&lt;=Setup!$C$16,AND(MONTH(WORKDAY(P25,-(Setup!$C$13+Setup!$G$34),Setup!$C$39:$C$50))&gt;=Setup!$C$15,MONTH(WORKDAY(P25,-(Setup!$C$13+Setup!$G$34),Setup!$C$39:$C$50))&lt;=Setup!$C$16),OR(MONTH(WORKDAY(P25,-(Setup!$C$13+Setup!$G$34),Setup!$C$39:$C$50))&gt;=Setup!$C$15,MONTH(WORKDAY(P25,-(Setup!$C$13+Setup!$G$34),Setup!$C$39:$C$50))&lt;=Setup!$C$16))),WORKDAY(P25,-(Setup!$C$13+Setup!$G$34+Setup!$C$14),Setup!$C$39:$C$50),WORKDAY(P25,-(Setup!$C$13+Setup!$G$34),Setup!$C$39:$C$50))+(20*100+15)/10000000)))</f>
        <v/>
      </c>
      <c r="AH25" t="str">
        <f t="shared" si="0"/>
        <v/>
      </c>
      <c r="AI25" t="str">
        <f t="shared" si="1"/>
        <v/>
      </c>
      <c r="AK25" t="str">
        <f ca="1">IF(20&gt;$AK$2,"",SMALL($R$6:$AF$505,20))</f>
        <v/>
      </c>
      <c r="AL25" t="str">
        <f t="shared" ca="1" si="2"/>
        <v/>
      </c>
      <c r="AM25" t="str">
        <f t="shared" ca="1" si="3"/>
        <v/>
      </c>
      <c r="AN25" t="str">
        <f t="shared" ca="1" si="4"/>
        <v/>
      </c>
      <c r="AP25" t="str">
        <f>IF(ISNUMBER(Roster!$B25),MAX(1,YEAR(Setup!$C$5)-YEAR(Roster!$B25)+IF(EDATE(Roster!$B25,12*(YEAR(Setup!$C$5)-YEAR(Roster!$B25)))&lt;Setup!$C$5,1,0)),"")</f>
        <v/>
      </c>
      <c r="AQ25" s="32" t="str">
        <f>IF(AP25="","",EDATE(Roster!$B25,12*AP25))</f>
        <v/>
      </c>
      <c r="AR25" t="str">
        <f>IF(AQ25="","",IF(AQ25&lt;DATE(YEAR(Setup!$C$5)+1,MONTH(Setup!$C$5),DAY(Setup!$C$5)),AQ25+20/1000,""))</f>
        <v/>
      </c>
      <c r="AS25" t="str">
        <f t="shared" si="5"/>
        <v/>
      </c>
      <c r="AT25" t="str">
        <f>IF(AS25="","",IF(ISNUMBER(Roster!$D25),Roster!$D25&gt;=AP25,FALSE))</f>
        <v/>
      </c>
      <c r="AU25" t="str">
        <f t="shared" si="6"/>
        <v/>
      </c>
      <c r="AV25" t="str">
        <f ca="1">IF(20&gt;$AV$2,"",SMALL($AR$6:$AR$505,20))</f>
        <v/>
      </c>
      <c r="AW25" t="str">
        <f t="shared" ca="1" si="7"/>
        <v/>
      </c>
      <c r="AY25">
        <f>IF(AND(Setup!$B$25="Yes",ISNUMBER(Setup!$C$25)),Setup!$C$25,"")</f>
        <v>20</v>
      </c>
      <c r="AZ25">
        <f t="shared" si="8"/>
        <v>1</v>
      </c>
    </row>
    <row r="26" spans="2:52" x14ac:dyDescent="0.2">
      <c r="B26" s="32" t="str">
        <f>IF(AND(ISNUMBER(Roster!$B26),Setup!$B$20="Yes",ISNUMBER(Setup!$C$20)),EDATE(Roster!$B26,12*Setup!$C$20),"")</f>
        <v/>
      </c>
      <c r="C26" s="32" t="str">
        <f>IF(AND(ISNUMBER(Roster!$B26),Setup!$B$21="Yes",ISNUMBER(Setup!$C$21)),EDATE(Roster!$B26,12*Setup!$C$21),"")</f>
        <v/>
      </c>
      <c r="D26" s="32" t="str">
        <f>IF(AND(ISNUMBER(Roster!$B26),Setup!$B$22="Yes",ISNUMBER(Setup!$C$22)),EDATE(Roster!$B26,12*Setup!$C$22),"")</f>
        <v/>
      </c>
      <c r="E26" s="32" t="str">
        <f>IF(AND(ISNUMBER(Roster!$B26),Setup!$B$23="Yes",ISNUMBER(Setup!$C$23)),EDATE(Roster!$B26,12*Setup!$C$23),"")</f>
        <v/>
      </c>
      <c r="F26" s="32" t="str">
        <f>IF(AND(ISNUMBER(Roster!$B26),Setup!$B$24="Yes",ISNUMBER(Setup!$C$24)),EDATE(Roster!$B26,12*Setup!$C$24),"")</f>
        <v/>
      </c>
      <c r="G26" s="32" t="str">
        <f>IF(AND(ISNUMBER(Roster!$B26),Setup!$B$25="Yes",ISNUMBER(Setup!$C$25)),EDATE(Roster!$B26,12*Setup!$C$25),"")</f>
        <v/>
      </c>
      <c r="H26" s="32" t="str">
        <f>IF(AND(ISNUMBER(Roster!$B26),Setup!$B$26="Yes",ISNUMBER(Setup!$C$26)),EDATE(Roster!$B26,12*Setup!$C$26),"")</f>
        <v/>
      </c>
      <c r="I26" s="32" t="str">
        <f>IF(AND(ISNUMBER(Roster!$B26),Setup!$B$27="Yes",ISNUMBER(Setup!$C$27)),EDATE(Roster!$B26,12*Setup!$C$27),"")</f>
        <v/>
      </c>
      <c r="J26" s="32" t="str">
        <f>IF(AND(ISNUMBER(Roster!$B26),Setup!$B$28="Yes",ISNUMBER(Setup!$C$28)),EDATE(Roster!$B26,12*Setup!$C$28),"")</f>
        <v/>
      </c>
      <c r="K26" s="32" t="str">
        <f>IF(AND(ISNUMBER(Roster!$B26),Setup!$B$29="Yes",ISNUMBER(Setup!$C$29)),EDATE(Roster!$B26,12*Setup!$C$29),"")</f>
        <v/>
      </c>
      <c r="L26" s="32" t="str">
        <f>IF(AND(ISNUMBER(Roster!$B26),Setup!$B$30="Yes",ISNUMBER(Setup!$C$30)),EDATE(Roster!$B26,12*Setup!$C$30),"")</f>
        <v/>
      </c>
      <c r="M26" s="32" t="str">
        <f>IF(AND(ISNUMBER(Roster!$B26),Setup!$B$31="Yes",ISNUMBER(Setup!$C$31)),EDATE(Roster!$B26,12*Setup!$C$31),"")</f>
        <v/>
      </c>
      <c r="N26" s="32" t="str">
        <f>IF(AND(ISNUMBER(Roster!$B26),Setup!$B$32="Yes",ISNUMBER(Setup!$C$32)),EDATE(Roster!$B26,12*Setup!$C$32),"")</f>
        <v/>
      </c>
      <c r="O26" s="32" t="str">
        <f>IF(AND(ISNUMBER(Roster!$B26),Setup!$B$33="Yes",ISNUMBER(Setup!$C$33)),EDATE(Roster!$B26,12*Setup!$C$33),"")</f>
        <v/>
      </c>
      <c r="P26" s="32" t="str">
        <f>IF(AND(ISNUMBER(Roster!$B26),Setup!$B$34="Yes",ISNUMBER(Setup!$C$34)),EDATE(Roster!$B26,12*Setup!$C$34),"")</f>
        <v/>
      </c>
      <c r="R26" t="str">
        <f>IF(B26="","",IF(B26&lt;Setup!$C$5-Setup!$C$6,"",IF(IF(ISNUMBER(Roster!$D26),Setup!$C$20&lt;=Roster!$D26,FALSE),"",IF(OR(IF(Setup!$C$15&lt;=Setup!$C$16,AND(MONTH(B26)&gt;=Setup!$C$15,MONTH(B26)&lt;=Setup!$C$16),OR(MONTH(B26)&gt;=Setup!$C$15,MONTH(B26)&lt;=Setup!$C$16)),IF(Setup!$C$15&lt;=Setup!$C$16,AND(MONTH(WORKDAY(B26,-(Setup!$C$13+Setup!$G$20),Setup!$C$39:$C$50))&gt;=Setup!$C$15,MONTH(WORKDAY(B26,-(Setup!$C$13+Setup!$G$20),Setup!$C$39:$C$50))&lt;=Setup!$C$16),OR(MONTH(WORKDAY(B26,-(Setup!$C$13+Setup!$G$20),Setup!$C$39:$C$50))&gt;=Setup!$C$15,MONTH(WORKDAY(B26,-(Setup!$C$13+Setup!$G$20),Setup!$C$39:$C$50))&lt;=Setup!$C$16))),WORKDAY(B26,-(Setup!$C$13+Setup!$G$20+Setup!$C$14),Setup!$C$39:$C$50),WORKDAY(B26,-(Setup!$C$13+Setup!$G$20),Setup!$C$39:$C$50))+(21*100+1)/10000000)))</f>
        <v/>
      </c>
      <c r="S26" t="str">
        <f>IF(C26="","",IF(C26&lt;Setup!$C$5-Setup!$C$6,"",IF(IF(ISNUMBER(Roster!$D26),Setup!$C$21&lt;=Roster!$D26,FALSE),"",IF(OR(IF(Setup!$C$15&lt;=Setup!$C$16,AND(MONTH(C26)&gt;=Setup!$C$15,MONTH(C26)&lt;=Setup!$C$16),OR(MONTH(C26)&gt;=Setup!$C$15,MONTH(C26)&lt;=Setup!$C$16)),IF(Setup!$C$15&lt;=Setup!$C$16,AND(MONTH(WORKDAY(C26,-(Setup!$C$13+Setup!$G$21),Setup!$C$39:$C$50))&gt;=Setup!$C$15,MONTH(WORKDAY(C26,-(Setup!$C$13+Setup!$G$21),Setup!$C$39:$C$50))&lt;=Setup!$C$16),OR(MONTH(WORKDAY(C26,-(Setup!$C$13+Setup!$G$21),Setup!$C$39:$C$50))&gt;=Setup!$C$15,MONTH(WORKDAY(C26,-(Setup!$C$13+Setup!$G$21),Setup!$C$39:$C$50))&lt;=Setup!$C$16))),WORKDAY(C26,-(Setup!$C$13+Setup!$G$21+Setup!$C$14),Setup!$C$39:$C$50),WORKDAY(C26,-(Setup!$C$13+Setup!$G$21),Setup!$C$39:$C$50))+(21*100+2)/10000000)))</f>
        <v/>
      </c>
      <c r="T26" t="str">
        <f>IF(D26="","",IF(D26&lt;Setup!$C$5-Setup!$C$6,"",IF(IF(ISNUMBER(Roster!$D26),Setup!$C$22&lt;=Roster!$D26,FALSE),"",IF(OR(IF(Setup!$C$15&lt;=Setup!$C$16,AND(MONTH(D26)&gt;=Setup!$C$15,MONTH(D26)&lt;=Setup!$C$16),OR(MONTH(D26)&gt;=Setup!$C$15,MONTH(D26)&lt;=Setup!$C$16)),IF(Setup!$C$15&lt;=Setup!$C$16,AND(MONTH(WORKDAY(D26,-(Setup!$C$13+Setup!$G$22),Setup!$C$39:$C$50))&gt;=Setup!$C$15,MONTH(WORKDAY(D26,-(Setup!$C$13+Setup!$G$22),Setup!$C$39:$C$50))&lt;=Setup!$C$16),OR(MONTH(WORKDAY(D26,-(Setup!$C$13+Setup!$G$22),Setup!$C$39:$C$50))&gt;=Setup!$C$15,MONTH(WORKDAY(D26,-(Setup!$C$13+Setup!$G$22),Setup!$C$39:$C$50))&lt;=Setup!$C$16))),WORKDAY(D26,-(Setup!$C$13+Setup!$G$22+Setup!$C$14),Setup!$C$39:$C$50),WORKDAY(D26,-(Setup!$C$13+Setup!$G$22),Setup!$C$39:$C$50))+(21*100+3)/10000000)))</f>
        <v/>
      </c>
      <c r="U26" t="str">
        <f>IF(E26="","",IF(E26&lt;Setup!$C$5-Setup!$C$6,"",IF(IF(ISNUMBER(Roster!$D26),Setup!$C$23&lt;=Roster!$D26,FALSE),"",IF(OR(IF(Setup!$C$15&lt;=Setup!$C$16,AND(MONTH(E26)&gt;=Setup!$C$15,MONTH(E26)&lt;=Setup!$C$16),OR(MONTH(E26)&gt;=Setup!$C$15,MONTH(E26)&lt;=Setup!$C$16)),IF(Setup!$C$15&lt;=Setup!$C$16,AND(MONTH(WORKDAY(E26,-(Setup!$C$13+Setup!$G$23),Setup!$C$39:$C$50))&gt;=Setup!$C$15,MONTH(WORKDAY(E26,-(Setup!$C$13+Setup!$G$23),Setup!$C$39:$C$50))&lt;=Setup!$C$16),OR(MONTH(WORKDAY(E26,-(Setup!$C$13+Setup!$G$23),Setup!$C$39:$C$50))&gt;=Setup!$C$15,MONTH(WORKDAY(E26,-(Setup!$C$13+Setup!$G$23),Setup!$C$39:$C$50))&lt;=Setup!$C$16))),WORKDAY(E26,-(Setup!$C$13+Setup!$G$23+Setup!$C$14),Setup!$C$39:$C$50),WORKDAY(E26,-(Setup!$C$13+Setup!$G$23),Setup!$C$39:$C$50))+(21*100+4)/10000000)))</f>
        <v/>
      </c>
      <c r="V26" t="str">
        <f>IF(F26="","",IF(F26&lt;Setup!$C$5-Setup!$C$6,"",IF(IF(ISNUMBER(Roster!$D26),Setup!$C$24&lt;=Roster!$D26,FALSE),"",IF(OR(IF(Setup!$C$15&lt;=Setup!$C$16,AND(MONTH(F26)&gt;=Setup!$C$15,MONTH(F26)&lt;=Setup!$C$16),OR(MONTH(F26)&gt;=Setup!$C$15,MONTH(F26)&lt;=Setup!$C$16)),IF(Setup!$C$15&lt;=Setup!$C$16,AND(MONTH(WORKDAY(F26,-(Setup!$C$13+Setup!$G$24),Setup!$C$39:$C$50))&gt;=Setup!$C$15,MONTH(WORKDAY(F26,-(Setup!$C$13+Setup!$G$24),Setup!$C$39:$C$50))&lt;=Setup!$C$16),OR(MONTH(WORKDAY(F26,-(Setup!$C$13+Setup!$G$24),Setup!$C$39:$C$50))&gt;=Setup!$C$15,MONTH(WORKDAY(F26,-(Setup!$C$13+Setup!$G$24),Setup!$C$39:$C$50))&lt;=Setup!$C$16))),WORKDAY(F26,-(Setup!$C$13+Setup!$G$24+Setup!$C$14),Setup!$C$39:$C$50),WORKDAY(F26,-(Setup!$C$13+Setup!$G$24),Setup!$C$39:$C$50))+(21*100+5)/10000000)))</f>
        <v/>
      </c>
      <c r="W26" t="str">
        <f>IF(G26="","",IF(G26&lt;Setup!$C$5-Setup!$C$6,"",IF(IF(ISNUMBER(Roster!$D26),Setup!$C$25&lt;=Roster!$D26,FALSE),"",IF(OR(IF(Setup!$C$15&lt;=Setup!$C$16,AND(MONTH(G26)&gt;=Setup!$C$15,MONTH(G26)&lt;=Setup!$C$16),OR(MONTH(G26)&gt;=Setup!$C$15,MONTH(G26)&lt;=Setup!$C$16)),IF(Setup!$C$15&lt;=Setup!$C$16,AND(MONTH(WORKDAY(G26,-(Setup!$C$13+Setup!$G$25),Setup!$C$39:$C$50))&gt;=Setup!$C$15,MONTH(WORKDAY(G26,-(Setup!$C$13+Setup!$G$25),Setup!$C$39:$C$50))&lt;=Setup!$C$16),OR(MONTH(WORKDAY(G26,-(Setup!$C$13+Setup!$G$25),Setup!$C$39:$C$50))&gt;=Setup!$C$15,MONTH(WORKDAY(G26,-(Setup!$C$13+Setup!$G$25),Setup!$C$39:$C$50))&lt;=Setup!$C$16))),WORKDAY(G26,-(Setup!$C$13+Setup!$G$25+Setup!$C$14),Setup!$C$39:$C$50),WORKDAY(G26,-(Setup!$C$13+Setup!$G$25),Setup!$C$39:$C$50))+(21*100+6)/10000000)))</f>
        <v/>
      </c>
      <c r="X26" t="str">
        <f>IF(H26="","",IF(H26&lt;Setup!$C$5-Setup!$C$6,"",IF(IF(ISNUMBER(Roster!$D26),Setup!$C$26&lt;=Roster!$D26,FALSE),"",IF(OR(IF(Setup!$C$15&lt;=Setup!$C$16,AND(MONTH(H26)&gt;=Setup!$C$15,MONTH(H26)&lt;=Setup!$C$16),OR(MONTH(H26)&gt;=Setup!$C$15,MONTH(H26)&lt;=Setup!$C$16)),IF(Setup!$C$15&lt;=Setup!$C$16,AND(MONTH(WORKDAY(H26,-(Setup!$C$13+Setup!$G$26),Setup!$C$39:$C$50))&gt;=Setup!$C$15,MONTH(WORKDAY(H26,-(Setup!$C$13+Setup!$G$26),Setup!$C$39:$C$50))&lt;=Setup!$C$16),OR(MONTH(WORKDAY(H26,-(Setup!$C$13+Setup!$G$26),Setup!$C$39:$C$50))&gt;=Setup!$C$15,MONTH(WORKDAY(H26,-(Setup!$C$13+Setup!$G$26),Setup!$C$39:$C$50))&lt;=Setup!$C$16))),WORKDAY(H26,-(Setup!$C$13+Setup!$G$26+Setup!$C$14),Setup!$C$39:$C$50),WORKDAY(H26,-(Setup!$C$13+Setup!$G$26),Setup!$C$39:$C$50))+(21*100+7)/10000000)))</f>
        <v/>
      </c>
      <c r="Y26" t="str">
        <f>IF(I26="","",IF(I26&lt;Setup!$C$5-Setup!$C$6,"",IF(IF(ISNUMBER(Roster!$D26),Setup!$C$27&lt;=Roster!$D26,FALSE),"",IF(OR(IF(Setup!$C$15&lt;=Setup!$C$16,AND(MONTH(I26)&gt;=Setup!$C$15,MONTH(I26)&lt;=Setup!$C$16),OR(MONTH(I26)&gt;=Setup!$C$15,MONTH(I26)&lt;=Setup!$C$16)),IF(Setup!$C$15&lt;=Setup!$C$16,AND(MONTH(WORKDAY(I26,-(Setup!$C$13+Setup!$G$27),Setup!$C$39:$C$50))&gt;=Setup!$C$15,MONTH(WORKDAY(I26,-(Setup!$C$13+Setup!$G$27),Setup!$C$39:$C$50))&lt;=Setup!$C$16),OR(MONTH(WORKDAY(I26,-(Setup!$C$13+Setup!$G$27),Setup!$C$39:$C$50))&gt;=Setup!$C$15,MONTH(WORKDAY(I26,-(Setup!$C$13+Setup!$G$27),Setup!$C$39:$C$50))&lt;=Setup!$C$16))),WORKDAY(I26,-(Setup!$C$13+Setup!$G$27+Setup!$C$14),Setup!$C$39:$C$50),WORKDAY(I26,-(Setup!$C$13+Setup!$G$27),Setup!$C$39:$C$50))+(21*100+8)/10000000)))</f>
        <v/>
      </c>
      <c r="Z26" t="str">
        <f>IF(J26="","",IF(J26&lt;Setup!$C$5-Setup!$C$6,"",IF(IF(ISNUMBER(Roster!$D26),Setup!$C$28&lt;=Roster!$D26,FALSE),"",IF(OR(IF(Setup!$C$15&lt;=Setup!$C$16,AND(MONTH(J26)&gt;=Setup!$C$15,MONTH(J26)&lt;=Setup!$C$16),OR(MONTH(J26)&gt;=Setup!$C$15,MONTH(J26)&lt;=Setup!$C$16)),IF(Setup!$C$15&lt;=Setup!$C$16,AND(MONTH(WORKDAY(J26,-(Setup!$C$13+Setup!$G$28),Setup!$C$39:$C$50))&gt;=Setup!$C$15,MONTH(WORKDAY(J26,-(Setup!$C$13+Setup!$G$28),Setup!$C$39:$C$50))&lt;=Setup!$C$16),OR(MONTH(WORKDAY(J26,-(Setup!$C$13+Setup!$G$28),Setup!$C$39:$C$50))&gt;=Setup!$C$15,MONTH(WORKDAY(J26,-(Setup!$C$13+Setup!$G$28),Setup!$C$39:$C$50))&lt;=Setup!$C$16))),WORKDAY(J26,-(Setup!$C$13+Setup!$G$28+Setup!$C$14),Setup!$C$39:$C$50),WORKDAY(J26,-(Setup!$C$13+Setup!$G$28),Setup!$C$39:$C$50))+(21*100+9)/10000000)))</f>
        <v/>
      </c>
      <c r="AA26" t="str">
        <f>IF(K26="","",IF(K26&lt;Setup!$C$5-Setup!$C$6,"",IF(IF(ISNUMBER(Roster!$D26),Setup!$C$29&lt;=Roster!$D26,FALSE),"",IF(OR(IF(Setup!$C$15&lt;=Setup!$C$16,AND(MONTH(K26)&gt;=Setup!$C$15,MONTH(K26)&lt;=Setup!$C$16),OR(MONTH(K26)&gt;=Setup!$C$15,MONTH(K26)&lt;=Setup!$C$16)),IF(Setup!$C$15&lt;=Setup!$C$16,AND(MONTH(WORKDAY(K26,-(Setup!$C$13+Setup!$G$29),Setup!$C$39:$C$50))&gt;=Setup!$C$15,MONTH(WORKDAY(K26,-(Setup!$C$13+Setup!$G$29),Setup!$C$39:$C$50))&lt;=Setup!$C$16),OR(MONTH(WORKDAY(K26,-(Setup!$C$13+Setup!$G$29),Setup!$C$39:$C$50))&gt;=Setup!$C$15,MONTH(WORKDAY(K26,-(Setup!$C$13+Setup!$G$29),Setup!$C$39:$C$50))&lt;=Setup!$C$16))),WORKDAY(K26,-(Setup!$C$13+Setup!$G$29+Setup!$C$14),Setup!$C$39:$C$50),WORKDAY(K26,-(Setup!$C$13+Setup!$G$29),Setup!$C$39:$C$50))+(21*100+10)/10000000)))</f>
        <v/>
      </c>
      <c r="AB26" t="str">
        <f>IF(L26="","",IF(L26&lt;Setup!$C$5-Setup!$C$6,"",IF(IF(ISNUMBER(Roster!$D26),Setup!$C$30&lt;=Roster!$D26,FALSE),"",IF(OR(IF(Setup!$C$15&lt;=Setup!$C$16,AND(MONTH(L26)&gt;=Setup!$C$15,MONTH(L26)&lt;=Setup!$C$16),OR(MONTH(L26)&gt;=Setup!$C$15,MONTH(L26)&lt;=Setup!$C$16)),IF(Setup!$C$15&lt;=Setup!$C$16,AND(MONTH(WORKDAY(L26,-(Setup!$C$13+Setup!$G$30),Setup!$C$39:$C$50))&gt;=Setup!$C$15,MONTH(WORKDAY(L26,-(Setup!$C$13+Setup!$G$30),Setup!$C$39:$C$50))&lt;=Setup!$C$16),OR(MONTH(WORKDAY(L26,-(Setup!$C$13+Setup!$G$30),Setup!$C$39:$C$50))&gt;=Setup!$C$15,MONTH(WORKDAY(L26,-(Setup!$C$13+Setup!$G$30),Setup!$C$39:$C$50))&lt;=Setup!$C$16))),WORKDAY(L26,-(Setup!$C$13+Setup!$G$30+Setup!$C$14),Setup!$C$39:$C$50),WORKDAY(L26,-(Setup!$C$13+Setup!$G$30),Setup!$C$39:$C$50))+(21*100+11)/10000000)))</f>
        <v/>
      </c>
      <c r="AC26" t="str">
        <f>IF(M26="","",IF(M26&lt;Setup!$C$5-Setup!$C$6,"",IF(IF(ISNUMBER(Roster!$D26),Setup!$C$31&lt;=Roster!$D26,FALSE),"",IF(OR(IF(Setup!$C$15&lt;=Setup!$C$16,AND(MONTH(M26)&gt;=Setup!$C$15,MONTH(M26)&lt;=Setup!$C$16),OR(MONTH(M26)&gt;=Setup!$C$15,MONTH(M26)&lt;=Setup!$C$16)),IF(Setup!$C$15&lt;=Setup!$C$16,AND(MONTH(WORKDAY(M26,-(Setup!$C$13+Setup!$G$31),Setup!$C$39:$C$50))&gt;=Setup!$C$15,MONTH(WORKDAY(M26,-(Setup!$C$13+Setup!$G$31),Setup!$C$39:$C$50))&lt;=Setup!$C$16),OR(MONTH(WORKDAY(M26,-(Setup!$C$13+Setup!$G$31),Setup!$C$39:$C$50))&gt;=Setup!$C$15,MONTH(WORKDAY(M26,-(Setup!$C$13+Setup!$G$31),Setup!$C$39:$C$50))&lt;=Setup!$C$16))),WORKDAY(M26,-(Setup!$C$13+Setup!$G$31+Setup!$C$14),Setup!$C$39:$C$50),WORKDAY(M26,-(Setup!$C$13+Setup!$G$31),Setup!$C$39:$C$50))+(21*100+12)/10000000)))</f>
        <v/>
      </c>
      <c r="AD26" t="str">
        <f>IF(N26="","",IF(N26&lt;Setup!$C$5-Setup!$C$6,"",IF(IF(ISNUMBER(Roster!$D26),Setup!$C$32&lt;=Roster!$D26,FALSE),"",IF(OR(IF(Setup!$C$15&lt;=Setup!$C$16,AND(MONTH(N26)&gt;=Setup!$C$15,MONTH(N26)&lt;=Setup!$C$16),OR(MONTH(N26)&gt;=Setup!$C$15,MONTH(N26)&lt;=Setup!$C$16)),IF(Setup!$C$15&lt;=Setup!$C$16,AND(MONTH(WORKDAY(N26,-(Setup!$C$13+Setup!$G$32),Setup!$C$39:$C$50))&gt;=Setup!$C$15,MONTH(WORKDAY(N26,-(Setup!$C$13+Setup!$G$32),Setup!$C$39:$C$50))&lt;=Setup!$C$16),OR(MONTH(WORKDAY(N26,-(Setup!$C$13+Setup!$G$32),Setup!$C$39:$C$50))&gt;=Setup!$C$15,MONTH(WORKDAY(N26,-(Setup!$C$13+Setup!$G$32),Setup!$C$39:$C$50))&lt;=Setup!$C$16))),WORKDAY(N26,-(Setup!$C$13+Setup!$G$32+Setup!$C$14),Setup!$C$39:$C$50),WORKDAY(N26,-(Setup!$C$13+Setup!$G$32),Setup!$C$39:$C$50))+(21*100+13)/10000000)))</f>
        <v/>
      </c>
      <c r="AE26" t="str">
        <f>IF(O26="","",IF(O26&lt;Setup!$C$5-Setup!$C$6,"",IF(IF(ISNUMBER(Roster!$D26),Setup!$C$33&lt;=Roster!$D26,FALSE),"",IF(OR(IF(Setup!$C$15&lt;=Setup!$C$16,AND(MONTH(O26)&gt;=Setup!$C$15,MONTH(O26)&lt;=Setup!$C$16),OR(MONTH(O26)&gt;=Setup!$C$15,MONTH(O26)&lt;=Setup!$C$16)),IF(Setup!$C$15&lt;=Setup!$C$16,AND(MONTH(WORKDAY(O26,-(Setup!$C$13+Setup!$G$33),Setup!$C$39:$C$50))&gt;=Setup!$C$15,MONTH(WORKDAY(O26,-(Setup!$C$13+Setup!$G$33),Setup!$C$39:$C$50))&lt;=Setup!$C$16),OR(MONTH(WORKDAY(O26,-(Setup!$C$13+Setup!$G$33),Setup!$C$39:$C$50))&gt;=Setup!$C$15,MONTH(WORKDAY(O26,-(Setup!$C$13+Setup!$G$33),Setup!$C$39:$C$50))&lt;=Setup!$C$16))),WORKDAY(O26,-(Setup!$C$13+Setup!$G$33+Setup!$C$14),Setup!$C$39:$C$50),WORKDAY(O26,-(Setup!$C$13+Setup!$G$33),Setup!$C$39:$C$50))+(21*100+14)/10000000)))</f>
        <v/>
      </c>
      <c r="AF26" t="str">
        <f>IF(P26="","",IF(P26&lt;Setup!$C$5-Setup!$C$6,"",IF(IF(ISNUMBER(Roster!$D26),Setup!$C$34&lt;=Roster!$D26,FALSE),"",IF(OR(IF(Setup!$C$15&lt;=Setup!$C$16,AND(MONTH(P26)&gt;=Setup!$C$15,MONTH(P26)&lt;=Setup!$C$16),OR(MONTH(P26)&gt;=Setup!$C$15,MONTH(P26)&lt;=Setup!$C$16)),IF(Setup!$C$15&lt;=Setup!$C$16,AND(MONTH(WORKDAY(P26,-(Setup!$C$13+Setup!$G$34),Setup!$C$39:$C$50))&gt;=Setup!$C$15,MONTH(WORKDAY(P26,-(Setup!$C$13+Setup!$G$34),Setup!$C$39:$C$50))&lt;=Setup!$C$16),OR(MONTH(WORKDAY(P26,-(Setup!$C$13+Setup!$G$34),Setup!$C$39:$C$50))&gt;=Setup!$C$15,MONTH(WORKDAY(P26,-(Setup!$C$13+Setup!$G$34),Setup!$C$39:$C$50))&lt;=Setup!$C$16))),WORKDAY(P26,-(Setup!$C$13+Setup!$G$34+Setup!$C$14),Setup!$C$39:$C$50),WORKDAY(P26,-(Setup!$C$13+Setup!$G$34),Setup!$C$39:$C$50))+(21*100+15)/10000000)))</f>
        <v/>
      </c>
      <c r="AH26" t="str">
        <f t="shared" si="0"/>
        <v/>
      </c>
      <c r="AI26" t="str">
        <f t="shared" si="1"/>
        <v/>
      </c>
      <c r="AK26" t="str">
        <f ca="1">IF(21&gt;$AK$2,"",SMALL($R$6:$AF$505,21))</f>
        <v/>
      </c>
      <c r="AL26" t="str">
        <f t="shared" ca="1" si="2"/>
        <v/>
      </c>
      <c r="AM26" t="str">
        <f t="shared" ca="1" si="3"/>
        <v/>
      </c>
      <c r="AN26" t="str">
        <f t="shared" ca="1" si="4"/>
        <v/>
      </c>
      <c r="AP26" t="str">
        <f>IF(ISNUMBER(Roster!$B26),MAX(1,YEAR(Setup!$C$5)-YEAR(Roster!$B26)+IF(EDATE(Roster!$B26,12*(YEAR(Setup!$C$5)-YEAR(Roster!$B26)))&lt;Setup!$C$5,1,0)),"")</f>
        <v/>
      </c>
      <c r="AQ26" s="32" t="str">
        <f>IF(AP26="","",EDATE(Roster!$B26,12*AP26))</f>
        <v/>
      </c>
      <c r="AR26" t="str">
        <f>IF(AQ26="","",IF(AQ26&lt;DATE(YEAR(Setup!$C$5)+1,MONTH(Setup!$C$5),DAY(Setup!$C$5)),AQ26+21/1000,""))</f>
        <v/>
      </c>
      <c r="AS26" t="str">
        <f t="shared" si="5"/>
        <v/>
      </c>
      <c r="AT26" t="str">
        <f>IF(AS26="","",IF(ISNUMBER(Roster!$D26),Roster!$D26&gt;=AP26,FALSE))</f>
        <v/>
      </c>
      <c r="AU26" t="str">
        <f t="shared" si="6"/>
        <v/>
      </c>
      <c r="AV26" t="str">
        <f ca="1">IF(21&gt;$AV$2,"",SMALL($AR$6:$AR$505,21))</f>
        <v/>
      </c>
      <c r="AW26" t="str">
        <f t="shared" ca="1" si="7"/>
        <v/>
      </c>
      <c r="AY26">
        <f>IF(AND(Setup!$B$26="Yes",ISNUMBER(Setup!$C$26)),Setup!$C$26,"")</f>
        <v>25</v>
      </c>
      <c r="AZ26">
        <f t="shared" si="8"/>
        <v>1</v>
      </c>
    </row>
    <row r="27" spans="2:52" x14ac:dyDescent="0.2">
      <c r="B27" s="32" t="str">
        <f>IF(AND(ISNUMBER(Roster!$B27),Setup!$B$20="Yes",ISNUMBER(Setup!$C$20)),EDATE(Roster!$B27,12*Setup!$C$20),"")</f>
        <v/>
      </c>
      <c r="C27" s="32" t="str">
        <f>IF(AND(ISNUMBER(Roster!$B27),Setup!$B$21="Yes",ISNUMBER(Setup!$C$21)),EDATE(Roster!$B27,12*Setup!$C$21),"")</f>
        <v/>
      </c>
      <c r="D27" s="32" t="str">
        <f>IF(AND(ISNUMBER(Roster!$B27),Setup!$B$22="Yes",ISNUMBER(Setup!$C$22)),EDATE(Roster!$B27,12*Setup!$C$22),"")</f>
        <v/>
      </c>
      <c r="E27" s="32" t="str">
        <f>IF(AND(ISNUMBER(Roster!$B27),Setup!$B$23="Yes",ISNUMBER(Setup!$C$23)),EDATE(Roster!$B27,12*Setup!$C$23),"")</f>
        <v/>
      </c>
      <c r="F27" s="32" t="str">
        <f>IF(AND(ISNUMBER(Roster!$B27),Setup!$B$24="Yes",ISNUMBER(Setup!$C$24)),EDATE(Roster!$B27,12*Setup!$C$24),"")</f>
        <v/>
      </c>
      <c r="G27" s="32" t="str">
        <f>IF(AND(ISNUMBER(Roster!$B27),Setup!$B$25="Yes",ISNUMBER(Setup!$C$25)),EDATE(Roster!$B27,12*Setup!$C$25),"")</f>
        <v/>
      </c>
      <c r="H27" s="32" t="str">
        <f>IF(AND(ISNUMBER(Roster!$B27),Setup!$B$26="Yes",ISNUMBER(Setup!$C$26)),EDATE(Roster!$B27,12*Setup!$C$26),"")</f>
        <v/>
      </c>
      <c r="I27" s="32" t="str">
        <f>IF(AND(ISNUMBER(Roster!$B27),Setup!$B$27="Yes",ISNUMBER(Setup!$C$27)),EDATE(Roster!$B27,12*Setup!$C$27),"")</f>
        <v/>
      </c>
      <c r="J27" s="32" t="str">
        <f>IF(AND(ISNUMBER(Roster!$B27),Setup!$B$28="Yes",ISNUMBER(Setup!$C$28)),EDATE(Roster!$B27,12*Setup!$C$28),"")</f>
        <v/>
      </c>
      <c r="K27" s="32" t="str">
        <f>IF(AND(ISNUMBER(Roster!$B27),Setup!$B$29="Yes",ISNUMBER(Setup!$C$29)),EDATE(Roster!$B27,12*Setup!$C$29),"")</f>
        <v/>
      </c>
      <c r="L27" s="32" t="str">
        <f>IF(AND(ISNUMBER(Roster!$B27),Setup!$B$30="Yes",ISNUMBER(Setup!$C$30)),EDATE(Roster!$B27,12*Setup!$C$30),"")</f>
        <v/>
      </c>
      <c r="M27" s="32" t="str">
        <f>IF(AND(ISNUMBER(Roster!$B27),Setup!$B$31="Yes",ISNUMBER(Setup!$C$31)),EDATE(Roster!$B27,12*Setup!$C$31),"")</f>
        <v/>
      </c>
      <c r="N27" s="32" t="str">
        <f>IF(AND(ISNUMBER(Roster!$B27),Setup!$B$32="Yes",ISNUMBER(Setup!$C$32)),EDATE(Roster!$B27,12*Setup!$C$32),"")</f>
        <v/>
      </c>
      <c r="O27" s="32" t="str">
        <f>IF(AND(ISNUMBER(Roster!$B27),Setup!$B$33="Yes",ISNUMBER(Setup!$C$33)),EDATE(Roster!$B27,12*Setup!$C$33),"")</f>
        <v/>
      </c>
      <c r="P27" s="32" t="str">
        <f>IF(AND(ISNUMBER(Roster!$B27),Setup!$B$34="Yes",ISNUMBER(Setup!$C$34)),EDATE(Roster!$B27,12*Setup!$C$34),"")</f>
        <v/>
      </c>
      <c r="R27" t="str">
        <f>IF(B27="","",IF(B27&lt;Setup!$C$5-Setup!$C$6,"",IF(IF(ISNUMBER(Roster!$D27),Setup!$C$20&lt;=Roster!$D27,FALSE),"",IF(OR(IF(Setup!$C$15&lt;=Setup!$C$16,AND(MONTH(B27)&gt;=Setup!$C$15,MONTH(B27)&lt;=Setup!$C$16),OR(MONTH(B27)&gt;=Setup!$C$15,MONTH(B27)&lt;=Setup!$C$16)),IF(Setup!$C$15&lt;=Setup!$C$16,AND(MONTH(WORKDAY(B27,-(Setup!$C$13+Setup!$G$20),Setup!$C$39:$C$50))&gt;=Setup!$C$15,MONTH(WORKDAY(B27,-(Setup!$C$13+Setup!$G$20),Setup!$C$39:$C$50))&lt;=Setup!$C$16),OR(MONTH(WORKDAY(B27,-(Setup!$C$13+Setup!$G$20),Setup!$C$39:$C$50))&gt;=Setup!$C$15,MONTH(WORKDAY(B27,-(Setup!$C$13+Setup!$G$20),Setup!$C$39:$C$50))&lt;=Setup!$C$16))),WORKDAY(B27,-(Setup!$C$13+Setup!$G$20+Setup!$C$14),Setup!$C$39:$C$50),WORKDAY(B27,-(Setup!$C$13+Setup!$G$20),Setup!$C$39:$C$50))+(22*100+1)/10000000)))</f>
        <v/>
      </c>
      <c r="S27" t="str">
        <f>IF(C27="","",IF(C27&lt;Setup!$C$5-Setup!$C$6,"",IF(IF(ISNUMBER(Roster!$D27),Setup!$C$21&lt;=Roster!$D27,FALSE),"",IF(OR(IF(Setup!$C$15&lt;=Setup!$C$16,AND(MONTH(C27)&gt;=Setup!$C$15,MONTH(C27)&lt;=Setup!$C$16),OR(MONTH(C27)&gt;=Setup!$C$15,MONTH(C27)&lt;=Setup!$C$16)),IF(Setup!$C$15&lt;=Setup!$C$16,AND(MONTH(WORKDAY(C27,-(Setup!$C$13+Setup!$G$21),Setup!$C$39:$C$50))&gt;=Setup!$C$15,MONTH(WORKDAY(C27,-(Setup!$C$13+Setup!$G$21),Setup!$C$39:$C$50))&lt;=Setup!$C$16),OR(MONTH(WORKDAY(C27,-(Setup!$C$13+Setup!$G$21),Setup!$C$39:$C$50))&gt;=Setup!$C$15,MONTH(WORKDAY(C27,-(Setup!$C$13+Setup!$G$21),Setup!$C$39:$C$50))&lt;=Setup!$C$16))),WORKDAY(C27,-(Setup!$C$13+Setup!$G$21+Setup!$C$14),Setup!$C$39:$C$50),WORKDAY(C27,-(Setup!$C$13+Setup!$G$21),Setup!$C$39:$C$50))+(22*100+2)/10000000)))</f>
        <v/>
      </c>
      <c r="T27" t="str">
        <f>IF(D27="","",IF(D27&lt;Setup!$C$5-Setup!$C$6,"",IF(IF(ISNUMBER(Roster!$D27),Setup!$C$22&lt;=Roster!$D27,FALSE),"",IF(OR(IF(Setup!$C$15&lt;=Setup!$C$16,AND(MONTH(D27)&gt;=Setup!$C$15,MONTH(D27)&lt;=Setup!$C$16),OR(MONTH(D27)&gt;=Setup!$C$15,MONTH(D27)&lt;=Setup!$C$16)),IF(Setup!$C$15&lt;=Setup!$C$16,AND(MONTH(WORKDAY(D27,-(Setup!$C$13+Setup!$G$22),Setup!$C$39:$C$50))&gt;=Setup!$C$15,MONTH(WORKDAY(D27,-(Setup!$C$13+Setup!$G$22),Setup!$C$39:$C$50))&lt;=Setup!$C$16),OR(MONTH(WORKDAY(D27,-(Setup!$C$13+Setup!$G$22),Setup!$C$39:$C$50))&gt;=Setup!$C$15,MONTH(WORKDAY(D27,-(Setup!$C$13+Setup!$G$22),Setup!$C$39:$C$50))&lt;=Setup!$C$16))),WORKDAY(D27,-(Setup!$C$13+Setup!$G$22+Setup!$C$14),Setup!$C$39:$C$50),WORKDAY(D27,-(Setup!$C$13+Setup!$G$22),Setup!$C$39:$C$50))+(22*100+3)/10000000)))</f>
        <v/>
      </c>
      <c r="U27" t="str">
        <f>IF(E27="","",IF(E27&lt;Setup!$C$5-Setup!$C$6,"",IF(IF(ISNUMBER(Roster!$D27),Setup!$C$23&lt;=Roster!$D27,FALSE),"",IF(OR(IF(Setup!$C$15&lt;=Setup!$C$16,AND(MONTH(E27)&gt;=Setup!$C$15,MONTH(E27)&lt;=Setup!$C$16),OR(MONTH(E27)&gt;=Setup!$C$15,MONTH(E27)&lt;=Setup!$C$16)),IF(Setup!$C$15&lt;=Setup!$C$16,AND(MONTH(WORKDAY(E27,-(Setup!$C$13+Setup!$G$23),Setup!$C$39:$C$50))&gt;=Setup!$C$15,MONTH(WORKDAY(E27,-(Setup!$C$13+Setup!$G$23),Setup!$C$39:$C$50))&lt;=Setup!$C$16),OR(MONTH(WORKDAY(E27,-(Setup!$C$13+Setup!$G$23),Setup!$C$39:$C$50))&gt;=Setup!$C$15,MONTH(WORKDAY(E27,-(Setup!$C$13+Setup!$G$23),Setup!$C$39:$C$50))&lt;=Setup!$C$16))),WORKDAY(E27,-(Setup!$C$13+Setup!$G$23+Setup!$C$14),Setup!$C$39:$C$50),WORKDAY(E27,-(Setup!$C$13+Setup!$G$23),Setup!$C$39:$C$50))+(22*100+4)/10000000)))</f>
        <v/>
      </c>
      <c r="V27" t="str">
        <f>IF(F27="","",IF(F27&lt;Setup!$C$5-Setup!$C$6,"",IF(IF(ISNUMBER(Roster!$D27),Setup!$C$24&lt;=Roster!$D27,FALSE),"",IF(OR(IF(Setup!$C$15&lt;=Setup!$C$16,AND(MONTH(F27)&gt;=Setup!$C$15,MONTH(F27)&lt;=Setup!$C$16),OR(MONTH(F27)&gt;=Setup!$C$15,MONTH(F27)&lt;=Setup!$C$16)),IF(Setup!$C$15&lt;=Setup!$C$16,AND(MONTH(WORKDAY(F27,-(Setup!$C$13+Setup!$G$24),Setup!$C$39:$C$50))&gt;=Setup!$C$15,MONTH(WORKDAY(F27,-(Setup!$C$13+Setup!$G$24),Setup!$C$39:$C$50))&lt;=Setup!$C$16),OR(MONTH(WORKDAY(F27,-(Setup!$C$13+Setup!$G$24),Setup!$C$39:$C$50))&gt;=Setup!$C$15,MONTH(WORKDAY(F27,-(Setup!$C$13+Setup!$G$24),Setup!$C$39:$C$50))&lt;=Setup!$C$16))),WORKDAY(F27,-(Setup!$C$13+Setup!$G$24+Setup!$C$14),Setup!$C$39:$C$50),WORKDAY(F27,-(Setup!$C$13+Setup!$G$24),Setup!$C$39:$C$50))+(22*100+5)/10000000)))</f>
        <v/>
      </c>
      <c r="W27" t="str">
        <f>IF(G27="","",IF(G27&lt;Setup!$C$5-Setup!$C$6,"",IF(IF(ISNUMBER(Roster!$D27),Setup!$C$25&lt;=Roster!$D27,FALSE),"",IF(OR(IF(Setup!$C$15&lt;=Setup!$C$16,AND(MONTH(G27)&gt;=Setup!$C$15,MONTH(G27)&lt;=Setup!$C$16),OR(MONTH(G27)&gt;=Setup!$C$15,MONTH(G27)&lt;=Setup!$C$16)),IF(Setup!$C$15&lt;=Setup!$C$16,AND(MONTH(WORKDAY(G27,-(Setup!$C$13+Setup!$G$25),Setup!$C$39:$C$50))&gt;=Setup!$C$15,MONTH(WORKDAY(G27,-(Setup!$C$13+Setup!$G$25),Setup!$C$39:$C$50))&lt;=Setup!$C$16),OR(MONTH(WORKDAY(G27,-(Setup!$C$13+Setup!$G$25),Setup!$C$39:$C$50))&gt;=Setup!$C$15,MONTH(WORKDAY(G27,-(Setup!$C$13+Setup!$G$25),Setup!$C$39:$C$50))&lt;=Setup!$C$16))),WORKDAY(G27,-(Setup!$C$13+Setup!$G$25+Setup!$C$14),Setup!$C$39:$C$50),WORKDAY(G27,-(Setup!$C$13+Setup!$G$25),Setup!$C$39:$C$50))+(22*100+6)/10000000)))</f>
        <v/>
      </c>
      <c r="X27" t="str">
        <f>IF(H27="","",IF(H27&lt;Setup!$C$5-Setup!$C$6,"",IF(IF(ISNUMBER(Roster!$D27),Setup!$C$26&lt;=Roster!$D27,FALSE),"",IF(OR(IF(Setup!$C$15&lt;=Setup!$C$16,AND(MONTH(H27)&gt;=Setup!$C$15,MONTH(H27)&lt;=Setup!$C$16),OR(MONTH(H27)&gt;=Setup!$C$15,MONTH(H27)&lt;=Setup!$C$16)),IF(Setup!$C$15&lt;=Setup!$C$16,AND(MONTH(WORKDAY(H27,-(Setup!$C$13+Setup!$G$26),Setup!$C$39:$C$50))&gt;=Setup!$C$15,MONTH(WORKDAY(H27,-(Setup!$C$13+Setup!$G$26),Setup!$C$39:$C$50))&lt;=Setup!$C$16),OR(MONTH(WORKDAY(H27,-(Setup!$C$13+Setup!$G$26),Setup!$C$39:$C$50))&gt;=Setup!$C$15,MONTH(WORKDAY(H27,-(Setup!$C$13+Setup!$G$26),Setup!$C$39:$C$50))&lt;=Setup!$C$16))),WORKDAY(H27,-(Setup!$C$13+Setup!$G$26+Setup!$C$14),Setup!$C$39:$C$50),WORKDAY(H27,-(Setup!$C$13+Setup!$G$26),Setup!$C$39:$C$50))+(22*100+7)/10000000)))</f>
        <v/>
      </c>
      <c r="Y27" t="str">
        <f>IF(I27="","",IF(I27&lt;Setup!$C$5-Setup!$C$6,"",IF(IF(ISNUMBER(Roster!$D27),Setup!$C$27&lt;=Roster!$D27,FALSE),"",IF(OR(IF(Setup!$C$15&lt;=Setup!$C$16,AND(MONTH(I27)&gt;=Setup!$C$15,MONTH(I27)&lt;=Setup!$C$16),OR(MONTH(I27)&gt;=Setup!$C$15,MONTH(I27)&lt;=Setup!$C$16)),IF(Setup!$C$15&lt;=Setup!$C$16,AND(MONTH(WORKDAY(I27,-(Setup!$C$13+Setup!$G$27),Setup!$C$39:$C$50))&gt;=Setup!$C$15,MONTH(WORKDAY(I27,-(Setup!$C$13+Setup!$G$27),Setup!$C$39:$C$50))&lt;=Setup!$C$16),OR(MONTH(WORKDAY(I27,-(Setup!$C$13+Setup!$G$27),Setup!$C$39:$C$50))&gt;=Setup!$C$15,MONTH(WORKDAY(I27,-(Setup!$C$13+Setup!$G$27),Setup!$C$39:$C$50))&lt;=Setup!$C$16))),WORKDAY(I27,-(Setup!$C$13+Setup!$G$27+Setup!$C$14),Setup!$C$39:$C$50),WORKDAY(I27,-(Setup!$C$13+Setup!$G$27),Setup!$C$39:$C$50))+(22*100+8)/10000000)))</f>
        <v/>
      </c>
      <c r="Z27" t="str">
        <f>IF(J27="","",IF(J27&lt;Setup!$C$5-Setup!$C$6,"",IF(IF(ISNUMBER(Roster!$D27),Setup!$C$28&lt;=Roster!$D27,FALSE),"",IF(OR(IF(Setup!$C$15&lt;=Setup!$C$16,AND(MONTH(J27)&gt;=Setup!$C$15,MONTH(J27)&lt;=Setup!$C$16),OR(MONTH(J27)&gt;=Setup!$C$15,MONTH(J27)&lt;=Setup!$C$16)),IF(Setup!$C$15&lt;=Setup!$C$16,AND(MONTH(WORKDAY(J27,-(Setup!$C$13+Setup!$G$28),Setup!$C$39:$C$50))&gt;=Setup!$C$15,MONTH(WORKDAY(J27,-(Setup!$C$13+Setup!$G$28),Setup!$C$39:$C$50))&lt;=Setup!$C$16),OR(MONTH(WORKDAY(J27,-(Setup!$C$13+Setup!$G$28),Setup!$C$39:$C$50))&gt;=Setup!$C$15,MONTH(WORKDAY(J27,-(Setup!$C$13+Setup!$G$28),Setup!$C$39:$C$50))&lt;=Setup!$C$16))),WORKDAY(J27,-(Setup!$C$13+Setup!$G$28+Setup!$C$14),Setup!$C$39:$C$50),WORKDAY(J27,-(Setup!$C$13+Setup!$G$28),Setup!$C$39:$C$50))+(22*100+9)/10000000)))</f>
        <v/>
      </c>
      <c r="AA27" t="str">
        <f>IF(K27="","",IF(K27&lt;Setup!$C$5-Setup!$C$6,"",IF(IF(ISNUMBER(Roster!$D27),Setup!$C$29&lt;=Roster!$D27,FALSE),"",IF(OR(IF(Setup!$C$15&lt;=Setup!$C$16,AND(MONTH(K27)&gt;=Setup!$C$15,MONTH(K27)&lt;=Setup!$C$16),OR(MONTH(K27)&gt;=Setup!$C$15,MONTH(K27)&lt;=Setup!$C$16)),IF(Setup!$C$15&lt;=Setup!$C$16,AND(MONTH(WORKDAY(K27,-(Setup!$C$13+Setup!$G$29),Setup!$C$39:$C$50))&gt;=Setup!$C$15,MONTH(WORKDAY(K27,-(Setup!$C$13+Setup!$G$29),Setup!$C$39:$C$50))&lt;=Setup!$C$16),OR(MONTH(WORKDAY(K27,-(Setup!$C$13+Setup!$G$29),Setup!$C$39:$C$50))&gt;=Setup!$C$15,MONTH(WORKDAY(K27,-(Setup!$C$13+Setup!$G$29),Setup!$C$39:$C$50))&lt;=Setup!$C$16))),WORKDAY(K27,-(Setup!$C$13+Setup!$G$29+Setup!$C$14),Setup!$C$39:$C$50),WORKDAY(K27,-(Setup!$C$13+Setup!$G$29),Setup!$C$39:$C$50))+(22*100+10)/10000000)))</f>
        <v/>
      </c>
      <c r="AB27" t="str">
        <f>IF(L27="","",IF(L27&lt;Setup!$C$5-Setup!$C$6,"",IF(IF(ISNUMBER(Roster!$D27),Setup!$C$30&lt;=Roster!$D27,FALSE),"",IF(OR(IF(Setup!$C$15&lt;=Setup!$C$16,AND(MONTH(L27)&gt;=Setup!$C$15,MONTH(L27)&lt;=Setup!$C$16),OR(MONTH(L27)&gt;=Setup!$C$15,MONTH(L27)&lt;=Setup!$C$16)),IF(Setup!$C$15&lt;=Setup!$C$16,AND(MONTH(WORKDAY(L27,-(Setup!$C$13+Setup!$G$30),Setup!$C$39:$C$50))&gt;=Setup!$C$15,MONTH(WORKDAY(L27,-(Setup!$C$13+Setup!$G$30),Setup!$C$39:$C$50))&lt;=Setup!$C$16),OR(MONTH(WORKDAY(L27,-(Setup!$C$13+Setup!$G$30),Setup!$C$39:$C$50))&gt;=Setup!$C$15,MONTH(WORKDAY(L27,-(Setup!$C$13+Setup!$G$30),Setup!$C$39:$C$50))&lt;=Setup!$C$16))),WORKDAY(L27,-(Setup!$C$13+Setup!$G$30+Setup!$C$14),Setup!$C$39:$C$50),WORKDAY(L27,-(Setup!$C$13+Setup!$G$30),Setup!$C$39:$C$50))+(22*100+11)/10000000)))</f>
        <v/>
      </c>
      <c r="AC27" t="str">
        <f>IF(M27="","",IF(M27&lt;Setup!$C$5-Setup!$C$6,"",IF(IF(ISNUMBER(Roster!$D27),Setup!$C$31&lt;=Roster!$D27,FALSE),"",IF(OR(IF(Setup!$C$15&lt;=Setup!$C$16,AND(MONTH(M27)&gt;=Setup!$C$15,MONTH(M27)&lt;=Setup!$C$16),OR(MONTH(M27)&gt;=Setup!$C$15,MONTH(M27)&lt;=Setup!$C$16)),IF(Setup!$C$15&lt;=Setup!$C$16,AND(MONTH(WORKDAY(M27,-(Setup!$C$13+Setup!$G$31),Setup!$C$39:$C$50))&gt;=Setup!$C$15,MONTH(WORKDAY(M27,-(Setup!$C$13+Setup!$G$31),Setup!$C$39:$C$50))&lt;=Setup!$C$16),OR(MONTH(WORKDAY(M27,-(Setup!$C$13+Setup!$G$31),Setup!$C$39:$C$50))&gt;=Setup!$C$15,MONTH(WORKDAY(M27,-(Setup!$C$13+Setup!$G$31),Setup!$C$39:$C$50))&lt;=Setup!$C$16))),WORKDAY(M27,-(Setup!$C$13+Setup!$G$31+Setup!$C$14),Setup!$C$39:$C$50),WORKDAY(M27,-(Setup!$C$13+Setup!$G$31),Setup!$C$39:$C$50))+(22*100+12)/10000000)))</f>
        <v/>
      </c>
      <c r="AD27" t="str">
        <f>IF(N27="","",IF(N27&lt;Setup!$C$5-Setup!$C$6,"",IF(IF(ISNUMBER(Roster!$D27),Setup!$C$32&lt;=Roster!$D27,FALSE),"",IF(OR(IF(Setup!$C$15&lt;=Setup!$C$16,AND(MONTH(N27)&gt;=Setup!$C$15,MONTH(N27)&lt;=Setup!$C$16),OR(MONTH(N27)&gt;=Setup!$C$15,MONTH(N27)&lt;=Setup!$C$16)),IF(Setup!$C$15&lt;=Setup!$C$16,AND(MONTH(WORKDAY(N27,-(Setup!$C$13+Setup!$G$32),Setup!$C$39:$C$50))&gt;=Setup!$C$15,MONTH(WORKDAY(N27,-(Setup!$C$13+Setup!$G$32),Setup!$C$39:$C$50))&lt;=Setup!$C$16),OR(MONTH(WORKDAY(N27,-(Setup!$C$13+Setup!$G$32),Setup!$C$39:$C$50))&gt;=Setup!$C$15,MONTH(WORKDAY(N27,-(Setup!$C$13+Setup!$G$32),Setup!$C$39:$C$50))&lt;=Setup!$C$16))),WORKDAY(N27,-(Setup!$C$13+Setup!$G$32+Setup!$C$14),Setup!$C$39:$C$50),WORKDAY(N27,-(Setup!$C$13+Setup!$G$32),Setup!$C$39:$C$50))+(22*100+13)/10000000)))</f>
        <v/>
      </c>
      <c r="AE27" t="str">
        <f>IF(O27="","",IF(O27&lt;Setup!$C$5-Setup!$C$6,"",IF(IF(ISNUMBER(Roster!$D27),Setup!$C$33&lt;=Roster!$D27,FALSE),"",IF(OR(IF(Setup!$C$15&lt;=Setup!$C$16,AND(MONTH(O27)&gt;=Setup!$C$15,MONTH(O27)&lt;=Setup!$C$16),OR(MONTH(O27)&gt;=Setup!$C$15,MONTH(O27)&lt;=Setup!$C$16)),IF(Setup!$C$15&lt;=Setup!$C$16,AND(MONTH(WORKDAY(O27,-(Setup!$C$13+Setup!$G$33),Setup!$C$39:$C$50))&gt;=Setup!$C$15,MONTH(WORKDAY(O27,-(Setup!$C$13+Setup!$G$33),Setup!$C$39:$C$50))&lt;=Setup!$C$16),OR(MONTH(WORKDAY(O27,-(Setup!$C$13+Setup!$G$33),Setup!$C$39:$C$50))&gt;=Setup!$C$15,MONTH(WORKDAY(O27,-(Setup!$C$13+Setup!$G$33),Setup!$C$39:$C$50))&lt;=Setup!$C$16))),WORKDAY(O27,-(Setup!$C$13+Setup!$G$33+Setup!$C$14),Setup!$C$39:$C$50),WORKDAY(O27,-(Setup!$C$13+Setup!$G$33),Setup!$C$39:$C$50))+(22*100+14)/10000000)))</f>
        <v/>
      </c>
      <c r="AF27" t="str">
        <f>IF(P27="","",IF(P27&lt;Setup!$C$5-Setup!$C$6,"",IF(IF(ISNUMBER(Roster!$D27),Setup!$C$34&lt;=Roster!$D27,FALSE),"",IF(OR(IF(Setup!$C$15&lt;=Setup!$C$16,AND(MONTH(P27)&gt;=Setup!$C$15,MONTH(P27)&lt;=Setup!$C$16),OR(MONTH(P27)&gt;=Setup!$C$15,MONTH(P27)&lt;=Setup!$C$16)),IF(Setup!$C$15&lt;=Setup!$C$16,AND(MONTH(WORKDAY(P27,-(Setup!$C$13+Setup!$G$34),Setup!$C$39:$C$50))&gt;=Setup!$C$15,MONTH(WORKDAY(P27,-(Setup!$C$13+Setup!$G$34),Setup!$C$39:$C$50))&lt;=Setup!$C$16),OR(MONTH(WORKDAY(P27,-(Setup!$C$13+Setup!$G$34),Setup!$C$39:$C$50))&gt;=Setup!$C$15,MONTH(WORKDAY(P27,-(Setup!$C$13+Setup!$G$34),Setup!$C$39:$C$50))&lt;=Setup!$C$16))),WORKDAY(P27,-(Setup!$C$13+Setup!$G$34+Setup!$C$14),Setup!$C$39:$C$50),WORKDAY(P27,-(Setup!$C$13+Setup!$G$34),Setup!$C$39:$C$50))+(22*100+15)/10000000)))</f>
        <v/>
      </c>
      <c r="AH27" t="str">
        <f t="shared" si="0"/>
        <v/>
      </c>
      <c r="AI27" t="str">
        <f t="shared" si="1"/>
        <v/>
      </c>
      <c r="AK27" t="str">
        <f ca="1">IF(22&gt;$AK$2,"",SMALL($R$6:$AF$505,22))</f>
        <v/>
      </c>
      <c r="AL27" t="str">
        <f t="shared" ca="1" si="2"/>
        <v/>
      </c>
      <c r="AM27" t="str">
        <f t="shared" ca="1" si="3"/>
        <v/>
      </c>
      <c r="AN27" t="str">
        <f t="shared" ca="1" si="4"/>
        <v/>
      </c>
      <c r="AP27" t="str">
        <f>IF(ISNUMBER(Roster!$B27),MAX(1,YEAR(Setup!$C$5)-YEAR(Roster!$B27)+IF(EDATE(Roster!$B27,12*(YEAR(Setup!$C$5)-YEAR(Roster!$B27)))&lt;Setup!$C$5,1,0)),"")</f>
        <v/>
      </c>
      <c r="AQ27" s="32" t="str">
        <f>IF(AP27="","",EDATE(Roster!$B27,12*AP27))</f>
        <v/>
      </c>
      <c r="AR27" t="str">
        <f>IF(AQ27="","",IF(AQ27&lt;DATE(YEAR(Setup!$C$5)+1,MONTH(Setup!$C$5),DAY(Setup!$C$5)),AQ27+22/1000,""))</f>
        <v/>
      </c>
      <c r="AS27" t="str">
        <f t="shared" si="5"/>
        <v/>
      </c>
      <c r="AT27" t="str">
        <f>IF(AS27="","",IF(ISNUMBER(Roster!$D27),Roster!$D27&gt;=AP27,FALSE))</f>
        <v/>
      </c>
      <c r="AU27" t="str">
        <f t="shared" si="6"/>
        <v/>
      </c>
      <c r="AV27" t="str">
        <f ca="1">IF(22&gt;$AV$2,"",SMALL($AR$6:$AR$505,22))</f>
        <v/>
      </c>
      <c r="AW27" t="str">
        <f t="shared" ca="1" si="7"/>
        <v/>
      </c>
      <c r="AY27">
        <f>IF(AND(Setup!$B$27="Yes",ISNUMBER(Setup!$C$27)),Setup!$C$27,"")</f>
        <v>30</v>
      </c>
      <c r="AZ27">
        <f t="shared" si="8"/>
        <v>1</v>
      </c>
    </row>
    <row r="28" spans="2:52" x14ac:dyDescent="0.2">
      <c r="B28" s="32" t="str">
        <f>IF(AND(ISNUMBER(Roster!$B28),Setup!$B$20="Yes",ISNUMBER(Setup!$C$20)),EDATE(Roster!$B28,12*Setup!$C$20),"")</f>
        <v/>
      </c>
      <c r="C28" s="32" t="str">
        <f>IF(AND(ISNUMBER(Roster!$B28),Setup!$B$21="Yes",ISNUMBER(Setup!$C$21)),EDATE(Roster!$B28,12*Setup!$C$21),"")</f>
        <v/>
      </c>
      <c r="D28" s="32" t="str">
        <f>IF(AND(ISNUMBER(Roster!$B28),Setup!$B$22="Yes",ISNUMBER(Setup!$C$22)),EDATE(Roster!$B28,12*Setup!$C$22),"")</f>
        <v/>
      </c>
      <c r="E28" s="32" t="str">
        <f>IF(AND(ISNUMBER(Roster!$B28),Setup!$B$23="Yes",ISNUMBER(Setup!$C$23)),EDATE(Roster!$B28,12*Setup!$C$23),"")</f>
        <v/>
      </c>
      <c r="F28" s="32" t="str">
        <f>IF(AND(ISNUMBER(Roster!$B28),Setup!$B$24="Yes",ISNUMBER(Setup!$C$24)),EDATE(Roster!$B28,12*Setup!$C$24),"")</f>
        <v/>
      </c>
      <c r="G28" s="32" t="str">
        <f>IF(AND(ISNUMBER(Roster!$B28),Setup!$B$25="Yes",ISNUMBER(Setup!$C$25)),EDATE(Roster!$B28,12*Setup!$C$25),"")</f>
        <v/>
      </c>
      <c r="H28" s="32" t="str">
        <f>IF(AND(ISNUMBER(Roster!$B28),Setup!$B$26="Yes",ISNUMBER(Setup!$C$26)),EDATE(Roster!$B28,12*Setup!$C$26),"")</f>
        <v/>
      </c>
      <c r="I28" s="32" t="str">
        <f>IF(AND(ISNUMBER(Roster!$B28),Setup!$B$27="Yes",ISNUMBER(Setup!$C$27)),EDATE(Roster!$B28,12*Setup!$C$27),"")</f>
        <v/>
      </c>
      <c r="J28" s="32" t="str">
        <f>IF(AND(ISNUMBER(Roster!$B28),Setup!$B$28="Yes",ISNUMBER(Setup!$C$28)),EDATE(Roster!$B28,12*Setup!$C$28),"")</f>
        <v/>
      </c>
      <c r="K28" s="32" t="str">
        <f>IF(AND(ISNUMBER(Roster!$B28),Setup!$B$29="Yes",ISNUMBER(Setup!$C$29)),EDATE(Roster!$B28,12*Setup!$C$29),"")</f>
        <v/>
      </c>
      <c r="L28" s="32" t="str">
        <f>IF(AND(ISNUMBER(Roster!$B28),Setup!$B$30="Yes",ISNUMBER(Setup!$C$30)),EDATE(Roster!$B28,12*Setup!$C$30),"")</f>
        <v/>
      </c>
      <c r="M28" s="32" t="str">
        <f>IF(AND(ISNUMBER(Roster!$B28),Setup!$B$31="Yes",ISNUMBER(Setup!$C$31)),EDATE(Roster!$B28,12*Setup!$C$31),"")</f>
        <v/>
      </c>
      <c r="N28" s="32" t="str">
        <f>IF(AND(ISNUMBER(Roster!$B28),Setup!$B$32="Yes",ISNUMBER(Setup!$C$32)),EDATE(Roster!$B28,12*Setup!$C$32),"")</f>
        <v/>
      </c>
      <c r="O28" s="32" t="str">
        <f>IF(AND(ISNUMBER(Roster!$B28),Setup!$B$33="Yes",ISNUMBER(Setup!$C$33)),EDATE(Roster!$B28,12*Setup!$C$33),"")</f>
        <v/>
      </c>
      <c r="P28" s="32" t="str">
        <f>IF(AND(ISNUMBER(Roster!$B28),Setup!$B$34="Yes",ISNUMBER(Setup!$C$34)),EDATE(Roster!$B28,12*Setup!$C$34),"")</f>
        <v/>
      </c>
      <c r="R28" t="str">
        <f>IF(B28="","",IF(B28&lt;Setup!$C$5-Setup!$C$6,"",IF(IF(ISNUMBER(Roster!$D28),Setup!$C$20&lt;=Roster!$D28,FALSE),"",IF(OR(IF(Setup!$C$15&lt;=Setup!$C$16,AND(MONTH(B28)&gt;=Setup!$C$15,MONTH(B28)&lt;=Setup!$C$16),OR(MONTH(B28)&gt;=Setup!$C$15,MONTH(B28)&lt;=Setup!$C$16)),IF(Setup!$C$15&lt;=Setup!$C$16,AND(MONTH(WORKDAY(B28,-(Setup!$C$13+Setup!$G$20),Setup!$C$39:$C$50))&gt;=Setup!$C$15,MONTH(WORKDAY(B28,-(Setup!$C$13+Setup!$G$20),Setup!$C$39:$C$50))&lt;=Setup!$C$16),OR(MONTH(WORKDAY(B28,-(Setup!$C$13+Setup!$G$20),Setup!$C$39:$C$50))&gt;=Setup!$C$15,MONTH(WORKDAY(B28,-(Setup!$C$13+Setup!$G$20),Setup!$C$39:$C$50))&lt;=Setup!$C$16))),WORKDAY(B28,-(Setup!$C$13+Setup!$G$20+Setup!$C$14),Setup!$C$39:$C$50),WORKDAY(B28,-(Setup!$C$13+Setup!$G$20),Setup!$C$39:$C$50))+(23*100+1)/10000000)))</f>
        <v/>
      </c>
      <c r="S28" t="str">
        <f>IF(C28="","",IF(C28&lt;Setup!$C$5-Setup!$C$6,"",IF(IF(ISNUMBER(Roster!$D28),Setup!$C$21&lt;=Roster!$D28,FALSE),"",IF(OR(IF(Setup!$C$15&lt;=Setup!$C$16,AND(MONTH(C28)&gt;=Setup!$C$15,MONTH(C28)&lt;=Setup!$C$16),OR(MONTH(C28)&gt;=Setup!$C$15,MONTH(C28)&lt;=Setup!$C$16)),IF(Setup!$C$15&lt;=Setup!$C$16,AND(MONTH(WORKDAY(C28,-(Setup!$C$13+Setup!$G$21),Setup!$C$39:$C$50))&gt;=Setup!$C$15,MONTH(WORKDAY(C28,-(Setup!$C$13+Setup!$G$21),Setup!$C$39:$C$50))&lt;=Setup!$C$16),OR(MONTH(WORKDAY(C28,-(Setup!$C$13+Setup!$G$21),Setup!$C$39:$C$50))&gt;=Setup!$C$15,MONTH(WORKDAY(C28,-(Setup!$C$13+Setup!$G$21),Setup!$C$39:$C$50))&lt;=Setup!$C$16))),WORKDAY(C28,-(Setup!$C$13+Setup!$G$21+Setup!$C$14),Setup!$C$39:$C$50),WORKDAY(C28,-(Setup!$C$13+Setup!$G$21),Setup!$C$39:$C$50))+(23*100+2)/10000000)))</f>
        <v/>
      </c>
      <c r="T28" t="str">
        <f>IF(D28="","",IF(D28&lt;Setup!$C$5-Setup!$C$6,"",IF(IF(ISNUMBER(Roster!$D28),Setup!$C$22&lt;=Roster!$D28,FALSE),"",IF(OR(IF(Setup!$C$15&lt;=Setup!$C$16,AND(MONTH(D28)&gt;=Setup!$C$15,MONTH(D28)&lt;=Setup!$C$16),OR(MONTH(D28)&gt;=Setup!$C$15,MONTH(D28)&lt;=Setup!$C$16)),IF(Setup!$C$15&lt;=Setup!$C$16,AND(MONTH(WORKDAY(D28,-(Setup!$C$13+Setup!$G$22),Setup!$C$39:$C$50))&gt;=Setup!$C$15,MONTH(WORKDAY(D28,-(Setup!$C$13+Setup!$G$22),Setup!$C$39:$C$50))&lt;=Setup!$C$16),OR(MONTH(WORKDAY(D28,-(Setup!$C$13+Setup!$G$22),Setup!$C$39:$C$50))&gt;=Setup!$C$15,MONTH(WORKDAY(D28,-(Setup!$C$13+Setup!$G$22),Setup!$C$39:$C$50))&lt;=Setup!$C$16))),WORKDAY(D28,-(Setup!$C$13+Setup!$G$22+Setup!$C$14),Setup!$C$39:$C$50),WORKDAY(D28,-(Setup!$C$13+Setup!$G$22),Setup!$C$39:$C$50))+(23*100+3)/10000000)))</f>
        <v/>
      </c>
      <c r="U28" t="str">
        <f>IF(E28="","",IF(E28&lt;Setup!$C$5-Setup!$C$6,"",IF(IF(ISNUMBER(Roster!$D28),Setup!$C$23&lt;=Roster!$D28,FALSE),"",IF(OR(IF(Setup!$C$15&lt;=Setup!$C$16,AND(MONTH(E28)&gt;=Setup!$C$15,MONTH(E28)&lt;=Setup!$C$16),OR(MONTH(E28)&gt;=Setup!$C$15,MONTH(E28)&lt;=Setup!$C$16)),IF(Setup!$C$15&lt;=Setup!$C$16,AND(MONTH(WORKDAY(E28,-(Setup!$C$13+Setup!$G$23),Setup!$C$39:$C$50))&gt;=Setup!$C$15,MONTH(WORKDAY(E28,-(Setup!$C$13+Setup!$G$23),Setup!$C$39:$C$50))&lt;=Setup!$C$16),OR(MONTH(WORKDAY(E28,-(Setup!$C$13+Setup!$G$23),Setup!$C$39:$C$50))&gt;=Setup!$C$15,MONTH(WORKDAY(E28,-(Setup!$C$13+Setup!$G$23),Setup!$C$39:$C$50))&lt;=Setup!$C$16))),WORKDAY(E28,-(Setup!$C$13+Setup!$G$23+Setup!$C$14),Setup!$C$39:$C$50),WORKDAY(E28,-(Setup!$C$13+Setup!$G$23),Setup!$C$39:$C$50))+(23*100+4)/10000000)))</f>
        <v/>
      </c>
      <c r="V28" t="str">
        <f>IF(F28="","",IF(F28&lt;Setup!$C$5-Setup!$C$6,"",IF(IF(ISNUMBER(Roster!$D28),Setup!$C$24&lt;=Roster!$D28,FALSE),"",IF(OR(IF(Setup!$C$15&lt;=Setup!$C$16,AND(MONTH(F28)&gt;=Setup!$C$15,MONTH(F28)&lt;=Setup!$C$16),OR(MONTH(F28)&gt;=Setup!$C$15,MONTH(F28)&lt;=Setup!$C$16)),IF(Setup!$C$15&lt;=Setup!$C$16,AND(MONTH(WORKDAY(F28,-(Setup!$C$13+Setup!$G$24),Setup!$C$39:$C$50))&gt;=Setup!$C$15,MONTH(WORKDAY(F28,-(Setup!$C$13+Setup!$G$24),Setup!$C$39:$C$50))&lt;=Setup!$C$16),OR(MONTH(WORKDAY(F28,-(Setup!$C$13+Setup!$G$24),Setup!$C$39:$C$50))&gt;=Setup!$C$15,MONTH(WORKDAY(F28,-(Setup!$C$13+Setup!$G$24),Setup!$C$39:$C$50))&lt;=Setup!$C$16))),WORKDAY(F28,-(Setup!$C$13+Setup!$G$24+Setup!$C$14),Setup!$C$39:$C$50),WORKDAY(F28,-(Setup!$C$13+Setup!$G$24),Setup!$C$39:$C$50))+(23*100+5)/10000000)))</f>
        <v/>
      </c>
      <c r="W28" t="str">
        <f>IF(G28="","",IF(G28&lt;Setup!$C$5-Setup!$C$6,"",IF(IF(ISNUMBER(Roster!$D28),Setup!$C$25&lt;=Roster!$D28,FALSE),"",IF(OR(IF(Setup!$C$15&lt;=Setup!$C$16,AND(MONTH(G28)&gt;=Setup!$C$15,MONTH(G28)&lt;=Setup!$C$16),OR(MONTH(G28)&gt;=Setup!$C$15,MONTH(G28)&lt;=Setup!$C$16)),IF(Setup!$C$15&lt;=Setup!$C$16,AND(MONTH(WORKDAY(G28,-(Setup!$C$13+Setup!$G$25),Setup!$C$39:$C$50))&gt;=Setup!$C$15,MONTH(WORKDAY(G28,-(Setup!$C$13+Setup!$G$25),Setup!$C$39:$C$50))&lt;=Setup!$C$16),OR(MONTH(WORKDAY(G28,-(Setup!$C$13+Setup!$G$25),Setup!$C$39:$C$50))&gt;=Setup!$C$15,MONTH(WORKDAY(G28,-(Setup!$C$13+Setup!$G$25),Setup!$C$39:$C$50))&lt;=Setup!$C$16))),WORKDAY(G28,-(Setup!$C$13+Setup!$G$25+Setup!$C$14),Setup!$C$39:$C$50),WORKDAY(G28,-(Setup!$C$13+Setup!$G$25),Setup!$C$39:$C$50))+(23*100+6)/10000000)))</f>
        <v/>
      </c>
      <c r="X28" t="str">
        <f>IF(H28="","",IF(H28&lt;Setup!$C$5-Setup!$C$6,"",IF(IF(ISNUMBER(Roster!$D28),Setup!$C$26&lt;=Roster!$D28,FALSE),"",IF(OR(IF(Setup!$C$15&lt;=Setup!$C$16,AND(MONTH(H28)&gt;=Setup!$C$15,MONTH(H28)&lt;=Setup!$C$16),OR(MONTH(H28)&gt;=Setup!$C$15,MONTH(H28)&lt;=Setup!$C$16)),IF(Setup!$C$15&lt;=Setup!$C$16,AND(MONTH(WORKDAY(H28,-(Setup!$C$13+Setup!$G$26),Setup!$C$39:$C$50))&gt;=Setup!$C$15,MONTH(WORKDAY(H28,-(Setup!$C$13+Setup!$G$26),Setup!$C$39:$C$50))&lt;=Setup!$C$16),OR(MONTH(WORKDAY(H28,-(Setup!$C$13+Setup!$G$26),Setup!$C$39:$C$50))&gt;=Setup!$C$15,MONTH(WORKDAY(H28,-(Setup!$C$13+Setup!$G$26),Setup!$C$39:$C$50))&lt;=Setup!$C$16))),WORKDAY(H28,-(Setup!$C$13+Setup!$G$26+Setup!$C$14),Setup!$C$39:$C$50),WORKDAY(H28,-(Setup!$C$13+Setup!$G$26),Setup!$C$39:$C$50))+(23*100+7)/10000000)))</f>
        <v/>
      </c>
      <c r="Y28" t="str">
        <f>IF(I28="","",IF(I28&lt;Setup!$C$5-Setup!$C$6,"",IF(IF(ISNUMBER(Roster!$D28),Setup!$C$27&lt;=Roster!$D28,FALSE),"",IF(OR(IF(Setup!$C$15&lt;=Setup!$C$16,AND(MONTH(I28)&gt;=Setup!$C$15,MONTH(I28)&lt;=Setup!$C$16),OR(MONTH(I28)&gt;=Setup!$C$15,MONTH(I28)&lt;=Setup!$C$16)),IF(Setup!$C$15&lt;=Setup!$C$16,AND(MONTH(WORKDAY(I28,-(Setup!$C$13+Setup!$G$27),Setup!$C$39:$C$50))&gt;=Setup!$C$15,MONTH(WORKDAY(I28,-(Setup!$C$13+Setup!$G$27),Setup!$C$39:$C$50))&lt;=Setup!$C$16),OR(MONTH(WORKDAY(I28,-(Setup!$C$13+Setup!$G$27),Setup!$C$39:$C$50))&gt;=Setup!$C$15,MONTH(WORKDAY(I28,-(Setup!$C$13+Setup!$G$27),Setup!$C$39:$C$50))&lt;=Setup!$C$16))),WORKDAY(I28,-(Setup!$C$13+Setup!$G$27+Setup!$C$14),Setup!$C$39:$C$50),WORKDAY(I28,-(Setup!$C$13+Setup!$G$27),Setup!$C$39:$C$50))+(23*100+8)/10000000)))</f>
        <v/>
      </c>
      <c r="Z28" t="str">
        <f>IF(J28="","",IF(J28&lt;Setup!$C$5-Setup!$C$6,"",IF(IF(ISNUMBER(Roster!$D28),Setup!$C$28&lt;=Roster!$D28,FALSE),"",IF(OR(IF(Setup!$C$15&lt;=Setup!$C$16,AND(MONTH(J28)&gt;=Setup!$C$15,MONTH(J28)&lt;=Setup!$C$16),OR(MONTH(J28)&gt;=Setup!$C$15,MONTH(J28)&lt;=Setup!$C$16)),IF(Setup!$C$15&lt;=Setup!$C$16,AND(MONTH(WORKDAY(J28,-(Setup!$C$13+Setup!$G$28),Setup!$C$39:$C$50))&gt;=Setup!$C$15,MONTH(WORKDAY(J28,-(Setup!$C$13+Setup!$G$28),Setup!$C$39:$C$50))&lt;=Setup!$C$16),OR(MONTH(WORKDAY(J28,-(Setup!$C$13+Setup!$G$28),Setup!$C$39:$C$50))&gt;=Setup!$C$15,MONTH(WORKDAY(J28,-(Setup!$C$13+Setup!$G$28),Setup!$C$39:$C$50))&lt;=Setup!$C$16))),WORKDAY(J28,-(Setup!$C$13+Setup!$G$28+Setup!$C$14),Setup!$C$39:$C$50),WORKDAY(J28,-(Setup!$C$13+Setup!$G$28),Setup!$C$39:$C$50))+(23*100+9)/10000000)))</f>
        <v/>
      </c>
      <c r="AA28" t="str">
        <f>IF(K28="","",IF(K28&lt;Setup!$C$5-Setup!$C$6,"",IF(IF(ISNUMBER(Roster!$D28),Setup!$C$29&lt;=Roster!$D28,FALSE),"",IF(OR(IF(Setup!$C$15&lt;=Setup!$C$16,AND(MONTH(K28)&gt;=Setup!$C$15,MONTH(K28)&lt;=Setup!$C$16),OR(MONTH(K28)&gt;=Setup!$C$15,MONTH(K28)&lt;=Setup!$C$16)),IF(Setup!$C$15&lt;=Setup!$C$16,AND(MONTH(WORKDAY(K28,-(Setup!$C$13+Setup!$G$29),Setup!$C$39:$C$50))&gt;=Setup!$C$15,MONTH(WORKDAY(K28,-(Setup!$C$13+Setup!$G$29),Setup!$C$39:$C$50))&lt;=Setup!$C$16),OR(MONTH(WORKDAY(K28,-(Setup!$C$13+Setup!$G$29),Setup!$C$39:$C$50))&gt;=Setup!$C$15,MONTH(WORKDAY(K28,-(Setup!$C$13+Setup!$G$29),Setup!$C$39:$C$50))&lt;=Setup!$C$16))),WORKDAY(K28,-(Setup!$C$13+Setup!$G$29+Setup!$C$14),Setup!$C$39:$C$50),WORKDAY(K28,-(Setup!$C$13+Setup!$G$29),Setup!$C$39:$C$50))+(23*100+10)/10000000)))</f>
        <v/>
      </c>
      <c r="AB28" t="str">
        <f>IF(L28="","",IF(L28&lt;Setup!$C$5-Setup!$C$6,"",IF(IF(ISNUMBER(Roster!$D28),Setup!$C$30&lt;=Roster!$D28,FALSE),"",IF(OR(IF(Setup!$C$15&lt;=Setup!$C$16,AND(MONTH(L28)&gt;=Setup!$C$15,MONTH(L28)&lt;=Setup!$C$16),OR(MONTH(L28)&gt;=Setup!$C$15,MONTH(L28)&lt;=Setup!$C$16)),IF(Setup!$C$15&lt;=Setup!$C$16,AND(MONTH(WORKDAY(L28,-(Setup!$C$13+Setup!$G$30),Setup!$C$39:$C$50))&gt;=Setup!$C$15,MONTH(WORKDAY(L28,-(Setup!$C$13+Setup!$G$30),Setup!$C$39:$C$50))&lt;=Setup!$C$16),OR(MONTH(WORKDAY(L28,-(Setup!$C$13+Setup!$G$30),Setup!$C$39:$C$50))&gt;=Setup!$C$15,MONTH(WORKDAY(L28,-(Setup!$C$13+Setup!$G$30),Setup!$C$39:$C$50))&lt;=Setup!$C$16))),WORKDAY(L28,-(Setup!$C$13+Setup!$G$30+Setup!$C$14),Setup!$C$39:$C$50),WORKDAY(L28,-(Setup!$C$13+Setup!$G$30),Setup!$C$39:$C$50))+(23*100+11)/10000000)))</f>
        <v/>
      </c>
      <c r="AC28" t="str">
        <f>IF(M28="","",IF(M28&lt;Setup!$C$5-Setup!$C$6,"",IF(IF(ISNUMBER(Roster!$D28),Setup!$C$31&lt;=Roster!$D28,FALSE),"",IF(OR(IF(Setup!$C$15&lt;=Setup!$C$16,AND(MONTH(M28)&gt;=Setup!$C$15,MONTH(M28)&lt;=Setup!$C$16),OR(MONTH(M28)&gt;=Setup!$C$15,MONTH(M28)&lt;=Setup!$C$16)),IF(Setup!$C$15&lt;=Setup!$C$16,AND(MONTH(WORKDAY(M28,-(Setup!$C$13+Setup!$G$31),Setup!$C$39:$C$50))&gt;=Setup!$C$15,MONTH(WORKDAY(M28,-(Setup!$C$13+Setup!$G$31),Setup!$C$39:$C$50))&lt;=Setup!$C$16),OR(MONTH(WORKDAY(M28,-(Setup!$C$13+Setup!$G$31),Setup!$C$39:$C$50))&gt;=Setup!$C$15,MONTH(WORKDAY(M28,-(Setup!$C$13+Setup!$G$31),Setup!$C$39:$C$50))&lt;=Setup!$C$16))),WORKDAY(M28,-(Setup!$C$13+Setup!$G$31+Setup!$C$14),Setup!$C$39:$C$50),WORKDAY(M28,-(Setup!$C$13+Setup!$G$31),Setup!$C$39:$C$50))+(23*100+12)/10000000)))</f>
        <v/>
      </c>
      <c r="AD28" t="str">
        <f>IF(N28="","",IF(N28&lt;Setup!$C$5-Setup!$C$6,"",IF(IF(ISNUMBER(Roster!$D28),Setup!$C$32&lt;=Roster!$D28,FALSE),"",IF(OR(IF(Setup!$C$15&lt;=Setup!$C$16,AND(MONTH(N28)&gt;=Setup!$C$15,MONTH(N28)&lt;=Setup!$C$16),OR(MONTH(N28)&gt;=Setup!$C$15,MONTH(N28)&lt;=Setup!$C$16)),IF(Setup!$C$15&lt;=Setup!$C$16,AND(MONTH(WORKDAY(N28,-(Setup!$C$13+Setup!$G$32),Setup!$C$39:$C$50))&gt;=Setup!$C$15,MONTH(WORKDAY(N28,-(Setup!$C$13+Setup!$G$32),Setup!$C$39:$C$50))&lt;=Setup!$C$16),OR(MONTH(WORKDAY(N28,-(Setup!$C$13+Setup!$G$32),Setup!$C$39:$C$50))&gt;=Setup!$C$15,MONTH(WORKDAY(N28,-(Setup!$C$13+Setup!$G$32),Setup!$C$39:$C$50))&lt;=Setup!$C$16))),WORKDAY(N28,-(Setup!$C$13+Setup!$G$32+Setup!$C$14),Setup!$C$39:$C$50),WORKDAY(N28,-(Setup!$C$13+Setup!$G$32),Setup!$C$39:$C$50))+(23*100+13)/10000000)))</f>
        <v/>
      </c>
      <c r="AE28" t="str">
        <f>IF(O28="","",IF(O28&lt;Setup!$C$5-Setup!$C$6,"",IF(IF(ISNUMBER(Roster!$D28),Setup!$C$33&lt;=Roster!$D28,FALSE),"",IF(OR(IF(Setup!$C$15&lt;=Setup!$C$16,AND(MONTH(O28)&gt;=Setup!$C$15,MONTH(O28)&lt;=Setup!$C$16),OR(MONTH(O28)&gt;=Setup!$C$15,MONTH(O28)&lt;=Setup!$C$16)),IF(Setup!$C$15&lt;=Setup!$C$16,AND(MONTH(WORKDAY(O28,-(Setup!$C$13+Setup!$G$33),Setup!$C$39:$C$50))&gt;=Setup!$C$15,MONTH(WORKDAY(O28,-(Setup!$C$13+Setup!$G$33),Setup!$C$39:$C$50))&lt;=Setup!$C$16),OR(MONTH(WORKDAY(O28,-(Setup!$C$13+Setup!$G$33),Setup!$C$39:$C$50))&gt;=Setup!$C$15,MONTH(WORKDAY(O28,-(Setup!$C$13+Setup!$G$33),Setup!$C$39:$C$50))&lt;=Setup!$C$16))),WORKDAY(O28,-(Setup!$C$13+Setup!$G$33+Setup!$C$14),Setup!$C$39:$C$50),WORKDAY(O28,-(Setup!$C$13+Setup!$G$33),Setup!$C$39:$C$50))+(23*100+14)/10000000)))</f>
        <v/>
      </c>
      <c r="AF28" t="str">
        <f>IF(P28="","",IF(P28&lt;Setup!$C$5-Setup!$C$6,"",IF(IF(ISNUMBER(Roster!$D28),Setup!$C$34&lt;=Roster!$D28,FALSE),"",IF(OR(IF(Setup!$C$15&lt;=Setup!$C$16,AND(MONTH(P28)&gt;=Setup!$C$15,MONTH(P28)&lt;=Setup!$C$16),OR(MONTH(P28)&gt;=Setup!$C$15,MONTH(P28)&lt;=Setup!$C$16)),IF(Setup!$C$15&lt;=Setup!$C$16,AND(MONTH(WORKDAY(P28,-(Setup!$C$13+Setup!$G$34),Setup!$C$39:$C$50))&gt;=Setup!$C$15,MONTH(WORKDAY(P28,-(Setup!$C$13+Setup!$G$34),Setup!$C$39:$C$50))&lt;=Setup!$C$16),OR(MONTH(WORKDAY(P28,-(Setup!$C$13+Setup!$G$34),Setup!$C$39:$C$50))&gt;=Setup!$C$15,MONTH(WORKDAY(P28,-(Setup!$C$13+Setup!$G$34),Setup!$C$39:$C$50))&lt;=Setup!$C$16))),WORKDAY(P28,-(Setup!$C$13+Setup!$G$34+Setup!$C$14),Setup!$C$39:$C$50),WORKDAY(P28,-(Setup!$C$13+Setup!$G$34),Setup!$C$39:$C$50))+(23*100+15)/10000000)))</f>
        <v/>
      </c>
      <c r="AH28" t="str">
        <f t="shared" si="0"/>
        <v/>
      </c>
      <c r="AI28" t="str">
        <f t="shared" si="1"/>
        <v/>
      </c>
      <c r="AK28" t="str">
        <f ca="1">IF(23&gt;$AK$2,"",SMALL($R$6:$AF$505,23))</f>
        <v/>
      </c>
      <c r="AL28" t="str">
        <f t="shared" ca="1" si="2"/>
        <v/>
      </c>
      <c r="AM28" t="str">
        <f t="shared" ca="1" si="3"/>
        <v/>
      </c>
      <c r="AN28" t="str">
        <f t="shared" ca="1" si="4"/>
        <v/>
      </c>
      <c r="AP28" t="str">
        <f>IF(ISNUMBER(Roster!$B28),MAX(1,YEAR(Setup!$C$5)-YEAR(Roster!$B28)+IF(EDATE(Roster!$B28,12*(YEAR(Setup!$C$5)-YEAR(Roster!$B28)))&lt;Setup!$C$5,1,0)),"")</f>
        <v/>
      </c>
      <c r="AQ28" s="32" t="str">
        <f>IF(AP28="","",EDATE(Roster!$B28,12*AP28))</f>
        <v/>
      </c>
      <c r="AR28" t="str">
        <f>IF(AQ28="","",IF(AQ28&lt;DATE(YEAR(Setup!$C$5)+1,MONTH(Setup!$C$5),DAY(Setup!$C$5)),AQ28+23/1000,""))</f>
        <v/>
      </c>
      <c r="AS28" t="str">
        <f t="shared" si="5"/>
        <v/>
      </c>
      <c r="AT28" t="str">
        <f>IF(AS28="","",IF(ISNUMBER(Roster!$D28),Roster!$D28&gt;=AP28,FALSE))</f>
        <v/>
      </c>
      <c r="AU28" t="str">
        <f t="shared" si="6"/>
        <v/>
      </c>
      <c r="AV28" t="str">
        <f ca="1">IF(23&gt;$AV$2,"",SMALL($AR$6:$AR$505,23))</f>
        <v/>
      </c>
      <c r="AW28" t="str">
        <f t="shared" ca="1" si="7"/>
        <v/>
      </c>
      <c r="AY28">
        <f>IF(AND(Setup!$B$28="Yes",ISNUMBER(Setup!$C$28)),Setup!$C$28,"")</f>
        <v>35</v>
      </c>
      <c r="AZ28">
        <f t="shared" si="8"/>
        <v>1</v>
      </c>
    </row>
    <row r="29" spans="2:52" x14ac:dyDescent="0.2">
      <c r="B29" s="32" t="str">
        <f>IF(AND(ISNUMBER(Roster!$B29),Setup!$B$20="Yes",ISNUMBER(Setup!$C$20)),EDATE(Roster!$B29,12*Setup!$C$20),"")</f>
        <v/>
      </c>
      <c r="C29" s="32" t="str">
        <f>IF(AND(ISNUMBER(Roster!$B29),Setup!$B$21="Yes",ISNUMBER(Setup!$C$21)),EDATE(Roster!$B29,12*Setup!$C$21),"")</f>
        <v/>
      </c>
      <c r="D29" s="32" t="str">
        <f>IF(AND(ISNUMBER(Roster!$B29),Setup!$B$22="Yes",ISNUMBER(Setup!$C$22)),EDATE(Roster!$B29,12*Setup!$C$22),"")</f>
        <v/>
      </c>
      <c r="E29" s="32" t="str">
        <f>IF(AND(ISNUMBER(Roster!$B29),Setup!$B$23="Yes",ISNUMBER(Setup!$C$23)),EDATE(Roster!$B29,12*Setup!$C$23),"")</f>
        <v/>
      </c>
      <c r="F29" s="32" t="str">
        <f>IF(AND(ISNUMBER(Roster!$B29),Setup!$B$24="Yes",ISNUMBER(Setup!$C$24)),EDATE(Roster!$B29,12*Setup!$C$24),"")</f>
        <v/>
      </c>
      <c r="G29" s="32" t="str">
        <f>IF(AND(ISNUMBER(Roster!$B29),Setup!$B$25="Yes",ISNUMBER(Setup!$C$25)),EDATE(Roster!$B29,12*Setup!$C$25),"")</f>
        <v/>
      </c>
      <c r="H29" s="32" t="str">
        <f>IF(AND(ISNUMBER(Roster!$B29),Setup!$B$26="Yes",ISNUMBER(Setup!$C$26)),EDATE(Roster!$B29,12*Setup!$C$26),"")</f>
        <v/>
      </c>
      <c r="I29" s="32" t="str">
        <f>IF(AND(ISNUMBER(Roster!$B29),Setup!$B$27="Yes",ISNUMBER(Setup!$C$27)),EDATE(Roster!$B29,12*Setup!$C$27),"")</f>
        <v/>
      </c>
      <c r="J29" s="32" t="str">
        <f>IF(AND(ISNUMBER(Roster!$B29),Setup!$B$28="Yes",ISNUMBER(Setup!$C$28)),EDATE(Roster!$B29,12*Setup!$C$28),"")</f>
        <v/>
      </c>
      <c r="K29" s="32" t="str">
        <f>IF(AND(ISNUMBER(Roster!$B29),Setup!$B$29="Yes",ISNUMBER(Setup!$C$29)),EDATE(Roster!$B29,12*Setup!$C$29),"")</f>
        <v/>
      </c>
      <c r="L29" s="32" t="str">
        <f>IF(AND(ISNUMBER(Roster!$B29),Setup!$B$30="Yes",ISNUMBER(Setup!$C$30)),EDATE(Roster!$B29,12*Setup!$C$30),"")</f>
        <v/>
      </c>
      <c r="M29" s="32" t="str">
        <f>IF(AND(ISNUMBER(Roster!$B29),Setup!$B$31="Yes",ISNUMBER(Setup!$C$31)),EDATE(Roster!$B29,12*Setup!$C$31),"")</f>
        <v/>
      </c>
      <c r="N29" s="32" t="str">
        <f>IF(AND(ISNUMBER(Roster!$B29),Setup!$B$32="Yes",ISNUMBER(Setup!$C$32)),EDATE(Roster!$B29,12*Setup!$C$32),"")</f>
        <v/>
      </c>
      <c r="O29" s="32" t="str">
        <f>IF(AND(ISNUMBER(Roster!$B29),Setup!$B$33="Yes",ISNUMBER(Setup!$C$33)),EDATE(Roster!$B29,12*Setup!$C$33),"")</f>
        <v/>
      </c>
      <c r="P29" s="32" t="str">
        <f>IF(AND(ISNUMBER(Roster!$B29),Setup!$B$34="Yes",ISNUMBER(Setup!$C$34)),EDATE(Roster!$B29,12*Setup!$C$34),"")</f>
        <v/>
      </c>
      <c r="R29" t="str">
        <f>IF(B29="","",IF(B29&lt;Setup!$C$5-Setup!$C$6,"",IF(IF(ISNUMBER(Roster!$D29),Setup!$C$20&lt;=Roster!$D29,FALSE),"",IF(OR(IF(Setup!$C$15&lt;=Setup!$C$16,AND(MONTH(B29)&gt;=Setup!$C$15,MONTH(B29)&lt;=Setup!$C$16),OR(MONTH(B29)&gt;=Setup!$C$15,MONTH(B29)&lt;=Setup!$C$16)),IF(Setup!$C$15&lt;=Setup!$C$16,AND(MONTH(WORKDAY(B29,-(Setup!$C$13+Setup!$G$20),Setup!$C$39:$C$50))&gt;=Setup!$C$15,MONTH(WORKDAY(B29,-(Setup!$C$13+Setup!$G$20),Setup!$C$39:$C$50))&lt;=Setup!$C$16),OR(MONTH(WORKDAY(B29,-(Setup!$C$13+Setup!$G$20),Setup!$C$39:$C$50))&gt;=Setup!$C$15,MONTH(WORKDAY(B29,-(Setup!$C$13+Setup!$G$20),Setup!$C$39:$C$50))&lt;=Setup!$C$16))),WORKDAY(B29,-(Setup!$C$13+Setup!$G$20+Setup!$C$14),Setup!$C$39:$C$50),WORKDAY(B29,-(Setup!$C$13+Setup!$G$20),Setup!$C$39:$C$50))+(24*100+1)/10000000)))</f>
        <v/>
      </c>
      <c r="S29" t="str">
        <f>IF(C29="","",IF(C29&lt;Setup!$C$5-Setup!$C$6,"",IF(IF(ISNUMBER(Roster!$D29),Setup!$C$21&lt;=Roster!$D29,FALSE),"",IF(OR(IF(Setup!$C$15&lt;=Setup!$C$16,AND(MONTH(C29)&gt;=Setup!$C$15,MONTH(C29)&lt;=Setup!$C$16),OR(MONTH(C29)&gt;=Setup!$C$15,MONTH(C29)&lt;=Setup!$C$16)),IF(Setup!$C$15&lt;=Setup!$C$16,AND(MONTH(WORKDAY(C29,-(Setup!$C$13+Setup!$G$21),Setup!$C$39:$C$50))&gt;=Setup!$C$15,MONTH(WORKDAY(C29,-(Setup!$C$13+Setup!$G$21),Setup!$C$39:$C$50))&lt;=Setup!$C$16),OR(MONTH(WORKDAY(C29,-(Setup!$C$13+Setup!$G$21),Setup!$C$39:$C$50))&gt;=Setup!$C$15,MONTH(WORKDAY(C29,-(Setup!$C$13+Setup!$G$21),Setup!$C$39:$C$50))&lt;=Setup!$C$16))),WORKDAY(C29,-(Setup!$C$13+Setup!$G$21+Setup!$C$14),Setup!$C$39:$C$50),WORKDAY(C29,-(Setup!$C$13+Setup!$G$21),Setup!$C$39:$C$50))+(24*100+2)/10000000)))</f>
        <v/>
      </c>
      <c r="T29" t="str">
        <f>IF(D29="","",IF(D29&lt;Setup!$C$5-Setup!$C$6,"",IF(IF(ISNUMBER(Roster!$D29),Setup!$C$22&lt;=Roster!$D29,FALSE),"",IF(OR(IF(Setup!$C$15&lt;=Setup!$C$16,AND(MONTH(D29)&gt;=Setup!$C$15,MONTH(D29)&lt;=Setup!$C$16),OR(MONTH(D29)&gt;=Setup!$C$15,MONTH(D29)&lt;=Setup!$C$16)),IF(Setup!$C$15&lt;=Setup!$C$16,AND(MONTH(WORKDAY(D29,-(Setup!$C$13+Setup!$G$22),Setup!$C$39:$C$50))&gt;=Setup!$C$15,MONTH(WORKDAY(D29,-(Setup!$C$13+Setup!$G$22),Setup!$C$39:$C$50))&lt;=Setup!$C$16),OR(MONTH(WORKDAY(D29,-(Setup!$C$13+Setup!$G$22),Setup!$C$39:$C$50))&gt;=Setup!$C$15,MONTH(WORKDAY(D29,-(Setup!$C$13+Setup!$G$22),Setup!$C$39:$C$50))&lt;=Setup!$C$16))),WORKDAY(D29,-(Setup!$C$13+Setup!$G$22+Setup!$C$14),Setup!$C$39:$C$50),WORKDAY(D29,-(Setup!$C$13+Setup!$G$22),Setup!$C$39:$C$50))+(24*100+3)/10000000)))</f>
        <v/>
      </c>
      <c r="U29" t="str">
        <f>IF(E29="","",IF(E29&lt;Setup!$C$5-Setup!$C$6,"",IF(IF(ISNUMBER(Roster!$D29),Setup!$C$23&lt;=Roster!$D29,FALSE),"",IF(OR(IF(Setup!$C$15&lt;=Setup!$C$16,AND(MONTH(E29)&gt;=Setup!$C$15,MONTH(E29)&lt;=Setup!$C$16),OR(MONTH(E29)&gt;=Setup!$C$15,MONTH(E29)&lt;=Setup!$C$16)),IF(Setup!$C$15&lt;=Setup!$C$16,AND(MONTH(WORKDAY(E29,-(Setup!$C$13+Setup!$G$23),Setup!$C$39:$C$50))&gt;=Setup!$C$15,MONTH(WORKDAY(E29,-(Setup!$C$13+Setup!$G$23),Setup!$C$39:$C$50))&lt;=Setup!$C$16),OR(MONTH(WORKDAY(E29,-(Setup!$C$13+Setup!$G$23),Setup!$C$39:$C$50))&gt;=Setup!$C$15,MONTH(WORKDAY(E29,-(Setup!$C$13+Setup!$G$23),Setup!$C$39:$C$50))&lt;=Setup!$C$16))),WORKDAY(E29,-(Setup!$C$13+Setup!$G$23+Setup!$C$14),Setup!$C$39:$C$50),WORKDAY(E29,-(Setup!$C$13+Setup!$G$23),Setup!$C$39:$C$50))+(24*100+4)/10000000)))</f>
        <v/>
      </c>
      <c r="V29" t="str">
        <f>IF(F29="","",IF(F29&lt;Setup!$C$5-Setup!$C$6,"",IF(IF(ISNUMBER(Roster!$D29),Setup!$C$24&lt;=Roster!$D29,FALSE),"",IF(OR(IF(Setup!$C$15&lt;=Setup!$C$16,AND(MONTH(F29)&gt;=Setup!$C$15,MONTH(F29)&lt;=Setup!$C$16),OR(MONTH(F29)&gt;=Setup!$C$15,MONTH(F29)&lt;=Setup!$C$16)),IF(Setup!$C$15&lt;=Setup!$C$16,AND(MONTH(WORKDAY(F29,-(Setup!$C$13+Setup!$G$24),Setup!$C$39:$C$50))&gt;=Setup!$C$15,MONTH(WORKDAY(F29,-(Setup!$C$13+Setup!$G$24),Setup!$C$39:$C$50))&lt;=Setup!$C$16),OR(MONTH(WORKDAY(F29,-(Setup!$C$13+Setup!$G$24),Setup!$C$39:$C$50))&gt;=Setup!$C$15,MONTH(WORKDAY(F29,-(Setup!$C$13+Setup!$G$24),Setup!$C$39:$C$50))&lt;=Setup!$C$16))),WORKDAY(F29,-(Setup!$C$13+Setup!$G$24+Setup!$C$14),Setup!$C$39:$C$50),WORKDAY(F29,-(Setup!$C$13+Setup!$G$24),Setup!$C$39:$C$50))+(24*100+5)/10000000)))</f>
        <v/>
      </c>
      <c r="W29" t="str">
        <f>IF(G29="","",IF(G29&lt;Setup!$C$5-Setup!$C$6,"",IF(IF(ISNUMBER(Roster!$D29),Setup!$C$25&lt;=Roster!$D29,FALSE),"",IF(OR(IF(Setup!$C$15&lt;=Setup!$C$16,AND(MONTH(G29)&gt;=Setup!$C$15,MONTH(G29)&lt;=Setup!$C$16),OR(MONTH(G29)&gt;=Setup!$C$15,MONTH(G29)&lt;=Setup!$C$16)),IF(Setup!$C$15&lt;=Setup!$C$16,AND(MONTH(WORKDAY(G29,-(Setup!$C$13+Setup!$G$25),Setup!$C$39:$C$50))&gt;=Setup!$C$15,MONTH(WORKDAY(G29,-(Setup!$C$13+Setup!$G$25),Setup!$C$39:$C$50))&lt;=Setup!$C$16),OR(MONTH(WORKDAY(G29,-(Setup!$C$13+Setup!$G$25),Setup!$C$39:$C$50))&gt;=Setup!$C$15,MONTH(WORKDAY(G29,-(Setup!$C$13+Setup!$G$25),Setup!$C$39:$C$50))&lt;=Setup!$C$16))),WORKDAY(G29,-(Setup!$C$13+Setup!$G$25+Setup!$C$14),Setup!$C$39:$C$50),WORKDAY(G29,-(Setup!$C$13+Setup!$G$25),Setup!$C$39:$C$50))+(24*100+6)/10000000)))</f>
        <v/>
      </c>
      <c r="X29" t="str">
        <f>IF(H29="","",IF(H29&lt;Setup!$C$5-Setup!$C$6,"",IF(IF(ISNUMBER(Roster!$D29),Setup!$C$26&lt;=Roster!$D29,FALSE),"",IF(OR(IF(Setup!$C$15&lt;=Setup!$C$16,AND(MONTH(H29)&gt;=Setup!$C$15,MONTH(H29)&lt;=Setup!$C$16),OR(MONTH(H29)&gt;=Setup!$C$15,MONTH(H29)&lt;=Setup!$C$16)),IF(Setup!$C$15&lt;=Setup!$C$16,AND(MONTH(WORKDAY(H29,-(Setup!$C$13+Setup!$G$26),Setup!$C$39:$C$50))&gt;=Setup!$C$15,MONTH(WORKDAY(H29,-(Setup!$C$13+Setup!$G$26),Setup!$C$39:$C$50))&lt;=Setup!$C$16),OR(MONTH(WORKDAY(H29,-(Setup!$C$13+Setup!$G$26),Setup!$C$39:$C$50))&gt;=Setup!$C$15,MONTH(WORKDAY(H29,-(Setup!$C$13+Setup!$G$26),Setup!$C$39:$C$50))&lt;=Setup!$C$16))),WORKDAY(H29,-(Setup!$C$13+Setup!$G$26+Setup!$C$14),Setup!$C$39:$C$50),WORKDAY(H29,-(Setup!$C$13+Setup!$G$26),Setup!$C$39:$C$50))+(24*100+7)/10000000)))</f>
        <v/>
      </c>
      <c r="Y29" t="str">
        <f>IF(I29="","",IF(I29&lt;Setup!$C$5-Setup!$C$6,"",IF(IF(ISNUMBER(Roster!$D29),Setup!$C$27&lt;=Roster!$D29,FALSE),"",IF(OR(IF(Setup!$C$15&lt;=Setup!$C$16,AND(MONTH(I29)&gt;=Setup!$C$15,MONTH(I29)&lt;=Setup!$C$16),OR(MONTH(I29)&gt;=Setup!$C$15,MONTH(I29)&lt;=Setup!$C$16)),IF(Setup!$C$15&lt;=Setup!$C$16,AND(MONTH(WORKDAY(I29,-(Setup!$C$13+Setup!$G$27),Setup!$C$39:$C$50))&gt;=Setup!$C$15,MONTH(WORKDAY(I29,-(Setup!$C$13+Setup!$G$27),Setup!$C$39:$C$50))&lt;=Setup!$C$16),OR(MONTH(WORKDAY(I29,-(Setup!$C$13+Setup!$G$27),Setup!$C$39:$C$50))&gt;=Setup!$C$15,MONTH(WORKDAY(I29,-(Setup!$C$13+Setup!$G$27),Setup!$C$39:$C$50))&lt;=Setup!$C$16))),WORKDAY(I29,-(Setup!$C$13+Setup!$G$27+Setup!$C$14),Setup!$C$39:$C$50),WORKDAY(I29,-(Setup!$C$13+Setup!$G$27),Setup!$C$39:$C$50))+(24*100+8)/10000000)))</f>
        <v/>
      </c>
      <c r="Z29" t="str">
        <f>IF(J29="","",IF(J29&lt;Setup!$C$5-Setup!$C$6,"",IF(IF(ISNUMBER(Roster!$D29),Setup!$C$28&lt;=Roster!$D29,FALSE),"",IF(OR(IF(Setup!$C$15&lt;=Setup!$C$16,AND(MONTH(J29)&gt;=Setup!$C$15,MONTH(J29)&lt;=Setup!$C$16),OR(MONTH(J29)&gt;=Setup!$C$15,MONTH(J29)&lt;=Setup!$C$16)),IF(Setup!$C$15&lt;=Setup!$C$16,AND(MONTH(WORKDAY(J29,-(Setup!$C$13+Setup!$G$28),Setup!$C$39:$C$50))&gt;=Setup!$C$15,MONTH(WORKDAY(J29,-(Setup!$C$13+Setup!$G$28),Setup!$C$39:$C$50))&lt;=Setup!$C$16),OR(MONTH(WORKDAY(J29,-(Setup!$C$13+Setup!$G$28),Setup!$C$39:$C$50))&gt;=Setup!$C$15,MONTH(WORKDAY(J29,-(Setup!$C$13+Setup!$G$28),Setup!$C$39:$C$50))&lt;=Setup!$C$16))),WORKDAY(J29,-(Setup!$C$13+Setup!$G$28+Setup!$C$14),Setup!$C$39:$C$50),WORKDAY(J29,-(Setup!$C$13+Setup!$G$28),Setup!$C$39:$C$50))+(24*100+9)/10000000)))</f>
        <v/>
      </c>
      <c r="AA29" t="str">
        <f>IF(K29="","",IF(K29&lt;Setup!$C$5-Setup!$C$6,"",IF(IF(ISNUMBER(Roster!$D29),Setup!$C$29&lt;=Roster!$D29,FALSE),"",IF(OR(IF(Setup!$C$15&lt;=Setup!$C$16,AND(MONTH(K29)&gt;=Setup!$C$15,MONTH(K29)&lt;=Setup!$C$16),OR(MONTH(K29)&gt;=Setup!$C$15,MONTH(K29)&lt;=Setup!$C$16)),IF(Setup!$C$15&lt;=Setup!$C$16,AND(MONTH(WORKDAY(K29,-(Setup!$C$13+Setup!$G$29),Setup!$C$39:$C$50))&gt;=Setup!$C$15,MONTH(WORKDAY(K29,-(Setup!$C$13+Setup!$G$29),Setup!$C$39:$C$50))&lt;=Setup!$C$16),OR(MONTH(WORKDAY(K29,-(Setup!$C$13+Setup!$G$29),Setup!$C$39:$C$50))&gt;=Setup!$C$15,MONTH(WORKDAY(K29,-(Setup!$C$13+Setup!$G$29),Setup!$C$39:$C$50))&lt;=Setup!$C$16))),WORKDAY(K29,-(Setup!$C$13+Setup!$G$29+Setup!$C$14),Setup!$C$39:$C$50),WORKDAY(K29,-(Setup!$C$13+Setup!$G$29),Setup!$C$39:$C$50))+(24*100+10)/10000000)))</f>
        <v/>
      </c>
      <c r="AB29" t="str">
        <f>IF(L29="","",IF(L29&lt;Setup!$C$5-Setup!$C$6,"",IF(IF(ISNUMBER(Roster!$D29),Setup!$C$30&lt;=Roster!$D29,FALSE),"",IF(OR(IF(Setup!$C$15&lt;=Setup!$C$16,AND(MONTH(L29)&gt;=Setup!$C$15,MONTH(L29)&lt;=Setup!$C$16),OR(MONTH(L29)&gt;=Setup!$C$15,MONTH(L29)&lt;=Setup!$C$16)),IF(Setup!$C$15&lt;=Setup!$C$16,AND(MONTH(WORKDAY(L29,-(Setup!$C$13+Setup!$G$30),Setup!$C$39:$C$50))&gt;=Setup!$C$15,MONTH(WORKDAY(L29,-(Setup!$C$13+Setup!$G$30),Setup!$C$39:$C$50))&lt;=Setup!$C$16),OR(MONTH(WORKDAY(L29,-(Setup!$C$13+Setup!$G$30),Setup!$C$39:$C$50))&gt;=Setup!$C$15,MONTH(WORKDAY(L29,-(Setup!$C$13+Setup!$G$30),Setup!$C$39:$C$50))&lt;=Setup!$C$16))),WORKDAY(L29,-(Setup!$C$13+Setup!$G$30+Setup!$C$14),Setup!$C$39:$C$50),WORKDAY(L29,-(Setup!$C$13+Setup!$G$30),Setup!$C$39:$C$50))+(24*100+11)/10000000)))</f>
        <v/>
      </c>
      <c r="AC29" t="str">
        <f>IF(M29="","",IF(M29&lt;Setup!$C$5-Setup!$C$6,"",IF(IF(ISNUMBER(Roster!$D29),Setup!$C$31&lt;=Roster!$D29,FALSE),"",IF(OR(IF(Setup!$C$15&lt;=Setup!$C$16,AND(MONTH(M29)&gt;=Setup!$C$15,MONTH(M29)&lt;=Setup!$C$16),OR(MONTH(M29)&gt;=Setup!$C$15,MONTH(M29)&lt;=Setup!$C$16)),IF(Setup!$C$15&lt;=Setup!$C$16,AND(MONTH(WORKDAY(M29,-(Setup!$C$13+Setup!$G$31),Setup!$C$39:$C$50))&gt;=Setup!$C$15,MONTH(WORKDAY(M29,-(Setup!$C$13+Setup!$G$31),Setup!$C$39:$C$50))&lt;=Setup!$C$16),OR(MONTH(WORKDAY(M29,-(Setup!$C$13+Setup!$G$31),Setup!$C$39:$C$50))&gt;=Setup!$C$15,MONTH(WORKDAY(M29,-(Setup!$C$13+Setup!$G$31),Setup!$C$39:$C$50))&lt;=Setup!$C$16))),WORKDAY(M29,-(Setup!$C$13+Setup!$G$31+Setup!$C$14),Setup!$C$39:$C$50),WORKDAY(M29,-(Setup!$C$13+Setup!$G$31),Setup!$C$39:$C$50))+(24*100+12)/10000000)))</f>
        <v/>
      </c>
      <c r="AD29" t="str">
        <f>IF(N29="","",IF(N29&lt;Setup!$C$5-Setup!$C$6,"",IF(IF(ISNUMBER(Roster!$D29),Setup!$C$32&lt;=Roster!$D29,FALSE),"",IF(OR(IF(Setup!$C$15&lt;=Setup!$C$16,AND(MONTH(N29)&gt;=Setup!$C$15,MONTH(N29)&lt;=Setup!$C$16),OR(MONTH(N29)&gt;=Setup!$C$15,MONTH(N29)&lt;=Setup!$C$16)),IF(Setup!$C$15&lt;=Setup!$C$16,AND(MONTH(WORKDAY(N29,-(Setup!$C$13+Setup!$G$32),Setup!$C$39:$C$50))&gt;=Setup!$C$15,MONTH(WORKDAY(N29,-(Setup!$C$13+Setup!$G$32),Setup!$C$39:$C$50))&lt;=Setup!$C$16),OR(MONTH(WORKDAY(N29,-(Setup!$C$13+Setup!$G$32),Setup!$C$39:$C$50))&gt;=Setup!$C$15,MONTH(WORKDAY(N29,-(Setup!$C$13+Setup!$G$32),Setup!$C$39:$C$50))&lt;=Setup!$C$16))),WORKDAY(N29,-(Setup!$C$13+Setup!$G$32+Setup!$C$14),Setup!$C$39:$C$50),WORKDAY(N29,-(Setup!$C$13+Setup!$G$32),Setup!$C$39:$C$50))+(24*100+13)/10000000)))</f>
        <v/>
      </c>
      <c r="AE29" t="str">
        <f>IF(O29="","",IF(O29&lt;Setup!$C$5-Setup!$C$6,"",IF(IF(ISNUMBER(Roster!$D29),Setup!$C$33&lt;=Roster!$D29,FALSE),"",IF(OR(IF(Setup!$C$15&lt;=Setup!$C$16,AND(MONTH(O29)&gt;=Setup!$C$15,MONTH(O29)&lt;=Setup!$C$16),OR(MONTH(O29)&gt;=Setup!$C$15,MONTH(O29)&lt;=Setup!$C$16)),IF(Setup!$C$15&lt;=Setup!$C$16,AND(MONTH(WORKDAY(O29,-(Setup!$C$13+Setup!$G$33),Setup!$C$39:$C$50))&gt;=Setup!$C$15,MONTH(WORKDAY(O29,-(Setup!$C$13+Setup!$G$33),Setup!$C$39:$C$50))&lt;=Setup!$C$16),OR(MONTH(WORKDAY(O29,-(Setup!$C$13+Setup!$G$33),Setup!$C$39:$C$50))&gt;=Setup!$C$15,MONTH(WORKDAY(O29,-(Setup!$C$13+Setup!$G$33),Setup!$C$39:$C$50))&lt;=Setup!$C$16))),WORKDAY(O29,-(Setup!$C$13+Setup!$G$33+Setup!$C$14),Setup!$C$39:$C$50),WORKDAY(O29,-(Setup!$C$13+Setup!$G$33),Setup!$C$39:$C$50))+(24*100+14)/10000000)))</f>
        <v/>
      </c>
      <c r="AF29" t="str">
        <f>IF(P29="","",IF(P29&lt;Setup!$C$5-Setup!$C$6,"",IF(IF(ISNUMBER(Roster!$D29),Setup!$C$34&lt;=Roster!$D29,FALSE),"",IF(OR(IF(Setup!$C$15&lt;=Setup!$C$16,AND(MONTH(P29)&gt;=Setup!$C$15,MONTH(P29)&lt;=Setup!$C$16),OR(MONTH(P29)&gt;=Setup!$C$15,MONTH(P29)&lt;=Setup!$C$16)),IF(Setup!$C$15&lt;=Setup!$C$16,AND(MONTH(WORKDAY(P29,-(Setup!$C$13+Setup!$G$34),Setup!$C$39:$C$50))&gt;=Setup!$C$15,MONTH(WORKDAY(P29,-(Setup!$C$13+Setup!$G$34),Setup!$C$39:$C$50))&lt;=Setup!$C$16),OR(MONTH(WORKDAY(P29,-(Setup!$C$13+Setup!$G$34),Setup!$C$39:$C$50))&gt;=Setup!$C$15,MONTH(WORKDAY(P29,-(Setup!$C$13+Setup!$G$34),Setup!$C$39:$C$50))&lt;=Setup!$C$16))),WORKDAY(P29,-(Setup!$C$13+Setup!$G$34+Setup!$C$14),Setup!$C$39:$C$50),WORKDAY(P29,-(Setup!$C$13+Setup!$G$34),Setup!$C$39:$C$50))+(24*100+15)/10000000)))</f>
        <v/>
      </c>
      <c r="AH29" t="str">
        <f t="shared" si="0"/>
        <v/>
      </c>
      <c r="AI29" t="str">
        <f t="shared" si="1"/>
        <v/>
      </c>
      <c r="AK29" t="str">
        <f ca="1">IF(24&gt;$AK$2,"",SMALL($R$6:$AF$505,24))</f>
        <v/>
      </c>
      <c r="AL29" t="str">
        <f t="shared" ca="1" si="2"/>
        <v/>
      </c>
      <c r="AM29" t="str">
        <f t="shared" ca="1" si="3"/>
        <v/>
      </c>
      <c r="AN29" t="str">
        <f t="shared" ca="1" si="4"/>
        <v/>
      </c>
      <c r="AP29" t="str">
        <f>IF(ISNUMBER(Roster!$B29),MAX(1,YEAR(Setup!$C$5)-YEAR(Roster!$B29)+IF(EDATE(Roster!$B29,12*(YEAR(Setup!$C$5)-YEAR(Roster!$B29)))&lt;Setup!$C$5,1,0)),"")</f>
        <v/>
      </c>
      <c r="AQ29" s="32" t="str">
        <f>IF(AP29="","",EDATE(Roster!$B29,12*AP29))</f>
        <v/>
      </c>
      <c r="AR29" t="str">
        <f>IF(AQ29="","",IF(AQ29&lt;DATE(YEAR(Setup!$C$5)+1,MONTH(Setup!$C$5),DAY(Setup!$C$5)),AQ29+24/1000,""))</f>
        <v/>
      </c>
      <c r="AS29" t="str">
        <f t="shared" si="5"/>
        <v/>
      </c>
      <c r="AT29" t="str">
        <f>IF(AS29="","",IF(ISNUMBER(Roster!$D29),Roster!$D29&gt;=AP29,FALSE))</f>
        <v/>
      </c>
      <c r="AU29" t="str">
        <f t="shared" si="6"/>
        <v/>
      </c>
      <c r="AV29" t="str">
        <f ca="1">IF(24&gt;$AV$2,"",SMALL($AR$6:$AR$505,24))</f>
        <v/>
      </c>
      <c r="AW29" t="str">
        <f t="shared" ca="1" si="7"/>
        <v/>
      </c>
      <c r="AY29">
        <f>IF(AND(Setup!$B$29="Yes",ISNUMBER(Setup!$C$29)),Setup!$C$29,"")</f>
        <v>40</v>
      </c>
      <c r="AZ29">
        <f t="shared" si="8"/>
        <v>1</v>
      </c>
    </row>
    <row r="30" spans="2:52" x14ac:dyDescent="0.2">
      <c r="B30" s="32" t="str">
        <f>IF(AND(ISNUMBER(Roster!$B30),Setup!$B$20="Yes",ISNUMBER(Setup!$C$20)),EDATE(Roster!$B30,12*Setup!$C$20),"")</f>
        <v/>
      </c>
      <c r="C30" s="32" t="str">
        <f>IF(AND(ISNUMBER(Roster!$B30),Setup!$B$21="Yes",ISNUMBER(Setup!$C$21)),EDATE(Roster!$B30,12*Setup!$C$21),"")</f>
        <v/>
      </c>
      <c r="D30" s="32" t="str">
        <f>IF(AND(ISNUMBER(Roster!$B30),Setup!$B$22="Yes",ISNUMBER(Setup!$C$22)),EDATE(Roster!$B30,12*Setup!$C$22),"")</f>
        <v/>
      </c>
      <c r="E30" s="32" t="str">
        <f>IF(AND(ISNUMBER(Roster!$B30),Setup!$B$23="Yes",ISNUMBER(Setup!$C$23)),EDATE(Roster!$B30,12*Setup!$C$23),"")</f>
        <v/>
      </c>
      <c r="F30" s="32" t="str">
        <f>IF(AND(ISNUMBER(Roster!$B30),Setup!$B$24="Yes",ISNUMBER(Setup!$C$24)),EDATE(Roster!$B30,12*Setup!$C$24),"")</f>
        <v/>
      </c>
      <c r="G30" s="32" t="str">
        <f>IF(AND(ISNUMBER(Roster!$B30),Setup!$B$25="Yes",ISNUMBER(Setup!$C$25)),EDATE(Roster!$B30,12*Setup!$C$25),"")</f>
        <v/>
      </c>
      <c r="H30" s="32" t="str">
        <f>IF(AND(ISNUMBER(Roster!$B30),Setup!$B$26="Yes",ISNUMBER(Setup!$C$26)),EDATE(Roster!$B30,12*Setup!$C$26),"")</f>
        <v/>
      </c>
      <c r="I30" s="32" t="str">
        <f>IF(AND(ISNUMBER(Roster!$B30),Setup!$B$27="Yes",ISNUMBER(Setup!$C$27)),EDATE(Roster!$B30,12*Setup!$C$27),"")</f>
        <v/>
      </c>
      <c r="J30" s="32" t="str">
        <f>IF(AND(ISNUMBER(Roster!$B30),Setup!$B$28="Yes",ISNUMBER(Setup!$C$28)),EDATE(Roster!$B30,12*Setup!$C$28),"")</f>
        <v/>
      </c>
      <c r="K30" s="32" t="str">
        <f>IF(AND(ISNUMBER(Roster!$B30),Setup!$B$29="Yes",ISNUMBER(Setup!$C$29)),EDATE(Roster!$B30,12*Setup!$C$29),"")</f>
        <v/>
      </c>
      <c r="L30" s="32" t="str">
        <f>IF(AND(ISNUMBER(Roster!$B30),Setup!$B$30="Yes",ISNUMBER(Setup!$C$30)),EDATE(Roster!$B30,12*Setup!$C$30),"")</f>
        <v/>
      </c>
      <c r="M30" s="32" t="str">
        <f>IF(AND(ISNUMBER(Roster!$B30),Setup!$B$31="Yes",ISNUMBER(Setup!$C$31)),EDATE(Roster!$B30,12*Setup!$C$31),"")</f>
        <v/>
      </c>
      <c r="N30" s="32" t="str">
        <f>IF(AND(ISNUMBER(Roster!$B30),Setup!$B$32="Yes",ISNUMBER(Setup!$C$32)),EDATE(Roster!$B30,12*Setup!$C$32),"")</f>
        <v/>
      </c>
      <c r="O30" s="32" t="str">
        <f>IF(AND(ISNUMBER(Roster!$B30),Setup!$B$33="Yes",ISNUMBER(Setup!$C$33)),EDATE(Roster!$B30,12*Setup!$C$33),"")</f>
        <v/>
      </c>
      <c r="P30" s="32" t="str">
        <f>IF(AND(ISNUMBER(Roster!$B30),Setup!$B$34="Yes",ISNUMBER(Setup!$C$34)),EDATE(Roster!$B30,12*Setup!$C$34),"")</f>
        <v/>
      </c>
      <c r="R30" t="str">
        <f>IF(B30="","",IF(B30&lt;Setup!$C$5-Setup!$C$6,"",IF(IF(ISNUMBER(Roster!$D30),Setup!$C$20&lt;=Roster!$D30,FALSE),"",IF(OR(IF(Setup!$C$15&lt;=Setup!$C$16,AND(MONTH(B30)&gt;=Setup!$C$15,MONTH(B30)&lt;=Setup!$C$16),OR(MONTH(B30)&gt;=Setup!$C$15,MONTH(B30)&lt;=Setup!$C$16)),IF(Setup!$C$15&lt;=Setup!$C$16,AND(MONTH(WORKDAY(B30,-(Setup!$C$13+Setup!$G$20),Setup!$C$39:$C$50))&gt;=Setup!$C$15,MONTH(WORKDAY(B30,-(Setup!$C$13+Setup!$G$20),Setup!$C$39:$C$50))&lt;=Setup!$C$16),OR(MONTH(WORKDAY(B30,-(Setup!$C$13+Setup!$G$20),Setup!$C$39:$C$50))&gt;=Setup!$C$15,MONTH(WORKDAY(B30,-(Setup!$C$13+Setup!$G$20),Setup!$C$39:$C$50))&lt;=Setup!$C$16))),WORKDAY(B30,-(Setup!$C$13+Setup!$G$20+Setup!$C$14),Setup!$C$39:$C$50),WORKDAY(B30,-(Setup!$C$13+Setup!$G$20),Setup!$C$39:$C$50))+(25*100+1)/10000000)))</f>
        <v/>
      </c>
      <c r="S30" t="str">
        <f>IF(C30="","",IF(C30&lt;Setup!$C$5-Setup!$C$6,"",IF(IF(ISNUMBER(Roster!$D30),Setup!$C$21&lt;=Roster!$D30,FALSE),"",IF(OR(IF(Setup!$C$15&lt;=Setup!$C$16,AND(MONTH(C30)&gt;=Setup!$C$15,MONTH(C30)&lt;=Setup!$C$16),OR(MONTH(C30)&gt;=Setup!$C$15,MONTH(C30)&lt;=Setup!$C$16)),IF(Setup!$C$15&lt;=Setup!$C$16,AND(MONTH(WORKDAY(C30,-(Setup!$C$13+Setup!$G$21),Setup!$C$39:$C$50))&gt;=Setup!$C$15,MONTH(WORKDAY(C30,-(Setup!$C$13+Setup!$G$21),Setup!$C$39:$C$50))&lt;=Setup!$C$16),OR(MONTH(WORKDAY(C30,-(Setup!$C$13+Setup!$G$21),Setup!$C$39:$C$50))&gt;=Setup!$C$15,MONTH(WORKDAY(C30,-(Setup!$C$13+Setup!$G$21),Setup!$C$39:$C$50))&lt;=Setup!$C$16))),WORKDAY(C30,-(Setup!$C$13+Setup!$G$21+Setup!$C$14),Setup!$C$39:$C$50),WORKDAY(C30,-(Setup!$C$13+Setup!$G$21),Setup!$C$39:$C$50))+(25*100+2)/10000000)))</f>
        <v/>
      </c>
      <c r="T30" t="str">
        <f>IF(D30="","",IF(D30&lt;Setup!$C$5-Setup!$C$6,"",IF(IF(ISNUMBER(Roster!$D30),Setup!$C$22&lt;=Roster!$D30,FALSE),"",IF(OR(IF(Setup!$C$15&lt;=Setup!$C$16,AND(MONTH(D30)&gt;=Setup!$C$15,MONTH(D30)&lt;=Setup!$C$16),OR(MONTH(D30)&gt;=Setup!$C$15,MONTH(D30)&lt;=Setup!$C$16)),IF(Setup!$C$15&lt;=Setup!$C$16,AND(MONTH(WORKDAY(D30,-(Setup!$C$13+Setup!$G$22),Setup!$C$39:$C$50))&gt;=Setup!$C$15,MONTH(WORKDAY(D30,-(Setup!$C$13+Setup!$G$22),Setup!$C$39:$C$50))&lt;=Setup!$C$16),OR(MONTH(WORKDAY(D30,-(Setup!$C$13+Setup!$G$22),Setup!$C$39:$C$50))&gt;=Setup!$C$15,MONTH(WORKDAY(D30,-(Setup!$C$13+Setup!$G$22),Setup!$C$39:$C$50))&lt;=Setup!$C$16))),WORKDAY(D30,-(Setup!$C$13+Setup!$G$22+Setup!$C$14),Setup!$C$39:$C$50),WORKDAY(D30,-(Setup!$C$13+Setup!$G$22),Setup!$C$39:$C$50))+(25*100+3)/10000000)))</f>
        <v/>
      </c>
      <c r="U30" t="str">
        <f>IF(E30="","",IF(E30&lt;Setup!$C$5-Setup!$C$6,"",IF(IF(ISNUMBER(Roster!$D30),Setup!$C$23&lt;=Roster!$D30,FALSE),"",IF(OR(IF(Setup!$C$15&lt;=Setup!$C$16,AND(MONTH(E30)&gt;=Setup!$C$15,MONTH(E30)&lt;=Setup!$C$16),OR(MONTH(E30)&gt;=Setup!$C$15,MONTH(E30)&lt;=Setup!$C$16)),IF(Setup!$C$15&lt;=Setup!$C$16,AND(MONTH(WORKDAY(E30,-(Setup!$C$13+Setup!$G$23),Setup!$C$39:$C$50))&gt;=Setup!$C$15,MONTH(WORKDAY(E30,-(Setup!$C$13+Setup!$G$23),Setup!$C$39:$C$50))&lt;=Setup!$C$16),OR(MONTH(WORKDAY(E30,-(Setup!$C$13+Setup!$G$23),Setup!$C$39:$C$50))&gt;=Setup!$C$15,MONTH(WORKDAY(E30,-(Setup!$C$13+Setup!$G$23),Setup!$C$39:$C$50))&lt;=Setup!$C$16))),WORKDAY(E30,-(Setup!$C$13+Setup!$G$23+Setup!$C$14),Setup!$C$39:$C$50),WORKDAY(E30,-(Setup!$C$13+Setup!$G$23),Setup!$C$39:$C$50))+(25*100+4)/10000000)))</f>
        <v/>
      </c>
      <c r="V30" t="str">
        <f>IF(F30="","",IF(F30&lt;Setup!$C$5-Setup!$C$6,"",IF(IF(ISNUMBER(Roster!$D30),Setup!$C$24&lt;=Roster!$D30,FALSE),"",IF(OR(IF(Setup!$C$15&lt;=Setup!$C$16,AND(MONTH(F30)&gt;=Setup!$C$15,MONTH(F30)&lt;=Setup!$C$16),OR(MONTH(F30)&gt;=Setup!$C$15,MONTH(F30)&lt;=Setup!$C$16)),IF(Setup!$C$15&lt;=Setup!$C$16,AND(MONTH(WORKDAY(F30,-(Setup!$C$13+Setup!$G$24),Setup!$C$39:$C$50))&gt;=Setup!$C$15,MONTH(WORKDAY(F30,-(Setup!$C$13+Setup!$G$24),Setup!$C$39:$C$50))&lt;=Setup!$C$16),OR(MONTH(WORKDAY(F30,-(Setup!$C$13+Setup!$G$24),Setup!$C$39:$C$50))&gt;=Setup!$C$15,MONTH(WORKDAY(F30,-(Setup!$C$13+Setup!$G$24),Setup!$C$39:$C$50))&lt;=Setup!$C$16))),WORKDAY(F30,-(Setup!$C$13+Setup!$G$24+Setup!$C$14),Setup!$C$39:$C$50),WORKDAY(F30,-(Setup!$C$13+Setup!$G$24),Setup!$C$39:$C$50))+(25*100+5)/10000000)))</f>
        <v/>
      </c>
      <c r="W30" t="str">
        <f>IF(G30="","",IF(G30&lt;Setup!$C$5-Setup!$C$6,"",IF(IF(ISNUMBER(Roster!$D30),Setup!$C$25&lt;=Roster!$D30,FALSE),"",IF(OR(IF(Setup!$C$15&lt;=Setup!$C$16,AND(MONTH(G30)&gt;=Setup!$C$15,MONTH(G30)&lt;=Setup!$C$16),OR(MONTH(G30)&gt;=Setup!$C$15,MONTH(G30)&lt;=Setup!$C$16)),IF(Setup!$C$15&lt;=Setup!$C$16,AND(MONTH(WORKDAY(G30,-(Setup!$C$13+Setup!$G$25),Setup!$C$39:$C$50))&gt;=Setup!$C$15,MONTH(WORKDAY(G30,-(Setup!$C$13+Setup!$G$25),Setup!$C$39:$C$50))&lt;=Setup!$C$16),OR(MONTH(WORKDAY(G30,-(Setup!$C$13+Setup!$G$25),Setup!$C$39:$C$50))&gt;=Setup!$C$15,MONTH(WORKDAY(G30,-(Setup!$C$13+Setup!$G$25),Setup!$C$39:$C$50))&lt;=Setup!$C$16))),WORKDAY(G30,-(Setup!$C$13+Setup!$G$25+Setup!$C$14),Setup!$C$39:$C$50),WORKDAY(G30,-(Setup!$C$13+Setup!$G$25),Setup!$C$39:$C$50))+(25*100+6)/10000000)))</f>
        <v/>
      </c>
      <c r="X30" t="str">
        <f>IF(H30="","",IF(H30&lt;Setup!$C$5-Setup!$C$6,"",IF(IF(ISNUMBER(Roster!$D30),Setup!$C$26&lt;=Roster!$D30,FALSE),"",IF(OR(IF(Setup!$C$15&lt;=Setup!$C$16,AND(MONTH(H30)&gt;=Setup!$C$15,MONTH(H30)&lt;=Setup!$C$16),OR(MONTH(H30)&gt;=Setup!$C$15,MONTH(H30)&lt;=Setup!$C$16)),IF(Setup!$C$15&lt;=Setup!$C$16,AND(MONTH(WORKDAY(H30,-(Setup!$C$13+Setup!$G$26),Setup!$C$39:$C$50))&gt;=Setup!$C$15,MONTH(WORKDAY(H30,-(Setup!$C$13+Setup!$G$26),Setup!$C$39:$C$50))&lt;=Setup!$C$16),OR(MONTH(WORKDAY(H30,-(Setup!$C$13+Setup!$G$26),Setup!$C$39:$C$50))&gt;=Setup!$C$15,MONTH(WORKDAY(H30,-(Setup!$C$13+Setup!$G$26),Setup!$C$39:$C$50))&lt;=Setup!$C$16))),WORKDAY(H30,-(Setup!$C$13+Setup!$G$26+Setup!$C$14),Setup!$C$39:$C$50),WORKDAY(H30,-(Setup!$C$13+Setup!$G$26),Setup!$C$39:$C$50))+(25*100+7)/10000000)))</f>
        <v/>
      </c>
      <c r="Y30" t="str">
        <f>IF(I30="","",IF(I30&lt;Setup!$C$5-Setup!$C$6,"",IF(IF(ISNUMBER(Roster!$D30),Setup!$C$27&lt;=Roster!$D30,FALSE),"",IF(OR(IF(Setup!$C$15&lt;=Setup!$C$16,AND(MONTH(I30)&gt;=Setup!$C$15,MONTH(I30)&lt;=Setup!$C$16),OR(MONTH(I30)&gt;=Setup!$C$15,MONTH(I30)&lt;=Setup!$C$16)),IF(Setup!$C$15&lt;=Setup!$C$16,AND(MONTH(WORKDAY(I30,-(Setup!$C$13+Setup!$G$27),Setup!$C$39:$C$50))&gt;=Setup!$C$15,MONTH(WORKDAY(I30,-(Setup!$C$13+Setup!$G$27),Setup!$C$39:$C$50))&lt;=Setup!$C$16),OR(MONTH(WORKDAY(I30,-(Setup!$C$13+Setup!$G$27),Setup!$C$39:$C$50))&gt;=Setup!$C$15,MONTH(WORKDAY(I30,-(Setup!$C$13+Setup!$G$27),Setup!$C$39:$C$50))&lt;=Setup!$C$16))),WORKDAY(I30,-(Setup!$C$13+Setup!$G$27+Setup!$C$14),Setup!$C$39:$C$50),WORKDAY(I30,-(Setup!$C$13+Setup!$G$27),Setup!$C$39:$C$50))+(25*100+8)/10000000)))</f>
        <v/>
      </c>
      <c r="Z30" t="str">
        <f>IF(J30="","",IF(J30&lt;Setup!$C$5-Setup!$C$6,"",IF(IF(ISNUMBER(Roster!$D30),Setup!$C$28&lt;=Roster!$D30,FALSE),"",IF(OR(IF(Setup!$C$15&lt;=Setup!$C$16,AND(MONTH(J30)&gt;=Setup!$C$15,MONTH(J30)&lt;=Setup!$C$16),OR(MONTH(J30)&gt;=Setup!$C$15,MONTH(J30)&lt;=Setup!$C$16)),IF(Setup!$C$15&lt;=Setup!$C$16,AND(MONTH(WORKDAY(J30,-(Setup!$C$13+Setup!$G$28),Setup!$C$39:$C$50))&gt;=Setup!$C$15,MONTH(WORKDAY(J30,-(Setup!$C$13+Setup!$G$28),Setup!$C$39:$C$50))&lt;=Setup!$C$16),OR(MONTH(WORKDAY(J30,-(Setup!$C$13+Setup!$G$28),Setup!$C$39:$C$50))&gt;=Setup!$C$15,MONTH(WORKDAY(J30,-(Setup!$C$13+Setup!$G$28),Setup!$C$39:$C$50))&lt;=Setup!$C$16))),WORKDAY(J30,-(Setup!$C$13+Setup!$G$28+Setup!$C$14),Setup!$C$39:$C$50),WORKDAY(J30,-(Setup!$C$13+Setup!$G$28),Setup!$C$39:$C$50))+(25*100+9)/10000000)))</f>
        <v/>
      </c>
      <c r="AA30" t="str">
        <f>IF(K30="","",IF(K30&lt;Setup!$C$5-Setup!$C$6,"",IF(IF(ISNUMBER(Roster!$D30),Setup!$C$29&lt;=Roster!$D30,FALSE),"",IF(OR(IF(Setup!$C$15&lt;=Setup!$C$16,AND(MONTH(K30)&gt;=Setup!$C$15,MONTH(K30)&lt;=Setup!$C$16),OR(MONTH(K30)&gt;=Setup!$C$15,MONTH(K30)&lt;=Setup!$C$16)),IF(Setup!$C$15&lt;=Setup!$C$16,AND(MONTH(WORKDAY(K30,-(Setup!$C$13+Setup!$G$29),Setup!$C$39:$C$50))&gt;=Setup!$C$15,MONTH(WORKDAY(K30,-(Setup!$C$13+Setup!$G$29),Setup!$C$39:$C$50))&lt;=Setup!$C$16),OR(MONTH(WORKDAY(K30,-(Setup!$C$13+Setup!$G$29),Setup!$C$39:$C$50))&gt;=Setup!$C$15,MONTH(WORKDAY(K30,-(Setup!$C$13+Setup!$G$29),Setup!$C$39:$C$50))&lt;=Setup!$C$16))),WORKDAY(K30,-(Setup!$C$13+Setup!$G$29+Setup!$C$14),Setup!$C$39:$C$50),WORKDAY(K30,-(Setup!$C$13+Setup!$G$29),Setup!$C$39:$C$50))+(25*100+10)/10000000)))</f>
        <v/>
      </c>
      <c r="AB30" t="str">
        <f>IF(L30="","",IF(L30&lt;Setup!$C$5-Setup!$C$6,"",IF(IF(ISNUMBER(Roster!$D30),Setup!$C$30&lt;=Roster!$D30,FALSE),"",IF(OR(IF(Setup!$C$15&lt;=Setup!$C$16,AND(MONTH(L30)&gt;=Setup!$C$15,MONTH(L30)&lt;=Setup!$C$16),OR(MONTH(L30)&gt;=Setup!$C$15,MONTH(L30)&lt;=Setup!$C$16)),IF(Setup!$C$15&lt;=Setup!$C$16,AND(MONTH(WORKDAY(L30,-(Setup!$C$13+Setup!$G$30),Setup!$C$39:$C$50))&gt;=Setup!$C$15,MONTH(WORKDAY(L30,-(Setup!$C$13+Setup!$G$30),Setup!$C$39:$C$50))&lt;=Setup!$C$16),OR(MONTH(WORKDAY(L30,-(Setup!$C$13+Setup!$G$30),Setup!$C$39:$C$50))&gt;=Setup!$C$15,MONTH(WORKDAY(L30,-(Setup!$C$13+Setup!$G$30),Setup!$C$39:$C$50))&lt;=Setup!$C$16))),WORKDAY(L30,-(Setup!$C$13+Setup!$G$30+Setup!$C$14),Setup!$C$39:$C$50),WORKDAY(L30,-(Setup!$C$13+Setup!$G$30),Setup!$C$39:$C$50))+(25*100+11)/10000000)))</f>
        <v/>
      </c>
      <c r="AC30" t="str">
        <f>IF(M30="","",IF(M30&lt;Setup!$C$5-Setup!$C$6,"",IF(IF(ISNUMBER(Roster!$D30),Setup!$C$31&lt;=Roster!$D30,FALSE),"",IF(OR(IF(Setup!$C$15&lt;=Setup!$C$16,AND(MONTH(M30)&gt;=Setup!$C$15,MONTH(M30)&lt;=Setup!$C$16),OR(MONTH(M30)&gt;=Setup!$C$15,MONTH(M30)&lt;=Setup!$C$16)),IF(Setup!$C$15&lt;=Setup!$C$16,AND(MONTH(WORKDAY(M30,-(Setup!$C$13+Setup!$G$31),Setup!$C$39:$C$50))&gt;=Setup!$C$15,MONTH(WORKDAY(M30,-(Setup!$C$13+Setup!$G$31),Setup!$C$39:$C$50))&lt;=Setup!$C$16),OR(MONTH(WORKDAY(M30,-(Setup!$C$13+Setup!$G$31),Setup!$C$39:$C$50))&gt;=Setup!$C$15,MONTH(WORKDAY(M30,-(Setup!$C$13+Setup!$G$31),Setup!$C$39:$C$50))&lt;=Setup!$C$16))),WORKDAY(M30,-(Setup!$C$13+Setup!$G$31+Setup!$C$14),Setup!$C$39:$C$50),WORKDAY(M30,-(Setup!$C$13+Setup!$G$31),Setup!$C$39:$C$50))+(25*100+12)/10000000)))</f>
        <v/>
      </c>
      <c r="AD30" t="str">
        <f>IF(N30="","",IF(N30&lt;Setup!$C$5-Setup!$C$6,"",IF(IF(ISNUMBER(Roster!$D30),Setup!$C$32&lt;=Roster!$D30,FALSE),"",IF(OR(IF(Setup!$C$15&lt;=Setup!$C$16,AND(MONTH(N30)&gt;=Setup!$C$15,MONTH(N30)&lt;=Setup!$C$16),OR(MONTH(N30)&gt;=Setup!$C$15,MONTH(N30)&lt;=Setup!$C$16)),IF(Setup!$C$15&lt;=Setup!$C$16,AND(MONTH(WORKDAY(N30,-(Setup!$C$13+Setup!$G$32),Setup!$C$39:$C$50))&gt;=Setup!$C$15,MONTH(WORKDAY(N30,-(Setup!$C$13+Setup!$G$32),Setup!$C$39:$C$50))&lt;=Setup!$C$16),OR(MONTH(WORKDAY(N30,-(Setup!$C$13+Setup!$G$32),Setup!$C$39:$C$50))&gt;=Setup!$C$15,MONTH(WORKDAY(N30,-(Setup!$C$13+Setup!$G$32),Setup!$C$39:$C$50))&lt;=Setup!$C$16))),WORKDAY(N30,-(Setup!$C$13+Setup!$G$32+Setup!$C$14),Setup!$C$39:$C$50),WORKDAY(N30,-(Setup!$C$13+Setup!$G$32),Setup!$C$39:$C$50))+(25*100+13)/10000000)))</f>
        <v/>
      </c>
      <c r="AE30" t="str">
        <f>IF(O30="","",IF(O30&lt;Setup!$C$5-Setup!$C$6,"",IF(IF(ISNUMBER(Roster!$D30),Setup!$C$33&lt;=Roster!$D30,FALSE),"",IF(OR(IF(Setup!$C$15&lt;=Setup!$C$16,AND(MONTH(O30)&gt;=Setup!$C$15,MONTH(O30)&lt;=Setup!$C$16),OR(MONTH(O30)&gt;=Setup!$C$15,MONTH(O30)&lt;=Setup!$C$16)),IF(Setup!$C$15&lt;=Setup!$C$16,AND(MONTH(WORKDAY(O30,-(Setup!$C$13+Setup!$G$33),Setup!$C$39:$C$50))&gt;=Setup!$C$15,MONTH(WORKDAY(O30,-(Setup!$C$13+Setup!$G$33),Setup!$C$39:$C$50))&lt;=Setup!$C$16),OR(MONTH(WORKDAY(O30,-(Setup!$C$13+Setup!$G$33),Setup!$C$39:$C$50))&gt;=Setup!$C$15,MONTH(WORKDAY(O30,-(Setup!$C$13+Setup!$G$33),Setup!$C$39:$C$50))&lt;=Setup!$C$16))),WORKDAY(O30,-(Setup!$C$13+Setup!$G$33+Setup!$C$14),Setup!$C$39:$C$50),WORKDAY(O30,-(Setup!$C$13+Setup!$G$33),Setup!$C$39:$C$50))+(25*100+14)/10000000)))</f>
        <v/>
      </c>
      <c r="AF30" t="str">
        <f>IF(P30="","",IF(P30&lt;Setup!$C$5-Setup!$C$6,"",IF(IF(ISNUMBER(Roster!$D30),Setup!$C$34&lt;=Roster!$D30,FALSE),"",IF(OR(IF(Setup!$C$15&lt;=Setup!$C$16,AND(MONTH(P30)&gt;=Setup!$C$15,MONTH(P30)&lt;=Setup!$C$16),OR(MONTH(P30)&gt;=Setup!$C$15,MONTH(P30)&lt;=Setup!$C$16)),IF(Setup!$C$15&lt;=Setup!$C$16,AND(MONTH(WORKDAY(P30,-(Setup!$C$13+Setup!$G$34),Setup!$C$39:$C$50))&gt;=Setup!$C$15,MONTH(WORKDAY(P30,-(Setup!$C$13+Setup!$G$34),Setup!$C$39:$C$50))&lt;=Setup!$C$16),OR(MONTH(WORKDAY(P30,-(Setup!$C$13+Setup!$G$34),Setup!$C$39:$C$50))&gt;=Setup!$C$15,MONTH(WORKDAY(P30,-(Setup!$C$13+Setup!$G$34),Setup!$C$39:$C$50))&lt;=Setup!$C$16))),WORKDAY(P30,-(Setup!$C$13+Setup!$G$34+Setup!$C$14),Setup!$C$39:$C$50),WORKDAY(P30,-(Setup!$C$13+Setup!$G$34),Setup!$C$39:$C$50))+(25*100+15)/10000000)))</f>
        <v/>
      </c>
      <c r="AH30" t="str">
        <f t="shared" si="0"/>
        <v/>
      </c>
      <c r="AI30" t="str">
        <f t="shared" si="1"/>
        <v/>
      </c>
      <c r="AK30" t="str">
        <f ca="1">IF(25&gt;$AK$2,"",SMALL($R$6:$AF$505,25))</f>
        <v/>
      </c>
      <c r="AL30" t="str">
        <f t="shared" ca="1" si="2"/>
        <v/>
      </c>
      <c r="AM30" t="str">
        <f t="shared" ca="1" si="3"/>
        <v/>
      </c>
      <c r="AN30" t="str">
        <f t="shared" ca="1" si="4"/>
        <v/>
      </c>
      <c r="AP30" t="str">
        <f>IF(ISNUMBER(Roster!$B30),MAX(1,YEAR(Setup!$C$5)-YEAR(Roster!$B30)+IF(EDATE(Roster!$B30,12*(YEAR(Setup!$C$5)-YEAR(Roster!$B30)))&lt;Setup!$C$5,1,0)),"")</f>
        <v/>
      </c>
      <c r="AQ30" s="32" t="str">
        <f>IF(AP30="","",EDATE(Roster!$B30,12*AP30))</f>
        <v/>
      </c>
      <c r="AR30" t="str">
        <f>IF(AQ30="","",IF(AQ30&lt;DATE(YEAR(Setup!$C$5)+1,MONTH(Setup!$C$5),DAY(Setup!$C$5)),AQ30+25/1000,""))</f>
        <v/>
      </c>
      <c r="AS30" t="str">
        <f t="shared" si="5"/>
        <v/>
      </c>
      <c r="AT30" t="str">
        <f>IF(AS30="","",IF(ISNUMBER(Roster!$D30),Roster!$D30&gt;=AP30,FALSE))</f>
        <v/>
      </c>
      <c r="AU30" t="str">
        <f t="shared" si="6"/>
        <v/>
      </c>
      <c r="AV30" t="str">
        <f ca="1">IF(25&gt;$AV$2,"",SMALL($AR$6:$AR$505,25))</f>
        <v/>
      </c>
      <c r="AW30" t="str">
        <f t="shared" ca="1" si="7"/>
        <v/>
      </c>
      <c r="AY30">
        <f>IF(AND(Setup!$B$30="Yes",ISNUMBER(Setup!$C$30)),Setup!$C$30,"")</f>
        <v>45</v>
      </c>
      <c r="AZ30">
        <f t="shared" si="8"/>
        <v>1</v>
      </c>
    </row>
    <row r="31" spans="2:52" x14ac:dyDescent="0.2">
      <c r="B31" s="32" t="str">
        <f>IF(AND(ISNUMBER(Roster!$B31),Setup!$B$20="Yes",ISNUMBER(Setup!$C$20)),EDATE(Roster!$B31,12*Setup!$C$20),"")</f>
        <v/>
      </c>
      <c r="C31" s="32" t="str">
        <f>IF(AND(ISNUMBER(Roster!$B31),Setup!$B$21="Yes",ISNUMBER(Setup!$C$21)),EDATE(Roster!$B31,12*Setup!$C$21),"")</f>
        <v/>
      </c>
      <c r="D31" s="32" t="str">
        <f>IF(AND(ISNUMBER(Roster!$B31),Setup!$B$22="Yes",ISNUMBER(Setup!$C$22)),EDATE(Roster!$B31,12*Setup!$C$22),"")</f>
        <v/>
      </c>
      <c r="E31" s="32" t="str">
        <f>IF(AND(ISNUMBER(Roster!$B31),Setup!$B$23="Yes",ISNUMBER(Setup!$C$23)),EDATE(Roster!$B31,12*Setup!$C$23),"")</f>
        <v/>
      </c>
      <c r="F31" s="32" t="str">
        <f>IF(AND(ISNUMBER(Roster!$B31),Setup!$B$24="Yes",ISNUMBER(Setup!$C$24)),EDATE(Roster!$B31,12*Setup!$C$24),"")</f>
        <v/>
      </c>
      <c r="G31" s="32" t="str">
        <f>IF(AND(ISNUMBER(Roster!$B31),Setup!$B$25="Yes",ISNUMBER(Setup!$C$25)),EDATE(Roster!$B31,12*Setup!$C$25),"")</f>
        <v/>
      </c>
      <c r="H31" s="32" t="str">
        <f>IF(AND(ISNUMBER(Roster!$B31),Setup!$B$26="Yes",ISNUMBER(Setup!$C$26)),EDATE(Roster!$B31,12*Setup!$C$26),"")</f>
        <v/>
      </c>
      <c r="I31" s="32" t="str">
        <f>IF(AND(ISNUMBER(Roster!$B31),Setup!$B$27="Yes",ISNUMBER(Setup!$C$27)),EDATE(Roster!$B31,12*Setup!$C$27),"")</f>
        <v/>
      </c>
      <c r="J31" s="32" t="str">
        <f>IF(AND(ISNUMBER(Roster!$B31),Setup!$B$28="Yes",ISNUMBER(Setup!$C$28)),EDATE(Roster!$B31,12*Setup!$C$28),"")</f>
        <v/>
      </c>
      <c r="K31" s="32" t="str">
        <f>IF(AND(ISNUMBER(Roster!$B31),Setup!$B$29="Yes",ISNUMBER(Setup!$C$29)),EDATE(Roster!$B31,12*Setup!$C$29),"")</f>
        <v/>
      </c>
      <c r="L31" s="32" t="str">
        <f>IF(AND(ISNUMBER(Roster!$B31),Setup!$B$30="Yes",ISNUMBER(Setup!$C$30)),EDATE(Roster!$B31,12*Setup!$C$30),"")</f>
        <v/>
      </c>
      <c r="M31" s="32" t="str">
        <f>IF(AND(ISNUMBER(Roster!$B31),Setup!$B$31="Yes",ISNUMBER(Setup!$C$31)),EDATE(Roster!$B31,12*Setup!$C$31),"")</f>
        <v/>
      </c>
      <c r="N31" s="32" t="str">
        <f>IF(AND(ISNUMBER(Roster!$B31),Setup!$B$32="Yes",ISNUMBER(Setup!$C$32)),EDATE(Roster!$B31,12*Setup!$C$32),"")</f>
        <v/>
      </c>
      <c r="O31" s="32" t="str">
        <f>IF(AND(ISNUMBER(Roster!$B31),Setup!$B$33="Yes",ISNUMBER(Setup!$C$33)),EDATE(Roster!$B31,12*Setup!$C$33),"")</f>
        <v/>
      </c>
      <c r="P31" s="32" t="str">
        <f>IF(AND(ISNUMBER(Roster!$B31),Setup!$B$34="Yes",ISNUMBER(Setup!$C$34)),EDATE(Roster!$B31,12*Setup!$C$34),"")</f>
        <v/>
      </c>
      <c r="R31" t="str">
        <f>IF(B31="","",IF(B31&lt;Setup!$C$5-Setup!$C$6,"",IF(IF(ISNUMBER(Roster!$D31),Setup!$C$20&lt;=Roster!$D31,FALSE),"",IF(OR(IF(Setup!$C$15&lt;=Setup!$C$16,AND(MONTH(B31)&gt;=Setup!$C$15,MONTH(B31)&lt;=Setup!$C$16),OR(MONTH(B31)&gt;=Setup!$C$15,MONTH(B31)&lt;=Setup!$C$16)),IF(Setup!$C$15&lt;=Setup!$C$16,AND(MONTH(WORKDAY(B31,-(Setup!$C$13+Setup!$G$20),Setup!$C$39:$C$50))&gt;=Setup!$C$15,MONTH(WORKDAY(B31,-(Setup!$C$13+Setup!$G$20),Setup!$C$39:$C$50))&lt;=Setup!$C$16),OR(MONTH(WORKDAY(B31,-(Setup!$C$13+Setup!$G$20),Setup!$C$39:$C$50))&gt;=Setup!$C$15,MONTH(WORKDAY(B31,-(Setup!$C$13+Setup!$G$20),Setup!$C$39:$C$50))&lt;=Setup!$C$16))),WORKDAY(B31,-(Setup!$C$13+Setup!$G$20+Setup!$C$14),Setup!$C$39:$C$50),WORKDAY(B31,-(Setup!$C$13+Setup!$G$20),Setup!$C$39:$C$50))+(26*100+1)/10000000)))</f>
        <v/>
      </c>
      <c r="S31" t="str">
        <f>IF(C31="","",IF(C31&lt;Setup!$C$5-Setup!$C$6,"",IF(IF(ISNUMBER(Roster!$D31),Setup!$C$21&lt;=Roster!$D31,FALSE),"",IF(OR(IF(Setup!$C$15&lt;=Setup!$C$16,AND(MONTH(C31)&gt;=Setup!$C$15,MONTH(C31)&lt;=Setup!$C$16),OR(MONTH(C31)&gt;=Setup!$C$15,MONTH(C31)&lt;=Setup!$C$16)),IF(Setup!$C$15&lt;=Setup!$C$16,AND(MONTH(WORKDAY(C31,-(Setup!$C$13+Setup!$G$21),Setup!$C$39:$C$50))&gt;=Setup!$C$15,MONTH(WORKDAY(C31,-(Setup!$C$13+Setup!$G$21),Setup!$C$39:$C$50))&lt;=Setup!$C$16),OR(MONTH(WORKDAY(C31,-(Setup!$C$13+Setup!$G$21),Setup!$C$39:$C$50))&gt;=Setup!$C$15,MONTH(WORKDAY(C31,-(Setup!$C$13+Setup!$G$21),Setup!$C$39:$C$50))&lt;=Setup!$C$16))),WORKDAY(C31,-(Setup!$C$13+Setup!$G$21+Setup!$C$14),Setup!$C$39:$C$50),WORKDAY(C31,-(Setup!$C$13+Setup!$G$21),Setup!$C$39:$C$50))+(26*100+2)/10000000)))</f>
        <v/>
      </c>
      <c r="T31" t="str">
        <f>IF(D31="","",IF(D31&lt;Setup!$C$5-Setup!$C$6,"",IF(IF(ISNUMBER(Roster!$D31),Setup!$C$22&lt;=Roster!$D31,FALSE),"",IF(OR(IF(Setup!$C$15&lt;=Setup!$C$16,AND(MONTH(D31)&gt;=Setup!$C$15,MONTH(D31)&lt;=Setup!$C$16),OR(MONTH(D31)&gt;=Setup!$C$15,MONTH(D31)&lt;=Setup!$C$16)),IF(Setup!$C$15&lt;=Setup!$C$16,AND(MONTH(WORKDAY(D31,-(Setup!$C$13+Setup!$G$22),Setup!$C$39:$C$50))&gt;=Setup!$C$15,MONTH(WORKDAY(D31,-(Setup!$C$13+Setup!$G$22),Setup!$C$39:$C$50))&lt;=Setup!$C$16),OR(MONTH(WORKDAY(D31,-(Setup!$C$13+Setup!$G$22),Setup!$C$39:$C$50))&gt;=Setup!$C$15,MONTH(WORKDAY(D31,-(Setup!$C$13+Setup!$G$22),Setup!$C$39:$C$50))&lt;=Setup!$C$16))),WORKDAY(D31,-(Setup!$C$13+Setup!$G$22+Setup!$C$14),Setup!$C$39:$C$50),WORKDAY(D31,-(Setup!$C$13+Setup!$G$22),Setup!$C$39:$C$50))+(26*100+3)/10000000)))</f>
        <v/>
      </c>
      <c r="U31" t="str">
        <f>IF(E31="","",IF(E31&lt;Setup!$C$5-Setup!$C$6,"",IF(IF(ISNUMBER(Roster!$D31),Setup!$C$23&lt;=Roster!$D31,FALSE),"",IF(OR(IF(Setup!$C$15&lt;=Setup!$C$16,AND(MONTH(E31)&gt;=Setup!$C$15,MONTH(E31)&lt;=Setup!$C$16),OR(MONTH(E31)&gt;=Setup!$C$15,MONTH(E31)&lt;=Setup!$C$16)),IF(Setup!$C$15&lt;=Setup!$C$16,AND(MONTH(WORKDAY(E31,-(Setup!$C$13+Setup!$G$23),Setup!$C$39:$C$50))&gt;=Setup!$C$15,MONTH(WORKDAY(E31,-(Setup!$C$13+Setup!$G$23),Setup!$C$39:$C$50))&lt;=Setup!$C$16),OR(MONTH(WORKDAY(E31,-(Setup!$C$13+Setup!$G$23),Setup!$C$39:$C$50))&gt;=Setup!$C$15,MONTH(WORKDAY(E31,-(Setup!$C$13+Setup!$G$23),Setup!$C$39:$C$50))&lt;=Setup!$C$16))),WORKDAY(E31,-(Setup!$C$13+Setup!$G$23+Setup!$C$14),Setup!$C$39:$C$50),WORKDAY(E31,-(Setup!$C$13+Setup!$G$23),Setup!$C$39:$C$50))+(26*100+4)/10000000)))</f>
        <v/>
      </c>
      <c r="V31" t="str">
        <f>IF(F31="","",IF(F31&lt;Setup!$C$5-Setup!$C$6,"",IF(IF(ISNUMBER(Roster!$D31),Setup!$C$24&lt;=Roster!$D31,FALSE),"",IF(OR(IF(Setup!$C$15&lt;=Setup!$C$16,AND(MONTH(F31)&gt;=Setup!$C$15,MONTH(F31)&lt;=Setup!$C$16),OR(MONTH(F31)&gt;=Setup!$C$15,MONTH(F31)&lt;=Setup!$C$16)),IF(Setup!$C$15&lt;=Setup!$C$16,AND(MONTH(WORKDAY(F31,-(Setup!$C$13+Setup!$G$24),Setup!$C$39:$C$50))&gt;=Setup!$C$15,MONTH(WORKDAY(F31,-(Setup!$C$13+Setup!$G$24),Setup!$C$39:$C$50))&lt;=Setup!$C$16),OR(MONTH(WORKDAY(F31,-(Setup!$C$13+Setup!$G$24),Setup!$C$39:$C$50))&gt;=Setup!$C$15,MONTH(WORKDAY(F31,-(Setup!$C$13+Setup!$G$24),Setup!$C$39:$C$50))&lt;=Setup!$C$16))),WORKDAY(F31,-(Setup!$C$13+Setup!$G$24+Setup!$C$14),Setup!$C$39:$C$50),WORKDAY(F31,-(Setup!$C$13+Setup!$G$24),Setup!$C$39:$C$50))+(26*100+5)/10000000)))</f>
        <v/>
      </c>
      <c r="W31" t="str">
        <f>IF(G31="","",IF(G31&lt;Setup!$C$5-Setup!$C$6,"",IF(IF(ISNUMBER(Roster!$D31),Setup!$C$25&lt;=Roster!$D31,FALSE),"",IF(OR(IF(Setup!$C$15&lt;=Setup!$C$16,AND(MONTH(G31)&gt;=Setup!$C$15,MONTH(G31)&lt;=Setup!$C$16),OR(MONTH(G31)&gt;=Setup!$C$15,MONTH(G31)&lt;=Setup!$C$16)),IF(Setup!$C$15&lt;=Setup!$C$16,AND(MONTH(WORKDAY(G31,-(Setup!$C$13+Setup!$G$25),Setup!$C$39:$C$50))&gt;=Setup!$C$15,MONTH(WORKDAY(G31,-(Setup!$C$13+Setup!$G$25),Setup!$C$39:$C$50))&lt;=Setup!$C$16),OR(MONTH(WORKDAY(G31,-(Setup!$C$13+Setup!$G$25),Setup!$C$39:$C$50))&gt;=Setup!$C$15,MONTH(WORKDAY(G31,-(Setup!$C$13+Setup!$G$25),Setup!$C$39:$C$50))&lt;=Setup!$C$16))),WORKDAY(G31,-(Setup!$C$13+Setup!$G$25+Setup!$C$14),Setup!$C$39:$C$50),WORKDAY(G31,-(Setup!$C$13+Setup!$G$25),Setup!$C$39:$C$50))+(26*100+6)/10000000)))</f>
        <v/>
      </c>
      <c r="X31" t="str">
        <f>IF(H31="","",IF(H31&lt;Setup!$C$5-Setup!$C$6,"",IF(IF(ISNUMBER(Roster!$D31),Setup!$C$26&lt;=Roster!$D31,FALSE),"",IF(OR(IF(Setup!$C$15&lt;=Setup!$C$16,AND(MONTH(H31)&gt;=Setup!$C$15,MONTH(H31)&lt;=Setup!$C$16),OR(MONTH(H31)&gt;=Setup!$C$15,MONTH(H31)&lt;=Setup!$C$16)),IF(Setup!$C$15&lt;=Setup!$C$16,AND(MONTH(WORKDAY(H31,-(Setup!$C$13+Setup!$G$26),Setup!$C$39:$C$50))&gt;=Setup!$C$15,MONTH(WORKDAY(H31,-(Setup!$C$13+Setup!$G$26),Setup!$C$39:$C$50))&lt;=Setup!$C$16),OR(MONTH(WORKDAY(H31,-(Setup!$C$13+Setup!$G$26),Setup!$C$39:$C$50))&gt;=Setup!$C$15,MONTH(WORKDAY(H31,-(Setup!$C$13+Setup!$G$26),Setup!$C$39:$C$50))&lt;=Setup!$C$16))),WORKDAY(H31,-(Setup!$C$13+Setup!$G$26+Setup!$C$14),Setup!$C$39:$C$50),WORKDAY(H31,-(Setup!$C$13+Setup!$G$26),Setup!$C$39:$C$50))+(26*100+7)/10000000)))</f>
        <v/>
      </c>
      <c r="Y31" t="str">
        <f>IF(I31="","",IF(I31&lt;Setup!$C$5-Setup!$C$6,"",IF(IF(ISNUMBER(Roster!$D31),Setup!$C$27&lt;=Roster!$D31,FALSE),"",IF(OR(IF(Setup!$C$15&lt;=Setup!$C$16,AND(MONTH(I31)&gt;=Setup!$C$15,MONTH(I31)&lt;=Setup!$C$16),OR(MONTH(I31)&gt;=Setup!$C$15,MONTH(I31)&lt;=Setup!$C$16)),IF(Setup!$C$15&lt;=Setup!$C$16,AND(MONTH(WORKDAY(I31,-(Setup!$C$13+Setup!$G$27),Setup!$C$39:$C$50))&gt;=Setup!$C$15,MONTH(WORKDAY(I31,-(Setup!$C$13+Setup!$G$27),Setup!$C$39:$C$50))&lt;=Setup!$C$16),OR(MONTH(WORKDAY(I31,-(Setup!$C$13+Setup!$G$27),Setup!$C$39:$C$50))&gt;=Setup!$C$15,MONTH(WORKDAY(I31,-(Setup!$C$13+Setup!$G$27),Setup!$C$39:$C$50))&lt;=Setup!$C$16))),WORKDAY(I31,-(Setup!$C$13+Setup!$G$27+Setup!$C$14),Setup!$C$39:$C$50),WORKDAY(I31,-(Setup!$C$13+Setup!$G$27),Setup!$C$39:$C$50))+(26*100+8)/10000000)))</f>
        <v/>
      </c>
      <c r="Z31" t="str">
        <f>IF(J31="","",IF(J31&lt;Setup!$C$5-Setup!$C$6,"",IF(IF(ISNUMBER(Roster!$D31),Setup!$C$28&lt;=Roster!$D31,FALSE),"",IF(OR(IF(Setup!$C$15&lt;=Setup!$C$16,AND(MONTH(J31)&gt;=Setup!$C$15,MONTH(J31)&lt;=Setup!$C$16),OR(MONTH(J31)&gt;=Setup!$C$15,MONTH(J31)&lt;=Setup!$C$16)),IF(Setup!$C$15&lt;=Setup!$C$16,AND(MONTH(WORKDAY(J31,-(Setup!$C$13+Setup!$G$28),Setup!$C$39:$C$50))&gt;=Setup!$C$15,MONTH(WORKDAY(J31,-(Setup!$C$13+Setup!$G$28),Setup!$C$39:$C$50))&lt;=Setup!$C$16),OR(MONTH(WORKDAY(J31,-(Setup!$C$13+Setup!$G$28),Setup!$C$39:$C$50))&gt;=Setup!$C$15,MONTH(WORKDAY(J31,-(Setup!$C$13+Setup!$G$28),Setup!$C$39:$C$50))&lt;=Setup!$C$16))),WORKDAY(J31,-(Setup!$C$13+Setup!$G$28+Setup!$C$14),Setup!$C$39:$C$50),WORKDAY(J31,-(Setup!$C$13+Setup!$G$28),Setup!$C$39:$C$50))+(26*100+9)/10000000)))</f>
        <v/>
      </c>
      <c r="AA31" t="str">
        <f>IF(K31="","",IF(K31&lt;Setup!$C$5-Setup!$C$6,"",IF(IF(ISNUMBER(Roster!$D31),Setup!$C$29&lt;=Roster!$D31,FALSE),"",IF(OR(IF(Setup!$C$15&lt;=Setup!$C$16,AND(MONTH(K31)&gt;=Setup!$C$15,MONTH(K31)&lt;=Setup!$C$16),OR(MONTH(K31)&gt;=Setup!$C$15,MONTH(K31)&lt;=Setup!$C$16)),IF(Setup!$C$15&lt;=Setup!$C$16,AND(MONTH(WORKDAY(K31,-(Setup!$C$13+Setup!$G$29),Setup!$C$39:$C$50))&gt;=Setup!$C$15,MONTH(WORKDAY(K31,-(Setup!$C$13+Setup!$G$29),Setup!$C$39:$C$50))&lt;=Setup!$C$16),OR(MONTH(WORKDAY(K31,-(Setup!$C$13+Setup!$G$29),Setup!$C$39:$C$50))&gt;=Setup!$C$15,MONTH(WORKDAY(K31,-(Setup!$C$13+Setup!$G$29),Setup!$C$39:$C$50))&lt;=Setup!$C$16))),WORKDAY(K31,-(Setup!$C$13+Setup!$G$29+Setup!$C$14),Setup!$C$39:$C$50),WORKDAY(K31,-(Setup!$C$13+Setup!$G$29),Setup!$C$39:$C$50))+(26*100+10)/10000000)))</f>
        <v/>
      </c>
      <c r="AB31" t="str">
        <f>IF(L31="","",IF(L31&lt;Setup!$C$5-Setup!$C$6,"",IF(IF(ISNUMBER(Roster!$D31),Setup!$C$30&lt;=Roster!$D31,FALSE),"",IF(OR(IF(Setup!$C$15&lt;=Setup!$C$16,AND(MONTH(L31)&gt;=Setup!$C$15,MONTH(L31)&lt;=Setup!$C$16),OR(MONTH(L31)&gt;=Setup!$C$15,MONTH(L31)&lt;=Setup!$C$16)),IF(Setup!$C$15&lt;=Setup!$C$16,AND(MONTH(WORKDAY(L31,-(Setup!$C$13+Setup!$G$30),Setup!$C$39:$C$50))&gt;=Setup!$C$15,MONTH(WORKDAY(L31,-(Setup!$C$13+Setup!$G$30),Setup!$C$39:$C$50))&lt;=Setup!$C$16),OR(MONTH(WORKDAY(L31,-(Setup!$C$13+Setup!$G$30),Setup!$C$39:$C$50))&gt;=Setup!$C$15,MONTH(WORKDAY(L31,-(Setup!$C$13+Setup!$G$30),Setup!$C$39:$C$50))&lt;=Setup!$C$16))),WORKDAY(L31,-(Setup!$C$13+Setup!$G$30+Setup!$C$14),Setup!$C$39:$C$50),WORKDAY(L31,-(Setup!$C$13+Setup!$G$30),Setup!$C$39:$C$50))+(26*100+11)/10000000)))</f>
        <v/>
      </c>
      <c r="AC31" t="str">
        <f>IF(M31="","",IF(M31&lt;Setup!$C$5-Setup!$C$6,"",IF(IF(ISNUMBER(Roster!$D31),Setup!$C$31&lt;=Roster!$D31,FALSE),"",IF(OR(IF(Setup!$C$15&lt;=Setup!$C$16,AND(MONTH(M31)&gt;=Setup!$C$15,MONTH(M31)&lt;=Setup!$C$16),OR(MONTH(M31)&gt;=Setup!$C$15,MONTH(M31)&lt;=Setup!$C$16)),IF(Setup!$C$15&lt;=Setup!$C$16,AND(MONTH(WORKDAY(M31,-(Setup!$C$13+Setup!$G$31),Setup!$C$39:$C$50))&gt;=Setup!$C$15,MONTH(WORKDAY(M31,-(Setup!$C$13+Setup!$G$31),Setup!$C$39:$C$50))&lt;=Setup!$C$16),OR(MONTH(WORKDAY(M31,-(Setup!$C$13+Setup!$G$31),Setup!$C$39:$C$50))&gt;=Setup!$C$15,MONTH(WORKDAY(M31,-(Setup!$C$13+Setup!$G$31),Setup!$C$39:$C$50))&lt;=Setup!$C$16))),WORKDAY(M31,-(Setup!$C$13+Setup!$G$31+Setup!$C$14),Setup!$C$39:$C$50),WORKDAY(M31,-(Setup!$C$13+Setup!$G$31),Setup!$C$39:$C$50))+(26*100+12)/10000000)))</f>
        <v/>
      </c>
      <c r="AD31" t="str">
        <f>IF(N31="","",IF(N31&lt;Setup!$C$5-Setup!$C$6,"",IF(IF(ISNUMBER(Roster!$D31),Setup!$C$32&lt;=Roster!$D31,FALSE),"",IF(OR(IF(Setup!$C$15&lt;=Setup!$C$16,AND(MONTH(N31)&gt;=Setup!$C$15,MONTH(N31)&lt;=Setup!$C$16),OR(MONTH(N31)&gt;=Setup!$C$15,MONTH(N31)&lt;=Setup!$C$16)),IF(Setup!$C$15&lt;=Setup!$C$16,AND(MONTH(WORKDAY(N31,-(Setup!$C$13+Setup!$G$32),Setup!$C$39:$C$50))&gt;=Setup!$C$15,MONTH(WORKDAY(N31,-(Setup!$C$13+Setup!$G$32),Setup!$C$39:$C$50))&lt;=Setup!$C$16),OR(MONTH(WORKDAY(N31,-(Setup!$C$13+Setup!$G$32),Setup!$C$39:$C$50))&gt;=Setup!$C$15,MONTH(WORKDAY(N31,-(Setup!$C$13+Setup!$G$32),Setup!$C$39:$C$50))&lt;=Setup!$C$16))),WORKDAY(N31,-(Setup!$C$13+Setup!$G$32+Setup!$C$14),Setup!$C$39:$C$50),WORKDAY(N31,-(Setup!$C$13+Setup!$G$32),Setup!$C$39:$C$50))+(26*100+13)/10000000)))</f>
        <v/>
      </c>
      <c r="AE31" t="str">
        <f>IF(O31="","",IF(O31&lt;Setup!$C$5-Setup!$C$6,"",IF(IF(ISNUMBER(Roster!$D31),Setup!$C$33&lt;=Roster!$D31,FALSE),"",IF(OR(IF(Setup!$C$15&lt;=Setup!$C$16,AND(MONTH(O31)&gt;=Setup!$C$15,MONTH(O31)&lt;=Setup!$C$16),OR(MONTH(O31)&gt;=Setup!$C$15,MONTH(O31)&lt;=Setup!$C$16)),IF(Setup!$C$15&lt;=Setup!$C$16,AND(MONTH(WORKDAY(O31,-(Setup!$C$13+Setup!$G$33),Setup!$C$39:$C$50))&gt;=Setup!$C$15,MONTH(WORKDAY(O31,-(Setup!$C$13+Setup!$G$33),Setup!$C$39:$C$50))&lt;=Setup!$C$16),OR(MONTH(WORKDAY(O31,-(Setup!$C$13+Setup!$G$33),Setup!$C$39:$C$50))&gt;=Setup!$C$15,MONTH(WORKDAY(O31,-(Setup!$C$13+Setup!$G$33),Setup!$C$39:$C$50))&lt;=Setup!$C$16))),WORKDAY(O31,-(Setup!$C$13+Setup!$G$33+Setup!$C$14),Setup!$C$39:$C$50),WORKDAY(O31,-(Setup!$C$13+Setup!$G$33),Setup!$C$39:$C$50))+(26*100+14)/10000000)))</f>
        <v/>
      </c>
      <c r="AF31" t="str">
        <f>IF(P31="","",IF(P31&lt;Setup!$C$5-Setup!$C$6,"",IF(IF(ISNUMBER(Roster!$D31),Setup!$C$34&lt;=Roster!$D31,FALSE),"",IF(OR(IF(Setup!$C$15&lt;=Setup!$C$16,AND(MONTH(P31)&gt;=Setup!$C$15,MONTH(P31)&lt;=Setup!$C$16),OR(MONTH(P31)&gt;=Setup!$C$15,MONTH(P31)&lt;=Setup!$C$16)),IF(Setup!$C$15&lt;=Setup!$C$16,AND(MONTH(WORKDAY(P31,-(Setup!$C$13+Setup!$G$34),Setup!$C$39:$C$50))&gt;=Setup!$C$15,MONTH(WORKDAY(P31,-(Setup!$C$13+Setup!$G$34),Setup!$C$39:$C$50))&lt;=Setup!$C$16),OR(MONTH(WORKDAY(P31,-(Setup!$C$13+Setup!$G$34),Setup!$C$39:$C$50))&gt;=Setup!$C$15,MONTH(WORKDAY(P31,-(Setup!$C$13+Setup!$G$34),Setup!$C$39:$C$50))&lt;=Setup!$C$16))),WORKDAY(P31,-(Setup!$C$13+Setup!$G$34+Setup!$C$14),Setup!$C$39:$C$50),WORKDAY(P31,-(Setup!$C$13+Setup!$G$34),Setup!$C$39:$C$50))+(26*100+15)/10000000)))</f>
        <v/>
      </c>
      <c r="AH31" t="str">
        <f t="shared" si="0"/>
        <v/>
      </c>
      <c r="AI31" t="str">
        <f t="shared" si="1"/>
        <v/>
      </c>
      <c r="AK31" t="str">
        <f ca="1">IF(26&gt;$AK$2,"",SMALL($R$6:$AF$505,26))</f>
        <v/>
      </c>
      <c r="AL31" t="str">
        <f t="shared" ca="1" si="2"/>
        <v/>
      </c>
      <c r="AM31" t="str">
        <f t="shared" ca="1" si="3"/>
        <v/>
      </c>
      <c r="AN31" t="str">
        <f t="shared" ca="1" si="4"/>
        <v/>
      </c>
      <c r="AP31" t="str">
        <f>IF(ISNUMBER(Roster!$B31),MAX(1,YEAR(Setup!$C$5)-YEAR(Roster!$B31)+IF(EDATE(Roster!$B31,12*(YEAR(Setup!$C$5)-YEAR(Roster!$B31)))&lt;Setup!$C$5,1,0)),"")</f>
        <v/>
      </c>
      <c r="AQ31" s="32" t="str">
        <f>IF(AP31="","",EDATE(Roster!$B31,12*AP31))</f>
        <v/>
      </c>
      <c r="AR31" t="str">
        <f>IF(AQ31="","",IF(AQ31&lt;DATE(YEAR(Setup!$C$5)+1,MONTH(Setup!$C$5),DAY(Setup!$C$5)),AQ31+26/1000,""))</f>
        <v/>
      </c>
      <c r="AS31" t="str">
        <f t="shared" si="5"/>
        <v/>
      </c>
      <c r="AT31" t="str">
        <f>IF(AS31="","",IF(ISNUMBER(Roster!$D31),Roster!$D31&gt;=AP31,FALSE))</f>
        <v/>
      </c>
      <c r="AU31" t="str">
        <f t="shared" si="6"/>
        <v/>
      </c>
      <c r="AV31" t="str">
        <f ca="1">IF(26&gt;$AV$2,"",SMALL($AR$6:$AR$505,26))</f>
        <v/>
      </c>
      <c r="AW31" t="str">
        <f t="shared" ca="1" si="7"/>
        <v/>
      </c>
      <c r="AY31">
        <f>IF(AND(Setup!$B$31="Yes",ISNUMBER(Setup!$C$31)),Setup!$C$31,"")</f>
        <v>50</v>
      </c>
      <c r="AZ31">
        <f t="shared" si="8"/>
        <v>1</v>
      </c>
    </row>
    <row r="32" spans="2:52" x14ac:dyDescent="0.2">
      <c r="B32" s="32" t="str">
        <f>IF(AND(ISNUMBER(Roster!$B32),Setup!$B$20="Yes",ISNUMBER(Setup!$C$20)),EDATE(Roster!$B32,12*Setup!$C$20),"")</f>
        <v/>
      </c>
      <c r="C32" s="32" t="str">
        <f>IF(AND(ISNUMBER(Roster!$B32),Setup!$B$21="Yes",ISNUMBER(Setup!$C$21)),EDATE(Roster!$B32,12*Setup!$C$21),"")</f>
        <v/>
      </c>
      <c r="D32" s="32" t="str">
        <f>IF(AND(ISNUMBER(Roster!$B32),Setup!$B$22="Yes",ISNUMBER(Setup!$C$22)),EDATE(Roster!$B32,12*Setup!$C$22),"")</f>
        <v/>
      </c>
      <c r="E32" s="32" t="str">
        <f>IF(AND(ISNUMBER(Roster!$B32),Setup!$B$23="Yes",ISNUMBER(Setup!$C$23)),EDATE(Roster!$B32,12*Setup!$C$23),"")</f>
        <v/>
      </c>
      <c r="F32" s="32" t="str">
        <f>IF(AND(ISNUMBER(Roster!$B32),Setup!$B$24="Yes",ISNUMBER(Setup!$C$24)),EDATE(Roster!$B32,12*Setup!$C$24),"")</f>
        <v/>
      </c>
      <c r="G32" s="32" t="str">
        <f>IF(AND(ISNUMBER(Roster!$B32),Setup!$B$25="Yes",ISNUMBER(Setup!$C$25)),EDATE(Roster!$B32,12*Setup!$C$25),"")</f>
        <v/>
      </c>
      <c r="H32" s="32" t="str">
        <f>IF(AND(ISNUMBER(Roster!$B32),Setup!$B$26="Yes",ISNUMBER(Setup!$C$26)),EDATE(Roster!$B32,12*Setup!$C$26),"")</f>
        <v/>
      </c>
      <c r="I32" s="32" t="str">
        <f>IF(AND(ISNUMBER(Roster!$B32),Setup!$B$27="Yes",ISNUMBER(Setup!$C$27)),EDATE(Roster!$B32,12*Setup!$C$27),"")</f>
        <v/>
      </c>
      <c r="J32" s="32" t="str">
        <f>IF(AND(ISNUMBER(Roster!$B32),Setup!$B$28="Yes",ISNUMBER(Setup!$C$28)),EDATE(Roster!$B32,12*Setup!$C$28),"")</f>
        <v/>
      </c>
      <c r="K32" s="32" t="str">
        <f>IF(AND(ISNUMBER(Roster!$B32),Setup!$B$29="Yes",ISNUMBER(Setup!$C$29)),EDATE(Roster!$B32,12*Setup!$C$29),"")</f>
        <v/>
      </c>
      <c r="L32" s="32" t="str">
        <f>IF(AND(ISNUMBER(Roster!$B32),Setup!$B$30="Yes",ISNUMBER(Setup!$C$30)),EDATE(Roster!$B32,12*Setup!$C$30),"")</f>
        <v/>
      </c>
      <c r="M32" s="32" t="str">
        <f>IF(AND(ISNUMBER(Roster!$B32),Setup!$B$31="Yes",ISNUMBER(Setup!$C$31)),EDATE(Roster!$B32,12*Setup!$C$31),"")</f>
        <v/>
      </c>
      <c r="N32" s="32" t="str">
        <f>IF(AND(ISNUMBER(Roster!$B32),Setup!$B$32="Yes",ISNUMBER(Setup!$C$32)),EDATE(Roster!$B32,12*Setup!$C$32),"")</f>
        <v/>
      </c>
      <c r="O32" s="32" t="str">
        <f>IF(AND(ISNUMBER(Roster!$B32),Setup!$B$33="Yes",ISNUMBER(Setup!$C$33)),EDATE(Roster!$B32,12*Setup!$C$33),"")</f>
        <v/>
      </c>
      <c r="P32" s="32" t="str">
        <f>IF(AND(ISNUMBER(Roster!$B32),Setup!$B$34="Yes",ISNUMBER(Setup!$C$34)),EDATE(Roster!$B32,12*Setup!$C$34),"")</f>
        <v/>
      </c>
      <c r="R32" t="str">
        <f>IF(B32="","",IF(B32&lt;Setup!$C$5-Setup!$C$6,"",IF(IF(ISNUMBER(Roster!$D32),Setup!$C$20&lt;=Roster!$D32,FALSE),"",IF(OR(IF(Setup!$C$15&lt;=Setup!$C$16,AND(MONTH(B32)&gt;=Setup!$C$15,MONTH(B32)&lt;=Setup!$C$16),OR(MONTH(B32)&gt;=Setup!$C$15,MONTH(B32)&lt;=Setup!$C$16)),IF(Setup!$C$15&lt;=Setup!$C$16,AND(MONTH(WORKDAY(B32,-(Setup!$C$13+Setup!$G$20),Setup!$C$39:$C$50))&gt;=Setup!$C$15,MONTH(WORKDAY(B32,-(Setup!$C$13+Setup!$G$20),Setup!$C$39:$C$50))&lt;=Setup!$C$16),OR(MONTH(WORKDAY(B32,-(Setup!$C$13+Setup!$G$20),Setup!$C$39:$C$50))&gt;=Setup!$C$15,MONTH(WORKDAY(B32,-(Setup!$C$13+Setup!$G$20),Setup!$C$39:$C$50))&lt;=Setup!$C$16))),WORKDAY(B32,-(Setup!$C$13+Setup!$G$20+Setup!$C$14),Setup!$C$39:$C$50),WORKDAY(B32,-(Setup!$C$13+Setup!$G$20),Setup!$C$39:$C$50))+(27*100+1)/10000000)))</f>
        <v/>
      </c>
      <c r="S32" t="str">
        <f>IF(C32="","",IF(C32&lt;Setup!$C$5-Setup!$C$6,"",IF(IF(ISNUMBER(Roster!$D32),Setup!$C$21&lt;=Roster!$D32,FALSE),"",IF(OR(IF(Setup!$C$15&lt;=Setup!$C$16,AND(MONTH(C32)&gt;=Setup!$C$15,MONTH(C32)&lt;=Setup!$C$16),OR(MONTH(C32)&gt;=Setup!$C$15,MONTH(C32)&lt;=Setup!$C$16)),IF(Setup!$C$15&lt;=Setup!$C$16,AND(MONTH(WORKDAY(C32,-(Setup!$C$13+Setup!$G$21),Setup!$C$39:$C$50))&gt;=Setup!$C$15,MONTH(WORKDAY(C32,-(Setup!$C$13+Setup!$G$21),Setup!$C$39:$C$50))&lt;=Setup!$C$16),OR(MONTH(WORKDAY(C32,-(Setup!$C$13+Setup!$G$21),Setup!$C$39:$C$50))&gt;=Setup!$C$15,MONTH(WORKDAY(C32,-(Setup!$C$13+Setup!$G$21),Setup!$C$39:$C$50))&lt;=Setup!$C$16))),WORKDAY(C32,-(Setup!$C$13+Setup!$G$21+Setup!$C$14),Setup!$C$39:$C$50),WORKDAY(C32,-(Setup!$C$13+Setup!$G$21),Setup!$C$39:$C$50))+(27*100+2)/10000000)))</f>
        <v/>
      </c>
      <c r="T32" t="str">
        <f>IF(D32="","",IF(D32&lt;Setup!$C$5-Setup!$C$6,"",IF(IF(ISNUMBER(Roster!$D32),Setup!$C$22&lt;=Roster!$D32,FALSE),"",IF(OR(IF(Setup!$C$15&lt;=Setup!$C$16,AND(MONTH(D32)&gt;=Setup!$C$15,MONTH(D32)&lt;=Setup!$C$16),OR(MONTH(D32)&gt;=Setup!$C$15,MONTH(D32)&lt;=Setup!$C$16)),IF(Setup!$C$15&lt;=Setup!$C$16,AND(MONTH(WORKDAY(D32,-(Setup!$C$13+Setup!$G$22),Setup!$C$39:$C$50))&gt;=Setup!$C$15,MONTH(WORKDAY(D32,-(Setup!$C$13+Setup!$G$22),Setup!$C$39:$C$50))&lt;=Setup!$C$16),OR(MONTH(WORKDAY(D32,-(Setup!$C$13+Setup!$G$22),Setup!$C$39:$C$50))&gt;=Setup!$C$15,MONTH(WORKDAY(D32,-(Setup!$C$13+Setup!$G$22),Setup!$C$39:$C$50))&lt;=Setup!$C$16))),WORKDAY(D32,-(Setup!$C$13+Setup!$G$22+Setup!$C$14),Setup!$C$39:$C$50),WORKDAY(D32,-(Setup!$C$13+Setup!$G$22),Setup!$C$39:$C$50))+(27*100+3)/10000000)))</f>
        <v/>
      </c>
      <c r="U32" t="str">
        <f>IF(E32="","",IF(E32&lt;Setup!$C$5-Setup!$C$6,"",IF(IF(ISNUMBER(Roster!$D32),Setup!$C$23&lt;=Roster!$D32,FALSE),"",IF(OR(IF(Setup!$C$15&lt;=Setup!$C$16,AND(MONTH(E32)&gt;=Setup!$C$15,MONTH(E32)&lt;=Setup!$C$16),OR(MONTH(E32)&gt;=Setup!$C$15,MONTH(E32)&lt;=Setup!$C$16)),IF(Setup!$C$15&lt;=Setup!$C$16,AND(MONTH(WORKDAY(E32,-(Setup!$C$13+Setup!$G$23),Setup!$C$39:$C$50))&gt;=Setup!$C$15,MONTH(WORKDAY(E32,-(Setup!$C$13+Setup!$G$23),Setup!$C$39:$C$50))&lt;=Setup!$C$16),OR(MONTH(WORKDAY(E32,-(Setup!$C$13+Setup!$G$23),Setup!$C$39:$C$50))&gt;=Setup!$C$15,MONTH(WORKDAY(E32,-(Setup!$C$13+Setup!$G$23),Setup!$C$39:$C$50))&lt;=Setup!$C$16))),WORKDAY(E32,-(Setup!$C$13+Setup!$G$23+Setup!$C$14),Setup!$C$39:$C$50),WORKDAY(E32,-(Setup!$C$13+Setup!$G$23),Setup!$C$39:$C$50))+(27*100+4)/10000000)))</f>
        <v/>
      </c>
      <c r="V32" t="str">
        <f>IF(F32="","",IF(F32&lt;Setup!$C$5-Setup!$C$6,"",IF(IF(ISNUMBER(Roster!$D32),Setup!$C$24&lt;=Roster!$D32,FALSE),"",IF(OR(IF(Setup!$C$15&lt;=Setup!$C$16,AND(MONTH(F32)&gt;=Setup!$C$15,MONTH(F32)&lt;=Setup!$C$16),OR(MONTH(F32)&gt;=Setup!$C$15,MONTH(F32)&lt;=Setup!$C$16)),IF(Setup!$C$15&lt;=Setup!$C$16,AND(MONTH(WORKDAY(F32,-(Setup!$C$13+Setup!$G$24),Setup!$C$39:$C$50))&gt;=Setup!$C$15,MONTH(WORKDAY(F32,-(Setup!$C$13+Setup!$G$24),Setup!$C$39:$C$50))&lt;=Setup!$C$16),OR(MONTH(WORKDAY(F32,-(Setup!$C$13+Setup!$G$24),Setup!$C$39:$C$50))&gt;=Setup!$C$15,MONTH(WORKDAY(F32,-(Setup!$C$13+Setup!$G$24),Setup!$C$39:$C$50))&lt;=Setup!$C$16))),WORKDAY(F32,-(Setup!$C$13+Setup!$G$24+Setup!$C$14),Setup!$C$39:$C$50),WORKDAY(F32,-(Setup!$C$13+Setup!$G$24),Setup!$C$39:$C$50))+(27*100+5)/10000000)))</f>
        <v/>
      </c>
      <c r="W32" t="str">
        <f>IF(G32="","",IF(G32&lt;Setup!$C$5-Setup!$C$6,"",IF(IF(ISNUMBER(Roster!$D32),Setup!$C$25&lt;=Roster!$D32,FALSE),"",IF(OR(IF(Setup!$C$15&lt;=Setup!$C$16,AND(MONTH(G32)&gt;=Setup!$C$15,MONTH(G32)&lt;=Setup!$C$16),OR(MONTH(G32)&gt;=Setup!$C$15,MONTH(G32)&lt;=Setup!$C$16)),IF(Setup!$C$15&lt;=Setup!$C$16,AND(MONTH(WORKDAY(G32,-(Setup!$C$13+Setup!$G$25),Setup!$C$39:$C$50))&gt;=Setup!$C$15,MONTH(WORKDAY(G32,-(Setup!$C$13+Setup!$G$25),Setup!$C$39:$C$50))&lt;=Setup!$C$16),OR(MONTH(WORKDAY(G32,-(Setup!$C$13+Setup!$G$25),Setup!$C$39:$C$50))&gt;=Setup!$C$15,MONTH(WORKDAY(G32,-(Setup!$C$13+Setup!$G$25),Setup!$C$39:$C$50))&lt;=Setup!$C$16))),WORKDAY(G32,-(Setup!$C$13+Setup!$G$25+Setup!$C$14),Setup!$C$39:$C$50),WORKDAY(G32,-(Setup!$C$13+Setup!$G$25),Setup!$C$39:$C$50))+(27*100+6)/10000000)))</f>
        <v/>
      </c>
      <c r="X32" t="str">
        <f>IF(H32="","",IF(H32&lt;Setup!$C$5-Setup!$C$6,"",IF(IF(ISNUMBER(Roster!$D32),Setup!$C$26&lt;=Roster!$D32,FALSE),"",IF(OR(IF(Setup!$C$15&lt;=Setup!$C$16,AND(MONTH(H32)&gt;=Setup!$C$15,MONTH(H32)&lt;=Setup!$C$16),OR(MONTH(H32)&gt;=Setup!$C$15,MONTH(H32)&lt;=Setup!$C$16)),IF(Setup!$C$15&lt;=Setup!$C$16,AND(MONTH(WORKDAY(H32,-(Setup!$C$13+Setup!$G$26),Setup!$C$39:$C$50))&gt;=Setup!$C$15,MONTH(WORKDAY(H32,-(Setup!$C$13+Setup!$G$26),Setup!$C$39:$C$50))&lt;=Setup!$C$16),OR(MONTH(WORKDAY(H32,-(Setup!$C$13+Setup!$G$26),Setup!$C$39:$C$50))&gt;=Setup!$C$15,MONTH(WORKDAY(H32,-(Setup!$C$13+Setup!$G$26),Setup!$C$39:$C$50))&lt;=Setup!$C$16))),WORKDAY(H32,-(Setup!$C$13+Setup!$G$26+Setup!$C$14),Setup!$C$39:$C$50),WORKDAY(H32,-(Setup!$C$13+Setup!$G$26),Setup!$C$39:$C$50))+(27*100+7)/10000000)))</f>
        <v/>
      </c>
      <c r="Y32" t="str">
        <f>IF(I32="","",IF(I32&lt;Setup!$C$5-Setup!$C$6,"",IF(IF(ISNUMBER(Roster!$D32),Setup!$C$27&lt;=Roster!$D32,FALSE),"",IF(OR(IF(Setup!$C$15&lt;=Setup!$C$16,AND(MONTH(I32)&gt;=Setup!$C$15,MONTH(I32)&lt;=Setup!$C$16),OR(MONTH(I32)&gt;=Setup!$C$15,MONTH(I32)&lt;=Setup!$C$16)),IF(Setup!$C$15&lt;=Setup!$C$16,AND(MONTH(WORKDAY(I32,-(Setup!$C$13+Setup!$G$27),Setup!$C$39:$C$50))&gt;=Setup!$C$15,MONTH(WORKDAY(I32,-(Setup!$C$13+Setup!$G$27),Setup!$C$39:$C$50))&lt;=Setup!$C$16),OR(MONTH(WORKDAY(I32,-(Setup!$C$13+Setup!$G$27),Setup!$C$39:$C$50))&gt;=Setup!$C$15,MONTH(WORKDAY(I32,-(Setup!$C$13+Setup!$G$27),Setup!$C$39:$C$50))&lt;=Setup!$C$16))),WORKDAY(I32,-(Setup!$C$13+Setup!$G$27+Setup!$C$14),Setup!$C$39:$C$50),WORKDAY(I32,-(Setup!$C$13+Setup!$G$27),Setup!$C$39:$C$50))+(27*100+8)/10000000)))</f>
        <v/>
      </c>
      <c r="Z32" t="str">
        <f>IF(J32="","",IF(J32&lt;Setup!$C$5-Setup!$C$6,"",IF(IF(ISNUMBER(Roster!$D32),Setup!$C$28&lt;=Roster!$D32,FALSE),"",IF(OR(IF(Setup!$C$15&lt;=Setup!$C$16,AND(MONTH(J32)&gt;=Setup!$C$15,MONTH(J32)&lt;=Setup!$C$16),OR(MONTH(J32)&gt;=Setup!$C$15,MONTH(J32)&lt;=Setup!$C$16)),IF(Setup!$C$15&lt;=Setup!$C$16,AND(MONTH(WORKDAY(J32,-(Setup!$C$13+Setup!$G$28),Setup!$C$39:$C$50))&gt;=Setup!$C$15,MONTH(WORKDAY(J32,-(Setup!$C$13+Setup!$G$28),Setup!$C$39:$C$50))&lt;=Setup!$C$16),OR(MONTH(WORKDAY(J32,-(Setup!$C$13+Setup!$G$28),Setup!$C$39:$C$50))&gt;=Setup!$C$15,MONTH(WORKDAY(J32,-(Setup!$C$13+Setup!$G$28),Setup!$C$39:$C$50))&lt;=Setup!$C$16))),WORKDAY(J32,-(Setup!$C$13+Setup!$G$28+Setup!$C$14),Setup!$C$39:$C$50),WORKDAY(J32,-(Setup!$C$13+Setup!$G$28),Setup!$C$39:$C$50))+(27*100+9)/10000000)))</f>
        <v/>
      </c>
      <c r="AA32" t="str">
        <f>IF(K32="","",IF(K32&lt;Setup!$C$5-Setup!$C$6,"",IF(IF(ISNUMBER(Roster!$D32),Setup!$C$29&lt;=Roster!$D32,FALSE),"",IF(OR(IF(Setup!$C$15&lt;=Setup!$C$16,AND(MONTH(K32)&gt;=Setup!$C$15,MONTH(K32)&lt;=Setup!$C$16),OR(MONTH(K32)&gt;=Setup!$C$15,MONTH(K32)&lt;=Setup!$C$16)),IF(Setup!$C$15&lt;=Setup!$C$16,AND(MONTH(WORKDAY(K32,-(Setup!$C$13+Setup!$G$29),Setup!$C$39:$C$50))&gt;=Setup!$C$15,MONTH(WORKDAY(K32,-(Setup!$C$13+Setup!$G$29),Setup!$C$39:$C$50))&lt;=Setup!$C$16),OR(MONTH(WORKDAY(K32,-(Setup!$C$13+Setup!$G$29),Setup!$C$39:$C$50))&gt;=Setup!$C$15,MONTH(WORKDAY(K32,-(Setup!$C$13+Setup!$G$29),Setup!$C$39:$C$50))&lt;=Setup!$C$16))),WORKDAY(K32,-(Setup!$C$13+Setup!$G$29+Setup!$C$14),Setup!$C$39:$C$50),WORKDAY(K32,-(Setup!$C$13+Setup!$G$29),Setup!$C$39:$C$50))+(27*100+10)/10000000)))</f>
        <v/>
      </c>
      <c r="AB32" t="str">
        <f>IF(L32="","",IF(L32&lt;Setup!$C$5-Setup!$C$6,"",IF(IF(ISNUMBER(Roster!$D32),Setup!$C$30&lt;=Roster!$D32,FALSE),"",IF(OR(IF(Setup!$C$15&lt;=Setup!$C$16,AND(MONTH(L32)&gt;=Setup!$C$15,MONTH(L32)&lt;=Setup!$C$16),OR(MONTH(L32)&gt;=Setup!$C$15,MONTH(L32)&lt;=Setup!$C$16)),IF(Setup!$C$15&lt;=Setup!$C$16,AND(MONTH(WORKDAY(L32,-(Setup!$C$13+Setup!$G$30),Setup!$C$39:$C$50))&gt;=Setup!$C$15,MONTH(WORKDAY(L32,-(Setup!$C$13+Setup!$G$30),Setup!$C$39:$C$50))&lt;=Setup!$C$16),OR(MONTH(WORKDAY(L32,-(Setup!$C$13+Setup!$G$30),Setup!$C$39:$C$50))&gt;=Setup!$C$15,MONTH(WORKDAY(L32,-(Setup!$C$13+Setup!$G$30),Setup!$C$39:$C$50))&lt;=Setup!$C$16))),WORKDAY(L32,-(Setup!$C$13+Setup!$G$30+Setup!$C$14),Setup!$C$39:$C$50),WORKDAY(L32,-(Setup!$C$13+Setup!$G$30),Setup!$C$39:$C$50))+(27*100+11)/10000000)))</f>
        <v/>
      </c>
      <c r="AC32" t="str">
        <f>IF(M32="","",IF(M32&lt;Setup!$C$5-Setup!$C$6,"",IF(IF(ISNUMBER(Roster!$D32),Setup!$C$31&lt;=Roster!$D32,FALSE),"",IF(OR(IF(Setup!$C$15&lt;=Setup!$C$16,AND(MONTH(M32)&gt;=Setup!$C$15,MONTH(M32)&lt;=Setup!$C$16),OR(MONTH(M32)&gt;=Setup!$C$15,MONTH(M32)&lt;=Setup!$C$16)),IF(Setup!$C$15&lt;=Setup!$C$16,AND(MONTH(WORKDAY(M32,-(Setup!$C$13+Setup!$G$31),Setup!$C$39:$C$50))&gt;=Setup!$C$15,MONTH(WORKDAY(M32,-(Setup!$C$13+Setup!$G$31),Setup!$C$39:$C$50))&lt;=Setup!$C$16),OR(MONTH(WORKDAY(M32,-(Setup!$C$13+Setup!$G$31),Setup!$C$39:$C$50))&gt;=Setup!$C$15,MONTH(WORKDAY(M32,-(Setup!$C$13+Setup!$G$31),Setup!$C$39:$C$50))&lt;=Setup!$C$16))),WORKDAY(M32,-(Setup!$C$13+Setup!$G$31+Setup!$C$14),Setup!$C$39:$C$50),WORKDAY(M32,-(Setup!$C$13+Setup!$G$31),Setup!$C$39:$C$50))+(27*100+12)/10000000)))</f>
        <v/>
      </c>
      <c r="AD32" t="str">
        <f>IF(N32="","",IF(N32&lt;Setup!$C$5-Setup!$C$6,"",IF(IF(ISNUMBER(Roster!$D32),Setup!$C$32&lt;=Roster!$D32,FALSE),"",IF(OR(IF(Setup!$C$15&lt;=Setup!$C$16,AND(MONTH(N32)&gt;=Setup!$C$15,MONTH(N32)&lt;=Setup!$C$16),OR(MONTH(N32)&gt;=Setup!$C$15,MONTH(N32)&lt;=Setup!$C$16)),IF(Setup!$C$15&lt;=Setup!$C$16,AND(MONTH(WORKDAY(N32,-(Setup!$C$13+Setup!$G$32),Setup!$C$39:$C$50))&gt;=Setup!$C$15,MONTH(WORKDAY(N32,-(Setup!$C$13+Setup!$G$32),Setup!$C$39:$C$50))&lt;=Setup!$C$16),OR(MONTH(WORKDAY(N32,-(Setup!$C$13+Setup!$G$32),Setup!$C$39:$C$50))&gt;=Setup!$C$15,MONTH(WORKDAY(N32,-(Setup!$C$13+Setup!$G$32),Setup!$C$39:$C$50))&lt;=Setup!$C$16))),WORKDAY(N32,-(Setup!$C$13+Setup!$G$32+Setup!$C$14),Setup!$C$39:$C$50),WORKDAY(N32,-(Setup!$C$13+Setup!$G$32),Setup!$C$39:$C$50))+(27*100+13)/10000000)))</f>
        <v/>
      </c>
      <c r="AE32" t="str">
        <f>IF(O32="","",IF(O32&lt;Setup!$C$5-Setup!$C$6,"",IF(IF(ISNUMBER(Roster!$D32),Setup!$C$33&lt;=Roster!$D32,FALSE),"",IF(OR(IF(Setup!$C$15&lt;=Setup!$C$16,AND(MONTH(O32)&gt;=Setup!$C$15,MONTH(O32)&lt;=Setup!$C$16),OR(MONTH(O32)&gt;=Setup!$C$15,MONTH(O32)&lt;=Setup!$C$16)),IF(Setup!$C$15&lt;=Setup!$C$16,AND(MONTH(WORKDAY(O32,-(Setup!$C$13+Setup!$G$33),Setup!$C$39:$C$50))&gt;=Setup!$C$15,MONTH(WORKDAY(O32,-(Setup!$C$13+Setup!$G$33),Setup!$C$39:$C$50))&lt;=Setup!$C$16),OR(MONTH(WORKDAY(O32,-(Setup!$C$13+Setup!$G$33),Setup!$C$39:$C$50))&gt;=Setup!$C$15,MONTH(WORKDAY(O32,-(Setup!$C$13+Setup!$G$33),Setup!$C$39:$C$50))&lt;=Setup!$C$16))),WORKDAY(O32,-(Setup!$C$13+Setup!$G$33+Setup!$C$14),Setup!$C$39:$C$50),WORKDAY(O32,-(Setup!$C$13+Setup!$G$33),Setup!$C$39:$C$50))+(27*100+14)/10000000)))</f>
        <v/>
      </c>
      <c r="AF32" t="str">
        <f>IF(P32="","",IF(P32&lt;Setup!$C$5-Setup!$C$6,"",IF(IF(ISNUMBER(Roster!$D32),Setup!$C$34&lt;=Roster!$D32,FALSE),"",IF(OR(IF(Setup!$C$15&lt;=Setup!$C$16,AND(MONTH(P32)&gt;=Setup!$C$15,MONTH(P32)&lt;=Setup!$C$16),OR(MONTH(P32)&gt;=Setup!$C$15,MONTH(P32)&lt;=Setup!$C$16)),IF(Setup!$C$15&lt;=Setup!$C$16,AND(MONTH(WORKDAY(P32,-(Setup!$C$13+Setup!$G$34),Setup!$C$39:$C$50))&gt;=Setup!$C$15,MONTH(WORKDAY(P32,-(Setup!$C$13+Setup!$G$34),Setup!$C$39:$C$50))&lt;=Setup!$C$16),OR(MONTH(WORKDAY(P32,-(Setup!$C$13+Setup!$G$34),Setup!$C$39:$C$50))&gt;=Setup!$C$15,MONTH(WORKDAY(P32,-(Setup!$C$13+Setup!$G$34),Setup!$C$39:$C$50))&lt;=Setup!$C$16))),WORKDAY(P32,-(Setup!$C$13+Setup!$G$34+Setup!$C$14),Setup!$C$39:$C$50),WORKDAY(P32,-(Setup!$C$13+Setup!$G$34),Setup!$C$39:$C$50))+(27*100+15)/10000000)))</f>
        <v/>
      </c>
      <c r="AH32" t="str">
        <f t="shared" si="0"/>
        <v/>
      </c>
      <c r="AI32" t="str">
        <f t="shared" si="1"/>
        <v/>
      </c>
      <c r="AK32" t="str">
        <f ca="1">IF(27&gt;$AK$2,"",SMALL($R$6:$AF$505,27))</f>
        <v/>
      </c>
      <c r="AL32" t="str">
        <f t="shared" ca="1" si="2"/>
        <v/>
      </c>
      <c r="AM32" t="str">
        <f t="shared" ca="1" si="3"/>
        <v/>
      </c>
      <c r="AN32" t="str">
        <f t="shared" ca="1" si="4"/>
        <v/>
      </c>
      <c r="AP32" t="str">
        <f>IF(ISNUMBER(Roster!$B32),MAX(1,YEAR(Setup!$C$5)-YEAR(Roster!$B32)+IF(EDATE(Roster!$B32,12*(YEAR(Setup!$C$5)-YEAR(Roster!$B32)))&lt;Setup!$C$5,1,0)),"")</f>
        <v/>
      </c>
      <c r="AQ32" s="32" t="str">
        <f>IF(AP32="","",EDATE(Roster!$B32,12*AP32))</f>
        <v/>
      </c>
      <c r="AR32" t="str">
        <f>IF(AQ32="","",IF(AQ32&lt;DATE(YEAR(Setup!$C$5)+1,MONTH(Setup!$C$5),DAY(Setup!$C$5)),AQ32+27/1000,""))</f>
        <v/>
      </c>
      <c r="AS32" t="str">
        <f t="shared" si="5"/>
        <v/>
      </c>
      <c r="AT32" t="str">
        <f>IF(AS32="","",IF(ISNUMBER(Roster!$D32),Roster!$D32&gt;=AP32,FALSE))</f>
        <v/>
      </c>
      <c r="AU32" t="str">
        <f t="shared" si="6"/>
        <v/>
      </c>
      <c r="AV32" t="str">
        <f ca="1">IF(27&gt;$AV$2,"",SMALL($AR$6:$AR$505,27))</f>
        <v/>
      </c>
      <c r="AW32" t="str">
        <f t="shared" ca="1" si="7"/>
        <v/>
      </c>
      <c r="AY32" t="str">
        <f>IF(AND(Setup!$B$32="Yes",ISNUMBER(Setup!$C$32)),Setup!$C$32,"")</f>
        <v/>
      </c>
      <c r="AZ32" t="str">
        <f t="shared" si="8"/>
        <v/>
      </c>
    </row>
    <row r="33" spans="2:52" x14ac:dyDescent="0.2">
      <c r="B33" s="32" t="str">
        <f>IF(AND(ISNUMBER(Roster!$B33),Setup!$B$20="Yes",ISNUMBER(Setup!$C$20)),EDATE(Roster!$B33,12*Setup!$C$20),"")</f>
        <v/>
      </c>
      <c r="C33" s="32" t="str">
        <f>IF(AND(ISNUMBER(Roster!$B33),Setup!$B$21="Yes",ISNUMBER(Setup!$C$21)),EDATE(Roster!$B33,12*Setup!$C$21),"")</f>
        <v/>
      </c>
      <c r="D33" s="32" t="str">
        <f>IF(AND(ISNUMBER(Roster!$B33),Setup!$B$22="Yes",ISNUMBER(Setup!$C$22)),EDATE(Roster!$B33,12*Setup!$C$22),"")</f>
        <v/>
      </c>
      <c r="E33" s="32" t="str">
        <f>IF(AND(ISNUMBER(Roster!$B33),Setup!$B$23="Yes",ISNUMBER(Setup!$C$23)),EDATE(Roster!$B33,12*Setup!$C$23),"")</f>
        <v/>
      </c>
      <c r="F33" s="32" t="str">
        <f>IF(AND(ISNUMBER(Roster!$B33),Setup!$B$24="Yes",ISNUMBER(Setup!$C$24)),EDATE(Roster!$B33,12*Setup!$C$24),"")</f>
        <v/>
      </c>
      <c r="G33" s="32" t="str">
        <f>IF(AND(ISNUMBER(Roster!$B33),Setup!$B$25="Yes",ISNUMBER(Setup!$C$25)),EDATE(Roster!$B33,12*Setup!$C$25),"")</f>
        <v/>
      </c>
      <c r="H33" s="32" t="str">
        <f>IF(AND(ISNUMBER(Roster!$B33),Setup!$B$26="Yes",ISNUMBER(Setup!$C$26)),EDATE(Roster!$B33,12*Setup!$C$26),"")</f>
        <v/>
      </c>
      <c r="I33" s="32" t="str">
        <f>IF(AND(ISNUMBER(Roster!$B33),Setup!$B$27="Yes",ISNUMBER(Setup!$C$27)),EDATE(Roster!$B33,12*Setup!$C$27),"")</f>
        <v/>
      </c>
      <c r="J33" s="32" t="str">
        <f>IF(AND(ISNUMBER(Roster!$B33),Setup!$B$28="Yes",ISNUMBER(Setup!$C$28)),EDATE(Roster!$B33,12*Setup!$C$28),"")</f>
        <v/>
      </c>
      <c r="K33" s="32" t="str">
        <f>IF(AND(ISNUMBER(Roster!$B33),Setup!$B$29="Yes",ISNUMBER(Setup!$C$29)),EDATE(Roster!$B33,12*Setup!$C$29),"")</f>
        <v/>
      </c>
      <c r="L33" s="32" t="str">
        <f>IF(AND(ISNUMBER(Roster!$B33),Setup!$B$30="Yes",ISNUMBER(Setup!$C$30)),EDATE(Roster!$B33,12*Setup!$C$30),"")</f>
        <v/>
      </c>
      <c r="M33" s="32" t="str">
        <f>IF(AND(ISNUMBER(Roster!$B33),Setup!$B$31="Yes",ISNUMBER(Setup!$C$31)),EDATE(Roster!$B33,12*Setup!$C$31),"")</f>
        <v/>
      </c>
      <c r="N33" s="32" t="str">
        <f>IF(AND(ISNUMBER(Roster!$B33),Setup!$B$32="Yes",ISNUMBER(Setup!$C$32)),EDATE(Roster!$B33,12*Setup!$C$32),"")</f>
        <v/>
      </c>
      <c r="O33" s="32" t="str">
        <f>IF(AND(ISNUMBER(Roster!$B33),Setup!$B$33="Yes",ISNUMBER(Setup!$C$33)),EDATE(Roster!$B33,12*Setup!$C$33),"")</f>
        <v/>
      </c>
      <c r="P33" s="32" t="str">
        <f>IF(AND(ISNUMBER(Roster!$B33),Setup!$B$34="Yes",ISNUMBER(Setup!$C$34)),EDATE(Roster!$B33,12*Setup!$C$34),"")</f>
        <v/>
      </c>
      <c r="R33" t="str">
        <f>IF(B33="","",IF(B33&lt;Setup!$C$5-Setup!$C$6,"",IF(IF(ISNUMBER(Roster!$D33),Setup!$C$20&lt;=Roster!$D33,FALSE),"",IF(OR(IF(Setup!$C$15&lt;=Setup!$C$16,AND(MONTH(B33)&gt;=Setup!$C$15,MONTH(B33)&lt;=Setup!$C$16),OR(MONTH(B33)&gt;=Setup!$C$15,MONTH(B33)&lt;=Setup!$C$16)),IF(Setup!$C$15&lt;=Setup!$C$16,AND(MONTH(WORKDAY(B33,-(Setup!$C$13+Setup!$G$20),Setup!$C$39:$C$50))&gt;=Setup!$C$15,MONTH(WORKDAY(B33,-(Setup!$C$13+Setup!$G$20),Setup!$C$39:$C$50))&lt;=Setup!$C$16),OR(MONTH(WORKDAY(B33,-(Setup!$C$13+Setup!$G$20),Setup!$C$39:$C$50))&gt;=Setup!$C$15,MONTH(WORKDAY(B33,-(Setup!$C$13+Setup!$G$20),Setup!$C$39:$C$50))&lt;=Setup!$C$16))),WORKDAY(B33,-(Setup!$C$13+Setup!$G$20+Setup!$C$14),Setup!$C$39:$C$50),WORKDAY(B33,-(Setup!$C$13+Setup!$G$20),Setup!$C$39:$C$50))+(28*100+1)/10000000)))</f>
        <v/>
      </c>
      <c r="S33" t="str">
        <f>IF(C33="","",IF(C33&lt;Setup!$C$5-Setup!$C$6,"",IF(IF(ISNUMBER(Roster!$D33),Setup!$C$21&lt;=Roster!$D33,FALSE),"",IF(OR(IF(Setup!$C$15&lt;=Setup!$C$16,AND(MONTH(C33)&gt;=Setup!$C$15,MONTH(C33)&lt;=Setup!$C$16),OR(MONTH(C33)&gt;=Setup!$C$15,MONTH(C33)&lt;=Setup!$C$16)),IF(Setup!$C$15&lt;=Setup!$C$16,AND(MONTH(WORKDAY(C33,-(Setup!$C$13+Setup!$G$21),Setup!$C$39:$C$50))&gt;=Setup!$C$15,MONTH(WORKDAY(C33,-(Setup!$C$13+Setup!$G$21),Setup!$C$39:$C$50))&lt;=Setup!$C$16),OR(MONTH(WORKDAY(C33,-(Setup!$C$13+Setup!$G$21),Setup!$C$39:$C$50))&gt;=Setup!$C$15,MONTH(WORKDAY(C33,-(Setup!$C$13+Setup!$G$21),Setup!$C$39:$C$50))&lt;=Setup!$C$16))),WORKDAY(C33,-(Setup!$C$13+Setup!$G$21+Setup!$C$14),Setup!$C$39:$C$50),WORKDAY(C33,-(Setup!$C$13+Setup!$G$21),Setup!$C$39:$C$50))+(28*100+2)/10000000)))</f>
        <v/>
      </c>
      <c r="T33" t="str">
        <f>IF(D33="","",IF(D33&lt;Setup!$C$5-Setup!$C$6,"",IF(IF(ISNUMBER(Roster!$D33),Setup!$C$22&lt;=Roster!$D33,FALSE),"",IF(OR(IF(Setup!$C$15&lt;=Setup!$C$16,AND(MONTH(D33)&gt;=Setup!$C$15,MONTH(D33)&lt;=Setup!$C$16),OR(MONTH(D33)&gt;=Setup!$C$15,MONTH(D33)&lt;=Setup!$C$16)),IF(Setup!$C$15&lt;=Setup!$C$16,AND(MONTH(WORKDAY(D33,-(Setup!$C$13+Setup!$G$22),Setup!$C$39:$C$50))&gt;=Setup!$C$15,MONTH(WORKDAY(D33,-(Setup!$C$13+Setup!$G$22),Setup!$C$39:$C$50))&lt;=Setup!$C$16),OR(MONTH(WORKDAY(D33,-(Setup!$C$13+Setup!$G$22),Setup!$C$39:$C$50))&gt;=Setup!$C$15,MONTH(WORKDAY(D33,-(Setup!$C$13+Setup!$G$22),Setup!$C$39:$C$50))&lt;=Setup!$C$16))),WORKDAY(D33,-(Setup!$C$13+Setup!$G$22+Setup!$C$14),Setup!$C$39:$C$50),WORKDAY(D33,-(Setup!$C$13+Setup!$G$22),Setup!$C$39:$C$50))+(28*100+3)/10000000)))</f>
        <v/>
      </c>
      <c r="U33" t="str">
        <f>IF(E33="","",IF(E33&lt;Setup!$C$5-Setup!$C$6,"",IF(IF(ISNUMBER(Roster!$D33),Setup!$C$23&lt;=Roster!$D33,FALSE),"",IF(OR(IF(Setup!$C$15&lt;=Setup!$C$16,AND(MONTH(E33)&gt;=Setup!$C$15,MONTH(E33)&lt;=Setup!$C$16),OR(MONTH(E33)&gt;=Setup!$C$15,MONTH(E33)&lt;=Setup!$C$16)),IF(Setup!$C$15&lt;=Setup!$C$16,AND(MONTH(WORKDAY(E33,-(Setup!$C$13+Setup!$G$23),Setup!$C$39:$C$50))&gt;=Setup!$C$15,MONTH(WORKDAY(E33,-(Setup!$C$13+Setup!$G$23),Setup!$C$39:$C$50))&lt;=Setup!$C$16),OR(MONTH(WORKDAY(E33,-(Setup!$C$13+Setup!$G$23),Setup!$C$39:$C$50))&gt;=Setup!$C$15,MONTH(WORKDAY(E33,-(Setup!$C$13+Setup!$G$23),Setup!$C$39:$C$50))&lt;=Setup!$C$16))),WORKDAY(E33,-(Setup!$C$13+Setup!$G$23+Setup!$C$14),Setup!$C$39:$C$50),WORKDAY(E33,-(Setup!$C$13+Setup!$G$23),Setup!$C$39:$C$50))+(28*100+4)/10000000)))</f>
        <v/>
      </c>
      <c r="V33" t="str">
        <f>IF(F33="","",IF(F33&lt;Setup!$C$5-Setup!$C$6,"",IF(IF(ISNUMBER(Roster!$D33),Setup!$C$24&lt;=Roster!$D33,FALSE),"",IF(OR(IF(Setup!$C$15&lt;=Setup!$C$16,AND(MONTH(F33)&gt;=Setup!$C$15,MONTH(F33)&lt;=Setup!$C$16),OR(MONTH(F33)&gt;=Setup!$C$15,MONTH(F33)&lt;=Setup!$C$16)),IF(Setup!$C$15&lt;=Setup!$C$16,AND(MONTH(WORKDAY(F33,-(Setup!$C$13+Setup!$G$24),Setup!$C$39:$C$50))&gt;=Setup!$C$15,MONTH(WORKDAY(F33,-(Setup!$C$13+Setup!$G$24),Setup!$C$39:$C$50))&lt;=Setup!$C$16),OR(MONTH(WORKDAY(F33,-(Setup!$C$13+Setup!$G$24),Setup!$C$39:$C$50))&gt;=Setup!$C$15,MONTH(WORKDAY(F33,-(Setup!$C$13+Setup!$G$24),Setup!$C$39:$C$50))&lt;=Setup!$C$16))),WORKDAY(F33,-(Setup!$C$13+Setup!$G$24+Setup!$C$14),Setup!$C$39:$C$50),WORKDAY(F33,-(Setup!$C$13+Setup!$G$24),Setup!$C$39:$C$50))+(28*100+5)/10000000)))</f>
        <v/>
      </c>
      <c r="W33" t="str">
        <f>IF(G33="","",IF(G33&lt;Setup!$C$5-Setup!$C$6,"",IF(IF(ISNUMBER(Roster!$D33),Setup!$C$25&lt;=Roster!$D33,FALSE),"",IF(OR(IF(Setup!$C$15&lt;=Setup!$C$16,AND(MONTH(G33)&gt;=Setup!$C$15,MONTH(G33)&lt;=Setup!$C$16),OR(MONTH(G33)&gt;=Setup!$C$15,MONTH(G33)&lt;=Setup!$C$16)),IF(Setup!$C$15&lt;=Setup!$C$16,AND(MONTH(WORKDAY(G33,-(Setup!$C$13+Setup!$G$25),Setup!$C$39:$C$50))&gt;=Setup!$C$15,MONTH(WORKDAY(G33,-(Setup!$C$13+Setup!$G$25),Setup!$C$39:$C$50))&lt;=Setup!$C$16),OR(MONTH(WORKDAY(G33,-(Setup!$C$13+Setup!$G$25),Setup!$C$39:$C$50))&gt;=Setup!$C$15,MONTH(WORKDAY(G33,-(Setup!$C$13+Setup!$G$25),Setup!$C$39:$C$50))&lt;=Setup!$C$16))),WORKDAY(G33,-(Setup!$C$13+Setup!$G$25+Setup!$C$14),Setup!$C$39:$C$50),WORKDAY(G33,-(Setup!$C$13+Setup!$G$25),Setup!$C$39:$C$50))+(28*100+6)/10000000)))</f>
        <v/>
      </c>
      <c r="X33" t="str">
        <f>IF(H33="","",IF(H33&lt;Setup!$C$5-Setup!$C$6,"",IF(IF(ISNUMBER(Roster!$D33),Setup!$C$26&lt;=Roster!$D33,FALSE),"",IF(OR(IF(Setup!$C$15&lt;=Setup!$C$16,AND(MONTH(H33)&gt;=Setup!$C$15,MONTH(H33)&lt;=Setup!$C$16),OR(MONTH(H33)&gt;=Setup!$C$15,MONTH(H33)&lt;=Setup!$C$16)),IF(Setup!$C$15&lt;=Setup!$C$16,AND(MONTH(WORKDAY(H33,-(Setup!$C$13+Setup!$G$26),Setup!$C$39:$C$50))&gt;=Setup!$C$15,MONTH(WORKDAY(H33,-(Setup!$C$13+Setup!$G$26),Setup!$C$39:$C$50))&lt;=Setup!$C$16),OR(MONTH(WORKDAY(H33,-(Setup!$C$13+Setup!$G$26),Setup!$C$39:$C$50))&gt;=Setup!$C$15,MONTH(WORKDAY(H33,-(Setup!$C$13+Setup!$G$26),Setup!$C$39:$C$50))&lt;=Setup!$C$16))),WORKDAY(H33,-(Setup!$C$13+Setup!$G$26+Setup!$C$14),Setup!$C$39:$C$50),WORKDAY(H33,-(Setup!$C$13+Setup!$G$26),Setup!$C$39:$C$50))+(28*100+7)/10000000)))</f>
        <v/>
      </c>
      <c r="Y33" t="str">
        <f>IF(I33="","",IF(I33&lt;Setup!$C$5-Setup!$C$6,"",IF(IF(ISNUMBER(Roster!$D33),Setup!$C$27&lt;=Roster!$D33,FALSE),"",IF(OR(IF(Setup!$C$15&lt;=Setup!$C$16,AND(MONTH(I33)&gt;=Setup!$C$15,MONTH(I33)&lt;=Setup!$C$16),OR(MONTH(I33)&gt;=Setup!$C$15,MONTH(I33)&lt;=Setup!$C$16)),IF(Setup!$C$15&lt;=Setup!$C$16,AND(MONTH(WORKDAY(I33,-(Setup!$C$13+Setup!$G$27),Setup!$C$39:$C$50))&gt;=Setup!$C$15,MONTH(WORKDAY(I33,-(Setup!$C$13+Setup!$G$27),Setup!$C$39:$C$50))&lt;=Setup!$C$16),OR(MONTH(WORKDAY(I33,-(Setup!$C$13+Setup!$G$27),Setup!$C$39:$C$50))&gt;=Setup!$C$15,MONTH(WORKDAY(I33,-(Setup!$C$13+Setup!$G$27),Setup!$C$39:$C$50))&lt;=Setup!$C$16))),WORKDAY(I33,-(Setup!$C$13+Setup!$G$27+Setup!$C$14),Setup!$C$39:$C$50),WORKDAY(I33,-(Setup!$C$13+Setup!$G$27),Setup!$C$39:$C$50))+(28*100+8)/10000000)))</f>
        <v/>
      </c>
      <c r="Z33" t="str">
        <f>IF(J33="","",IF(J33&lt;Setup!$C$5-Setup!$C$6,"",IF(IF(ISNUMBER(Roster!$D33),Setup!$C$28&lt;=Roster!$D33,FALSE),"",IF(OR(IF(Setup!$C$15&lt;=Setup!$C$16,AND(MONTH(J33)&gt;=Setup!$C$15,MONTH(J33)&lt;=Setup!$C$16),OR(MONTH(J33)&gt;=Setup!$C$15,MONTH(J33)&lt;=Setup!$C$16)),IF(Setup!$C$15&lt;=Setup!$C$16,AND(MONTH(WORKDAY(J33,-(Setup!$C$13+Setup!$G$28),Setup!$C$39:$C$50))&gt;=Setup!$C$15,MONTH(WORKDAY(J33,-(Setup!$C$13+Setup!$G$28),Setup!$C$39:$C$50))&lt;=Setup!$C$16),OR(MONTH(WORKDAY(J33,-(Setup!$C$13+Setup!$G$28),Setup!$C$39:$C$50))&gt;=Setup!$C$15,MONTH(WORKDAY(J33,-(Setup!$C$13+Setup!$G$28),Setup!$C$39:$C$50))&lt;=Setup!$C$16))),WORKDAY(J33,-(Setup!$C$13+Setup!$G$28+Setup!$C$14),Setup!$C$39:$C$50),WORKDAY(J33,-(Setup!$C$13+Setup!$G$28),Setup!$C$39:$C$50))+(28*100+9)/10000000)))</f>
        <v/>
      </c>
      <c r="AA33" t="str">
        <f>IF(K33="","",IF(K33&lt;Setup!$C$5-Setup!$C$6,"",IF(IF(ISNUMBER(Roster!$D33),Setup!$C$29&lt;=Roster!$D33,FALSE),"",IF(OR(IF(Setup!$C$15&lt;=Setup!$C$16,AND(MONTH(K33)&gt;=Setup!$C$15,MONTH(K33)&lt;=Setup!$C$16),OR(MONTH(K33)&gt;=Setup!$C$15,MONTH(K33)&lt;=Setup!$C$16)),IF(Setup!$C$15&lt;=Setup!$C$16,AND(MONTH(WORKDAY(K33,-(Setup!$C$13+Setup!$G$29),Setup!$C$39:$C$50))&gt;=Setup!$C$15,MONTH(WORKDAY(K33,-(Setup!$C$13+Setup!$G$29),Setup!$C$39:$C$50))&lt;=Setup!$C$16),OR(MONTH(WORKDAY(K33,-(Setup!$C$13+Setup!$G$29),Setup!$C$39:$C$50))&gt;=Setup!$C$15,MONTH(WORKDAY(K33,-(Setup!$C$13+Setup!$G$29),Setup!$C$39:$C$50))&lt;=Setup!$C$16))),WORKDAY(K33,-(Setup!$C$13+Setup!$G$29+Setup!$C$14),Setup!$C$39:$C$50),WORKDAY(K33,-(Setup!$C$13+Setup!$G$29),Setup!$C$39:$C$50))+(28*100+10)/10000000)))</f>
        <v/>
      </c>
      <c r="AB33" t="str">
        <f>IF(L33="","",IF(L33&lt;Setup!$C$5-Setup!$C$6,"",IF(IF(ISNUMBER(Roster!$D33),Setup!$C$30&lt;=Roster!$D33,FALSE),"",IF(OR(IF(Setup!$C$15&lt;=Setup!$C$16,AND(MONTH(L33)&gt;=Setup!$C$15,MONTH(L33)&lt;=Setup!$C$16),OR(MONTH(L33)&gt;=Setup!$C$15,MONTH(L33)&lt;=Setup!$C$16)),IF(Setup!$C$15&lt;=Setup!$C$16,AND(MONTH(WORKDAY(L33,-(Setup!$C$13+Setup!$G$30),Setup!$C$39:$C$50))&gt;=Setup!$C$15,MONTH(WORKDAY(L33,-(Setup!$C$13+Setup!$G$30),Setup!$C$39:$C$50))&lt;=Setup!$C$16),OR(MONTH(WORKDAY(L33,-(Setup!$C$13+Setup!$G$30),Setup!$C$39:$C$50))&gt;=Setup!$C$15,MONTH(WORKDAY(L33,-(Setup!$C$13+Setup!$G$30),Setup!$C$39:$C$50))&lt;=Setup!$C$16))),WORKDAY(L33,-(Setup!$C$13+Setup!$G$30+Setup!$C$14),Setup!$C$39:$C$50),WORKDAY(L33,-(Setup!$C$13+Setup!$G$30),Setup!$C$39:$C$50))+(28*100+11)/10000000)))</f>
        <v/>
      </c>
      <c r="AC33" t="str">
        <f>IF(M33="","",IF(M33&lt;Setup!$C$5-Setup!$C$6,"",IF(IF(ISNUMBER(Roster!$D33),Setup!$C$31&lt;=Roster!$D33,FALSE),"",IF(OR(IF(Setup!$C$15&lt;=Setup!$C$16,AND(MONTH(M33)&gt;=Setup!$C$15,MONTH(M33)&lt;=Setup!$C$16),OR(MONTH(M33)&gt;=Setup!$C$15,MONTH(M33)&lt;=Setup!$C$16)),IF(Setup!$C$15&lt;=Setup!$C$16,AND(MONTH(WORKDAY(M33,-(Setup!$C$13+Setup!$G$31),Setup!$C$39:$C$50))&gt;=Setup!$C$15,MONTH(WORKDAY(M33,-(Setup!$C$13+Setup!$G$31),Setup!$C$39:$C$50))&lt;=Setup!$C$16),OR(MONTH(WORKDAY(M33,-(Setup!$C$13+Setup!$G$31),Setup!$C$39:$C$50))&gt;=Setup!$C$15,MONTH(WORKDAY(M33,-(Setup!$C$13+Setup!$G$31),Setup!$C$39:$C$50))&lt;=Setup!$C$16))),WORKDAY(M33,-(Setup!$C$13+Setup!$G$31+Setup!$C$14),Setup!$C$39:$C$50),WORKDAY(M33,-(Setup!$C$13+Setup!$G$31),Setup!$C$39:$C$50))+(28*100+12)/10000000)))</f>
        <v/>
      </c>
      <c r="AD33" t="str">
        <f>IF(N33="","",IF(N33&lt;Setup!$C$5-Setup!$C$6,"",IF(IF(ISNUMBER(Roster!$D33),Setup!$C$32&lt;=Roster!$D33,FALSE),"",IF(OR(IF(Setup!$C$15&lt;=Setup!$C$16,AND(MONTH(N33)&gt;=Setup!$C$15,MONTH(N33)&lt;=Setup!$C$16),OR(MONTH(N33)&gt;=Setup!$C$15,MONTH(N33)&lt;=Setup!$C$16)),IF(Setup!$C$15&lt;=Setup!$C$16,AND(MONTH(WORKDAY(N33,-(Setup!$C$13+Setup!$G$32),Setup!$C$39:$C$50))&gt;=Setup!$C$15,MONTH(WORKDAY(N33,-(Setup!$C$13+Setup!$G$32),Setup!$C$39:$C$50))&lt;=Setup!$C$16),OR(MONTH(WORKDAY(N33,-(Setup!$C$13+Setup!$G$32),Setup!$C$39:$C$50))&gt;=Setup!$C$15,MONTH(WORKDAY(N33,-(Setup!$C$13+Setup!$G$32),Setup!$C$39:$C$50))&lt;=Setup!$C$16))),WORKDAY(N33,-(Setup!$C$13+Setup!$G$32+Setup!$C$14),Setup!$C$39:$C$50),WORKDAY(N33,-(Setup!$C$13+Setup!$G$32),Setup!$C$39:$C$50))+(28*100+13)/10000000)))</f>
        <v/>
      </c>
      <c r="AE33" t="str">
        <f>IF(O33="","",IF(O33&lt;Setup!$C$5-Setup!$C$6,"",IF(IF(ISNUMBER(Roster!$D33),Setup!$C$33&lt;=Roster!$D33,FALSE),"",IF(OR(IF(Setup!$C$15&lt;=Setup!$C$16,AND(MONTH(O33)&gt;=Setup!$C$15,MONTH(O33)&lt;=Setup!$C$16),OR(MONTH(O33)&gt;=Setup!$C$15,MONTH(O33)&lt;=Setup!$C$16)),IF(Setup!$C$15&lt;=Setup!$C$16,AND(MONTH(WORKDAY(O33,-(Setup!$C$13+Setup!$G$33),Setup!$C$39:$C$50))&gt;=Setup!$C$15,MONTH(WORKDAY(O33,-(Setup!$C$13+Setup!$G$33),Setup!$C$39:$C$50))&lt;=Setup!$C$16),OR(MONTH(WORKDAY(O33,-(Setup!$C$13+Setup!$G$33),Setup!$C$39:$C$50))&gt;=Setup!$C$15,MONTH(WORKDAY(O33,-(Setup!$C$13+Setup!$G$33),Setup!$C$39:$C$50))&lt;=Setup!$C$16))),WORKDAY(O33,-(Setup!$C$13+Setup!$G$33+Setup!$C$14),Setup!$C$39:$C$50),WORKDAY(O33,-(Setup!$C$13+Setup!$G$33),Setup!$C$39:$C$50))+(28*100+14)/10000000)))</f>
        <v/>
      </c>
      <c r="AF33" t="str">
        <f>IF(P33="","",IF(P33&lt;Setup!$C$5-Setup!$C$6,"",IF(IF(ISNUMBER(Roster!$D33),Setup!$C$34&lt;=Roster!$D33,FALSE),"",IF(OR(IF(Setup!$C$15&lt;=Setup!$C$16,AND(MONTH(P33)&gt;=Setup!$C$15,MONTH(P33)&lt;=Setup!$C$16),OR(MONTH(P33)&gt;=Setup!$C$15,MONTH(P33)&lt;=Setup!$C$16)),IF(Setup!$C$15&lt;=Setup!$C$16,AND(MONTH(WORKDAY(P33,-(Setup!$C$13+Setup!$G$34),Setup!$C$39:$C$50))&gt;=Setup!$C$15,MONTH(WORKDAY(P33,-(Setup!$C$13+Setup!$G$34),Setup!$C$39:$C$50))&lt;=Setup!$C$16),OR(MONTH(WORKDAY(P33,-(Setup!$C$13+Setup!$G$34),Setup!$C$39:$C$50))&gt;=Setup!$C$15,MONTH(WORKDAY(P33,-(Setup!$C$13+Setup!$G$34),Setup!$C$39:$C$50))&lt;=Setup!$C$16))),WORKDAY(P33,-(Setup!$C$13+Setup!$G$34+Setup!$C$14),Setup!$C$39:$C$50),WORKDAY(P33,-(Setup!$C$13+Setup!$G$34),Setup!$C$39:$C$50))+(28*100+15)/10000000)))</f>
        <v/>
      </c>
      <c r="AH33" t="str">
        <f t="shared" si="0"/>
        <v/>
      </c>
      <c r="AI33" t="str">
        <f t="shared" si="1"/>
        <v/>
      </c>
      <c r="AK33" t="str">
        <f ca="1">IF(28&gt;$AK$2,"",SMALL($R$6:$AF$505,28))</f>
        <v/>
      </c>
      <c r="AL33" t="str">
        <f t="shared" ca="1" si="2"/>
        <v/>
      </c>
      <c r="AM33" t="str">
        <f t="shared" ca="1" si="3"/>
        <v/>
      </c>
      <c r="AN33" t="str">
        <f t="shared" ca="1" si="4"/>
        <v/>
      </c>
      <c r="AP33" t="str">
        <f>IF(ISNUMBER(Roster!$B33),MAX(1,YEAR(Setup!$C$5)-YEAR(Roster!$B33)+IF(EDATE(Roster!$B33,12*(YEAR(Setup!$C$5)-YEAR(Roster!$B33)))&lt;Setup!$C$5,1,0)),"")</f>
        <v/>
      </c>
      <c r="AQ33" s="32" t="str">
        <f>IF(AP33="","",EDATE(Roster!$B33,12*AP33))</f>
        <v/>
      </c>
      <c r="AR33" t="str">
        <f>IF(AQ33="","",IF(AQ33&lt;DATE(YEAR(Setup!$C$5)+1,MONTH(Setup!$C$5),DAY(Setup!$C$5)),AQ33+28/1000,""))</f>
        <v/>
      </c>
      <c r="AS33" t="str">
        <f t="shared" si="5"/>
        <v/>
      </c>
      <c r="AT33" t="str">
        <f>IF(AS33="","",IF(ISNUMBER(Roster!$D33),Roster!$D33&gt;=AP33,FALSE))</f>
        <v/>
      </c>
      <c r="AU33" t="str">
        <f t="shared" si="6"/>
        <v/>
      </c>
      <c r="AV33" t="str">
        <f ca="1">IF(28&gt;$AV$2,"",SMALL($AR$6:$AR$505,28))</f>
        <v/>
      </c>
      <c r="AW33" t="str">
        <f t="shared" ca="1" si="7"/>
        <v/>
      </c>
      <c r="AY33" t="str">
        <f>IF(AND(Setup!$B$33="Yes",ISNUMBER(Setup!$C$33)),Setup!$C$33,"")</f>
        <v/>
      </c>
      <c r="AZ33" t="str">
        <f t="shared" si="8"/>
        <v/>
      </c>
    </row>
    <row r="34" spans="2:52" x14ac:dyDescent="0.2">
      <c r="B34" s="32" t="str">
        <f>IF(AND(ISNUMBER(Roster!$B34),Setup!$B$20="Yes",ISNUMBER(Setup!$C$20)),EDATE(Roster!$B34,12*Setup!$C$20),"")</f>
        <v/>
      </c>
      <c r="C34" s="32" t="str">
        <f>IF(AND(ISNUMBER(Roster!$B34),Setup!$B$21="Yes",ISNUMBER(Setup!$C$21)),EDATE(Roster!$B34,12*Setup!$C$21),"")</f>
        <v/>
      </c>
      <c r="D34" s="32" t="str">
        <f>IF(AND(ISNUMBER(Roster!$B34),Setup!$B$22="Yes",ISNUMBER(Setup!$C$22)),EDATE(Roster!$B34,12*Setup!$C$22),"")</f>
        <v/>
      </c>
      <c r="E34" s="32" t="str">
        <f>IF(AND(ISNUMBER(Roster!$B34),Setup!$B$23="Yes",ISNUMBER(Setup!$C$23)),EDATE(Roster!$B34,12*Setup!$C$23),"")</f>
        <v/>
      </c>
      <c r="F34" s="32" t="str">
        <f>IF(AND(ISNUMBER(Roster!$B34),Setup!$B$24="Yes",ISNUMBER(Setup!$C$24)),EDATE(Roster!$B34,12*Setup!$C$24),"")</f>
        <v/>
      </c>
      <c r="G34" s="32" t="str">
        <f>IF(AND(ISNUMBER(Roster!$B34),Setup!$B$25="Yes",ISNUMBER(Setup!$C$25)),EDATE(Roster!$B34,12*Setup!$C$25),"")</f>
        <v/>
      </c>
      <c r="H34" s="32" t="str">
        <f>IF(AND(ISNUMBER(Roster!$B34),Setup!$B$26="Yes",ISNUMBER(Setup!$C$26)),EDATE(Roster!$B34,12*Setup!$C$26),"")</f>
        <v/>
      </c>
      <c r="I34" s="32" t="str">
        <f>IF(AND(ISNUMBER(Roster!$B34),Setup!$B$27="Yes",ISNUMBER(Setup!$C$27)),EDATE(Roster!$B34,12*Setup!$C$27),"")</f>
        <v/>
      </c>
      <c r="J34" s="32" t="str">
        <f>IF(AND(ISNUMBER(Roster!$B34),Setup!$B$28="Yes",ISNUMBER(Setup!$C$28)),EDATE(Roster!$B34,12*Setup!$C$28),"")</f>
        <v/>
      </c>
      <c r="K34" s="32" t="str">
        <f>IF(AND(ISNUMBER(Roster!$B34),Setup!$B$29="Yes",ISNUMBER(Setup!$C$29)),EDATE(Roster!$B34,12*Setup!$C$29),"")</f>
        <v/>
      </c>
      <c r="L34" s="32" t="str">
        <f>IF(AND(ISNUMBER(Roster!$B34),Setup!$B$30="Yes",ISNUMBER(Setup!$C$30)),EDATE(Roster!$B34,12*Setup!$C$30),"")</f>
        <v/>
      </c>
      <c r="M34" s="32" t="str">
        <f>IF(AND(ISNUMBER(Roster!$B34),Setup!$B$31="Yes",ISNUMBER(Setup!$C$31)),EDATE(Roster!$B34,12*Setup!$C$31),"")</f>
        <v/>
      </c>
      <c r="N34" s="32" t="str">
        <f>IF(AND(ISNUMBER(Roster!$B34),Setup!$B$32="Yes",ISNUMBER(Setup!$C$32)),EDATE(Roster!$B34,12*Setup!$C$32),"")</f>
        <v/>
      </c>
      <c r="O34" s="32" t="str">
        <f>IF(AND(ISNUMBER(Roster!$B34),Setup!$B$33="Yes",ISNUMBER(Setup!$C$33)),EDATE(Roster!$B34,12*Setup!$C$33),"")</f>
        <v/>
      </c>
      <c r="P34" s="32" t="str">
        <f>IF(AND(ISNUMBER(Roster!$B34),Setup!$B$34="Yes",ISNUMBER(Setup!$C$34)),EDATE(Roster!$B34,12*Setup!$C$34),"")</f>
        <v/>
      </c>
      <c r="R34" t="str">
        <f>IF(B34="","",IF(B34&lt;Setup!$C$5-Setup!$C$6,"",IF(IF(ISNUMBER(Roster!$D34),Setup!$C$20&lt;=Roster!$D34,FALSE),"",IF(OR(IF(Setup!$C$15&lt;=Setup!$C$16,AND(MONTH(B34)&gt;=Setup!$C$15,MONTH(B34)&lt;=Setup!$C$16),OR(MONTH(B34)&gt;=Setup!$C$15,MONTH(B34)&lt;=Setup!$C$16)),IF(Setup!$C$15&lt;=Setup!$C$16,AND(MONTH(WORKDAY(B34,-(Setup!$C$13+Setup!$G$20),Setup!$C$39:$C$50))&gt;=Setup!$C$15,MONTH(WORKDAY(B34,-(Setup!$C$13+Setup!$G$20),Setup!$C$39:$C$50))&lt;=Setup!$C$16),OR(MONTH(WORKDAY(B34,-(Setup!$C$13+Setup!$G$20),Setup!$C$39:$C$50))&gt;=Setup!$C$15,MONTH(WORKDAY(B34,-(Setup!$C$13+Setup!$G$20),Setup!$C$39:$C$50))&lt;=Setup!$C$16))),WORKDAY(B34,-(Setup!$C$13+Setup!$G$20+Setup!$C$14),Setup!$C$39:$C$50),WORKDAY(B34,-(Setup!$C$13+Setup!$G$20),Setup!$C$39:$C$50))+(29*100+1)/10000000)))</f>
        <v/>
      </c>
      <c r="S34" t="str">
        <f>IF(C34="","",IF(C34&lt;Setup!$C$5-Setup!$C$6,"",IF(IF(ISNUMBER(Roster!$D34),Setup!$C$21&lt;=Roster!$D34,FALSE),"",IF(OR(IF(Setup!$C$15&lt;=Setup!$C$16,AND(MONTH(C34)&gt;=Setup!$C$15,MONTH(C34)&lt;=Setup!$C$16),OR(MONTH(C34)&gt;=Setup!$C$15,MONTH(C34)&lt;=Setup!$C$16)),IF(Setup!$C$15&lt;=Setup!$C$16,AND(MONTH(WORKDAY(C34,-(Setup!$C$13+Setup!$G$21),Setup!$C$39:$C$50))&gt;=Setup!$C$15,MONTH(WORKDAY(C34,-(Setup!$C$13+Setup!$G$21),Setup!$C$39:$C$50))&lt;=Setup!$C$16),OR(MONTH(WORKDAY(C34,-(Setup!$C$13+Setup!$G$21),Setup!$C$39:$C$50))&gt;=Setup!$C$15,MONTH(WORKDAY(C34,-(Setup!$C$13+Setup!$G$21),Setup!$C$39:$C$50))&lt;=Setup!$C$16))),WORKDAY(C34,-(Setup!$C$13+Setup!$G$21+Setup!$C$14),Setup!$C$39:$C$50),WORKDAY(C34,-(Setup!$C$13+Setup!$G$21),Setup!$C$39:$C$50))+(29*100+2)/10000000)))</f>
        <v/>
      </c>
      <c r="T34" t="str">
        <f>IF(D34="","",IF(D34&lt;Setup!$C$5-Setup!$C$6,"",IF(IF(ISNUMBER(Roster!$D34),Setup!$C$22&lt;=Roster!$D34,FALSE),"",IF(OR(IF(Setup!$C$15&lt;=Setup!$C$16,AND(MONTH(D34)&gt;=Setup!$C$15,MONTH(D34)&lt;=Setup!$C$16),OR(MONTH(D34)&gt;=Setup!$C$15,MONTH(D34)&lt;=Setup!$C$16)),IF(Setup!$C$15&lt;=Setup!$C$16,AND(MONTH(WORKDAY(D34,-(Setup!$C$13+Setup!$G$22),Setup!$C$39:$C$50))&gt;=Setup!$C$15,MONTH(WORKDAY(D34,-(Setup!$C$13+Setup!$G$22),Setup!$C$39:$C$50))&lt;=Setup!$C$16),OR(MONTH(WORKDAY(D34,-(Setup!$C$13+Setup!$G$22),Setup!$C$39:$C$50))&gt;=Setup!$C$15,MONTH(WORKDAY(D34,-(Setup!$C$13+Setup!$G$22),Setup!$C$39:$C$50))&lt;=Setup!$C$16))),WORKDAY(D34,-(Setup!$C$13+Setup!$G$22+Setup!$C$14),Setup!$C$39:$C$50),WORKDAY(D34,-(Setup!$C$13+Setup!$G$22),Setup!$C$39:$C$50))+(29*100+3)/10000000)))</f>
        <v/>
      </c>
      <c r="U34" t="str">
        <f>IF(E34="","",IF(E34&lt;Setup!$C$5-Setup!$C$6,"",IF(IF(ISNUMBER(Roster!$D34),Setup!$C$23&lt;=Roster!$D34,FALSE),"",IF(OR(IF(Setup!$C$15&lt;=Setup!$C$16,AND(MONTH(E34)&gt;=Setup!$C$15,MONTH(E34)&lt;=Setup!$C$16),OR(MONTH(E34)&gt;=Setup!$C$15,MONTH(E34)&lt;=Setup!$C$16)),IF(Setup!$C$15&lt;=Setup!$C$16,AND(MONTH(WORKDAY(E34,-(Setup!$C$13+Setup!$G$23),Setup!$C$39:$C$50))&gt;=Setup!$C$15,MONTH(WORKDAY(E34,-(Setup!$C$13+Setup!$G$23),Setup!$C$39:$C$50))&lt;=Setup!$C$16),OR(MONTH(WORKDAY(E34,-(Setup!$C$13+Setup!$G$23),Setup!$C$39:$C$50))&gt;=Setup!$C$15,MONTH(WORKDAY(E34,-(Setup!$C$13+Setup!$G$23),Setup!$C$39:$C$50))&lt;=Setup!$C$16))),WORKDAY(E34,-(Setup!$C$13+Setup!$G$23+Setup!$C$14),Setup!$C$39:$C$50),WORKDAY(E34,-(Setup!$C$13+Setup!$G$23),Setup!$C$39:$C$50))+(29*100+4)/10000000)))</f>
        <v/>
      </c>
      <c r="V34" t="str">
        <f>IF(F34="","",IF(F34&lt;Setup!$C$5-Setup!$C$6,"",IF(IF(ISNUMBER(Roster!$D34),Setup!$C$24&lt;=Roster!$D34,FALSE),"",IF(OR(IF(Setup!$C$15&lt;=Setup!$C$16,AND(MONTH(F34)&gt;=Setup!$C$15,MONTH(F34)&lt;=Setup!$C$16),OR(MONTH(F34)&gt;=Setup!$C$15,MONTH(F34)&lt;=Setup!$C$16)),IF(Setup!$C$15&lt;=Setup!$C$16,AND(MONTH(WORKDAY(F34,-(Setup!$C$13+Setup!$G$24),Setup!$C$39:$C$50))&gt;=Setup!$C$15,MONTH(WORKDAY(F34,-(Setup!$C$13+Setup!$G$24),Setup!$C$39:$C$50))&lt;=Setup!$C$16),OR(MONTH(WORKDAY(F34,-(Setup!$C$13+Setup!$G$24),Setup!$C$39:$C$50))&gt;=Setup!$C$15,MONTH(WORKDAY(F34,-(Setup!$C$13+Setup!$G$24),Setup!$C$39:$C$50))&lt;=Setup!$C$16))),WORKDAY(F34,-(Setup!$C$13+Setup!$G$24+Setup!$C$14),Setup!$C$39:$C$50),WORKDAY(F34,-(Setup!$C$13+Setup!$G$24),Setup!$C$39:$C$50))+(29*100+5)/10000000)))</f>
        <v/>
      </c>
      <c r="W34" t="str">
        <f>IF(G34="","",IF(G34&lt;Setup!$C$5-Setup!$C$6,"",IF(IF(ISNUMBER(Roster!$D34),Setup!$C$25&lt;=Roster!$D34,FALSE),"",IF(OR(IF(Setup!$C$15&lt;=Setup!$C$16,AND(MONTH(G34)&gt;=Setup!$C$15,MONTH(G34)&lt;=Setup!$C$16),OR(MONTH(G34)&gt;=Setup!$C$15,MONTH(G34)&lt;=Setup!$C$16)),IF(Setup!$C$15&lt;=Setup!$C$16,AND(MONTH(WORKDAY(G34,-(Setup!$C$13+Setup!$G$25),Setup!$C$39:$C$50))&gt;=Setup!$C$15,MONTH(WORKDAY(G34,-(Setup!$C$13+Setup!$G$25),Setup!$C$39:$C$50))&lt;=Setup!$C$16),OR(MONTH(WORKDAY(G34,-(Setup!$C$13+Setup!$G$25),Setup!$C$39:$C$50))&gt;=Setup!$C$15,MONTH(WORKDAY(G34,-(Setup!$C$13+Setup!$G$25),Setup!$C$39:$C$50))&lt;=Setup!$C$16))),WORKDAY(G34,-(Setup!$C$13+Setup!$G$25+Setup!$C$14),Setup!$C$39:$C$50),WORKDAY(G34,-(Setup!$C$13+Setup!$G$25),Setup!$C$39:$C$50))+(29*100+6)/10000000)))</f>
        <v/>
      </c>
      <c r="X34" t="str">
        <f>IF(H34="","",IF(H34&lt;Setup!$C$5-Setup!$C$6,"",IF(IF(ISNUMBER(Roster!$D34),Setup!$C$26&lt;=Roster!$D34,FALSE),"",IF(OR(IF(Setup!$C$15&lt;=Setup!$C$16,AND(MONTH(H34)&gt;=Setup!$C$15,MONTH(H34)&lt;=Setup!$C$16),OR(MONTH(H34)&gt;=Setup!$C$15,MONTH(H34)&lt;=Setup!$C$16)),IF(Setup!$C$15&lt;=Setup!$C$16,AND(MONTH(WORKDAY(H34,-(Setup!$C$13+Setup!$G$26),Setup!$C$39:$C$50))&gt;=Setup!$C$15,MONTH(WORKDAY(H34,-(Setup!$C$13+Setup!$G$26),Setup!$C$39:$C$50))&lt;=Setup!$C$16),OR(MONTH(WORKDAY(H34,-(Setup!$C$13+Setup!$G$26),Setup!$C$39:$C$50))&gt;=Setup!$C$15,MONTH(WORKDAY(H34,-(Setup!$C$13+Setup!$G$26),Setup!$C$39:$C$50))&lt;=Setup!$C$16))),WORKDAY(H34,-(Setup!$C$13+Setup!$G$26+Setup!$C$14),Setup!$C$39:$C$50),WORKDAY(H34,-(Setup!$C$13+Setup!$G$26),Setup!$C$39:$C$50))+(29*100+7)/10000000)))</f>
        <v/>
      </c>
      <c r="Y34" t="str">
        <f>IF(I34="","",IF(I34&lt;Setup!$C$5-Setup!$C$6,"",IF(IF(ISNUMBER(Roster!$D34),Setup!$C$27&lt;=Roster!$D34,FALSE),"",IF(OR(IF(Setup!$C$15&lt;=Setup!$C$16,AND(MONTH(I34)&gt;=Setup!$C$15,MONTH(I34)&lt;=Setup!$C$16),OR(MONTH(I34)&gt;=Setup!$C$15,MONTH(I34)&lt;=Setup!$C$16)),IF(Setup!$C$15&lt;=Setup!$C$16,AND(MONTH(WORKDAY(I34,-(Setup!$C$13+Setup!$G$27),Setup!$C$39:$C$50))&gt;=Setup!$C$15,MONTH(WORKDAY(I34,-(Setup!$C$13+Setup!$G$27),Setup!$C$39:$C$50))&lt;=Setup!$C$16),OR(MONTH(WORKDAY(I34,-(Setup!$C$13+Setup!$G$27),Setup!$C$39:$C$50))&gt;=Setup!$C$15,MONTH(WORKDAY(I34,-(Setup!$C$13+Setup!$G$27),Setup!$C$39:$C$50))&lt;=Setup!$C$16))),WORKDAY(I34,-(Setup!$C$13+Setup!$G$27+Setup!$C$14),Setup!$C$39:$C$50),WORKDAY(I34,-(Setup!$C$13+Setup!$G$27),Setup!$C$39:$C$50))+(29*100+8)/10000000)))</f>
        <v/>
      </c>
      <c r="Z34" t="str">
        <f>IF(J34="","",IF(J34&lt;Setup!$C$5-Setup!$C$6,"",IF(IF(ISNUMBER(Roster!$D34),Setup!$C$28&lt;=Roster!$D34,FALSE),"",IF(OR(IF(Setup!$C$15&lt;=Setup!$C$16,AND(MONTH(J34)&gt;=Setup!$C$15,MONTH(J34)&lt;=Setup!$C$16),OR(MONTH(J34)&gt;=Setup!$C$15,MONTH(J34)&lt;=Setup!$C$16)),IF(Setup!$C$15&lt;=Setup!$C$16,AND(MONTH(WORKDAY(J34,-(Setup!$C$13+Setup!$G$28),Setup!$C$39:$C$50))&gt;=Setup!$C$15,MONTH(WORKDAY(J34,-(Setup!$C$13+Setup!$G$28),Setup!$C$39:$C$50))&lt;=Setup!$C$16),OR(MONTH(WORKDAY(J34,-(Setup!$C$13+Setup!$G$28),Setup!$C$39:$C$50))&gt;=Setup!$C$15,MONTH(WORKDAY(J34,-(Setup!$C$13+Setup!$G$28),Setup!$C$39:$C$50))&lt;=Setup!$C$16))),WORKDAY(J34,-(Setup!$C$13+Setup!$G$28+Setup!$C$14),Setup!$C$39:$C$50),WORKDAY(J34,-(Setup!$C$13+Setup!$G$28),Setup!$C$39:$C$50))+(29*100+9)/10000000)))</f>
        <v/>
      </c>
      <c r="AA34" t="str">
        <f>IF(K34="","",IF(K34&lt;Setup!$C$5-Setup!$C$6,"",IF(IF(ISNUMBER(Roster!$D34),Setup!$C$29&lt;=Roster!$D34,FALSE),"",IF(OR(IF(Setup!$C$15&lt;=Setup!$C$16,AND(MONTH(K34)&gt;=Setup!$C$15,MONTH(K34)&lt;=Setup!$C$16),OR(MONTH(K34)&gt;=Setup!$C$15,MONTH(K34)&lt;=Setup!$C$16)),IF(Setup!$C$15&lt;=Setup!$C$16,AND(MONTH(WORKDAY(K34,-(Setup!$C$13+Setup!$G$29),Setup!$C$39:$C$50))&gt;=Setup!$C$15,MONTH(WORKDAY(K34,-(Setup!$C$13+Setup!$G$29),Setup!$C$39:$C$50))&lt;=Setup!$C$16),OR(MONTH(WORKDAY(K34,-(Setup!$C$13+Setup!$G$29),Setup!$C$39:$C$50))&gt;=Setup!$C$15,MONTH(WORKDAY(K34,-(Setup!$C$13+Setup!$G$29),Setup!$C$39:$C$50))&lt;=Setup!$C$16))),WORKDAY(K34,-(Setup!$C$13+Setup!$G$29+Setup!$C$14),Setup!$C$39:$C$50),WORKDAY(K34,-(Setup!$C$13+Setup!$G$29),Setup!$C$39:$C$50))+(29*100+10)/10000000)))</f>
        <v/>
      </c>
      <c r="AB34" t="str">
        <f>IF(L34="","",IF(L34&lt;Setup!$C$5-Setup!$C$6,"",IF(IF(ISNUMBER(Roster!$D34),Setup!$C$30&lt;=Roster!$D34,FALSE),"",IF(OR(IF(Setup!$C$15&lt;=Setup!$C$16,AND(MONTH(L34)&gt;=Setup!$C$15,MONTH(L34)&lt;=Setup!$C$16),OR(MONTH(L34)&gt;=Setup!$C$15,MONTH(L34)&lt;=Setup!$C$16)),IF(Setup!$C$15&lt;=Setup!$C$16,AND(MONTH(WORKDAY(L34,-(Setup!$C$13+Setup!$G$30),Setup!$C$39:$C$50))&gt;=Setup!$C$15,MONTH(WORKDAY(L34,-(Setup!$C$13+Setup!$G$30),Setup!$C$39:$C$50))&lt;=Setup!$C$16),OR(MONTH(WORKDAY(L34,-(Setup!$C$13+Setup!$G$30),Setup!$C$39:$C$50))&gt;=Setup!$C$15,MONTH(WORKDAY(L34,-(Setup!$C$13+Setup!$G$30),Setup!$C$39:$C$50))&lt;=Setup!$C$16))),WORKDAY(L34,-(Setup!$C$13+Setup!$G$30+Setup!$C$14),Setup!$C$39:$C$50),WORKDAY(L34,-(Setup!$C$13+Setup!$G$30),Setup!$C$39:$C$50))+(29*100+11)/10000000)))</f>
        <v/>
      </c>
      <c r="AC34" t="str">
        <f>IF(M34="","",IF(M34&lt;Setup!$C$5-Setup!$C$6,"",IF(IF(ISNUMBER(Roster!$D34),Setup!$C$31&lt;=Roster!$D34,FALSE),"",IF(OR(IF(Setup!$C$15&lt;=Setup!$C$16,AND(MONTH(M34)&gt;=Setup!$C$15,MONTH(M34)&lt;=Setup!$C$16),OR(MONTH(M34)&gt;=Setup!$C$15,MONTH(M34)&lt;=Setup!$C$16)),IF(Setup!$C$15&lt;=Setup!$C$16,AND(MONTH(WORKDAY(M34,-(Setup!$C$13+Setup!$G$31),Setup!$C$39:$C$50))&gt;=Setup!$C$15,MONTH(WORKDAY(M34,-(Setup!$C$13+Setup!$G$31),Setup!$C$39:$C$50))&lt;=Setup!$C$16),OR(MONTH(WORKDAY(M34,-(Setup!$C$13+Setup!$G$31),Setup!$C$39:$C$50))&gt;=Setup!$C$15,MONTH(WORKDAY(M34,-(Setup!$C$13+Setup!$G$31),Setup!$C$39:$C$50))&lt;=Setup!$C$16))),WORKDAY(M34,-(Setup!$C$13+Setup!$G$31+Setup!$C$14),Setup!$C$39:$C$50),WORKDAY(M34,-(Setup!$C$13+Setup!$G$31),Setup!$C$39:$C$50))+(29*100+12)/10000000)))</f>
        <v/>
      </c>
      <c r="AD34" t="str">
        <f>IF(N34="","",IF(N34&lt;Setup!$C$5-Setup!$C$6,"",IF(IF(ISNUMBER(Roster!$D34),Setup!$C$32&lt;=Roster!$D34,FALSE),"",IF(OR(IF(Setup!$C$15&lt;=Setup!$C$16,AND(MONTH(N34)&gt;=Setup!$C$15,MONTH(N34)&lt;=Setup!$C$16),OR(MONTH(N34)&gt;=Setup!$C$15,MONTH(N34)&lt;=Setup!$C$16)),IF(Setup!$C$15&lt;=Setup!$C$16,AND(MONTH(WORKDAY(N34,-(Setup!$C$13+Setup!$G$32),Setup!$C$39:$C$50))&gt;=Setup!$C$15,MONTH(WORKDAY(N34,-(Setup!$C$13+Setup!$G$32),Setup!$C$39:$C$50))&lt;=Setup!$C$16),OR(MONTH(WORKDAY(N34,-(Setup!$C$13+Setup!$G$32),Setup!$C$39:$C$50))&gt;=Setup!$C$15,MONTH(WORKDAY(N34,-(Setup!$C$13+Setup!$G$32),Setup!$C$39:$C$50))&lt;=Setup!$C$16))),WORKDAY(N34,-(Setup!$C$13+Setup!$G$32+Setup!$C$14),Setup!$C$39:$C$50),WORKDAY(N34,-(Setup!$C$13+Setup!$G$32),Setup!$C$39:$C$50))+(29*100+13)/10000000)))</f>
        <v/>
      </c>
      <c r="AE34" t="str">
        <f>IF(O34="","",IF(O34&lt;Setup!$C$5-Setup!$C$6,"",IF(IF(ISNUMBER(Roster!$D34),Setup!$C$33&lt;=Roster!$D34,FALSE),"",IF(OR(IF(Setup!$C$15&lt;=Setup!$C$16,AND(MONTH(O34)&gt;=Setup!$C$15,MONTH(O34)&lt;=Setup!$C$16),OR(MONTH(O34)&gt;=Setup!$C$15,MONTH(O34)&lt;=Setup!$C$16)),IF(Setup!$C$15&lt;=Setup!$C$16,AND(MONTH(WORKDAY(O34,-(Setup!$C$13+Setup!$G$33),Setup!$C$39:$C$50))&gt;=Setup!$C$15,MONTH(WORKDAY(O34,-(Setup!$C$13+Setup!$G$33),Setup!$C$39:$C$50))&lt;=Setup!$C$16),OR(MONTH(WORKDAY(O34,-(Setup!$C$13+Setup!$G$33),Setup!$C$39:$C$50))&gt;=Setup!$C$15,MONTH(WORKDAY(O34,-(Setup!$C$13+Setup!$G$33),Setup!$C$39:$C$50))&lt;=Setup!$C$16))),WORKDAY(O34,-(Setup!$C$13+Setup!$G$33+Setup!$C$14),Setup!$C$39:$C$50),WORKDAY(O34,-(Setup!$C$13+Setup!$G$33),Setup!$C$39:$C$50))+(29*100+14)/10000000)))</f>
        <v/>
      </c>
      <c r="AF34" t="str">
        <f>IF(P34="","",IF(P34&lt;Setup!$C$5-Setup!$C$6,"",IF(IF(ISNUMBER(Roster!$D34),Setup!$C$34&lt;=Roster!$D34,FALSE),"",IF(OR(IF(Setup!$C$15&lt;=Setup!$C$16,AND(MONTH(P34)&gt;=Setup!$C$15,MONTH(P34)&lt;=Setup!$C$16),OR(MONTH(P34)&gt;=Setup!$C$15,MONTH(P34)&lt;=Setup!$C$16)),IF(Setup!$C$15&lt;=Setup!$C$16,AND(MONTH(WORKDAY(P34,-(Setup!$C$13+Setup!$G$34),Setup!$C$39:$C$50))&gt;=Setup!$C$15,MONTH(WORKDAY(P34,-(Setup!$C$13+Setup!$G$34),Setup!$C$39:$C$50))&lt;=Setup!$C$16),OR(MONTH(WORKDAY(P34,-(Setup!$C$13+Setup!$G$34),Setup!$C$39:$C$50))&gt;=Setup!$C$15,MONTH(WORKDAY(P34,-(Setup!$C$13+Setup!$G$34),Setup!$C$39:$C$50))&lt;=Setup!$C$16))),WORKDAY(P34,-(Setup!$C$13+Setup!$G$34+Setup!$C$14),Setup!$C$39:$C$50),WORKDAY(P34,-(Setup!$C$13+Setup!$G$34),Setup!$C$39:$C$50))+(29*100+15)/10000000)))</f>
        <v/>
      </c>
      <c r="AH34" t="str">
        <f t="shared" si="0"/>
        <v/>
      </c>
      <c r="AI34" t="str">
        <f t="shared" si="1"/>
        <v/>
      </c>
      <c r="AK34" t="str">
        <f ca="1">IF(29&gt;$AK$2,"",SMALL($R$6:$AF$505,29))</f>
        <v/>
      </c>
      <c r="AL34" t="str">
        <f t="shared" ca="1" si="2"/>
        <v/>
      </c>
      <c r="AM34" t="str">
        <f t="shared" ca="1" si="3"/>
        <v/>
      </c>
      <c r="AN34" t="str">
        <f t="shared" ca="1" si="4"/>
        <v/>
      </c>
      <c r="AP34" t="str">
        <f>IF(ISNUMBER(Roster!$B34),MAX(1,YEAR(Setup!$C$5)-YEAR(Roster!$B34)+IF(EDATE(Roster!$B34,12*(YEAR(Setup!$C$5)-YEAR(Roster!$B34)))&lt;Setup!$C$5,1,0)),"")</f>
        <v/>
      </c>
      <c r="AQ34" s="32" t="str">
        <f>IF(AP34="","",EDATE(Roster!$B34,12*AP34))</f>
        <v/>
      </c>
      <c r="AR34" t="str">
        <f>IF(AQ34="","",IF(AQ34&lt;DATE(YEAR(Setup!$C$5)+1,MONTH(Setup!$C$5),DAY(Setup!$C$5)),AQ34+29/1000,""))</f>
        <v/>
      </c>
      <c r="AS34" t="str">
        <f t="shared" si="5"/>
        <v/>
      </c>
      <c r="AT34" t="str">
        <f>IF(AS34="","",IF(ISNUMBER(Roster!$D34),Roster!$D34&gt;=AP34,FALSE))</f>
        <v/>
      </c>
      <c r="AU34" t="str">
        <f t="shared" si="6"/>
        <v/>
      </c>
      <c r="AV34" t="str">
        <f ca="1">IF(29&gt;$AV$2,"",SMALL($AR$6:$AR$505,29))</f>
        <v/>
      </c>
      <c r="AW34" t="str">
        <f t="shared" ca="1" si="7"/>
        <v/>
      </c>
      <c r="AY34" t="str">
        <f>IF(AND(Setup!$B$34="Yes",ISNUMBER(Setup!$C$34)),Setup!$C$34,"")</f>
        <v/>
      </c>
      <c r="AZ34" t="str">
        <f t="shared" si="8"/>
        <v/>
      </c>
    </row>
    <row r="35" spans="2:52" x14ac:dyDescent="0.2">
      <c r="B35" s="32" t="str">
        <f>IF(AND(ISNUMBER(Roster!$B35),Setup!$B$20="Yes",ISNUMBER(Setup!$C$20)),EDATE(Roster!$B35,12*Setup!$C$20),"")</f>
        <v/>
      </c>
      <c r="C35" s="32" t="str">
        <f>IF(AND(ISNUMBER(Roster!$B35),Setup!$B$21="Yes",ISNUMBER(Setup!$C$21)),EDATE(Roster!$B35,12*Setup!$C$21),"")</f>
        <v/>
      </c>
      <c r="D35" s="32" t="str">
        <f>IF(AND(ISNUMBER(Roster!$B35),Setup!$B$22="Yes",ISNUMBER(Setup!$C$22)),EDATE(Roster!$B35,12*Setup!$C$22),"")</f>
        <v/>
      </c>
      <c r="E35" s="32" t="str">
        <f>IF(AND(ISNUMBER(Roster!$B35),Setup!$B$23="Yes",ISNUMBER(Setup!$C$23)),EDATE(Roster!$B35,12*Setup!$C$23),"")</f>
        <v/>
      </c>
      <c r="F35" s="32" t="str">
        <f>IF(AND(ISNUMBER(Roster!$B35),Setup!$B$24="Yes",ISNUMBER(Setup!$C$24)),EDATE(Roster!$B35,12*Setup!$C$24),"")</f>
        <v/>
      </c>
      <c r="G35" s="32" t="str">
        <f>IF(AND(ISNUMBER(Roster!$B35),Setup!$B$25="Yes",ISNUMBER(Setup!$C$25)),EDATE(Roster!$B35,12*Setup!$C$25),"")</f>
        <v/>
      </c>
      <c r="H35" s="32" t="str">
        <f>IF(AND(ISNUMBER(Roster!$B35),Setup!$B$26="Yes",ISNUMBER(Setup!$C$26)),EDATE(Roster!$B35,12*Setup!$C$26),"")</f>
        <v/>
      </c>
      <c r="I35" s="32" t="str">
        <f>IF(AND(ISNUMBER(Roster!$B35),Setup!$B$27="Yes",ISNUMBER(Setup!$C$27)),EDATE(Roster!$B35,12*Setup!$C$27),"")</f>
        <v/>
      </c>
      <c r="J35" s="32" t="str">
        <f>IF(AND(ISNUMBER(Roster!$B35),Setup!$B$28="Yes",ISNUMBER(Setup!$C$28)),EDATE(Roster!$B35,12*Setup!$C$28),"")</f>
        <v/>
      </c>
      <c r="K35" s="32" t="str">
        <f>IF(AND(ISNUMBER(Roster!$B35),Setup!$B$29="Yes",ISNUMBER(Setup!$C$29)),EDATE(Roster!$B35,12*Setup!$C$29),"")</f>
        <v/>
      </c>
      <c r="L35" s="32" t="str">
        <f>IF(AND(ISNUMBER(Roster!$B35),Setup!$B$30="Yes",ISNUMBER(Setup!$C$30)),EDATE(Roster!$B35,12*Setup!$C$30),"")</f>
        <v/>
      </c>
      <c r="M35" s="32" t="str">
        <f>IF(AND(ISNUMBER(Roster!$B35),Setup!$B$31="Yes",ISNUMBER(Setup!$C$31)),EDATE(Roster!$B35,12*Setup!$C$31),"")</f>
        <v/>
      </c>
      <c r="N35" s="32" t="str">
        <f>IF(AND(ISNUMBER(Roster!$B35),Setup!$B$32="Yes",ISNUMBER(Setup!$C$32)),EDATE(Roster!$B35,12*Setup!$C$32),"")</f>
        <v/>
      </c>
      <c r="O35" s="32" t="str">
        <f>IF(AND(ISNUMBER(Roster!$B35),Setup!$B$33="Yes",ISNUMBER(Setup!$C$33)),EDATE(Roster!$B35,12*Setup!$C$33),"")</f>
        <v/>
      </c>
      <c r="P35" s="32" t="str">
        <f>IF(AND(ISNUMBER(Roster!$B35),Setup!$B$34="Yes",ISNUMBER(Setup!$C$34)),EDATE(Roster!$B35,12*Setup!$C$34),"")</f>
        <v/>
      </c>
      <c r="R35" t="str">
        <f>IF(B35="","",IF(B35&lt;Setup!$C$5-Setup!$C$6,"",IF(IF(ISNUMBER(Roster!$D35),Setup!$C$20&lt;=Roster!$D35,FALSE),"",IF(OR(IF(Setup!$C$15&lt;=Setup!$C$16,AND(MONTH(B35)&gt;=Setup!$C$15,MONTH(B35)&lt;=Setup!$C$16),OR(MONTH(B35)&gt;=Setup!$C$15,MONTH(B35)&lt;=Setup!$C$16)),IF(Setup!$C$15&lt;=Setup!$C$16,AND(MONTH(WORKDAY(B35,-(Setup!$C$13+Setup!$G$20),Setup!$C$39:$C$50))&gt;=Setup!$C$15,MONTH(WORKDAY(B35,-(Setup!$C$13+Setup!$G$20),Setup!$C$39:$C$50))&lt;=Setup!$C$16),OR(MONTH(WORKDAY(B35,-(Setup!$C$13+Setup!$G$20),Setup!$C$39:$C$50))&gt;=Setup!$C$15,MONTH(WORKDAY(B35,-(Setup!$C$13+Setup!$G$20),Setup!$C$39:$C$50))&lt;=Setup!$C$16))),WORKDAY(B35,-(Setup!$C$13+Setup!$G$20+Setup!$C$14),Setup!$C$39:$C$50),WORKDAY(B35,-(Setup!$C$13+Setup!$G$20),Setup!$C$39:$C$50))+(30*100+1)/10000000)))</f>
        <v/>
      </c>
      <c r="S35" t="str">
        <f>IF(C35="","",IF(C35&lt;Setup!$C$5-Setup!$C$6,"",IF(IF(ISNUMBER(Roster!$D35),Setup!$C$21&lt;=Roster!$D35,FALSE),"",IF(OR(IF(Setup!$C$15&lt;=Setup!$C$16,AND(MONTH(C35)&gt;=Setup!$C$15,MONTH(C35)&lt;=Setup!$C$16),OR(MONTH(C35)&gt;=Setup!$C$15,MONTH(C35)&lt;=Setup!$C$16)),IF(Setup!$C$15&lt;=Setup!$C$16,AND(MONTH(WORKDAY(C35,-(Setup!$C$13+Setup!$G$21),Setup!$C$39:$C$50))&gt;=Setup!$C$15,MONTH(WORKDAY(C35,-(Setup!$C$13+Setup!$G$21),Setup!$C$39:$C$50))&lt;=Setup!$C$16),OR(MONTH(WORKDAY(C35,-(Setup!$C$13+Setup!$G$21),Setup!$C$39:$C$50))&gt;=Setup!$C$15,MONTH(WORKDAY(C35,-(Setup!$C$13+Setup!$G$21),Setup!$C$39:$C$50))&lt;=Setup!$C$16))),WORKDAY(C35,-(Setup!$C$13+Setup!$G$21+Setup!$C$14),Setup!$C$39:$C$50),WORKDAY(C35,-(Setup!$C$13+Setup!$G$21),Setup!$C$39:$C$50))+(30*100+2)/10000000)))</f>
        <v/>
      </c>
      <c r="T35" t="str">
        <f>IF(D35="","",IF(D35&lt;Setup!$C$5-Setup!$C$6,"",IF(IF(ISNUMBER(Roster!$D35),Setup!$C$22&lt;=Roster!$D35,FALSE),"",IF(OR(IF(Setup!$C$15&lt;=Setup!$C$16,AND(MONTH(D35)&gt;=Setup!$C$15,MONTH(D35)&lt;=Setup!$C$16),OR(MONTH(D35)&gt;=Setup!$C$15,MONTH(D35)&lt;=Setup!$C$16)),IF(Setup!$C$15&lt;=Setup!$C$16,AND(MONTH(WORKDAY(D35,-(Setup!$C$13+Setup!$G$22),Setup!$C$39:$C$50))&gt;=Setup!$C$15,MONTH(WORKDAY(D35,-(Setup!$C$13+Setup!$G$22),Setup!$C$39:$C$50))&lt;=Setup!$C$16),OR(MONTH(WORKDAY(D35,-(Setup!$C$13+Setup!$G$22),Setup!$C$39:$C$50))&gt;=Setup!$C$15,MONTH(WORKDAY(D35,-(Setup!$C$13+Setup!$G$22),Setup!$C$39:$C$50))&lt;=Setup!$C$16))),WORKDAY(D35,-(Setup!$C$13+Setup!$G$22+Setup!$C$14),Setup!$C$39:$C$50),WORKDAY(D35,-(Setup!$C$13+Setup!$G$22),Setup!$C$39:$C$50))+(30*100+3)/10000000)))</f>
        <v/>
      </c>
      <c r="U35" t="str">
        <f>IF(E35="","",IF(E35&lt;Setup!$C$5-Setup!$C$6,"",IF(IF(ISNUMBER(Roster!$D35),Setup!$C$23&lt;=Roster!$D35,FALSE),"",IF(OR(IF(Setup!$C$15&lt;=Setup!$C$16,AND(MONTH(E35)&gt;=Setup!$C$15,MONTH(E35)&lt;=Setup!$C$16),OR(MONTH(E35)&gt;=Setup!$C$15,MONTH(E35)&lt;=Setup!$C$16)),IF(Setup!$C$15&lt;=Setup!$C$16,AND(MONTH(WORKDAY(E35,-(Setup!$C$13+Setup!$G$23),Setup!$C$39:$C$50))&gt;=Setup!$C$15,MONTH(WORKDAY(E35,-(Setup!$C$13+Setup!$G$23),Setup!$C$39:$C$50))&lt;=Setup!$C$16),OR(MONTH(WORKDAY(E35,-(Setup!$C$13+Setup!$G$23),Setup!$C$39:$C$50))&gt;=Setup!$C$15,MONTH(WORKDAY(E35,-(Setup!$C$13+Setup!$G$23),Setup!$C$39:$C$50))&lt;=Setup!$C$16))),WORKDAY(E35,-(Setup!$C$13+Setup!$G$23+Setup!$C$14),Setup!$C$39:$C$50),WORKDAY(E35,-(Setup!$C$13+Setup!$G$23),Setup!$C$39:$C$50))+(30*100+4)/10000000)))</f>
        <v/>
      </c>
      <c r="V35" t="str">
        <f>IF(F35="","",IF(F35&lt;Setup!$C$5-Setup!$C$6,"",IF(IF(ISNUMBER(Roster!$D35),Setup!$C$24&lt;=Roster!$D35,FALSE),"",IF(OR(IF(Setup!$C$15&lt;=Setup!$C$16,AND(MONTH(F35)&gt;=Setup!$C$15,MONTH(F35)&lt;=Setup!$C$16),OR(MONTH(F35)&gt;=Setup!$C$15,MONTH(F35)&lt;=Setup!$C$16)),IF(Setup!$C$15&lt;=Setup!$C$16,AND(MONTH(WORKDAY(F35,-(Setup!$C$13+Setup!$G$24),Setup!$C$39:$C$50))&gt;=Setup!$C$15,MONTH(WORKDAY(F35,-(Setup!$C$13+Setup!$G$24),Setup!$C$39:$C$50))&lt;=Setup!$C$16),OR(MONTH(WORKDAY(F35,-(Setup!$C$13+Setup!$G$24),Setup!$C$39:$C$50))&gt;=Setup!$C$15,MONTH(WORKDAY(F35,-(Setup!$C$13+Setup!$G$24),Setup!$C$39:$C$50))&lt;=Setup!$C$16))),WORKDAY(F35,-(Setup!$C$13+Setup!$G$24+Setup!$C$14),Setup!$C$39:$C$50),WORKDAY(F35,-(Setup!$C$13+Setup!$G$24),Setup!$C$39:$C$50))+(30*100+5)/10000000)))</f>
        <v/>
      </c>
      <c r="W35" t="str">
        <f>IF(G35="","",IF(G35&lt;Setup!$C$5-Setup!$C$6,"",IF(IF(ISNUMBER(Roster!$D35),Setup!$C$25&lt;=Roster!$D35,FALSE),"",IF(OR(IF(Setup!$C$15&lt;=Setup!$C$16,AND(MONTH(G35)&gt;=Setup!$C$15,MONTH(G35)&lt;=Setup!$C$16),OR(MONTH(G35)&gt;=Setup!$C$15,MONTH(G35)&lt;=Setup!$C$16)),IF(Setup!$C$15&lt;=Setup!$C$16,AND(MONTH(WORKDAY(G35,-(Setup!$C$13+Setup!$G$25),Setup!$C$39:$C$50))&gt;=Setup!$C$15,MONTH(WORKDAY(G35,-(Setup!$C$13+Setup!$G$25),Setup!$C$39:$C$50))&lt;=Setup!$C$16),OR(MONTH(WORKDAY(G35,-(Setup!$C$13+Setup!$G$25),Setup!$C$39:$C$50))&gt;=Setup!$C$15,MONTH(WORKDAY(G35,-(Setup!$C$13+Setup!$G$25),Setup!$C$39:$C$50))&lt;=Setup!$C$16))),WORKDAY(G35,-(Setup!$C$13+Setup!$G$25+Setup!$C$14),Setup!$C$39:$C$50),WORKDAY(G35,-(Setup!$C$13+Setup!$G$25),Setup!$C$39:$C$50))+(30*100+6)/10000000)))</f>
        <v/>
      </c>
      <c r="X35" t="str">
        <f>IF(H35="","",IF(H35&lt;Setup!$C$5-Setup!$C$6,"",IF(IF(ISNUMBER(Roster!$D35),Setup!$C$26&lt;=Roster!$D35,FALSE),"",IF(OR(IF(Setup!$C$15&lt;=Setup!$C$16,AND(MONTH(H35)&gt;=Setup!$C$15,MONTH(H35)&lt;=Setup!$C$16),OR(MONTH(H35)&gt;=Setup!$C$15,MONTH(H35)&lt;=Setup!$C$16)),IF(Setup!$C$15&lt;=Setup!$C$16,AND(MONTH(WORKDAY(H35,-(Setup!$C$13+Setup!$G$26),Setup!$C$39:$C$50))&gt;=Setup!$C$15,MONTH(WORKDAY(H35,-(Setup!$C$13+Setup!$G$26),Setup!$C$39:$C$50))&lt;=Setup!$C$16),OR(MONTH(WORKDAY(H35,-(Setup!$C$13+Setup!$G$26),Setup!$C$39:$C$50))&gt;=Setup!$C$15,MONTH(WORKDAY(H35,-(Setup!$C$13+Setup!$G$26),Setup!$C$39:$C$50))&lt;=Setup!$C$16))),WORKDAY(H35,-(Setup!$C$13+Setup!$G$26+Setup!$C$14),Setup!$C$39:$C$50),WORKDAY(H35,-(Setup!$C$13+Setup!$G$26),Setup!$C$39:$C$50))+(30*100+7)/10000000)))</f>
        <v/>
      </c>
      <c r="Y35" t="str">
        <f>IF(I35="","",IF(I35&lt;Setup!$C$5-Setup!$C$6,"",IF(IF(ISNUMBER(Roster!$D35),Setup!$C$27&lt;=Roster!$D35,FALSE),"",IF(OR(IF(Setup!$C$15&lt;=Setup!$C$16,AND(MONTH(I35)&gt;=Setup!$C$15,MONTH(I35)&lt;=Setup!$C$16),OR(MONTH(I35)&gt;=Setup!$C$15,MONTH(I35)&lt;=Setup!$C$16)),IF(Setup!$C$15&lt;=Setup!$C$16,AND(MONTH(WORKDAY(I35,-(Setup!$C$13+Setup!$G$27),Setup!$C$39:$C$50))&gt;=Setup!$C$15,MONTH(WORKDAY(I35,-(Setup!$C$13+Setup!$G$27),Setup!$C$39:$C$50))&lt;=Setup!$C$16),OR(MONTH(WORKDAY(I35,-(Setup!$C$13+Setup!$G$27),Setup!$C$39:$C$50))&gt;=Setup!$C$15,MONTH(WORKDAY(I35,-(Setup!$C$13+Setup!$G$27),Setup!$C$39:$C$50))&lt;=Setup!$C$16))),WORKDAY(I35,-(Setup!$C$13+Setup!$G$27+Setup!$C$14),Setup!$C$39:$C$50),WORKDAY(I35,-(Setup!$C$13+Setup!$G$27),Setup!$C$39:$C$50))+(30*100+8)/10000000)))</f>
        <v/>
      </c>
      <c r="Z35" t="str">
        <f>IF(J35="","",IF(J35&lt;Setup!$C$5-Setup!$C$6,"",IF(IF(ISNUMBER(Roster!$D35),Setup!$C$28&lt;=Roster!$D35,FALSE),"",IF(OR(IF(Setup!$C$15&lt;=Setup!$C$16,AND(MONTH(J35)&gt;=Setup!$C$15,MONTH(J35)&lt;=Setup!$C$16),OR(MONTH(J35)&gt;=Setup!$C$15,MONTH(J35)&lt;=Setup!$C$16)),IF(Setup!$C$15&lt;=Setup!$C$16,AND(MONTH(WORKDAY(J35,-(Setup!$C$13+Setup!$G$28),Setup!$C$39:$C$50))&gt;=Setup!$C$15,MONTH(WORKDAY(J35,-(Setup!$C$13+Setup!$G$28),Setup!$C$39:$C$50))&lt;=Setup!$C$16),OR(MONTH(WORKDAY(J35,-(Setup!$C$13+Setup!$G$28),Setup!$C$39:$C$50))&gt;=Setup!$C$15,MONTH(WORKDAY(J35,-(Setup!$C$13+Setup!$G$28),Setup!$C$39:$C$50))&lt;=Setup!$C$16))),WORKDAY(J35,-(Setup!$C$13+Setup!$G$28+Setup!$C$14),Setup!$C$39:$C$50),WORKDAY(J35,-(Setup!$C$13+Setup!$G$28),Setup!$C$39:$C$50))+(30*100+9)/10000000)))</f>
        <v/>
      </c>
      <c r="AA35" t="str">
        <f>IF(K35="","",IF(K35&lt;Setup!$C$5-Setup!$C$6,"",IF(IF(ISNUMBER(Roster!$D35),Setup!$C$29&lt;=Roster!$D35,FALSE),"",IF(OR(IF(Setup!$C$15&lt;=Setup!$C$16,AND(MONTH(K35)&gt;=Setup!$C$15,MONTH(K35)&lt;=Setup!$C$16),OR(MONTH(K35)&gt;=Setup!$C$15,MONTH(K35)&lt;=Setup!$C$16)),IF(Setup!$C$15&lt;=Setup!$C$16,AND(MONTH(WORKDAY(K35,-(Setup!$C$13+Setup!$G$29),Setup!$C$39:$C$50))&gt;=Setup!$C$15,MONTH(WORKDAY(K35,-(Setup!$C$13+Setup!$G$29),Setup!$C$39:$C$50))&lt;=Setup!$C$16),OR(MONTH(WORKDAY(K35,-(Setup!$C$13+Setup!$G$29),Setup!$C$39:$C$50))&gt;=Setup!$C$15,MONTH(WORKDAY(K35,-(Setup!$C$13+Setup!$G$29),Setup!$C$39:$C$50))&lt;=Setup!$C$16))),WORKDAY(K35,-(Setup!$C$13+Setup!$G$29+Setup!$C$14),Setup!$C$39:$C$50),WORKDAY(K35,-(Setup!$C$13+Setup!$G$29),Setup!$C$39:$C$50))+(30*100+10)/10000000)))</f>
        <v/>
      </c>
      <c r="AB35" t="str">
        <f>IF(L35="","",IF(L35&lt;Setup!$C$5-Setup!$C$6,"",IF(IF(ISNUMBER(Roster!$D35),Setup!$C$30&lt;=Roster!$D35,FALSE),"",IF(OR(IF(Setup!$C$15&lt;=Setup!$C$16,AND(MONTH(L35)&gt;=Setup!$C$15,MONTH(L35)&lt;=Setup!$C$16),OR(MONTH(L35)&gt;=Setup!$C$15,MONTH(L35)&lt;=Setup!$C$16)),IF(Setup!$C$15&lt;=Setup!$C$16,AND(MONTH(WORKDAY(L35,-(Setup!$C$13+Setup!$G$30),Setup!$C$39:$C$50))&gt;=Setup!$C$15,MONTH(WORKDAY(L35,-(Setup!$C$13+Setup!$G$30),Setup!$C$39:$C$50))&lt;=Setup!$C$16),OR(MONTH(WORKDAY(L35,-(Setup!$C$13+Setup!$G$30),Setup!$C$39:$C$50))&gt;=Setup!$C$15,MONTH(WORKDAY(L35,-(Setup!$C$13+Setup!$G$30),Setup!$C$39:$C$50))&lt;=Setup!$C$16))),WORKDAY(L35,-(Setup!$C$13+Setup!$G$30+Setup!$C$14),Setup!$C$39:$C$50),WORKDAY(L35,-(Setup!$C$13+Setup!$G$30),Setup!$C$39:$C$50))+(30*100+11)/10000000)))</f>
        <v/>
      </c>
      <c r="AC35" t="str">
        <f>IF(M35="","",IF(M35&lt;Setup!$C$5-Setup!$C$6,"",IF(IF(ISNUMBER(Roster!$D35),Setup!$C$31&lt;=Roster!$D35,FALSE),"",IF(OR(IF(Setup!$C$15&lt;=Setup!$C$16,AND(MONTH(M35)&gt;=Setup!$C$15,MONTH(M35)&lt;=Setup!$C$16),OR(MONTH(M35)&gt;=Setup!$C$15,MONTH(M35)&lt;=Setup!$C$16)),IF(Setup!$C$15&lt;=Setup!$C$16,AND(MONTH(WORKDAY(M35,-(Setup!$C$13+Setup!$G$31),Setup!$C$39:$C$50))&gt;=Setup!$C$15,MONTH(WORKDAY(M35,-(Setup!$C$13+Setup!$G$31),Setup!$C$39:$C$50))&lt;=Setup!$C$16),OR(MONTH(WORKDAY(M35,-(Setup!$C$13+Setup!$G$31),Setup!$C$39:$C$50))&gt;=Setup!$C$15,MONTH(WORKDAY(M35,-(Setup!$C$13+Setup!$G$31),Setup!$C$39:$C$50))&lt;=Setup!$C$16))),WORKDAY(M35,-(Setup!$C$13+Setup!$G$31+Setup!$C$14),Setup!$C$39:$C$50),WORKDAY(M35,-(Setup!$C$13+Setup!$G$31),Setup!$C$39:$C$50))+(30*100+12)/10000000)))</f>
        <v/>
      </c>
      <c r="AD35" t="str">
        <f>IF(N35="","",IF(N35&lt;Setup!$C$5-Setup!$C$6,"",IF(IF(ISNUMBER(Roster!$D35),Setup!$C$32&lt;=Roster!$D35,FALSE),"",IF(OR(IF(Setup!$C$15&lt;=Setup!$C$16,AND(MONTH(N35)&gt;=Setup!$C$15,MONTH(N35)&lt;=Setup!$C$16),OR(MONTH(N35)&gt;=Setup!$C$15,MONTH(N35)&lt;=Setup!$C$16)),IF(Setup!$C$15&lt;=Setup!$C$16,AND(MONTH(WORKDAY(N35,-(Setup!$C$13+Setup!$G$32),Setup!$C$39:$C$50))&gt;=Setup!$C$15,MONTH(WORKDAY(N35,-(Setup!$C$13+Setup!$G$32),Setup!$C$39:$C$50))&lt;=Setup!$C$16),OR(MONTH(WORKDAY(N35,-(Setup!$C$13+Setup!$G$32),Setup!$C$39:$C$50))&gt;=Setup!$C$15,MONTH(WORKDAY(N35,-(Setup!$C$13+Setup!$G$32),Setup!$C$39:$C$50))&lt;=Setup!$C$16))),WORKDAY(N35,-(Setup!$C$13+Setup!$G$32+Setup!$C$14),Setup!$C$39:$C$50),WORKDAY(N35,-(Setup!$C$13+Setup!$G$32),Setup!$C$39:$C$50))+(30*100+13)/10000000)))</f>
        <v/>
      </c>
      <c r="AE35" t="str">
        <f>IF(O35="","",IF(O35&lt;Setup!$C$5-Setup!$C$6,"",IF(IF(ISNUMBER(Roster!$D35),Setup!$C$33&lt;=Roster!$D35,FALSE),"",IF(OR(IF(Setup!$C$15&lt;=Setup!$C$16,AND(MONTH(O35)&gt;=Setup!$C$15,MONTH(O35)&lt;=Setup!$C$16),OR(MONTH(O35)&gt;=Setup!$C$15,MONTH(O35)&lt;=Setup!$C$16)),IF(Setup!$C$15&lt;=Setup!$C$16,AND(MONTH(WORKDAY(O35,-(Setup!$C$13+Setup!$G$33),Setup!$C$39:$C$50))&gt;=Setup!$C$15,MONTH(WORKDAY(O35,-(Setup!$C$13+Setup!$G$33),Setup!$C$39:$C$50))&lt;=Setup!$C$16),OR(MONTH(WORKDAY(O35,-(Setup!$C$13+Setup!$G$33),Setup!$C$39:$C$50))&gt;=Setup!$C$15,MONTH(WORKDAY(O35,-(Setup!$C$13+Setup!$G$33),Setup!$C$39:$C$50))&lt;=Setup!$C$16))),WORKDAY(O35,-(Setup!$C$13+Setup!$G$33+Setup!$C$14),Setup!$C$39:$C$50),WORKDAY(O35,-(Setup!$C$13+Setup!$G$33),Setup!$C$39:$C$50))+(30*100+14)/10000000)))</f>
        <v/>
      </c>
      <c r="AF35" t="str">
        <f>IF(P35="","",IF(P35&lt;Setup!$C$5-Setup!$C$6,"",IF(IF(ISNUMBER(Roster!$D35),Setup!$C$34&lt;=Roster!$D35,FALSE),"",IF(OR(IF(Setup!$C$15&lt;=Setup!$C$16,AND(MONTH(P35)&gt;=Setup!$C$15,MONTH(P35)&lt;=Setup!$C$16),OR(MONTH(P35)&gt;=Setup!$C$15,MONTH(P35)&lt;=Setup!$C$16)),IF(Setup!$C$15&lt;=Setup!$C$16,AND(MONTH(WORKDAY(P35,-(Setup!$C$13+Setup!$G$34),Setup!$C$39:$C$50))&gt;=Setup!$C$15,MONTH(WORKDAY(P35,-(Setup!$C$13+Setup!$G$34),Setup!$C$39:$C$50))&lt;=Setup!$C$16),OR(MONTH(WORKDAY(P35,-(Setup!$C$13+Setup!$G$34),Setup!$C$39:$C$50))&gt;=Setup!$C$15,MONTH(WORKDAY(P35,-(Setup!$C$13+Setup!$G$34),Setup!$C$39:$C$50))&lt;=Setup!$C$16))),WORKDAY(P35,-(Setup!$C$13+Setup!$G$34+Setup!$C$14),Setup!$C$39:$C$50),WORKDAY(P35,-(Setup!$C$13+Setup!$G$34),Setup!$C$39:$C$50))+(30*100+15)/10000000)))</f>
        <v/>
      </c>
      <c r="AH35" t="str">
        <f t="shared" si="0"/>
        <v/>
      </c>
      <c r="AI35" t="str">
        <f t="shared" si="1"/>
        <v/>
      </c>
      <c r="AK35" t="str">
        <f ca="1">IF(30&gt;$AK$2,"",SMALL($R$6:$AF$505,30))</f>
        <v/>
      </c>
      <c r="AL35" t="str">
        <f t="shared" ca="1" si="2"/>
        <v/>
      </c>
      <c r="AM35" t="str">
        <f t="shared" ca="1" si="3"/>
        <v/>
      </c>
      <c r="AN35" t="str">
        <f t="shared" ca="1" si="4"/>
        <v/>
      </c>
      <c r="AP35" t="str">
        <f>IF(ISNUMBER(Roster!$B35),MAX(1,YEAR(Setup!$C$5)-YEAR(Roster!$B35)+IF(EDATE(Roster!$B35,12*(YEAR(Setup!$C$5)-YEAR(Roster!$B35)))&lt;Setup!$C$5,1,0)),"")</f>
        <v/>
      </c>
      <c r="AQ35" s="32" t="str">
        <f>IF(AP35="","",EDATE(Roster!$B35,12*AP35))</f>
        <v/>
      </c>
      <c r="AR35" t="str">
        <f>IF(AQ35="","",IF(AQ35&lt;DATE(YEAR(Setup!$C$5)+1,MONTH(Setup!$C$5),DAY(Setup!$C$5)),AQ35+30/1000,""))</f>
        <v/>
      </c>
      <c r="AS35" t="str">
        <f t="shared" si="5"/>
        <v/>
      </c>
      <c r="AT35" t="str">
        <f>IF(AS35="","",IF(ISNUMBER(Roster!$D35),Roster!$D35&gt;=AP35,FALSE))</f>
        <v/>
      </c>
      <c r="AU35" t="str">
        <f t="shared" si="6"/>
        <v/>
      </c>
      <c r="AV35" t="str">
        <f ca="1">IF(30&gt;$AV$2,"",SMALL($AR$6:$AR$505,30))</f>
        <v/>
      </c>
      <c r="AW35" t="str">
        <f t="shared" ca="1" si="7"/>
        <v/>
      </c>
    </row>
    <row r="36" spans="2:52" x14ac:dyDescent="0.2">
      <c r="B36" s="32" t="str">
        <f>IF(AND(ISNUMBER(Roster!$B36),Setup!$B$20="Yes",ISNUMBER(Setup!$C$20)),EDATE(Roster!$B36,12*Setup!$C$20),"")</f>
        <v/>
      </c>
      <c r="C36" s="32" t="str">
        <f>IF(AND(ISNUMBER(Roster!$B36),Setup!$B$21="Yes",ISNUMBER(Setup!$C$21)),EDATE(Roster!$B36,12*Setup!$C$21),"")</f>
        <v/>
      </c>
      <c r="D36" s="32" t="str">
        <f>IF(AND(ISNUMBER(Roster!$B36),Setup!$B$22="Yes",ISNUMBER(Setup!$C$22)),EDATE(Roster!$B36,12*Setup!$C$22),"")</f>
        <v/>
      </c>
      <c r="E36" s="32" t="str">
        <f>IF(AND(ISNUMBER(Roster!$B36),Setup!$B$23="Yes",ISNUMBER(Setup!$C$23)),EDATE(Roster!$B36,12*Setup!$C$23),"")</f>
        <v/>
      </c>
      <c r="F36" s="32" t="str">
        <f>IF(AND(ISNUMBER(Roster!$B36),Setup!$B$24="Yes",ISNUMBER(Setup!$C$24)),EDATE(Roster!$B36,12*Setup!$C$24),"")</f>
        <v/>
      </c>
      <c r="G36" s="32" t="str">
        <f>IF(AND(ISNUMBER(Roster!$B36),Setup!$B$25="Yes",ISNUMBER(Setup!$C$25)),EDATE(Roster!$B36,12*Setup!$C$25),"")</f>
        <v/>
      </c>
      <c r="H36" s="32" t="str">
        <f>IF(AND(ISNUMBER(Roster!$B36),Setup!$B$26="Yes",ISNUMBER(Setup!$C$26)),EDATE(Roster!$B36,12*Setup!$C$26),"")</f>
        <v/>
      </c>
      <c r="I36" s="32" t="str">
        <f>IF(AND(ISNUMBER(Roster!$B36),Setup!$B$27="Yes",ISNUMBER(Setup!$C$27)),EDATE(Roster!$B36,12*Setup!$C$27),"")</f>
        <v/>
      </c>
      <c r="J36" s="32" t="str">
        <f>IF(AND(ISNUMBER(Roster!$B36),Setup!$B$28="Yes",ISNUMBER(Setup!$C$28)),EDATE(Roster!$B36,12*Setup!$C$28),"")</f>
        <v/>
      </c>
      <c r="K36" s="32" t="str">
        <f>IF(AND(ISNUMBER(Roster!$B36),Setup!$B$29="Yes",ISNUMBER(Setup!$C$29)),EDATE(Roster!$B36,12*Setup!$C$29),"")</f>
        <v/>
      </c>
      <c r="L36" s="32" t="str">
        <f>IF(AND(ISNUMBER(Roster!$B36),Setup!$B$30="Yes",ISNUMBER(Setup!$C$30)),EDATE(Roster!$B36,12*Setup!$C$30),"")</f>
        <v/>
      </c>
      <c r="M36" s="32" t="str">
        <f>IF(AND(ISNUMBER(Roster!$B36),Setup!$B$31="Yes",ISNUMBER(Setup!$C$31)),EDATE(Roster!$B36,12*Setup!$C$31),"")</f>
        <v/>
      </c>
      <c r="N36" s="32" t="str">
        <f>IF(AND(ISNUMBER(Roster!$B36),Setup!$B$32="Yes",ISNUMBER(Setup!$C$32)),EDATE(Roster!$B36,12*Setup!$C$32),"")</f>
        <v/>
      </c>
      <c r="O36" s="32" t="str">
        <f>IF(AND(ISNUMBER(Roster!$B36),Setup!$B$33="Yes",ISNUMBER(Setup!$C$33)),EDATE(Roster!$B36,12*Setup!$C$33),"")</f>
        <v/>
      </c>
      <c r="P36" s="32" t="str">
        <f>IF(AND(ISNUMBER(Roster!$B36),Setup!$B$34="Yes",ISNUMBER(Setup!$C$34)),EDATE(Roster!$B36,12*Setup!$C$34),"")</f>
        <v/>
      </c>
      <c r="R36" t="str">
        <f>IF(B36="","",IF(B36&lt;Setup!$C$5-Setup!$C$6,"",IF(IF(ISNUMBER(Roster!$D36),Setup!$C$20&lt;=Roster!$D36,FALSE),"",IF(OR(IF(Setup!$C$15&lt;=Setup!$C$16,AND(MONTH(B36)&gt;=Setup!$C$15,MONTH(B36)&lt;=Setup!$C$16),OR(MONTH(B36)&gt;=Setup!$C$15,MONTH(B36)&lt;=Setup!$C$16)),IF(Setup!$C$15&lt;=Setup!$C$16,AND(MONTH(WORKDAY(B36,-(Setup!$C$13+Setup!$G$20),Setup!$C$39:$C$50))&gt;=Setup!$C$15,MONTH(WORKDAY(B36,-(Setup!$C$13+Setup!$G$20),Setup!$C$39:$C$50))&lt;=Setup!$C$16),OR(MONTH(WORKDAY(B36,-(Setup!$C$13+Setup!$G$20),Setup!$C$39:$C$50))&gt;=Setup!$C$15,MONTH(WORKDAY(B36,-(Setup!$C$13+Setup!$G$20),Setup!$C$39:$C$50))&lt;=Setup!$C$16))),WORKDAY(B36,-(Setup!$C$13+Setup!$G$20+Setup!$C$14),Setup!$C$39:$C$50),WORKDAY(B36,-(Setup!$C$13+Setup!$G$20),Setup!$C$39:$C$50))+(31*100+1)/10000000)))</f>
        <v/>
      </c>
      <c r="S36" t="str">
        <f>IF(C36="","",IF(C36&lt;Setup!$C$5-Setup!$C$6,"",IF(IF(ISNUMBER(Roster!$D36),Setup!$C$21&lt;=Roster!$D36,FALSE),"",IF(OR(IF(Setup!$C$15&lt;=Setup!$C$16,AND(MONTH(C36)&gt;=Setup!$C$15,MONTH(C36)&lt;=Setup!$C$16),OR(MONTH(C36)&gt;=Setup!$C$15,MONTH(C36)&lt;=Setup!$C$16)),IF(Setup!$C$15&lt;=Setup!$C$16,AND(MONTH(WORKDAY(C36,-(Setup!$C$13+Setup!$G$21),Setup!$C$39:$C$50))&gt;=Setup!$C$15,MONTH(WORKDAY(C36,-(Setup!$C$13+Setup!$G$21),Setup!$C$39:$C$50))&lt;=Setup!$C$16),OR(MONTH(WORKDAY(C36,-(Setup!$C$13+Setup!$G$21),Setup!$C$39:$C$50))&gt;=Setup!$C$15,MONTH(WORKDAY(C36,-(Setup!$C$13+Setup!$G$21),Setup!$C$39:$C$50))&lt;=Setup!$C$16))),WORKDAY(C36,-(Setup!$C$13+Setup!$G$21+Setup!$C$14),Setup!$C$39:$C$50),WORKDAY(C36,-(Setup!$C$13+Setup!$G$21),Setup!$C$39:$C$50))+(31*100+2)/10000000)))</f>
        <v/>
      </c>
      <c r="T36" t="str">
        <f>IF(D36="","",IF(D36&lt;Setup!$C$5-Setup!$C$6,"",IF(IF(ISNUMBER(Roster!$D36),Setup!$C$22&lt;=Roster!$D36,FALSE),"",IF(OR(IF(Setup!$C$15&lt;=Setup!$C$16,AND(MONTH(D36)&gt;=Setup!$C$15,MONTH(D36)&lt;=Setup!$C$16),OR(MONTH(D36)&gt;=Setup!$C$15,MONTH(D36)&lt;=Setup!$C$16)),IF(Setup!$C$15&lt;=Setup!$C$16,AND(MONTH(WORKDAY(D36,-(Setup!$C$13+Setup!$G$22),Setup!$C$39:$C$50))&gt;=Setup!$C$15,MONTH(WORKDAY(D36,-(Setup!$C$13+Setup!$G$22),Setup!$C$39:$C$50))&lt;=Setup!$C$16),OR(MONTH(WORKDAY(D36,-(Setup!$C$13+Setup!$G$22),Setup!$C$39:$C$50))&gt;=Setup!$C$15,MONTH(WORKDAY(D36,-(Setup!$C$13+Setup!$G$22),Setup!$C$39:$C$50))&lt;=Setup!$C$16))),WORKDAY(D36,-(Setup!$C$13+Setup!$G$22+Setup!$C$14),Setup!$C$39:$C$50),WORKDAY(D36,-(Setup!$C$13+Setup!$G$22),Setup!$C$39:$C$50))+(31*100+3)/10000000)))</f>
        <v/>
      </c>
      <c r="U36" t="str">
        <f>IF(E36="","",IF(E36&lt;Setup!$C$5-Setup!$C$6,"",IF(IF(ISNUMBER(Roster!$D36),Setup!$C$23&lt;=Roster!$D36,FALSE),"",IF(OR(IF(Setup!$C$15&lt;=Setup!$C$16,AND(MONTH(E36)&gt;=Setup!$C$15,MONTH(E36)&lt;=Setup!$C$16),OR(MONTH(E36)&gt;=Setup!$C$15,MONTH(E36)&lt;=Setup!$C$16)),IF(Setup!$C$15&lt;=Setup!$C$16,AND(MONTH(WORKDAY(E36,-(Setup!$C$13+Setup!$G$23),Setup!$C$39:$C$50))&gt;=Setup!$C$15,MONTH(WORKDAY(E36,-(Setup!$C$13+Setup!$G$23),Setup!$C$39:$C$50))&lt;=Setup!$C$16),OR(MONTH(WORKDAY(E36,-(Setup!$C$13+Setup!$G$23),Setup!$C$39:$C$50))&gt;=Setup!$C$15,MONTH(WORKDAY(E36,-(Setup!$C$13+Setup!$G$23),Setup!$C$39:$C$50))&lt;=Setup!$C$16))),WORKDAY(E36,-(Setup!$C$13+Setup!$G$23+Setup!$C$14),Setup!$C$39:$C$50),WORKDAY(E36,-(Setup!$C$13+Setup!$G$23),Setup!$C$39:$C$50))+(31*100+4)/10000000)))</f>
        <v/>
      </c>
      <c r="V36" t="str">
        <f>IF(F36="","",IF(F36&lt;Setup!$C$5-Setup!$C$6,"",IF(IF(ISNUMBER(Roster!$D36),Setup!$C$24&lt;=Roster!$D36,FALSE),"",IF(OR(IF(Setup!$C$15&lt;=Setup!$C$16,AND(MONTH(F36)&gt;=Setup!$C$15,MONTH(F36)&lt;=Setup!$C$16),OR(MONTH(F36)&gt;=Setup!$C$15,MONTH(F36)&lt;=Setup!$C$16)),IF(Setup!$C$15&lt;=Setup!$C$16,AND(MONTH(WORKDAY(F36,-(Setup!$C$13+Setup!$G$24),Setup!$C$39:$C$50))&gt;=Setup!$C$15,MONTH(WORKDAY(F36,-(Setup!$C$13+Setup!$G$24),Setup!$C$39:$C$50))&lt;=Setup!$C$16),OR(MONTH(WORKDAY(F36,-(Setup!$C$13+Setup!$G$24),Setup!$C$39:$C$50))&gt;=Setup!$C$15,MONTH(WORKDAY(F36,-(Setup!$C$13+Setup!$G$24),Setup!$C$39:$C$50))&lt;=Setup!$C$16))),WORKDAY(F36,-(Setup!$C$13+Setup!$G$24+Setup!$C$14),Setup!$C$39:$C$50),WORKDAY(F36,-(Setup!$C$13+Setup!$G$24),Setup!$C$39:$C$50))+(31*100+5)/10000000)))</f>
        <v/>
      </c>
      <c r="W36" t="str">
        <f>IF(G36="","",IF(G36&lt;Setup!$C$5-Setup!$C$6,"",IF(IF(ISNUMBER(Roster!$D36),Setup!$C$25&lt;=Roster!$D36,FALSE),"",IF(OR(IF(Setup!$C$15&lt;=Setup!$C$16,AND(MONTH(G36)&gt;=Setup!$C$15,MONTH(G36)&lt;=Setup!$C$16),OR(MONTH(G36)&gt;=Setup!$C$15,MONTH(G36)&lt;=Setup!$C$16)),IF(Setup!$C$15&lt;=Setup!$C$16,AND(MONTH(WORKDAY(G36,-(Setup!$C$13+Setup!$G$25),Setup!$C$39:$C$50))&gt;=Setup!$C$15,MONTH(WORKDAY(G36,-(Setup!$C$13+Setup!$G$25),Setup!$C$39:$C$50))&lt;=Setup!$C$16),OR(MONTH(WORKDAY(G36,-(Setup!$C$13+Setup!$G$25),Setup!$C$39:$C$50))&gt;=Setup!$C$15,MONTH(WORKDAY(G36,-(Setup!$C$13+Setup!$G$25),Setup!$C$39:$C$50))&lt;=Setup!$C$16))),WORKDAY(G36,-(Setup!$C$13+Setup!$G$25+Setup!$C$14),Setup!$C$39:$C$50),WORKDAY(G36,-(Setup!$C$13+Setup!$G$25),Setup!$C$39:$C$50))+(31*100+6)/10000000)))</f>
        <v/>
      </c>
      <c r="X36" t="str">
        <f>IF(H36="","",IF(H36&lt;Setup!$C$5-Setup!$C$6,"",IF(IF(ISNUMBER(Roster!$D36),Setup!$C$26&lt;=Roster!$D36,FALSE),"",IF(OR(IF(Setup!$C$15&lt;=Setup!$C$16,AND(MONTH(H36)&gt;=Setup!$C$15,MONTH(H36)&lt;=Setup!$C$16),OR(MONTH(H36)&gt;=Setup!$C$15,MONTH(H36)&lt;=Setup!$C$16)),IF(Setup!$C$15&lt;=Setup!$C$16,AND(MONTH(WORKDAY(H36,-(Setup!$C$13+Setup!$G$26),Setup!$C$39:$C$50))&gt;=Setup!$C$15,MONTH(WORKDAY(H36,-(Setup!$C$13+Setup!$G$26),Setup!$C$39:$C$50))&lt;=Setup!$C$16),OR(MONTH(WORKDAY(H36,-(Setup!$C$13+Setup!$G$26),Setup!$C$39:$C$50))&gt;=Setup!$C$15,MONTH(WORKDAY(H36,-(Setup!$C$13+Setup!$G$26),Setup!$C$39:$C$50))&lt;=Setup!$C$16))),WORKDAY(H36,-(Setup!$C$13+Setup!$G$26+Setup!$C$14),Setup!$C$39:$C$50),WORKDAY(H36,-(Setup!$C$13+Setup!$G$26),Setup!$C$39:$C$50))+(31*100+7)/10000000)))</f>
        <v/>
      </c>
      <c r="Y36" t="str">
        <f>IF(I36="","",IF(I36&lt;Setup!$C$5-Setup!$C$6,"",IF(IF(ISNUMBER(Roster!$D36),Setup!$C$27&lt;=Roster!$D36,FALSE),"",IF(OR(IF(Setup!$C$15&lt;=Setup!$C$16,AND(MONTH(I36)&gt;=Setup!$C$15,MONTH(I36)&lt;=Setup!$C$16),OR(MONTH(I36)&gt;=Setup!$C$15,MONTH(I36)&lt;=Setup!$C$16)),IF(Setup!$C$15&lt;=Setup!$C$16,AND(MONTH(WORKDAY(I36,-(Setup!$C$13+Setup!$G$27),Setup!$C$39:$C$50))&gt;=Setup!$C$15,MONTH(WORKDAY(I36,-(Setup!$C$13+Setup!$G$27),Setup!$C$39:$C$50))&lt;=Setup!$C$16),OR(MONTH(WORKDAY(I36,-(Setup!$C$13+Setup!$G$27),Setup!$C$39:$C$50))&gt;=Setup!$C$15,MONTH(WORKDAY(I36,-(Setup!$C$13+Setup!$G$27),Setup!$C$39:$C$50))&lt;=Setup!$C$16))),WORKDAY(I36,-(Setup!$C$13+Setup!$G$27+Setup!$C$14),Setup!$C$39:$C$50),WORKDAY(I36,-(Setup!$C$13+Setup!$G$27),Setup!$C$39:$C$50))+(31*100+8)/10000000)))</f>
        <v/>
      </c>
      <c r="Z36" t="str">
        <f>IF(J36="","",IF(J36&lt;Setup!$C$5-Setup!$C$6,"",IF(IF(ISNUMBER(Roster!$D36),Setup!$C$28&lt;=Roster!$D36,FALSE),"",IF(OR(IF(Setup!$C$15&lt;=Setup!$C$16,AND(MONTH(J36)&gt;=Setup!$C$15,MONTH(J36)&lt;=Setup!$C$16),OR(MONTH(J36)&gt;=Setup!$C$15,MONTH(J36)&lt;=Setup!$C$16)),IF(Setup!$C$15&lt;=Setup!$C$16,AND(MONTH(WORKDAY(J36,-(Setup!$C$13+Setup!$G$28),Setup!$C$39:$C$50))&gt;=Setup!$C$15,MONTH(WORKDAY(J36,-(Setup!$C$13+Setup!$G$28),Setup!$C$39:$C$50))&lt;=Setup!$C$16),OR(MONTH(WORKDAY(J36,-(Setup!$C$13+Setup!$G$28),Setup!$C$39:$C$50))&gt;=Setup!$C$15,MONTH(WORKDAY(J36,-(Setup!$C$13+Setup!$G$28),Setup!$C$39:$C$50))&lt;=Setup!$C$16))),WORKDAY(J36,-(Setup!$C$13+Setup!$G$28+Setup!$C$14),Setup!$C$39:$C$50),WORKDAY(J36,-(Setup!$C$13+Setup!$G$28),Setup!$C$39:$C$50))+(31*100+9)/10000000)))</f>
        <v/>
      </c>
      <c r="AA36" t="str">
        <f>IF(K36="","",IF(K36&lt;Setup!$C$5-Setup!$C$6,"",IF(IF(ISNUMBER(Roster!$D36),Setup!$C$29&lt;=Roster!$D36,FALSE),"",IF(OR(IF(Setup!$C$15&lt;=Setup!$C$16,AND(MONTH(K36)&gt;=Setup!$C$15,MONTH(K36)&lt;=Setup!$C$16),OR(MONTH(K36)&gt;=Setup!$C$15,MONTH(K36)&lt;=Setup!$C$16)),IF(Setup!$C$15&lt;=Setup!$C$16,AND(MONTH(WORKDAY(K36,-(Setup!$C$13+Setup!$G$29),Setup!$C$39:$C$50))&gt;=Setup!$C$15,MONTH(WORKDAY(K36,-(Setup!$C$13+Setup!$G$29),Setup!$C$39:$C$50))&lt;=Setup!$C$16),OR(MONTH(WORKDAY(K36,-(Setup!$C$13+Setup!$G$29),Setup!$C$39:$C$50))&gt;=Setup!$C$15,MONTH(WORKDAY(K36,-(Setup!$C$13+Setup!$G$29),Setup!$C$39:$C$50))&lt;=Setup!$C$16))),WORKDAY(K36,-(Setup!$C$13+Setup!$G$29+Setup!$C$14),Setup!$C$39:$C$50),WORKDAY(K36,-(Setup!$C$13+Setup!$G$29),Setup!$C$39:$C$50))+(31*100+10)/10000000)))</f>
        <v/>
      </c>
      <c r="AB36" t="str">
        <f>IF(L36="","",IF(L36&lt;Setup!$C$5-Setup!$C$6,"",IF(IF(ISNUMBER(Roster!$D36),Setup!$C$30&lt;=Roster!$D36,FALSE),"",IF(OR(IF(Setup!$C$15&lt;=Setup!$C$16,AND(MONTH(L36)&gt;=Setup!$C$15,MONTH(L36)&lt;=Setup!$C$16),OR(MONTH(L36)&gt;=Setup!$C$15,MONTH(L36)&lt;=Setup!$C$16)),IF(Setup!$C$15&lt;=Setup!$C$16,AND(MONTH(WORKDAY(L36,-(Setup!$C$13+Setup!$G$30),Setup!$C$39:$C$50))&gt;=Setup!$C$15,MONTH(WORKDAY(L36,-(Setup!$C$13+Setup!$G$30),Setup!$C$39:$C$50))&lt;=Setup!$C$16),OR(MONTH(WORKDAY(L36,-(Setup!$C$13+Setup!$G$30),Setup!$C$39:$C$50))&gt;=Setup!$C$15,MONTH(WORKDAY(L36,-(Setup!$C$13+Setup!$G$30),Setup!$C$39:$C$50))&lt;=Setup!$C$16))),WORKDAY(L36,-(Setup!$C$13+Setup!$G$30+Setup!$C$14),Setup!$C$39:$C$50),WORKDAY(L36,-(Setup!$C$13+Setup!$G$30),Setup!$C$39:$C$50))+(31*100+11)/10000000)))</f>
        <v/>
      </c>
      <c r="AC36" t="str">
        <f>IF(M36="","",IF(M36&lt;Setup!$C$5-Setup!$C$6,"",IF(IF(ISNUMBER(Roster!$D36),Setup!$C$31&lt;=Roster!$D36,FALSE),"",IF(OR(IF(Setup!$C$15&lt;=Setup!$C$16,AND(MONTH(M36)&gt;=Setup!$C$15,MONTH(M36)&lt;=Setup!$C$16),OR(MONTH(M36)&gt;=Setup!$C$15,MONTH(M36)&lt;=Setup!$C$16)),IF(Setup!$C$15&lt;=Setup!$C$16,AND(MONTH(WORKDAY(M36,-(Setup!$C$13+Setup!$G$31),Setup!$C$39:$C$50))&gt;=Setup!$C$15,MONTH(WORKDAY(M36,-(Setup!$C$13+Setup!$G$31),Setup!$C$39:$C$50))&lt;=Setup!$C$16),OR(MONTH(WORKDAY(M36,-(Setup!$C$13+Setup!$G$31),Setup!$C$39:$C$50))&gt;=Setup!$C$15,MONTH(WORKDAY(M36,-(Setup!$C$13+Setup!$G$31),Setup!$C$39:$C$50))&lt;=Setup!$C$16))),WORKDAY(M36,-(Setup!$C$13+Setup!$G$31+Setup!$C$14),Setup!$C$39:$C$50),WORKDAY(M36,-(Setup!$C$13+Setup!$G$31),Setup!$C$39:$C$50))+(31*100+12)/10000000)))</f>
        <v/>
      </c>
      <c r="AD36" t="str">
        <f>IF(N36="","",IF(N36&lt;Setup!$C$5-Setup!$C$6,"",IF(IF(ISNUMBER(Roster!$D36),Setup!$C$32&lt;=Roster!$D36,FALSE),"",IF(OR(IF(Setup!$C$15&lt;=Setup!$C$16,AND(MONTH(N36)&gt;=Setup!$C$15,MONTH(N36)&lt;=Setup!$C$16),OR(MONTH(N36)&gt;=Setup!$C$15,MONTH(N36)&lt;=Setup!$C$16)),IF(Setup!$C$15&lt;=Setup!$C$16,AND(MONTH(WORKDAY(N36,-(Setup!$C$13+Setup!$G$32),Setup!$C$39:$C$50))&gt;=Setup!$C$15,MONTH(WORKDAY(N36,-(Setup!$C$13+Setup!$G$32),Setup!$C$39:$C$50))&lt;=Setup!$C$16),OR(MONTH(WORKDAY(N36,-(Setup!$C$13+Setup!$G$32),Setup!$C$39:$C$50))&gt;=Setup!$C$15,MONTH(WORKDAY(N36,-(Setup!$C$13+Setup!$G$32),Setup!$C$39:$C$50))&lt;=Setup!$C$16))),WORKDAY(N36,-(Setup!$C$13+Setup!$G$32+Setup!$C$14),Setup!$C$39:$C$50),WORKDAY(N36,-(Setup!$C$13+Setup!$G$32),Setup!$C$39:$C$50))+(31*100+13)/10000000)))</f>
        <v/>
      </c>
      <c r="AE36" t="str">
        <f>IF(O36="","",IF(O36&lt;Setup!$C$5-Setup!$C$6,"",IF(IF(ISNUMBER(Roster!$D36),Setup!$C$33&lt;=Roster!$D36,FALSE),"",IF(OR(IF(Setup!$C$15&lt;=Setup!$C$16,AND(MONTH(O36)&gt;=Setup!$C$15,MONTH(O36)&lt;=Setup!$C$16),OR(MONTH(O36)&gt;=Setup!$C$15,MONTH(O36)&lt;=Setup!$C$16)),IF(Setup!$C$15&lt;=Setup!$C$16,AND(MONTH(WORKDAY(O36,-(Setup!$C$13+Setup!$G$33),Setup!$C$39:$C$50))&gt;=Setup!$C$15,MONTH(WORKDAY(O36,-(Setup!$C$13+Setup!$G$33),Setup!$C$39:$C$50))&lt;=Setup!$C$16),OR(MONTH(WORKDAY(O36,-(Setup!$C$13+Setup!$G$33),Setup!$C$39:$C$50))&gt;=Setup!$C$15,MONTH(WORKDAY(O36,-(Setup!$C$13+Setup!$G$33),Setup!$C$39:$C$50))&lt;=Setup!$C$16))),WORKDAY(O36,-(Setup!$C$13+Setup!$G$33+Setup!$C$14),Setup!$C$39:$C$50),WORKDAY(O36,-(Setup!$C$13+Setup!$G$33),Setup!$C$39:$C$50))+(31*100+14)/10000000)))</f>
        <v/>
      </c>
      <c r="AF36" t="str">
        <f>IF(P36="","",IF(P36&lt;Setup!$C$5-Setup!$C$6,"",IF(IF(ISNUMBER(Roster!$D36),Setup!$C$34&lt;=Roster!$D36,FALSE),"",IF(OR(IF(Setup!$C$15&lt;=Setup!$C$16,AND(MONTH(P36)&gt;=Setup!$C$15,MONTH(P36)&lt;=Setup!$C$16),OR(MONTH(P36)&gt;=Setup!$C$15,MONTH(P36)&lt;=Setup!$C$16)),IF(Setup!$C$15&lt;=Setup!$C$16,AND(MONTH(WORKDAY(P36,-(Setup!$C$13+Setup!$G$34),Setup!$C$39:$C$50))&gt;=Setup!$C$15,MONTH(WORKDAY(P36,-(Setup!$C$13+Setup!$G$34),Setup!$C$39:$C$50))&lt;=Setup!$C$16),OR(MONTH(WORKDAY(P36,-(Setup!$C$13+Setup!$G$34),Setup!$C$39:$C$50))&gt;=Setup!$C$15,MONTH(WORKDAY(P36,-(Setup!$C$13+Setup!$G$34),Setup!$C$39:$C$50))&lt;=Setup!$C$16))),WORKDAY(P36,-(Setup!$C$13+Setup!$G$34+Setup!$C$14),Setup!$C$39:$C$50),WORKDAY(P36,-(Setup!$C$13+Setup!$G$34),Setup!$C$39:$C$50))+(31*100+15)/10000000)))</f>
        <v/>
      </c>
      <c r="AH36" t="str">
        <f t="shared" si="0"/>
        <v/>
      </c>
      <c r="AI36" t="str">
        <f t="shared" si="1"/>
        <v/>
      </c>
      <c r="AK36" t="str">
        <f ca="1">IF(31&gt;$AK$2,"",SMALL($R$6:$AF$505,31))</f>
        <v/>
      </c>
      <c r="AL36" t="str">
        <f t="shared" ca="1" si="2"/>
        <v/>
      </c>
      <c r="AM36" t="str">
        <f t="shared" ca="1" si="3"/>
        <v/>
      </c>
      <c r="AN36" t="str">
        <f t="shared" ca="1" si="4"/>
        <v/>
      </c>
      <c r="AP36" t="str">
        <f>IF(ISNUMBER(Roster!$B36),MAX(1,YEAR(Setup!$C$5)-YEAR(Roster!$B36)+IF(EDATE(Roster!$B36,12*(YEAR(Setup!$C$5)-YEAR(Roster!$B36)))&lt;Setup!$C$5,1,0)),"")</f>
        <v/>
      </c>
      <c r="AQ36" s="32" t="str">
        <f>IF(AP36="","",EDATE(Roster!$B36,12*AP36))</f>
        <v/>
      </c>
      <c r="AR36" t="str">
        <f>IF(AQ36="","",IF(AQ36&lt;DATE(YEAR(Setup!$C$5)+1,MONTH(Setup!$C$5),DAY(Setup!$C$5)),AQ36+31/1000,""))</f>
        <v/>
      </c>
      <c r="AS36" t="str">
        <f t="shared" si="5"/>
        <v/>
      </c>
      <c r="AT36" t="str">
        <f>IF(AS36="","",IF(ISNUMBER(Roster!$D36),Roster!$D36&gt;=AP36,FALSE))</f>
        <v/>
      </c>
      <c r="AU36" t="str">
        <f t="shared" si="6"/>
        <v/>
      </c>
      <c r="AV36" t="str">
        <f ca="1">IF(31&gt;$AV$2,"",SMALL($AR$6:$AR$505,31))</f>
        <v/>
      </c>
      <c r="AW36" t="str">
        <f t="shared" ca="1" si="7"/>
        <v/>
      </c>
    </row>
    <row r="37" spans="2:52" x14ac:dyDescent="0.2">
      <c r="B37" s="32" t="str">
        <f>IF(AND(ISNUMBER(Roster!$B37),Setup!$B$20="Yes",ISNUMBER(Setup!$C$20)),EDATE(Roster!$B37,12*Setup!$C$20),"")</f>
        <v/>
      </c>
      <c r="C37" s="32" t="str">
        <f>IF(AND(ISNUMBER(Roster!$B37),Setup!$B$21="Yes",ISNUMBER(Setup!$C$21)),EDATE(Roster!$B37,12*Setup!$C$21),"")</f>
        <v/>
      </c>
      <c r="D37" s="32" t="str">
        <f>IF(AND(ISNUMBER(Roster!$B37),Setup!$B$22="Yes",ISNUMBER(Setup!$C$22)),EDATE(Roster!$B37,12*Setup!$C$22),"")</f>
        <v/>
      </c>
      <c r="E37" s="32" t="str">
        <f>IF(AND(ISNUMBER(Roster!$B37),Setup!$B$23="Yes",ISNUMBER(Setup!$C$23)),EDATE(Roster!$B37,12*Setup!$C$23),"")</f>
        <v/>
      </c>
      <c r="F37" s="32" t="str">
        <f>IF(AND(ISNUMBER(Roster!$B37),Setup!$B$24="Yes",ISNUMBER(Setup!$C$24)),EDATE(Roster!$B37,12*Setup!$C$24),"")</f>
        <v/>
      </c>
      <c r="G37" s="32" t="str">
        <f>IF(AND(ISNUMBER(Roster!$B37),Setup!$B$25="Yes",ISNUMBER(Setup!$C$25)),EDATE(Roster!$B37,12*Setup!$C$25),"")</f>
        <v/>
      </c>
      <c r="H37" s="32" t="str">
        <f>IF(AND(ISNUMBER(Roster!$B37),Setup!$B$26="Yes",ISNUMBER(Setup!$C$26)),EDATE(Roster!$B37,12*Setup!$C$26),"")</f>
        <v/>
      </c>
      <c r="I37" s="32" t="str">
        <f>IF(AND(ISNUMBER(Roster!$B37),Setup!$B$27="Yes",ISNUMBER(Setup!$C$27)),EDATE(Roster!$B37,12*Setup!$C$27),"")</f>
        <v/>
      </c>
      <c r="J37" s="32" t="str">
        <f>IF(AND(ISNUMBER(Roster!$B37),Setup!$B$28="Yes",ISNUMBER(Setup!$C$28)),EDATE(Roster!$B37,12*Setup!$C$28),"")</f>
        <v/>
      </c>
      <c r="K37" s="32" t="str">
        <f>IF(AND(ISNUMBER(Roster!$B37),Setup!$B$29="Yes",ISNUMBER(Setup!$C$29)),EDATE(Roster!$B37,12*Setup!$C$29),"")</f>
        <v/>
      </c>
      <c r="L37" s="32" t="str">
        <f>IF(AND(ISNUMBER(Roster!$B37),Setup!$B$30="Yes",ISNUMBER(Setup!$C$30)),EDATE(Roster!$B37,12*Setup!$C$30),"")</f>
        <v/>
      </c>
      <c r="M37" s="32" t="str">
        <f>IF(AND(ISNUMBER(Roster!$B37),Setup!$B$31="Yes",ISNUMBER(Setup!$C$31)),EDATE(Roster!$B37,12*Setup!$C$31),"")</f>
        <v/>
      </c>
      <c r="N37" s="32" t="str">
        <f>IF(AND(ISNUMBER(Roster!$B37),Setup!$B$32="Yes",ISNUMBER(Setup!$C$32)),EDATE(Roster!$B37,12*Setup!$C$32),"")</f>
        <v/>
      </c>
      <c r="O37" s="32" t="str">
        <f>IF(AND(ISNUMBER(Roster!$B37),Setup!$B$33="Yes",ISNUMBER(Setup!$C$33)),EDATE(Roster!$B37,12*Setup!$C$33),"")</f>
        <v/>
      </c>
      <c r="P37" s="32" t="str">
        <f>IF(AND(ISNUMBER(Roster!$B37),Setup!$B$34="Yes",ISNUMBER(Setup!$C$34)),EDATE(Roster!$B37,12*Setup!$C$34),"")</f>
        <v/>
      </c>
      <c r="R37" t="str">
        <f>IF(B37="","",IF(B37&lt;Setup!$C$5-Setup!$C$6,"",IF(IF(ISNUMBER(Roster!$D37),Setup!$C$20&lt;=Roster!$D37,FALSE),"",IF(OR(IF(Setup!$C$15&lt;=Setup!$C$16,AND(MONTH(B37)&gt;=Setup!$C$15,MONTH(B37)&lt;=Setup!$C$16),OR(MONTH(B37)&gt;=Setup!$C$15,MONTH(B37)&lt;=Setup!$C$16)),IF(Setup!$C$15&lt;=Setup!$C$16,AND(MONTH(WORKDAY(B37,-(Setup!$C$13+Setup!$G$20),Setup!$C$39:$C$50))&gt;=Setup!$C$15,MONTH(WORKDAY(B37,-(Setup!$C$13+Setup!$G$20),Setup!$C$39:$C$50))&lt;=Setup!$C$16),OR(MONTH(WORKDAY(B37,-(Setup!$C$13+Setup!$G$20),Setup!$C$39:$C$50))&gt;=Setup!$C$15,MONTH(WORKDAY(B37,-(Setup!$C$13+Setup!$G$20),Setup!$C$39:$C$50))&lt;=Setup!$C$16))),WORKDAY(B37,-(Setup!$C$13+Setup!$G$20+Setup!$C$14),Setup!$C$39:$C$50),WORKDAY(B37,-(Setup!$C$13+Setup!$G$20),Setup!$C$39:$C$50))+(32*100+1)/10000000)))</f>
        <v/>
      </c>
      <c r="S37" t="str">
        <f>IF(C37="","",IF(C37&lt;Setup!$C$5-Setup!$C$6,"",IF(IF(ISNUMBER(Roster!$D37),Setup!$C$21&lt;=Roster!$D37,FALSE),"",IF(OR(IF(Setup!$C$15&lt;=Setup!$C$16,AND(MONTH(C37)&gt;=Setup!$C$15,MONTH(C37)&lt;=Setup!$C$16),OR(MONTH(C37)&gt;=Setup!$C$15,MONTH(C37)&lt;=Setup!$C$16)),IF(Setup!$C$15&lt;=Setup!$C$16,AND(MONTH(WORKDAY(C37,-(Setup!$C$13+Setup!$G$21),Setup!$C$39:$C$50))&gt;=Setup!$C$15,MONTH(WORKDAY(C37,-(Setup!$C$13+Setup!$G$21),Setup!$C$39:$C$50))&lt;=Setup!$C$16),OR(MONTH(WORKDAY(C37,-(Setup!$C$13+Setup!$G$21),Setup!$C$39:$C$50))&gt;=Setup!$C$15,MONTH(WORKDAY(C37,-(Setup!$C$13+Setup!$G$21),Setup!$C$39:$C$50))&lt;=Setup!$C$16))),WORKDAY(C37,-(Setup!$C$13+Setup!$G$21+Setup!$C$14),Setup!$C$39:$C$50),WORKDAY(C37,-(Setup!$C$13+Setup!$G$21),Setup!$C$39:$C$50))+(32*100+2)/10000000)))</f>
        <v/>
      </c>
      <c r="T37" t="str">
        <f>IF(D37="","",IF(D37&lt;Setup!$C$5-Setup!$C$6,"",IF(IF(ISNUMBER(Roster!$D37),Setup!$C$22&lt;=Roster!$D37,FALSE),"",IF(OR(IF(Setup!$C$15&lt;=Setup!$C$16,AND(MONTH(D37)&gt;=Setup!$C$15,MONTH(D37)&lt;=Setup!$C$16),OR(MONTH(D37)&gt;=Setup!$C$15,MONTH(D37)&lt;=Setup!$C$16)),IF(Setup!$C$15&lt;=Setup!$C$16,AND(MONTH(WORKDAY(D37,-(Setup!$C$13+Setup!$G$22),Setup!$C$39:$C$50))&gt;=Setup!$C$15,MONTH(WORKDAY(D37,-(Setup!$C$13+Setup!$G$22),Setup!$C$39:$C$50))&lt;=Setup!$C$16),OR(MONTH(WORKDAY(D37,-(Setup!$C$13+Setup!$G$22),Setup!$C$39:$C$50))&gt;=Setup!$C$15,MONTH(WORKDAY(D37,-(Setup!$C$13+Setup!$G$22),Setup!$C$39:$C$50))&lt;=Setup!$C$16))),WORKDAY(D37,-(Setup!$C$13+Setup!$G$22+Setup!$C$14),Setup!$C$39:$C$50),WORKDAY(D37,-(Setup!$C$13+Setup!$G$22),Setup!$C$39:$C$50))+(32*100+3)/10000000)))</f>
        <v/>
      </c>
      <c r="U37" t="str">
        <f>IF(E37="","",IF(E37&lt;Setup!$C$5-Setup!$C$6,"",IF(IF(ISNUMBER(Roster!$D37),Setup!$C$23&lt;=Roster!$D37,FALSE),"",IF(OR(IF(Setup!$C$15&lt;=Setup!$C$16,AND(MONTH(E37)&gt;=Setup!$C$15,MONTH(E37)&lt;=Setup!$C$16),OR(MONTH(E37)&gt;=Setup!$C$15,MONTH(E37)&lt;=Setup!$C$16)),IF(Setup!$C$15&lt;=Setup!$C$16,AND(MONTH(WORKDAY(E37,-(Setup!$C$13+Setup!$G$23),Setup!$C$39:$C$50))&gt;=Setup!$C$15,MONTH(WORKDAY(E37,-(Setup!$C$13+Setup!$G$23),Setup!$C$39:$C$50))&lt;=Setup!$C$16),OR(MONTH(WORKDAY(E37,-(Setup!$C$13+Setup!$G$23),Setup!$C$39:$C$50))&gt;=Setup!$C$15,MONTH(WORKDAY(E37,-(Setup!$C$13+Setup!$G$23),Setup!$C$39:$C$50))&lt;=Setup!$C$16))),WORKDAY(E37,-(Setup!$C$13+Setup!$G$23+Setup!$C$14),Setup!$C$39:$C$50),WORKDAY(E37,-(Setup!$C$13+Setup!$G$23),Setup!$C$39:$C$50))+(32*100+4)/10000000)))</f>
        <v/>
      </c>
      <c r="V37" t="str">
        <f>IF(F37="","",IF(F37&lt;Setup!$C$5-Setup!$C$6,"",IF(IF(ISNUMBER(Roster!$D37),Setup!$C$24&lt;=Roster!$D37,FALSE),"",IF(OR(IF(Setup!$C$15&lt;=Setup!$C$16,AND(MONTH(F37)&gt;=Setup!$C$15,MONTH(F37)&lt;=Setup!$C$16),OR(MONTH(F37)&gt;=Setup!$C$15,MONTH(F37)&lt;=Setup!$C$16)),IF(Setup!$C$15&lt;=Setup!$C$16,AND(MONTH(WORKDAY(F37,-(Setup!$C$13+Setup!$G$24),Setup!$C$39:$C$50))&gt;=Setup!$C$15,MONTH(WORKDAY(F37,-(Setup!$C$13+Setup!$G$24),Setup!$C$39:$C$50))&lt;=Setup!$C$16),OR(MONTH(WORKDAY(F37,-(Setup!$C$13+Setup!$G$24),Setup!$C$39:$C$50))&gt;=Setup!$C$15,MONTH(WORKDAY(F37,-(Setup!$C$13+Setup!$G$24),Setup!$C$39:$C$50))&lt;=Setup!$C$16))),WORKDAY(F37,-(Setup!$C$13+Setup!$G$24+Setup!$C$14),Setup!$C$39:$C$50),WORKDAY(F37,-(Setup!$C$13+Setup!$G$24),Setup!$C$39:$C$50))+(32*100+5)/10000000)))</f>
        <v/>
      </c>
      <c r="W37" t="str">
        <f>IF(G37="","",IF(G37&lt;Setup!$C$5-Setup!$C$6,"",IF(IF(ISNUMBER(Roster!$D37),Setup!$C$25&lt;=Roster!$D37,FALSE),"",IF(OR(IF(Setup!$C$15&lt;=Setup!$C$16,AND(MONTH(G37)&gt;=Setup!$C$15,MONTH(G37)&lt;=Setup!$C$16),OR(MONTH(G37)&gt;=Setup!$C$15,MONTH(G37)&lt;=Setup!$C$16)),IF(Setup!$C$15&lt;=Setup!$C$16,AND(MONTH(WORKDAY(G37,-(Setup!$C$13+Setup!$G$25),Setup!$C$39:$C$50))&gt;=Setup!$C$15,MONTH(WORKDAY(G37,-(Setup!$C$13+Setup!$G$25),Setup!$C$39:$C$50))&lt;=Setup!$C$16),OR(MONTH(WORKDAY(G37,-(Setup!$C$13+Setup!$G$25),Setup!$C$39:$C$50))&gt;=Setup!$C$15,MONTH(WORKDAY(G37,-(Setup!$C$13+Setup!$G$25),Setup!$C$39:$C$50))&lt;=Setup!$C$16))),WORKDAY(G37,-(Setup!$C$13+Setup!$G$25+Setup!$C$14),Setup!$C$39:$C$50),WORKDAY(G37,-(Setup!$C$13+Setup!$G$25),Setup!$C$39:$C$50))+(32*100+6)/10000000)))</f>
        <v/>
      </c>
      <c r="X37" t="str">
        <f>IF(H37="","",IF(H37&lt;Setup!$C$5-Setup!$C$6,"",IF(IF(ISNUMBER(Roster!$D37),Setup!$C$26&lt;=Roster!$D37,FALSE),"",IF(OR(IF(Setup!$C$15&lt;=Setup!$C$16,AND(MONTH(H37)&gt;=Setup!$C$15,MONTH(H37)&lt;=Setup!$C$16),OR(MONTH(H37)&gt;=Setup!$C$15,MONTH(H37)&lt;=Setup!$C$16)),IF(Setup!$C$15&lt;=Setup!$C$16,AND(MONTH(WORKDAY(H37,-(Setup!$C$13+Setup!$G$26),Setup!$C$39:$C$50))&gt;=Setup!$C$15,MONTH(WORKDAY(H37,-(Setup!$C$13+Setup!$G$26),Setup!$C$39:$C$50))&lt;=Setup!$C$16),OR(MONTH(WORKDAY(H37,-(Setup!$C$13+Setup!$G$26),Setup!$C$39:$C$50))&gt;=Setup!$C$15,MONTH(WORKDAY(H37,-(Setup!$C$13+Setup!$G$26),Setup!$C$39:$C$50))&lt;=Setup!$C$16))),WORKDAY(H37,-(Setup!$C$13+Setup!$G$26+Setup!$C$14),Setup!$C$39:$C$50),WORKDAY(H37,-(Setup!$C$13+Setup!$G$26),Setup!$C$39:$C$50))+(32*100+7)/10000000)))</f>
        <v/>
      </c>
      <c r="Y37" t="str">
        <f>IF(I37="","",IF(I37&lt;Setup!$C$5-Setup!$C$6,"",IF(IF(ISNUMBER(Roster!$D37),Setup!$C$27&lt;=Roster!$D37,FALSE),"",IF(OR(IF(Setup!$C$15&lt;=Setup!$C$16,AND(MONTH(I37)&gt;=Setup!$C$15,MONTH(I37)&lt;=Setup!$C$16),OR(MONTH(I37)&gt;=Setup!$C$15,MONTH(I37)&lt;=Setup!$C$16)),IF(Setup!$C$15&lt;=Setup!$C$16,AND(MONTH(WORKDAY(I37,-(Setup!$C$13+Setup!$G$27),Setup!$C$39:$C$50))&gt;=Setup!$C$15,MONTH(WORKDAY(I37,-(Setup!$C$13+Setup!$G$27),Setup!$C$39:$C$50))&lt;=Setup!$C$16),OR(MONTH(WORKDAY(I37,-(Setup!$C$13+Setup!$G$27),Setup!$C$39:$C$50))&gt;=Setup!$C$15,MONTH(WORKDAY(I37,-(Setup!$C$13+Setup!$G$27),Setup!$C$39:$C$50))&lt;=Setup!$C$16))),WORKDAY(I37,-(Setup!$C$13+Setup!$G$27+Setup!$C$14),Setup!$C$39:$C$50),WORKDAY(I37,-(Setup!$C$13+Setup!$G$27),Setup!$C$39:$C$50))+(32*100+8)/10000000)))</f>
        <v/>
      </c>
      <c r="Z37" t="str">
        <f>IF(J37="","",IF(J37&lt;Setup!$C$5-Setup!$C$6,"",IF(IF(ISNUMBER(Roster!$D37),Setup!$C$28&lt;=Roster!$D37,FALSE),"",IF(OR(IF(Setup!$C$15&lt;=Setup!$C$16,AND(MONTH(J37)&gt;=Setup!$C$15,MONTH(J37)&lt;=Setup!$C$16),OR(MONTH(J37)&gt;=Setup!$C$15,MONTH(J37)&lt;=Setup!$C$16)),IF(Setup!$C$15&lt;=Setup!$C$16,AND(MONTH(WORKDAY(J37,-(Setup!$C$13+Setup!$G$28),Setup!$C$39:$C$50))&gt;=Setup!$C$15,MONTH(WORKDAY(J37,-(Setup!$C$13+Setup!$G$28),Setup!$C$39:$C$50))&lt;=Setup!$C$16),OR(MONTH(WORKDAY(J37,-(Setup!$C$13+Setup!$G$28),Setup!$C$39:$C$50))&gt;=Setup!$C$15,MONTH(WORKDAY(J37,-(Setup!$C$13+Setup!$G$28),Setup!$C$39:$C$50))&lt;=Setup!$C$16))),WORKDAY(J37,-(Setup!$C$13+Setup!$G$28+Setup!$C$14),Setup!$C$39:$C$50),WORKDAY(J37,-(Setup!$C$13+Setup!$G$28),Setup!$C$39:$C$50))+(32*100+9)/10000000)))</f>
        <v/>
      </c>
      <c r="AA37" t="str">
        <f>IF(K37="","",IF(K37&lt;Setup!$C$5-Setup!$C$6,"",IF(IF(ISNUMBER(Roster!$D37),Setup!$C$29&lt;=Roster!$D37,FALSE),"",IF(OR(IF(Setup!$C$15&lt;=Setup!$C$16,AND(MONTH(K37)&gt;=Setup!$C$15,MONTH(K37)&lt;=Setup!$C$16),OR(MONTH(K37)&gt;=Setup!$C$15,MONTH(K37)&lt;=Setup!$C$16)),IF(Setup!$C$15&lt;=Setup!$C$16,AND(MONTH(WORKDAY(K37,-(Setup!$C$13+Setup!$G$29),Setup!$C$39:$C$50))&gt;=Setup!$C$15,MONTH(WORKDAY(K37,-(Setup!$C$13+Setup!$G$29),Setup!$C$39:$C$50))&lt;=Setup!$C$16),OR(MONTH(WORKDAY(K37,-(Setup!$C$13+Setup!$G$29),Setup!$C$39:$C$50))&gt;=Setup!$C$15,MONTH(WORKDAY(K37,-(Setup!$C$13+Setup!$G$29),Setup!$C$39:$C$50))&lt;=Setup!$C$16))),WORKDAY(K37,-(Setup!$C$13+Setup!$G$29+Setup!$C$14),Setup!$C$39:$C$50),WORKDAY(K37,-(Setup!$C$13+Setup!$G$29),Setup!$C$39:$C$50))+(32*100+10)/10000000)))</f>
        <v/>
      </c>
      <c r="AB37" t="str">
        <f>IF(L37="","",IF(L37&lt;Setup!$C$5-Setup!$C$6,"",IF(IF(ISNUMBER(Roster!$D37),Setup!$C$30&lt;=Roster!$D37,FALSE),"",IF(OR(IF(Setup!$C$15&lt;=Setup!$C$16,AND(MONTH(L37)&gt;=Setup!$C$15,MONTH(L37)&lt;=Setup!$C$16),OR(MONTH(L37)&gt;=Setup!$C$15,MONTH(L37)&lt;=Setup!$C$16)),IF(Setup!$C$15&lt;=Setup!$C$16,AND(MONTH(WORKDAY(L37,-(Setup!$C$13+Setup!$G$30),Setup!$C$39:$C$50))&gt;=Setup!$C$15,MONTH(WORKDAY(L37,-(Setup!$C$13+Setup!$G$30),Setup!$C$39:$C$50))&lt;=Setup!$C$16),OR(MONTH(WORKDAY(L37,-(Setup!$C$13+Setup!$G$30),Setup!$C$39:$C$50))&gt;=Setup!$C$15,MONTH(WORKDAY(L37,-(Setup!$C$13+Setup!$G$30),Setup!$C$39:$C$50))&lt;=Setup!$C$16))),WORKDAY(L37,-(Setup!$C$13+Setup!$G$30+Setup!$C$14),Setup!$C$39:$C$50),WORKDAY(L37,-(Setup!$C$13+Setup!$G$30),Setup!$C$39:$C$50))+(32*100+11)/10000000)))</f>
        <v/>
      </c>
      <c r="AC37" t="str">
        <f>IF(M37="","",IF(M37&lt;Setup!$C$5-Setup!$C$6,"",IF(IF(ISNUMBER(Roster!$D37),Setup!$C$31&lt;=Roster!$D37,FALSE),"",IF(OR(IF(Setup!$C$15&lt;=Setup!$C$16,AND(MONTH(M37)&gt;=Setup!$C$15,MONTH(M37)&lt;=Setup!$C$16),OR(MONTH(M37)&gt;=Setup!$C$15,MONTH(M37)&lt;=Setup!$C$16)),IF(Setup!$C$15&lt;=Setup!$C$16,AND(MONTH(WORKDAY(M37,-(Setup!$C$13+Setup!$G$31),Setup!$C$39:$C$50))&gt;=Setup!$C$15,MONTH(WORKDAY(M37,-(Setup!$C$13+Setup!$G$31),Setup!$C$39:$C$50))&lt;=Setup!$C$16),OR(MONTH(WORKDAY(M37,-(Setup!$C$13+Setup!$G$31),Setup!$C$39:$C$50))&gt;=Setup!$C$15,MONTH(WORKDAY(M37,-(Setup!$C$13+Setup!$G$31),Setup!$C$39:$C$50))&lt;=Setup!$C$16))),WORKDAY(M37,-(Setup!$C$13+Setup!$G$31+Setup!$C$14),Setup!$C$39:$C$50),WORKDAY(M37,-(Setup!$C$13+Setup!$G$31),Setup!$C$39:$C$50))+(32*100+12)/10000000)))</f>
        <v/>
      </c>
      <c r="AD37" t="str">
        <f>IF(N37="","",IF(N37&lt;Setup!$C$5-Setup!$C$6,"",IF(IF(ISNUMBER(Roster!$D37),Setup!$C$32&lt;=Roster!$D37,FALSE),"",IF(OR(IF(Setup!$C$15&lt;=Setup!$C$16,AND(MONTH(N37)&gt;=Setup!$C$15,MONTH(N37)&lt;=Setup!$C$16),OR(MONTH(N37)&gt;=Setup!$C$15,MONTH(N37)&lt;=Setup!$C$16)),IF(Setup!$C$15&lt;=Setup!$C$16,AND(MONTH(WORKDAY(N37,-(Setup!$C$13+Setup!$G$32),Setup!$C$39:$C$50))&gt;=Setup!$C$15,MONTH(WORKDAY(N37,-(Setup!$C$13+Setup!$G$32),Setup!$C$39:$C$50))&lt;=Setup!$C$16),OR(MONTH(WORKDAY(N37,-(Setup!$C$13+Setup!$G$32),Setup!$C$39:$C$50))&gt;=Setup!$C$15,MONTH(WORKDAY(N37,-(Setup!$C$13+Setup!$G$32),Setup!$C$39:$C$50))&lt;=Setup!$C$16))),WORKDAY(N37,-(Setup!$C$13+Setup!$G$32+Setup!$C$14),Setup!$C$39:$C$50),WORKDAY(N37,-(Setup!$C$13+Setup!$G$32),Setup!$C$39:$C$50))+(32*100+13)/10000000)))</f>
        <v/>
      </c>
      <c r="AE37" t="str">
        <f>IF(O37="","",IF(O37&lt;Setup!$C$5-Setup!$C$6,"",IF(IF(ISNUMBER(Roster!$D37),Setup!$C$33&lt;=Roster!$D37,FALSE),"",IF(OR(IF(Setup!$C$15&lt;=Setup!$C$16,AND(MONTH(O37)&gt;=Setup!$C$15,MONTH(O37)&lt;=Setup!$C$16),OR(MONTH(O37)&gt;=Setup!$C$15,MONTH(O37)&lt;=Setup!$C$16)),IF(Setup!$C$15&lt;=Setup!$C$16,AND(MONTH(WORKDAY(O37,-(Setup!$C$13+Setup!$G$33),Setup!$C$39:$C$50))&gt;=Setup!$C$15,MONTH(WORKDAY(O37,-(Setup!$C$13+Setup!$G$33),Setup!$C$39:$C$50))&lt;=Setup!$C$16),OR(MONTH(WORKDAY(O37,-(Setup!$C$13+Setup!$G$33),Setup!$C$39:$C$50))&gt;=Setup!$C$15,MONTH(WORKDAY(O37,-(Setup!$C$13+Setup!$G$33),Setup!$C$39:$C$50))&lt;=Setup!$C$16))),WORKDAY(O37,-(Setup!$C$13+Setup!$G$33+Setup!$C$14),Setup!$C$39:$C$50),WORKDAY(O37,-(Setup!$C$13+Setup!$G$33),Setup!$C$39:$C$50))+(32*100+14)/10000000)))</f>
        <v/>
      </c>
      <c r="AF37" t="str">
        <f>IF(P37="","",IF(P37&lt;Setup!$C$5-Setup!$C$6,"",IF(IF(ISNUMBER(Roster!$D37),Setup!$C$34&lt;=Roster!$D37,FALSE),"",IF(OR(IF(Setup!$C$15&lt;=Setup!$C$16,AND(MONTH(P37)&gt;=Setup!$C$15,MONTH(P37)&lt;=Setup!$C$16),OR(MONTH(P37)&gt;=Setup!$C$15,MONTH(P37)&lt;=Setup!$C$16)),IF(Setup!$C$15&lt;=Setup!$C$16,AND(MONTH(WORKDAY(P37,-(Setup!$C$13+Setup!$G$34),Setup!$C$39:$C$50))&gt;=Setup!$C$15,MONTH(WORKDAY(P37,-(Setup!$C$13+Setup!$G$34),Setup!$C$39:$C$50))&lt;=Setup!$C$16),OR(MONTH(WORKDAY(P37,-(Setup!$C$13+Setup!$G$34),Setup!$C$39:$C$50))&gt;=Setup!$C$15,MONTH(WORKDAY(P37,-(Setup!$C$13+Setup!$G$34),Setup!$C$39:$C$50))&lt;=Setup!$C$16))),WORKDAY(P37,-(Setup!$C$13+Setup!$G$34+Setup!$C$14),Setup!$C$39:$C$50),WORKDAY(P37,-(Setup!$C$13+Setup!$G$34),Setup!$C$39:$C$50))+(32*100+15)/10000000)))</f>
        <v/>
      </c>
      <c r="AH37" t="str">
        <f t="shared" si="0"/>
        <v/>
      </c>
      <c r="AI37" t="str">
        <f t="shared" si="1"/>
        <v/>
      </c>
      <c r="AK37" t="str">
        <f ca="1">IF(32&gt;$AK$2,"",SMALL($R$6:$AF$505,32))</f>
        <v/>
      </c>
      <c r="AL37" t="str">
        <f t="shared" ca="1" si="2"/>
        <v/>
      </c>
      <c r="AM37" t="str">
        <f t="shared" ca="1" si="3"/>
        <v/>
      </c>
      <c r="AN37" t="str">
        <f t="shared" ca="1" si="4"/>
        <v/>
      </c>
      <c r="AP37" t="str">
        <f>IF(ISNUMBER(Roster!$B37),MAX(1,YEAR(Setup!$C$5)-YEAR(Roster!$B37)+IF(EDATE(Roster!$B37,12*(YEAR(Setup!$C$5)-YEAR(Roster!$B37)))&lt;Setup!$C$5,1,0)),"")</f>
        <v/>
      </c>
      <c r="AQ37" s="32" t="str">
        <f>IF(AP37="","",EDATE(Roster!$B37,12*AP37))</f>
        <v/>
      </c>
      <c r="AR37" t="str">
        <f>IF(AQ37="","",IF(AQ37&lt;DATE(YEAR(Setup!$C$5)+1,MONTH(Setup!$C$5),DAY(Setup!$C$5)),AQ37+32/1000,""))</f>
        <v/>
      </c>
      <c r="AS37" t="str">
        <f t="shared" si="5"/>
        <v/>
      </c>
      <c r="AT37" t="str">
        <f>IF(AS37="","",IF(ISNUMBER(Roster!$D37),Roster!$D37&gt;=AP37,FALSE))</f>
        <v/>
      </c>
      <c r="AU37" t="str">
        <f t="shared" si="6"/>
        <v/>
      </c>
      <c r="AV37" t="str">
        <f ca="1">IF(32&gt;$AV$2,"",SMALL($AR$6:$AR$505,32))</f>
        <v/>
      </c>
      <c r="AW37" t="str">
        <f t="shared" ca="1" si="7"/>
        <v/>
      </c>
    </row>
    <row r="38" spans="2:52" x14ac:dyDescent="0.2">
      <c r="B38" s="32" t="str">
        <f>IF(AND(ISNUMBER(Roster!$B38),Setup!$B$20="Yes",ISNUMBER(Setup!$C$20)),EDATE(Roster!$B38,12*Setup!$C$20),"")</f>
        <v/>
      </c>
      <c r="C38" s="32" t="str">
        <f>IF(AND(ISNUMBER(Roster!$B38),Setup!$B$21="Yes",ISNUMBER(Setup!$C$21)),EDATE(Roster!$B38,12*Setup!$C$21),"")</f>
        <v/>
      </c>
      <c r="D38" s="32" t="str">
        <f>IF(AND(ISNUMBER(Roster!$B38),Setup!$B$22="Yes",ISNUMBER(Setup!$C$22)),EDATE(Roster!$B38,12*Setup!$C$22),"")</f>
        <v/>
      </c>
      <c r="E38" s="32" t="str">
        <f>IF(AND(ISNUMBER(Roster!$B38),Setup!$B$23="Yes",ISNUMBER(Setup!$C$23)),EDATE(Roster!$B38,12*Setup!$C$23),"")</f>
        <v/>
      </c>
      <c r="F38" s="32" t="str">
        <f>IF(AND(ISNUMBER(Roster!$B38),Setup!$B$24="Yes",ISNUMBER(Setup!$C$24)),EDATE(Roster!$B38,12*Setup!$C$24),"")</f>
        <v/>
      </c>
      <c r="G38" s="32" t="str">
        <f>IF(AND(ISNUMBER(Roster!$B38),Setup!$B$25="Yes",ISNUMBER(Setup!$C$25)),EDATE(Roster!$B38,12*Setup!$C$25),"")</f>
        <v/>
      </c>
      <c r="H38" s="32" t="str">
        <f>IF(AND(ISNUMBER(Roster!$B38),Setup!$B$26="Yes",ISNUMBER(Setup!$C$26)),EDATE(Roster!$B38,12*Setup!$C$26),"")</f>
        <v/>
      </c>
      <c r="I38" s="32" t="str">
        <f>IF(AND(ISNUMBER(Roster!$B38),Setup!$B$27="Yes",ISNUMBER(Setup!$C$27)),EDATE(Roster!$B38,12*Setup!$C$27),"")</f>
        <v/>
      </c>
      <c r="J38" s="32" t="str">
        <f>IF(AND(ISNUMBER(Roster!$B38),Setup!$B$28="Yes",ISNUMBER(Setup!$C$28)),EDATE(Roster!$B38,12*Setup!$C$28),"")</f>
        <v/>
      </c>
      <c r="K38" s="32" t="str">
        <f>IF(AND(ISNUMBER(Roster!$B38),Setup!$B$29="Yes",ISNUMBER(Setup!$C$29)),EDATE(Roster!$B38,12*Setup!$C$29),"")</f>
        <v/>
      </c>
      <c r="L38" s="32" t="str">
        <f>IF(AND(ISNUMBER(Roster!$B38),Setup!$B$30="Yes",ISNUMBER(Setup!$C$30)),EDATE(Roster!$B38,12*Setup!$C$30),"")</f>
        <v/>
      </c>
      <c r="M38" s="32" t="str">
        <f>IF(AND(ISNUMBER(Roster!$B38),Setup!$B$31="Yes",ISNUMBER(Setup!$C$31)),EDATE(Roster!$B38,12*Setup!$C$31),"")</f>
        <v/>
      </c>
      <c r="N38" s="32" t="str">
        <f>IF(AND(ISNUMBER(Roster!$B38),Setup!$B$32="Yes",ISNUMBER(Setup!$C$32)),EDATE(Roster!$B38,12*Setup!$C$32),"")</f>
        <v/>
      </c>
      <c r="O38" s="32" t="str">
        <f>IF(AND(ISNUMBER(Roster!$B38),Setup!$B$33="Yes",ISNUMBER(Setup!$C$33)),EDATE(Roster!$B38,12*Setup!$C$33),"")</f>
        <v/>
      </c>
      <c r="P38" s="32" t="str">
        <f>IF(AND(ISNUMBER(Roster!$B38),Setup!$B$34="Yes",ISNUMBER(Setup!$C$34)),EDATE(Roster!$B38,12*Setup!$C$34),"")</f>
        <v/>
      </c>
      <c r="R38" t="str">
        <f>IF(B38="","",IF(B38&lt;Setup!$C$5-Setup!$C$6,"",IF(IF(ISNUMBER(Roster!$D38),Setup!$C$20&lt;=Roster!$D38,FALSE),"",IF(OR(IF(Setup!$C$15&lt;=Setup!$C$16,AND(MONTH(B38)&gt;=Setup!$C$15,MONTH(B38)&lt;=Setup!$C$16),OR(MONTH(B38)&gt;=Setup!$C$15,MONTH(B38)&lt;=Setup!$C$16)),IF(Setup!$C$15&lt;=Setup!$C$16,AND(MONTH(WORKDAY(B38,-(Setup!$C$13+Setup!$G$20),Setup!$C$39:$C$50))&gt;=Setup!$C$15,MONTH(WORKDAY(B38,-(Setup!$C$13+Setup!$G$20),Setup!$C$39:$C$50))&lt;=Setup!$C$16),OR(MONTH(WORKDAY(B38,-(Setup!$C$13+Setup!$G$20),Setup!$C$39:$C$50))&gt;=Setup!$C$15,MONTH(WORKDAY(B38,-(Setup!$C$13+Setup!$G$20),Setup!$C$39:$C$50))&lt;=Setup!$C$16))),WORKDAY(B38,-(Setup!$C$13+Setup!$G$20+Setup!$C$14),Setup!$C$39:$C$50),WORKDAY(B38,-(Setup!$C$13+Setup!$G$20),Setup!$C$39:$C$50))+(33*100+1)/10000000)))</f>
        <v/>
      </c>
      <c r="S38" t="str">
        <f>IF(C38="","",IF(C38&lt;Setup!$C$5-Setup!$C$6,"",IF(IF(ISNUMBER(Roster!$D38),Setup!$C$21&lt;=Roster!$D38,FALSE),"",IF(OR(IF(Setup!$C$15&lt;=Setup!$C$16,AND(MONTH(C38)&gt;=Setup!$C$15,MONTH(C38)&lt;=Setup!$C$16),OR(MONTH(C38)&gt;=Setup!$C$15,MONTH(C38)&lt;=Setup!$C$16)),IF(Setup!$C$15&lt;=Setup!$C$16,AND(MONTH(WORKDAY(C38,-(Setup!$C$13+Setup!$G$21),Setup!$C$39:$C$50))&gt;=Setup!$C$15,MONTH(WORKDAY(C38,-(Setup!$C$13+Setup!$G$21),Setup!$C$39:$C$50))&lt;=Setup!$C$16),OR(MONTH(WORKDAY(C38,-(Setup!$C$13+Setup!$G$21),Setup!$C$39:$C$50))&gt;=Setup!$C$15,MONTH(WORKDAY(C38,-(Setup!$C$13+Setup!$G$21),Setup!$C$39:$C$50))&lt;=Setup!$C$16))),WORKDAY(C38,-(Setup!$C$13+Setup!$G$21+Setup!$C$14),Setup!$C$39:$C$50),WORKDAY(C38,-(Setup!$C$13+Setup!$G$21),Setup!$C$39:$C$50))+(33*100+2)/10000000)))</f>
        <v/>
      </c>
      <c r="T38" t="str">
        <f>IF(D38="","",IF(D38&lt;Setup!$C$5-Setup!$C$6,"",IF(IF(ISNUMBER(Roster!$D38),Setup!$C$22&lt;=Roster!$D38,FALSE),"",IF(OR(IF(Setup!$C$15&lt;=Setup!$C$16,AND(MONTH(D38)&gt;=Setup!$C$15,MONTH(D38)&lt;=Setup!$C$16),OR(MONTH(D38)&gt;=Setup!$C$15,MONTH(D38)&lt;=Setup!$C$16)),IF(Setup!$C$15&lt;=Setup!$C$16,AND(MONTH(WORKDAY(D38,-(Setup!$C$13+Setup!$G$22),Setup!$C$39:$C$50))&gt;=Setup!$C$15,MONTH(WORKDAY(D38,-(Setup!$C$13+Setup!$G$22),Setup!$C$39:$C$50))&lt;=Setup!$C$16),OR(MONTH(WORKDAY(D38,-(Setup!$C$13+Setup!$G$22),Setup!$C$39:$C$50))&gt;=Setup!$C$15,MONTH(WORKDAY(D38,-(Setup!$C$13+Setup!$G$22),Setup!$C$39:$C$50))&lt;=Setup!$C$16))),WORKDAY(D38,-(Setup!$C$13+Setup!$G$22+Setup!$C$14),Setup!$C$39:$C$50),WORKDAY(D38,-(Setup!$C$13+Setup!$G$22),Setup!$C$39:$C$50))+(33*100+3)/10000000)))</f>
        <v/>
      </c>
      <c r="U38" t="str">
        <f>IF(E38="","",IF(E38&lt;Setup!$C$5-Setup!$C$6,"",IF(IF(ISNUMBER(Roster!$D38),Setup!$C$23&lt;=Roster!$D38,FALSE),"",IF(OR(IF(Setup!$C$15&lt;=Setup!$C$16,AND(MONTH(E38)&gt;=Setup!$C$15,MONTH(E38)&lt;=Setup!$C$16),OR(MONTH(E38)&gt;=Setup!$C$15,MONTH(E38)&lt;=Setup!$C$16)),IF(Setup!$C$15&lt;=Setup!$C$16,AND(MONTH(WORKDAY(E38,-(Setup!$C$13+Setup!$G$23),Setup!$C$39:$C$50))&gt;=Setup!$C$15,MONTH(WORKDAY(E38,-(Setup!$C$13+Setup!$G$23),Setup!$C$39:$C$50))&lt;=Setup!$C$16),OR(MONTH(WORKDAY(E38,-(Setup!$C$13+Setup!$G$23),Setup!$C$39:$C$50))&gt;=Setup!$C$15,MONTH(WORKDAY(E38,-(Setup!$C$13+Setup!$G$23),Setup!$C$39:$C$50))&lt;=Setup!$C$16))),WORKDAY(E38,-(Setup!$C$13+Setup!$G$23+Setup!$C$14),Setup!$C$39:$C$50),WORKDAY(E38,-(Setup!$C$13+Setup!$G$23),Setup!$C$39:$C$50))+(33*100+4)/10000000)))</f>
        <v/>
      </c>
      <c r="V38" t="str">
        <f>IF(F38="","",IF(F38&lt;Setup!$C$5-Setup!$C$6,"",IF(IF(ISNUMBER(Roster!$D38),Setup!$C$24&lt;=Roster!$D38,FALSE),"",IF(OR(IF(Setup!$C$15&lt;=Setup!$C$16,AND(MONTH(F38)&gt;=Setup!$C$15,MONTH(F38)&lt;=Setup!$C$16),OR(MONTH(F38)&gt;=Setup!$C$15,MONTH(F38)&lt;=Setup!$C$16)),IF(Setup!$C$15&lt;=Setup!$C$16,AND(MONTH(WORKDAY(F38,-(Setup!$C$13+Setup!$G$24),Setup!$C$39:$C$50))&gt;=Setup!$C$15,MONTH(WORKDAY(F38,-(Setup!$C$13+Setup!$G$24),Setup!$C$39:$C$50))&lt;=Setup!$C$16),OR(MONTH(WORKDAY(F38,-(Setup!$C$13+Setup!$G$24),Setup!$C$39:$C$50))&gt;=Setup!$C$15,MONTH(WORKDAY(F38,-(Setup!$C$13+Setup!$G$24),Setup!$C$39:$C$50))&lt;=Setup!$C$16))),WORKDAY(F38,-(Setup!$C$13+Setup!$G$24+Setup!$C$14),Setup!$C$39:$C$50),WORKDAY(F38,-(Setup!$C$13+Setup!$G$24),Setup!$C$39:$C$50))+(33*100+5)/10000000)))</f>
        <v/>
      </c>
      <c r="W38" t="str">
        <f>IF(G38="","",IF(G38&lt;Setup!$C$5-Setup!$C$6,"",IF(IF(ISNUMBER(Roster!$D38),Setup!$C$25&lt;=Roster!$D38,FALSE),"",IF(OR(IF(Setup!$C$15&lt;=Setup!$C$16,AND(MONTH(G38)&gt;=Setup!$C$15,MONTH(G38)&lt;=Setup!$C$16),OR(MONTH(G38)&gt;=Setup!$C$15,MONTH(G38)&lt;=Setup!$C$16)),IF(Setup!$C$15&lt;=Setup!$C$16,AND(MONTH(WORKDAY(G38,-(Setup!$C$13+Setup!$G$25),Setup!$C$39:$C$50))&gt;=Setup!$C$15,MONTH(WORKDAY(G38,-(Setup!$C$13+Setup!$G$25),Setup!$C$39:$C$50))&lt;=Setup!$C$16),OR(MONTH(WORKDAY(G38,-(Setup!$C$13+Setup!$G$25),Setup!$C$39:$C$50))&gt;=Setup!$C$15,MONTH(WORKDAY(G38,-(Setup!$C$13+Setup!$G$25),Setup!$C$39:$C$50))&lt;=Setup!$C$16))),WORKDAY(G38,-(Setup!$C$13+Setup!$G$25+Setup!$C$14),Setup!$C$39:$C$50),WORKDAY(G38,-(Setup!$C$13+Setup!$G$25),Setup!$C$39:$C$50))+(33*100+6)/10000000)))</f>
        <v/>
      </c>
      <c r="X38" t="str">
        <f>IF(H38="","",IF(H38&lt;Setup!$C$5-Setup!$C$6,"",IF(IF(ISNUMBER(Roster!$D38),Setup!$C$26&lt;=Roster!$D38,FALSE),"",IF(OR(IF(Setup!$C$15&lt;=Setup!$C$16,AND(MONTH(H38)&gt;=Setup!$C$15,MONTH(H38)&lt;=Setup!$C$16),OR(MONTH(H38)&gt;=Setup!$C$15,MONTH(H38)&lt;=Setup!$C$16)),IF(Setup!$C$15&lt;=Setup!$C$16,AND(MONTH(WORKDAY(H38,-(Setup!$C$13+Setup!$G$26),Setup!$C$39:$C$50))&gt;=Setup!$C$15,MONTH(WORKDAY(H38,-(Setup!$C$13+Setup!$G$26),Setup!$C$39:$C$50))&lt;=Setup!$C$16),OR(MONTH(WORKDAY(H38,-(Setup!$C$13+Setup!$G$26),Setup!$C$39:$C$50))&gt;=Setup!$C$15,MONTH(WORKDAY(H38,-(Setup!$C$13+Setup!$G$26),Setup!$C$39:$C$50))&lt;=Setup!$C$16))),WORKDAY(H38,-(Setup!$C$13+Setup!$G$26+Setup!$C$14),Setup!$C$39:$C$50),WORKDAY(H38,-(Setup!$C$13+Setup!$G$26),Setup!$C$39:$C$50))+(33*100+7)/10000000)))</f>
        <v/>
      </c>
      <c r="Y38" t="str">
        <f>IF(I38="","",IF(I38&lt;Setup!$C$5-Setup!$C$6,"",IF(IF(ISNUMBER(Roster!$D38),Setup!$C$27&lt;=Roster!$D38,FALSE),"",IF(OR(IF(Setup!$C$15&lt;=Setup!$C$16,AND(MONTH(I38)&gt;=Setup!$C$15,MONTH(I38)&lt;=Setup!$C$16),OR(MONTH(I38)&gt;=Setup!$C$15,MONTH(I38)&lt;=Setup!$C$16)),IF(Setup!$C$15&lt;=Setup!$C$16,AND(MONTH(WORKDAY(I38,-(Setup!$C$13+Setup!$G$27),Setup!$C$39:$C$50))&gt;=Setup!$C$15,MONTH(WORKDAY(I38,-(Setup!$C$13+Setup!$G$27),Setup!$C$39:$C$50))&lt;=Setup!$C$16),OR(MONTH(WORKDAY(I38,-(Setup!$C$13+Setup!$G$27),Setup!$C$39:$C$50))&gt;=Setup!$C$15,MONTH(WORKDAY(I38,-(Setup!$C$13+Setup!$G$27),Setup!$C$39:$C$50))&lt;=Setup!$C$16))),WORKDAY(I38,-(Setup!$C$13+Setup!$G$27+Setup!$C$14),Setup!$C$39:$C$50),WORKDAY(I38,-(Setup!$C$13+Setup!$G$27),Setup!$C$39:$C$50))+(33*100+8)/10000000)))</f>
        <v/>
      </c>
      <c r="Z38" t="str">
        <f>IF(J38="","",IF(J38&lt;Setup!$C$5-Setup!$C$6,"",IF(IF(ISNUMBER(Roster!$D38),Setup!$C$28&lt;=Roster!$D38,FALSE),"",IF(OR(IF(Setup!$C$15&lt;=Setup!$C$16,AND(MONTH(J38)&gt;=Setup!$C$15,MONTH(J38)&lt;=Setup!$C$16),OR(MONTH(J38)&gt;=Setup!$C$15,MONTH(J38)&lt;=Setup!$C$16)),IF(Setup!$C$15&lt;=Setup!$C$16,AND(MONTH(WORKDAY(J38,-(Setup!$C$13+Setup!$G$28),Setup!$C$39:$C$50))&gt;=Setup!$C$15,MONTH(WORKDAY(J38,-(Setup!$C$13+Setup!$G$28),Setup!$C$39:$C$50))&lt;=Setup!$C$16),OR(MONTH(WORKDAY(J38,-(Setup!$C$13+Setup!$G$28),Setup!$C$39:$C$50))&gt;=Setup!$C$15,MONTH(WORKDAY(J38,-(Setup!$C$13+Setup!$G$28),Setup!$C$39:$C$50))&lt;=Setup!$C$16))),WORKDAY(J38,-(Setup!$C$13+Setup!$G$28+Setup!$C$14),Setup!$C$39:$C$50),WORKDAY(J38,-(Setup!$C$13+Setup!$G$28),Setup!$C$39:$C$50))+(33*100+9)/10000000)))</f>
        <v/>
      </c>
      <c r="AA38" t="str">
        <f>IF(K38="","",IF(K38&lt;Setup!$C$5-Setup!$C$6,"",IF(IF(ISNUMBER(Roster!$D38),Setup!$C$29&lt;=Roster!$D38,FALSE),"",IF(OR(IF(Setup!$C$15&lt;=Setup!$C$16,AND(MONTH(K38)&gt;=Setup!$C$15,MONTH(K38)&lt;=Setup!$C$16),OR(MONTH(K38)&gt;=Setup!$C$15,MONTH(K38)&lt;=Setup!$C$16)),IF(Setup!$C$15&lt;=Setup!$C$16,AND(MONTH(WORKDAY(K38,-(Setup!$C$13+Setup!$G$29),Setup!$C$39:$C$50))&gt;=Setup!$C$15,MONTH(WORKDAY(K38,-(Setup!$C$13+Setup!$G$29),Setup!$C$39:$C$50))&lt;=Setup!$C$16),OR(MONTH(WORKDAY(K38,-(Setup!$C$13+Setup!$G$29),Setup!$C$39:$C$50))&gt;=Setup!$C$15,MONTH(WORKDAY(K38,-(Setup!$C$13+Setup!$G$29),Setup!$C$39:$C$50))&lt;=Setup!$C$16))),WORKDAY(K38,-(Setup!$C$13+Setup!$G$29+Setup!$C$14),Setup!$C$39:$C$50),WORKDAY(K38,-(Setup!$C$13+Setup!$G$29),Setup!$C$39:$C$50))+(33*100+10)/10000000)))</f>
        <v/>
      </c>
      <c r="AB38" t="str">
        <f>IF(L38="","",IF(L38&lt;Setup!$C$5-Setup!$C$6,"",IF(IF(ISNUMBER(Roster!$D38),Setup!$C$30&lt;=Roster!$D38,FALSE),"",IF(OR(IF(Setup!$C$15&lt;=Setup!$C$16,AND(MONTH(L38)&gt;=Setup!$C$15,MONTH(L38)&lt;=Setup!$C$16),OR(MONTH(L38)&gt;=Setup!$C$15,MONTH(L38)&lt;=Setup!$C$16)),IF(Setup!$C$15&lt;=Setup!$C$16,AND(MONTH(WORKDAY(L38,-(Setup!$C$13+Setup!$G$30),Setup!$C$39:$C$50))&gt;=Setup!$C$15,MONTH(WORKDAY(L38,-(Setup!$C$13+Setup!$G$30),Setup!$C$39:$C$50))&lt;=Setup!$C$16),OR(MONTH(WORKDAY(L38,-(Setup!$C$13+Setup!$G$30),Setup!$C$39:$C$50))&gt;=Setup!$C$15,MONTH(WORKDAY(L38,-(Setup!$C$13+Setup!$G$30),Setup!$C$39:$C$50))&lt;=Setup!$C$16))),WORKDAY(L38,-(Setup!$C$13+Setup!$G$30+Setup!$C$14),Setup!$C$39:$C$50),WORKDAY(L38,-(Setup!$C$13+Setup!$G$30),Setup!$C$39:$C$50))+(33*100+11)/10000000)))</f>
        <v/>
      </c>
      <c r="AC38" t="str">
        <f>IF(M38="","",IF(M38&lt;Setup!$C$5-Setup!$C$6,"",IF(IF(ISNUMBER(Roster!$D38),Setup!$C$31&lt;=Roster!$D38,FALSE),"",IF(OR(IF(Setup!$C$15&lt;=Setup!$C$16,AND(MONTH(M38)&gt;=Setup!$C$15,MONTH(M38)&lt;=Setup!$C$16),OR(MONTH(M38)&gt;=Setup!$C$15,MONTH(M38)&lt;=Setup!$C$16)),IF(Setup!$C$15&lt;=Setup!$C$16,AND(MONTH(WORKDAY(M38,-(Setup!$C$13+Setup!$G$31),Setup!$C$39:$C$50))&gt;=Setup!$C$15,MONTH(WORKDAY(M38,-(Setup!$C$13+Setup!$G$31),Setup!$C$39:$C$50))&lt;=Setup!$C$16),OR(MONTH(WORKDAY(M38,-(Setup!$C$13+Setup!$G$31),Setup!$C$39:$C$50))&gt;=Setup!$C$15,MONTH(WORKDAY(M38,-(Setup!$C$13+Setup!$G$31),Setup!$C$39:$C$50))&lt;=Setup!$C$16))),WORKDAY(M38,-(Setup!$C$13+Setup!$G$31+Setup!$C$14),Setup!$C$39:$C$50),WORKDAY(M38,-(Setup!$C$13+Setup!$G$31),Setup!$C$39:$C$50))+(33*100+12)/10000000)))</f>
        <v/>
      </c>
      <c r="AD38" t="str">
        <f>IF(N38="","",IF(N38&lt;Setup!$C$5-Setup!$C$6,"",IF(IF(ISNUMBER(Roster!$D38),Setup!$C$32&lt;=Roster!$D38,FALSE),"",IF(OR(IF(Setup!$C$15&lt;=Setup!$C$16,AND(MONTH(N38)&gt;=Setup!$C$15,MONTH(N38)&lt;=Setup!$C$16),OR(MONTH(N38)&gt;=Setup!$C$15,MONTH(N38)&lt;=Setup!$C$16)),IF(Setup!$C$15&lt;=Setup!$C$16,AND(MONTH(WORKDAY(N38,-(Setup!$C$13+Setup!$G$32),Setup!$C$39:$C$50))&gt;=Setup!$C$15,MONTH(WORKDAY(N38,-(Setup!$C$13+Setup!$G$32),Setup!$C$39:$C$50))&lt;=Setup!$C$16),OR(MONTH(WORKDAY(N38,-(Setup!$C$13+Setup!$G$32),Setup!$C$39:$C$50))&gt;=Setup!$C$15,MONTH(WORKDAY(N38,-(Setup!$C$13+Setup!$G$32),Setup!$C$39:$C$50))&lt;=Setup!$C$16))),WORKDAY(N38,-(Setup!$C$13+Setup!$G$32+Setup!$C$14),Setup!$C$39:$C$50),WORKDAY(N38,-(Setup!$C$13+Setup!$G$32),Setup!$C$39:$C$50))+(33*100+13)/10000000)))</f>
        <v/>
      </c>
      <c r="AE38" t="str">
        <f>IF(O38="","",IF(O38&lt;Setup!$C$5-Setup!$C$6,"",IF(IF(ISNUMBER(Roster!$D38),Setup!$C$33&lt;=Roster!$D38,FALSE),"",IF(OR(IF(Setup!$C$15&lt;=Setup!$C$16,AND(MONTH(O38)&gt;=Setup!$C$15,MONTH(O38)&lt;=Setup!$C$16),OR(MONTH(O38)&gt;=Setup!$C$15,MONTH(O38)&lt;=Setup!$C$16)),IF(Setup!$C$15&lt;=Setup!$C$16,AND(MONTH(WORKDAY(O38,-(Setup!$C$13+Setup!$G$33),Setup!$C$39:$C$50))&gt;=Setup!$C$15,MONTH(WORKDAY(O38,-(Setup!$C$13+Setup!$G$33),Setup!$C$39:$C$50))&lt;=Setup!$C$16),OR(MONTH(WORKDAY(O38,-(Setup!$C$13+Setup!$G$33),Setup!$C$39:$C$50))&gt;=Setup!$C$15,MONTH(WORKDAY(O38,-(Setup!$C$13+Setup!$G$33),Setup!$C$39:$C$50))&lt;=Setup!$C$16))),WORKDAY(O38,-(Setup!$C$13+Setup!$G$33+Setup!$C$14),Setup!$C$39:$C$50),WORKDAY(O38,-(Setup!$C$13+Setup!$G$33),Setup!$C$39:$C$50))+(33*100+14)/10000000)))</f>
        <v/>
      </c>
      <c r="AF38" t="str">
        <f>IF(P38="","",IF(P38&lt;Setup!$C$5-Setup!$C$6,"",IF(IF(ISNUMBER(Roster!$D38),Setup!$C$34&lt;=Roster!$D38,FALSE),"",IF(OR(IF(Setup!$C$15&lt;=Setup!$C$16,AND(MONTH(P38)&gt;=Setup!$C$15,MONTH(P38)&lt;=Setup!$C$16),OR(MONTH(P38)&gt;=Setup!$C$15,MONTH(P38)&lt;=Setup!$C$16)),IF(Setup!$C$15&lt;=Setup!$C$16,AND(MONTH(WORKDAY(P38,-(Setup!$C$13+Setup!$G$34),Setup!$C$39:$C$50))&gt;=Setup!$C$15,MONTH(WORKDAY(P38,-(Setup!$C$13+Setup!$G$34),Setup!$C$39:$C$50))&lt;=Setup!$C$16),OR(MONTH(WORKDAY(P38,-(Setup!$C$13+Setup!$G$34),Setup!$C$39:$C$50))&gt;=Setup!$C$15,MONTH(WORKDAY(P38,-(Setup!$C$13+Setup!$G$34),Setup!$C$39:$C$50))&lt;=Setup!$C$16))),WORKDAY(P38,-(Setup!$C$13+Setup!$G$34+Setup!$C$14),Setup!$C$39:$C$50),WORKDAY(P38,-(Setup!$C$13+Setup!$G$34),Setup!$C$39:$C$50))+(33*100+15)/10000000)))</f>
        <v/>
      </c>
      <c r="AH38" t="str">
        <f t="shared" si="0"/>
        <v/>
      </c>
      <c r="AI38" t="str">
        <f t="shared" si="1"/>
        <v/>
      </c>
      <c r="AK38" t="str">
        <f ca="1">IF(33&gt;$AK$2,"",SMALL($R$6:$AF$505,33))</f>
        <v/>
      </c>
      <c r="AL38" t="str">
        <f t="shared" ca="1" si="2"/>
        <v/>
      </c>
      <c r="AM38" t="str">
        <f t="shared" ca="1" si="3"/>
        <v/>
      </c>
      <c r="AN38" t="str">
        <f t="shared" ca="1" si="4"/>
        <v/>
      </c>
      <c r="AP38" t="str">
        <f>IF(ISNUMBER(Roster!$B38),MAX(1,YEAR(Setup!$C$5)-YEAR(Roster!$B38)+IF(EDATE(Roster!$B38,12*(YEAR(Setup!$C$5)-YEAR(Roster!$B38)))&lt;Setup!$C$5,1,0)),"")</f>
        <v/>
      </c>
      <c r="AQ38" s="32" t="str">
        <f>IF(AP38="","",EDATE(Roster!$B38,12*AP38))</f>
        <v/>
      </c>
      <c r="AR38" t="str">
        <f>IF(AQ38="","",IF(AQ38&lt;DATE(YEAR(Setup!$C$5)+1,MONTH(Setup!$C$5),DAY(Setup!$C$5)),AQ38+33/1000,""))</f>
        <v/>
      </c>
      <c r="AS38" t="str">
        <f t="shared" si="5"/>
        <v/>
      </c>
      <c r="AT38" t="str">
        <f>IF(AS38="","",IF(ISNUMBER(Roster!$D38),Roster!$D38&gt;=AP38,FALSE))</f>
        <v/>
      </c>
      <c r="AU38" t="str">
        <f t="shared" si="6"/>
        <v/>
      </c>
      <c r="AV38" t="str">
        <f ca="1">IF(33&gt;$AV$2,"",SMALL($AR$6:$AR$505,33))</f>
        <v/>
      </c>
      <c r="AW38" t="str">
        <f t="shared" ca="1" si="7"/>
        <v/>
      </c>
    </row>
    <row r="39" spans="2:52" x14ac:dyDescent="0.2">
      <c r="B39" s="32" t="str">
        <f>IF(AND(ISNUMBER(Roster!$B39),Setup!$B$20="Yes",ISNUMBER(Setup!$C$20)),EDATE(Roster!$B39,12*Setup!$C$20),"")</f>
        <v/>
      </c>
      <c r="C39" s="32" t="str">
        <f>IF(AND(ISNUMBER(Roster!$B39),Setup!$B$21="Yes",ISNUMBER(Setup!$C$21)),EDATE(Roster!$B39,12*Setup!$C$21),"")</f>
        <v/>
      </c>
      <c r="D39" s="32" t="str">
        <f>IF(AND(ISNUMBER(Roster!$B39),Setup!$B$22="Yes",ISNUMBER(Setup!$C$22)),EDATE(Roster!$B39,12*Setup!$C$22),"")</f>
        <v/>
      </c>
      <c r="E39" s="32" t="str">
        <f>IF(AND(ISNUMBER(Roster!$B39),Setup!$B$23="Yes",ISNUMBER(Setup!$C$23)),EDATE(Roster!$B39,12*Setup!$C$23),"")</f>
        <v/>
      </c>
      <c r="F39" s="32" t="str">
        <f>IF(AND(ISNUMBER(Roster!$B39),Setup!$B$24="Yes",ISNUMBER(Setup!$C$24)),EDATE(Roster!$B39,12*Setup!$C$24),"")</f>
        <v/>
      </c>
      <c r="G39" s="32" t="str">
        <f>IF(AND(ISNUMBER(Roster!$B39),Setup!$B$25="Yes",ISNUMBER(Setup!$C$25)),EDATE(Roster!$B39,12*Setup!$C$25),"")</f>
        <v/>
      </c>
      <c r="H39" s="32" t="str">
        <f>IF(AND(ISNUMBER(Roster!$B39),Setup!$B$26="Yes",ISNUMBER(Setup!$C$26)),EDATE(Roster!$B39,12*Setup!$C$26),"")</f>
        <v/>
      </c>
      <c r="I39" s="32" t="str">
        <f>IF(AND(ISNUMBER(Roster!$B39),Setup!$B$27="Yes",ISNUMBER(Setup!$C$27)),EDATE(Roster!$B39,12*Setup!$C$27),"")</f>
        <v/>
      </c>
      <c r="J39" s="32" t="str">
        <f>IF(AND(ISNUMBER(Roster!$B39),Setup!$B$28="Yes",ISNUMBER(Setup!$C$28)),EDATE(Roster!$B39,12*Setup!$C$28),"")</f>
        <v/>
      </c>
      <c r="K39" s="32" t="str">
        <f>IF(AND(ISNUMBER(Roster!$B39),Setup!$B$29="Yes",ISNUMBER(Setup!$C$29)),EDATE(Roster!$B39,12*Setup!$C$29),"")</f>
        <v/>
      </c>
      <c r="L39" s="32" t="str">
        <f>IF(AND(ISNUMBER(Roster!$B39),Setup!$B$30="Yes",ISNUMBER(Setup!$C$30)),EDATE(Roster!$B39,12*Setup!$C$30),"")</f>
        <v/>
      </c>
      <c r="M39" s="32" t="str">
        <f>IF(AND(ISNUMBER(Roster!$B39),Setup!$B$31="Yes",ISNUMBER(Setup!$C$31)),EDATE(Roster!$B39,12*Setup!$C$31),"")</f>
        <v/>
      </c>
      <c r="N39" s="32" t="str">
        <f>IF(AND(ISNUMBER(Roster!$B39),Setup!$B$32="Yes",ISNUMBER(Setup!$C$32)),EDATE(Roster!$B39,12*Setup!$C$32),"")</f>
        <v/>
      </c>
      <c r="O39" s="32" t="str">
        <f>IF(AND(ISNUMBER(Roster!$B39),Setup!$B$33="Yes",ISNUMBER(Setup!$C$33)),EDATE(Roster!$B39,12*Setup!$C$33),"")</f>
        <v/>
      </c>
      <c r="P39" s="32" t="str">
        <f>IF(AND(ISNUMBER(Roster!$B39),Setup!$B$34="Yes",ISNUMBER(Setup!$C$34)),EDATE(Roster!$B39,12*Setup!$C$34),"")</f>
        <v/>
      </c>
      <c r="R39" t="str">
        <f>IF(B39="","",IF(B39&lt;Setup!$C$5-Setup!$C$6,"",IF(IF(ISNUMBER(Roster!$D39),Setup!$C$20&lt;=Roster!$D39,FALSE),"",IF(OR(IF(Setup!$C$15&lt;=Setup!$C$16,AND(MONTH(B39)&gt;=Setup!$C$15,MONTH(B39)&lt;=Setup!$C$16),OR(MONTH(B39)&gt;=Setup!$C$15,MONTH(B39)&lt;=Setup!$C$16)),IF(Setup!$C$15&lt;=Setup!$C$16,AND(MONTH(WORKDAY(B39,-(Setup!$C$13+Setup!$G$20),Setup!$C$39:$C$50))&gt;=Setup!$C$15,MONTH(WORKDAY(B39,-(Setup!$C$13+Setup!$G$20),Setup!$C$39:$C$50))&lt;=Setup!$C$16),OR(MONTH(WORKDAY(B39,-(Setup!$C$13+Setup!$G$20),Setup!$C$39:$C$50))&gt;=Setup!$C$15,MONTH(WORKDAY(B39,-(Setup!$C$13+Setup!$G$20),Setup!$C$39:$C$50))&lt;=Setup!$C$16))),WORKDAY(B39,-(Setup!$C$13+Setup!$G$20+Setup!$C$14),Setup!$C$39:$C$50),WORKDAY(B39,-(Setup!$C$13+Setup!$G$20),Setup!$C$39:$C$50))+(34*100+1)/10000000)))</f>
        <v/>
      </c>
      <c r="S39" t="str">
        <f>IF(C39="","",IF(C39&lt;Setup!$C$5-Setup!$C$6,"",IF(IF(ISNUMBER(Roster!$D39),Setup!$C$21&lt;=Roster!$D39,FALSE),"",IF(OR(IF(Setup!$C$15&lt;=Setup!$C$16,AND(MONTH(C39)&gt;=Setup!$C$15,MONTH(C39)&lt;=Setup!$C$16),OR(MONTH(C39)&gt;=Setup!$C$15,MONTH(C39)&lt;=Setup!$C$16)),IF(Setup!$C$15&lt;=Setup!$C$16,AND(MONTH(WORKDAY(C39,-(Setup!$C$13+Setup!$G$21),Setup!$C$39:$C$50))&gt;=Setup!$C$15,MONTH(WORKDAY(C39,-(Setup!$C$13+Setup!$G$21),Setup!$C$39:$C$50))&lt;=Setup!$C$16),OR(MONTH(WORKDAY(C39,-(Setup!$C$13+Setup!$G$21),Setup!$C$39:$C$50))&gt;=Setup!$C$15,MONTH(WORKDAY(C39,-(Setup!$C$13+Setup!$G$21),Setup!$C$39:$C$50))&lt;=Setup!$C$16))),WORKDAY(C39,-(Setup!$C$13+Setup!$G$21+Setup!$C$14),Setup!$C$39:$C$50),WORKDAY(C39,-(Setup!$C$13+Setup!$G$21),Setup!$C$39:$C$50))+(34*100+2)/10000000)))</f>
        <v/>
      </c>
      <c r="T39" t="str">
        <f>IF(D39="","",IF(D39&lt;Setup!$C$5-Setup!$C$6,"",IF(IF(ISNUMBER(Roster!$D39),Setup!$C$22&lt;=Roster!$D39,FALSE),"",IF(OR(IF(Setup!$C$15&lt;=Setup!$C$16,AND(MONTH(D39)&gt;=Setup!$C$15,MONTH(D39)&lt;=Setup!$C$16),OR(MONTH(D39)&gt;=Setup!$C$15,MONTH(D39)&lt;=Setup!$C$16)),IF(Setup!$C$15&lt;=Setup!$C$16,AND(MONTH(WORKDAY(D39,-(Setup!$C$13+Setup!$G$22),Setup!$C$39:$C$50))&gt;=Setup!$C$15,MONTH(WORKDAY(D39,-(Setup!$C$13+Setup!$G$22),Setup!$C$39:$C$50))&lt;=Setup!$C$16),OR(MONTH(WORKDAY(D39,-(Setup!$C$13+Setup!$G$22),Setup!$C$39:$C$50))&gt;=Setup!$C$15,MONTH(WORKDAY(D39,-(Setup!$C$13+Setup!$G$22),Setup!$C$39:$C$50))&lt;=Setup!$C$16))),WORKDAY(D39,-(Setup!$C$13+Setup!$G$22+Setup!$C$14),Setup!$C$39:$C$50),WORKDAY(D39,-(Setup!$C$13+Setup!$G$22),Setup!$C$39:$C$50))+(34*100+3)/10000000)))</f>
        <v/>
      </c>
      <c r="U39" t="str">
        <f>IF(E39="","",IF(E39&lt;Setup!$C$5-Setup!$C$6,"",IF(IF(ISNUMBER(Roster!$D39),Setup!$C$23&lt;=Roster!$D39,FALSE),"",IF(OR(IF(Setup!$C$15&lt;=Setup!$C$16,AND(MONTH(E39)&gt;=Setup!$C$15,MONTH(E39)&lt;=Setup!$C$16),OR(MONTH(E39)&gt;=Setup!$C$15,MONTH(E39)&lt;=Setup!$C$16)),IF(Setup!$C$15&lt;=Setup!$C$16,AND(MONTH(WORKDAY(E39,-(Setup!$C$13+Setup!$G$23),Setup!$C$39:$C$50))&gt;=Setup!$C$15,MONTH(WORKDAY(E39,-(Setup!$C$13+Setup!$G$23),Setup!$C$39:$C$50))&lt;=Setup!$C$16),OR(MONTH(WORKDAY(E39,-(Setup!$C$13+Setup!$G$23),Setup!$C$39:$C$50))&gt;=Setup!$C$15,MONTH(WORKDAY(E39,-(Setup!$C$13+Setup!$G$23),Setup!$C$39:$C$50))&lt;=Setup!$C$16))),WORKDAY(E39,-(Setup!$C$13+Setup!$G$23+Setup!$C$14),Setup!$C$39:$C$50),WORKDAY(E39,-(Setup!$C$13+Setup!$G$23),Setup!$C$39:$C$50))+(34*100+4)/10000000)))</f>
        <v/>
      </c>
      <c r="V39" t="str">
        <f>IF(F39="","",IF(F39&lt;Setup!$C$5-Setup!$C$6,"",IF(IF(ISNUMBER(Roster!$D39),Setup!$C$24&lt;=Roster!$D39,FALSE),"",IF(OR(IF(Setup!$C$15&lt;=Setup!$C$16,AND(MONTH(F39)&gt;=Setup!$C$15,MONTH(F39)&lt;=Setup!$C$16),OR(MONTH(F39)&gt;=Setup!$C$15,MONTH(F39)&lt;=Setup!$C$16)),IF(Setup!$C$15&lt;=Setup!$C$16,AND(MONTH(WORKDAY(F39,-(Setup!$C$13+Setup!$G$24),Setup!$C$39:$C$50))&gt;=Setup!$C$15,MONTH(WORKDAY(F39,-(Setup!$C$13+Setup!$G$24),Setup!$C$39:$C$50))&lt;=Setup!$C$16),OR(MONTH(WORKDAY(F39,-(Setup!$C$13+Setup!$G$24),Setup!$C$39:$C$50))&gt;=Setup!$C$15,MONTH(WORKDAY(F39,-(Setup!$C$13+Setup!$G$24),Setup!$C$39:$C$50))&lt;=Setup!$C$16))),WORKDAY(F39,-(Setup!$C$13+Setup!$G$24+Setup!$C$14),Setup!$C$39:$C$50),WORKDAY(F39,-(Setup!$C$13+Setup!$G$24),Setup!$C$39:$C$50))+(34*100+5)/10000000)))</f>
        <v/>
      </c>
      <c r="W39" t="str">
        <f>IF(G39="","",IF(G39&lt;Setup!$C$5-Setup!$C$6,"",IF(IF(ISNUMBER(Roster!$D39),Setup!$C$25&lt;=Roster!$D39,FALSE),"",IF(OR(IF(Setup!$C$15&lt;=Setup!$C$16,AND(MONTH(G39)&gt;=Setup!$C$15,MONTH(G39)&lt;=Setup!$C$16),OR(MONTH(G39)&gt;=Setup!$C$15,MONTH(G39)&lt;=Setup!$C$16)),IF(Setup!$C$15&lt;=Setup!$C$16,AND(MONTH(WORKDAY(G39,-(Setup!$C$13+Setup!$G$25),Setup!$C$39:$C$50))&gt;=Setup!$C$15,MONTH(WORKDAY(G39,-(Setup!$C$13+Setup!$G$25),Setup!$C$39:$C$50))&lt;=Setup!$C$16),OR(MONTH(WORKDAY(G39,-(Setup!$C$13+Setup!$G$25),Setup!$C$39:$C$50))&gt;=Setup!$C$15,MONTH(WORKDAY(G39,-(Setup!$C$13+Setup!$G$25),Setup!$C$39:$C$50))&lt;=Setup!$C$16))),WORKDAY(G39,-(Setup!$C$13+Setup!$G$25+Setup!$C$14),Setup!$C$39:$C$50),WORKDAY(G39,-(Setup!$C$13+Setup!$G$25),Setup!$C$39:$C$50))+(34*100+6)/10000000)))</f>
        <v/>
      </c>
      <c r="X39" t="str">
        <f>IF(H39="","",IF(H39&lt;Setup!$C$5-Setup!$C$6,"",IF(IF(ISNUMBER(Roster!$D39),Setup!$C$26&lt;=Roster!$D39,FALSE),"",IF(OR(IF(Setup!$C$15&lt;=Setup!$C$16,AND(MONTH(H39)&gt;=Setup!$C$15,MONTH(H39)&lt;=Setup!$C$16),OR(MONTH(H39)&gt;=Setup!$C$15,MONTH(H39)&lt;=Setup!$C$16)),IF(Setup!$C$15&lt;=Setup!$C$16,AND(MONTH(WORKDAY(H39,-(Setup!$C$13+Setup!$G$26),Setup!$C$39:$C$50))&gt;=Setup!$C$15,MONTH(WORKDAY(H39,-(Setup!$C$13+Setup!$G$26),Setup!$C$39:$C$50))&lt;=Setup!$C$16),OR(MONTH(WORKDAY(H39,-(Setup!$C$13+Setup!$G$26),Setup!$C$39:$C$50))&gt;=Setup!$C$15,MONTH(WORKDAY(H39,-(Setup!$C$13+Setup!$G$26),Setup!$C$39:$C$50))&lt;=Setup!$C$16))),WORKDAY(H39,-(Setup!$C$13+Setup!$G$26+Setup!$C$14),Setup!$C$39:$C$50),WORKDAY(H39,-(Setup!$C$13+Setup!$G$26),Setup!$C$39:$C$50))+(34*100+7)/10000000)))</f>
        <v/>
      </c>
      <c r="Y39" t="str">
        <f>IF(I39="","",IF(I39&lt;Setup!$C$5-Setup!$C$6,"",IF(IF(ISNUMBER(Roster!$D39),Setup!$C$27&lt;=Roster!$D39,FALSE),"",IF(OR(IF(Setup!$C$15&lt;=Setup!$C$16,AND(MONTH(I39)&gt;=Setup!$C$15,MONTH(I39)&lt;=Setup!$C$16),OR(MONTH(I39)&gt;=Setup!$C$15,MONTH(I39)&lt;=Setup!$C$16)),IF(Setup!$C$15&lt;=Setup!$C$16,AND(MONTH(WORKDAY(I39,-(Setup!$C$13+Setup!$G$27),Setup!$C$39:$C$50))&gt;=Setup!$C$15,MONTH(WORKDAY(I39,-(Setup!$C$13+Setup!$G$27),Setup!$C$39:$C$50))&lt;=Setup!$C$16),OR(MONTH(WORKDAY(I39,-(Setup!$C$13+Setup!$G$27),Setup!$C$39:$C$50))&gt;=Setup!$C$15,MONTH(WORKDAY(I39,-(Setup!$C$13+Setup!$G$27),Setup!$C$39:$C$50))&lt;=Setup!$C$16))),WORKDAY(I39,-(Setup!$C$13+Setup!$G$27+Setup!$C$14),Setup!$C$39:$C$50),WORKDAY(I39,-(Setup!$C$13+Setup!$G$27),Setup!$C$39:$C$50))+(34*100+8)/10000000)))</f>
        <v/>
      </c>
      <c r="Z39" t="str">
        <f>IF(J39="","",IF(J39&lt;Setup!$C$5-Setup!$C$6,"",IF(IF(ISNUMBER(Roster!$D39),Setup!$C$28&lt;=Roster!$D39,FALSE),"",IF(OR(IF(Setup!$C$15&lt;=Setup!$C$16,AND(MONTH(J39)&gt;=Setup!$C$15,MONTH(J39)&lt;=Setup!$C$16),OR(MONTH(J39)&gt;=Setup!$C$15,MONTH(J39)&lt;=Setup!$C$16)),IF(Setup!$C$15&lt;=Setup!$C$16,AND(MONTH(WORKDAY(J39,-(Setup!$C$13+Setup!$G$28),Setup!$C$39:$C$50))&gt;=Setup!$C$15,MONTH(WORKDAY(J39,-(Setup!$C$13+Setup!$G$28),Setup!$C$39:$C$50))&lt;=Setup!$C$16),OR(MONTH(WORKDAY(J39,-(Setup!$C$13+Setup!$G$28),Setup!$C$39:$C$50))&gt;=Setup!$C$15,MONTH(WORKDAY(J39,-(Setup!$C$13+Setup!$G$28),Setup!$C$39:$C$50))&lt;=Setup!$C$16))),WORKDAY(J39,-(Setup!$C$13+Setup!$G$28+Setup!$C$14),Setup!$C$39:$C$50),WORKDAY(J39,-(Setup!$C$13+Setup!$G$28),Setup!$C$39:$C$50))+(34*100+9)/10000000)))</f>
        <v/>
      </c>
      <c r="AA39" t="str">
        <f>IF(K39="","",IF(K39&lt;Setup!$C$5-Setup!$C$6,"",IF(IF(ISNUMBER(Roster!$D39),Setup!$C$29&lt;=Roster!$D39,FALSE),"",IF(OR(IF(Setup!$C$15&lt;=Setup!$C$16,AND(MONTH(K39)&gt;=Setup!$C$15,MONTH(K39)&lt;=Setup!$C$16),OR(MONTH(K39)&gt;=Setup!$C$15,MONTH(K39)&lt;=Setup!$C$16)),IF(Setup!$C$15&lt;=Setup!$C$16,AND(MONTH(WORKDAY(K39,-(Setup!$C$13+Setup!$G$29),Setup!$C$39:$C$50))&gt;=Setup!$C$15,MONTH(WORKDAY(K39,-(Setup!$C$13+Setup!$G$29),Setup!$C$39:$C$50))&lt;=Setup!$C$16),OR(MONTH(WORKDAY(K39,-(Setup!$C$13+Setup!$G$29),Setup!$C$39:$C$50))&gt;=Setup!$C$15,MONTH(WORKDAY(K39,-(Setup!$C$13+Setup!$G$29),Setup!$C$39:$C$50))&lt;=Setup!$C$16))),WORKDAY(K39,-(Setup!$C$13+Setup!$G$29+Setup!$C$14),Setup!$C$39:$C$50),WORKDAY(K39,-(Setup!$C$13+Setup!$G$29),Setup!$C$39:$C$50))+(34*100+10)/10000000)))</f>
        <v/>
      </c>
      <c r="AB39" t="str">
        <f>IF(L39="","",IF(L39&lt;Setup!$C$5-Setup!$C$6,"",IF(IF(ISNUMBER(Roster!$D39),Setup!$C$30&lt;=Roster!$D39,FALSE),"",IF(OR(IF(Setup!$C$15&lt;=Setup!$C$16,AND(MONTH(L39)&gt;=Setup!$C$15,MONTH(L39)&lt;=Setup!$C$16),OR(MONTH(L39)&gt;=Setup!$C$15,MONTH(L39)&lt;=Setup!$C$16)),IF(Setup!$C$15&lt;=Setup!$C$16,AND(MONTH(WORKDAY(L39,-(Setup!$C$13+Setup!$G$30),Setup!$C$39:$C$50))&gt;=Setup!$C$15,MONTH(WORKDAY(L39,-(Setup!$C$13+Setup!$G$30),Setup!$C$39:$C$50))&lt;=Setup!$C$16),OR(MONTH(WORKDAY(L39,-(Setup!$C$13+Setup!$G$30),Setup!$C$39:$C$50))&gt;=Setup!$C$15,MONTH(WORKDAY(L39,-(Setup!$C$13+Setup!$G$30),Setup!$C$39:$C$50))&lt;=Setup!$C$16))),WORKDAY(L39,-(Setup!$C$13+Setup!$G$30+Setup!$C$14),Setup!$C$39:$C$50),WORKDAY(L39,-(Setup!$C$13+Setup!$G$30),Setup!$C$39:$C$50))+(34*100+11)/10000000)))</f>
        <v/>
      </c>
      <c r="AC39" t="str">
        <f>IF(M39="","",IF(M39&lt;Setup!$C$5-Setup!$C$6,"",IF(IF(ISNUMBER(Roster!$D39),Setup!$C$31&lt;=Roster!$D39,FALSE),"",IF(OR(IF(Setup!$C$15&lt;=Setup!$C$16,AND(MONTH(M39)&gt;=Setup!$C$15,MONTH(M39)&lt;=Setup!$C$16),OR(MONTH(M39)&gt;=Setup!$C$15,MONTH(M39)&lt;=Setup!$C$16)),IF(Setup!$C$15&lt;=Setup!$C$16,AND(MONTH(WORKDAY(M39,-(Setup!$C$13+Setup!$G$31),Setup!$C$39:$C$50))&gt;=Setup!$C$15,MONTH(WORKDAY(M39,-(Setup!$C$13+Setup!$G$31),Setup!$C$39:$C$50))&lt;=Setup!$C$16),OR(MONTH(WORKDAY(M39,-(Setup!$C$13+Setup!$G$31),Setup!$C$39:$C$50))&gt;=Setup!$C$15,MONTH(WORKDAY(M39,-(Setup!$C$13+Setup!$G$31),Setup!$C$39:$C$50))&lt;=Setup!$C$16))),WORKDAY(M39,-(Setup!$C$13+Setup!$G$31+Setup!$C$14),Setup!$C$39:$C$50),WORKDAY(M39,-(Setup!$C$13+Setup!$G$31),Setup!$C$39:$C$50))+(34*100+12)/10000000)))</f>
        <v/>
      </c>
      <c r="AD39" t="str">
        <f>IF(N39="","",IF(N39&lt;Setup!$C$5-Setup!$C$6,"",IF(IF(ISNUMBER(Roster!$D39),Setup!$C$32&lt;=Roster!$D39,FALSE),"",IF(OR(IF(Setup!$C$15&lt;=Setup!$C$16,AND(MONTH(N39)&gt;=Setup!$C$15,MONTH(N39)&lt;=Setup!$C$16),OR(MONTH(N39)&gt;=Setup!$C$15,MONTH(N39)&lt;=Setup!$C$16)),IF(Setup!$C$15&lt;=Setup!$C$16,AND(MONTH(WORKDAY(N39,-(Setup!$C$13+Setup!$G$32),Setup!$C$39:$C$50))&gt;=Setup!$C$15,MONTH(WORKDAY(N39,-(Setup!$C$13+Setup!$G$32),Setup!$C$39:$C$50))&lt;=Setup!$C$16),OR(MONTH(WORKDAY(N39,-(Setup!$C$13+Setup!$G$32),Setup!$C$39:$C$50))&gt;=Setup!$C$15,MONTH(WORKDAY(N39,-(Setup!$C$13+Setup!$G$32),Setup!$C$39:$C$50))&lt;=Setup!$C$16))),WORKDAY(N39,-(Setup!$C$13+Setup!$G$32+Setup!$C$14),Setup!$C$39:$C$50),WORKDAY(N39,-(Setup!$C$13+Setup!$G$32),Setup!$C$39:$C$50))+(34*100+13)/10000000)))</f>
        <v/>
      </c>
      <c r="AE39" t="str">
        <f>IF(O39="","",IF(O39&lt;Setup!$C$5-Setup!$C$6,"",IF(IF(ISNUMBER(Roster!$D39),Setup!$C$33&lt;=Roster!$D39,FALSE),"",IF(OR(IF(Setup!$C$15&lt;=Setup!$C$16,AND(MONTH(O39)&gt;=Setup!$C$15,MONTH(O39)&lt;=Setup!$C$16),OR(MONTH(O39)&gt;=Setup!$C$15,MONTH(O39)&lt;=Setup!$C$16)),IF(Setup!$C$15&lt;=Setup!$C$16,AND(MONTH(WORKDAY(O39,-(Setup!$C$13+Setup!$G$33),Setup!$C$39:$C$50))&gt;=Setup!$C$15,MONTH(WORKDAY(O39,-(Setup!$C$13+Setup!$G$33),Setup!$C$39:$C$50))&lt;=Setup!$C$16),OR(MONTH(WORKDAY(O39,-(Setup!$C$13+Setup!$G$33),Setup!$C$39:$C$50))&gt;=Setup!$C$15,MONTH(WORKDAY(O39,-(Setup!$C$13+Setup!$G$33),Setup!$C$39:$C$50))&lt;=Setup!$C$16))),WORKDAY(O39,-(Setup!$C$13+Setup!$G$33+Setup!$C$14),Setup!$C$39:$C$50),WORKDAY(O39,-(Setup!$C$13+Setup!$G$33),Setup!$C$39:$C$50))+(34*100+14)/10000000)))</f>
        <v/>
      </c>
      <c r="AF39" t="str">
        <f>IF(P39="","",IF(P39&lt;Setup!$C$5-Setup!$C$6,"",IF(IF(ISNUMBER(Roster!$D39),Setup!$C$34&lt;=Roster!$D39,FALSE),"",IF(OR(IF(Setup!$C$15&lt;=Setup!$C$16,AND(MONTH(P39)&gt;=Setup!$C$15,MONTH(P39)&lt;=Setup!$C$16),OR(MONTH(P39)&gt;=Setup!$C$15,MONTH(P39)&lt;=Setup!$C$16)),IF(Setup!$C$15&lt;=Setup!$C$16,AND(MONTH(WORKDAY(P39,-(Setup!$C$13+Setup!$G$34),Setup!$C$39:$C$50))&gt;=Setup!$C$15,MONTH(WORKDAY(P39,-(Setup!$C$13+Setup!$G$34),Setup!$C$39:$C$50))&lt;=Setup!$C$16),OR(MONTH(WORKDAY(P39,-(Setup!$C$13+Setup!$G$34),Setup!$C$39:$C$50))&gt;=Setup!$C$15,MONTH(WORKDAY(P39,-(Setup!$C$13+Setup!$G$34),Setup!$C$39:$C$50))&lt;=Setup!$C$16))),WORKDAY(P39,-(Setup!$C$13+Setup!$G$34+Setup!$C$14),Setup!$C$39:$C$50),WORKDAY(P39,-(Setup!$C$13+Setup!$G$34),Setup!$C$39:$C$50))+(34*100+15)/10000000)))</f>
        <v/>
      </c>
      <c r="AH39" t="str">
        <f t="shared" si="0"/>
        <v/>
      </c>
      <c r="AI39" t="str">
        <f t="shared" si="1"/>
        <v/>
      </c>
      <c r="AK39" t="str">
        <f ca="1">IF(34&gt;$AK$2,"",SMALL($R$6:$AF$505,34))</f>
        <v/>
      </c>
      <c r="AL39" t="str">
        <f t="shared" ca="1" si="2"/>
        <v/>
      </c>
      <c r="AM39" t="str">
        <f t="shared" ca="1" si="3"/>
        <v/>
      </c>
      <c r="AN39" t="str">
        <f t="shared" ca="1" si="4"/>
        <v/>
      </c>
      <c r="AP39" t="str">
        <f>IF(ISNUMBER(Roster!$B39),MAX(1,YEAR(Setup!$C$5)-YEAR(Roster!$B39)+IF(EDATE(Roster!$B39,12*(YEAR(Setup!$C$5)-YEAR(Roster!$B39)))&lt;Setup!$C$5,1,0)),"")</f>
        <v/>
      </c>
      <c r="AQ39" s="32" t="str">
        <f>IF(AP39="","",EDATE(Roster!$B39,12*AP39))</f>
        <v/>
      </c>
      <c r="AR39" t="str">
        <f>IF(AQ39="","",IF(AQ39&lt;DATE(YEAR(Setup!$C$5)+1,MONTH(Setup!$C$5),DAY(Setup!$C$5)),AQ39+34/1000,""))</f>
        <v/>
      </c>
      <c r="AS39" t="str">
        <f t="shared" si="5"/>
        <v/>
      </c>
      <c r="AT39" t="str">
        <f>IF(AS39="","",IF(ISNUMBER(Roster!$D39),Roster!$D39&gt;=AP39,FALSE))</f>
        <v/>
      </c>
      <c r="AU39" t="str">
        <f t="shared" si="6"/>
        <v/>
      </c>
      <c r="AV39" t="str">
        <f ca="1">IF(34&gt;$AV$2,"",SMALL($AR$6:$AR$505,34))</f>
        <v/>
      </c>
      <c r="AW39" t="str">
        <f t="shared" ca="1" si="7"/>
        <v/>
      </c>
    </row>
    <row r="40" spans="2:52" x14ac:dyDescent="0.2">
      <c r="B40" s="32" t="str">
        <f>IF(AND(ISNUMBER(Roster!$B40),Setup!$B$20="Yes",ISNUMBER(Setup!$C$20)),EDATE(Roster!$B40,12*Setup!$C$20),"")</f>
        <v/>
      </c>
      <c r="C40" s="32" t="str">
        <f>IF(AND(ISNUMBER(Roster!$B40),Setup!$B$21="Yes",ISNUMBER(Setup!$C$21)),EDATE(Roster!$B40,12*Setup!$C$21),"")</f>
        <v/>
      </c>
      <c r="D40" s="32" t="str">
        <f>IF(AND(ISNUMBER(Roster!$B40),Setup!$B$22="Yes",ISNUMBER(Setup!$C$22)),EDATE(Roster!$B40,12*Setup!$C$22),"")</f>
        <v/>
      </c>
      <c r="E40" s="32" t="str">
        <f>IF(AND(ISNUMBER(Roster!$B40),Setup!$B$23="Yes",ISNUMBER(Setup!$C$23)),EDATE(Roster!$B40,12*Setup!$C$23),"")</f>
        <v/>
      </c>
      <c r="F40" s="32" t="str">
        <f>IF(AND(ISNUMBER(Roster!$B40),Setup!$B$24="Yes",ISNUMBER(Setup!$C$24)),EDATE(Roster!$B40,12*Setup!$C$24),"")</f>
        <v/>
      </c>
      <c r="G40" s="32" t="str">
        <f>IF(AND(ISNUMBER(Roster!$B40),Setup!$B$25="Yes",ISNUMBER(Setup!$C$25)),EDATE(Roster!$B40,12*Setup!$C$25),"")</f>
        <v/>
      </c>
      <c r="H40" s="32" t="str">
        <f>IF(AND(ISNUMBER(Roster!$B40),Setup!$B$26="Yes",ISNUMBER(Setup!$C$26)),EDATE(Roster!$B40,12*Setup!$C$26),"")</f>
        <v/>
      </c>
      <c r="I40" s="32" t="str">
        <f>IF(AND(ISNUMBER(Roster!$B40),Setup!$B$27="Yes",ISNUMBER(Setup!$C$27)),EDATE(Roster!$B40,12*Setup!$C$27),"")</f>
        <v/>
      </c>
      <c r="J40" s="32" t="str">
        <f>IF(AND(ISNUMBER(Roster!$B40),Setup!$B$28="Yes",ISNUMBER(Setup!$C$28)),EDATE(Roster!$B40,12*Setup!$C$28),"")</f>
        <v/>
      </c>
      <c r="K40" s="32" t="str">
        <f>IF(AND(ISNUMBER(Roster!$B40),Setup!$B$29="Yes",ISNUMBER(Setup!$C$29)),EDATE(Roster!$B40,12*Setup!$C$29),"")</f>
        <v/>
      </c>
      <c r="L40" s="32" t="str">
        <f>IF(AND(ISNUMBER(Roster!$B40),Setup!$B$30="Yes",ISNUMBER(Setup!$C$30)),EDATE(Roster!$B40,12*Setup!$C$30),"")</f>
        <v/>
      </c>
      <c r="M40" s="32" t="str">
        <f>IF(AND(ISNUMBER(Roster!$B40),Setup!$B$31="Yes",ISNUMBER(Setup!$C$31)),EDATE(Roster!$B40,12*Setup!$C$31),"")</f>
        <v/>
      </c>
      <c r="N40" s="32" t="str">
        <f>IF(AND(ISNUMBER(Roster!$B40),Setup!$B$32="Yes",ISNUMBER(Setup!$C$32)),EDATE(Roster!$B40,12*Setup!$C$32),"")</f>
        <v/>
      </c>
      <c r="O40" s="32" t="str">
        <f>IF(AND(ISNUMBER(Roster!$B40),Setup!$B$33="Yes",ISNUMBER(Setup!$C$33)),EDATE(Roster!$B40,12*Setup!$C$33),"")</f>
        <v/>
      </c>
      <c r="P40" s="32" t="str">
        <f>IF(AND(ISNUMBER(Roster!$B40),Setup!$B$34="Yes",ISNUMBER(Setup!$C$34)),EDATE(Roster!$B40,12*Setup!$C$34),"")</f>
        <v/>
      </c>
      <c r="R40" t="str">
        <f>IF(B40="","",IF(B40&lt;Setup!$C$5-Setup!$C$6,"",IF(IF(ISNUMBER(Roster!$D40),Setup!$C$20&lt;=Roster!$D40,FALSE),"",IF(OR(IF(Setup!$C$15&lt;=Setup!$C$16,AND(MONTH(B40)&gt;=Setup!$C$15,MONTH(B40)&lt;=Setup!$C$16),OR(MONTH(B40)&gt;=Setup!$C$15,MONTH(B40)&lt;=Setup!$C$16)),IF(Setup!$C$15&lt;=Setup!$C$16,AND(MONTH(WORKDAY(B40,-(Setup!$C$13+Setup!$G$20),Setup!$C$39:$C$50))&gt;=Setup!$C$15,MONTH(WORKDAY(B40,-(Setup!$C$13+Setup!$G$20),Setup!$C$39:$C$50))&lt;=Setup!$C$16),OR(MONTH(WORKDAY(B40,-(Setup!$C$13+Setup!$G$20),Setup!$C$39:$C$50))&gt;=Setup!$C$15,MONTH(WORKDAY(B40,-(Setup!$C$13+Setup!$G$20),Setup!$C$39:$C$50))&lt;=Setup!$C$16))),WORKDAY(B40,-(Setup!$C$13+Setup!$G$20+Setup!$C$14),Setup!$C$39:$C$50),WORKDAY(B40,-(Setup!$C$13+Setup!$G$20),Setup!$C$39:$C$50))+(35*100+1)/10000000)))</f>
        <v/>
      </c>
      <c r="S40" t="str">
        <f>IF(C40="","",IF(C40&lt;Setup!$C$5-Setup!$C$6,"",IF(IF(ISNUMBER(Roster!$D40),Setup!$C$21&lt;=Roster!$D40,FALSE),"",IF(OR(IF(Setup!$C$15&lt;=Setup!$C$16,AND(MONTH(C40)&gt;=Setup!$C$15,MONTH(C40)&lt;=Setup!$C$16),OR(MONTH(C40)&gt;=Setup!$C$15,MONTH(C40)&lt;=Setup!$C$16)),IF(Setup!$C$15&lt;=Setup!$C$16,AND(MONTH(WORKDAY(C40,-(Setup!$C$13+Setup!$G$21),Setup!$C$39:$C$50))&gt;=Setup!$C$15,MONTH(WORKDAY(C40,-(Setup!$C$13+Setup!$G$21),Setup!$C$39:$C$50))&lt;=Setup!$C$16),OR(MONTH(WORKDAY(C40,-(Setup!$C$13+Setup!$G$21),Setup!$C$39:$C$50))&gt;=Setup!$C$15,MONTH(WORKDAY(C40,-(Setup!$C$13+Setup!$G$21),Setup!$C$39:$C$50))&lt;=Setup!$C$16))),WORKDAY(C40,-(Setup!$C$13+Setup!$G$21+Setup!$C$14),Setup!$C$39:$C$50),WORKDAY(C40,-(Setup!$C$13+Setup!$G$21),Setup!$C$39:$C$50))+(35*100+2)/10000000)))</f>
        <v/>
      </c>
      <c r="T40" t="str">
        <f>IF(D40="","",IF(D40&lt;Setup!$C$5-Setup!$C$6,"",IF(IF(ISNUMBER(Roster!$D40),Setup!$C$22&lt;=Roster!$D40,FALSE),"",IF(OR(IF(Setup!$C$15&lt;=Setup!$C$16,AND(MONTH(D40)&gt;=Setup!$C$15,MONTH(D40)&lt;=Setup!$C$16),OR(MONTH(D40)&gt;=Setup!$C$15,MONTH(D40)&lt;=Setup!$C$16)),IF(Setup!$C$15&lt;=Setup!$C$16,AND(MONTH(WORKDAY(D40,-(Setup!$C$13+Setup!$G$22),Setup!$C$39:$C$50))&gt;=Setup!$C$15,MONTH(WORKDAY(D40,-(Setup!$C$13+Setup!$G$22),Setup!$C$39:$C$50))&lt;=Setup!$C$16),OR(MONTH(WORKDAY(D40,-(Setup!$C$13+Setup!$G$22),Setup!$C$39:$C$50))&gt;=Setup!$C$15,MONTH(WORKDAY(D40,-(Setup!$C$13+Setup!$G$22),Setup!$C$39:$C$50))&lt;=Setup!$C$16))),WORKDAY(D40,-(Setup!$C$13+Setup!$G$22+Setup!$C$14),Setup!$C$39:$C$50),WORKDAY(D40,-(Setup!$C$13+Setup!$G$22),Setup!$C$39:$C$50))+(35*100+3)/10000000)))</f>
        <v/>
      </c>
      <c r="U40" t="str">
        <f>IF(E40="","",IF(E40&lt;Setup!$C$5-Setup!$C$6,"",IF(IF(ISNUMBER(Roster!$D40),Setup!$C$23&lt;=Roster!$D40,FALSE),"",IF(OR(IF(Setup!$C$15&lt;=Setup!$C$16,AND(MONTH(E40)&gt;=Setup!$C$15,MONTH(E40)&lt;=Setup!$C$16),OR(MONTH(E40)&gt;=Setup!$C$15,MONTH(E40)&lt;=Setup!$C$16)),IF(Setup!$C$15&lt;=Setup!$C$16,AND(MONTH(WORKDAY(E40,-(Setup!$C$13+Setup!$G$23),Setup!$C$39:$C$50))&gt;=Setup!$C$15,MONTH(WORKDAY(E40,-(Setup!$C$13+Setup!$G$23),Setup!$C$39:$C$50))&lt;=Setup!$C$16),OR(MONTH(WORKDAY(E40,-(Setup!$C$13+Setup!$G$23),Setup!$C$39:$C$50))&gt;=Setup!$C$15,MONTH(WORKDAY(E40,-(Setup!$C$13+Setup!$G$23),Setup!$C$39:$C$50))&lt;=Setup!$C$16))),WORKDAY(E40,-(Setup!$C$13+Setup!$G$23+Setup!$C$14),Setup!$C$39:$C$50),WORKDAY(E40,-(Setup!$C$13+Setup!$G$23),Setup!$C$39:$C$50))+(35*100+4)/10000000)))</f>
        <v/>
      </c>
      <c r="V40" t="str">
        <f>IF(F40="","",IF(F40&lt;Setup!$C$5-Setup!$C$6,"",IF(IF(ISNUMBER(Roster!$D40),Setup!$C$24&lt;=Roster!$D40,FALSE),"",IF(OR(IF(Setup!$C$15&lt;=Setup!$C$16,AND(MONTH(F40)&gt;=Setup!$C$15,MONTH(F40)&lt;=Setup!$C$16),OR(MONTH(F40)&gt;=Setup!$C$15,MONTH(F40)&lt;=Setup!$C$16)),IF(Setup!$C$15&lt;=Setup!$C$16,AND(MONTH(WORKDAY(F40,-(Setup!$C$13+Setup!$G$24),Setup!$C$39:$C$50))&gt;=Setup!$C$15,MONTH(WORKDAY(F40,-(Setup!$C$13+Setup!$G$24),Setup!$C$39:$C$50))&lt;=Setup!$C$16),OR(MONTH(WORKDAY(F40,-(Setup!$C$13+Setup!$G$24),Setup!$C$39:$C$50))&gt;=Setup!$C$15,MONTH(WORKDAY(F40,-(Setup!$C$13+Setup!$G$24),Setup!$C$39:$C$50))&lt;=Setup!$C$16))),WORKDAY(F40,-(Setup!$C$13+Setup!$G$24+Setup!$C$14),Setup!$C$39:$C$50),WORKDAY(F40,-(Setup!$C$13+Setup!$G$24),Setup!$C$39:$C$50))+(35*100+5)/10000000)))</f>
        <v/>
      </c>
      <c r="W40" t="str">
        <f>IF(G40="","",IF(G40&lt;Setup!$C$5-Setup!$C$6,"",IF(IF(ISNUMBER(Roster!$D40),Setup!$C$25&lt;=Roster!$D40,FALSE),"",IF(OR(IF(Setup!$C$15&lt;=Setup!$C$16,AND(MONTH(G40)&gt;=Setup!$C$15,MONTH(G40)&lt;=Setup!$C$16),OR(MONTH(G40)&gt;=Setup!$C$15,MONTH(G40)&lt;=Setup!$C$16)),IF(Setup!$C$15&lt;=Setup!$C$16,AND(MONTH(WORKDAY(G40,-(Setup!$C$13+Setup!$G$25),Setup!$C$39:$C$50))&gt;=Setup!$C$15,MONTH(WORKDAY(G40,-(Setup!$C$13+Setup!$G$25),Setup!$C$39:$C$50))&lt;=Setup!$C$16),OR(MONTH(WORKDAY(G40,-(Setup!$C$13+Setup!$G$25),Setup!$C$39:$C$50))&gt;=Setup!$C$15,MONTH(WORKDAY(G40,-(Setup!$C$13+Setup!$G$25),Setup!$C$39:$C$50))&lt;=Setup!$C$16))),WORKDAY(G40,-(Setup!$C$13+Setup!$G$25+Setup!$C$14),Setup!$C$39:$C$50),WORKDAY(G40,-(Setup!$C$13+Setup!$G$25),Setup!$C$39:$C$50))+(35*100+6)/10000000)))</f>
        <v/>
      </c>
      <c r="X40" t="str">
        <f>IF(H40="","",IF(H40&lt;Setup!$C$5-Setup!$C$6,"",IF(IF(ISNUMBER(Roster!$D40),Setup!$C$26&lt;=Roster!$D40,FALSE),"",IF(OR(IF(Setup!$C$15&lt;=Setup!$C$16,AND(MONTH(H40)&gt;=Setup!$C$15,MONTH(H40)&lt;=Setup!$C$16),OR(MONTH(H40)&gt;=Setup!$C$15,MONTH(H40)&lt;=Setup!$C$16)),IF(Setup!$C$15&lt;=Setup!$C$16,AND(MONTH(WORKDAY(H40,-(Setup!$C$13+Setup!$G$26),Setup!$C$39:$C$50))&gt;=Setup!$C$15,MONTH(WORKDAY(H40,-(Setup!$C$13+Setup!$G$26),Setup!$C$39:$C$50))&lt;=Setup!$C$16),OR(MONTH(WORKDAY(H40,-(Setup!$C$13+Setup!$G$26),Setup!$C$39:$C$50))&gt;=Setup!$C$15,MONTH(WORKDAY(H40,-(Setup!$C$13+Setup!$G$26),Setup!$C$39:$C$50))&lt;=Setup!$C$16))),WORKDAY(H40,-(Setup!$C$13+Setup!$G$26+Setup!$C$14),Setup!$C$39:$C$50),WORKDAY(H40,-(Setup!$C$13+Setup!$G$26),Setup!$C$39:$C$50))+(35*100+7)/10000000)))</f>
        <v/>
      </c>
      <c r="Y40" t="str">
        <f>IF(I40="","",IF(I40&lt;Setup!$C$5-Setup!$C$6,"",IF(IF(ISNUMBER(Roster!$D40),Setup!$C$27&lt;=Roster!$D40,FALSE),"",IF(OR(IF(Setup!$C$15&lt;=Setup!$C$16,AND(MONTH(I40)&gt;=Setup!$C$15,MONTH(I40)&lt;=Setup!$C$16),OR(MONTH(I40)&gt;=Setup!$C$15,MONTH(I40)&lt;=Setup!$C$16)),IF(Setup!$C$15&lt;=Setup!$C$16,AND(MONTH(WORKDAY(I40,-(Setup!$C$13+Setup!$G$27),Setup!$C$39:$C$50))&gt;=Setup!$C$15,MONTH(WORKDAY(I40,-(Setup!$C$13+Setup!$G$27),Setup!$C$39:$C$50))&lt;=Setup!$C$16),OR(MONTH(WORKDAY(I40,-(Setup!$C$13+Setup!$G$27),Setup!$C$39:$C$50))&gt;=Setup!$C$15,MONTH(WORKDAY(I40,-(Setup!$C$13+Setup!$G$27),Setup!$C$39:$C$50))&lt;=Setup!$C$16))),WORKDAY(I40,-(Setup!$C$13+Setup!$G$27+Setup!$C$14),Setup!$C$39:$C$50),WORKDAY(I40,-(Setup!$C$13+Setup!$G$27),Setup!$C$39:$C$50))+(35*100+8)/10000000)))</f>
        <v/>
      </c>
      <c r="Z40" t="str">
        <f>IF(J40="","",IF(J40&lt;Setup!$C$5-Setup!$C$6,"",IF(IF(ISNUMBER(Roster!$D40),Setup!$C$28&lt;=Roster!$D40,FALSE),"",IF(OR(IF(Setup!$C$15&lt;=Setup!$C$16,AND(MONTH(J40)&gt;=Setup!$C$15,MONTH(J40)&lt;=Setup!$C$16),OR(MONTH(J40)&gt;=Setup!$C$15,MONTH(J40)&lt;=Setup!$C$16)),IF(Setup!$C$15&lt;=Setup!$C$16,AND(MONTH(WORKDAY(J40,-(Setup!$C$13+Setup!$G$28),Setup!$C$39:$C$50))&gt;=Setup!$C$15,MONTH(WORKDAY(J40,-(Setup!$C$13+Setup!$G$28),Setup!$C$39:$C$50))&lt;=Setup!$C$16),OR(MONTH(WORKDAY(J40,-(Setup!$C$13+Setup!$G$28),Setup!$C$39:$C$50))&gt;=Setup!$C$15,MONTH(WORKDAY(J40,-(Setup!$C$13+Setup!$G$28),Setup!$C$39:$C$50))&lt;=Setup!$C$16))),WORKDAY(J40,-(Setup!$C$13+Setup!$G$28+Setup!$C$14),Setup!$C$39:$C$50),WORKDAY(J40,-(Setup!$C$13+Setup!$G$28),Setup!$C$39:$C$50))+(35*100+9)/10000000)))</f>
        <v/>
      </c>
      <c r="AA40" t="str">
        <f>IF(K40="","",IF(K40&lt;Setup!$C$5-Setup!$C$6,"",IF(IF(ISNUMBER(Roster!$D40),Setup!$C$29&lt;=Roster!$D40,FALSE),"",IF(OR(IF(Setup!$C$15&lt;=Setup!$C$16,AND(MONTH(K40)&gt;=Setup!$C$15,MONTH(K40)&lt;=Setup!$C$16),OR(MONTH(K40)&gt;=Setup!$C$15,MONTH(K40)&lt;=Setup!$C$16)),IF(Setup!$C$15&lt;=Setup!$C$16,AND(MONTH(WORKDAY(K40,-(Setup!$C$13+Setup!$G$29),Setup!$C$39:$C$50))&gt;=Setup!$C$15,MONTH(WORKDAY(K40,-(Setup!$C$13+Setup!$G$29),Setup!$C$39:$C$50))&lt;=Setup!$C$16),OR(MONTH(WORKDAY(K40,-(Setup!$C$13+Setup!$G$29),Setup!$C$39:$C$50))&gt;=Setup!$C$15,MONTH(WORKDAY(K40,-(Setup!$C$13+Setup!$G$29),Setup!$C$39:$C$50))&lt;=Setup!$C$16))),WORKDAY(K40,-(Setup!$C$13+Setup!$G$29+Setup!$C$14),Setup!$C$39:$C$50),WORKDAY(K40,-(Setup!$C$13+Setup!$G$29),Setup!$C$39:$C$50))+(35*100+10)/10000000)))</f>
        <v/>
      </c>
      <c r="AB40" t="str">
        <f>IF(L40="","",IF(L40&lt;Setup!$C$5-Setup!$C$6,"",IF(IF(ISNUMBER(Roster!$D40),Setup!$C$30&lt;=Roster!$D40,FALSE),"",IF(OR(IF(Setup!$C$15&lt;=Setup!$C$16,AND(MONTH(L40)&gt;=Setup!$C$15,MONTH(L40)&lt;=Setup!$C$16),OR(MONTH(L40)&gt;=Setup!$C$15,MONTH(L40)&lt;=Setup!$C$16)),IF(Setup!$C$15&lt;=Setup!$C$16,AND(MONTH(WORKDAY(L40,-(Setup!$C$13+Setup!$G$30),Setup!$C$39:$C$50))&gt;=Setup!$C$15,MONTH(WORKDAY(L40,-(Setup!$C$13+Setup!$G$30),Setup!$C$39:$C$50))&lt;=Setup!$C$16),OR(MONTH(WORKDAY(L40,-(Setup!$C$13+Setup!$G$30),Setup!$C$39:$C$50))&gt;=Setup!$C$15,MONTH(WORKDAY(L40,-(Setup!$C$13+Setup!$G$30),Setup!$C$39:$C$50))&lt;=Setup!$C$16))),WORKDAY(L40,-(Setup!$C$13+Setup!$G$30+Setup!$C$14),Setup!$C$39:$C$50),WORKDAY(L40,-(Setup!$C$13+Setup!$G$30),Setup!$C$39:$C$50))+(35*100+11)/10000000)))</f>
        <v/>
      </c>
      <c r="AC40" t="str">
        <f>IF(M40="","",IF(M40&lt;Setup!$C$5-Setup!$C$6,"",IF(IF(ISNUMBER(Roster!$D40),Setup!$C$31&lt;=Roster!$D40,FALSE),"",IF(OR(IF(Setup!$C$15&lt;=Setup!$C$16,AND(MONTH(M40)&gt;=Setup!$C$15,MONTH(M40)&lt;=Setup!$C$16),OR(MONTH(M40)&gt;=Setup!$C$15,MONTH(M40)&lt;=Setup!$C$16)),IF(Setup!$C$15&lt;=Setup!$C$16,AND(MONTH(WORKDAY(M40,-(Setup!$C$13+Setup!$G$31),Setup!$C$39:$C$50))&gt;=Setup!$C$15,MONTH(WORKDAY(M40,-(Setup!$C$13+Setup!$G$31),Setup!$C$39:$C$50))&lt;=Setup!$C$16),OR(MONTH(WORKDAY(M40,-(Setup!$C$13+Setup!$G$31),Setup!$C$39:$C$50))&gt;=Setup!$C$15,MONTH(WORKDAY(M40,-(Setup!$C$13+Setup!$G$31),Setup!$C$39:$C$50))&lt;=Setup!$C$16))),WORKDAY(M40,-(Setup!$C$13+Setup!$G$31+Setup!$C$14),Setup!$C$39:$C$50),WORKDAY(M40,-(Setup!$C$13+Setup!$G$31),Setup!$C$39:$C$50))+(35*100+12)/10000000)))</f>
        <v/>
      </c>
      <c r="AD40" t="str">
        <f>IF(N40="","",IF(N40&lt;Setup!$C$5-Setup!$C$6,"",IF(IF(ISNUMBER(Roster!$D40),Setup!$C$32&lt;=Roster!$D40,FALSE),"",IF(OR(IF(Setup!$C$15&lt;=Setup!$C$16,AND(MONTH(N40)&gt;=Setup!$C$15,MONTH(N40)&lt;=Setup!$C$16),OR(MONTH(N40)&gt;=Setup!$C$15,MONTH(N40)&lt;=Setup!$C$16)),IF(Setup!$C$15&lt;=Setup!$C$16,AND(MONTH(WORKDAY(N40,-(Setup!$C$13+Setup!$G$32),Setup!$C$39:$C$50))&gt;=Setup!$C$15,MONTH(WORKDAY(N40,-(Setup!$C$13+Setup!$G$32),Setup!$C$39:$C$50))&lt;=Setup!$C$16),OR(MONTH(WORKDAY(N40,-(Setup!$C$13+Setup!$G$32),Setup!$C$39:$C$50))&gt;=Setup!$C$15,MONTH(WORKDAY(N40,-(Setup!$C$13+Setup!$G$32),Setup!$C$39:$C$50))&lt;=Setup!$C$16))),WORKDAY(N40,-(Setup!$C$13+Setup!$G$32+Setup!$C$14),Setup!$C$39:$C$50),WORKDAY(N40,-(Setup!$C$13+Setup!$G$32),Setup!$C$39:$C$50))+(35*100+13)/10000000)))</f>
        <v/>
      </c>
      <c r="AE40" t="str">
        <f>IF(O40="","",IF(O40&lt;Setup!$C$5-Setup!$C$6,"",IF(IF(ISNUMBER(Roster!$D40),Setup!$C$33&lt;=Roster!$D40,FALSE),"",IF(OR(IF(Setup!$C$15&lt;=Setup!$C$16,AND(MONTH(O40)&gt;=Setup!$C$15,MONTH(O40)&lt;=Setup!$C$16),OR(MONTH(O40)&gt;=Setup!$C$15,MONTH(O40)&lt;=Setup!$C$16)),IF(Setup!$C$15&lt;=Setup!$C$16,AND(MONTH(WORKDAY(O40,-(Setup!$C$13+Setup!$G$33),Setup!$C$39:$C$50))&gt;=Setup!$C$15,MONTH(WORKDAY(O40,-(Setup!$C$13+Setup!$G$33),Setup!$C$39:$C$50))&lt;=Setup!$C$16),OR(MONTH(WORKDAY(O40,-(Setup!$C$13+Setup!$G$33),Setup!$C$39:$C$50))&gt;=Setup!$C$15,MONTH(WORKDAY(O40,-(Setup!$C$13+Setup!$G$33),Setup!$C$39:$C$50))&lt;=Setup!$C$16))),WORKDAY(O40,-(Setup!$C$13+Setup!$G$33+Setup!$C$14),Setup!$C$39:$C$50),WORKDAY(O40,-(Setup!$C$13+Setup!$G$33),Setup!$C$39:$C$50))+(35*100+14)/10000000)))</f>
        <v/>
      </c>
      <c r="AF40" t="str">
        <f>IF(P40="","",IF(P40&lt;Setup!$C$5-Setup!$C$6,"",IF(IF(ISNUMBER(Roster!$D40),Setup!$C$34&lt;=Roster!$D40,FALSE),"",IF(OR(IF(Setup!$C$15&lt;=Setup!$C$16,AND(MONTH(P40)&gt;=Setup!$C$15,MONTH(P40)&lt;=Setup!$C$16),OR(MONTH(P40)&gt;=Setup!$C$15,MONTH(P40)&lt;=Setup!$C$16)),IF(Setup!$C$15&lt;=Setup!$C$16,AND(MONTH(WORKDAY(P40,-(Setup!$C$13+Setup!$G$34),Setup!$C$39:$C$50))&gt;=Setup!$C$15,MONTH(WORKDAY(P40,-(Setup!$C$13+Setup!$G$34),Setup!$C$39:$C$50))&lt;=Setup!$C$16),OR(MONTH(WORKDAY(P40,-(Setup!$C$13+Setup!$G$34),Setup!$C$39:$C$50))&gt;=Setup!$C$15,MONTH(WORKDAY(P40,-(Setup!$C$13+Setup!$G$34),Setup!$C$39:$C$50))&lt;=Setup!$C$16))),WORKDAY(P40,-(Setup!$C$13+Setup!$G$34+Setup!$C$14),Setup!$C$39:$C$50),WORKDAY(P40,-(Setup!$C$13+Setup!$G$34),Setup!$C$39:$C$50))+(35*100+15)/10000000)))</f>
        <v/>
      </c>
      <c r="AH40" t="str">
        <f t="shared" si="0"/>
        <v/>
      </c>
      <c r="AI40" t="str">
        <f t="shared" si="1"/>
        <v/>
      </c>
      <c r="AK40" t="str">
        <f ca="1">IF(35&gt;$AK$2,"",SMALL($R$6:$AF$505,35))</f>
        <v/>
      </c>
      <c r="AL40" t="str">
        <f t="shared" ca="1" si="2"/>
        <v/>
      </c>
      <c r="AM40" t="str">
        <f t="shared" ca="1" si="3"/>
        <v/>
      </c>
      <c r="AN40" t="str">
        <f t="shared" ca="1" si="4"/>
        <v/>
      </c>
      <c r="AP40" t="str">
        <f>IF(ISNUMBER(Roster!$B40),MAX(1,YEAR(Setup!$C$5)-YEAR(Roster!$B40)+IF(EDATE(Roster!$B40,12*(YEAR(Setup!$C$5)-YEAR(Roster!$B40)))&lt;Setup!$C$5,1,0)),"")</f>
        <v/>
      </c>
      <c r="AQ40" s="32" t="str">
        <f>IF(AP40="","",EDATE(Roster!$B40,12*AP40))</f>
        <v/>
      </c>
      <c r="AR40" t="str">
        <f>IF(AQ40="","",IF(AQ40&lt;DATE(YEAR(Setup!$C$5)+1,MONTH(Setup!$C$5),DAY(Setup!$C$5)),AQ40+35/1000,""))</f>
        <v/>
      </c>
      <c r="AS40" t="str">
        <f t="shared" si="5"/>
        <v/>
      </c>
      <c r="AT40" t="str">
        <f>IF(AS40="","",IF(ISNUMBER(Roster!$D40),Roster!$D40&gt;=AP40,FALSE))</f>
        <v/>
      </c>
      <c r="AU40" t="str">
        <f t="shared" si="6"/>
        <v/>
      </c>
      <c r="AV40" t="str">
        <f ca="1">IF(35&gt;$AV$2,"",SMALL($AR$6:$AR$505,35))</f>
        <v/>
      </c>
      <c r="AW40" t="str">
        <f t="shared" ca="1" si="7"/>
        <v/>
      </c>
    </row>
    <row r="41" spans="2:52" x14ac:dyDescent="0.2">
      <c r="B41" s="32" t="str">
        <f>IF(AND(ISNUMBER(Roster!$B41),Setup!$B$20="Yes",ISNUMBER(Setup!$C$20)),EDATE(Roster!$B41,12*Setup!$C$20),"")</f>
        <v/>
      </c>
      <c r="C41" s="32" t="str">
        <f>IF(AND(ISNUMBER(Roster!$B41),Setup!$B$21="Yes",ISNUMBER(Setup!$C$21)),EDATE(Roster!$B41,12*Setup!$C$21),"")</f>
        <v/>
      </c>
      <c r="D41" s="32" t="str">
        <f>IF(AND(ISNUMBER(Roster!$B41),Setup!$B$22="Yes",ISNUMBER(Setup!$C$22)),EDATE(Roster!$B41,12*Setup!$C$22),"")</f>
        <v/>
      </c>
      <c r="E41" s="32" t="str">
        <f>IF(AND(ISNUMBER(Roster!$B41),Setup!$B$23="Yes",ISNUMBER(Setup!$C$23)),EDATE(Roster!$B41,12*Setup!$C$23),"")</f>
        <v/>
      </c>
      <c r="F41" s="32" t="str">
        <f>IF(AND(ISNUMBER(Roster!$B41),Setup!$B$24="Yes",ISNUMBER(Setup!$C$24)),EDATE(Roster!$B41,12*Setup!$C$24),"")</f>
        <v/>
      </c>
      <c r="G41" s="32" t="str">
        <f>IF(AND(ISNUMBER(Roster!$B41),Setup!$B$25="Yes",ISNUMBER(Setup!$C$25)),EDATE(Roster!$B41,12*Setup!$C$25),"")</f>
        <v/>
      </c>
      <c r="H41" s="32" t="str">
        <f>IF(AND(ISNUMBER(Roster!$B41),Setup!$B$26="Yes",ISNUMBER(Setup!$C$26)),EDATE(Roster!$B41,12*Setup!$C$26),"")</f>
        <v/>
      </c>
      <c r="I41" s="32" t="str">
        <f>IF(AND(ISNUMBER(Roster!$B41),Setup!$B$27="Yes",ISNUMBER(Setup!$C$27)),EDATE(Roster!$B41,12*Setup!$C$27),"")</f>
        <v/>
      </c>
      <c r="J41" s="32" t="str">
        <f>IF(AND(ISNUMBER(Roster!$B41),Setup!$B$28="Yes",ISNUMBER(Setup!$C$28)),EDATE(Roster!$B41,12*Setup!$C$28),"")</f>
        <v/>
      </c>
      <c r="K41" s="32" t="str">
        <f>IF(AND(ISNUMBER(Roster!$B41),Setup!$B$29="Yes",ISNUMBER(Setup!$C$29)),EDATE(Roster!$B41,12*Setup!$C$29),"")</f>
        <v/>
      </c>
      <c r="L41" s="32" t="str">
        <f>IF(AND(ISNUMBER(Roster!$B41),Setup!$B$30="Yes",ISNUMBER(Setup!$C$30)),EDATE(Roster!$B41,12*Setup!$C$30),"")</f>
        <v/>
      </c>
      <c r="M41" s="32" t="str">
        <f>IF(AND(ISNUMBER(Roster!$B41),Setup!$B$31="Yes",ISNUMBER(Setup!$C$31)),EDATE(Roster!$B41,12*Setup!$C$31),"")</f>
        <v/>
      </c>
      <c r="N41" s="32" t="str">
        <f>IF(AND(ISNUMBER(Roster!$B41),Setup!$B$32="Yes",ISNUMBER(Setup!$C$32)),EDATE(Roster!$B41,12*Setup!$C$32),"")</f>
        <v/>
      </c>
      <c r="O41" s="32" t="str">
        <f>IF(AND(ISNUMBER(Roster!$B41),Setup!$B$33="Yes",ISNUMBER(Setup!$C$33)),EDATE(Roster!$B41,12*Setup!$C$33),"")</f>
        <v/>
      </c>
      <c r="P41" s="32" t="str">
        <f>IF(AND(ISNUMBER(Roster!$B41),Setup!$B$34="Yes",ISNUMBER(Setup!$C$34)),EDATE(Roster!$B41,12*Setup!$C$34),"")</f>
        <v/>
      </c>
      <c r="R41" t="str">
        <f>IF(B41="","",IF(B41&lt;Setup!$C$5-Setup!$C$6,"",IF(IF(ISNUMBER(Roster!$D41),Setup!$C$20&lt;=Roster!$D41,FALSE),"",IF(OR(IF(Setup!$C$15&lt;=Setup!$C$16,AND(MONTH(B41)&gt;=Setup!$C$15,MONTH(B41)&lt;=Setup!$C$16),OR(MONTH(B41)&gt;=Setup!$C$15,MONTH(B41)&lt;=Setup!$C$16)),IF(Setup!$C$15&lt;=Setup!$C$16,AND(MONTH(WORKDAY(B41,-(Setup!$C$13+Setup!$G$20),Setup!$C$39:$C$50))&gt;=Setup!$C$15,MONTH(WORKDAY(B41,-(Setup!$C$13+Setup!$G$20),Setup!$C$39:$C$50))&lt;=Setup!$C$16),OR(MONTH(WORKDAY(B41,-(Setup!$C$13+Setup!$G$20),Setup!$C$39:$C$50))&gt;=Setup!$C$15,MONTH(WORKDAY(B41,-(Setup!$C$13+Setup!$G$20),Setup!$C$39:$C$50))&lt;=Setup!$C$16))),WORKDAY(B41,-(Setup!$C$13+Setup!$G$20+Setup!$C$14),Setup!$C$39:$C$50),WORKDAY(B41,-(Setup!$C$13+Setup!$G$20),Setup!$C$39:$C$50))+(36*100+1)/10000000)))</f>
        <v/>
      </c>
      <c r="S41" t="str">
        <f>IF(C41="","",IF(C41&lt;Setup!$C$5-Setup!$C$6,"",IF(IF(ISNUMBER(Roster!$D41),Setup!$C$21&lt;=Roster!$D41,FALSE),"",IF(OR(IF(Setup!$C$15&lt;=Setup!$C$16,AND(MONTH(C41)&gt;=Setup!$C$15,MONTH(C41)&lt;=Setup!$C$16),OR(MONTH(C41)&gt;=Setup!$C$15,MONTH(C41)&lt;=Setup!$C$16)),IF(Setup!$C$15&lt;=Setup!$C$16,AND(MONTH(WORKDAY(C41,-(Setup!$C$13+Setup!$G$21),Setup!$C$39:$C$50))&gt;=Setup!$C$15,MONTH(WORKDAY(C41,-(Setup!$C$13+Setup!$G$21),Setup!$C$39:$C$50))&lt;=Setup!$C$16),OR(MONTH(WORKDAY(C41,-(Setup!$C$13+Setup!$G$21),Setup!$C$39:$C$50))&gt;=Setup!$C$15,MONTH(WORKDAY(C41,-(Setup!$C$13+Setup!$G$21),Setup!$C$39:$C$50))&lt;=Setup!$C$16))),WORKDAY(C41,-(Setup!$C$13+Setup!$G$21+Setup!$C$14),Setup!$C$39:$C$50),WORKDAY(C41,-(Setup!$C$13+Setup!$G$21),Setup!$C$39:$C$50))+(36*100+2)/10000000)))</f>
        <v/>
      </c>
      <c r="T41" t="str">
        <f>IF(D41="","",IF(D41&lt;Setup!$C$5-Setup!$C$6,"",IF(IF(ISNUMBER(Roster!$D41),Setup!$C$22&lt;=Roster!$D41,FALSE),"",IF(OR(IF(Setup!$C$15&lt;=Setup!$C$16,AND(MONTH(D41)&gt;=Setup!$C$15,MONTH(D41)&lt;=Setup!$C$16),OR(MONTH(D41)&gt;=Setup!$C$15,MONTH(D41)&lt;=Setup!$C$16)),IF(Setup!$C$15&lt;=Setup!$C$16,AND(MONTH(WORKDAY(D41,-(Setup!$C$13+Setup!$G$22),Setup!$C$39:$C$50))&gt;=Setup!$C$15,MONTH(WORKDAY(D41,-(Setup!$C$13+Setup!$G$22),Setup!$C$39:$C$50))&lt;=Setup!$C$16),OR(MONTH(WORKDAY(D41,-(Setup!$C$13+Setup!$G$22),Setup!$C$39:$C$50))&gt;=Setup!$C$15,MONTH(WORKDAY(D41,-(Setup!$C$13+Setup!$G$22),Setup!$C$39:$C$50))&lt;=Setup!$C$16))),WORKDAY(D41,-(Setup!$C$13+Setup!$G$22+Setup!$C$14),Setup!$C$39:$C$50),WORKDAY(D41,-(Setup!$C$13+Setup!$G$22),Setup!$C$39:$C$50))+(36*100+3)/10000000)))</f>
        <v/>
      </c>
      <c r="U41" t="str">
        <f>IF(E41="","",IF(E41&lt;Setup!$C$5-Setup!$C$6,"",IF(IF(ISNUMBER(Roster!$D41),Setup!$C$23&lt;=Roster!$D41,FALSE),"",IF(OR(IF(Setup!$C$15&lt;=Setup!$C$16,AND(MONTH(E41)&gt;=Setup!$C$15,MONTH(E41)&lt;=Setup!$C$16),OR(MONTH(E41)&gt;=Setup!$C$15,MONTH(E41)&lt;=Setup!$C$16)),IF(Setup!$C$15&lt;=Setup!$C$16,AND(MONTH(WORKDAY(E41,-(Setup!$C$13+Setup!$G$23),Setup!$C$39:$C$50))&gt;=Setup!$C$15,MONTH(WORKDAY(E41,-(Setup!$C$13+Setup!$G$23),Setup!$C$39:$C$50))&lt;=Setup!$C$16),OR(MONTH(WORKDAY(E41,-(Setup!$C$13+Setup!$G$23),Setup!$C$39:$C$50))&gt;=Setup!$C$15,MONTH(WORKDAY(E41,-(Setup!$C$13+Setup!$G$23),Setup!$C$39:$C$50))&lt;=Setup!$C$16))),WORKDAY(E41,-(Setup!$C$13+Setup!$G$23+Setup!$C$14),Setup!$C$39:$C$50),WORKDAY(E41,-(Setup!$C$13+Setup!$G$23),Setup!$C$39:$C$50))+(36*100+4)/10000000)))</f>
        <v/>
      </c>
      <c r="V41" t="str">
        <f>IF(F41="","",IF(F41&lt;Setup!$C$5-Setup!$C$6,"",IF(IF(ISNUMBER(Roster!$D41),Setup!$C$24&lt;=Roster!$D41,FALSE),"",IF(OR(IF(Setup!$C$15&lt;=Setup!$C$16,AND(MONTH(F41)&gt;=Setup!$C$15,MONTH(F41)&lt;=Setup!$C$16),OR(MONTH(F41)&gt;=Setup!$C$15,MONTH(F41)&lt;=Setup!$C$16)),IF(Setup!$C$15&lt;=Setup!$C$16,AND(MONTH(WORKDAY(F41,-(Setup!$C$13+Setup!$G$24),Setup!$C$39:$C$50))&gt;=Setup!$C$15,MONTH(WORKDAY(F41,-(Setup!$C$13+Setup!$G$24),Setup!$C$39:$C$50))&lt;=Setup!$C$16),OR(MONTH(WORKDAY(F41,-(Setup!$C$13+Setup!$G$24),Setup!$C$39:$C$50))&gt;=Setup!$C$15,MONTH(WORKDAY(F41,-(Setup!$C$13+Setup!$G$24),Setup!$C$39:$C$50))&lt;=Setup!$C$16))),WORKDAY(F41,-(Setup!$C$13+Setup!$G$24+Setup!$C$14),Setup!$C$39:$C$50),WORKDAY(F41,-(Setup!$C$13+Setup!$G$24),Setup!$C$39:$C$50))+(36*100+5)/10000000)))</f>
        <v/>
      </c>
      <c r="W41" t="str">
        <f>IF(G41="","",IF(G41&lt;Setup!$C$5-Setup!$C$6,"",IF(IF(ISNUMBER(Roster!$D41),Setup!$C$25&lt;=Roster!$D41,FALSE),"",IF(OR(IF(Setup!$C$15&lt;=Setup!$C$16,AND(MONTH(G41)&gt;=Setup!$C$15,MONTH(G41)&lt;=Setup!$C$16),OR(MONTH(G41)&gt;=Setup!$C$15,MONTH(G41)&lt;=Setup!$C$16)),IF(Setup!$C$15&lt;=Setup!$C$16,AND(MONTH(WORKDAY(G41,-(Setup!$C$13+Setup!$G$25),Setup!$C$39:$C$50))&gt;=Setup!$C$15,MONTH(WORKDAY(G41,-(Setup!$C$13+Setup!$G$25),Setup!$C$39:$C$50))&lt;=Setup!$C$16),OR(MONTH(WORKDAY(G41,-(Setup!$C$13+Setup!$G$25),Setup!$C$39:$C$50))&gt;=Setup!$C$15,MONTH(WORKDAY(G41,-(Setup!$C$13+Setup!$G$25),Setup!$C$39:$C$50))&lt;=Setup!$C$16))),WORKDAY(G41,-(Setup!$C$13+Setup!$G$25+Setup!$C$14),Setup!$C$39:$C$50),WORKDAY(G41,-(Setup!$C$13+Setup!$G$25),Setup!$C$39:$C$50))+(36*100+6)/10000000)))</f>
        <v/>
      </c>
      <c r="X41" t="str">
        <f>IF(H41="","",IF(H41&lt;Setup!$C$5-Setup!$C$6,"",IF(IF(ISNUMBER(Roster!$D41),Setup!$C$26&lt;=Roster!$D41,FALSE),"",IF(OR(IF(Setup!$C$15&lt;=Setup!$C$16,AND(MONTH(H41)&gt;=Setup!$C$15,MONTH(H41)&lt;=Setup!$C$16),OR(MONTH(H41)&gt;=Setup!$C$15,MONTH(H41)&lt;=Setup!$C$16)),IF(Setup!$C$15&lt;=Setup!$C$16,AND(MONTH(WORKDAY(H41,-(Setup!$C$13+Setup!$G$26),Setup!$C$39:$C$50))&gt;=Setup!$C$15,MONTH(WORKDAY(H41,-(Setup!$C$13+Setup!$G$26),Setup!$C$39:$C$50))&lt;=Setup!$C$16),OR(MONTH(WORKDAY(H41,-(Setup!$C$13+Setup!$G$26),Setup!$C$39:$C$50))&gt;=Setup!$C$15,MONTH(WORKDAY(H41,-(Setup!$C$13+Setup!$G$26),Setup!$C$39:$C$50))&lt;=Setup!$C$16))),WORKDAY(H41,-(Setup!$C$13+Setup!$G$26+Setup!$C$14),Setup!$C$39:$C$50),WORKDAY(H41,-(Setup!$C$13+Setup!$G$26),Setup!$C$39:$C$50))+(36*100+7)/10000000)))</f>
        <v/>
      </c>
      <c r="Y41" t="str">
        <f>IF(I41="","",IF(I41&lt;Setup!$C$5-Setup!$C$6,"",IF(IF(ISNUMBER(Roster!$D41),Setup!$C$27&lt;=Roster!$D41,FALSE),"",IF(OR(IF(Setup!$C$15&lt;=Setup!$C$16,AND(MONTH(I41)&gt;=Setup!$C$15,MONTH(I41)&lt;=Setup!$C$16),OR(MONTH(I41)&gt;=Setup!$C$15,MONTH(I41)&lt;=Setup!$C$16)),IF(Setup!$C$15&lt;=Setup!$C$16,AND(MONTH(WORKDAY(I41,-(Setup!$C$13+Setup!$G$27),Setup!$C$39:$C$50))&gt;=Setup!$C$15,MONTH(WORKDAY(I41,-(Setup!$C$13+Setup!$G$27),Setup!$C$39:$C$50))&lt;=Setup!$C$16),OR(MONTH(WORKDAY(I41,-(Setup!$C$13+Setup!$G$27),Setup!$C$39:$C$50))&gt;=Setup!$C$15,MONTH(WORKDAY(I41,-(Setup!$C$13+Setup!$G$27),Setup!$C$39:$C$50))&lt;=Setup!$C$16))),WORKDAY(I41,-(Setup!$C$13+Setup!$G$27+Setup!$C$14),Setup!$C$39:$C$50),WORKDAY(I41,-(Setup!$C$13+Setup!$G$27),Setup!$C$39:$C$50))+(36*100+8)/10000000)))</f>
        <v/>
      </c>
      <c r="Z41" t="str">
        <f>IF(J41="","",IF(J41&lt;Setup!$C$5-Setup!$C$6,"",IF(IF(ISNUMBER(Roster!$D41),Setup!$C$28&lt;=Roster!$D41,FALSE),"",IF(OR(IF(Setup!$C$15&lt;=Setup!$C$16,AND(MONTH(J41)&gt;=Setup!$C$15,MONTH(J41)&lt;=Setup!$C$16),OR(MONTH(J41)&gt;=Setup!$C$15,MONTH(J41)&lt;=Setup!$C$16)),IF(Setup!$C$15&lt;=Setup!$C$16,AND(MONTH(WORKDAY(J41,-(Setup!$C$13+Setup!$G$28),Setup!$C$39:$C$50))&gt;=Setup!$C$15,MONTH(WORKDAY(J41,-(Setup!$C$13+Setup!$G$28),Setup!$C$39:$C$50))&lt;=Setup!$C$16),OR(MONTH(WORKDAY(J41,-(Setup!$C$13+Setup!$G$28),Setup!$C$39:$C$50))&gt;=Setup!$C$15,MONTH(WORKDAY(J41,-(Setup!$C$13+Setup!$G$28),Setup!$C$39:$C$50))&lt;=Setup!$C$16))),WORKDAY(J41,-(Setup!$C$13+Setup!$G$28+Setup!$C$14),Setup!$C$39:$C$50),WORKDAY(J41,-(Setup!$C$13+Setup!$G$28),Setup!$C$39:$C$50))+(36*100+9)/10000000)))</f>
        <v/>
      </c>
      <c r="AA41" t="str">
        <f>IF(K41="","",IF(K41&lt;Setup!$C$5-Setup!$C$6,"",IF(IF(ISNUMBER(Roster!$D41),Setup!$C$29&lt;=Roster!$D41,FALSE),"",IF(OR(IF(Setup!$C$15&lt;=Setup!$C$16,AND(MONTH(K41)&gt;=Setup!$C$15,MONTH(K41)&lt;=Setup!$C$16),OR(MONTH(K41)&gt;=Setup!$C$15,MONTH(K41)&lt;=Setup!$C$16)),IF(Setup!$C$15&lt;=Setup!$C$16,AND(MONTH(WORKDAY(K41,-(Setup!$C$13+Setup!$G$29),Setup!$C$39:$C$50))&gt;=Setup!$C$15,MONTH(WORKDAY(K41,-(Setup!$C$13+Setup!$G$29),Setup!$C$39:$C$50))&lt;=Setup!$C$16),OR(MONTH(WORKDAY(K41,-(Setup!$C$13+Setup!$G$29),Setup!$C$39:$C$50))&gt;=Setup!$C$15,MONTH(WORKDAY(K41,-(Setup!$C$13+Setup!$G$29),Setup!$C$39:$C$50))&lt;=Setup!$C$16))),WORKDAY(K41,-(Setup!$C$13+Setup!$G$29+Setup!$C$14),Setup!$C$39:$C$50),WORKDAY(K41,-(Setup!$C$13+Setup!$G$29),Setup!$C$39:$C$50))+(36*100+10)/10000000)))</f>
        <v/>
      </c>
      <c r="AB41" t="str">
        <f>IF(L41="","",IF(L41&lt;Setup!$C$5-Setup!$C$6,"",IF(IF(ISNUMBER(Roster!$D41),Setup!$C$30&lt;=Roster!$D41,FALSE),"",IF(OR(IF(Setup!$C$15&lt;=Setup!$C$16,AND(MONTH(L41)&gt;=Setup!$C$15,MONTH(L41)&lt;=Setup!$C$16),OR(MONTH(L41)&gt;=Setup!$C$15,MONTH(L41)&lt;=Setup!$C$16)),IF(Setup!$C$15&lt;=Setup!$C$16,AND(MONTH(WORKDAY(L41,-(Setup!$C$13+Setup!$G$30),Setup!$C$39:$C$50))&gt;=Setup!$C$15,MONTH(WORKDAY(L41,-(Setup!$C$13+Setup!$G$30),Setup!$C$39:$C$50))&lt;=Setup!$C$16),OR(MONTH(WORKDAY(L41,-(Setup!$C$13+Setup!$G$30),Setup!$C$39:$C$50))&gt;=Setup!$C$15,MONTH(WORKDAY(L41,-(Setup!$C$13+Setup!$G$30),Setup!$C$39:$C$50))&lt;=Setup!$C$16))),WORKDAY(L41,-(Setup!$C$13+Setup!$G$30+Setup!$C$14),Setup!$C$39:$C$50),WORKDAY(L41,-(Setup!$C$13+Setup!$G$30),Setup!$C$39:$C$50))+(36*100+11)/10000000)))</f>
        <v/>
      </c>
      <c r="AC41" t="str">
        <f>IF(M41="","",IF(M41&lt;Setup!$C$5-Setup!$C$6,"",IF(IF(ISNUMBER(Roster!$D41),Setup!$C$31&lt;=Roster!$D41,FALSE),"",IF(OR(IF(Setup!$C$15&lt;=Setup!$C$16,AND(MONTH(M41)&gt;=Setup!$C$15,MONTH(M41)&lt;=Setup!$C$16),OR(MONTH(M41)&gt;=Setup!$C$15,MONTH(M41)&lt;=Setup!$C$16)),IF(Setup!$C$15&lt;=Setup!$C$16,AND(MONTH(WORKDAY(M41,-(Setup!$C$13+Setup!$G$31),Setup!$C$39:$C$50))&gt;=Setup!$C$15,MONTH(WORKDAY(M41,-(Setup!$C$13+Setup!$G$31),Setup!$C$39:$C$50))&lt;=Setup!$C$16),OR(MONTH(WORKDAY(M41,-(Setup!$C$13+Setup!$G$31),Setup!$C$39:$C$50))&gt;=Setup!$C$15,MONTH(WORKDAY(M41,-(Setup!$C$13+Setup!$G$31),Setup!$C$39:$C$50))&lt;=Setup!$C$16))),WORKDAY(M41,-(Setup!$C$13+Setup!$G$31+Setup!$C$14),Setup!$C$39:$C$50),WORKDAY(M41,-(Setup!$C$13+Setup!$G$31),Setup!$C$39:$C$50))+(36*100+12)/10000000)))</f>
        <v/>
      </c>
      <c r="AD41" t="str">
        <f>IF(N41="","",IF(N41&lt;Setup!$C$5-Setup!$C$6,"",IF(IF(ISNUMBER(Roster!$D41),Setup!$C$32&lt;=Roster!$D41,FALSE),"",IF(OR(IF(Setup!$C$15&lt;=Setup!$C$16,AND(MONTH(N41)&gt;=Setup!$C$15,MONTH(N41)&lt;=Setup!$C$16),OR(MONTH(N41)&gt;=Setup!$C$15,MONTH(N41)&lt;=Setup!$C$16)),IF(Setup!$C$15&lt;=Setup!$C$16,AND(MONTH(WORKDAY(N41,-(Setup!$C$13+Setup!$G$32),Setup!$C$39:$C$50))&gt;=Setup!$C$15,MONTH(WORKDAY(N41,-(Setup!$C$13+Setup!$G$32),Setup!$C$39:$C$50))&lt;=Setup!$C$16),OR(MONTH(WORKDAY(N41,-(Setup!$C$13+Setup!$G$32),Setup!$C$39:$C$50))&gt;=Setup!$C$15,MONTH(WORKDAY(N41,-(Setup!$C$13+Setup!$G$32),Setup!$C$39:$C$50))&lt;=Setup!$C$16))),WORKDAY(N41,-(Setup!$C$13+Setup!$G$32+Setup!$C$14),Setup!$C$39:$C$50),WORKDAY(N41,-(Setup!$C$13+Setup!$G$32),Setup!$C$39:$C$50))+(36*100+13)/10000000)))</f>
        <v/>
      </c>
      <c r="AE41" t="str">
        <f>IF(O41="","",IF(O41&lt;Setup!$C$5-Setup!$C$6,"",IF(IF(ISNUMBER(Roster!$D41),Setup!$C$33&lt;=Roster!$D41,FALSE),"",IF(OR(IF(Setup!$C$15&lt;=Setup!$C$16,AND(MONTH(O41)&gt;=Setup!$C$15,MONTH(O41)&lt;=Setup!$C$16),OR(MONTH(O41)&gt;=Setup!$C$15,MONTH(O41)&lt;=Setup!$C$16)),IF(Setup!$C$15&lt;=Setup!$C$16,AND(MONTH(WORKDAY(O41,-(Setup!$C$13+Setup!$G$33),Setup!$C$39:$C$50))&gt;=Setup!$C$15,MONTH(WORKDAY(O41,-(Setup!$C$13+Setup!$G$33),Setup!$C$39:$C$50))&lt;=Setup!$C$16),OR(MONTH(WORKDAY(O41,-(Setup!$C$13+Setup!$G$33),Setup!$C$39:$C$50))&gt;=Setup!$C$15,MONTH(WORKDAY(O41,-(Setup!$C$13+Setup!$G$33),Setup!$C$39:$C$50))&lt;=Setup!$C$16))),WORKDAY(O41,-(Setup!$C$13+Setup!$G$33+Setup!$C$14),Setup!$C$39:$C$50),WORKDAY(O41,-(Setup!$C$13+Setup!$G$33),Setup!$C$39:$C$50))+(36*100+14)/10000000)))</f>
        <v/>
      </c>
      <c r="AF41" t="str">
        <f>IF(P41="","",IF(P41&lt;Setup!$C$5-Setup!$C$6,"",IF(IF(ISNUMBER(Roster!$D41),Setup!$C$34&lt;=Roster!$D41,FALSE),"",IF(OR(IF(Setup!$C$15&lt;=Setup!$C$16,AND(MONTH(P41)&gt;=Setup!$C$15,MONTH(P41)&lt;=Setup!$C$16),OR(MONTH(P41)&gt;=Setup!$C$15,MONTH(P41)&lt;=Setup!$C$16)),IF(Setup!$C$15&lt;=Setup!$C$16,AND(MONTH(WORKDAY(P41,-(Setup!$C$13+Setup!$G$34),Setup!$C$39:$C$50))&gt;=Setup!$C$15,MONTH(WORKDAY(P41,-(Setup!$C$13+Setup!$G$34),Setup!$C$39:$C$50))&lt;=Setup!$C$16),OR(MONTH(WORKDAY(P41,-(Setup!$C$13+Setup!$G$34),Setup!$C$39:$C$50))&gt;=Setup!$C$15,MONTH(WORKDAY(P41,-(Setup!$C$13+Setup!$G$34),Setup!$C$39:$C$50))&lt;=Setup!$C$16))),WORKDAY(P41,-(Setup!$C$13+Setup!$G$34+Setup!$C$14),Setup!$C$39:$C$50),WORKDAY(P41,-(Setup!$C$13+Setup!$G$34),Setup!$C$39:$C$50))+(36*100+15)/10000000)))</f>
        <v/>
      </c>
      <c r="AH41" t="str">
        <f t="shared" si="0"/>
        <v/>
      </c>
      <c r="AI41" t="str">
        <f t="shared" si="1"/>
        <v/>
      </c>
      <c r="AK41" t="str">
        <f ca="1">IF(36&gt;$AK$2,"",SMALL($R$6:$AF$505,36))</f>
        <v/>
      </c>
      <c r="AL41" t="str">
        <f t="shared" ca="1" si="2"/>
        <v/>
      </c>
      <c r="AM41" t="str">
        <f t="shared" ca="1" si="3"/>
        <v/>
      </c>
      <c r="AN41" t="str">
        <f t="shared" ca="1" si="4"/>
        <v/>
      </c>
      <c r="AP41" t="str">
        <f>IF(ISNUMBER(Roster!$B41),MAX(1,YEAR(Setup!$C$5)-YEAR(Roster!$B41)+IF(EDATE(Roster!$B41,12*(YEAR(Setup!$C$5)-YEAR(Roster!$B41)))&lt;Setup!$C$5,1,0)),"")</f>
        <v/>
      </c>
      <c r="AQ41" s="32" t="str">
        <f>IF(AP41="","",EDATE(Roster!$B41,12*AP41))</f>
        <v/>
      </c>
      <c r="AR41" t="str">
        <f>IF(AQ41="","",IF(AQ41&lt;DATE(YEAR(Setup!$C$5)+1,MONTH(Setup!$C$5),DAY(Setup!$C$5)),AQ41+36/1000,""))</f>
        <v/>
      </c>
      <c r="AS41" t="str">
        <f t="shared" si="5"/>
        <v/>
      </c>
      <c r="AT41" t="str">
        <f>IF(AS41="","",IF(ISNUMBER(Roster!$D41),Roster!$D41&gt;=AP41,FALSE))</f>
        <v/>
      </c>
      <c r="AU41" t="str">
        <f t="shared" si="6"/>
        <v/>
      </c>
      <c r="AV41" t="str">
        <f ca="1">IF(36&gt;$AV$2,"",SMALL($AR$6:$AR$505,36))</f>
        <v/>
      </c>
      <c r="AW41" t="str">
        <f t="shared" ca="1" si="7"/>
        <v/>
      </c>
    </row>
    <row r="42" spans="2:52" x14ac:dyDescent="0.2">
      <c r="B42" s="32" t="str">
        <f>IF(AND(ISNUMBER(Roster!$B42),Setup!$B$20="Yes",ISNUMBER(Setup!$C$20)),EDATE(Roster!$B42,12*Setup!$C$20),"")</f>
        <v/>
      </c>
      <c r="C42" s="32" t="str">
        <f>IF(AND(ISNUMBER(Roster!$B42),Setup!$B$21="Yes",ISNUMBER(Setup!$C$21)),EDATE(Roster!$B42,12*Setup!$C$21),"")</f>
        <v/>
      </c>
      <c r="D42" s="32" t="str">
        <f>IF(AND(ISNUMBER(Roster!$B42),Setup!$B$22="Yes",ISNUMBER(Setup!$C$22)),EDATE(Roster!$B42,12*Setup!$C$22),"")</f>
        <v/>
      </c>
      <c r="E42" s="32" t="str">
        <f>IF(AND(ISNUMBER(Roster!$B42),Setup!$B$23="Yes",ISNUMBER(Setup!$C$23)),EDATE(Roster!$B42,12*Setup!$C$23),"")</f>
        <v/>
      </c>
      <c r="F42" s="32" t="str">
        <f>IF(AND(ISNUMBER(Roster!$B42),Setup!$B$24="Yes",ISNUMBER(Setup!$C$24)),EDATE(Roster!$B42,12*Setup!$C$24),"")</f>
        <v/>
      </c>
      <c r="G42" s="32" t="str">
        <f>IF(AND(ISNUMBER(Roster!$B42),Setup!$B$25="Yes",ISNUMBER(Setup!$C$25)),EDATE(Roster!$B42,12*Setup!$C$25),"")</f>
        <v/>
      </c>
      <c r="H42" s="32" t="str">
        <f>IF(AND(ISNUMBER(Roster!$B42),Setup!$B$26="Yes",ISNUMBER(Setup!$C$26)),EDATE(Roster!$B42,12*Setup!$C$26),"")</f>
        <v/>
      </c>
      <c r="I42" s="32" t="str">
        <f>IF(AND(ISNUMBER(Roster!$B42),Setup!$B$27="Yes",ISNUMBER(Setup!$C$27)),EDATE(Roster!$B42,12*Setup!$C$27),"")</f>
        <v/>
      </c>
      <c r="J42" s="32" t="str">
        <f>IF(AND(ISNUMBER(Roster!$B42),Setup!$B$28="Yes",ISNUMBER(Setup!$C$28)),EDATE(Roster!$B42,12*Setup!$C$28),"")</f>
        <v/>
      </c>
      <c r="K42" s="32" t="str">
        <f>IF(AND(ISNUMBER(Roster!$B42),Setup!$B$29="Yes",ISNUMBER(Setup!$C$29)),EDATE(Roster!$B42,12*Setup!$C$29),"")</f>
        <v/>
      </c>
      <c r="L42" s="32" t="str">
        <f>IF(AND(ISNUMBER(Roster!$B42),Setup!$B$30="Yes",ISNUMBER(Setup!$C$30)),EDATE(Roster!$B42,12*Setup!$C$30),"")</f>
        <v/>
      </c>
      <c r="M42" s="32" t="str">
        <f>IF(AND(ISNUMBER(Roster!$B42),Setup!$B$31="Yes",ISNUMBER(Setup!$C$31)),EDATE(Roster!$B42,12*Setup!$C$31),"")</f>
        <v/>
      </c>
      <c r="N42" s="32" t="str">
        <f>IF(AND(ISNUMBER(Roster!$B42),Setup!$B$32="Yes",ISNUMBER(Setup!$C$32)),EDATE(Roster!$B42,12*Setup!$C$32),"")</f>
        <v/>
      </c>
      <c r="O42" s="32" t="str">
        <f>IF(AND(ISNUMBER(Roster!$B42),Setup!$B$33="Yes",ISNUMBER(Setup!$C$33)),EDATE(Roster!$B42,12*Setup!$C$33),"")</f>
        <v/>
      </c>
      <c r="P42" s="32" t="str">
        <f>IF(AND(ISNUMBER(Roster!$B42),Setup!$B$34="Yes",ISNUMBER(Setup!$C$34)),EDATE(Roster!$B42,12*Setup!$C$34),"")</f>
        <v/>
      </c>
      <c r="R42" t="str">
        <f>IF(B42="","",IF(B42&lt;Setup!$C$5-Setup!$C$6,"",IF(IF(ISNUMBER(Roster!$D42),Setup!$C$20&lt;=Roster!$D42,FALSE),"",IF(OR(IF(Setup!$C$15&lt;=Setup!$C$16,AND(MONTH(B42)&gt;=Setup!$C$15,MONTH(B42)&lt;=Setup!$C$16),OR(MONTH(B42)&gt;=Setup!$C$15,MONTH(B42)&lt;=Setup!$C$16)),IF(Setup!$C$15&lt;=Setup!$C$16,AND(MONTH(WORKDAY(B42,-(Setup!$C$13+Setup!$G$20),Setup!$C$39:$C$50))&gt;=Setup!$C$15,MONTH(WORKDAY(B42,-(Setup!$C$13+Setup!$G$20),Setup!$C$39:$C$50))&lt;=Setup!$C$16),OR(MONTH(WORKDAY(B42,-(Setup!$C$13+Setup!$G$20),Setup!$C$39:$C$50))&gt;=Setup!$C$15,MONTH(WORKDAY(B42,-(Setup!$C$13+Setup!$G$20),Setup!$C$39:$C$50))&lt;=Setup!$C$16))),WORKDAY(B42,-(Setup!$C$13+Setup!$G$20+Setup!$C$14),Setup!$C$39:$C$50),WORKDAY(B42,-(Setup!$C$13+Setup!$G$20),Setup!$C$39:$C$50))+(37*100+1)/10000000)))</f>
        <v/>
      </c>
      <c r="S42" t="str">
        <f>IF(C42="","",IF(C42&lt;Setup!$C$5-Setup!$C$6,"",IF(IF(ISNUMBER(Roster!$D42),Setup!$C$21&lt;=Roster!$D42,FALSE),"",IF(OR(IF(Setup!$C$15&lt;=Setup!$C$16,AND(MONTH(C42)&gt;=Setup!$C$15,MONTH(C42)&lt;=Setup!$C$16),OR(MONTH(C42)&gt;=Setup!$C$15,MONTH(C42)&lt;=Setup!$C$16)),IF(Setup!$C$15&lt;=Setup!$C$16,AND(MONTH(WORKDAY(C42,-(Setup!$C$13+Setup!$G$21),Setup!$C$39:$C$50))&gt;=Setup!$C$15,MONTH(WORKDAY(C42,-(Setup!$C$13+Setup!$G$21),Setup!$C$39:$C$50))&lt;=Setup!$C$16),OR(MONTH(WORKDAY(C42,-(Setup!$C$13+Setup!$G$21),Setup!$C$39:$C$50))&gt;=Setup!$C$15,MONTH(WORKDAY(C42,-(Setup!$C$13+Setup!$G$21),Setup!$C$39:$C$50))&lt;=Setup!$C$16))),WORKDAY(C42,-(Setup!$C$13+Setup!$G$21+Setup!$C$14),Setup!$C$39:$C$50),WORKDAY(C42,-(Setup!$C$13+Setup!$G$21),Setup!$C$39:$C$50))+(37*100+2)/10000000)))</f>
        <v/>
      </c>
      <c r="T42" t="str">
        <f>IF(D42="","",IF(D42&lt;Setup!$C$5-Setup!$C$6,"",IF(IF(ISNUMBER(Roster!$D42),Setup!$C$22&lt;=Roster!$D42,FALSE),"",IF(OR(IF(Setup!$C$15&lt;=Setup!$C$16,AND(MONTH(D42)&gt;=Setup!$C$15,MONTH(D42)&lt;=Setup!$C$16),OR(MONTH(D42)&gt;=Setup!$C$15,MONTH(D42)&lt;=Setup!$C$16)),IF(Setup!$C$15&lt;=Setup!$C$16,AND(MONTH(WORKDAY(D42,-(Setup!$C$13+Setup!$G$22),Setup!$C$39:$C$50))&gt;=Setup!$C$15,MONTH(WORKDAY(D42,-(Setup!$C$13+Setup!$G$22),Setup!$C$39:$C$50))&lt;=Setup!$C$16),OR(MONTH(WORKDAY(D42,-(Setup!$C$13+Setup!$G$22),Setup!$C$39:$C$50))&gt;=Setup!$C$15,MONTH(WORKDAY(D42,-(Setup!$C$13+Setup!$G$22),Setup!$C$39:$C$50))&lt;=Setup!$C$16))),WORKDAY(D42,-(Setup!$C$13+Setup!$G$22+Setup!$C$14),Setup!$C$39:$C$50),WORKDAY(D42,-(Setup!$C$13+Setup!$G$22),Setup!$C$39:$C$50))+(37*100+3)/10000000)))</f>
        <v/>
      </c>
      <c r="U42" t="str">
        <f>IF(E42="","",IF(E42&lt;Setup!$C$5-Setup!$C$6,"",IF(IF(ISNUMBER(Roster!$D42),Setup!$C$23&lt;=Roster!$D42,FALSE),"",IF(OR(IF(Setup!$C$15&lt;=Setup!$C$16,AND(MONTH(E42)&gt;=Setup!$C$15,MONTH(E42)&lt;=Setup!$C$16),OR(MONTH(E42)&gt;=Setup!$C$15,MONTH(E42)&lt;=Setup!$C$16)),IF(Setup!$C$15&lt;=Setup!$C$16,AND(MONTH(WORKDAY(E42,-(Setup!$C$13+Setup!$G$23),Setup!$C$39:$C$50))&gt;=Setup!$C$15,MONTH(WORKDAY(E42,-(Setup!$C$13+Setup!$G$23),Setup!$C$39:$C$50))&lt;=Setup!$C$16),OR(MONTH(WORKDAY(E42,-(Setup!$C$13+Setup!$G$23),Setup!$C$39:$C$50))&gt;=Setup!$C$15,MONTH(WORKDAY(E42,-(Setup!$C$13+Setup!$G$23),Setup!$C$39:$C$50))&lt;=Setup!$C$16))),WORKDAY(E42,-(Setup!$C$13+Setup!$G$23+Setup!$C$14),Setup!$C$39:$C$50),WORKDAY(E42,-(Setup!$C$13+Setup!$G$23),Setup!$C$39:$C$50))+(37*100+4)/10000000)))</f>
        <v/>
      </c>
      <c r="V42" t="str">
        <f>IF(F42="","",IF(F42&lt;Setup!$C$5-Setup!$C$6,"",IF(IF(ISNUMBER(Roster!$D42),Setup!$C$24&lt;=Roster!$D42,FALSE),"",IF(OR(IF(Setup!$C$15&lt;=Setup!$C$16,AND(MONTH(F42)&gt;=Setup!$C$15,MONTH(F42)&lt;=Setup!$C$16),OR(MONTH(F42)&gt;=Setup!$C$15,MONTH(F42)&lt;=Setup!$C$16)),IF(Setup!$C$15&lt;=Setup!$C$16,AND(MONTH(WORKDAY(F42,-(Setup!$C$13+Setup!$G$24),Setup!$C$39:$C$50))&gt;=Setup!$C$15,MONTH(WORKDAY(F42,-(Setup!$C$13+Setup!$G$24),Setup!$C$39:$C$50))&lt;=Setup!$C$16),OR(MONTH(WORKDAY(F42,-(Setup!$C$13+Setup!$G$24),Setup!$C$39:$C$50))&gt;=Setup!$C$15,MONTH(WORKDAY(F42,-(Setup!$C$13+Setup!$G$24),Setup!$C$39:$C$50))&lt;=Setup!$C$16))),WORKDAY(F42,-(Setup!$C$13+Setup!$G$24+Setup!$C$14),Setup!$C$39:$C$50),WORKDAY(F42,-(Setup!$C$13+Setup!$G$24),Setup!$C$39:$C$50))+(37*100+5)/10000000)))</f>
        <v/>
      </c>
      <c r="W42" t="str">
        <f>IF(G42="","",IF(G42&lt;Setup!$C$5-Setup!$C$6,"",IF(IF(ISNUMBER(Roster!$D42),Setup!$C$25&lt;=Roster!$D42,FALSE),"",IF(OR(IF(Setup!$C$15&lt;=Setup!$C$16,AND(MONTH(G42)&gt;=Setup!$C$15,MONTH(G42)&lt;=Setup!$C$16),OR(MONTH(G42)&gt;=Setup!$C$15,MONTH(G42)&lt;=Setup!$C$16)),IF(Setup!$C$15&lt;=Setup!$C$16,AND(MONTH(WORKDAY(G42,-(Setup!$C$13+Setup!$G$25),Setup!$C$39:$C$50))&gt;=Setup!$C$15,MONTH(WORKDAY(G42,-(Setup!$C$13+Setup!$G$25),Setup!$C$39:$C$50))&lt;=Setup!$C$16),OR(MONTH(WORKDAY(G42,-(Setup!$C$13+Setup!$G$25),Setup!$C$39:$C$50))&gt;=Setup!$C$15,MONTH(WORKDAY(G42,-(Setup!$C$13+Setup!$G$25),Setup!$C$39:$C$50))&lt;=Setup!$C$16))),WORKDAY(G42,-(Setup!$C$13+Setup!$G$25+Setup!$C$14),Setup!$C$39:$C$50),WORKDAY(G42,-(Setup!$C$13+Setup!$G$25),Setup!$C$39:$C$50))+(37*100+6)/10000000)))</f>
        <v/>
      </c>
      <c r="X42" t="str">
        <f>IF(H42="","",IF(H42&lt;Setup!$C$5-Setup!$C$6,"",IF(IF(ISNUMBER(Roster!$D42),Setup!$C$26&lt;=Roster!$D42,FALSE),"",IF(OR(IF(Setup!$C$15&lt;=Setup!$C$16,AND(MONTH(H42)&gt;=Setup!$C$15,MONTH(H42)&lt;=Setup!$C$16),OR(MONTH(H42)&gt;=Setup!$C$15,MONTH(H42)&lt;=Setup!$C$16)),IF(Setup!$C$15&lt;=Setup!$C$16,AND(MONTH(WORKDAY(H42,-(Setup!$C$13+Setup!$G$26),Setup!$C$39:$C$50))&gt;=Setup!$C$15,MONTH(WORKDAY(H42,-(Setup!$C$13+Setup!$G$26),Setup!$C$39:$C$50))&lt;=Setup!$C$16),OR(MONTH(WORKDAY(H42,-(Setup!$C$13+Setup!$G$26),Setup!$C$39:$C$50))&gt;=Setup!$C$15,MONTH(WORKDAY(H42,-(Setup!$C$13+Setup!$G$26),Setup!$C$39:$C$50))&lt;=Setup!$C$16))),WORKDAY(H42,-(Setup!$C$13+Setup!$G$26+Setup!$C$14),Setup!$C$39:$C$50),WORKDAY(H42,-(Setup!$C$13+Setup!$G$26),Setup!$C$39:$C$50))+(37*100+7)/10000000)))</f>
        <v/>
      </c>
      <c r="Y42" t="str">
        <f>IF(I42="","",IF(I42&lt;Setup!$C$5-Setup!$C$6,"",IF(IF(ISNUMBER(Roster!$D42),Setup!$C$27&lt;=Roster!$D42,FALSE),"",IF(OR(IF(Setup!$C$15&lt;=Setup!$C$16,AND(MONTH(I42)&gt;=Setup!$C$15,MONTH(I42)&lt;=Setup!$C$16),OR(MONTH(I42)&gt;=Setup!$C$15,MONTH(I42)&lt;=Setup!$C$16)),IF(Setup!$C$15&lt;=Setup!$C$16,AND(MONTH(WORKDAY(I42,-(Setup!$C$13+Setup!$G$27),Setup!$C$39:$C$50))&gt;=Setup!$C$15,MONTH(WORKDAY(I42,-(Setup!$C$13+Setup!$G$27),Setup!$C$39:$C$50))&lt;=Setup!$C$16),OR(MONTH(WORKDAY(I42,-(Setup!$C$13+Setup!$G$27),Setup!$C$39:$C$50))&gt;=Setup!$C$15,MONTH(WORKDAY(I42,-(Setup!$C$13+Setup!$G$27),Setup!$C$39:$C$50))&lt;=Setup!$C$16))),WORKDAY(I42,-(Setup!$C$13+Setup!$G$27+Setup!$C$14),Setup!$C$39:$C$50),WORKDAY(I42,-(Setup!$C$13+Setup!$G$27),Setup!$C$39:$C$50))+(37*100+8)/10000000)))</f>
        <v/>
      </c>
      <c r="Z42" t="str">
        <f>IF(J42="","",IF(J42&lt;Setup!$C$5-Setup!$C$6,"",IF(IF(ISNUMBER(Roster!$D42),Setup!$C$28&lt;=Roster!$D42,FALSE),"",IF(OR(IF(Setup!$C$15&lt;=Setup!$C$16,AND(MONTH(J42)&gt;=Setup!$C$15,MONTH(J42)&lt;=Setup!$C$16),OR(MONTH(J42)&gt;=Setup!$C$15,MONTH(J42)&lt;=Setup!$C$16)),IF(Setup!$C$15&lt;=Setup!$C$16,AND(MONTH(WORKDAY(J42,-(Setup!$C$13+Setup!$G$28),Setup!$C$39:$C$50))&gt;=Setup!$C$15,MONTH(WORKDAY(J42,-(Setup!$C$13+Setup!$G$28),Setup!$C$39:$C$50))&lt;=Setup!$C$16),OR(MONTH(WORKDAY(J42,-(Setup!$C$13+Setup!$G$28),Setup!$C$39:$C$50))&gt;=Setup!$C$15,MONTH(WORKDAY(J42,-(Setup!$C$13+Setup!$G$28),Setup!$C$39:$C$50))&lt;=Setup!$C$16))),WORKDAY(J42,-(Setup!$C$13+Setup!$G$28+Setup!$C$14),Setup!$C$39:$C$50),WORKDAY(J42,-(Setup!$C$13+Setup!$G$28),Setup!$C$39:$C$50))+(37*100+9)/10000000)))</f>
        <v/>
      </c>
      <c r="AA42" t="str">
        <f>IF(K42="","",IF(K42&lt;Setup!$C$5-Setup!$C$6,"",IF(IF(ISNUMBER(Roster!$D42),Setup!$C$29&lt;=Roster!$D42,FALSE),"",IF(OR(IF(Setup!$C$15&lt;=Setup!$C$16,AND(MONTH(K42)&gt;=Setup!$C$15,MONTH(K42)&lt;=Setup!$C$16),OR(MONTH(K42)&gt;=Setup!$C$15,MONTH(K42)&lt;=Setup!$C$16)),IF(Setup!$C$15&lt;=Setup!$C$16,AND(MONTH(WORKDAY(K42,-(Setup!$C$13+Setup!$G$29),Setup!$C$39:$C$50))&gt;=Setup!$C$15,MONTH(WORKDAY(K42,-(Setup!$C$13+Setup!$G$29),Setup!$C$39:$C$50))&lt;=Setup!$C$16),OR(MONTH(WORKDAY(K42,-(Setup!$C$13+Setup!$G$29),Setup!$C$39:$C$50))&gt;=Setup!$C$15,MONTH(WORKDAY(K42,-(Setup!$C$13+Setup!$G$29),Setup!$C$39:$C$50))&lt;=Setup!$C$16))),WORKDAY(K42,-(Setup!$C$13+Setup!$G$29+Setup!$C$14),Setup!$C$39:$C$50),WORKDAY(K42,-(Setup!$C$13+Setup!$G$29),Setup!$C$39:$C$50))+(37*100+10)/10000000)))</f>
        <v/>
      </c>
      <c r="AB42" t="str">
        <f>IF(L42="","",IF(L42&lt;Setup!$C$5-Setup!$C$6,"",IF(IF(ISNUMBER(Roster!$D42),Setup!$C$30&lt;=Roster!$D42,FALSE),"",IF(OR(IF(Setup!$C$15&lt;=Setup!$C$16,AND(MONTH(L42)&gt;=Setup!$C$15,MONTH(L42)&lt;=Setup!$C$16),OR(MONTH(L42)&gt;=Setup!$C$15,MONTH(L42)&lt;=Setup!$C$16)),IF(Setup!$C$15&lt;=Setup!$C$16,AND(MONTH(WORKDAY(L42,-(Setup!$C$13+Setup!$G$30),Setup!$C$39:$C$50))&gt;=Setup!$C$15,MONTH(WORKDAY(L42,-(Setup!$C$13+Setup!$G$30),Setup!$C$39:$C$50))&lt;=Setup!$C$16),OR(MONTH(WORKDAY(L42,-(Setup!$C$13+Setup!$G$30),Setup!$C$39:$C$50))&gt;=Setup!$C$15,MONTH(WORKDAY(L42,-(Setup!$C$13+Setup!$G$30),Setup!$C$39:$C$50))&lt;=Setup!$C$16))),WORKDAY(L42,-(Setup!$C$13+Setup!$G$30+Setup!$C$14),Setup!$C$39:$C$50),WORKDAY(L42,-(Setup!$C$13+Setup!$G$30),Setup!$C$39:$C$50))+(37*100+11)/10000000)))</f>
        <v/>
      </c>
      <c r="AC42" t="str">
        <f>IF(M42="","",IF(M42&lt;Setup!$C$5-Setup!$C$6,"",IF(IF(ISNUMBER(Roster!$D42),Setup!$C$31&lt;=Roster!$D42,FALSE),"",IF(OR(IF(Setup!$C$15&lt;=Setup!$C$16,AND(MONTH(M42)&gt;=Setup!$C$15,MONTH(M42)&lt;=Setup!$C$16),OR(MONTH(M42)&gt;=Setup!$C$15,MONTH(M42)&lt;=Setup!$C$16)),IF(Setup!$C$15&lt;=Setup!$C$16,AND(MONTH(WORKDAY(M42,-(Setup!$C$13+Setup!$G$31),Setup!$C$39:$C$50))&gt;=Setup!$C$15,MONTH(WORKDAY(M42,-(Setup!$C$13+Setup!$G$31),Setup!$C$39:$C$50))&lt;=Setup!$C$16),OR(MONTH(WORKDAY(M42,-(Setup!$C$13+Setup!$G$31),Setup!$C$39:$C$50))&gt;=Setup!$C$15,MONTH(WORKDAY(M42,-(Setup!$C$13+Setup!$G$31),Setup!$C$39:$C$50))&lt;=Setup!$C$16))),WORKDAY(M42,-(Setup!$C$13+Setup!$G$31+Setup!$C$14),Setup!$C$39:$C$50),WORKDAY(M42,-(Setup!$C$13+Setup!$G$31),Setup!$C$39:$C$50))+(37*100+12)/10000000)))</f>
        <v/>
      </c>
      <c r="AD42" t="str">
        <f>IF(N42="","",IF(N42&lt;Setup!$C$5-Setup!$C$6,"",IF(IF(ISNUMBER(Roster!$D42),Setup!$C$32&lt;=Roster!$D42,FALSE),"",IF(OR(IF(Setup!$C$15&lt;=Setup!$C$16,AND(MONTH(N42)&gt;=Setup!$C$15,MONTH(N42)&lt;=Setup!$C$16),OR(MONTH(N42)&gt;=Setup!$C$15,MONTH(N42)&lt;=Setup!$C$16)),IF(Setup!$C$15&lt;=Setup!$C$16,AND(MONTH(WORKDAY(N42,-(Setup!$C$13+Setup!$G$32),Setup!$C$39:$C$50))&gt;=Setup!$C$15,MONTH(WORKDAY(N42,-(Setup!$C$13+Setup!$G$32),Setup!$C$39:$C$50))&lt;=Setup!$C$16),OR(MONTH(WORKDAY(N42,-(Setup!$C$13+Setup!$G$32),Setup!$C$39:$C$50))&gt;=Setup!$C$15,MONTH(WORKDAY(N42,-(Setup!$C$13+Setup!$G$32),Setup!$C$39:$C$50))&lt;=Setup!$C$16))),WORKDAY(N42,-(Setup!$C$13+Setup!$G$32+Setup!$C$14),Setup!$C$39:$C$50),WORKDAY(N42,-(Setup!$C$13+Setup!$G$32),Setup!$C$39:$C$50))+(37*100+13)/10000000)))</f>
        <v/>
      </c>
      <c r="AE42" t="str">
        <f>IF(O42="","",IF(O42&lt;Setup!$C$5-Setup!$C$6,"",IF(IF(ISNUMBER(Roster!$D42),Setup!$C$33&lt;=Roster!$D42,FALSE),"",IF(OR(IF(Setup!$C$15&lt;=Setup!$C$16,AND(MONTH(O42)&gt;=Setup!$C$15,MONTH(O42)&lt;=Setup!$C$16),OR(MONTH(O42)&gt;=Setup!$C$15,MONTH(O42)&lt;=Setup!$C$16)),IF(Setup!$C$15&lt;=Setup!$C$16,AND(MONTH(WORKDAY(O42,-(Setup!$C$13+Setup!$G$33),Setup!$C$39:$C$50))&gt;=Setup!$C$15,MONTH(WORKDAY(O42,-(Setup!$C$13+Setup!$G$33),Setup!$C$39:$C$50))&lt;=Setup!$C$16),OR(MONTH(WORKDAY(O42,-(Setup!$C$13+Setup!$G$33),Setup!$C$39:$C$50))&gt;=Setup!$C$15,MONTH(WORKDAY(O42,-(Setup!$C$13+Setup!$G$33),Setup!$C$39:$C$50))&lt;=Setup!$C$16))),WORKDAY(O42,-(Setup!$C$13+Setup!$G$33+Setup!$C$14),Setup!$C$39:$C$50),WORKDAY(O42,-(Setup!$C$13+Setup!$G$33),Setup!$C$39:$C$50))+(37*100+14)/10000000)))</f>
        <v/>
      </c>
      <c r="AF42" t="str">
        <f>IF(P42="","",IF(P42&lt;Setup!$C$5-Setup!$C$6,"",IF(IF(ISNUMBER(Roster!$D42),Setup!$C$34&lt;=Roster!$D42,FALSE),"",IF(OR(IF(Setup!$C$15&lt;=Setup!$C$16,AND(MONTH(P42)&gt;=Setup!$C$15,MONTH(P42)&lt;=Setup!$C$16),OR(MONTH(P42)&gt;=Setup!$C$15,MONTH(P42)&lt;=Setup!$C$16)),IF(Setup!$C$15&lt;=Setup!$C$16,AND(MONTH(WORKDAY(P42,-(Setup!$C$13+Setup!$G$34),Setup!$C$39:$C$50))&gt;=Setup!$C$15,MONTH(WORKDAY(P42,-(Setup!$C$13+Setup!$G$34),Setup!$C$39:$C$50))&lt;=Setup!$C$16),OR(MONTH(WORKDAY(P42,-(Setup!$C$13+Setup!$G$34),Setup!$C$39:$C$50))&gt;=Setup!$C$15,MONTH(WORKDAY(P42,-(Setup!$C$13+Setup!$G$34),Setup!$C$39:$C$50))&lt;=Setup!$C$16))),WORKDAY(P42,-(Setup!$C$13+Setup!$G$34+Setup!$C$14),Setup!$C$39:$C$50),WORKDAY(P42,-(Setup!$C$13+Setup!$G$34),Setup!$C$39:$C$50))+(37*100+15)/10000000)))</f>
        <v/>
      </c>
      <c r="AH42" t="str">
        <f t="shared" si="0"/>
        <v/>
      </c>
      <c r="AI42" t="str">
        <f t="shared" si="1"/>
        <v/>
      </c>
      <c r="AK42" t="str">
        <f ca="1">IF(37&gt;$AK$2,"",SMALL($R$6:$AF$505,37))</f>
        <v/>
      </c>
      <c r="AL42" t="str">
        <f t="shared" ca="1" si="2"/>
        <v/>
      </c>
      <c r="AM42" t="str">
        <f t="shared" ca="1" si="3"/>
        <v/>
      </c>
      <c r="AN42" t="str">
        <f t="shared" ca="1" si="4"/>
        <v/>
      </c>
      <c r="AP42" t="str">
        <f>IF(ISNUMBER(Roster!$B42),MAX(1,YEAR(Setup!$C$5)-YEAR(Roster!$B42)+IF(EDATE(Roster!$B42,12*(YEAR(Setup!$C$5)-YEAR(Roster!$B42)))&lt;Setup!$C$5,1,0)),"")</f>
        <v/>
      </c>
      <c r="AQ42" s="32" t="str">
        <f>IF(AP42="","",EDATE(Roster!$B42,12*AP42))</f>
        <v/>
      </c>
      <c r="AR42" t="str">
        <f>IF(AQ42="","",IF(AQ42&lt;DATE(YEAR(Setup!$C$5)+1,MONTH(Setup!$C$5),DAY(Setup!$C$5)),AQ42+37/1000,""))</f>
        <v/>
      </c>
      <c r="AS42" t="str">
        <f t="shared" si="5"/>
        <v/>
      </c>
      <c r="AT42" t="str">
        <f>IF(AS42="","",IF(ISNUMBER(Roster!$D42),Roster!$D42&gt;=AP42,FALSE))</f>
        <v/>
      </c>
      <c r="AU42" t="str">
        <f t="shared" si="6"/>
        <v/>
      </c>
      <c r="AV42" t="str">
        <f ca="1">IF(37&gt;$AV$2,"",SMALL($AR$6:$AR$505,37))</f>
        <v/>
      </c>
      <c r="AW42" t="str">
        <f t="shared" ca="1" si="7"/>
        <v/>
      </c>
    </row>
    <row r="43" spans="2:52" x14ac:dyDescent="0.2">
      <c r="B43" s="32" t="str">
        <f>IF(AND(ISNUMBER(Roster!$B43),Setup!$B$20="Yes",ISNUMBER(Setup!$C$20)),EDATE(Roster!$B43,12*Setup!$C$20),"")</f>
        <v/>
      </c>
      <c r="C43" s="32" t="str">
        <f>IF(AND(ISNUMBER(Roster!$B43),Setup!$B$21="Yes",ISNUMBER(Setup!$C$21)),EDATE(Roster!$B43,12*Setup!$C$21),"")</f>
        <v/>
      </c>
      <c r="D43" s="32" t="str">
        <f>IF(AND(ISNUMBER(Roster!$B43),Setup!$B$22="Yes",ISNUMBER(Setup!$C$22)),EDATE(Roster!$B43,12*Setup!$C$22),"")</f>
        <v/>
      </c>
      <c r="E43" s="32" t="str">
        <f>IF(AND(ISNUMBER(Roster!$B43),Setup!$B$23="Yes",ISNUMBER(Setup!$C$23)),EDATE(Roster!$B43,12*Setup!$C$23),"")</f>
        <v/>
      </c>
      <c r="F43" s="32" t="str">
        <f>IF(AND(ISNUMBER(Roster!$B43),Setup!$B$24="Yes",ISNUMBER(Setup!$C$24)),EDATE(Roster!$B43,12*Setup!$C$24),"")</f>
        <v/>
      </c>
      <c r="G43" s="32" t="str">
        <f>IF(AND(ISNUMBER(Roster!$B43),Setup!$B$25="Yes",ISNUMBER(Setup!$C$25)),EDATE(Roster!$B43,12*Setup!$C$25),"")</f>
        <v/>
      </c>
      <c r="H43" s="32" t="str">
        <f>IF(AND(ISNUMBER(Roster!$B43),Setup!$B$26="Yes",ISNUMBER(Setup!$C$26)),EDATE(Roster!$B43,12*Setup!$C$26),"")</f>
        <v/>
      </c>
      <c r="I43" s="32" t="str">
        <f>IF(AND(ISNUMBER(Roster!$B43),Setup!$B$27="Yes",ISNUMBER(Setup!$C$27)),EDATE(Roster!$B43,12*Setup!$C$27),"")</f>
        <v/>
      </c>
      <c r="J43" s="32" t="str">
        <f>IF(AND(ISNUMBER(Roster!$B43),Setup!$B$28="Yes",ISNUMBER(Setup!$C$28)),EDATE(Roster!$B43,12*Setup!$C$28),"")</f>
        <v/>
      </c>
      <c r="K43" s="32" t="str">
        <f>IF(AND(ISNUMBER(Roster!$B43),Setup!$B$29="Yes",ISNUMBER(Setup!$C$29)),EDATE(Roster!$B43,12*Setup!$C$29),"")</f>
        <v/>
      </c>
      <c r="L43" s="32" t="str">
        <f>IF(AND(ISNUMBER(Roster!$B43),Setup!$B$30="Yes",ISNUMBER(Setup!$C$30)),EDATE(Roster!$B43,12*Setup!$C$30),"")</f>
        <v/>
      </c>
      <c r="M43" s="32" t="str">
        <f>IF(AND(ISNUMBER(Roster!$B43),Setup!$B$31="Yes",ISNUMBER(Setup!$C$31)),EDATE(Roster!$B43,12*Setup!$C$31),"")</f>
        <v/>
      </c>
      <c r="N43" s="32" t="str">
        <f>IF(AND(ISNUMBER(Roster!$B43),Setup!$B$32="Yes",ISNUMBER(Setup!$C$32)),EDATE(Roster!$B43,12*Setup!$C$32),"")</f>
        <v/>
      </c>
      <c r="O43" s="32" t="str">
        <f>IF(AND(ISNUMBER(Roster!$B43),Setup!$B$33="Yes",ISNUMBER(Setup!$C$33)),EDATE(Roster!$B43,12*Setup!$C$33),"")</f>
        <v/>
      </c>
      <c r="P43" s="32" t="str">
        <f>IF(AND(ISNUMBER(Roster!$B43),Setup!$B$34="Yes",ISNUMBER(Setup!$C$34)),EDATE(Roster!$B43,12*Setup!$C$34),"")</f>
        <v/>
      </c>
      <c r="R43" t="str">
        <f>IF(B43="","",IF(B43&lt;Setup!$C$5-Setup!$C$6,"",IF(IF(ISNUMBER(Roster!$D43),Setup!$C$20&lt;=Roster!$D43,FALSE),"",IF(OR(IF(Setup!$C$15&lt;=Setup!$C$16,AND(MONTH(B43)&gt;=Setup!$C$15,MONTH(B43)&lt;=Setup!$C$16),OR(MONTH(B43)&gt;=Setup!$C$15,MONTH(B43)&lt;=Setup!$C$16)),IF(Setup!$C$15&lt;=Setup!$C$16,AND(MONTH(WORKDAY(B43,-(Setup!$C$13+Setup!$G$20),Setup!$C$39:$C$50))&gt;=Setup!$C$15,MONTH(WORKDAY(B43,-(Setup!$C$13+Setup!$G$20),Setup!$C$39:$C$50))&lt;=Setup!$C$16),OR(MONTH(WORKDAY(B43,-(Setup!$C$13+Setup!$G$20),Setup!$C$39:$C$50))&gt;=Setup!$C$15,MONTH(WORKDAY(B43,-(Setup!$C$13+Setup!$G$20),Setup!$C$39:$C$50))&lt;=Setup!$C$16))),WORKDAY(B43,-(Setup!$C$13+Setup!$G$20+Setup!$C$14),Setup!$C$39:$C$50),WORKDAY(B43,-(Setup!$C$13+Setup!$G$20),Setup!$C$39:$C$50))+(38*100+1)/10000000)))</f>
        <v/>
      </c>
      <c r="S43" t="str">
        <f>IF(C43="","",IF(C43&lt;Setup!$C$5-Setup!$C$6,"",IF(IF(ISNUMBER(Roster!$D43),Setup!$C$21&lt;=Roster!$D43,FALSE),"",IF(OR(IF(Setup!$C$15&lt;=Setup!$C$16,AND(MONTH(C43)&gt;=Setup!$C$15,MONTH(C43)&lt;=Setup!$C$16),OR(MONTH(C43)&gt;=Setup!$C$15,MONTH(C43)&lt;=Setup!$C$16)),IF(Setup!$C$15&lt;=Setup!$C$16,AND(MONTH(WORKDAY(C43,-(Setup!$C$13+Setup!$G$21),Setup!$C$39:$C$50))&gt;=Setup!$C$15,MONTH(WORKDAY(C43,-(Setup!$C$13+Setup!$G$21),Setup!$C$39:$C$50))&lt;=Setup!$C$16),OR(MONTH(WORKDAY(C43,-(Setup!$C$13+Setup!$G$21),Setup!$C$39:$C$50))&gt;=Setup!$C$15,MONTH(WORKDAY(C43,-(Setup!$C$13+Setup!$G$21),Setup!$C$39:$C$50))&lt;=Setup!$C$16))),WORKDAY(C43,-(Setup!$C$13+Setup!$G$21+Setup!$C$14),Setup!$C$39:$C$50),WORKDAY(C43,-(Setup!$C$13+Setup!$G$21),Setup!$C$39:$C$50))+(38*100+2)/10000000)))</f>
        <v/>
      </c>
      <c r="T43" t="str">
        <f>IF(D43="","",IF(D43&lt;Setup!$C$5-Setup!$C$6,"",IF(IF(ISNUMBER(Roster!$D43),Setup!$C$22&lt;=Roster!$D43,FALSE),"",IF(OR(IF(Setup!$C$15&lt;=Setup!$C$16,AND(MONTH(D43)&gt;=Setup!$C$15,MONTH(D43)&lt;=Setup!$C$16),OR(MONTH(D43)&gt;=Setup!$C$15,MONTH(D43)&lt;=Setup!$C$16)),IF(Setup!$C$15&lt;=Setup!$C$16,AND(MONTH(WORKDAY(D43,-(Setup!$C$13+Setup!$G$22),Setup!$C$39:$C$50))&gt;=Setup!$C$15,MONTH(WORKDAY(D43,-(Setup!$C$13+Setup!$G$22),Setup!$C$39:$C$50))&lt;=Setup!$C$16),OR(MONTH(WORKDAY(D43,-(Setup!$C$13+Setup!$G$22),Setup!$C$39:$C$50))&gt;=Setup!$C$15,MONTH(WORKDAY(D43,-(Setup!$C$13+Setup!$G$22),Setup!$C$39:$C$50))&lt;=Setup!$C$16))),WORKDAY(D43,-(Setup!$C$13+Setup!$G$22+Setup!$C$14),Setup!$C$39:$C$50),WORKDAY(D43,-(Setup!$C$13+Setup!$G$22),Setup!$C$39:$C$50))+(38*100+3)/10000000)))</f>
        <v/>
      </c>
      <c r="U43" t="str">
        <f>IF(E43="","",IF(E43&lt;Setup!$C$5-Setup!$C$6,"",IF(IF(ISNUMBER(Roster!$D43),Setup!$C$23&lt;=Roster!$D43,FALSE),"",IF(OR(IF(Setup!$C$15&lt;=Setup!$C$16,AND(MONTH(E43)&gt;=Setup!$C$15,MONTH(E43)&lt;=Setup!$C$16),OR(MONTH(E43)&gt;=Setup!$C$15,MONTH(E43)&lt;=Setup!$C$16)),IF(Setup!$C$15&lt;=Setup!$C$16,AND(MONTH(WORKDAY(E43,-(Setup!$C$13+Setup!$G$23),Setup!$C$39:$C$50))&gt;=Setup!$C$15,MONTH(WORKDAY(E43,-(Setup!$C$13+Setup!$G$23),Setup!$C$39:$C$50))&lt;=Setup!$C$16),OR(MONTH(WORKDAY(E43,-(Setup!$C$13+Setup!$G$23),Setup!$C$39:$C$50))&gt;=Setup!$C$15,MONTH(WORKDAY(E43,-(Setup!$C$13+Setup!$G$23),Setup!$C$39:$C$50))&lt;=Setup!$C$16))),WORKDAY(E43,-(Setup!$C$13+Setup!$G$23+Setup!$C$14),Setup!$C$39:$C$50),WORKDAY(E43,-(Setup!$C$13+Setup!$G$23),Setup!$C$39:$C$50))+(38*100+4)/10000000)))</f>
        <v/>
      </c>
      <c r="V43" t="str">
        <f>IF(F43="","",IF(F43&lt;Setup!$C$5-Setup!$C$6,"",IF(IF(ISNUMBER(Roster!$D43),Setup!$C$24&lt;=Roster!$D43,FALSE),"",IF(OR(IF(Setup!$C$15&lt;=Setup!$C$16,AND(MONTH(F43)&gt;=Setup!$C$15,MONTH(F43)&lt;=Setup!$C$16),OR(MONTH(F43)&gt;=Setup!$C$15,MONTH(F43)&lt;=Setup!$C$16)),IF(Setup!$C$15&lt;=Setup!$C$16,AND(MONTH(WORKDAY(F43,-(Setup!$C$13+Setup!$G$24),Setup!$C$39:$C$50))&gt;=Setup!$C$15,MONTH(WORKDAY(F43,-(Setup!$C$13+Setup!$G$24),Setup!$C$39:$C$50))&lt;=Setup!$C$16),OR(MONTH(WORKDAY(F43,-(Setup!$C$13+Setup!$G$24),Setup!$C$39:$C$50))&gt;=Setup!$C$15,MONTH(WORKDAY(F43,-(Setup!$C$13+Setup!$G$24),Setup!$C$39:$C$50))&lt;=Setup!$C$16))),WORKDAY(F43,-(Setup!$C$13+Setup!$G$24+Setup!$C$14),Setup!$C$39:$C$50),WORKDAY(F43,-(Setup!$C$13+Setup!$G$24),Setup!$C$39:$C$50))+(38*100+5)/10000000)))</f>
        <v/>
      </c>
      <c r="W43" t="str">
        <f>IF(G43="","",IF(G43&lt;Setup!$C$5-Setup!$C$6,"",IF(IF(ISNUMBER(Roster!$D43),Setup!$C$25&lt;=Roster!$D43,FALSE),"",IF(OR(IF(Setup!$C$15&lt;=Setup!$C$16,AND(MONTH(G43)&gt;=Setup!$C$15,MONTH(G43)&lt;=Setup!$C$16),OR(MONTH(G43)&gt;=Setup!$C$15,MONTH(G43)&lt;=Setup!$C$16)),IF(Setup!$C$15&lt;=Setup!$C$16,AND(MONTH(WORKDAY(G43,-(Setup!$C$13+Setup!$G$25),Setup!$C$39:$C$50))&gt;=Setup!$C$15,MONTH(WORKDAY(G43,-(Setup!$C$13+Setup!$G$25),Setup!$C$39:$C$50))&lt;=Setup!$C$16),OR(MONTH(WORKDAY(G43,-(Setup!$C$13+Setup!$G$25),Setup!$C$39:$C$50))&gt;=Setup!$C$15,MONTH(WORKDAY(G43,-(Setup!$C$13+Setup!$G$25),Setup!$C$39:$C$50))&lt;=Setup!$C$16))),WORKDAY(G43,-(Setup!$C$13+Setup!$G$25+Setup!$C$14),Setup!$C$39:$C$50),WORKDAY(G43,-(Setup!$C$13+Setup!$G$25),Setup!$C$39:$C$50))+(38*100+6)/10000000)))</f>
        <v/>
      </c>
      <c r="X43" t="str">
        <f>IF(H43="","",IF(H43&lt;Setup!$C$5-Setup!$C$6,"",IF(IF(ISNUMBER(Roster!$D43),Setup!$C$26&lt;=Roster!$D43,FALSE),"",IF(OR(IF(Setup!$C$15&lt;=Setup!$C$16,AND(MONTH(H43)&gt;=Setup!$C$15,MONTH(H43)&lt;=Setup!$C$16),OR(MONTH(H43)&gt;=Setup!$C$15,MONTH(H43)&lt;=Setup!$C$16)),IF(Setup!$C$15&lt;=Setup!$C$16,AND(MONTH(WORKDAY(H43,-(Setup!$C$13+Setup!$G$26),Setup!$C$39:$C$50))&gt;=Setup!$C$15,MONTH(WORKDAY(H43,-(Setup!$C$13+Setup!$G$26),Setup!$C$39:$C$50))&lt;=Setup!$C$16),OR(MONTH(WORKDAY(H43,-(Setup!$C$13+Setup!$G$26),Setup!$C$39:$C$50))&gt;=Setup!$C$15,MONTH(WORKDAY(H43,-(Setup!$C$13+Setup!$G$26),Setup!$C$39:$C$50))&lt;=Setup!$C$16))),WORKDAY(H43,-(Setup!$C$13+Setup!$G$26+Setup!$C$14),Setup!$C$39:$C$50),WORKDAY(H43,-(Setup!$C$13+Setup!$G$26),Setup!$C$39:$C$50))+(38*100+7)/10000000)))</f>
        <v/>
      </c>
      <c r="Y43" t="str">
        <f>IF(I43="","",IF(I43&lt;Setup!$C$5-Setup!$C$6,"",IF(IF(ISNUMBER(Roster!$D43),Setup!$C$27&lt;=Roster!$D43,FALSE),"",IF(OR(IF(Setup!$C$15&lt;=Setup!$C$16,AND(MONTH(I43)&gt;=Setup!$C$15,MONTH(I43)&lt;=Setup!$C$16),OR(MONTH(I43)&gt;=Setup!$C$15,MONTH(I43)&lt;=Setup!$C$16)),IF(Setup!$C$15&lt;=Setup!$C$16,AND(MONTH(WORKDAY(I43,-(Setup!$C$13+Setup!$G$27),Setup!$C$39:$C$50))&gt;=Setup!$C$15,MONTH(WORKDAY(I43,-(Setup!$C$13+Setup!$G$27),Setup!$C$39:$C$50))&lt;=Setup!$C$16),OR(MONTH(WORKDAY(I43,-(Setup!$C$13+Setup!$G$27),Setup!$C$39:$C$50))&gt;=Setup!$C$15,MONTH(WORKDAY(I43,-(Setup!$C$13+Setup!$G$27),Setup!$C$39:$C$50))&lt;=Setup!$C$16))),WORKDAY(I43,-(Setup!$C$13+Setup!$G$27+Setup!$C$14),Setup!$C$39:$C$50),WORKDAY(I43,-(Setup!$C$13+Setup!$G$27),Setup!$C$39:$C$50))+(38*100+8)/10000000)))</f>
        <v/>
      </c>
      <c r="Z43" t="str">
        <f>IF(J43="","",IF(J43&lt;Setup!$C$5-Setup!$C$6,"",IF(IF(ISNUMBER(Roster!$D43),Setup!$C$28&lt;=Roster!$D43,FALSE),"",IF(OR(IF(Setup!$C$15&lt;=Setup!$C$16,AND(MONTH(J43)&gt;=Setup!$C$15,MONTH(J43)&lt;=Setup!$C$16),OR(MONTH(J43)&gt;=Setup!$C$15,MONTH(J43)&lt;=Setup!$C$16)),IF(Setup!$C$15&lt;=Setup!$C$16,AND(MONTH(WORKDAY(J43,-(Setup!$C$13+Setup!$G$28),Setup!$C$39:$C$50))&gt;=Setup!$C$15,MONTH(WORKDAY(J43,-(Setup!$C$13+Setup!$G$28),Setup!$C$39:$C$50))&lt;=Setup!$C$16),OR(MONTH(WORKDAY(J43,-(Setup!$C$13+Setup!$G$28),Setup!$C$39:$C$50))&gt;=Setup!$C$15,MONTH(WORKDAY(J43,-(Setup!$C$13+Setup!$G$28),Setup!$C$39:$C$50))&lt;=Setup!$C$16))),WORKDAY(J43,-(Setup!$C$13+Setup!$G$28+Setup!$C$14),Setup!$C$39:$C$50),WORKDAY(J43,-(Setup!$C$13+Setup!$G$28),Setup!$C$39:$C$50))+(38*100+9)/10000000)))</f>
        <v/>
      </c>
      <c r="AA43" t="str">
        <f>IF(K43="","",IF(K43&lt;Setup!$C$5-Setup!$C$6,"",IF(IF(ISNUMBER(Roster!$D43),Setup!$C$29&lt;=Roster!$D43,FALSE),"",IF(OR(IF(Setup!$C$15&lt;=Setup!$C$16,AND(MONTH(K43)&gt;=Setup!$C$15,MONTH(K43)&lt;=Setup!$C$16),OR(MONTH(K43)&gt;=Setup!$C$15,MONTH(K43)&lt;=Setup!$C$16)),IF(Setup!$C$15&lt;=Setup!$C$16,AND(MONTH(WORKDAY(K43,-(Setup!$C$13+Setup!$G$29),Setup!$C$39:$C$50))&gt;=Setup!$C$15,MONTH(WORKDAY(K43,-(Setup!$C$13+Setup!$G$29),Setup!$C$39:$C$50))&lt;=Setup!$C$16),OR(MONTH(WORKDAY(K43,-(Setup!$C$13+Setup!$G$29),Setup!$C$39:$C$50))&gt;=Setup!$C$15,MONTH(WORKDAY(K43,-(Setup!$C$13+Setup!$G$29),Setup!$C$39:$C$50))&lt;=Setup!$C$16))),WORKDAY(K43,-(Setup!$C$13+Setup!$G$29+Setup!$C$14),Setup!$C$39:$C$50),WORKDAY(K43,-(Setup!$C$13+Setup!$G$29),Setup!$C$39:$C$50))+(38*100+10)/10000000)))</f>
        <v/>
      </c>
      <c r="AB43" t="str">
        <f>IF(L43="","",IF(L43&lt;Setup!$C$5-Setup!$C$6,"",IF(IF(ISNUMBER(Roster!$D43),Setup!$C$30&lt;=Roster!$D43,FALSE),"",IF(OR(IF(Setup!$C$15&lt;=Setup!$C$16,AND(MONTH(L43)&gt;=Setup!$C$15,MONTH(L43)&lt;=Setup!$C$16),OR(MONTH(L43)&gt;=Setup!$C$15,MONTH(L43)&lt;=Setup!$C$16)),IF(Setup!$C$15&lt;=Setup!$C$16,AND(MONTH(WORKDAY(L43,-(Setup!$C$13+Setup!$G$30),Setup!$C$39:$C$50))&gt;=Setup!$C$15,MONTH(WORKDAY(L43,-(Setup!$C$13+Setup!$G$30),Setup!$C$39:$C$50))&lt;=Setup!$C$16),OR(MONTH(WORKDAY(L43,-(Setup!$C$13+Setup!$G$30),Setup!$C$39:$C$50))&gt;=Setup!$C$15,MONTH(WORKDAY(L43,-(Setup!$C$13+Setup!$G$30),Setup!$C$39:$C$50))&lt;=Setup!$C$16))),WORKDAY(L43,-(Setup!$C$13+Setup!$G$30+Setup!$C$14),Setup!$C$39:$C$50),WORKDAY(L43,-(Setup!$C$13+Setup!$G$30),Setup!$C$39:$C$50))+(38*100+11)/10000000)))</f>
        <v/>
      </c>
      <c r="AC43" t="str">
        <f>IF(M43="","",IF(M43&lt;Setup!$C$5-Setup!$C$6,"",IF(IF(ISNUMBER(Roster!$D43),Setup!$C$31&lt;=Roster!$D43,FALSE),"",IF(OR(IF(Setup!$C$15&lt;=Setup!$C$16,AND(MONTH(M43)&gt;=Setup!$C$15,MONTH(M43)&lt;=Setup!$C$16),OR(MONTH(M43)&gt;=Setup!$C$15,MONTH(M43)&lt;=Setup!$C$16)),IF(Setup!$C$15&lt;=Setup!$C$16,AND(MONTH(WORKDAY(M43,-(Setup!$C$13+Setup!$G$31),Setup!$C$39:$C$50))&gt;=Setup!$C$15,MONTH(WORKDAY(M43,-(Setup!$C$13+Setup!$G$31),Setup!$C$39:$C$50))&lt;=Setup!$C$16),OR(MONTH(WORKDAY(M43,-(Setup!$C$13+Setup!$G$31),Setup!$C$39:$C$50))&gt;=Setup!$C$15,MONTH(WORKDAY(M43,-(Setup!$C$13+Setup!$G$31),Setup!$C$39:$C$50))&lt;=Setup!$C$16))),WORKDAY(M43,-(Setup!$C$13+Setup!$G$31+Setup!$C$14),Setup!$C$39:$C$50),WORKDAY(M43,-(Setup!$C$13+Setup!$G$31),Setup!$C$39:$C$50))+(38*100+12)/10000000)))</f>
        <v/>
      </c>
      <c r="AD43" t="str">
        <f>IF(N43="","",IF(N43&lt;Setup!$C$5-Setup!$C$6,"",IF(IF(ISNUMBER(Roster!$D43),Setup!$C$32&lt;=Roster!$D43,FALSE),"",IF(OR(IF(Setup!$C$15&lt;=Setup!$C$16,AND(MONTH(N43)&gt;=Setup!$C$15,MONTH(N43)&lt;=Setup!$C$16),OR(MONTH(N43)&gt;=Setup!$C$15,MONTH(N43)&lt;=Setup!$C$16)),IF(Setup!$C$15&lt;=Setup!$C$16,AND(MONTH(WORKDAY(N43,-(Setup!$C$13+Setup!$G$32),Setup!$C$39:$C$50))&gt;=Setup!$C$15,MONTH(WORKDAY(N43,-(Setup!$C$13+Setup!$G$32),Setup!$C$39:$C$50))&lt;=Setup!$C$16),OR(MONTH(WORKDAY(N43,-(Setup!$C$13+Setup!$G$32),Setup!$C$39:$C$50))&gt;=Setup!$C$15,MONTH(WORKDAY(N43,-(Setup!$C$13+Setup!$G$32),Setup!$C$39:$C$50))&lt;=Setup!$C$16))),WORKDAY(N43,-(Setup!$C$13+Setup!$G$32+Setup!$C$14),Setup!$C$39:$C$50),WORKDAY(N43,-(Setup!$C$13+Setup!$G$32),Setup!$C$39:$C$50))+(38*100+13)/10000000)))</f>
        <v/>
      </c>
      <c r="AE43" t="str">
        <f>IF(O43="","",IF(O43&lt;Setup!$C$5-Setup!$C$6,"",IF(IF(ISNUMBER(Roster!$D43),Setup!$C$33&lt;=Roster!$D43,FALSE),"",IF(OR(IF(Setup!$C$15&lt;=Setup!$C$16,AND(MONTH(O43)&gt;=Setup!$C$15,MONTH(O43)&lt;=Setup!$C$16),OR(MONTH(O43)&gt;=Setup!$C$15,MONTH(O43)&lt;=Setup!$C$16)),IF(Setup!$C$15&lt;=Setup!$C$16,AND(MONTH(WORKDAY(O43,-(Setup!$C$13+Setup!$G$33),Setup!$C$39:$C$50))&gt;=Setup!$C$15,MONTH(WORKDAY(O43,-(Setup!$C$13+Setup!$G$33),Setup!$C$39:$C$50))&lt;=Setup!$C$16),OR(MONTH(WORKDAY(O43,-(Setup!$C$13+Setup!$G$33),Setup!$C$39:$C$50))&gt;=Setup!$C$15,MONTH(WORKDAY(O43,-(Setup!$C$13+Setup!$G$33),Setup!$C$39:$C$50))&lt;=Setup!$C$16))),WORKDAY(O43,-(Setup!$C$13+Setup!$G$33+Setup!$C$14),Setup!$C$39:$C$50),WORKDAY(O43,-(Setup!$C$13+Setup!$G$33),Setup!$C$39:$C$50))+(38*100+14)/10000000)))</f>
        <v/>
      </c>
      <c r="AF43" t="str">
        <f>IF(P43="","",IF(P43&lt;Setup!$C$5-Setup!$C$6,"",IF(IF(ISNUMBER(Roster!$D43),Setup!$C$34&lt;=Roster!$D43,FALSE),"",IF(OR(IF(Setup!$C$15&lt;=Setup!$C$16,AND(MONTH(P43)&gt;=Setup!$C$15,MONTH(P43)&lt;=Setup!$C$16),OR(MONTH(P43)&gt;=Setup!$C$15,MONTH(P43)&lt;=Setup!$C$16)),IF(Setup!$C$15&lt;=Setup!$C$16,AND(MONTH(WORKDAY(P43,-(Setup!$C$13+Setup!$G$34),Setup!$C$39:$C$50))&gt;=Setup!$C$15,MONTH(WORKDAY(P43,-(Setup!$C$13+Setup!$G$34),Setup!$C$39:$C$50))&lt;=Setup!$C$16),OR(MONTH(WORKDAY(P43,-(Setup!$C$13+Setup!$G$34),Setup!$C$39:$C$50))&gt;=Setup!$C$15,MONTH(WORKDAY(P43,-(Setup!$C$13+Setup!$G$34),Setup!$C$39:$C$50))&lt;=Setup!$C$16))),WORKDAY(P43,-(Setup!$C$13+Setup!$G$34+Setup!$C$14),Setup!$C$39:$C$50),WORKDAY(P43,-(Setup!$C$13+Setup!$G$34),Setup!$C$39:$C$50))+(38*100+15)/10000000)))</f>
        <v/>
      </c>
      <c r="AH43" t="str">
        <f t="shared" si="0"/>
        <v/>
      </c>
      <c r="AI43" t="str">
        <f t="shared" si="1"/>
        <v/>
      </c>
      <c r="AK43" t="str">
        <f ca="1">IF(38&gt;$AK$2,"",SMALL($R$6:$AF$505,38))</f>
        <v/>
      </c>
      <c r="AL43" t="str">
        <f t="shared" ca="1" si="2"/>
        <v/>
      </c>
      <c r="AM43" t="str">
        <f t="shared" ca="1" si="3"/>
        <v/>
      </c>
      <c r="AN43" t="str">
        <f t="shared" ca="1" si="4"/>
        <v/>
      </c>
      <c r="AP43" t="str">
        <f>IF(ISNUMBER(Roster!$B43),MAX(1,YEAR(Setup!$C$5)-YEAR(Roster!$B43)+IF(EDATE(Roster!$B43,12*(YEAR(Setup!$C$5)-YEAR(Roster!$B43)))&lt;Setup!$C$5,1,0)),"")</f>
        <v/>
      </c>
      <c r="AQ43" s="32" t="str">
        <f>IF(AP43="","",EDATE(Roster!$B43,12*AP43))</f>
        <v/>
      </c>
      <c r="AR43" t="str">
        <f>IF(AQ43="","",IF(AQ43&lt;DATE(YEAR(Setup!$C$5)+1,MONTH(Setup!$C$5),DAY(Setup!$C$5)),AQ43+38/1000,""))</f>
        <v/>
      </c>
      <c r="AS43" t="str">
        <f t="shared" si="5"/>
        <v/>
      </c>
      <c r="AT43" t="str">
        <f>IF(AS43="","",IF(ISNUMBER(Roster!$D43),Roster!$D43&gt;=AP43,FALSE))</f>
        <v/>
      </c>
      <c r="AU43" t="str">
        <f t="shared" si="6"/>
        <v/>
      </c>
      <c r="AV43" t="str">
        <f ca="1">IF(38&gt;$AV$2,"",SMALL($AR$6:$AR$505,38))</f>
        <v/>
      </c>
      <c r="AW43" t="str">
        <f t="shared" ca="1" si="7"/>
        <v/>
      </c>
    </row>
    <row r="44" spans="2:52" x14ac:dyDescent="0.2">
      <c r="B44" s="32" t="str">
        <f>IF(AND(ISNUMBER(Roster!$B44),Setup!$B$20="Yes",ISNUMBER(Setup!$C$20)),EDATE(Roster!$B44,12*Setup!$C$20),"")</f>
        <v/>
      </c>
      <c r="C44" s="32" t="str">
        <f>IF(AND(ISNUMBER(Roster!$B44),Setup!$B$21="Yes",ISNUMBER(Setup!$C$21)),EDATE(Roster!$B44,12*Setup!$C$21),"")</f>
        <v/>
      </c>
      <c r="D44" s="32" t="str">
        <f>IF(AND(ISNUMBER(Roster!$B44),Setup!$B$22="Yes",ISNUMBER(Setup!$C$22)),EDATE(Roster!$B44,12*Setup!$C$22),"")</f>
        <v/>
      </c>
      <c r="E44" s="32" t="str">
        <f>IF(AND(ISNUMBER(Roster!$B44),Setup!$B$23="Yes",ISNUMBER(Setup!$C$23)),EDATE(Roster!$B44,12*Setup!$C$23),"")</f>
        <v/>
      </c>
      <c r="F44" s="32" t="str">
        <f>IF(AND(ISNUMBER(Roster!$B44),Setup!$B$24="Yes",ISNUMBER(Setup!$C$24)),EDATE(Roster!$B44,12*Setup!$C$24),"")</f>
        <v/>
      </c>
      <c r="G44" s="32" t="str">
        <f>IF(AND(ISNUMBER(Roster!$B44),Setup!$B$25="Yes",ISNUMBER(Setup!$C$25)),EDATE(Roster!$B44,12*Setup!$C$25),"")</f>
        <v/>
      </c>
      <c r="H44" s="32" t="str">
        <f>IF(AND(ISNUMBER(Roster!$B44),Setup!$B$26="Yes",ISNUMBER(Setup!$C$26)),EDATE(Roster!$B44,12*Setup!$C$26),"")</f>
        <v/>
      </c>
      <c r="I44" s="32" t="str">
        <f>IF(AND(ISNUMBER(Roster!$B44),Setup!$B$27="Yes",ISNUMBER(Setup!$C$27)),EDATE(Roster!$B44,12*Setup!$C$27),"")</f>
        <v/>
      </c>
      <c r="J44" s="32" t="str">
        <f>IF(AND(ISNUMBER(Roster!$B44),Setup!$B$28="Yes",ISNUMBER(Setup!$C$28)),EDATE(Roster!$B44,12*Setup!$C$28),"")</f>
        <v/>
      </c>
      <c r="K44" s="32" t="str">
        <f>IF(AND(ISNUMBER(Roster!$B44),Setup!$B$29="Yes",ISNUMBER(Setup!$C$29)),EDATE(Roster!$B44,12*Setup!$C$29),"")</f>
        <v/>
      </c>
      <c r="L44" s="32" t="str">
        <f>IF(AND(ISNUMBER(Roster!$B44),Setup!$B$30="Yes",ISNUMBER(Setup!$C$30)),EDATE(Roster!$B44,12*Setup!$C$30),"")</f>
        <v/>
      </c>
      <c r="M44" s="32" t="str">
        <f>IF(AND(ISNUMBER(Roster!$B44),Setup!$B$31="Yes",ISNUMBER(Setup!$C$31)),EDATE(Roster!$B44,12*Setup!$C$31),"")</f>
        <v/>
      </c>
      <c r="N44" s="32" t="str">
        <f>IF(AND(ISNUMBER(Roster!$B44),Setup!$B$32="Yes",ISNUMBER(Setup!$C$32)),EDATE(Roster!$B44,12*Setup!$C$32),"")</f>
        <v/>
      </c>
      <c r="O44" s="32" t="str">
        <f>IF(AND(ISNUMBER(Roster!$B44),Setup!$B$33="Yes",ISNUMBER(Setup!$C$33)),EDATE(Roster!$B44,12*Setup!$C$33),"")</f>
        <v/>
      </c>
      <c r="P44" s="32" t="str">
        <f>IF(AND(ISNUMBER(Roster!$B44),Setup!$B$34="Yes",ISNUMBER(Setup!$C$34)),EDATE(Roster!$B44,12*Setup!$C$34),"")</f>
        <v/>
      </c>
      <c r="R44" t="str">
        <f>IF(B44="","",IF(B44&lt;Setup!$C$5-Setup!$C$6,"",IF(IF(ISNUMBER(Roster!$D44),Setup!$C$20&lt;=Roster!$D44,FALSE),"",IF(OR(IF(Setup!$C$15&lt;=Setup!$C$16,AND(MONTH(B44)&gt;=Setup!$C$15,MONTH(B44)&lt;=Setup!$C$16),OR(MONTH(B44)&gt;=Setup!$C$15,MONTH(B44)&lt;=Setup!$C$16)),IF(Setup!$C$15&lt;=Setup!$C$16,AND(MONTH(WORKDAY(B44,-(Setup!$C$13+Setup!$G$20),Setup!$C$39:$C$50))&gt;=Setup!$C$15,MONTH(WORKDAY(B44,-(Setup!$C$13+Setup!$G$20),Setup!$C$39:$C$50))&lt;=Setup!$C$16),OR(MONTH(WORKDAY(B44,-(Setup!$C$13+Setup!$G$20),Setup!$C$39:$C$50))&gt;=Setup!$C$15,MONTH(WORKDAY(B44,-(Setup!$C$13+Setup!$G$20),Setup!$C$39:$C$50))&lt;=Setup!$C$16))),WORKDAY(B44,-(Setup!$C$13+Setup!$G$20+Setup!$C$14),Setup!$C$39:$C$50),WORKDAY(B44,-(Setup!$C$13+Setup!$G$20),Setup!$C$39:$C$50))+(39*100+1)/10000000)))</f>
        <v/>
      </c>
      <c r="S44" t="str">
        <f>IF(C44="","",IF(C44&lt;Setup!$C$5-Setup!$C$6,"",IF(IF(ISNUMBER(Roster!$D44),Setup!$C$21&lt;=Roster!$D44,FALSE),"",IF(OR(IF(Setup!$C$15&lt;=Setup!$C$16,AND(MONTH(C44)&gt;=Setup!$C$15,MONTH(C44)&lt;=Setup!$C$16),OR(MONTH(C44)&gt;=Setup!$C$15,MONTH(C44)&lt;=Setup!$C$16)),IF(Setup!$C$15&lt;=Setup!$C$16,AND(MONTH(WORKDAY(C44,-(Setup!$C$13+Setup!$G$21),Setup!$C$39:$C$50))&gt;=Setup!$C$15,MONTH(WORKDAY(C44,-(Setup!$C$13+Setup!$G$21),Setup!$C$39:$C$50))&lt;=Setup!$C$16),OR(MONTH(WORKDAY(C44,-(Setup!$C$13+Setup!$G$21),Setup!$C$39:$C$50))&gt;=Setup!$C$15,MONTH(WORKDAY(C44,-(Setup!$C$13+Setup!$G$21),Setup!$C$39:$C$50))&lt;=Setup!$C$16))),WORKDAY(C44,-(Setup!$C$13+Setup!$G$21+Setup!$C$14),Setup!$C$39:$C$50),WORKDAY(C44,-(Setup!$C$13+Setup!$G$21),Setup!$C$39:$C$50))+(39*100+2)/10000000)))</f>
        <v/>
      </c>
      <c r="T44" t="str">
        <f>IF(D44="","",IF(D44&lt;Setup!$C$5-Setup!$C$6,"",IF(IF(ISNUMBER(Roster!$D44),Setup!$C$22&lt;=Roster!$D44,FALSE),"",IF(OR(IF(Setup!$C$15&lt;=Setup!$C$16,AND(MONTH(D44)&gt;=Setup!$C$15,MONTH(D44)&lt;=Setup!$C$16),OR(MONTH(D44)&gt;=Setup!$C$15,MONTH(D44)&lt;=Setup!$C$16)),IF(Setup!$C$15&lt;=Setup!$C$16,AND(MONTH(WORKDAY(D44,-(Setup!$C$13+Setup!$G$22),Setup!$C$39:$C$50))&gt;=Setup!$C$15,MONTH(WORKDAY(D44,-(Setup!$C$13+Setup!$G$22),Setup!$C$39:$C$50))&lt;=Setup!$C$16),OR(MONTH(WORKDAY(D44,-(Setup!$C$13+Setup!$G$22),Setup!$C$39:$C$50))&gt;=Setup!$C$15,MONTH(WORKDAY(D44,-(Setup!$C$13+Setup!$G$22),Setup!$C$39:$C$50))&lt;=Setup!$C$16))),WORKDAY(D44,-(Setup!$C$13+Setup!$G$22+Setup!$C$14),Setup!$C$39:$C$50),WORKDAY(D44,-(Setup!$C$13+Setup!$G$22),Setup!$C$39:$C$50))+(39*100+3)/10000000)))</f>
        <v/>
      </c>
      <c r="U44" t="str">
        <f>IF(E44="","",IF(E44&lt;Setup!$C$5-Setup!$C$6,"",IF(IF(ISNUMBER(Roster!$D44),Setup!$C$23&lt;=Roster!$D44,FALSE),"",IF(OR(IF(Setup!$C$15&lt;=Setup!$C$16,AND(MONTH(E44)&gt;=Setup!$C$15,MONTH(E44)&lt;=Setup!$C$16),OR(MONTH(E44)&gt;=Setup!$C$15,MONTH(E44)&lt;=Setup!$C$16)),IF(Setup!$C$15&lt;=Setup!$C$16,AND(MONTH(WORKDAY(E44,-(Setup!$C$13+Setup!$G$23),Setup!$C$39:$C$50))&gt;=Setup!$C$15,MONTH(WORKDAY(E44,-(Setup!$C$13+Setup!$G$23),Setup!$C$39:$C$50))&lt;=Setup!$C$16),OR(MONTH(WORKDAY(E44,-(Setup!$C$13+Setup!$G$23),Setup!$C$39:$C$50))&gt;=Setup!$C$15,MONTH(WORKDAY(E44,-(Setup!$C$13+Setup!$G$23),Setup!$C$39:$C$50))&lt;=Setup!$C$16))),WORKDAY(E44,-(Setup!$C$13+Setup!$G$23+Setup!$C$14),Setup!$C$39:$C$50),WORKDAY(E44,-(Setup!$C$13+Setup!$G$23),Setup!$C$39:$C$50))+(39*100+4)/10000000)))</f>
        <v/>
      </c>
      <c r="V44" t="str">
        <f>IF(F44="","",IF(F44&lt;Setup!$C$5-Setup!$C$6,"",IF(IF(ISNUMBER(Roster!$D44),Setup!$C$24&lt;=Roster!$D44,FALSE),"",IF(OR(IF(Setup!$C$15&lt;=Setup!$C$16,AND(MONTH(F44)&gt;=Setup!$C$15,MONTH(F44)&lt;=Setup!$C$16),OR(MONTH(F44)&gt;=Setup!$C$15,MONTH(F44)&lt;=Setup!$C$16)),IF(Setup!$C$15&lt;=Setup!$C$16,AND(MONTH(WORKDAY(F44,-(Setup!$C$13+Setup!$G$24),Setup!$C$39:$C$50))&gt;=Setup!$C$15,MONTH(WORKDAY(F44,-(Setup!$C$13+Setup!$G$24),Setup!$C$39:$C$50))&lt;=Setup!$C$16),OR(MONTH(WORKDAY(F44,-(Setup!$C$13+Setup!$G$24),Setup!$C$39:$C$50))&gt;=Setup!$C$15,MONTH(WORKDAY(F44,-(Setup!$C$13+Setup!$G$24),Setup!$C$39:$C$50))&lt;=Setup!$C$16))),WORKDAY(F44,-(Setup!$C$13+Setup!$G$24+Setup!$C$14),Setup!$C$39:$C$50),WORKDAY(F44,-(Setup!$C$13+Setup!$G$24),Setup!$C$39:$C$50))+(39*100+5)/10000000)))</f>
        <v/>
      </c>
      <c r="W44" t="str">
        <f>IF(G44="","",IF(G44&lt;Setup!$C$5-Setup!$C$6,"",IF(IF(ISNUMBER(Roster!$D44),Setup!$C$25&lt;=Roster!$D44,FALSE),"",IF(OR(IF(Setup!$C$15&lt;=Setup!$C$16,AND(MONTH(G44)&gt;=Setup!$C$15,MONTH(G44)&lt;=Setup!$C$16),OR(MONTH(G44)&gt;=Setup!$C$15,MONTH(G44)&lt;=Setup!$C$16)),IF(Setup!$C$15&lt;=Setup!$C$16,AND(MONTH(WORKDAY(G44,-(Setup!$C$13+Setup!$G$25),Setup!$C$39:$C$50))&gt;=Setup!$C$15,MONTH(WORKDAY(G44,-(Setup!$C$13+Setup!$G$25),Setup!$C$39:$C$50))&lt;=Setup!$C$16),OR(MONTH(WORKDAY(G44,-(Setup!$C$13+Setup!$G$25),Setup!$C$39:$C$50))&gt;=Setup!$C$15,MONTH(WORKDAY(G44,-(Setup!$C$13+Setup!$G$25),Setup!$C$39:$C$50))&lt;=Setup!$C$16))),WORKDAY(G44,-(Setup!$C$13+Setup!$G$25+Setup!$C$14),Setup!$C$39:$C$50),WORKDAY(G44,-(Setup!$C$13+Setup!$G$25),Setup!$C$39:$C$50))+(39*100+6)/10000000)))</f>
        <v/>
      </c>
      <c r="X44" t="str">
        <f>IF(H44="","",IF(H44&lt;Setup!$C$5-Setup!$C$6,"",IF(IF(ISNUMBER(Roster!$D44),Setup!$C$26&lt;=Roster!$D44,FALSE),"",IF(OR(IF(Setup!$C$15&lt;=Setup!$C$16,AND(MONTH(H44)&gt;=Setup!$C$15,MONTH(H44)&lt;=Setup!$C$16),OR(MONTH(H44)&gt;=Setup!$C$15,MONTH(H44)&lt;=Setup!$C$16)),IF(Setup!$C$15&lt;=Setup!$C$16,AND(MONTH(WORKDAY(H44,-(Setup!$C$13+Setup!$G$26),Setup!$C$39:$C$50))&gt;=Setup!$C$15,MONTH(WORKDAY(H44,-(Setup!$C$13+Setup!$G$26),Setup!$C$39:$C$50))&lt;=Setup!$C$16),OR(MONTH(WORKDAY(H44,-(Setup!$C$13+Setup!$G$26),Setup!$C$39:$C$50))&gt;=Setup!$C$15,MONTH(WORKDAY(H44,-(Setup!$C$13+Setup!$G$26),Setup!$C$39:$C$50))&lt;=Setup!$C$16))),WORKDAY(H44,-(Setup!$C$13+Setup!$G$26+Setup!$C$14),Setup!$C$39:$C$50),WORKDAY(H44,-(Setup!$C$13+Setup!$G$26),Setup!$C$39:$C$50))+(39*100+7)/10000000)))</f>
        <v/>
      </c>
      <c r="Y44" t="str">
        <f>IF(I44="","",IF(I44&lt;Setup!$C$5-Setup!$C$6,"",IF(IF(ISNUMBER(Roster!$D44),Setup!$C$27&lt;=Roster!$D44,FALSE),"",IF(OR(IF(Setup!$C$15&lt;=Setup!$C$16,AND(MONTH(I44)&gt;=Setup!$C$15,MONTH(I44)&lt;=Setup!$C$16),OR(MONTH(I44)&gt;=Setup!$C$15,MONTH(I44)&lt;=Setup!$C$16)),IF(Setup!$C$15&lt;=Setup!$C$16,AND(MONTH(WORKDAY(I44,-(Setup!$C$13+Setup!$G$27),Setup!$C$39:$C$50))&gt;=Setup!$C$15,MONTH(WORKDAY(I44,-(Setup!$C$13+Setup!$G$27),Setup!$C$39:$C$50))&lt;=Setup!$C$16),OR(MONTH(WORKDAY(I44,-(Setup!$C$13+Setup!$G$27),Setup!$C$39:$C$50))&gt;=Setup!$C$15,MONTH(WORKDAY(I44,-(Setup!$C$13+Setup!$G$27),Setup!$C$39:$C$50))&lt;=Setup!$C$16))),WORKDAY(I44,-(Setup!$C$13+Setup!$G$27+Setup!$C$14),Setup!$C$39:$C$50),WORKDAY(I44,-(Setup!$C$13+Setup!$G$27),Setup!$C$39:$C$50))+(39*100+8)/10000000)))</f>
        <v/>
      </c>
      <c r="Z44" t="str">
        <f>IF(J44="","",IF(J44&lt;Setup!$C$5-Setup!$C$6,"",IF(IF(ISNUMBER(Roster!$D44),Setup!$C$28&lt;=Roster!$D44,FALSE),"",IF(OR(IF(Setup!$C$15&lt;=Setup!$C$16,AND(MONTH(J44)&gt;=Setup!$C$15,MONTH(J44)&lt;=Setup!$C$16),OR(MONTH(J44)&gt;=Setup!$C$15,MONTH(J44)&lt;=Setup!$C$16)),IF(Setup!$C$15&lt;=Setup!$C$16,AND(MONTH(WORKDAY(J44,-(Setup!$C$13+Setup!$G$28),Setup!$C$39:$C$50))&gt;=Setup!$C$15,MONTH(WORKDAY(J44,-(Setup!$C$13+Setup!$G$28),Setup!$C$39:$C$50))&lt;=Setup!$C$16),OR(MONTH(WORKDAY(J44,-(Setup!$C$13+Setup!$G$28),Setup!$C$39:$C$50))&gt;=Setup!$C$15,MONTH(WORKDAY(J44,-(Setup!$C$13+Setup!$G$28),Setup!$C$39:$C$50))&lt;=Setup!$C$16))),WORKDAY(J44,-(Setup!$C$13+Setup!$G$28+Setup!$C$14),Setup!$C$39:$C$50),WORKDAY(J44,-(Setup!$C$13+Setup!$G$28),Setup!$C$39:$C$50))+(39*100+9)/10000000)))</f>
        <v/>
      </c>
      <c r="AA44" t="str">
        <f>IF(K44="","",IF(K44&lt;Setup!$C$5-Setup!$C$6,"",IF(IF(ISNUMBER(Roster!$D44),Setup!$C$29&lt;=Roster!$D44,FALSE),"",IF(OR(IF(Setup!$C$15&lt;=Setup!$C$16,AND(MONTH(K44)&gt;=Setup!$C$15,MONTH(K44)&lt;=Setup!$C$16),OR(MONTH(K44)&gt;=Setup!$C$15,MONTH(K44)&lt;=Setup!$C$16)),IF(Setup!$C$15&lt;=Setup!$C$16,AND(MONTH(WORKDAY(K44,-(Setup!$C$13+Setup!$G$29),Setup!$C$39:$C$50))&gt;=Setup!$C$15,MONTH(WORKDAY(K44,-(Setup!$C$13+Setup!$G$29),Setup!$C$39:$C$50))&lt;=Setup!$C$16),OR(MONTH(WORKDAY(K44,-(Setup!$C$13+Setup!$G$29),Setup!$C$39:$C$50))&gt;=Setup!$C$15,MONTH(WORKDAY(K44,-(Setup!$C$13+Setup!$G$29),Setup!$C$39:$C$50))&lt;=Setup!$C$16))),WORKDAY(K44,-(Setup!$C$13+Setup!$G$29+Setup!$C$14),Setup!$C$39:$C$50),WORKDAY(K44,-(Setup!$C$13+Setup!$G$29),Setup!$C$39:$C$50))+(39*100+10)/10000000)))</f>
        <v/>
      </c>
      <c r="AB44" t="str">
        <f>IF(L44="","",IF(L44&lt;Setup!$C$5-Setup!$C$6,"",IF(IF(ISNUMBER(Roster!$D44),Setup!$C$30&lt;=Roster!$D44,FALSE),"",IF(OR(IF(Setup!$C$15&lt;=Setup!$C$16,AND(MONTH(L44)&gt;=Setup!$C$15,MONTH(L44)&lt;=Setup!$C$16),OR(MONTH(L44)&gt;=Setup!$C$15,MONTH(L44)&lt;=Setup!$C$16)),IF(Setup!$C$15&lt;=Setup!$C$16,AND(MONTH(WORKDAY(L44,-(Setup!$C$13+Setup!$G$30),Setup!$C$39:$C$50))&gt;=Setup!$C$15,MONTH(WORKDAY(L44,-(Setup!$C$13+Setup!$G$30),Setup!$C$39:$C$50))&lt;=Setup!$C$16),OR(MONTH(WORKDAY(L44,-(Setup!$C$13+Setup!$G$30),Setup!$C$39:$C$50))&gt;=Setup!$C$15,MONTH(WORKDAY(L44,-(Setup!$C$13+Setup!$G$30),Setup!$C$39:$C$50))&lt;=Setup!$C$16))),WORKDAY(L44,-(Setup!$C$13+Setup!$G$30+Setup!$C$14),Setup!$C$39:$C$50),WORKDAY(L44,-(Setup!$C$13+Setup!$G$30),Setup!$C$39:$C$50))+(39*100+11)/10000000)))</f>
        <v/>
      </c>
      <c r="AC44" t="str">
        <f>IF(M44="","",IF(M44&lt;Setup!$C$5-Setup!$C$6,"",IF(IF(ISNUMBER(Roster!$D44),Setup!$C$31&lt;=Roster!$D44,FALSE),"",IF(OR(IF(Setup!$C$15&lt;=Setup!$C$16,AND(MONTH(M44)&gt;=Setup!$C$15,MONTH(M44)&lt;=Setup!$C$16),OR(MONTH(M44)&gt;=Setup!$C$15,MONTH(M44)&lt;=Setup!$C$16)),IF(Setup!$C$15&lt;=Setup!$C$16,AND(MONTH(WORKDAY(M44,-(Setup!$C$13+Setup!$G$31),Setup!$C$39:$C$50))&gt;=Setup!$C$15,MONTH(WORKDAY(M44,-(Setup!$C$13+Setup!$G$31),Setup!$C$39:$C$50))&lt;=Setup!$C$16),OR(MONTH(WORKDAY(M44,-(Setup!$C$13+Setup!$G$31),Setup!$C$39:$C$50))&gt;=Setup!$C$15,MONTH(WORKDAY(M44,-(Setup!$C$13+Setup!$G$31),Setup!$C$39:$C$50))&lt;=Setup!$C$16))),WORKDAY(M44,-(Setup!$C$13+Setup!$G$31+Setup!$C$14),Setup!$C$39:$C$50),WORKDAY(M44,-(Setup!$C$13+Setup!$G$31),Setup!$C$39:$C$50))+(39*100+12)/10000000)))</f>
        <v/>
      </c>
      <c r="AD44" t="str">
        <f>IF(N44="","",IF(N44&lt;Setup!$C$5-Setup!$C$6,"",IF(IF(ISNUMBER(Roster!$D44),Setup!$C$32&lt;=Roster!$D44,FALSE),"",IF(OR(IF(Setup!$C$15&lt;=Setup!$C$16,AND(MONTH(N44)&gt;=Setup!$C$15,MONTH(N44)&lt;=Setup!$C$16),OR(MONTH(N44)&gt;=Setup!$C$15,MONTH(N44)&lt;=Setup!$C$16)),IF(Setup!$C$15&lt;=Setup!$C$16,AND(MONTH(WORKDAY(N44,-(Setup!$C$13+Setup!$G$32),Setup!$C$39:$C$50))&gt;=Setup!$C$15,MONTH(WORKDAY(N44,-(Setup!$C$13+Setup!$G$32),Setup!$C$39:$C$50))&lt;=Setup!$C$16),OR(MONTH(WORKDAY(N44,-(Setup!$C$13+Setup!$G$32),Setup!$C$39:$C$50))&gt;=Setup!$C$15,MONTH(WORKDAY(N44,-(Setup!$C$13+Setup!$G$32),Setup!$C$39:$C$50))&lt;=Setup!$C$16))),WORKDAY(N44,-(Setup!$C$13+Setup!$G$32+Setup!$C$14),Setup!$C$39:$C$50),WORKDAY(N44,-(Setup!$C$13+Setup!$G$32),Setup!$C$39:$C$50))+(39*100+13)/10000000)))</f>
        <v/>
      </c>
      <c r="AE44" t="str">
        <f>IF(O44="","",IF(O44&lt;Setup!$C$5-Setup!$C$6,"",IF(IF(ISNUMBER(Roster!$D44),Setup!$C$33&lt;=Roster!$D44,FALSE),"",IF(OR(IF(Setup!$C$15&lt;=Setup!$C$16,AND(MONTH(O44)&gt;=Setup!$C$15,MONTH(O44)&lt;=Setup!$C$16),OR(MONTH(O44)&gt;=Setup!$C$15,MONTH(O44)&lt;=Setup!$C$16)),IF(Setup!$C$15&lt;=Setup!$C$16,AND(MONTH(WORKDAY(O44,-(Setup!$C$13+Setup!$G$33),Setup!$C$39:$C$50))&gt;=Setup!$C$15,MONTH(WORKDAY(O44,-(Setup!$C$13+Setup!$G$33),Setup!$C$39:$C$50))&lt;=Setup!$C$16),OR(MONTH(WORKDAY(O44,-(Setup!$C$13+Setup!$G$33),Setup!$C$39:$C$50))&gt;=Setup!$C$15,MONTH(WORKDAY(O44,-(Setup!$C$13+Setup!$G$33),Setup!$C$39:$C$50))&lt;=Setup!$C$16))),WORKDAY(O44,-(Setup!$C$13+Setup!$G$33+Setup!$C$14),Setup!$C$39:$C$50),WORKDAY(O44,-(Setup!$C$13+Setup!$G$33),Setup!$C$39:$C$50))+(39*100+14)/10000000)))</f>
        <v/>
      </c>
      <c r="AF44" t="str">
        <f>IF(P44="","",IF(P44&lt;Setup!$C$5-Setup!$C$6,"",IF(IF(ISNUMBER(Roster!$D44),Setup!$C$34&lt;=Roster!$D44,FALSE),"",IF(OR(IF(Setup!$C$15&lt;=Setup!$C$16,AND(MONTH(P44)&gt;=Setup!$C$15,MONTH(P44)&lt;=Setup!$C$16),OR(MONTH(P44)&gt;=Setup!$C$15,MONTH(P44)&lt;=Setup!$C$16)),IF(Setup!$C$15&lt;=Setup!$C$16,AND(MONTH(WORKDAY(P44,-(Setup!$C$13+Setup!$G$34),Setup!$C$39:$C$50))&gt;=Setup!$C$15,MONTH(WORKDAY(P44,-(Setup!$C$13+Setup!$G$34),Setup!$C$39:$C$50))&lt;=Setup!$C$16),OR(MONTH(WORKDAY(P44,-(Setup!$C$13+Setup!$G$34),Setup!$C$39:$C$50))&gt;=Setup!$C$15,MONTH(WORKDAY(P44,-(Setup!$C$13+Setup!$G$34),Setup!$C$39:$C$50))&lt;=Setup!$C$16))),WORKDAY(P44,-(Setup!$C$13+Setup!$G$34+Setup!$C$14),Setup!$C$39:$C$50),WORKDAY(P44,-(Setup!$C$13+Setup!$G$34),Setup!$C$39:$C$50))+(39*100+15)/10000000)))</f>
        <v/>
      </c>
      <c r="AH44" t="str">
        <f t="shared" si="0"/>
        <v/>
      </c>
      <c r="AI44" t="str">
        <f t="shared" si="1"/>
        <v/>
      </c>
      <c r="AK44" t="str">
        <f ca="1">IF(39&gt;$AK$2,"",SMALL($R$6:$AF$505,39))</f>
        <v/>
      </c>
      <c r="AL44" t="str">
        <f t="shared" ca="1" si="2"/>
        <v/>
      </c>
      <c r="AM44" t="str">
        <f t="shared" ca="1" si="3"/>
        <v/>
      </c>
      <c r="AN44" t="str">
        <f t="shared" ca="1" si="4"/>
        <v/>
      </c>
      <c r="AP44" t="str">
        <f>IF(ISNUMBER(Roster!$B44),MAX(1,YEAR(Setup!$C$5)-YEAR(Roster!$B44)+IF(EDATE(Roster!$B44,12*(YEAR(Setup!$C$5)-YEAR(Roster!$B44)))&lt;Setup!$C$5,1,0)),"")</f>
        <v/>
      </c>
      <c r="AQ44" s="32" t="str">
        <f>IF(AP44="","",EDATE(Roster!$B44,12*AP44))</f>
        <v/>
      </c>
      <c r="AR44" t="str">
        <f>IF(AQ44="","",IF(AQ44&lt;DATE(YEAR(Setup!$C$5)+1,MONTH(Setup!$C$5),DAY(Setup!$C$5)),AQ44+39/1000,""))</f>
        <v/>
      </c>
      <c r="AS44" t="str">
        <f t="shared" si="5"/>
        <v/>
      </c>
      <c r="AT44" t="str">
        <f>IF(AS44="","",IF(ISNUMBER(Roster!$D44),Roster!$D44&gt;=AP44,FALSE))</f>
        <v/>
      </c>
      <c r="AU44" t="str">
        <f t="shared" si="6"/>
        <v/>
      </c>
      <c r="AV44" t="str">
        <f ca="1">IF(39&gt;$AV$2,"",SMALL($AR$6:$AR$505,39))</f>
        <v/>
      </c>
      <c r="AW44" t="str">
        <f t="shared" ca="1" si="7"/>
        <v/>
      </c>
    </row>
    <row r="45" spans="2:52" x14ac:dyDescent="0.2">
      <c r="B45" s="32" t="str">
        <f>IF(AND(ISNUMBER(Roster!$B45),Setup!$B$20="Yes",ISNUMBER(Setup!$C$20)),EDATE(Roster!$B45,12*Setup!$C$20),"")</f>
        <v/>
      </c>
      <c r="C45" s="32" t="str">
        <f>IF(AND(ISNUMBER(Roster!$B45),Setup!$B$21="Yes",ISNUMBER(Setup!$C$21)),EDATE(Roster!$B45,12*Setup!$C$21),"")</f>
        <v/>
      </c>
      <c r="D45" s="32" t="str">
        <f>IF(AND(ISNUMBER(Roster!$B45),Setup!$B$22="Yes",ISNUMBER(Setup!$C$22)),EDATE(Roster!$B45,12*Setup!$C$22),"")</f>
        <v/>
      </c>
      <c r="E45" s="32" t="str">
        <f>IF(AND(ISNUMBER(Roster!$B45),Setup!$B$23="Yes",ISNUMBER(Setup!$C$23)),EDATE(Roster!$B45,12*Setup!$C$23),"")</f>
        <v/>
      </c>
      <c r="F45" s="32" t="str">
        <f>IF(AND(ISNUMBER(Roster!$B45),Setup!$B$24="Yes",ISNUMBER(Setup!$C$24)),EDATE(Roster!$B45,12*Setup!$C$24),"")</f>
        <v/>
      </c>
      <c r="G45" s="32" t="str">
        <f>IF(AND(ISNUMBER(Roster!$B45),Setup!$B$25="Yes",ISNUMBER(Setup!$C$25)),EDATE(Roster!$B45,12*Setup!$C$25),"")</f>
        <v/>
      </c>
      <c r="H45" s="32" t="str">
        <f>IF(AND(ISNUMBER(Roster!$B45),Setup!$B$26="Yes",ISNUMBER(Setup!$C$26)),EDATE(Roster!$B45,12*Setup!$C$26),"")</f>
        <v/>
      </c>
      <c r="I45" s="32" t="str">
        <f>IF(AND(ISNUMBER(Roster!$B45),Setup!$B$27="Yes",ISNUMBER(Setup!$C$27)),EDATE(Roster!$B45,12*Setup!$C$27),"")</f>
        <v/>
      </c>
      <c r="J45" s="32" t="str">
        <f>IF(AND(ISNUMBER(Roster!$B45),Setup!$B$28="Yes",ISNUMBER(Setup!$C$28)),EDATE(Roster!$B45,12*Setup!$C$28),"")</f>
        <v/>
      </c>
      <c r="K45" s="32" t="str">
        <f>IF(AND(ISNUMBER(Roster!$B45),Setup!$B$29="Yes",ISNUMBER(Setup!$C$29)),EDATE(Roster!$B45,12*Setup!$C$29),"")</f>
        <v/>
      </c>
      <c r="L45" s="32" t="str">
        <f>IF(AND(ISNUMBER(Roster!$B45),Setup!$B$30="Yes",ISNUMBER(Setup!$C$30)),EDATE(Roster!$B45,12*Setup!$C$30),"")</f>
        <v/>
      </c>
      <c r="M45" s="32" t="str">
        <f>IF(AND(ISNUMBER(Roster!$B45),Setup!$B$31="Yes",ISNUMBER(Setup!$C$31)),EDATE(Roster!$B45,12*Setup!$C$31),"")</f>
        <v/>
      </c>
      <c r="N45" s="32" t="str">
        <f>IF(AND(ISNUMBER(Roster!$B45),Setup!$B$32="Yes",ISNUMBER(Setup!$C$32)),EDATE(Roster!$B45,12*Setup!$C$32),"")</f>
        <v/>
      </c>
      <c r="O45" s="32" t="str">
        <f>IF(AND(ISNUMBER(Roster!$B45),Setup!$B$33="Yes",ISNUMBER(Setup!$C$33)),EDATE(Roster!$B45,12*Setup!$C$33),"")</f>
        <v/>
      </c>
      <c r="P45" s="32" t="str">
        <f>IF(AND(ISNUMBER(Roster!$B45),Setup!$B$34="Yes",ISNUMBER(Setup!$C$34)),EDATE(Roster!$B45,12*Setup!$C$34),"")</f>
        <v/>
      </c>
      <c r="R45" t="str">
        <f>IF(B45="","",IF(B45&lt;Setup!$C$5-Setup!$C$6,"",IF(IF(ISNUMBER(Roster!$D45),Setup!$C$20&lt;=Roster!$D45,FALSE),"",IF(OR(IF(Setup!$C$15&lt;=Setup!$C$16,AND(MONTH(B45)&gt;=Setup!$C$15,MONTH(B45)&lt;=Setup!$C$16),OR(MONTH(B45)&gt;=Setup!$C$15,MONTH(B45)&lt;=Setup!$C$16)),IF(Setup!$C$15&lt;=Setup!$C$16,AND(MONTH(WORKDAY(B45,-(Setup!$C$13+Setup!$G$20),Setup!$C$39:$C$50))&gt;=Setup!$C$15,MONTH(WORKDAY(B45,-(Setup!$C$13+Setup!$G$20),Setup!$C$39:$C$50))&lt;=Setup!$C$16),OR(MONTH(WORKDAY(B45,-(Setup!$C$13+Setup!$G$20),Setup!$C$39:$C$50))&gt;=Setup!$C$15,MONTH(WORKDAY(B45,-(Setup!$C$13+Setup!$G$20),Setup!$C$39:$C$50))&lt;=Setup!$C$16))),WORKDAY(B45,-(Setup!$C$13+Setup!$G$20+Setup!$C$14),Setup!$C$39:$C$50),WORKDAY(B45,-(Setup!$C$13+Setup!$G$20),Setup!$C$39:$C$50))+(40*100+1)/10000000)))</f>
        <v/>
      </c>
      <c r="S45" t="str">
        <f>IF(C45="","",IF(C45&lt;Setup!$C$5-Setup!$C$6,"",IF(IF(ISNUMBER(Roster!$D45),Setup!$C$21&lt;=Roster!$D45,FALSE),"",IF(OR(IF(Setup!$C$15&lt;=Setup!$C$16,AND(MONTH(C45)&gt;=Setup!$C$15,MONTH(C45)&lt;=Setup!$C$16),OR(MONTH(C45)&gt;=Setup!$C$15,MONTH(C45)&lt;=Setup!$C$16)),IF(Setup!$C$15&lt;=Setup!$C$16,AND(MONTH(WORKDAY(C45,-(Setup!$C$13+Setup!$G$21),Setup!$C$39:$C$50))&gt;=Setup!$C$15,MONTH(WORKDAY(C45,-(Setup!$C$13+Setup!$G$21),Setup!$C$39:$C$50))&lt;=Setup!$C$16),OR(MONTH(WORKDAY(C45,-(Setup!$C$13+Setup!$G$21),Setup!$C$39:$C$50))&gt;=Setup!$C$15,MONTH(WORKDAY(C45,-(Setup!$C$13+Setup!$G$21),Setup!$C$39:$C$50))&lt;=Setup!$C$16))),WORKDAY(C45,-(Setup!$C$13+Setup!$G$21+Setup!$C$14),Setup!$C$39:$C$50),WORKDAY(C45,-(Setup!$C$13+Setup!$G$21),Setup!$C$39:$C$50))+(40*100+2)/10000000)))</f>
        <v/>
      </c>
      <c r="T45" t="str">
        <f>IF(D45="","",IF(D45&lt;Setup!$C$5-Setup!$C$6,"",IF(IF(ISNUMBER(Roster!$D45),Setup!$C$22&lt;=Roster!$D45,FALSE),"",IF(OR(IF(Setup!$C$15&lt;=Setup!$C$16,AND(MONTH(D45)&gt;=Setup!$C$15,MONTH(D45)&lt;=Setup!$C$16),OR(MONTH(D45)&gt;=Setup!$C$15,MONTH(D45)&lt;=Setup!$C$16)),IF(Setup!$C$15&lt;=Setup!$C$16,AND(MONTH(WORKDAY(D45,-(Setup!$C$13+Setup!$G$22),Setup!$C$39:$C$50))&gt;=Setup!$C$15,MONTH(WORKDAY(D45,-(Setup!$C$13+Setup!$G$22),Setup!$C$39:$C$50))&lt;=Setup!$C$16),OR(MONTH(WORKDAY(D45,-(Setup!$C$13+Setup!$G$22),Setup!$C$39:$C$50))&gt;=Setup!$C$15,MONTH(WORKDAY(D45,-(Setup!$C$13+Setup!$G$22),Setup!$C$39:$C$50))&lt;=Setup!$C$16))),WORKDAY(D45,-(Setup!$C$13+Setup!$G$22+Setup!$C$14),Setup!$C$39:$C$50),WORKDAY(D45,-(Setup!$C$13+Setup!$G$22),Setup!$C$39:$C$50))+(40*100+3)/10000000)))</f>
        <v/>
      </c>
      <c r="U45" t="str">
        <f>IF(E45="","",IF(E45&lt;Setup!$C$5-Setup!$C$6,"",IF(IF(ISNUMBER(Roster!$D45),Setup!$C$23&lt;=Roster!$D45,FALSE),"",IF(OR(IF(Setup!$C$15&lt;=Setup!$C$16,AND(MONTH(E45)&gt;=Setup!$C$15,MONTH(E45)&lt;=Setup!$C$16),OR(MONTH(E45)&gt;=Setup!$C$15,MONTH(E45)&lt;=Setup!$C$16)),IF(Setup!$C$15&lt;=Setup!$C$16,AND(MONTH(WORKDAY(E45,-(Setup!$C$13+Setup!$G$23),Setup!$C$39:$C$50))&gt;=Setup!$C$15,MONTH(WORKDAY(E45,-(Setup!$C$13+Setup!$G$23),Setup!$C$39:$C$50))&lt;=Setup!$C$16),OR(MONTH(WORKDAY(E45,-(Setup!$C$13+Setup!$G$23),Setup!$C$39:$C$50))&gt;=Setup!$C$15,MONTH(WORKDAY(E45,-(Setup!$C$13+Setup!$G$23),Setup!$C$39:$C$50))&lt;=Setup!$C$16))),WORKDAY(E45,-(Setup!$C$13+Setup!$G$23+Setup!$C$14),Setup!$C$39:$C$50),WORKDAY(E45,-(Setup!$C$13+Setup!$G$23),Setup!$C$39:$C$50))+(40*100+4)/10000000)))</f>
        <v/>
      </c>
      <c r="V45" t="str">
        <f>IF(F45="","",IF(F45&lt;Setup!$C$5-Setup!$C$6,"",IF(IF(ISNUMBER(Roster!$D45),Setup!$C$24&lt;=Roster!$D45,FALSE),"",IF(OR(IF(Setup!$C$15&lt;=Setup!$C$16,AND(MONTH(F45)&gt;=Setup!$C$15,MONTH(F45)&lt;=Setup!$C$16),OR(MONTH(F45)&gt;=Setup!$C$15,MONTH(F45)&lt;=Setup!$C$16)),IF(Setup!$C$15&lt;=Setup!$C$16,AND(MONTH(WORKDAY(F45,-(Setup!$C$13+Setup!$G$24),Setup!$C$39:$C$50))&gt;=Setup!$C$15,MONTH(WORKDAY(F45,-(Setup!$C$13+Setup!$G$24),Setup!$C$39:$C$50))&lt;=Setup!$C$16),OR(MONTH(WORKDAY(F45,-(Setup!$C$13+Setup!$G$24),Setup!$C$39:$C$50))&gt;=Setup!$C$15,MONTH(WORKDAY(F45,-(Setup!$C$13+Setup!$G$24),Setup!$C$39:$C$50))&lt;=Setup!$C$16))),WORKDAY(F45,-(Setup!$C$13+Setup!$G$24+Setup!$C$14),Setup!$C$39:$C$50),WORKDAY(F45,-(Setup!$C$13+Setup!$G$24),Setup!$C$39:$C$50))+(40*100+5)/10000000)))</f>
        <v/>
      </c>
      <c r="W45" t="str">
        <f>IF(G45="","",IF(G45&lt;Setup!$C$5-Setup!$C$6,"",IF(IF(ISNUMBER(Roster!$D45),Setup!$C$25&lt;=Roster!$D45,FALSE),"",IF(OR(IF(Setup!$C$15&lt;=Setup!$C$16,AND(MONTH(G45)&gt;=Setup!$C$15,MONTH(G45)&lt;=Setup!$C$16),OR(MONTH(G45)&gt;=Setup!$C$15,MONTH(G45)&lt;=Setup!$C$16)),IF(Setup!$C$15&lt;=Setup!$C$16,AND(MONTH(WORKDAY(G45,-(Setup!$C$13+Setup!$G$25),Setup!$C$39:$C$50))&gt;=Setup!$C$15,MONTH(WORKDAY(G45,-(Setup!$C$13+Setup!$G$25),Setup!$C$39:$C$50))&lt;=Setup!$C$16),OR(MONTH(WORKDAY(G45,-(Setup!$C$13+Setup!$G$25),Setup!$C$39:$C$50))&gt;=Setup!$C$15,MONTH(WORKDAY(G45,-(Setup!$C$13+Setup!$G$25),Setup!$C$39:$C$50))&lt;=Setup!$C$16))),WORKDAY(G45,-(Setup!$C$13+Setup!$G$25+Setup!$C$14),Setup!$C$39:$C$50),WORKDAY(G45,-(Setup!$C$13+Setup!$G$25),Setup!$C$39:$C$50))+(40*100+6)/10000000)))</f>
        <v/>
      </c>
      <c r="X45" t="str">
        <f>IF(H45="","",IF(H45&lt;Setup!$C$5-Setup!$C$6,"",IF(IF(ISNUMBER(Roster!$D45),Setup!$C$26&lt;=Roster!$D45,FALSE),"",IF(OR(IF(Setup!$C$15&lt;=Setup!$C$16,AND(MONTH(H45)&gt;=Setup!$C$15,MONTH(H45)&lt;=Setup!$C$16),OR(MONTH(H45)&gt;=Setup!$C$15,MONTH(H45)&lt;=Setup!$C$16)),IF(Setup!$C$15&lt;=Setup!$C$16,AND(MONTH(WORKDAY(H45,-(Setup!$C$13+Setup!$G$26),Setup!$C$39:$C$50))&gt;=Setup!$C$15,MONTH(WORKDAY(H45,-(Setup!$C$13+Setup!$G$26),Setup!$C$39:$C$50))&lt;=Setup!$C$16),OR(MONTH(WORKDAY(H45,-(Setup!$C$13+Setup!$G$26),Setup!$C$39:$C$50))&gt;=Setup!$C$15,MONTH(WORKDAY(H45,-(Setup!$C$13+Setup!$G$26),Setup!$C$39:$C$50))&lt;=Setup!$C$16))),WORKDAY(H45,-(Setup!$C$13+Setup!$G$26+Setup!$C$14),Setup!$C$39:$C$50),WORKDAY(H45,-(Setup!$C$13+Setup!$G$26),Setup!$C$39:$C$50))+(40*100+7)/10000000)))</f>
        <v/>
      </c>
      <c r="Y45" t="str">
        <f>IF(I45="","",IF(I45&lt;Setup!$C$5-Setup!$C$6,"",IF(IF(ISNUMBER(Roster!$D45),Setup!$C$27&lt;=Roster!$D45,FALSE),"",IF(OR(IF(Setup!$C$15&lt;=Setup!$C$16,AND(MONTH(I45)&gt;=Setup!$C$15,MONTH(I45)&lt;=Setup!$C$16),OR(MONTH(I45)&gt;=Setup!$C$15,MONTH(I45)&lt;=Setup!$C$16)),IF(Setup!$C$15&lt;=Setup!$C$16,AND(MONTH(WORKDAY(I45,-(Setup!$C$13+Setup!$G$27),Setup!$C$39:$C$50))&gt;=Setup!$C$15,MONTH(WORKDAY(I45,-(Setup!$C$13+Setup!$G$27),Setup!$C$39:$C$50))&lt;=Setup!$C$16),OR(MONTH(WORKDAY(I45,-(Setup!$C$13+Setup!$G$27),Setup!$C$39:$C$50))&gt;=Setup!$C$15,MONTH(WORKDAY(I45,-(Setup!$C$13+Setup!$G$27),Setup!$C$39:$C$50))&lt;=Setup!$C$16))),WORKDAY(I45,-(Setup!$C$13+Setup!$G$27+Setup!$C$14),Setup!$C$39:$C$50),WORKDAY(I45,-(Setup!$C$13+Setup!$G$27),Setup!$C$39:$C$50))+(40*100+8)/10000000)))</f>
        <v/>
      </c>
      <c r="Z45" t="str">
        <f>IF(J45="","",IF(J45&lt;Setup!$C$5-Setup!$C$6,"",IF(IF(ISNUMBER(Roster!$D45),Setup!$C$28&lt;=Roster!$D45,FALSE),"",IF(OR(IF(Setup!$C$15&lt;=Setup!$C$16,AND(MONTH(J45)&gt;=Setup!$C$15,MONTH(J45)&lt;=Setup!$C$16),OR(MONTH(J45)&gt;=Setup!$C$15,MONTH(J45)&lt;=Setup!$C$16)),IF(Setup!$C$15&lt;=Setup!$C$16,AND(MONTH(WORKDAY(J45,-(Setup!$C$13+Setup!$G$28),Setup!$C$39:$C$50))&gt;=Setup!$C$15,MONTH(WORKDAY(J45,-(Setup!$C$13+Setup!$G$28),Setup!$C$39:$C$50))&lt;=Setup!$C$16),OR(MONTH(WORKDAY(J45,-(Setup!$C$13+Setup!$G$28),Setup!$C$39:$C$50))&gt;=Setup!$C$15,MONTH(WORKDAY(J45,-(Setup!$C$13+Setup!$G$28),Setup!$C$39:$C$50))&lt;=Setup!$C$16))),WORKDAY(J45,-(Setup!$C$13+Setup!$G$28+Setup!$C$14),Setup!$C$39:$C$50),WORKDAY(J45,-(Setup!$C$13+Setup!$G$28),Setup!$C$39:$C$50))+(40*100+9)/10000000)))</f>
        <v/>
      </c>
      <c r="AA45" t="str">
        <f>IF(K45="","",IF(K45&lt;Setup!$C$5-Setup!$C$6,"",IF(IF(ISNUMBER(Roster!$D45),Setup!$C$29&lt;=Roster!$D45,FALSE),"",IF(OR(IF(Setup!$C$15&lt;=Setup!$C$16,AND(MONTH(K45)&gt;=Setup!$C$15,MONTH(K45)&lt;=Setup!$C$16),OR(MONTH(K45)&gt;=Setup!$C$15,MONTH(K45)&lt;=Setup!$C$16)),IF(Setup!$C$15&lt;=Setup!$C$16,AND(MONTH(WORKDAY(K45,-(Setup!$C$13+Setup!$G$29),Setup!$C$39:$C$50))&gt;=Setup!$C$15,MONTH(WORKDAY(K45,-(Setup!$C$13+Setup!$G$29),Setup!$C$39:$C$50))&lt;=Setup!$C$16),OR(MONTH(WORKDAY(K45,-(Setup!$C$13+Setup!$G$29),Setup!$C$39:$C$50))&gt;=Setup!$C$15,MONTH(WORKDAY(K45,-(Setup!$C$13+Setup!$G$29),Setup!$C$39:$C$50))&lt;=Setup!$C$16))),WORKDAY(K45,-(Setup!$C$13+Setup!$G$29+Setup!$C$14),Setup!$C$39:$C$50),WORKDAY(K45,-(Setup!$C$13+Setup!$G$29),Setup!$C$39:$C$50))+(40*100+10)/10000000)))</f>
        <v/>
      </c>
      <c r="AB45" t="str">
        <f>IF(L45="","",IF(L45&lt;Setup!$C$5-Setup!$C$6,"",IF(IF(ISNUMBER(Roster!$D45),Setup!$C$30&lt;=Roster!$D45,FALSE),"",IF(OR(IF(Setup!$C$15&lt;=Setup!$C$16,AND(MONTH(L45)&gt;=Setup!$C$15,MONTH(L45)&lt;=Setup!$C$16),OR(MONTH(L45)&gt;=Setup!$C$15,MONTH(L45)&lt;=Setup!$C$16)),IF(Setup!$C$15&lt;=Setup!$C$16,AND(MONTH(WORKDAY(L45,-(Setup!$C$13+Setup!$G$30),Setup!$C$39:$C$50))&gt;=Setup!$C$15,MONTH(WORKDAY(L45,-(Setup!$C$13+Setup!$G$30),Setup!$C$39:$C$50))&lt;=Setup!$C$16),OR(MONTH(WORKDAY(L45,-(Setup!$C$13+Setup!$G$30),Setup!$C$39:$C$50))&gt;=Setup!$C$15,MONTH(WORKDAY(L45,-(Setup!$C$13+Setup!$G$30),Setup!$C$39:$C$50))&lt;=Setup!$C$16))),WORKDAY(L45,-(Setup!$C$13+Setup!$G$30+Setup!$C$14),Setup!$C$39:$C$50),WORKDAY(L45,-(Setup!$C$13+Setup!$G$30),Setup!$C$39:$C$50))+(40*100+11)/10000000)))</f>
        <v/>
      </c>
      <c r="AC45" t="str">
        <f>IF(M45="","",IF(M45&lt;Setup!$C$5-Setup!$C$6,"",IF(IF(ISNUMBER(Roster!$D45),Setup!$C$31&lt;=Roster!$D45,FALSE),"",IF(OR(IF(Setup!$C$15&lt;=Setup!$C$16,AND(MONTH(M45)&gt;=Setup!$C$15,MONTH(M45)&lt;=Setup!$C$16),OR(MONTH(M45)&gt;=Setup!$C$15,MONTH(M45)&lt;=Setup!$C$16)),IF(Setup!$C$15&lt;=Setup!$C$16,AND(MONTH(WORKDAY(M45,-(Setup!$C$13+Setup!$G$31),Setup!$C$39:$C$50))&gt;=Setup!$C$15,MONTH(WORKDAY(M45,-(Setup!$C$13+Setup!$G$31),Setup!$C$39:$C$50))&lt;=Setup!$C$16),OR(MONTH(WORKDAY(M45,-(Setup!$C$13+Setup!$G$31),Setup!$C$39:$C$50))&gt;=Setup!$C$15,MONTH(WORKDAY(M45,-(Setup!$C$13+Setup!$G$31),Setup!$C$39:$C$50))&lt;=Setup!$C$16))),WORKDAY(M45,-(Setup!$C$13+Setup!$G$31+Setup!$C$14),Setup!$C$39:$C$50),WORKDAY(M45,-(Setup!$C$13+Setup!$G$31),Setup!$C$39:$C$50))+(40*100+12)/10000000)))</f>
        <v/>
      </c>
      <c r="AD45" t="str">
        <f>IF(N45="","",IF(N45&lt;Setup!$C$5-Setup!$C$6,"",IF(IF(ISNUMBER(Roster!$D45),Setup!$C$32&lt;=Roster!$D45,FALSE),"",IF(OR(IF(Setup!$C$15&lt;=Setup!$C$16,AND(MONTH(N45)&gt;=Setup!$C$15,MONTH(N45)&lt;=Setup!$C$16),OR(MONTH(N45)&gt;=Setup!$C$15,MONTH(N45)&lt;=Setup!$C$16)),IF(Setup!$C$15&lt;=Setup!$C$16,AND(MONTH(WORKDAY(N45,-(Setup!$C$13+Setup!$G$32),Setup!$C$39:$C$50))&gt;=Setup!$C$15,MONTH(WORKDAY(N45,-(Setup!$C$13+Setup!$G$32),Setup!$C$39:$C$50))&lt;=Setup!$C$16),OR(MONTH(WORKDAY(N45,-(Setup!$C$13+Setup!$G$32),Setup!$C$39:$C$50))&gt;=Setup!$C$15,MONTH(WORKDAY(N45,-(Setup!$C$13+Setup!$G$32),Setup!$C$39:$C$50))&lt;=Setup!$C$16))),WORKDAY(N45,-(Setup!$C$13+Setup!$G$32+Setup!$C$14),Setup!$C$39:$C$50),WORKDAY(N45,-(Setup!$C$13+Setup!$G$32),Setup!$C$39:$C$50))+(40*100+13)/10000000)))</f>
        <v/>
      </c>
      <c r="AE45" t="str">
        <f>IF(O45="","",IF(O45&lt;Setup!$C$5-Setup!$C$6,"",IF(IF(ISNUMBER(Roster!$D45),Setup!$C$33&lt;=Roster!$D45,FALSE),"",IF(OR(IF(Setup!$C$15&lt;=Setup!$C$16,AND(MONTH(O45)&gt;=Setup!$C$15,MONTH(O45)&lt;=Setup!$C$16),OR(MONTH(O45)&gt;=Setup!$C$15,MONTH(O45)&lt;=Setup!$C$16)),IF(Setup!$C$15&lt;=Setup!$C$16,AND(MONTH(WORKDAY(O45,-(Setup!$C$13+Setup!$G$33),Setup!$C$39:$C$50))&gt;=Setup!$C$15,MONTH(WORKDAY(O45,-(Setup!$C$13+Setup!$G$33),Setup!$C$39:$C$50))&lt;=Setup!$C$16),OR(MONTH(WORKDAY(O45,-(Setup!$C$13+Setup!$G$33),Setup!$C$39:$C$50))&gt;=Setup!$C$15,MONTH(WORKDAY(O45,-(Setup!$C$13+Setup!$G$33),Setup!$C$39:$C$50))&lt;=Setup!$C$16))),WORKDAY(O45,-(Setup!$C$13+Setup!$G$33+Setup!$C$14),Setup!$C$39:$C$50),WORKDAY(O45,-(Setup!$C$13+Setup!$G$33),Setup!$C$39:$C$50))+(40*100+14)/10000000)))</f>
        <v/>
      </c>
      <c r="AF45" t="str">
        <f>IF(P45="","",IF(P45&lt;Setup!$C$5-Setup!$C$6,"",IF(IF(ISNUMBER(Roster!$D45),Setup!$C$34&lt;=Roster!$D45,FALSE),"",IF(OR(IF(Setup!$C$15&lt;=Setup!$C$16,AND(MONTH(P45)&gt;=Setup!$C$15,MONTH(P45)&lt;=Setup!$C$16),OR(MONTH(P45)&gt;=Setup!$C$15,MONTH(P45)&lt;=Setup!$C$16)),IF(Setup!$C$15&lt;=Setup!$C$16,AND(MONTH(WORKDAY(P45,-(Setup!$C$13+Setup!$G$34),Setup!$C$39:$C$50))&gt;=Setup!$C$15,MONTH(WORKDAY(P45,-(Setup!$C$13+Setup!$G$34),Setup!$C$39:$C$50))&lt;=Setup!$C$16),OR(MONTH(WORKDAY(P45,-(Setup!$C$13+Setup!$G$34),Setup!$C$39:$C$50))&gt;=Setup!$C$15,MONTH(WORKDAY(P45,-(Setup!$C$13+Setup!$G$34),Setup!$C$39:$C$50))&lt;=Setup!$C$16))),WORKDAY(P45,-(Setup!$C$13+Setup!$G$34+Setup!$C$14),Setup!$C$39:$C$50),WORKDAY(P45,-(Setup!$C$13+Setup!$G$34),Setup!$C$39:$C$50))+(40*100+15)/10000000)))</f>
        <v/>
      </c>
      <c r="AH45" t="str">
        <f t="shared" si="0"/>
        <v/>
      </c>
      <c r="AI45" t="str">
        <f t="shared" si="1"/>
        <v/>
      </c>
      <c r="AK45" t="str">
        <f ca="1">IF(40&gt;$AK$2,"",SMALL($R$6:$AF$505,40))</f>
        <v/>
      </c>
      <c r="AL45" t="str">
        <f t="shared" ca="1" si="2"/>
        <v/>
      </c>
      <c r="AM45" t="str">
        <f t="shared" ca="1" si="3"/>
        <v/>
      </c>
      <c r="AN45" t="str">
        <f t="shared" ca="1" si="4"/>
        <v/>
      </c>
      <c r="AP45" t="str">
        <f>IF(ISNUMBER(Roster!$B45),MAX(1,YEAR(Setup!$C$5)-YEAR(Roster!$B45)+IF(EDATE(Roster!$B45,12*(YEAR(Setup!$C$5)-YEAR(Roster!$B45)))&lt;Setup!$C$5,1,0)),"")</f>
        <v/>
      </c>
      <c r="AQ45" s="32" t="str">
        <f>IF(AP45="","",EDATE(Roster!$B45,12*AP45))</f>
        <v/>
      </c>
      <c r="AR45" t="str">
        <f>IF(AQ45="","",IF(AQ45&lt;DATE(YEAR(Setup!$C$5)+1,MONTH(Setup!$C$5),DAY(Setup!$C$5)),AQ45+40/1000,""))</f>
        <v/>
      </c>
      <c r="AS45" t="str">
        <f t="shared" si="5"/>
        <v/>
      </c>
      <c r="AT45" t="str">
        <f>IF(AS45="","",IF(ISNUMBER(Roster!$D45),Roster!$D45&gt;=AP45,FALSE))</f>
        <v/>
      </c>
      <c r="AU45" t="str">
        <f t="shared" si="6"/>
        <v/>
      </c>
      <c r="AV45" t="str">
        <f ca="1">IF(40&gt;$AV$2,"",SMALL($AR$6:$AR$505,40))</f>
        <v/>
      </c>
      <c r="AW45" t="str">
        <f t="shared" ca="1" si="7"/>
        <v/>
      </c>
    </row>
    <row r="46" spans="2:52" x14ac:dyDescent="0.2">
      <c r="B46" s="32" t="str">
        <f>IF(AND(ISNUMBER(Roster!$B46),Setup!$B$20="Yes",ISNUMBER(Setup!$C$20)),EDATE(Roster!$B46,12*Setup!$C$20),"")</f>
        <v/>
      </c>
      <c r="C46" s="32" t="str">
        <f>IF(AND(ISNUMBER(Roster!$B46),Setup!$B$21="Yes",ISNUMBER(Setup!$C$21)),EDATE(Roster!$B46,12*Setup!$C$21),"")</f>
        <v/>
      </c>
      <c r="D46" s="32" t="str">
        <f>IF(AND(ISNUMBER(Roster!$B46),Setup!$B$22="Yes",ISNUMBER(Setup!$C$22)),EDATE(Roster!$B46,12*Setup!$C$22),"")</f>
        <v/>
      </c>
      <c r="E46" s="32" t="str">
        <f>IF(AND(ISNUMBER(Roster!$B46),Setup!$B$23="Yes",ISNUMBER(Setup!$C$23)),EDATE(Roster!$B46,12*Setup!$C$23),"")</f>
        <v/>
      </c>
      <c r="F46" s="32" t="str">
        <f>IF(AND(ISNUMBER(Roster!$B46),Setup!$B$24="Yes",ISNUMBER(Setup!$C$24)),EDATE(Roster!$B46,12*Setup!$C$24),"")</f>
        <v/>
      </c>
      <c r="G46" s="32" t="str">
        <f>IF(AND(ISNUMBER(Roster!$B46),Setup!$B$25="Yes",ISNUMBER(Setup!$C$25)),EDATE(Roster!$B46,12*Setup!$C$25),"")</f>
        <v/>
      </c>
      <c r="H46" s="32" t="str">
        <f>IF(AND(ISNUMBER(Roster!$B46),Setup!$B$26="Yes",ISNUMBER(Setup!$C$26)),EDATE(Roster!$B46,12*Setup!$C$26),"")</f>
        <v/>
      </c>
      <c r="I46" s="32" t="str">
        <f>IF(AND(ISNUMBER(Roster!$B46),Setup!$B$27="Yes",ISNUMBER(Setup!$C$27)),EDATE(Roster!$B46,12*Setup!$C$27),"")</f>
        <v/>
      </c>
      <c r="J46" s="32" t="str">
        <f>IF(AND(ISNUMBER(Roster!$B46),Setup!$B$28="Yes",ISNUMBER(Setup!$C$28)),EDATE(Roster!$B46,12*Setup!$C$28),"")</f>
        <v/>
      </c>
      <c r="K46" s="32" t="str">
        <f>IF(AND(ISNUMBER(Roster!$B46),Setup!$B$29="Yes",ISNUMBER(Setup!$C$29)),EDATE(Roster!$B46,12*Setup!$C$29),"")</f>
        <v/>
      </c>
      <c r="L46" s="32" t="str">
        <f>IF(AND(ISNUMBER(Roster!$B46),Setup!$B$30="Yes",ISNUMBER(Setup!$C$30)),EDATE(Roster!$B46,12*Setup!$C$30),"")</f>
        <v/>
      </c>
      <c r="M46" s="32" t="str">
        <f>IF(AND(ISNUMBER(Roster!$B46),Setup!$B$31="Yes",ISNUMBER(Setup!$C$31)),EDATE(Roster!$B46,12*Setup!$C$31),"")</f>
        <v/>
      </c>
      <c r="N46" s="32" t="str">
        <f>IF(AND(ISNUMBER(Roster!$B46),Setup!$B$32="Yes",ISNUMBER(Setup!$C$32)),EDATE(Roster!$B46,12*Setup!$C$32),"")</f>
        <v/>
      </c>
      <c r="O46" s="32" t="str">
        <f>IF(AND(ISNUMBER(Roster!$B46),Setup!$B$33="Yes",ISNUMBER(Setup!$C$33)),EDATE(Roster!$B46,12*Setup!$C$33),"")</f>
        <v/>
      </c>
      <c r="P46" s="32" t="str">
        <f>IF(AND(ISNUMBER(Roster!$B46),Setup!$B$34="Yes",ISNUMBER(Setup!$C$34)),EDATE(Roster!$B46,12*Setup!$C$34),"")</f>
        <v/>
      </c>
      <c r="R46" t="str">
        <f>IF(B46="","",IF(B46&lt;Setup!$C$5-Setup!$C$6,"",IF(IF(ISNUMBER(Roster!$D46),Setup!$C$20&lt;=Roster!$D46,FALSE),"",IF(OR(IF(Setup!$C$15&lt;=Setup!$C$16,AND(MONTH(B46)&gt;=Setup!$C$15,MONTH(B46)&lt;=Setup!$C$16),OR(MONTH(B46)&gt;=Setup!$C$15,MONTH(B46)&lt;=Setup!$C$16)),IF(Setup!$C$15&lt;=Setup!$C$16,AND(MONTH(WORKDAY(B46,-(Setup!$C$13+Setup!$G$20),Setup!$C$39:$C$50))&gt;=Setup!$C$15,MONTH(WORKDAY(B46,-(Setup!$C$13+Setup!$G$20),Setup!$C$39:$C$50))&lt;=Setup!$C$16),OR(MONTH(WORKDAY(B46,-(Setup!$C$13+Setup!$G$20),Setup!$C$39:$C$50))&gt;=Setup!$C$15,MONTH(WORKDAY(B46,-(Setup!$C$13+Setup!$G$20),Setup!$C$39:$C$50))&lt;=Setup!$C$16))),WORKDAY(B46,-(Setup!$C$13+Setup!$G$20+Setup!$C$14),Setup!$C$39:$C$50),WORKDAY(B46,-(Setup!$C$13+Setup!$G$20),Setup!$C$39:$C$50))+(41*100+1)/10000000)))</f>
        <v/>
      </c>
      <c r="S46" t="str">
        <f>IF(C46="","",IF(C46&lt;Setup!$C$5-Setup!$C$6,"",IF(IF(ISNUMBER(Roster!$D46),Setup!$C$21&lt;=Roster!$D46,FALSE),"",IF(OR(IF(Setup!$C$15&lt;=Setup!$C$16,AND(MONTH(C46)&gt;=Setup!$C$15,MONTH(C46)&lt;=Setup!$C$16),OR(MONTH(C46)&gt;=Setup!$C$15,MONTH(C46)&lt;=Setup!$C$16)),IF(Setup!$C$15&lt;=Setup!$C$16,AND(MONTH(WORKDAY(C46,-(Setup!$C$13+Setup!$G$21),Setup!$C$39:$C$50))&gt;=Setup!$C$15,MONTH(WORKDAY(C46,-(Setup!$C$13+Setup!$G$21),Setup!$C$39:$C$50))&lt;=Setup!$C$16),OR(MONTH(WORKDAY(C46,-(Setup!$C$13+Setup!$G$21),Setup!$C$39:$C$50))&gt;=Setup!$C$15,MONTH(WORKDAY(C46,-(Setup!$C$13+Setup!$G$21),Setup!$C$39:$C$50))&lt;=Setup!$C$16))),WORKDAY(C46,-(Setup!$C$13+Setup!$G$21+Setup!$C$14),Setup!$C$39:$C$50),WORKDAY(C46,-(Setup!$C$13+Setup!$G$21),Setup!$C$39:$C$50))+(41*100+2)/10000000)))</f>
        <v/>
      </c>
      <c r="T46" t="str">
        <f>IF(D46="","",IF(D46&lt;Setup!$C$5-Setup!$C$6,"",IF(IF(ISNUMBER(Roster!$D46),Setup!$C$22&lt;=Roster!$D46,FALSE),"",IF(OR(IF(Setup!$C$15&lt;=Setup!$C$16,AND(MONTH(D46)&gt;=Setup!$C$15,MONTH(D46)&lt;=Setup!$C$16),OR(MONTH(D46)&gt;=Setup!$C$15,MONTH(D46)&lt;=Setup!$C$16)),IF(Setup!$C$15&lt;=Setup!$C$16,AND(MONTH(WORKDAY(D46,-(Setup!$C$13+Setup!$G$22),Setup!$C$39:$C$50))&gt;=Setup!$C$15,MONTH(WORKDAY(D46,-(Setup!$C$13+Setup!$G$22),Setup!$C$39:$C$50))&lt;=Setup!$C$16),OR(MONTH(WORKDAY(D46,-(Setup!$C$13+Setup!$G$22),Setup!$C$39:$C$50))&gt;=Setup!$C$15,MONTH(WORKDAY(D46,-(Setup!$C$13+Setup!$G$22),Setup!$C$39:$C$50))&lt;=Setup!$C$16))),WORKDAY(D46,-(Setup!$C$13+Setup!$G$22+Setup!$C$14),Setup!$C$39:$C$50),WORKDAY(D46,-(Setup!$C$13+Setup!$G$22),Setup!$C$39:$C$50))+(41*100+3)/10000000)))</f>
        <v/>
      </c>
      <c r="U46" t="str">
        <f>IF(E46="","",IF(E46&lt;Setup!$C$5-Setup!$C$6,"",IF(IF(ISNUMBER(Roster!$D46),Setup!$C$23&lt;=Roster!$D46,FALSE),"",IF(OR(IF(Setup!$C$15&lt;=Setup!$C$16,AND(MONTH(E46)&gt;=Setup!$C$15,MONTH(E46)&lt;=Setup!$C$16),OR(MONTH(E46)&gt;=Setup!$C$15,MONTH(E46)&lt;=Setup!$C$16)),IF(Setup!$C$15&lt;=Setup!$C$16,AND(MONTH(WORKDAY(E46,-(Setup!$C$13+Setup!$G$23),Setup!$C$39:$C$50))&gt;=Setup!$C$15,MONTH(WORKDAY(E46,-(Setup!$C$13+Setup!$G$23),Setup!$C$39:$C$50))&lt;=Setup!$C$16),OR(MONTH(WORKDAY(E46,-(Setup!$C$13+Setup!$G$23),Setup!$C$39:$C$50))&gt;=Setup!$C$15,MONTH(WORKDAY(E46,-(Setup!$C$13+Setup!$G$23),Setup!$C$39:$C$50))&lt;=Setup!$C$16))),WORKDAY(E46,-(Setup!$C$13+Setup!$G$23+Setup!$C$14),Setup!$C$39:$C$50),WORKDAY(E46,-(Setup!$C$13+Setup!$G$23),Setup!$C$39:$C$50))+(41*100+4)/10000000)))</f>
        <v/>
      </c>
      <c r="V46" t="str">
        <f>IF(F46="","",IF(F46&lt;Setup!$C$5-Setup!$C$6,"",IF(IF(ISNUMBER(Roster!$D46),Setup!$C$24&lt;=Roster!$D46,FALSE),"",IF(OR(IF(Setup!$C$15&lt;=Setup!$C$16,AND(MONTH(F46)&gt;=Setup!$C$15,MONTH(F46)&lt;=Setup!$C$16),OR(MONTH(F46)&gt;=Setup!$C$15,MONTH(F46)&lt;=Setup!$C$16)),IF(Setup!$C$15&lt;=Setup!$C$16,AND(MONTH(WORKDAY(F46,-(Setup!$C$13+Setup!$G$24),Setup!$C$39:$C$50))&gt;=Setup!$C$15,MONTH(WORKDAY(F46,-(Setup!$C$13+Setup!$G$24),Setup!$C$39:$C$50))&lt;=Setup!$C$16),OR(MONTH(WORKDAY(F46,-(Setup!$C$13+Setup!$G$24),Setup!$C$39:$C$50))&gt;=Setup!$C$15,MONTH(WORKDAY(F46,-(Setup!$C$13+Setup!$G$24),Setup!$C$39:$C$50))&lt;=Setup!$C$16))),WORKDAY(F46,-(Setup!$C$13+Setup!$G$24+Setup!$C$14),Setup!$C$39:$C$50),WORKDAY(F46,-(Setup!$C$13+Setup!$G$24),Setup!$C$39:$C$50))+(41*100+5)/10000000)))</f>
        <v/>
      </c>
      <c r="W46" t="str">
        <f>IF(G46="","",IF(G46&lt;Setup!$C$5-Setup!$C$6,"",IF(IF(ISNUMBER(Roster!$D46),Setup!$C$25&lt;=Roster!$D46,FALSE),"",IF(OR(IF(Setup!$C$15&lt;=Setup!$C$16,AND(MONTH(G46)&gt;=Setup!$C$15,MONTH(G46)&lt;=Setup!$C$16),OR(MONTH(G46)&gt;=Setup!$C$15,MONTH(G46)&lt;=Setup!$C$16)),IF(Setup!$C$15&lt;=Setup!$C$16,AND(MONTH(WORKDAY(G46,-(Setup!$C$13+Setup!$G$25),Setup!$C$39:$C$50))&gt;=Setup!$C$15,MONTH(WORKDAY(G46,-(Setup!$C$13+Setup!$G$25),Setup!$C$39:$C$50))&lt;=Setup!$C$16),OR(MONTH(WORKDAY(G46,-(Setup!$C$13+Setup!$G$25),Setup!$C$39:$C$50))&gt;=Setup!$C$15,MONTH(WORKDAY(G46,-(Setup!$C$13+Setup!$G$25),Setup!$C$39:$C$50))&lt;=Setup!$C$16))),WORKDAY(G46,-(Setup!$C$13+Setup!$G$25+Setup!$C$14),Setup!$C$39:$C$50),WORKDAY(G46,-(Setup!$C$13+Setup!$G$25),Setup!$C$39:$C$50))+(41*100+6)/10000000)))</f>
        <v/>
      </c>
      <c r="X46" t="str">
        <f>IF(H46="","",IF(H46&lt;Setup!$C$5-Setup!$C$6,"",IF(IF(ISNUMBER(Roster!$D46),Setup!$C$26&lt;=Roster!$D46,FALSE),"",IF(OR(IF(Setup!$C$15&lt;=Setup!$C$16,AND(MONTH(H46)&gt;=Setup!$C$15,MONTH(H46)&lt;=Setup!$C$16),OR(MONTH(H46)&gt;=Setup!$C$15,MONTH(H46)&lt;=Setup!$C$16)),IF(Setup!$C$15&lt;=Setup!$C$16,AND(MONTH(WORKDAY(H46,-(Setup!$C$13+Setup!$G$26),Setup!$C$39:$C$50))&gt;=Setup!$C$15,MONTH(WORKDAY(H46,-(Setup!$C$13+Setup!$G$26),Setup!$C$39:$C$50))&lt;=Setup!$C$16),OR(MONTH(WORKDAY(H46,-(Setup!$C$13+Setup!$G$26),Setup!$C$39:$C$50))&gt;=Setup!$C$15,MONTH(WORKDAY(H46,-(Setup!$C$13+Setup!$G$26),Setup!$C$39:$C$50))&lt;=Setup!$C$16))),WORKDAY(H46,-(Setup!$C$13+Setup!$G$26+Setup!$C$14),Setup!$C$39:$C$50),WORKDAY(H46,-(Setup!$C$13+Setup!$G$26),Setup!$C$39:$C$50))+(41*100+7)/10000000)))</f>
        <v/>
      </c>
      <c r="Y46" t="str">
        <f>IF(I46="","",IF(I46&lt;Setup!$C$5-Setup!$C$6,"",IF(IF(ISNUMBER(Roster!$D46),Setup!$C$27&lt;=Roster!$D46,FALSE),"",IF(OR(IF(Setup!$C$15&lt;=Setup!$C$16,AND(MONTH(I46)&gt;=Setup!$C$15,MONTH(I46)&lt;=Setup!$C$16),OR(MONTH(I46)&gt;=Setup!$C$15,MONTH(I46)&lt;=Setup!$C$16)),IF(Setup!$C$15&lt;=Setup!$C$16,AND(MONTH(WORKDAY(I46,-(Setup!$C$13+Setup!$G$27),Setup!$C$39:$C$50))&gt;=Setup!$C$15,MONTH(WORKDAY(I46,-(Setup!$C$13+Setup!$G$27),Setup!$C$39:$C$50))&lt;=Setup!$C$16),OR(MONTH(WORKDAY(I46,-(Setup!$C$13+Setup!$G$27),Setup!$C$39:$C$50))&gt;=Setup!$C$15,MONTH(WORKDAY(I46,-(Setup!$C$13+Setup!$G$27),Setup!$C$39:$C$50))&lt;=Setup!$C$16))),WORKDAY(I46,-(Setup!$C$13+Setup!$G$27+Setup!$C$14),Setup!$C$39:$C$50),WORKDAY(I46,-(Setup!$C$13+Setup!$G$27),Setup!$C$39:$C$50))+(41*100+8)/10000000)))</f>
        <v/>
      </c>
      <c r="Z46" t="str">
        <f>IF(J46="","",IF(J46&lt;Setup!$C$5-Setup!$C$6,"",IF(IF(ISNUMBER(Roster!$D46),Setup!$C$28&lt;=Roster!$D46,FALSE),"",IF(OR(IF(Setup!$C$15&lt;=Setup!$C$16,AND(MONTH(J46)&gt;=Setup!$C$15,MONTH(J46)&lt;=Setup!$C$16),OR(MONTH(J46)&gt;=Setup!$C$15,MONTH(J46)&lt;=Setup!$C$16)),IF(Setup!$C$15&lt;=Setup!$C$16,AND(MONTH(WORKDAY(J46,-(Setup!$C$13+Setup!$G$28),Setup!$C$39:$C$50))&gt;=Setup!$C$15,MONTH(WORKDAY(J46,-(Setup!$C$13+Setup!$G$28),Setup!$C$39:$C$50))&lt;=Setup!$C$16),OR(MONTH(WORKDAY(J46,-(Setup!$C$13+Setup!$G$28),Setup!$C$39:$C$50))&gt;=Setup!$C$15,MONTH(WORKDAY(J46,-(Setup!$C$13+Setup!$G$28),Setup!$C$39:$C$50))&lt;=Setup!$C$16))),WORKDAY(J46,-(Setup!$C$13+Setup!$G$28+Setup!$C$14),Setup!$C$39:$C$50),WORKDAY(J46,-(Setup!$C$13+Setup!$G$28),Setup!$C$39:$C$50))+(41*100+9)/10000000)))</f>
        <v/>
      </c>
      <c r="AA46" t="str">
        <f>IF(K46="","",IF(K46&lt;Setup!$C$5-Setup!$C$6,"",IF(IF(ISNUMBER(Roster!$D46),Setup!$C$29&lt;=Roster!$D46,FALSE),"",IF(OR(IF(Setup!$C$15&lt;=Setup!$C$16,AND(MONTH(K46)&gt;=Setup!$C$15,MONTH(K46)&lt;=Setup!$C$16),OR(MONTH(K46)&gt;=Setup!$C$15,MONTH(K46)&lt;=Setup!$C$16)),IF(Setup!$C$15&lt;=Setup!$C$16,AND(MONTH(WORKDAY(K46,-(Setup!$C$13+Setup!$G$29),Setup!$C$39:$C$50))&gt;=Setup!$C$15,MONTH(WORKDAY(K46,-(Setup!$C$13+Setup!$G$29),Setup!$C$39:$C$50))&lt;=Setup!$C$16),OR(MONTH(WORKDAY(K46,-(Setup!$C$13+Setup!$G$29),Setup!$C$39:$C$50))&gt;=Setup!$C$15,MONTH(WORKDAY(K46,-(Setup!$C$13+Setup!$G$29),Setup!$C$39:$C$50))&lt;=Setup!$C$16))),WORKDAY(K46,-(Setup!$C$13+Setup!$G$29+Setup!$C$14),Setup!$C$39:$C$50),WORKDAY(K46,-(Setup!$C$13+Setup!$G$29),Setup!$C$39:$C$50))+(41*100+10)/10000000)))</f>
        <v/>
      </c>
      <c r="AB46" t="str">
        <f>IF(L46="","",IF(L46&lt;Setup!$C$5-Setup!$C$6,"",IF(IF(ISNUMBER(Roster!$D46),Setup!$C$30&lt;=Roster!$D46,FALSE),"",IF(OR(IF(Setup!$C$15&lt;=Setup!$C$16,AND(MONTH(L46)&gt;=Setup!$C$15,MONTH(L46)&lt;=Setup!$C$16),OR(MONTH(L46)&gt;=Setup!$C$15,MONTH(L46)&lt;=Setup!$C$16)),IF(Setup!$C$15&lt;=Setup!$C$16,AND(MONTH(WORKDAY(L46,-(Setup!$C$13+Setup!$G$30),Setup!$C$39:$C$50))&gt;=Setup!$C$15,MONTH(WORKDAY(L46,-(Setup!$C$13+Setup!$G$30),Setup!$C$39:$C$50))&lt;=Setup!$C$16),OR(MONTH(WORKDAY(L46,-(Setup!$C$13+Setup!$G$30),Setup!$C$39:$C$50))&gt;=Setup!$C$15,MONTH(WORKDAY(L46,-(Setup!$C$13+Setup!$G$30),Setup!$C$39:$C$50))&lt;=Setup!$C$16))),WORKDAY(L46,-(Setup!$C$13+Setup!$G$30+Setup!$C$14),Setup!$C$39:$C$50),WORKDAY(L46,-(Setup!$C$13+Setup!$G$30),Setup!$C$39:$C$50))+(41*100+11)/10000000)))</f>
        <v/>
      </c>
      <c r="AC46" t="str">
        <f>IF(M46="","",IF(M46&lt;Setup!$C$5-Setup!$C$6,"",IF(IF(ISNUMBER(Roster!$D46),Setup!$C$31&lt;=Roster!$D46,FALSE),"",IF(OR(IF(Setup!$C$15&lt;=Setup!$C$16,AND(MONTH(M46)&gt;=Setup!$C$15,MONTH(M46)&lt;=Setup!$C$16),OR(MONTH(M46)&gt;=Setup!$C$15,MONTH(M46)&lt;=Setup!$C$16)),IF(Setup!$C$15&lt;=Setup!$C$16,AND(MONTH(WORKDAY(M46,-(Setup!$C$13+Setup!$G$31),Setup!$C$39:$C$50))&gt;=Setup!$C$15,MONTH(WORKDAY(M46,-(Setup!$C$13+Setup!$G$31),Setup!$C$39:$C$50))&lt;=Setup!$C$16),OR(MONTH(WORKDAY(M46,-(Setup!$C$13+Setup!$G$31),Setup!$C$39:$C$50))&gt;=Setup!$C$15,MONTH(WORKDAY(M46,-(Setup!$C$13+Setup!$G$31),Setup!$C$39:$C$50))&lt;=Setup!$C$16))),WORKDAY(M46,-(Setup!$C$13+Setup!$G$31+Setup!$C$14),Setup!$C$39:$C$50),WORKDAY(M46,-(Setup!$C$13+Setup!$G$31),Setup!$C$39:$C$50))+(41*100+12)/10000000)))</f>
        <v/>
      </c>
      <c r="AD46" t="str">
        <f>IF(N46="","",IF(N46&lt;Setup!$C$5-Setup!$C$6,"",IF(IF(ISNUMBER(Roster!$D46),Setup!$C$32&lt;=Roster!$D46,FALSE),"",IF(OR(IF(Setup!$C$15&lt;=Setup!$C$16,AND(MONTH(N46)&gt;=Setup!$C$15,MONTH(N46)&lt;=Setup!$C$16),OR(MONTH(N46)&gt;=Setup!$C$15,MONTH(N46)&lt;=Setup!$C$16)),IF(Setup!$C$15&lt;=Setup!$C$16,AND(MONTH(WORKDAY(N46,-(Setup!$C$13+Setup!$G$32),Setup!$C$39:$C$50))&gt;=Setup!$C$15,MONTH(WORKDAY(N46,-(Setup!$C$13+Setup!$G$32),Setup!$C$39:$C$50))&lt;=Setup!$C$16),OR(MONTH(WORKDAY(N46,-(Setup!$C$13+Setup!$G$32),Setup!$C$39:$C$50))&gt;=Setup!$C$15,MONTH(WORKDAY(N46,-(Setup!$C$13+Setup!$G$32),Setup!$C$39:$C$50))&lt;=Setup!$C$16))),WORKDAY(N46,-(Setup!$C$13+Setup!$G$32+Setup!$C$14),Setup!$C$39:$C$50),WORKDAY(N46,-(Setup!$C$13+Setup!$G$32),Setup!$C$39:$C$50))+(41*100+13)/10000000)))</f>
        <v/>
      </c>
      <c r="AE46" t="str">
        <f>IF(O46="","",IF(O46&lt;Setup!$C$5-Setup!$C$6,"",IF(IF(ISNUMBER(Roster!$D46),Setup!$C$33&lt;=Roster!$D46,FALSE),"",IF(OR(IF(Setup!$C$15&lt;=Setup!$C$16,AND(MONTH(O46)&gt;=Setup!$C$15,MONTH(O46)&lt;=Setup!$C$16),OR(MONTH(O46)&gt;=Setup!$C$15,MONTH(O46)&lt;=Setup!$C$16)),IF(Setup!$C$15&lt;=Setup!$C$16,AND(MONTH(WORKDAY(O46,-(Setup!$C$13+Setup!$G$33),Setup!$C$39:$C$50))&gt;=Setup!$C$15,MONTH(WORKDAY(O46,-(Setup!$C$13+Setup!$G$33),Setup!$C$39:$C$50))&lt;=Setup!$C$16),OR(MONTH(WORKDAY(O46,-(Setup!$C$13+Setup!$G$33),Setup!$C$39:$C$50))&gt;=Setup!$C$15,MONTH(WORKDAY(O46,-(Setup!$C$13+Setup!$G$33),Setup!$C$39:$C$50))&lt;=Setup!$C$16))),WORKDAY(O46,-(Setup!$C$13+Setup!$G$33+Setup!$C$14),Setup!$C$39:$C$50),WORKDAY(O46,-(Setup!$C$13+Setup!$G$33),Setup!$C$39:$C$50))+(41*100+14)/10000000)))</f>
        <v/>
      </c>
      <c r="AF46" t="str">
        <f>IF(P46="","",IF(P46&lt;Setup!$C$5-Setup!$C$6,"",IF(IF(ISNUMBER(Roster!$D46),Setup!$C$34&lt;=Roster!$D46,FALSE),"",IF(OR(IF(Setup!$C$15&lt;=Setup!$C$16,AND(MONTH(P46)&gt;=Setup!$C$15,MONTH(P46)&lt;=Setup!$C$16),OR(MONTH(P46)&gt;=Setup!$C$15,MONTH(P46)&lt;=Setup!$C$16)),IF(Setup!$C$15&lt;=Setup!$C$16,AND(MONTH(WORKDAY(P46,-(Setup!$C$13+Setup!$G$34),Setup!$C$39:$C$50))&gt;=Setup!$C$15,MONTH(WORKDAY(P46,-(Setup!$C$13+Setup!$G$34),Setup!$C$39:$C$50))&lt;=Setup!$C$16),OR(MONTH(WORKDAY(P46,-(Setup!$C$13+Setup!$G$34),Setup!$C$39:$C$50))&gt;=Setup!$C$15,MONTH(WORKDAY(P46,-(Setup!$C$13+Setup!$G$34),Setup!$C$39:$C$50))&lt;=Setup!$C$16))),WORKDAY(P46,-(Setup!$C$13+Setup!$G$34+Setup!$C$14),Setup!$C$39:$C$50),WORKDAY(P46,-(Setup!$C$13+Setup!$G$34),Setup!$C$39:$C$50))+(41*100+15)/10000000)))</f>
        <v/>
      </c>
      <c r="AH46" t="str">
        <f t="shared" si="0"/>
        <v/>
      </c>
      <c r="AI46" t="str">
        <f t="shared" si="1"/>
        <v/>
      </c>
      <c r="AK46" t="str">
        <f ca="1">IF(41&gt;$AK$2,"",SMALL($R$6:$AF$505,41))</f>
        <v/>
      </c>
      <c r="AL46" t="str">
        <f t="shared" ca="1" si="2"/>
        <v/>
      </c>
      <c r="AM46" t="str">
        <f t="shared" ca="1" si="3"/>
        <v/>
      </c>
      <c r="AN46" t="str">
        <f t="shared" ca="1" si="4"/>
        <v/>
      </c>
      <c r="AP46" t="str">
        <f>IF(ISNUMBER(Roster!$B46),MAX(1,YEAR(Setup!$C$5)-YEAR(Roster!$B46)+IF(EDATE(Roster!$B46,12*(YEAR(Setup!$C$5)-YEAR(Roster!$B46)))&lt;Setup!$C$5,1,0)),"")</f>
        <v/>
      </c>
      <c r="AQ46" s="32" t="str">
        <f>IF(AP46="","",EDATE(Roster!$B46,12*AP46))</f>
        <v/>
      </c>
      <c r="AR46" t="str">
        <f>IF(AQ46="","",IF(AQ46&lt;DATE(YEAR(Setup!$C$5)+1,MONTH(Setup!$C$5),DAY(Setup!$C$5)),AQ46+41/1000,""))</f>
        <v/>
      </c>
      <c r="AS46" t="str">
        <f t="shared" si="5"/>
        <v/>
      </c>
      <c r="AT46" t="str">
        <f>IF(AS46="","",IF(ISNUMBER(Roster!$D46),Roster!$D46&gt;=AP46,FALSE))</f>
        <v/>
      </c>
      <c r="AU46" t="str">
        <f t="shared" si="6"/>
        <v/>
      </c>
      <c r="AV46" t="str">
        <f ca="1">IF(41&gt;$AV$2,"",SMALL($AR$6:$AR$505,41))</f>
        <v/>
      </c>
      <c r="AW46" t="str">
        <f t="shared" ca="1" si="7"/>
        <v/>
      </c>
    </row>
    <row r="47" spans="2:52" x14ac:dyDescent="0.2">
      <c r="B47" s="32" t="str">
        <f>IF(AND(ISNUMBER(Roster!$B47),Setup!$B$20="Yes",ISNUMBER(Setup!$C$20)),EDATE(Roster!$B47,12*Setup!$C$20),"")</f>
        <v/>
      </c>
      <c r="C47" s="32" t="str">
        <f>IF(AND(ISNUMBER(Roster!$B47),Setup!$B$21="Yes",ISNUMBER(Setup!$C$21)),EDATE(Roster!$B47,12*Setup!$C$21),"")</f>
        <v/>
      </c>
      <c r="D47" s="32" t="str">
        <f>IF(AND(ISNUMBER(Roster!$B47),Setup!$B$22="Yes",ISNUMBER(Setup!$C$22)),EDATE(Roster!$B47,12*Setup!$C$22),"")</f>
        <v/>
      </c>
      <c r="E47" s="32" t="str">
        <f>IF(AND(ISNUMBER(Roster!$B47),Setup!$B$23="Yes",ISNUMBER(Setup!$C$23)),EDATE(Roster!$B47,12*Setup!$C$23),"")</f>
        <v/>
      </c>
      <c r="F47" s="32" t="str">
        <f>IF(AND(ISNUMBER(Roster!$B47),Setup!$B$24="Yes",ISNUMBER(Setup!$C$24)),EDATE(Roster!$B47,12*Setup!$C$24),"")</f>
        <v/>
      </c>
      <c r="G47" s="32" t="str">
        <f>IF(AND(ISNUMBER(Roster!$B47),Setup!$B$25="Yes",ISNUMBER(Setup!$C$25)),EDATE(Roster!$B47,12*Setup!$C$25),"")</f>
        <v/>
      </c>
      <c r="H47" s="32" t="str">
        <f>IF(AND(ISNUMBER(Roster!$B47),Setup!$B$26="Yes",ISNUMBER(Setup!$C$26)),EDATE(Roster!$B47,12*Setup!$C$26),"")</f>
        <v/>
      </c>
      <c r="I47" s="32" t="str">
        <f>IF(AND(ISNUMBER(Roster!$B47),Setup!$B$27="Yes",ISNUMBER(Setup!$C$27)),EDATE(Roster!$B47,12*Setup!$C$27),"")</f>
        <v/>
      </c>
      <c r="J47" s="32" t="str">
        <f>IF(AND(ISNUMBER(Roster!$B47),Setup!$B$28="Yes",ISNUMBER(Setup!$C$28)),EDATE(Roster!$B47,12*Setup!$C$28),"")</f>
        <v/>
      </c>
      <c r="K47" s="32" t="str">
        <f>IF(AND(ISNUMBER(Roster!$B47),Setup!$B$29="Yes",ISNUMBER(Setup!$C$29)),EDATE(Roster!$B47,12*Setup!$C$29),"")</f>
        <v/>
      </c>
      <c r="L47" s="32" t="str">
        <f>IF(AND(ISNUMBER(Roster!$B47),Setup!$B$30="Yes",ISNUMBER(Setup!$C$30)),EDATE(Roster!$B47,12*Setup!$C$30),"")</f>
        <v/>
      </c>
      <c r="M47" s="32" t="str">
        <f>IF(AND(ISNUMBER(Roster!$B47),Setup!$B$31="Yes",ISNUMBER(Setup!$C$31)),EDATE(Roster!$B47,12*Setup!$C$31),"")</f>
        <v/>
      </c>
      <c r="N47" s="32" t="str">
        <f>IF(AND(ISNUMBER(Roster!$B47),Setup!$B$32="Yes",ISNUMBER(Setup!$C$32)),EDATE(Roster!$B47,12*Setup!$C$32),"")</f>
        <v/>
      </c>
      <c r="O47" s="32" t="str">
        <f>IF(AND(ISNUMBER(Roster!$B47),Setup!$B$33="Yes",ISNUMBER(Setup!$C$33)),EDATE(Roster!$B47,12*Setup!$C$33),"")</f>
        <v/>
      </c>
      <c r="P47" s="32" t="str">
        <f>IF(AND(ISNUMBER(Roster!$B47),Setup!$B$34="Yes",ISNUMBER(Setup!$C$34)),EDATE(Roster!$B47,12*Setup!$C$34),"")</f>
        <v/>
      </c>
      <c r="R47" t="str">
        <f>IF(B47="","",IF(B47&lt;Setup!$C$5-Setup!$C$6,"",IF(IF(ISNUMBER(Roster!$D47),Setup!$C$20&lt;=Roster!$D47,FALSE),"",IF(OR(IF(Setup!$C$15&lt;=Setup!$C$16,AND(MONTH(B47)&gt;=Setup!$C$15,MONTH(B47)&lt;=Setup!$C$16),OR(MONTH(B47)&gt;=Setup!$C$15,MONTH(B47)&lt;=Setup!$C$16)),IF(Setup!$C$15&lt;=Setup!$C$16,AND(MONTH(WORKDAY(B47,-(Setup!$C$13+Setup!$G$20),Setup!$C$39:$C$50))&gt;=Setup!$C$15,MONTH(WORKDAY(B47,-(Setup!$C$13+Setup!$G$20),Setup!$C$39:$C$50))&lt;=Setup!$C$16),OR(MONTH(WORKDAY(B47,-(Setup!$C$13+Setup!$G$20),Setup!$C$39:$C$50))&gt;=Setup!$C$15,MONTH(WORKDAY(B47,-(Setup!$C$13+Setup!$G$20),Setup!$C$39:$C$50))&lt;=Setup!$C$16))),WORKDAY(B47,-(Setup!$C$13+Setup!$G$20+Setup!$C$14),Setup!$C$39:$C$50),WORKDAY(B47,-(Setup!$C$13+Setup!$G$20),Setup!$C$39:$C$50))+(42*100+1)/10000000)))</f>
        <v/>
      </c>
      <c r="S47" t="str">
        <f>IF(C47="","",IF(C47&lt;Setup!$C$5-Setup!$C$6,"",IF(IF(ISNUMBER(Roster!$D47),Setup!$C$21&lt;=Roster!$D47,FALSE),"",IF(OR(IF(Setup!$C$15&lt;=Setup!$C$16,AND(MONTH(C47)&gt;=Setup!$C$15,MONTH(C47)&lt;=Setup!$C$16),OR(MONTH(C47)&gt;=Setup!$C$15,MONTH(C47)&lt;=Setup!$C$16)),IF(Setup!$C$15&lt;=Setup!$C$16,AND(MONTH(WORKDAY(C47,-(Setup!$C$13+Setup!$G$21),Setup!$C$39:$C$50))&gt;=Setup!$C$15,MONTH(WORKDAY(C47,-(Setup!$C$13+Setup!$G$21),Setup!$C$39:$C$50))&lt;=Setup!$C$16),OR(MONTH(WORKDAY(C47,-(Setup!$C$13+Setup!$G$21),Setup!$C$39:$C$50))&gt;=Setup!$C$15,MONTH(WORKDAY(C47,-(Setup!$C$13+Setup!$G$21),Setup!$C$39:$C$50))&lt;=Setup!$C$16))),WORKDAY(C47,-(Setup!$C$13+Setup!$G$21+Setup!$C$14),Setup!$C$39:$C$50),WORKDAY(C47,-(Setup!$C$13+Setup!$G$21),Setup!$C$39:$C$50))+(42*100+2)/10000000)))</f>
        <v/>
      </c>
      <c r="T47" t="str">
        <f>IF(D47="","",IF(D47&lt;Setup!$C$5-Setup!$C$6,"",IF(IF(ISNUMBER(Roster!$D47),Setup!$C$22&lt;=Roster!$D47,FALSE),"",IF(OR(IF(Setup!$C$15&lt;=Setup!$C$16,AND(MONTH(D47)&gt;=Setup!$C$15,MONTH(D47)&lt;=Setup!$C$16),OR(MONTH(D47)&gt;=Setup!$C$15,MONTH(D47)&lt;=Setup!$C$16)),IF(Setup!$C$15&lt;=Setup!$C$16,AND(MONTH(WORKDAY(D47,-(Setup!$C$13+Setup!$G$22),Setup!$C$39:$C$50))&gt;=Setup!$C$15,MONTH(WORKDAY(D47,-(Setup!$C$13+Setup!$G$22),Setup!$C$39:$C$50))&lt;=Setup!$C$16),OR(MONTH(WORKDAY(D47,-(Setup!$C$13+Setup!$G$22),Setup!$C$39:$C$50))&gt;=Setup!$C$15,MONTH(WORKDAY(D47,-(Setup!$C$13+Setup!$G$22),Setup!$C$39:$C$50))&lt;=Setup!$C$16))),WORKDAY(D47,-(Setup!$C$13+Setup!$G$22+Setup!$C$14),Setup!$C$39:$C$50),WORKDAY(D47,-(Setup!$C$13+Setup!$G$22),Setup!$C$39:$C$50))+(42*100+3)/10000000)))</f>
        <v/>
      </c>
      <c r="U47" t="str">
        <f>IF(E47="","",IF(E47&lt;Setup!$C$5-Setup!$C$6,"",IF(IF(ISNUMBER(Roster!$D47),Setup!$C$23&lt;=Roster!$D47,FALSE),"",IF(OR(IF(Setup!$C$15&lt;=Setup!$C$16,AND(MONTH(E47)&gt;=Setup!$C$15,MONTH(E47)&lt;=Setup!$C$16),OR(MONTH(E47)&gt;=Setup!$C$15,MONTH(E47)&lt;=Setup!$C$16)),IF(Setup!$C$15&lt;=Setup!$C$16,AND(MONTH(WORKDAY(E47,-(Setup!$C$13+Setup!$G$23),Setup!$C$39:$C$50))&gt;=Setup!$C$15,MONTH(WORKDAY(E47,-(Setup!$C$13+Setup!$G$23),Setup!$C$39:$C$50))&lt;=Setup!$C$16),OR(MONTH(WORKDAY(E47,-(Setup!$C$13+Setup!$G$23),Setup!$C$39:$C$50))&gt;=Setup!$C$15,MONTH(WORKDAY(E47,-(Setup!$C$13+Setup!$G$23),Setup!$C$39:$C$50))&lt;=Setup!$C$16))),WORKDAY(E47,-(Setup!$C$13+Setup!$G$23+Setup!$C$14),Setup!$C$39:$C$50),WORKDAY(E47,-(Setup!$C$13+Setup!$G$23),Setup!$C$39:$C$50))+(42*100+4)/10000000)))</f>
        <v/>
      </c>
      <c r="V47" t="str">
        <f>IF(F47="","",IF(F47&lt;Setup!$C$5-Setup!$C$6,"",IF(IF(ISNUMBER(Roster!$D47),Setup!$C$24&lt;=Roster!$D47,FALSE),"",IF(OR(IF(Setup!$C$15&lt;=Setup!$C$16,AND(MONTH(F47)&gt;=Setup!$C$15,MONTH(F47)&lt;=Setup!$C$16),OR(MONTH(F47)&gt;=Setup!$C$15,MONTH(F47)&lt;=Setup!$C$16)),IF(Setup!$C$15&lt;=Setup!$C$16,AND(MONTH(WORKDAY(F47,-(Setup!$C$13+Setup!$G$24),Setup!$C$39:$C$50))&gt;=Setup!$C$15,MONTH(WORKDAY(F47,-(Setup!$C$13+Setup!$G$24),Setup!$C$39:$C$50))&lt;=Setup!$C$16),OR(MONTH(WORKDAY(F47,-(Setup!$C$13+Setup!$G$24),Setup!$C$39:$C$50))&gt;=Setup!$C$15,MONTH(WORKDAY(F47,-(Setup!$C$13+Setup!$G$24),Setup!$C$39:$C$50))&lt;=Setup!$C$16))),WORKDAY(F47,-(Setup!$C$13+Setup!$G$24+Setup!$C$14),Setup!$C$39:$C$50),WORKDAY(F47,-(Setup!$C$13+Setup!$G$24),Setup!$C$39:$C$50))+(42*100+5)/10000000)))</f>
        <v/>
      </c>
      <c r="W47" t="str">
        <f>IF(G47="","",IF(G47&lt;Setup!$C$5-Setup!$C$6,"",IF(IF(ISNUMBER(Roster!$D47),Setup!$C$25&lt;=Roster!$D47,FALSE),"",IF(OR(IF(Setup!$C$15&lt;=Setup!$C$16,AND(MONTH(G47)&gt;=Setup!$C$15,MONTH(G47)&lt;=Setup!$C$16),OR(MONTH(G47)&gt;=Setup!$C$15,MONTH(G47)&lt;=Setup!$C$16)),IF(Setup!$C$15&lt;=Setup!$C$16,AND(MONTH(WORKDAY(G47,-(Setup!$C$13+Setup!$G$25),Setup!$C$39:$C$50))&gt;=Setup!$C$15,MONTH(WORKDAY(G47,-(Setup!$C$13+Setup!$G$25),Setup!$C$39:$C$50))&lt;=Setup!$C$16),OR(MONTH(WORKDAY(G47,-(Setup!$C$13+Setup!$G$25),Setup!$C$39:$C$50))&gt;=Setup!$C$15,MONTH(WORKDAY(G47,-(Setup!$C$13+Setup!$G$25),Setup!$C$39:$C$50))&lt;=Setup!$C$16))),WORKDAY(G47,-(Setup!$C$13+Setup!$G$25+Setup!$C$14),Setup!$C$39:$C$50),WORKDAY(G47,-(Setup!$C$13+Setup!$G$25),Setup!$C$39:$C$50))+(42*100+6)/10000000)))</f>
        <v/>
      </c>
      <c r="X47" t="str">
        <f>IF(H47="","",IF(H47&lt;Setup!$C$5-Setup!$C$6,"",IF(IF(ISNUMBER(Roster!$D47),Setup!$C$26&lt;=Roster!$D47,FALSE),"",IF(OR(IF(Setup!$C$15&lt;=Setup!$C$16,AND(MONTH(H47)&gt;=Setup!$C$15,MONTH(H47)&lt;=Setup!$C$16),OR(MONTH(H47)&gt;=Setup!$C$15,MONTH(H47)&lt;=Setup!$C$16)),IF(Setup!$C$15&lt;=Setup!$C$16,AND(MONTH(WORKDAY(H47,-(Setup!$C$13+Setup!$G$26),Setup!$C$39:$C$50))&gt;=Setup!$C$15,MONTH(WORKDAY(H47,-(Setup!$C$13+Setup!$G$26),Setup!$C$39:$C$50))&lt;=Setup!$C$16),OR(MONTH(WORKDAY(H47,-(Setup!$C$13+Setup!$G$26),Setup!$C$39:$C$50))&gt;=Setup!$C$15,MONTH(WORKDAY(H47,-(Setup!$C$13+Setup!$G$26),Setup!$C$39:$C$50))&lt;=Setup!$C$16))),WORKDAY(H47,-(Setup!$C$13+Setup!$G$26+Setup!$C$14),Setup!$C$39:$C$50),WORKDAY(H47,-(Setup!$C$13+Setup!$G$26),Setup!$C$39:$C$50))+(42*100+7)/10000000)))</f>
        <v/>
      </c>
      <c r="Y47" t="str">
        <f>IF(I47="","",IF(I47&lt;Setup!$C$5-Setup!$C$6,"",IF(IF(ISNUMBER(Roster!$D47),Setup!$C$27&lt;=Roster!$D47,FALSE),"",IF(OR(IF(Setup!$C$15&lt;=Setup!$C$16,AND(MONTH(I47)&gt;=Setup!$C$15,MONTH(I47)&lt;=Setup!$C$16),OR(MONTH(I47)&gt;=Setup!$C$15,MONTH(I47)&lt;=Setup!$C$16)),IF(Setup!$C$15&lt;=Setup!$C$16,AND(MONTH(WORKDAY(I47,-(Setup!$C$13+Setup!$G$27),Setup!$C$39:$C$50))&gt;=Setup!$C$15,MONTH(WORKDAY(I47,-(Setup!$C$13+Setup!$G$27),Setup!$C$39:$C$50))&lt;=Setup!$C$16),OR(MONTH(WORKDAY(I47,-(Setup!$C$13+Setup!$G$27),Setup!$C$39:$C$50))&gt;=Setup!$C$15,MONTH(WORKDAY(I47,-(Setup!$C$13+Setup!$G$27),Setup!$C$39:$C$50))&lt;=Setup!$C$16))),WORKDAY(I47,-(Setup!$C$13+Setup!$G$27+Setup!$C$14),Setup!$C$39:$C$50),WORKDAY(I47,-(Setup!$C$13+Setup!$G$27),Setup!$C$39:$C$50))+(42*100+8)/10000000)))</f>
        <v/>
      </c>
      <c r="Z47" t="str">
        <f>IF(J47="","",IF(J47&lt;Setup!$C$5-Setup!$C$6,"",IF(IF(ISNUMBER(Roster!$D47),Setup!$C$28&lt;=Roster!$D47,FALSE),"",IF(OR(IF(Setup!$C$15&lt;=Setup!$C$16,AND(MONTH(J47)&gt;=Setup!$C$15,MONTH(J47)&lt;=Setup!$C$16),OR(MONTH(J47)&gt;=Setup!$C$15,MONTH(J47)&lt;=Setup!$C$16)),IF(Setup!$C$15&lt;=Setup!$C$16,AND(MONTH(WORKDAY(J47,-(Setup!$C$13+Setup!$G$28),Setup!$C$39:$C$50))&gt;=Setup!$C$15,MONTH(WORKDAY(J47,-(Setup!$C$13+Setup!$G$28),Setup!$C$39:$C$50))&lt;=Setup!$C$16),OR(MONTH(WORKDAY(J47,-(Setup!$C$13+Setup!$G$28),Setup!$C$39:$C$50))&gt;=Setup!$C$15,MONTH(WORKDAY(J47,-(Setup!$C$13+Setup!$G$28),Setup!$C$39:$C$50))&lt;=Setup!$C$16))),WORKDAY(J47,-(Setup!$C$13+Setup!$G$28+Setup!$C$14),Setup!$C$39:$C$50),WORKDAY(J47,-(Setup!$C$13+Setup!$G$28),Setup!$C$39:$C$50))+(42*100+9)/10000000)))</f>
        <v/>
      </c>
      <c r="AA47" t="str">
        <f>IF(K47="","",IF(K47&lt;Setup!$C$5-Setup!$C$6,"",IF(IF(ISNUMBER(Roster!$D47),Setup!$C$29&lt;=Roster!$D47,FALSE),"",IF(OR(IF(Setup!$C$15&lt;=Setup!$C$16,AND(MONTH(K47)&gt;=Setup!$C$15,MONTH(K47)&lt;=Setup!$C$16),OR(MONTH(K47)&gt;=Setup!$C$15,MONTH(K47)&lt;=Setup!$C$16)),IF(Setup!$C$15&lt;=Setup!$C$16,AND(MONTH(WORKDAY(K47,-(Setup!$C$13+Setup!$G$29),Setup!$C$39:$C$50))&gt;=Setup!$C$15,MONTH(WORKDAY(K47,-(Setup!$C$13+Setup!$G$29),Setup!$C$39:$C$50))&lt;=Setup!$C$16),OR(MONTH(WORKDAY(K47,-(Setup!$C$13+Setup!$G$29),Setup!$C$39:$C$50))&gt;=Setup!$C$15,MONTH(WORKDAY(K47,-(Setup!$C$13+Setup!$G$29),Setup!$C$39:$C$50))&lt;=Setup!$C$16))),WORKDAY(K47,-(Setup!$C$13+Setup!$G$29+Setup!$C$14),Setup!$C$39:$C$50),WORKDAY(K47,-(Setup!$C$13+Setup!$G$29),Setup!$C$39:$C$50))+(42*100+10)/10000000)))</f>
        <v/>
      </c>
      <c r="AB47" t="str">
        <f>IF(L47="","",IF(L47&lt;Setup!$C$5-Setup!$C$6,"",IF(IF(ISNUMBER(Roster!$D47),Setup!$C$30&lt;=Roster!$D47,FALSE),"",IF(OR(IF(Setup!$C$15&lt;=Setup!$C$16,AND(MONTH(L47)&gt;=Setup!$C$15,MONTH(L47)&lt;=Setup!$C$16),OR(MONTH(L47)&gt;=Setup!$C$15,MONTH(L47)&lt;=Setup!$C$16)),IF(Setup!$C$15&lt;=Setup!$C$16,AND(MONTH(WORKDAY(L47,-(Setup!$C$13+Setup!$G$30),Setup!$C$39:$C$50))&gt;=Setup!$C$15,MONTH(WORKDAY(L47,-(Setup!$C$13+Setup!$G$30),Setup!$C$39:$C$50))&lt;=Setup!$C$16),OR(MONTH(WORKDAY(L47,-(Setup!$C$13+Setup!$G$30),Setup!$C$39:$C$50))&gt;=Setup!$C$15,MONTH(WORKDAY(L47,-(Setup!$C$13+Setup!$G$30),Setup!$C$39:$C$50))&lt;=Setup!$C$16))),WORKDAY(L47,-(Setup!$C$13+Setup!$G$30+Setup!$C$14),Setup!$C$39:$C$50),WORKDAY(L47,-(Setup!$C$13+Setup!$G$30),Setup!$C$39:$C$50))+(42*100+11)/10000000)))</f>
        <v/>
      </c>
      <c r="AC47" t="str">
        <f>IF(M47="","",IF(M47&lt;Setup!$C$5-Setup!$C$6,"",IF(IF(ISNUMBER(Roster!$D47),Setup!$C$31&lt;=Roster!$D47,FALSE),"",IF(OR(IF(Setup!$C$15&lt;=Setup!$C$16,AND(MONTH(M47)&gt;=Setup!$C$15,MONTH(M47)&lt;=Setup!$C$16),OR(MONTH(M47)&gt;=Setup!$C$15,MONTH(M47)&lt;=Setup!$C$16)),IF(Setup!$C$15&lt;=Setup!$C$16,AND(MONTH(WORKDAY(M47,-(Setup!$C$13+Setup!$G$31),Setup!$C$39:$C$50))&gt;=Setup!$C$15,MONTH(WORKDAY(M47,-(Setup!$C$13+Setup!$G$31),Setup!$C$39:$C$50))&lt;=Setup!$C$16),OR(MONTH(WORKDAY(M47,-(Setup!$C$13+Setup!$G$31),Setup!$C$39:$C$50))&gt;=Setup!$C$15,MONTH(WORKDAY(M47,-(Setup!$C$13+Setup!$G$31),Setup!$C$39:$C$50))&lt;=Setup!$C$16))),WORKDAY(M47,-(Setup!$C$13+Setup!$G$31+Setup!$C$14),Setup!$C$39:$C$50),WORKDAY(M47,-(Setup!$C$13+Setup!$G$31),Setup!$C$39:$C$50))+(42*100+12)/10000000)))</f>
        <v/>
      </c>
      <c r="AD47" t="str">
        <f>IF(N47="","",IF(N47&lt;Setup!$C$5-Setup!$C$6,"",IF(IF(ISNUMBER(Roster!$D47),Setup!$C$32&lt;=Roster!$D47,FALSE),"",IF(OR(IF(Setup!$C$15&lt;=Setup!$C$16,AND(MONTH(N47)&gt;=Setup!$C$15,MONTH(N47)&lt;=Setup!$C$16),OR(MONTH(N47)&gt;=Setup!$C$15,MONTH(N47)&lt;=Setup!$C$16)),IF(Setup!$C$15&lt;=Setup!$C$16,AND(MONTH(WORKDAY(N47,-(Setup!$C$13+Setup!$G$32),Setup!$C$39:$C$50))&gt;=Setup!$C$15,MONTH(WORKDAY(N47,-(Setup!$C$13+Setup!$G$32),Setup!$C$39:$C$50))&lt;=Setup!$C$16),OR(MONTH(WORKDAY(N47,-(Setup!$C$13+Setup!$G$32),Setup!$C$39:$C$50))&gt;=Setup!$C$15,MONTH(WORKDAY(N47,-(Setup!$C$13+Setup!$G$32),Setup!$C$39:$C$50))&lt;=Setup!$C$16))),WORKDAY(N47,-(Setup!$C$13+Setup!$G$32+Setup!$C$14),Setup!$C$39:$C$50),WORKDAY(N47,-(Setup!$C$13+Setup!$G$32),Setup!$C$39:$C$50))+(42*100+13)/10000000)))</f>
        <v/>
      </c>
      <c r="AE47" t="str">
        <f>IF(O47="","",IF(O47&lt;Setup!$C$5-Setup!$C$6,"",IF(IF(ISNUMBER(Roster!$D47),Setup!$C$33&lt;=Roster!$D47,FALSE),"",IF(OR(IF(Setup!$C$15&lt;=Setup!$C$16,AND(MONTH(O47)&gt;=Setup!$C$15,MONTH(O47)&lt;=Setup!$C$16),OR(MONTH(O47)&gt;=Setup!$C$15,MONTH(O47)&lt;=Setup!$C$16)),IF(Setup!$C$15&lt;=Setup!$C$16,AND(MONTH(WORKDAY(O47,-(Setup!$C$13+Setup!$G$33),Setup!$C$39:$C$50))&gt;=Setup!$C$15,MONTH(WORKDAY(O47,-(Setup!$C$13+Setup!$G$33),Setup!$C$39:$C$50))&lt;=Setup!$C$16),OR(MONTH(WORKDAY(O47,-(Setup!$C$13+Setup!$G$33),Setup!$C$39:$C$50))&gt;=Setup!$C$15,MONTH(WORKDAY(O47,-(Setup!$C$13+Setup!$G$33),Setup!$C$39:$C$50))&lt;=Setup!$C$16))),WORKDAY(O47,-(Setup!$C$13+Setup!$G$33+Setup!$C$14),Setup!$C$39:$C$50),WORKDAY(O47,-(Setup!$C$13+Setup!$G$33),Setup!$C$39:$C$50))+(42*100+14)/10000000)))</f>
        <v/>
      </c>
      <c r="AF47" t="str">
        <f>IF(P47="","",IF(P47&lt;Setup!$C$5-Setup!$C$6,"",IF(IF(ISNUMBER(Roster!$D47),Setup!$C$34&lt;=Roster!$D47,FALSE),"",IF(OR(IF(Setup!$C$15&lt;=Setup!$C$16,AND(MONTH(P47)&gt;=Setup!$C$15,MONTH(P47)&lt;=Setup!$C$16),OR(MONTH(P47)&gt;=Setup!$C$15,MONTH(P47)&lt;=Setup!$C$16)),IF(Setup!$C$15&lt;=Setup!$C$16,AND(MONTH(WORKDAY(P47,-(Setup!$C$13+Setup!$G$34),Setup!$C$39:$C$50))&gt;=Setup!$C$15,MONTH(WORKDAY(P47,-(Setup!$C$13+Setup!$G$34),Setup!$C$39:$C$50))&lt;=Setup!$C$16),OR(MONTH(WORKDAY(P47,-(Setup!$C$13+Setup!$G$34),Setup!$C$39:$C$50))&gt;=Setup!$C$15,MONTH(WORKDAY(P47,-(Setup!$C$13+Setup!$G$34),Setup!$C$39:$C$50))&lt;=Setup!$C$16))),WORKDAY(P47,-(Setup!$C$13+Setup!$G$34+Setup!$C$14),Setup!$C$39:$C$50),WORKDAY(P47,-(Setup!$C$13+Setup!$G$34),Setup!$C$39:$C$50))+(42*100+15)/10000000)))</f>
        <v/>
      </c>
      <c r="AH47" t="str">
        <f t="shared" si="0"/>
        <v/>
      </c>
      <c r="AI47" t="str">
        <f t="shared" si="1"/>
        <v/>
      </c>
      <c r="AK47" t="str">
        <f ca="1">IF(42&gt;$AK$2,"",SMALL($R$6:$AF$505,42))</f>
        <v/>
      </c>
      <c r="AL47" t="str">
        <f t="shared" ca="1" si="2"/>
        <v/>
      </c>
      <c r="AM47" t="str">
        <f t="shared" ca="1" si="3"/>
        <v/>
      </c>
      <c r="AN47" t="str">
        <f t="shared" ca="1" si="4"/>
        <v/>
      </c>
      <c r="AP47" t="str">
        <f>IF(ISNUMBER(Roster!$B47),MAX(1,YEAR(Setup!$C$5)-YEAR(Roster!$B47)+IF(EDATE(Roster!$B47,12*(YEAR(Setup!$C$5)-YEAR(Roster!$B47)))&lt;Setup!$C$5,1,0)),"")</f>
        <v/>
      </c>
      <c r="AQ47" s="32" t="str">
        <f>IF(AP47="","",EDATE(Roster!$B47,12*AP47))</f>
        <v/>
      </c>
      <c r="AR47" t="str">
        <f>IF(AQ47="","",IF(AQ47&lt;DATE(YEAR(Setup!$C$5)+1,MONTH(Setup!$C$5),DAY(Setup!$C$5)),AQ47+42/1000,""))</f>
        <v/>
      </c>
      <c r="AS47" t="str">
        <f t="shared" si="5"/>
        <v/>
      </c>
      <c r="AT47" t="str">
        <f>IF(AS47="","",IF(ISNUMBER(Roster!$D47),Roster!$D47&gt;=AP47,FALSE))</f>
        <v/>
      </c>
      <c r="AU47" t="str">
        <f t="shared" si="6"/>
        <v/>
      </c>
      <c r="AV47" t="str">
        <f ca="1">IF(42&gt;$AV$2,"",SMALL($AR$6:$AR$505,42))</f>
        <v/>
      </c>
      <c r="AW47" t="str">
        <f t="shared" ca="1" si="7"/>
        <v/>
      </c>
    </row>
    <row r="48" spans="2:52" x14ac:dyDescent="0.2">
      <c r="B48" s="32" t="str">
        <f>IF(AND(ISNUMBER(Roster!$B48),Setup!$B$20="Yes",ISNUMBER(Setup!$C$20)),EDATE(Roster!$B48,12*Setup!$C$20),"")</f>
        <v/>
      </c>
      <c r="C48" s="32" t="str">
        <f>IF(AND(ISNUMBER(Roster!$B48),Setup!$B$21="Yes",ISNUMBER(Setup!$C$21)),EDATE(Roster!$B48,12*Setup!$C$21),"")</f>
        <v/>
      </c>
      <c r="D48" s="32" t="str">
        <f>IF(AND(ISNUMBER(Roster!$B48),Setup!$B$22="Yes",ISNUMBER(Setup!$C$22)),EDATE(Roster!$B48,12*Setup!$C$22),"")</f>
        <v/>
      </c>
      <c r="E48" s="32" t="str">
        <f>IF(AND(ISNUMBER(Roster!$B48),Setup!$B$23="Yes",ISNUMBER(Setup!$C$23)),EDATE(Roster!$B48,12*Setup!$C$23),"")</f>
        <v/>
      </c>
      <c r="F48" s="32" t="str">
        <f>IF(AND(ISNUMBER(Roster!$B48),Setup!$B$24="Yes",ISNUMBER(Setup!$C$24)),EDATE(Roster!$B48,12*Setup!$C$24),"")</f>
        <v/>
      </c>
      <c r="G48" s="32" t="str">
        <f>IF(AND(ISNUMBER(Roster!$B48),Setup!$B$25="Yes",ISNUMBER(Setup!$C$25)),EDATE(Roster!$B48,12*Setup!$C$25),"")</f>
        <v/>
      </c>
      <c r="H48" s="32" t="str">
        <f>IF(AND(ISNUMBER(Roster!$B48),Setup!$B$26="Yes",ISNUMBER(Setup!$C$26)),EDATE(Roster!$B48,12*Setup!$C$26),"")</f>
        <v/>
      </c>
      <c r="I48" s="32" t="str">
        <f>IF(AND(ISNUMBER(Roster!$B48),Setup!$B$27="Yes",ISNUMBER(Setup!$C$27)),EDATE(Roster!$B48,12*Setup!$C$27),"")</f>
        <v/>
      </c>
      <c r="J48" s="32" t="str">
        <f>IF(AND(ISNUMBER(Roster!$B48),Setup!$B$28="Yes",ISNUMBER(Setup!$C$28)),EDATE(Roster!$B48,12*Setup!$C$28),"")</f>
        <v/>
      </c>
      <c r="K48" s="32" t="str">
        <f>IF(AND(ISNUMBER(Roster!$B48),Setup!$B$29="Yes",ISNUMBER(Setup!$C$29)),EDATE(Roster!$B48,12*Setup!$C$29),"")</f>
        <v/>
      </c>
      <c r="L48" s="32" t="str">
        <f>IF(AND(ISNUMBER(Roster!$B48),Setup!$B$30="Yes",ISNUMBER(Setup!$C$30)),EDATE(Roster!$B48,12*Setup!$C$30),"")</f>
        <v/>
      </c>
      <c r="M48" s="32" t="str">
        <f>IF(AND(ISNUMBER(Roster!$B48),Setup!$B$31="Yes",ISNUMBER(Setup!$C$31)),EDATE(Roster!$B48,12*Setup!$C$31),"")</f>
        <v/>
      </c>
      <c r="N48" s="32" t="str">
        <f>IF(AND(ISNUMBER(Roster!$B48),Setup!$B$32="Yes",ISNUMBER(Setup!$C$32)),EDATE(Roster!$B48,12*Setup!$C$32),"")</f>
        <v/>
      </c>
      <c r="O48" s="32" t="str">
        <f>IF(AND(ISNUMBER(Roster!$B48),Setup!$B$33="Yes",ISNUMBER(Setup!$C$33)),EDATE(Roster!$B48,12*Setup!$C$33),"")</f>
        <v/>
      </c>
      <c r="P48" s="32" t="str">
        <f>IF(AND(ISNUMBER(Roster!$B48),Setup!$B$34="Yes",ISNUMBER(Setup!$C$34)),EDATE(Roster!$B48,12*Setup!$C$34),"")</f>
        <v/>
      </c>
      <c r="R48" t="str">
        <f>IF(B48="","",IF(B48&lt;Setup!$C$5-Setup!$C$6,"",IF(IF(ISNUMBER(Roster!$D48),Setup!$C$20&lt;=Roster!$D48,FALSE),"",IF(OR(IF(Setup!$C$15&lt;=Setup!$C$16,AND(MONTH(B48)&gt;=Setup!$C$15,MONTH(B48)&lt;=Setup!$C$16),OR(MONTH(B48)&gt;=Setup!$C$15,MONTH(B48)&lt;=Setup!$C$16)),IF(Setup!$C$15&lt;=Setup!$C$16,AND(MONTH(WORKDAY(B48,-(Setup!$C$13+Setup!$G$20),Setup!$C$39:$C$50))&gt;=Setup!$C$15,MONTH(WORKDAY(B48,-(Setup!$C$13+Setup!$G$20),Setup!$C$39:$C$50))&lt;=Setup!$C$16),OR(MONTH(WORKDAY(B48,-(Setup!$C$13+Setup!$G$20),Setup!$C$39:$C$50))&gt;=Setup!$C$15,MONTH(WORKDAY(B48,-(Setup!$C$13+Setup!$G$20),Setup!$C$39:$C$50))&lt;=Setup!$C$16))),WORKDAY(B48,-(Setup!$C$13+Setup!$G$20+Setup!$C$14),Setup!$C$39:$C$50),WORKDAY(B48,-(Setup!$C$13+Setup!$G$20),Setup!$C$39:$C$50))+(43*100+1)/10000000)))</f>
        <v/>
      </c>
      <c r="S48" t="str">
        <f>IF(C48="","",IF(C48&lt;Setup!$C$5-Setup!$C$6,"",IF(IF(ISNUMBER(Roster!$D48),Setup!$C$21&lt;=Roster!$D48,FALSE),"",IF(OR(IF(Setup!$C$15&lt;=Setup!$C$16,AND(MONTH(C48)&gt;=Setup!$C$15,MONTH(C48)&lt;=Setup!$C$16),OR(MONTH(C48)&gt;=Setup!$C$15,MONTH(C48)&lt;=Setup!$C$16)),IF(Setup!$C$15&lt;=Setup!$C$16,AND(MONTH(WORKDAY(C48,-(Setup!$C$13+Setup!$G$21),Setup!$C$39:$C$50))&gt;=Setup!$C$15,MONTH(WORKDAY(C48,-(Setup!$C$13+Setup!$G$21),Setup!$C$39:$C$50))&lt;=Setup!$C$16),OR(MONTH(WORKDAY(C48,-(Setup!$C$13+Setup!$G$21),Setup!$C$39:$C$50))&gt;=Setup!$C$15,MONTH(WORKDAY(C48,-(Setup!$C$13+Setup!$G$21),Setup!$C$39:$C$50))&lt;=Setup!$C$16))),WORKDAY(C48,-(Setup!$C$13+Setup!$G$21+Setup!$C$14),Setup!$C$39:$C$50),WORKDAY(C48,-(Setup!$C$13+Setup!$G$21),Setup!$C$39:$C$50))+(43*100+2)/10000000)))</f>
        <v/>
      </c>
      <c r="T48" t="str">
        <f>IF(D48="","",IF(D48&lt;Setup!$C$5-Setup!$C$6,"",IF(IF(ISNUMBER(Roster!$D48),Setup!$C$22&lt;=Roster!$D48,FALSE),"",IF(OR(IF(Setup!$C$15&lt;=Setup!$C$16,AND(MONTH(D48)&gt;=Setup!$C$15,MONTH(D48)&lt;=Setup!$C$16),OR(MONTH(D48)&gt;=Setup!$C$15,MONTH(D48)&lt;=Setup!$C$16)),IF(Setup!$C$15&lt;=Setup!$C$16,AND(MONTH(WORKDAY(D48,-(Setup!$C$13+Setup!$G$22),Setup!$C$39:$C$50))&gt;=Setup!$C$15,MONTH(WORKDAY(D48,-(Setup!$C$13+Setup!$G$22),Setup!$C$39:$C$50))&lt;=Setup!$C$16),OR(MONTH(WORKDAY(D48,-(Setup!$C$13+Setup!$G$22),Setup!$C$39:$C$50))&gt;=Setup!$C$15,MONTH(WORKDAY(D48,-(Setup!$C$13+Setup!$G$22),Setup!$C$39:$C$50))&lt;=Setup!$C$16))),WORKDAY(D48,-(Setup!$C$13+Setup!$G$22+Setup!$C$14),Setup!$C$39:$C$50),WORKDAY(D48,-(Setup!$C$13+Setup!$G$22),Setup!$C$39:$C$50))+(43*100+3)/10000000)))</f>
        <v/>
      </c>
      <c r="U48" t="str">
        <f>IF(E48="","",IF(E48&lt;Setup!$C$5-Setup!$C$6,"",IF(IF(ISNUMBER(Roster!$D48),Setup!$C$23&lt;=Roster!$D48,FALSE),"",IF(OR(IF(Setup!$C$15&lt;=Setup!$C$16,AND(MONTH(E48)&gt;=Setup!$C$15,MONTH(E48)&lt;=Setup!$C$16),OR(MONTH(E48)&gt;=Setup!$C$15,MONTH(E48)&lt;=Setup!$C$16)),IF(Setup!$C$15&lt;=Setup!$C$16,AND(MONTH(WORKDAY(E48,-(Setup!$C$13+Setup!$G$23),Setup!$C$39:$C$50))&gt;=Setup!$C$15,MONTH(WORKDAY(E48,-(Setup!$C$13+Setup!$G$23),Setup!$C$39:$C$50))&lt;=Setup!$C$16),OR(MONTH(WORKDAY(E48,-(Setup!$C$13+Setup!$G$23),Setup!$C$39:$C$50))&gt;=Setup!$C$15,MONTH(WORKDAY(E48,-(Setup!$C$13+Setup!$G$23),Setup!$C$39:$C$50))&lt;=Setup!$C$16))),WORKDAY(E48,-(Setup!$C$13+Setup!$G$23+Setup!$C$14),Setup!$C$39:$C$50),WORKDAY(E48,-(Setup!$C$13+Setup!$G$23),Setup!$C$39:$C$50))+(43*100+4)/10000000)))</f>
        <v/>
      </c>
      <c r="V48" t="str">
        <f>IF(F48="","",IF(F48&lt;Setup!$C$5-Setup!$C$6,"",IF(IF(ISNUMBER(Roster!$D48),Setup!$C$24&lt;=Roster!$D48,FALSE),"",IF(OR(IF(Setup!$C$15&lt;=Setup!$C$16,AND(MONTH(F48)&gt;=Setup!$C$15,MONTH(F48)&lt;=Setup!$C$16),OR(MONTH(F48)&gt;=Setup!$C$15,MONTH(F48)&lt;=Setup!$C$16)),IF(Setup!$C$15&lt;=Setup!$C$16,AND(MONTH(WORKDAY(F48,-(Setup!$C$13+Setup!$G$24),Setup!$C$39:$C$50))&gt;=Setup!$C$15,MONTH(WORKDAY(F48,-(Setup!$C$13+Setup!$G$24),Setup!$C$39:$C$50))&lt;=Setup!$C$16),OR(MONTH(WORKDAY(F48,-(Setup!$C$13+Setup!$G$24),Setup!$C$39:$C$50))&gt;=Setup!$C$15,MONTH(WORKDAY(F48,-(Setup!$C$13+Setup!$G$24),Setup!$C$39:$C$50))&lt;=Setup!$C$16))),WORKDAY(F48,-(Setup!$C$13+Setup!$G$24+Setup!$C$14),Setup!$C$39:$C$50),WORKDAY(F48,-(Setup!$C$13+Setup!$G$24),Setup!$C$39:$C$50))+(43*100+5)/10000000)))</f>
        <v/>
      </c>
      <c r="W48" t="str">
        <f>IF(G48="","",IF(G48&lt;Setup!$C$5-Setup!$C$6,"",IF(IF(ISNUMBER(Roster!$D48),Setup!$C$25&lt;=Roster!$D48,FALSE),"",IF(OR(IF(Setup!$C$15&lt;=Setup!$C$16,AND(MONTH(G48)&gt;=Setup!$C$15,MONTH(G48)&lt;=Setup!$C$16),OR(MONTH(G48)&gt;=Setup!$C$15,MONTH(G48)&lt;=Setup!$C$16)),IF(Setup!$C$15&lt;=Setup!$C$16,AND(MONTH(WORKDAY(G48,-(Setup!$C$13+Setup!$G$25),Setup!$C$39:$C$50))&gt;=Setup!$C$15,MONTH(WORKDAY(G48,-(Setup!$C$13+Setup!$G$25),Setup!$C$39:$C$50))&lt;=Setup!$C$16),OR(MONTH(WORKDAY(G48,-(Setup!$C$13+Setup!$G$25),Setup!$C$39:$C$50))&gt;=Setup!$C$15,MONTH(WORKDAY(G48,-(Setup!$C$13+Setup!$G$25),Setup!$C$39:$C$50))&lt;=Setup!$C$16))),WORKDAY(G48,-(Setup!$C$13+Setup!$G$25+Setup!$C$14),Setup!$C$39:$C$50),WORKDAY(G48,-(Setup!$C$13+Setup!$G$25),Setup!$C$39:$C$50))+(43*100+6)/10000000)))</f>
        <v/>
      </c>
      <c r="X48" t="str">
        <f>IF(H48="","",IF(H48&lt;Setup!$C$5-Setup!$C$6,"",IF(IF(ISNUMBER(Roster!$D48),Setup!$C$26&lt;=Roster!$D48,FALSE),"",IF(OR(IF(Setup!$C$15&lt;=Setup!$C$16,AND(MONTH(H48)&gt;=Setup!$C$15,MONTH(H48)&lt;=Setup!$C$16),OR(MONTH(H48)&gt;=Setup!$C$15,MONTH(H48)&lt;=Setup!$C$16)),IF(Setup!$C$15&lt;=Setup!$C$16,AND(MONTH(WORKDAY(H48,-(Setup!$C$13+Setup!$G$26),Setup!$C$39:$C$50))&gt;=Setup!$C$15,MONTH(WORKDAY(H48,-(Setup!$C$13+Setup!$G$26),Setup!$C$39:$C$50))&lt;=Setup!$C$16),OR(MONTH(WORKDAY(H48,-(Setup!$C$13+Setup!$G$26),Setup!$C$39:$C$50))&gt;=Setup!$C$15,MONTH(WORKDAY(H48,-(Setup!$C$13+Setup!$G$26),Setup!$C$39:$C$50))&lt;=Setup!$C$16))),WORKDAY(H48,-(Setup!$C$13+Setup!$G$26+Setup!$C$14),Setup!$C$39:$C$50),WORKDAY(H48,-(Setup!$C$13+Setup!$G$26),Setup!$C$39:$C$50))+(43*100+7)/10000000)))</f>
        <v/>
      </c>
      <c r="Y48" t="str">
        <f>IF(I48="","",IF(I48&lt;Setup!$C$5-Setup!$C$6,"",IF(IF(ISNUMBER(Roster!$D48),Setup!$C$27&lt;=Roster!$D48,FALSE),"",IF(OR(IF(Setup!$C$15&lt;=Setup!$C$16,AND(MONTH(I48)&gt;=Setup!$C$15,MONTH(I48)&lt;=Setup!$C$16),OR(MONTH(I48)&gt;=Setup!$C$15,MONTH(I48)&lt;=Setup!$C$16)),IF(Setup!$C$15&lt;=Setup!$C$16,AND(MONTH(WORKDAY(I48,-(Setup!$C$13+Setup!$G$27),Setup!$C$39:$C$50))&gt;=Setup!$C$15,MONTH(WORKDAY(I48,-(Setup!$C$13+Setup!$G$27),Setup!$C$39:$C$50))&lt;=Setup!$C$16),OR(MONTH(WORKDAY(I48,-(Setup!$C$13+Setup!$G$27),Setup!$C$39:$C$50))&gt;=Setup!$C$15,MONTH(WORKDAY(I48,-(Setup!$C$13+Setup!$G$27),Setup!$C$39:$C$50))&lt;=Setup!$C$16))),WORKDAY(I48,-(Setup!$C$13+Setup!$G$27+Setup!$C$14),Setup!$C$39:$C$50),WORKDAY(I48,-(Setup!$C$13+Setup!$G$27),Setup!$C$39:$C$50))+(43*100+8)/10000000)))</f>
        <v/>
      </c>
      <c r="Z48" t="str">
        <f>IF(J48="","",IF(J48&lt;Setup!$C$5-Setup!$C$6,"",IF(IF(ISNUMBER(Roster!$D48),Setup!$C$28&lt;=Roster!$D48,FALSE),"",IF(OR(IF(Setup!$C$15&lt;=Setup!$C$16,AND(MONTH(J48)&gt;=Setup!$C$15,MONTH(J48)&lt;=Setup!$C$16),OR(MONTH(J48)&gt;=Setup!$C$15,MONTH(J48)&lt;=Setup!$C$16)),IF(Setup!$C$15&lt;=Setup!$C$16,AND(MONTH(WORKDAY(J48,-(Setup!$C$13+Setup!$G$28),Setup!$C$39:$C$50))&gt;=Setup!$C$15,MONTH(WORKDAY(J48,-(Setup!$C$13+Setup!$G$28),Setup!$C$39:$C$50))&lt;=Setup!$C$16),OR(MONTH(WORKDAY(J48,-(Setup!$C$13+Setup!$G$28),Setup!$C$39:$C$50))&gt;=Setup!$C$15,MONTH(WORKDAY(J48,-(Setup!$C$13+Setup!$G$28),Setup!$C$39:$C$50))&lt;=Setup!$C$16))),WORKDAY(J48,-(Setup!$C$13+Setup!$G$28+Setup!$C$14),Setup!$C$39:$C$50),WORKDAY(J48,-(Setup!$C$13+Setup!$G$28),Setup!$C$39:$C$50))+(43*100+9)/10000000)))</f>
        <v/>
      </c>
      <c r="AA48" t="str">
        <f>IF(K48="","",IF(K48&lt;Setup!$C$5-Setup!$C$6,"",IF(IF(ISNUMBER(Roster!$D48),Setup!$C$29&lt;=Roster!$D48,FALSE),"",IF(OR(IF(Setup!$C$15&lt;=Setup!$C$16,AND(MONTH(K48)&gt;=Setup!$C$15,MONTH(K48)&lt;=Setup!$C$16),OR(MONTH(K48)&gt;=Setup!$C$15,MONTH(K48)&lt;=Setup!$C$16)),IF(Setup!$C$15&lt;=Setup!$C$16,AND(MONTH(WORKDAY(K48,-(Setup!$C$13+Setup!$G$29),Setup!$C$39:$C$50))&gt;=Setup!$C$15,MONTH(WORKDAY(K48,-(Setup!$C$13+Setup!$G$29),Setup!$C$39:$C$50))&lt;=Setup!$C$16),OR(MONTH(WORKDAY(K48,-(Setup!$C$13+Setup!$G$29),Setup!$C$39:$C$50))&gt;=Setup!$C$15,MONTH(WORKDAY(K48,-(Setup!$C$13+Setup!$G$29),Setup!$C$39:$C$50))&lt;=Setup!$C$16))),WORKDAY(K48,-(Setup!$C$13+Setup!$G$29+Setup!$C$14),Setup!$C$39:$C$50),WORKDAY(K48,-(Setup!$C$13+Setup!$G$29),Setup!$C$39:$C$50))+(43*100+10)/10000000)))</f>
        <v/>
      </c>
      <c r="AB48" t="str">
        <f>IF(L48="","",IF(L48&lt;Setup!$C$5-Setup!$C$6,"",IF(IF(ISNUMBER(Roster!$D48),Setup!$C$30&lt;=Roster!$D48,FALSE),"",IF(OR(IF(Setup!$C$15&lt;=Setup!$C$16,AND(MONTH(L48)&gt;=Setup!$C$15,MONTH(L48)&lt;=Setup!$C$16),OR(MONTH(L48)&gt;=Setup!$C$15,MONTH(L48)&lt;=Setup!$C$16)),IF(Setup!$C$15&lt;=Setup!$C$16,AND(MONTH(WORKDAY(L48,-(Setup!$C$13+Setup!$G$30),Setup!$C$39:$C$50))&gt;=Setup!$C$15,MONTH(WORKDAY(L48,-(Setup!$C$13+Setup!$G$30),Setup!$C$39:$C$50))&lt;=Setup!$C$16),OR(MONTH(WORKDAY(L48,-(Setup!$C$13+Setup!$G$30),Setup!$C$39:$C$50))&gt;=Setup!$C$15,MONTH(WORKDAY(L48,-(Setup!$C$13+Setup!$G$30),Setup!$C$39:$C$50))&lt;=Setup!$C$16))),WORKDAY(L48,-(Setup!$C$13+Setup!$G$30+Setup!$C$14),Setup!$C$39:$C$50),WORKDAY(L48,-(Setup!$C$13+Setup!$G$30),Setup!$C$39:$C$50))+(43*100+11)/10000000)))</f>
        <v/>
      </c>
      <c r="AC48" t="str">
        <f>IF(M48="","",IF(M48&lt;Setup!$C$5-Setup!$C$6,"",IF(IF(ISNUMBER(Roster!$D48),Setup!$C$31&lt;=Roster!$D48,FALSE),"",IF(OR(IF(Setup!$C$15&lt;=Setup!$C$16,AND(MONTH(M48)&gt;=Setup!$C$15,MONTH(M48)&lt;=Setup!$C$16),OR(MONTH(M48)&gt;=Setup!$C$15,MONTH(M48)&lt;=Setup!$C$16)),IF(Setup!$C$15&lt;=Setup!$C$16,AND(MONTH(WORKDAY(M48,-(Setup!$C$13+Setup!$G$31),Setup!$C$39:$C$50))&gt;=Setup!$C$15,MONTH(WORKDAY(M48,-(Setup!$C$13+Setup!$G$31),Setup!$C$39:$C$50))&lt;=Setup!$C$16),OR(MONTH(WORKDAY(M48,-(Setup!$C$13+Setup!$G$31),Setup!$C$39:$C$50))&gt;=Setup!$C$15,MONTH(WORKDAY(M48,-(Setup!$C$13+Setup!$G$31),Setup!$C$39:$C$50))&lt;=Setup!$C$16))),WORKDAY(M48,-(Setup!$C$13+Setup!$G$31+Setup!$C$14),Setup!$C$39:$C$50),WORKDAY(M48,-(Setup!$C$13+Setup!$G$31),Setup!$C$39:$C$50))+(43*100+12)/10000000)))</f>
        <v/>
      </c>
      <c r="AD48" t="str">
        <f>IF(N48="","",IF(N48&lt;Setup!$C$5-Setup!$C$6,"",IF(IF(ISNUMBER(Roster!$D48),Setup!$C$32&lt;=Roster!$D48,FALSE),"",IF(OR(IF(Setup!$C$15&lt;=Setup!$C$16,AND(MONTH(N48)&gt;=Setup!$C$15,MONTH(N48)&lt;=Setup!$C$16),OR(MONTH(N48)&gt;=Setup!$C$15,MONTH(N48)&lt;=Setup!$C$16)),IF(Setup!$C$15&lt;=Setup!$C$16,AND(MONTH(WORKDAY(N48,-(Setup!$C$13+Setup!$G$32),Setup!$C$39:$C$50))&gt;=Setup!$C$15,MONTH(WORKDAY(N48,-(Setup!$C$13+Setup!$G$32),Setup!$C$39:$C$50))&lt;=Setup!$C$16),OR(MONTH(WORKDAY(N48,-(Setup!$C$13+Setup!$G$32),Setup!$C$39:$C$50))&gt;=Setup!$C$15,MONTH(WORKDAY(N48,-(Setup!$C$13+Setup!$G$32),Setup!$C$39:$C$50))&lt;=Setup!$C$16))),WORKDAY(N48,-(Setup!$C$13+Setup!$G$32+Setup!$C$14),Setup!$C$39:$C$50),WORKDAY(N48,-(Setup!$C$13+Setup!$G$32),Setup!$C$39:$C$50))+(43*100+13)/10000000)))</f>
        <v/>
      </c>
      <c r="AE48" t="str">
        <f>IF(O48="","",IF(O48&lt;Setup!$C$5-Setup!$C$6,"",IF(IF(ISNUMBER(Roster!$D48),Setup!$C$33&lt;=Roster!$D48,FALSE),"",IF(OR(IF(Setup!$C$15&lt;=Setup!$C$16,AND(MONTH(O48)&gt;=Setup!$C$15,MONTH(O48)&lt;=Setup!$C$16),OR(MONTH(O48)&gt;=Setup!$C$15,MONTH(O48)&lt;=Setup!$C$16)),IF(Setup!$C$15&lt;=Setup!$C$16,AND(MONTH(WORKDAY(O48,-(Setup!$C$13+Setup!$G$33),Setup!$C$39:$C$50))&gt;=Setup!$C$15,MONTH(WORKDAY(O48,-(Setup!$C$13+Setup!$G$33),Setup!$C$39:$C$50))&lt;=Setup!$C$16),OR(MONTH(WORKDAY(O48,-(Setup!$C$13+Setup!$G$33),Setup!$C$39:$C$50))&gt;=Setup!$C$15,MONTH(WORKDAY(O48,-(Setup!$C$13+Setup!$G$33),Setup!$C$39:$C$50))&lt;=Setup!$C$16))),WORKDAY(O48,-(Setup!$C$13+Setup!$G$33+Setup!$C$14),Setup!$C$39:$C$50),WORKDAY(O48,-(Setup!$C$13+Setup!$G$33),Setup!$C$39:$C$50))+(43*100+14)/10000000)))</f>
        <v/>
      </c>
      <c r="AF48" t="str">
        <f>IF(P48="","",IF(P48&lt;Setup!$C$5-Setup!$C$6,"",IF(IF(ISNUMBER(Roster!$D48),Setup!$C$34&lt;=Roster!$D48,FALSE),"",IF(OR(IF(Setup!$C$15&lt;=Setup!$C$16,AND(MONTH(P48)&gt;=Setup!$C$15,MONTH(P48)&lt;=Setup!$C$16),OR(MONTH(P48)&gt;=Setup!$C$15,MONTH(P48)&lt;=Setup!$C$16)),IF(Setup!$C$15&lt;=Setup!$C$16,AND(MONTH(WORKDAY(P48,-(Setup!$C$13+Setup!$G$34),Setup!$C$39:$C$50))&gt;=Setup!$C$15,MONTH(WORKDAY(P48,-(Setup!$C$13+Setup!$G$34),Setup!$C$39:$C$50))&lt;=Setup!$C$16),OR(MONTH(WORKDAY(P48,-(Setup!$C$13+Setup!$G$34),Setup!$C$39:$C$50))&gt;=Setup!$C$15,MONTH(WORKDAY(P48,-(Setup!$C$13+Setup!$G$34),Setup!$C$39:$C$50))&lt;=Setup!$C$16))),WORKDAY(P48,-(Setup!$C$13+Setup!$G$34+Setup!$C$14),Setup!$C$39:$C$50),WORKDAY(P48,-(Setup!$C$13+Setup!$G$34),Setup!$C$39:$C$50))+(43*100+15)/10000000)))</f>
        <v/>
      </c>
      <c r="AH48" t="str">
        <f t="shared" si="0"/>
        <v/>
      </c>
      <c r="AI48" t="str">
        <f t="shared" si="1"/>
        <v/>
      </c>
      <c r="AK48" t="str">
        <f ca="1">IF(43&gt;$AK$2,"",SMALL($R$6:$AF$505,43))</f>
        <v/>
      </c>
      <c r="AL48" t="str">
        <f t="shared" ca="1" si="2"/>
        <v/>
      </c>
      <c r="AM48" t="str">
        <f t="shared" ca="1" si="3"/>
        <v/>
      </c>
      <c r="AN48" t="str">
        <f t="shared" ca="1" si="4"/>
        <v/>
      </c>
      <c r="AP48" t="str">
        <f>IF(ISNUMBER(Roster!$B48),MAX(1,YEAR(Setup!$C$5)-YEAR(Roster!$B48)+IF(EDATE(Roster!$B48,12*(YEAR(Setup!$C$5)-YEAR(Roster!$B48)))&lt;Setup!$C$5,1,0)),"")</f>
        <v/>
      </c>
      <c r="AQ48" s="32" t="str">
        <f>IF(AP48="","",EDATE(Roster!$B48,12*AP48))</f>
        <v/>
      </c>
      <c r="AR48" t="str">
        <f>IF(AQ48="","",IF(AQ48&lt;DATE(YEAR(Setup!$C$5)+1,MONTH(Setup!$C$5),DAY(Setup!$C$5)),AQ48+43/1000,""))</f>
        <v/>
      </c>
      <c r="AS48" t="str">
        <f t="shared" si="5"/>
        <v/>
      </c>
      <c r="AT48" t="str">
        <f>IF(AS48="","",IF(ISNUMBER(Roster!$D48),Roster!$D48&gt;=AP48,FALSE))</f>
        <v/>
      </c>
      <c r="AU48" t="str">
        <f t="shared" si="6"/>
        <v/>
      </c>
      <c r="AV48" t="str">
        <f ca="1">IF(43&gt;$AV$2,"",SMALL($AR$6:$AR$505,43))</f>
        <v/>
      </c>
      <c r="AW48" t="str">
        <f t="shared" ca="1" si="7"/>
        <v/>
      </c>
    </row>
    <row r="49" spans="2:49" x14ac:dyDescent="0.2">
      <c r="B49" s="32" t="str">
        <f>IF(AND(ISNUMBER(Roster!$B49),Setup!$B$20="Yes",ISNUMBER(Setup!$C$20)),EDATE(Roster!$B49,12*Setup!$C$20),"")</f>
        <v/>
      </c>
      <c r="C49" s="32" t="str">
        <f>IF(AND(ISNUMBER(Roster!$B49),Setup!$B$21="Yes",ISNUMBER(Setup!$C$21)),EDATE(Roster!$B49,12*Setup!$C$21),"")</f>
        <v/>
      </c>
      <c r="D49" s="32" t="str">
        <f>IF(AND(ISNUMBER(Roster!$B49),Setup!$B$22="Yes",ISNUMBER(Setup!$C$22)),EDATE(Roster!$B49,12*Setup!$C$22),"")</f>
        <v/>
      </c>
      <c r="E49" s="32" t="str">
        <f>IF(AND(ISNUMBER(Roster!$B49),Setup!$B$23="Yes",ISNUMBER(Setup!$C$23)),EDATE(Roster!$B49,12*Setup!$C$23),"")</f>
        <v/>
      </c>
      <c r="F49" s="32" t="str">
        <f>IF(AND(ISNUMBER(Roster!$B49),Setup!$B$24="Yes",ISNUMBER(Setup!$C$24)),EDATE(Roster!$B49,12*Setup!$C$24),"")</f>
        <v/>
      </c>
      <c r="G49" s="32" t="str">
        <f>IF(AND(ISNUMBER(Roster!$B49),Setup!$B$25="Yes",ISNUMBER(Setup!$C$25)),EDATE(Roster!$B49,12*Setup!$C$25),"")</f>
        <v/>
      </c>
      <c r="H49" s="32" t="str">
        <f>IF(AND(ISNUMBER(Roster!$B49),Setup!$B$26="Yes",ISNUMBER(Setup!$C$26)),EDATE(Roster!$B49,12*Setup!$C$26),"")</f>
        <v/>
      </c>
      <c r="I49" s="32" t="str">
        <f>IF(AND(ISNUMBER(Roster!$B49),Setup!$B$27="Yes",ISNUMBER(Setup!$C$27)),EDATE(Roster!$B49,12*Setup!$C$27),"")</f>
        <v/>
      </c>
      <c r="J49" s="32" t="str">
        <f>IF(AND(ISNUMBER(Roster!$B49),Setup!$B$28="Yes",ISNUMBER(Setup!$C$28)),EDATE(Roster!$B49,12*Setup!$C$28),"")</f>
        <v/>
      </c>
      <c r="K49" s="32" t="str">
        <f>IF(AND(ISNUMBER(Roster!$B49),Setup!$B$29="Yes",ISNUMBER(Setup!$C$29)),EDATE(Roster!$B49,12*Setup!$C$29),"")</f>
        <v/>
      </c>
      <c r="L49" s="32" t="str">
        <f>IF(AND(ISNUMBER(Roster!$B49),Setup!$B$30="Yes",ISNUMBER(Setup!$C$30)),EDATE(Roster!$B49,12*Setup!$C$30),"")</f>
        <v/>
      </c>
      <c r="M49" s="32" t="str">
        <f>IF(AND(ISNUMBER(Roster!$B49),Setup!$B$31="Yes",ISNUMBER(Setup!$C$31)),EDATE(Roster!$B49,12*Setup!$C$31),"")</f>
        <v/>
      </c>
      <c r="N49" s="32" t="str">
        <f>IF(AND(ISNUMBER(Roster!$B49),Setup!$B$32="Yes",ISNUMBER(Setup!$C$32)),EDATE(Roster!$B49,12*Setup!$C$32),"")</f>
        <v/>
      </c>
      <c r="O49" s="32" t="str">
        <f>IF(AND(ISNUMBER(Roster!$B49),Setup!$B$33="Yes",ISNUMBER(Setup!$C$33)),EDATE(Roster!$B49,12*Setup!$C$33),"")</f>
        <v/>
      </c>
      <c r="P49" s="32" t="str">
        <f>IF(AND(ISNUMBER(Roster!$B49),Setup!$B$34="Yes",ISNUMBER(Setup!$C$34)),EDATE(Roster!$B49,12*Setup!$C$34),"")</f>
        <v/>
      </c>
      <c r="R49" t="str">
        <f>IF(B49="","",IF(B49&lt;Setup!$C$5-Setup!$C$6,"",IF(IF(ISNUMBER(Roster!$D49),Setup!$C$20&lt;=Roster!$D49,FALSE),"",IF(OR(IF(Setup!$C$15&lt;=Setup!$C$16,AND(MONTH(B49)&gt;=Setup!$C$15,MONTH(B49)&lt;=Setup!$C$16),OR(MONTH(B49)&gt;=Setup!$C$15,MONTH(B49)&lt;=Setup!$C$16)),IF(Setup!$C$15&lt;=Setup!$C$16,AND(MONTH(WORKDAY(B49,-(Setup!$C$13+Setup!$G$20),Setup!$C$39:$C$50))&gt;=Setup!$C$15,MONTH(WORKDAY(B49,-(Setup!$C$13+Setup!$G$20),Setup!$C$39:$C$50))&lt;=Setup!$C$16),OR(MONTH(WORKDAY(B49,-(Setup!$C$13+Setup!$G$20),Setup!$C$39:$C$50))&gt;=Setup!$C$15,MONTH(WORKDAY(B49,-(Setup!$C$13+Setup!$G$20),Setup!$C$39:$C$50))&lt;=Setup!$C$16))),WORKDAY(B49,-(Setup!$C$13+Setup!$G$20+Setup!$C$14),Setup!$C$39:$C$50),WORKDAY(B49,-(Setup!$C$13+Setup!$G$20),Setup!$C$39:$C$50))+(44*100+1)/10000000)))</f>
        <v/>
      </c>
      <c r="S49" t="str">
        <f>IF(C49="","",IF(C49&lt;Setup!$C$5-Setup!$C$6,"",IF(IF(ISNUMBER(Roster!$D49),Setup!$C$21&lt;=Roster!$D49,FALSE),"",IF(OR(IF(Setup!$C$15&lt;=Setup!$C$16,AND(MONTH(C49)&gt;=Setup!$C$15,MONTH(C49)&lt;=Setup!$C$16),OR(MONTH(C49)&gt;=Setup!$C$15,MONTH(C49)&lt;=Setup!$C$16)),IF(Setup!$C$15&lt;=Setup!$C$16,AND(MONTH(WORKDAY(C49,-(Setup!$C$13+Setup!$G$21),Setup!$C$39:$C$50))&gt;=Setup!$C$15,MONTH(WORKDAY(C49,-(Setup!$C$13+Setup!$G$21),Setup!$C$39:$C$50))&lt;=Setup!$C$16),OR(MONTH(WORKDAY(C49,-(Setup!$C$13+Setup!$G$21),Setup!$C$39:$C$50))&gt;=Setup!$C$15,MONTH(WORKDAY(C49,-(Setup!$C$13+Setup!$G$21),Setup!$C$39:$C$50))&lt;=Setup!$C$16))),WORKDAY(C49,-(Setup!$C$13+Setup!$G$21+Setup!$C$14),Setup!$C$39:$C$50),WORKDAY(C49,-(Setup!$C$13+Setup!$G$21),Setup!$C$39:$C$50))+(44*100+2)/10000000)))</f>
        <v/>
      </c>
      <c r="T49" t="str">
        <f>IF(D49="","",IF(D49&lt;Setup!$C$5-Setup!$C$6,"",IF(IF(ISNUMBER(Roster!$D49),Setup!$C$22&lt;=Roster!$D49,FALSE),"",IF(OR(IF(Setup!$C$15&lt;=Setup!$C$16,AND(MONTH(D49)&gt;=Setup!$C$15,MONTH(D49)&lt;=Setup!$C$16),OR(MONTH(D49)&gt;=Setup!$C$15,MONTH(D49)&lt;=Setup!$C$16)),IF(Setup!$C$15&lt;=Setup!$C$16,AND(MONTH(WORKDAY(D49,-(Setup!$C$13+Setup!$G$22),Setup!$C$39:$C$50))&gt;=Setup!$C$15,MONTH(WORKDAY(D49,-(Setup!$C$13+Setup!$G$22),Setup!$C$39:$C$50))&lt;=Setup!$C$16),OR(MONTH(WORKDAY(D49,-(Setup!$C$13+Setup!$G$22),Setup!$C$39:$C$50))&gt;=Setup!$C$15,MONTH(WORKDAY(D49,-(Setup!$C$13+Setup!$G$22),Setup!$C$39:$C$50))&lt;=Setup!$C$16))),WORKDAY(D49,-(Setup!$C$13+Setup!$G$22+Setup!$C$14),Setup!$C$39:$C$50),WORKDAY(D49,-(Setup!$C$13+Setup!$G$22),Setup!$C$39:$C$50))+(44*100+3)/10000000)))</f>
        <v/>
      </c>
      <c r="U49" t="str">
        <f>IF(E49="","",IF(E49&lt;Setup!$C$5-Setup!$C$6,"",IF(IF(ISNUMBER(Roster!$D49),Setup!$C$23&lt;=Roster!$D49,FALSE),"",IF(OR(IF(Setup!$C$15&lt;=Setup!$C$16,AND(MONTH(E49)&gt;=Setup!$C$15,MONTH(E49)&lt;=Setup!$C$16),OR(MONTH(E49)&gt;=Setup!$C$15,MONTH(E49)&lt;=Setup!$C$16)),IF(Setup!$C$15&lt;=Setup!$C$16,AND(MONTH(WORKDAY(E49,-(Setup!$C$13+Setup!$G$23),Setup!$C$39:$C$50))&gt;=Setup!$C$15,MONTH(WORKDAY(E49,-(Setup!$C$13+Setup!$G$23),Setup!$C$39:$C$50))&lt;=Setup!$C$16),OR(MONTH(WORKDAY(E49,-(Setup!$C$13+Setup!$G$23),Setup!$C$39:$C$50))&gt;=Setup!$C$15,MONTH(WORKDAY(E49,-(Setup!$C$13+Setup!$G$23),Setup!$C$39:$C$50))&lt;=Setup!$C$16))),WORKDAY(E49,-(Setup!$C$13+Setup!$G$23+Setup!$C$14),Setup!$C$39:$C$50),WORKDAY(E49,-(Setup!$C$13+Setup!$G$23),Setup!$C$39:$C$50))+(44*100+4)/10000000)))</f>
        <v/>
      </c>
      <c r="V49" t="str">
        <f>IF(F49="","",IF(F49&lt;Setup!$C$5-Setup!$C$6,"",IF(IF(ISNUMBER(Roster!$D49),Setup!$C$24&lt;=Roster!$D49,FALSE),"",IF(OR(IF(Setup!$C$15&lt;=Setup!$C$16,AND(MONTH(F49)&gt;=Setup!$C$15,MONTH(F49)&lt;=Setup!$C$16),OR(MONTH(F49)&gt;=Setup!$C$15,MONTH(F49)&lt;=Setup!$C$16)),IF(Setup!$C$15&lt;=Setup!$C$16,AND(MONTH(WORKDAY(F49,-(Setup!$C$13+Setup!$G$24),Setup!$C$39:$C$50))&gt;=Setup!$C$15,MONTH(WORKDAY(F49,-(Setup!$C$13+Setup!$G$24),Setup!$C$39:$C$50))&lt;=Setup!$C$16),OR(MONTH(WORKDAY(F49,-(Setup!$C$13+Setup!$G$24),Setup!$C$39:$C$50))&gt;=Setup!$C$15,MONTH(WORKDAY(F49,-(Setup!$C$13+Setup!$G$24),Setup!$C$39:$C$50))&lt;=Setup!$C$16))),WORKDAY(F49,-(Setup!$C$13+Setup!$G$24+Setup!$C$14),Setup!$C$39:$C$50),WORKDAY(F49,-(Setup!$C$13+Setup!$G$24),Setup!$C$39:$C$50))+(44*100+5)/10000000)))</f>
        <v/>
      </c>
      <c r="W49" t="str">
        <f>IF(G49="","",IF(G49&lt;Setup!$C$5-Setup!$C$6,"",IF(IF(ISNUMBER(Roster!$D49),Setup!$C$25&lt;=Roster!$D49,FALSE),"",IF(OR(IF(Setup!$C$15&lt;=Setup!$C$16,AND(MONTH(G49)&gt;=Setup!$C$15,MONTH(G49)&lt;=Setup!$C$16),OR(MONTH(G49)&gt;=Setup!$C$15,MONTH(G49)&lt;=Setup!$C$16)),IF(Setup!$C$15&lt;=Setup!$C$16,AND(MONTH(WORKDAY(G49,-(Setup!$C$13+Setup!$G$25),Setup!$C$39:$C$50))&gt;=Setup!$C$15,MONTH(WORKDAY(G49,-(Setup!$C$13+Setup!$G$25),Setup!$C$39:$C$50))&lt;=Setup!$C$16),OR(MONTH(WORKDAY(G49,-(Setup!$C$13+Setup!$G$25),Setup!$C$39:$C$50))&gt;=Setup!$C$15,MONTH(WORKDAY(G49,-(Setup!$C$13+Setup!$G$25),Setup!$C$39:$C$50))&lt;=Setup!$C$16))),WORKDAY(G49,-(Setup!$C$13+Setup!$G$25+Setup!$C$14),Setup!$C$39:$C$50),WORKDAY(G49,-(Setup!$C$13+Setup!$G$25),Setup!$C$39:$C$50))+(44*100+6)/10000000)))</f>
        <v/>
      </c>
      <c r="X49" t="str">
        <f>IF(H49="","",IF(H49&lt;Setup!$C$5-Setup!$C$6,"",IF(IF(ISNUMBER(Roster!$D49),Setup!$C$26&lt;=Roster!$D49,FALSE),"",IF(OR(IF(Setup!$C$15&lt;=Setup!$C$16,AND(MONTH(H49)&gt;=Setup!$C$15,MONTH(H49)&lt;=Setup!$C$16),OR(MONTH(H49)&gt;=Setup!$C$15,MONTH(H49)&lt;=Setup!$C$16)),IF(Setup!$C$15&lt;=Setup!$C$16,AND(MONTH(WORKDAY(H49,-(Setup!$C$13+Setup!$G$26),Setup!$C$39:$C$50))&gt;=Setup!$C$15,MONTH(WORKDAY(H49,-(Setup!$C$13+Setup!$G$26),Setup!$C$39:$C$50))&lt;=Setup!$C$16),OR(MONTH(WORKDAY(H49,-(Setup!$C$13+Setup!$G$26),Setup!$C$39:$C$50))&gt;=Setup!$C$15,MONTH(WORKDAY(H49,-(Setup!$C$13+Setup!$G$26),Setup!$C$39:$C$50))&lt;=Setup!$C$16))),WORKDAY(H49,-(Setup!$C$13+Setup!$G$26+Setup!$C$14),Setup!$C$39:$C$50),WORKDAY(H49,-(Setup!$C$13+Setup!$G$26),Setup!$C$39:$C$50))+(44*100+7)/10000000)))</f>
        <v/>
      </c>
      <c r="Y49" t="str">
        <f>IF(I49="","",IF(I49&lt;Setup!$C$5-Setup!$C$6,"",IF(IF(ISNUMBER(Roster!$D49),Setup!$C$27&lt;=Roster!$D49,FALSE),"",IF(OR(IF(Setup!$C$15&lt;=Setup!$C$16,AND(MONTH(I49)&gt;=Setup!$C$15,MONTH(I49)&lt;=Setup!$C$16),OR(MONTH(I49)&gt;=Setup!$C$15,MONTH(I49)&lt;=Setup!$C$16)),IF(Setup!$C$15&lt;=Setup!$C$16,AND(MONTH(WORKDAY(I49,-(Setup!$C$13+Setup!$G$27),Setup!$C$39:$C$50))&gt;=Setup!$C$15,MONTH(WORKDAY(I49,-(Setup!$C$13+Setup!$G$27),Setup!$C$39:$C$50))&lt;=Setup!$C$16),OR(MONTH(WORKDAY(I49,-(Setup!$C$13+Setup!$G$27),Setup!$C$39:$C$50))&gt;=Setup!$C$15,MONTH(WORKDAY(I49,-(Setup!$C$13+Setup!$G$27),Setup!$C$39:$C$50))&lt;=Setup!$C$16))),WORKDAY(I49,-(Setup!$C$13+Setup!$G$27+Setup!$C$14),Setup!$C$39:$C$50),WORKDAY(I49,-(Setup!$C$13+Setup!$G$27),Setup!$C$39:$C$50))+(44*100+8)/10000000)))</f>
        <v/>
      </c>
      <c r="Z49" t="str">
        <f>IF(J49="","",IF(J49&lt;Setup!$C$5-Setup!$C$6,"",IF(IF(ISNUMBER(Roster!$D49),Setup!$C$28&lt;=Roster!$D49,FALSE),"",IF(OR(IF(Setup!$C$15&lt;=Setup!$C$16,AND(MONTH(J49)&gt;=Setup!$C$15,MONTH(J49)&lt;=Setup!$C$16),OR(MONTH(J49)&gt;=Setup!$C$15,MONTH(J49)&lt;=Setup!$C$16)),IF(Setup!$C$15&lt;=Setup!$C$16,AND(MONTH(WORKDAY(J49,-(Setup!$C$13+Setup!$G$28),Setup!$C$39:$C$50))&gt;=Setup!$C$15,MONTH(WORKDAY(J49,-(Setup!$C$13+Setup!$G$28),Setup!$C$39:$C$50))&lt;=Setup!$C$16),OR(MONTH(WORKDAY(J49,-(Setup!$C$13+Setup!$G$28),Setup!$C$39:$C$50))&gt;=Setup!$C$15,MONTH(WORKDAY(J49,-(Setup!$C$13+Setup!$G$28),Setup!$C$39:$C$50))&lt;=Setup!$C$16))),WORKDAY(J49,-(Setup!$C$13+Setup!$G$28+Setup!$C$14),Setup!$C$39:$C$50),WORKDAY(J49,-(Setup!$C$13+Setup!$G$28),Setup!$C$39:$C$50))+(44*100+9)/10000000)))</f>
        <v/>
      </c>
      <c r="AA49" t="str">
        <f>IF(K49="","",IF(K49&lt;Setup!$C$5-Setup!$C$6,"",IF(IF(ISNUMBER(Roster!$D49),Setup!$C$29&lt;=Roster!$D49,FALSE),"",IF(OR(IF(Setup!$C$15&lt;=Setup!$C$16,AND(MONTH(K49)&gt;=Setup!$C$15,MONTH(K49)&lt;=Setup!$C$16),OR(MONTH(K49)&gt;=Setup!$C$15,MONTH(K49)&lt;=Setup!$C$16)),IF(Setup!$C$15&lt;=Setup!$C$16,AND(MONTH(WORKDAY(K49,-(Setup!$C$13+Setup!$G$29),Setup!$C$39:$C$50))&gt;=Setup!$C$15,MONTH(WORKDAY(K49,-(Setup!$C$13+Setup!$G$29),Setup!$C$39:$C$50))&lt;=Setup!$C$16),OR(MONTH(WORKDAY(K49,-(Setup!$C$13+Setup!$G$29),Setup!$C$39:$C$50))&gt;=Setup!$C$15,MONTH(WORKDAY(K49,-(Setup!$C$13+Setup!$G$29),Setup!$C$39:$C$50))&lt;=Setup!$C$16))),WORKDAY(K49,-(Setup!$C$13+Setup!$G$29+Setup!$C$14),Setup!$C$39:$C$50),WORKDAY(K49,-(Setup!$C$13+Setup!$G$29),Setup!$C$39:$C$50))+(44*100+10)/10000000)))</f>
        <v/>
      </c>
      <c r="AB49" t="str">
        <f>IF(L49="","",IF(L49&lt;Setup!$C$5-Setup!$C$6,"",IF(IF(ISNUMBER(Roster!$D49),Setup!$C$30&lt;=Roster!$D49,FALSE),"",IF(OR(IF(Setup!$C$15&lt;=Setup!$C$16,AND(MONTH(L49)&gt;=Setup!$C$15,MONTH(L49)&lt;=Setup!$C$16),OR(MONTH(L49)&gt;=Setup!$C$15,MONTH(L49)&lt;=Setup!$C$16)),IF(Setup!$C$15&lt;=Setup!$C$16,AND(MONTH(WORKDAY(L49,-(Setup!$C$13+Setup!$G$30),Setup!$C$39:$C$50))&gt;=Setup!$C$15,MONTH(WORKDAY(L49,-(Setup!$C$13+Setup!$G$30),Setup!$C$39:$C$50))&lt;=Setup!$C$16),OR(MONTH(WORKDAY(L49,-(Setup!$C$13+Setup!$G$30),Setup!$C$39:$C$50))&gt;=Setup!$C$15,MONTH(WORKDAY(L49,-(Setup!$C$13+Setup!$G$30),Setup!$C$39:$C$50))&lt;=Setup!$C$16))),WORKDAY(L49,-(Setup!$C$13+Setup!$G$30+Setup!$C$14),Setup!$C$39:$C$50),WORKDAY(L49,-(Setup!$C$13+Setup!$G$30),Setup!$C$39:$C$50))+(44*100+11)/10000000)))</f>
        <v/>
      </c>
      <c r="AC49" t="str">
        <f>IF(M49="","",IF(M49&lt;Setup!$C$5-Setup!$C$6,"",IF(IF(ISNUMBER(Roster!$D49),Setup!$C$31&lt;=Roster!$D49,FALSE),"",IF(OR(IF(Setup!$C$15&lt;=Setup!$C$16,AND(MONTH(M49)&gt;=Setup!$C$15,MONTH(M49)&lt;=Setup!$C$16),OR(MONTH(M49)&gt;=Setup!$C$15,MONTH(M49)&lt;=Setup!$C$16)),IF(Setup!$C$15&lt;=Setup!$C$16,AND(MONTH(WORKDAY(M49,-(Setup!$C$13+Setup!$G$31),Setup!$C$39:$C$50))&gt;=Setup!$C$15,MONTH(WORKDAY(M49,-(Setup!$C$13+Setup!$G$31),Setup!$C$39:$C$50))&lt;=Setup!$C$16),OR(MONTH(WORKDAY(M49,-(Setup!$C$13+Setup!$G$31),Setup!$C$39:$C$50))&gt;=Setup!$C$15,MONTH(WORKDAY(M49,-(Setup!$C$13+Setup!$G$31),Setup!$C$39:$C$50))&lt;=Setup!$C$16))),WORKDAY(M49,-(Setup!$C$13+Setup!$G$31+Setup!$C$14),Setup!$C$39:$C$50),WORKDAY(M49,-(Setup!$C$13+Setup!$G$31),Setup!$C$39:$C$50))+(44*100+12)/10000000)))</f>
        <v/>
      </c>
      <c r="AD49" t="str">
        <f>IF(N49="","",IF(N49&lt;Setup!$C$5-Setup!$C$6,"",IF(IF(ISNUMBER(Roster!$D49),Setup!$C$32&lt;=Roster!$D49,FALSE),"",IF(OR(IF(Setup!$C$15&lt;=Setup!$C$16,AND(MONTH(N49)&gt;=Setup!$C$15,MONTH(N49)&lt;=Setup!$C$16),OR(MONTH(N49)&gt;=Setup!$C$15,MONTH(N49)&lt;=Setup!$C$16)),IF(Setup!$C$15&lt;=Setup!$C$16,AND(MONTH(WORKDAY(N49,-(Setup!$C$13+Setup!$G$32),Setup!$C$39:$C$50))&gt;=Setup!$C$15,MONTH(WORKDAY(N49,-(Setup!$C$13+Setup!$G$32),Setup!$C$39:$C$50))&lt;=Setup!$C$16),OR(MONTH(WORKDAY(N49,-(Setup!$C$13+Setup!$G$32),Setup!$C$39:$C$50))&gt;=Setup!$C$15,MONTH(WORKDAY(N49,-(Setup!$C$13+Setup!$G$32),Setup!$C$39:$C$50))&lt;=Setup!$C$16))),WORKDAY(N49,-(Setup!$C$13+Setup!$G$32+Setup!$C$14),Setup!$C$39:$C$50),WORKDAY(N49,-(Setup!$C$13+Setup!$G$32),Setup!$C$39:$C$50))+(44*100+13)/10000000)))</f>
        <v/>
      </c>
      <c r="AE49" t="str">
        <f>IF(O49="","",IF(O49&lt;Setup!$C$5-Setup!$C$6,"",IF(IF(ISNUMBER(Roster!$D49),Setup!$C$33&lt;=Roster!$D49,FALSE),"",IF(OR(IF(Setup!$C$15&lt;=Setup!$C$16,AND(MONTH(O49)&gt;=Setup!$C$15,MONTH(O49)&lt;=Setup!$C$16),OR(MONTH(O49)&gt;=Setup!$C$15,MONTH(O49)&lt;=Setup!$C$16)),IF(Setup!$C$15&lt;=Setup!$C$16,AND(MONTH(WORKDAY(O49,-(Setup!$C$13+Setup!$G$33),Setup!$C$39:$C$50))&gt;=Setup!$C$15,MONTH(WORKDAY(O49,-(Setup!$C$13+Setup!$G$33),Setup!$C$39:$C$50))&lt;=Setup!$C$16),OR(MONTH(WORKDAY(O49,-(Setup!$C$13+Setup!$G$33),Setup!$C$39:$C$50))&gt;=Setup!$C$15,MONTH(WORKDAY(O49,-(Setup!$C$13+Setup!$G$33),Setup!$C$39:$C$50))&lt;=Setup!$C$16))),WORKDAY(O49,-(Setup!$C$13+Setup!$G$33+Setup!$C$14),Setup!$C$39:$C$50),WORKDAY(O49,-(Setup!$C$13+Setup!$G$33),Setup!$C$39:$C$50))+(44*100+14)/10000000)))</f>
        <v/>
      </c>
      <c r="AF49" t="str">
        <f>IF(P49="","",IF(P49&lt;Setup!$C$5-Setup!$C$6,"",IF(IF(ISNUMBER(Roster!$D49),Setup!$C$34&lt;=Roster!$D49,FALSE),"",IF(OR(IF(Setup!$C$15&lt;=Setup!$C$16,AND(MONTH(P49)&gt;=Setup!$C$15,MONTH(P49)&lt;=Setup!$C$16),OR(MONTH(P49)&gt;=Setup!$C$15,MONTH(P49)&lt;=Setup!$C$16)),IF(Setup!$C$15&lt;=Setup!$C$16,AND(MONTH(WORKDAY(P49,-(Setup!$C$13+Setup!$G$34),Setup!$C$39:$C$50))&gt;=Setup!$C$15,MONTH(WORKDAY(P49,-(Setup!$C$13+Setup!$G$34),Setup!$C$39:$C$50))&lt;=Setup!$C$16),OR(MONTH(WORKDAY(P49,-(Setup!$C$13+Setup!$G$34),Setup!$C$39:$C$50))&gt;=Setup!$C$15,MONTH(WORKDAY(P49,-(Setup!$C$13+Setup!$G$34),Setup!$C$39:$C$50))&lt;=Setup!$C$16))),WORKDAY(P49,-(Setup!$C$13+Setup!$G$34+Setup!$C$14),Setup!$C$39:$C$50),WORKDAY(P49,-(Setup!$C$13+Setup!$G$34),Setup!$C$39:$C$50))+(44*100+15)/10000000)))</f>
        <v/>
      </c>
      <c r="AH49" t="str">
        <f t="shared" si="0"/>
        <v/>
      </c>
      <c r="AI49" t="str">
        <f t="shared" si="1"/>
        <v/>
      </c>
      <c r="AK49" t="str">
        <f ca="1">IF(44&gt;$AK$2,"",SMALL($R$6:$AF$505,44))</f>
        <v/>
      </c>
      <c r="AL49" t="str">
        <f t="shared" ca="1" si="2"/>
        <v/>
      </c>
      <c r="AM49" t="str">
        <f t="shared" ca="1" si="3"/>
        <v/>
      </c>
      <c r="AN49" t="str">
        <f t="shared" ca="1" si="4"/>
        <v/>
      </c>
      <c r="AP49" t="str">
        <f>IF(ISNUMBER(Roster!$B49),MAX(1,YEAR(Setup!$C$5)-YEAR(Roster!$B49)+IF(EDATE(Roster!$B49,12*(YEAR(Setup!$C$5)-YEAR(Roster!$B49)))&lt;Setup!$C$5,1,0)),"")</f>
        <v/>
      </c>
      <c r="AQ49" s="32" t="str">
        <f>IF(AP49="","",EDATE(Roster!$B49,12*AP49))</f>
        <v/>
      </c>
      <c r="AR49" t="str">
        <f>IF(AQ49="","",IF(AQ49&lt;DATE(YEAR(Setup!$C$5)+1,MONTH(Setup!$C$5),DAY(Setup!$C$5)),AQ49+44/1000,""))</f>
        <v/>
      </c>
      <c r="AS49" t="str">
        <f t="shared" si="5"/>
        <v/>
      </c>
      <c r="AT49" t="str">
        <f>IF(AS49="","",IF(ISNUMBER(Roster!$D49),Roster!$D49&gt;=AP49,FALSE))</f>
        <v/>
      </c>
      <c r="AU49" t="str">
        <f t="shared" si="6"/>
        <v/>
      </c>
      <c r="AV49" t="str">
        <f ca="1">IF(44&gt;$AV$2,"",SMALL($AR$6:$AR$505,44))</f>
        <v/>
      </c>
      <c r="AW49" t="str">
        <f t="shared" ca="1" si="7"/>
        <v/>
      </c>
    </row>
    <row r="50" spans="2:49" x14ac:dyDescent="0.2">
      <c r="B50" s="32" t="str">
        <f>IF(AND(ISNUMBER(Roster!$B50),Setup!$B$20="Yes",ISNUMBER(Setup!$C$20)),EDATE(Roster!$B50,12*Setup!$C$20),"")</f>
        <v/>
      </c>
      <c r="C50" s="32" t="str">
        <f>IF(AND(ISNUMBER(Roster!$B50),Setup!$B$21="Yes",ISNUMBER(Setup!$C$21)),EDATE(Roster!$B50,12*Setup!$C$21),"")</f>
        <v/>
      </c>
      <c r="D50" s="32" t="str">
        <f>IF(AND(ISNUMBER(Roster!$B50),Setup!$B$22="Yes",ISNUMBER(Setup!$C$22)),EDATE(Roster!$B50,12*Setup!$C$22),"")</f>
        <v/>
      </c>
      <c r="E50" s="32" t="str">
        <f>IF(AND(ISNUMBER(Roster!$B50),Setup!$B$23="Yes",ISNUMBER(Setup!$C$23)),EDATE(Roster!$B50,12*Setup!$C$23),"")</f>
        <v/>
      </c>
      <c r="F50" s="32" t="str">
        <f>IF(AND(ISNUMBER(Roster!$B50),Setup!$B$24="Yes",ISNUMBER(Setup!$C$24)),EDATE(Roster!$B50,12*Setup!$C$24),"")</f>
        <v/>
      </c>
      <c r="G50" s="32" t="str">
        <f>IF(AND(ISNUMBER(Roster!$B50),Setup!$B$25="Yes",ISNUMBER(Setup!$C$25)),EDATE(Roster!$B50,12*Setup!$C$25),"")</f>
        <v/>
      </c>
      <c r="H50" s="32" t="str">
        <f>IF(AND(ISNUMBER(Roster!$B50),Setup!$B$26="Yes",ISNUMBER(Setup!$C$26)),EDATE(Roster!$B50,12*Setup!$C$26),"")</f>
        <v/>
      </c>
      <c r="I50" s="32" t="str">
        <f>IF(AND(ISNUMBER(Roster!$B50),Setup!$B$27="Yes",ISNUMBER(Setup!$C$27)),EDATE(Roster!$B50,12*Setup!$C$27),"")</f>
        <v/>
      </c>
      <c r="J50" s="32" t="str">
        <f>IF(AND(ISNUMBER(Roster!$B50),Setup!$B$28="Yes",ISNUMBER(Setup!$C$28)),EDATE(Roster!$B50,12*Setup!$C$28),"")</f>
        <v/>
      </c>
      <c r="K50" s="32" t="str">
        <f>IF(AND(ISNUMBER(Roster!$B50),Setup!$B$29="Yes",ISNUMBER(Setup!$C$29)),EDATE(Roster!$B50,12*Setup!$C$29),"")</f>
        <v/>
      </c>
      <c r="L50" s="32" t="str">
        <f>IF(AND(ISNUMBER(Roster!$B50),Setup!$B$30="Yes",ISNUMBER(Setup!$C$30)),EDATE(Roster!$B50,12*Setup!$C$30),"")</f>
        <v/>
      </c>
      <c r="M50" s="32" t="str">
        <f>IF(AND(ISNUMBER(Roster!$B50),Setup!$B$31="Yes",ISNUMBER(Setup!$C$31)),EDATE(Roster!$B50,12*Setup!$C$31),"")</f>
        <v/>
      </c>
      <c r="N50" s="32" t="str">
        <f>IF(AND(ISNUMBER(Roster!$B50),Setup!$B$32="Yes",ISNUMBER(Setup!$C$32)),EDATE(Roster!$B50,12*Setup!$C$32),"")</f>
        <v/>
      </c>
      <c r="O50" s="32" t="str">
        <f>IF(AND(ISNUMBER(Roster!$B50),Setup!$B$33="Yes",ISNUMBER(Setup!$C$33)),EDATE(Roster!$B50,12*Setup!$C$33),"")</f>
        <v/>
      </c>
      <c r="P50" s="32" t="str">
        <f>IF(AND(ISNUMBER(Roster!$B50),Setup!$B$34="Yes",ISNUMBER(Setup!$C$34)),EDATE(Roster!$B50,12*Setup!$C$34),"")</f>
        <v/>
      </c>
      <c r="R50" t="str">
        <f>IF(B50="","",IF(B50&lt;Setup!$C$5-Setup!$C$6,"",IF(IF(ISNUMBER(Roster!$D50),Setup!$C$20&lt;=Roster!$D50,FALSE),"",IF(OR(IF(Setup!$C$15&lt;=Setup!$C$16,AND(MONTH(B50)&gt;=Setup!$C$15,MONTH(B50)&lt;=Setup!$C$16),OR(MONTH(B50)&gt;=Setup!$C$15,MONTH(B50)&lt;=Setup!$C$16)),IF(Setup!$C$15&lt;=Setup!$C$16,AND(MONTH(WORKDAY(B50,-(Setup!$C$13+Setup!$G$20),Setup!$C$39:$C$50))&gt;=Setup!$C$15,MONTH(WORKDAY(B50,-(Setup!$C$13+Setup!$G$20),Setup!$C$39:$C$50))&lt;=Setup!$C$16),OR(MONTH(WORKDAY(B50,-(Setup!$C$13+Setup!$G$20),Setup!$C$39:$C$50))&gt;=Setup!$C$15,MONTH(WORKDAY(B50,-(Setup!$C$13+Setup!$G$20),Setup!$C$39:$C$50))&lt;=Setup!$C$16))),WORKDAY(B50,-(Setup!$C$13+Setup!$G$20+Setup!$C$14),Setup!$C$39:$C$50),WORKDAY(B50,-(Setup!$C$13+Setup!$G$20),Setup!$C$39:$C$50))+(45*100+1)/10000000)))</f>
        <v/>
      </c>
      <c r="S50" t="str">
        <f>IF(C50="","",IF(C50&lt;Setup!$C$5-Setup!$C$6,"",IF(IF(ISNUMBER(Roster!$D50),Setup!$C$21&lt;=Roster!$D50,FALSE),"",IF(OR(IF(Setup!$C$15&lt;=Setup!$C$16,AND(MONTH(C50)&gt;=Setup!$C$15,MONTH(C50)&lt;=Setup!$C$16),OR(MONTH(C50)&gt;=Setup!$C$15,MONTH(C50)&lt;=Setup!$C$16)),IF(Setup!$C$15&lt;=Setup!$C$16,AND(MONTH(WORKDAY(C50,-(Setup!$C$13+Setup!$G$21),Setup!$C$39:$C$50))&gt;=Setup!$C$15,MONTH(WORKDAY(C50,-(Setup!$C$13+Setup!$G$21),Setup!$C$39:$C$50))&lt;=Setup!$C$16),OR(MONTH(WORKDAY(C50,-(Setup!$C$13+Setup!$G$21),Setup!$C$39:$C$50))&gt;=Setup!$C$15,MONTH(WORKDAY(C50,-(Setup!$C$13+Setup!$G$21),Setup!$C$39:$C$50))&lt;=Setup!$C$16))),WORKDAY(C50,-(Setup!$C$13+Setup!$G$21+Setup!$C$14),Setup!$C$39:$C$50),WORKDAY(C50,-(Setup!$C$13+Setup!$G$21),Setup!$C$39:$C$50))+(45*100+2)/10000000)))</f>
        <v/>
      </c>
      <c r="T50" t="str">
        <f>IF(D50="","",IF(D50&lt;Setup!$C$5-Setup!$C$6,"",IF(IF(ISNUMBER(Roster!$D50),Setup!$C$22&lt;=Roster!$D50,FALSE),"",IF(OR(IF(Setup!$C$15&lt;=Setup!$C$16,AND(MONTH(D50)&gt;=Setup!$C$15,MONTH(D50)&lt;=Setup!$C$16),OR(MONTH(D50)&gt;=Setup!$C$15,MONTH(D50)&lt;=Setup!$C$16)),IF(Setup!$C$15&lt;=Setup!$C$16,AND(MONTH(WORKDAY(D50,-(Setup!$C$13+Setup!$G$22),Setup!$C$39:$C$50))&gt;=Setup!$C$15,MONTH(WORKDAY(D50,-(Setup!$C$13+Setup!$G$22),Setup!$C$39:$C$50))&lt;=Setup!$C$16),OR(MONTH(WORKDAY(D50,-(Setup!$C$13+Setup!$G$22),Setup!$C$39:$C$50))&gt;=Setup!$C$15,MONTH(WORKDAY(D50,-(Setup!$C$13+Setup!$G$22),Setup!$C$39:$C$50))&lt;=Setup!$C$16))),WORKDAY(D50,-(Setup!$C$13+Setup!$G$22+Setup!$C$14),Setup!$C$39:$C$50),WORKDAY(D50,-(Setup!$C$13+Setup!$G$22),Setup!$C$39:$C$50))+(45*100+3)/10000000)))</f>
        <v/>
      </c>
      <c r="U50" t="str">
        <f>IF(E50="","",IF(E50&lt;Setup!$C$5-Setup!$C$6,"",IF(IF(ISNUMBER(Roster!$D50),Setup!$C$23&lt;=Roster!$D50,FALSE),"",IF(OR(IF(Setup!$C$15&lt;=Setup!$C$16,AND(MONTH(E50)&gt;=Setup!$C$15,MONTH(E50)&lt;=Setup!$C$16),OR(MONTH(E50)&gt;=Setup!$C$15,MONTH(E50)&lt;=Setup!$C$16)),IF(Setup!$C$15&lt;=Setup!$C$16,AND(MONTH(WORKDAY(E50,-(Setup!$C$13+Setup!$G$23),Setup!$C$39:$C$50))&gt;=Setup!$C$15,MONTH(WORKDAY(E50,-(Setup!$C$13+Setup!$G$23),Setup!$C$39:$C$50))&lt;=Setup!$C$16),OR(MONTH(WORKDAY(E50,-(Setup!$C$13+Setup!$G$23),Setup!$C$39:$C$50))&gt;=Setup!$C$15,MONTH(WORKDAY(E50,-(Setup!$C$13+Setup!$G$23),Setup!$C$39:$C$50))&lt;=Setup!$C$16))),WORKDAY(E50,-(Setup!$C$13+Setup!$G$23+Setup!$C$14),Setup!$C$39:$C$50),WORKDAY(E50,-(Setup!$C$13+Setup!$G$23),Setup!$C$39:$C$50))+(45*100+4)/10000000)))</f>
        <v/>
      </c>
      <c r="V50" t="str">
        <f>IF(F50="","",IF(F50&lt;Setup!$C$5-Setup!$C$6,"",IF(IF(ISNUMBER(Roster!$D50),Setup!$C$24&lt;=Roster!$D50,FALSE),"",IF(OR(IF(Setup!$C$15&lt;=Setup!$C$16,AND(MONTH(F50)&gt;=Setup!$C$15,MONTH(F50)&lt;=Setup!$C$16),OR(MONTH(F50)&gt;=Setup!$C$15,MONTH(F50)&lt;=Setup!$C$16)),IF(Setup!$C$15&lt;=Setup!$C$16,AND(MONTH(WORKDAY(F50,-(Setup!$C$13+Setup!$G$24),Setup!$C$39:$C$50))&gt;=Setup!$C$15,MONTH(WORKDAY(F50,-(Setup!$C$13+Setup!$G$24),Setup!$C$39:$C$50))&lt;=Setup!$C$16),OR(MONTH(WORKDAY(F50,-(Setup!$C$13+Setup!$G$24),Setup!$C$39:$C$50))&gt;=Setup!$C$15,MONTH(WORKDAY(F50,-(Setup!$C$13+Setup!$G$24),Setup!$C$39:$C$50))&lt;=Setup!$C$16))),WORKDAY(F50,-(Setup!$C$13+Setup!$G$24+Setup!$C$14),Setup!$C$39:$C$50),WORKDAY(F50,-(Setup!$C$13+Setup!$G$24),Setup!$C$39:$C$50))+(45*100+5)/10000000)))</f>
        <v/>
      </c>
      <c r="W50" t="str">
        <f>IF(G50="","",IF(G50&lt;Setup!$C$5-Setup!$C$6,"",IF(IF(ISNUMBER(Roster!$D50),Setup!$C$25&lt;=Roster!$D50,FALSE),"",IF(OR(IF(Setup!$C$15&lt;=Setup!$C$16,AND(MONTH(G50)&gt;=Setup!$C$15,MONTH(G50)&lt;=Setup!$C$16),OR(MONTH(G50)&gt;=Setup!$C$15,MONTH(G50)&lt;=Setup!$C$16)),IF(Setup!$C$15&lt;=Setup!$C$16,AND(MONTH(WORKDAY(G50,-(Setup!$C$13+Setup!$G$25),Setup!$C$39:$C$50))&gt;=Setup!$C$15,MONTH(WORKDAY(G50,-(Setup!$C$13+Setup!$G$25),Setup!$C$39:$C$50))&lt;=Setup!$C$16),OR(MONTH(WORKDAY(G50,-(Setup!$C$13+Setup!$G$25),Setup!$C$39:$C$50))&gt;=Setup!$C$15,MONTH(WORKDAY(G50,-(Setup!$C$13+Setup!$G$25),Setup!$C$39:$C$50))&lt;=Setup!$C$16))),WORKDAY(G50,-(Setup!$C$13+Setup!$G$25+Setup!$C$14),Setup!$C$39:$C$50),WORKDAY(G50,-(Setup!$C$13+Setup!$G$25),Setup!$C$39:$C$50))+(45*100+6)/10000000)))</f>
        <v/>
      </c>
      <c r="X50" t="str">
        <f>IF(H50="","",IF(H50&lt;Setup!$C$5-Setup!$C$6,"",IF(IF(ISNUMBER(Roster!$D50),Setup!$C$26&lt;=Roster!$D50,FALSE),"",IF(OR(IF(Setup!$C$15&lt;=Setup!$C$16,AND(MONTH(H50)&gt;=Setup!$C$15,MONTH(H50)&lt;=Setup!$C$16),OR(MONTH(H50)&gt;=Setup!$C$15,MONTH(H50)&lt;=Setup!$C$16)),IF(Setup!$C$15&lt;=Setup!$C$16,AND(MONTH(WORKDAY(H50,-(Setup!$C$13+Setup!$G$26),Setup!$C$39:$C$50))&gt;=Setup!$C$15,MONTH(WORKDAY(H50,-(Setup!$C$13+Setup!$G$26),Setup!$C$39:$C$50))&lt;=Setup!$C$16),OR(MONTH(WORKDAY(H50,-(Setup!$C$13+Setup!$G$26),Setup!$C$39:$C$50))&gt;=Setup!$C$15,MONTH(WORKDAY(H50,-(Setup!$C$13+Setup!$G$26),Setup!$C$39:$C$50))&lt;=Setup!$C$16))),WORKDAY(H50,-(Setup!$C$13+Setup!$G$26+Setup!$C$14),Setup!$C$39:$C$50),WORKDAY(H50,-(Setup!$C$13+Setup!$G$26),Setup!$C$39:$C$50))+(45*100+7)/10000000)))</f>
        <v/>
      </c>
      <c r="Y50" t="str">
        <f>IF(I50="","",IF(I50&lt;Setup!$C$5-Setup!$C$6,"",IF(IF(ISNUMBER(Roster!$D50),Setup!$C$27&lt;=Roster!$D50,FALSE),"",IF(OR(IF(Setup!$C$15&lt;=Setup!$C$16,AND(MONTH(I50)&gt;=Setup!$C$15,MONTH(I50)&lt;=Setup!$C$16),OR(MONTH(I50)&gt;=Setup!$C$15,MONTH(I50)&lt;=Setup!$C$16)),IF(Setup!$C$15&lt;=Setup!$C$16,AND(MONTH(WORKDAY(I50,-(Setup!$C$13+Setup!$G$27),Setup!$C$39:$C$50))&gt;=Setup!$C$15,MONTH(WORKDAY(I50,-(Setup!$C$13+Setup!$G$27),Setup!$C$39:$C$50))&lt;=Setup!$C$16),OR(MONTH(WORKDAY(I50,-(Setup!$C$13+Setup!$G$27),Setup!$C$39:$C$50))&gt;=Setup!$C$15,MONTH(WORKDAY(I50,-(Setup!$C$13+Setup!$G$27),Setup!$C$39:$C$50))&lt;=Setup!$C$16))),WORKDAY(I50,-(Setup!$C$13+Setup!$G$27+Setup!$C$14),Setup!$C$39:$C$50),WORKDAY(I50,-(Setup!$C$13+Setup!$G$27),Setup!$C$39:$C$50))+(45*100+8)/10000000)))</f>
        <v/>
      </c>
      <c r="Z50" t="str">
        <f>IF(J50="","",IF(J50&lt;Setup!$C$5-Setup!$C$6,"",IF(IF(ISNUMBER(Roster!$D50),Setup!$C$28&lt;=Roster!$D50,FALSE),"",IF(OR(IF(Setup!$C$15&lt;=Setup!$C$16,AND(MONTH(J50)&gt;=Setup!$C$15,MONTH(J50)&lt;=Setup!$C$16),OR(MONTH(J50)&gt;=Setup!$C$15,MONTH(J50)&lt;=Setup!$C$16)),IF(Setup!$C$15&lt;=Setup!$C$16,AND(MONTH(WORKDAY(J50,-(Setup!$C$13+Setup!$G$28),Setup!$C$39:$C$50))&gt;=Setup!$C$15,MONTH(WORKDAY(J50,-(Setup!$C$13+Setup!$G$28),Setup!$C$39:$C$50))&lt;=Setup!$C$16),OR(MONTH(WORKDAY(J50,-(Setup!$C$13+Setup!$G$28),Setup!$C$39:$C$50))&gt;=Setup!$C$15,MONTH(WORKDAY(J50,-(Setup!$C$13+Setup!$G$28),Setup!$C$39:$C$50))&lt;=Setup!$C$16))),WORKDAY(J50,-(Setup!$C$13+Setup!$G$28+Setup!$C$14),Setup!$C$39:$C$50),WORKDAY(J50,-(Setup!$C$13+Setup!$G$28),Setup!$C$39:$C$50))+(45*100+9)/10000000)))</f>
        <v/>
      </c>
      <c r="AA50" t="str">
        <f>IF(K50="","",IF(K50&lt;Setup!$C$5-Setup!$C$6,"",IF(IF(ISNUMBER(Roster!$D50),Setup!$C$29&lt;=Roster!$D50,FALSE),"",IF(OR(IF(Setup!$C$15&lt;=Setup!$C$16,AND(MONTH(K50)&gt;=Setup!$C$15,MONTH(K50)&lt;=Setup!$C$16),OR(MONTH(K50)&gt;=Setup!$C$15,MONTH(K50)&lt;=Setup!$C$16)),IF(Setup!$C$15&lt;=Setup!$C$16,AND(MONTH(WORKDAY(K50,-(Setup!$C$13+Setup!$G$29),Setup!$C$39:$C$50))&gt;=Setup!$C$15,MONTH(WORKDAY(K50,-(Setup!$C$13+Setup!$G$29),Setup!$C$39:$C$50))&lt;=Setup!$C$16),OR(MONTH(WORKDAY(K50,-(Setup!$C$13+Setup!$G$29),Setup!$C$39:$C$50))&gt;=Setup!$C$15,MONTH(WORKDAY(K50,-(Setup!$C$13+Setup!$G$29),Setup!$C$39:$C$50))&lt;=Setup!$C$16))),WORKDAY(K50,-(Setup!$C$13+Setup!$G$29+Setup!$C$14),Setup!$C$39:$C$50),WORKDAY(K50,-(Setup!$C$13+Setup!$G$29),Setup!$C$39:$C$50))+(45*100+10)/10000000)))</f>
        <v/>
      </c>
      <c r="AB50" t="str">
        <f>IF(L50="","",IF(L50&lt;Setup!$C$5-Setup!$C$6,"",IF(IF(ISNUMBER(Roster!$D50),Setup!$C$30&lt;=Roster!$D50,FALSE),"",IF(OR(IF(Setup!$C$15&lt;=Setup!$C$16,AND(MONTH(L50)&gt;=Setup!$C$15,MONTH(L50)&lt;=Setup!$C$16),OR(MONTH(L50)&gt;=Setup!$C$15,MONTH(L50)&lt;=Setup!$C$16)),IF(Setup!$C$15&lt;=Setup!$C$16,AND(MONTH(WORKDAY(L50,-(Setup!$C$13+Setup!$G$30),Setup!$C$39:$C$50))&gt;=Setup!$C$15,MONTH(WORKDAY(L50,-(Setup!$C$13+Setup!$G$30),Setup!$C$39:$C$50))&lt;=Setup!$C$16),OR(MONTH(WORKDAY(L50,-(Setup!$C$13+Setup!$G$30),Setup!$C$39:$C$50))&gt;=Setup!$C$15,MONTH(WORKDAY(L50,-(Setup!$C$13+Setup!$G$30),Setup!$C$39:$C$50))&lt;=Setup!$C$16))),WORKDAY(L50,-(Setup!$C$13+Setup!$G$30+Setup!$C$14),Setup!$C$39:$C$50),WORKDAY(L50,-(Setup!$C$13+Setup!$G$30),Setup!$C$39:$C$50))+(45*100+11)/10000000)))</f>
        <v/>
      </c>
      <c r="AC50" t="str">
        <f>IF(M50="","",IF(M50&lt;Setup!$C$5-Setup!$C$6,"",IF(IF(ISNUMBER(Roster!$D50),Setup!$C$31&lt;=Roster!$D50,FALSE),"",IF(OR(IF(Setup!$C$15&lt;=Setup!$C$16,AND(MONTH(M50)&gt;=Setup!$C$15,MONTH(M50)&lt;=Setup!$C$16),OR(MONTH(M50)&gt;=Setup!$C$15,MONTH(M50)&lt;=Setup!$C$16)),IF(Setup!$C$15&lt;=Setup!$C$16,AND(MONTH(WORKDAY(M50,-(Setup!$C$13+Setup!$G$31),Setup!$C$39:$C$50))&gt;=Setup!$C$15,MONTH(WORKDAY(M50,-(Setup!$C$13+Setup!$G$31),Setup!$C$39:$C$50))&lt;=Setup!$C$16),OR(MONTH(WORKDAY(M50,-(Setup!$C$13+Setup!$G$31),Setup!$C$39:$C$50))&gt;=Setup!$C$15,MONTH(WORKDAY(M50,-(Setup!$C$13+Setup!$G$31),Setup!$C$39:$C$50))&lt;=Setup!$C$16))),WORKDAY(M50,-(Setup!$C$13+Setup!$G$31+Setup!$C$14),Setup!$C$39:$C$50),WORKDAY(M50,-(Setup!$C$13+Setup!$G$31),Setup!$C$39:$C$50))+(45*100+12)/10000000)))</f>
        <v/>
      </c>
      <c r="AD50" t="str">
        <f>IF(N50="","",IF(N50&lt;Setup!$C$5-Setup!$C$6,"",IF(IF(ISNUMBER(Roster!$D50),Setup!$C$32&lt;=Roster!$D50,FALSE),"",IF(OR(IF(Setup!$C$15&lt;=Setup!$C$16,AND(MONTH(N50)&gt;=Setup!$C$15,MONTH(N50)&lt;=Setup!$C$16),OR(MONTH(N50)&gt;=Setup!$C$15,MONTH(N50)&lt;=Setup!$C$16)),IF(Setup!$C$15&lt;=Setup!$C$16,AND(MONTH(WORKDAY(N50,-(Setup!$C$13+Setup!$G$32),Setup!$C$39:$C$50))&gt;=Setup!$C$15,MONTH(WORKDAY(N50,-(Setup!$C$13+Setup!$G$32),Setup!$C$39:$C$50))&lt;=Setup!$C$16),OR(MONTH(WORKDAY(N50,-(Setup!$C$13+Setup!$G$32),Setup!$C$39:$C$50))&gt;=Setup!$C$15,MONTH(WORKDAY(N50,-(Setup!$C$13+Setup!$G$32),Setup!$C$39:$C$50))&lt;=Setup!$C$16))),WORKDAY(N50,-(Setup!$C$13+Setup!$G$32+Setup!$C$14),Setup!$C$39:$C$50),WORKDAY(N50,-(Setup!$C$13+Setup!$G$32),Setup!$C$39:$C$50))+(45*100+13)/10000000)))</f>
        <v/>
      </c>
      <c r="AE50" t="str">
        <f>IF(O50="","",IF(O50&lt;Setup!$C$5-Setup!$C$6,"",IF(IF(ISNUMBER(Roster!$D50),Setup!$C$33&lt;=Roster!$D50,FALSE),"",IF(OR(IF(Setup!$C$15&lt;=Setup!$C$16,AND(MONTH(O50)&gt;=Setup!$C$15,MONTH(O50)&lt;=Setup!$C$16),OR(MONTH(O50)&gt;=Setup!$C$15,MONTH(O50)&lt;=Setup!$C$16)),IF(Setup!$C$15&lt;=Setup!$C$16,AND(MONTH(WORKDAY(O50,-(Setup!$C$13+Setup!$G$33),Setup!$C$39:$C$50))&gt;=Setup!$C$15,MONTH(WORKDAY(O50,-(Setup!$C$13+Setup!$G$33),Setup!$C$39:$C$50))&lt;=Setup!$C$16),OR(MONTH(WORKDAY(O50,-(Setup!$C$13+Setup!$G$33),Setup!$C$39:$C$50))&gt;=Setup!$C$15,MONTH(WORKDAY(O50,-(Setup!$C$13+Setup!$G$33),Setup!$C$39:$C$50))&lt;=Setup!$C$16))),WORKDAY(O50,-(Setup!$C$13+Setup!$G$33+Setup!$C$14),Setup!$C$39:$C$50),WORKDAY(O50,-(Setup!$C$13+Setup!$G$33),Setup!$C$39:$C$50))+(45*100+14)/10000000)))</f>
        <v/>
      </c>
      <c r="AF50" t="str">
        <f>IF(P50="","",IF(P50&lt;Setup!$C$5-Setup!$C$6,"",IF(IF(ISNUMBER(Roster!$D50),Setup!$C$34&lt;=Roster!$D50,FALSE),"",IF(OR(IF(Setup!$C$15&lt;=Setup!$C$16,AND(MONTH(P50)&gt;=Setup!$C$15,MONTH(P50)&lt;=Setup!$C$16),OR(MONTH(P50)&gt;=Setup!$C$15,MONTH(P50)&lt;=Setup!$C$16)),IF(Setup!$C$15&lt;=Setup!$C$16,AND(MONTH(WORKDAY(P50,-(Setup!$C$13+Setup!$G$34),Setup!$C$39:$C$50))&gt;=Setup!$C$15,MONTH(WORKDAY(P50,-(Setup!$C$13+Setup!$G$34),Setup!$C$39:$C$50))&lt;=Setup!$C$16),OR(MONTH(WORKDAY(P50,-(Setup!$C$13+Setup!$G$34),Setup!$C$39:$C$50))&gt;=Setup!$C$15,MONTH(WORKDAY(P50,-(Setup!$C$13+Setup!$G$34),Setup!$C$39:$C$50))&lt;=Setup!$C$16))),WORKDAY(P50,-(Setup!$C$13+Setup!$G$34+Setup!$C$14),Setup!$C$39:$C$50),WORKDAY(P50,-(Setup!$C$13+Setup!$G$34),Setup!$C$39:$C$50))+(45*100+15)/10000000)))</f>
        <v/>
      </c>
      <c r="AH50" t="str">
        <f t="shared" si="0"/>
        <v/>
      </c>
      <c r="AI50" t="str">
        <f t="shared" si="1"/>
        <v/>
      </c>
      <c r="AK50" t="str">
        <f ca="1">IF(45&gt;$AK$2,"",SMALL($R$6:$AF$505,45))</f>
        <v/>
      </c>
      <c r="AL50" t="str">
        <f t="shared" ca="1" si="2"/>
        <v/>
      </c>
      <c r="AM50" t="str">
        <f t="shared" ca="1" si="3"/>
        <v/>
      </c>
      <c r="AN50" t="str">
        <f t="shared" ca="1" si="4"/>
        <v/>
      </c>
      <c r="AP50" t="str">
        <f>IF(ISNUMBER(Roster!$B50),MAX(1,YEAR(Setup!$C$5)-YEAR(Roster!$B50)+IF(EDATE(Roster!$B50,12*(YEAR(Setup!$C$5)-YEAR(Roster!$B50)))&lt;Setup!$C$5,1,0)),"")</f>
        <v/>
      </c>
      <c r="AQ50" s="32" t="str">
        <f>IF(AP50="","",EDATE(Roster!$B50,12*AP50))</f>
        <v/>
      </c>
      <c r="AR50" t="str">
        <f>IF(AQ50="","",IF(AQ50&lt;DATE(YEAR(Setup!$C$5)+1,MONTH(Setup!$C$5),DAY(Setup!$C$5)),AQ50+45/1000,""))</f>
        <v/>
      </c>
      <c r="AS50" t="str">
        <f t="shared" si="5"/>
        <v/>
      </c>
      <c r="AT50" t="str">
        <f>IF(AS50="","",IF(ISNUMBER(Roster!$D50),Roster!$D50&gt;=AP50,FALSE))</f>
        <v/>
      </c>
      <c r="AU50" t="str">
        <f t="shared" si="6"/>
        <v/>
      </c>
      <c r="AV50" t="str">
        <f ca="1">IF(45&gt;$AV$2,"",SMALL($AR$6:$AR$505,45))</f>
        <v/>
      </c>
      <c r="AW50" t="str">
        <f t="shared" ca="1" si="7"/>
        <v/>
      </c>
    </row>
    <row r="51" spans="2:49" x14ac:dyDescent="0.2">
      <c r="B51" s="32" t="str">
        <f>IF(AND(ISNUMBER(Roster!$B51),Setup!$B$20="Yes",ISNUMBER(Setup!$C$20)),EDATE(Roster!$B51,12*Setup!$C$20),"")</f>
        <v/>
      </c>
      <c r="C51" s="32" t="str">
        <f>IF(AND(ISNUMBER(Roster!$B51),Setup!$B$21="Yes",ISNUMBER(Setup!$C$21)),EDATE(Roster!$B51,12*Setup!$C$21),"")</f>
        <v/>
      </c>
      <c r="D51" s="32" t="str">
        <f>IF(AND(ISNUMBER(Roster!$B51),Setup!$B$22="Yes",ISNUMBER(Setup!$C$22)),EDATE(Roster!$B51,12*Setup!$C$22),"")</f>
        <v/>
      </c>
      <c r="E51" s="32" t="str">
        <f>IF(AND(ISNUMBER(Roster!$B51),Setup!$B$23="Yes",ISNUMBER(Setup!$C$23)),EDATE(Roster!$B51,12*Setup!$C$23),"")</f>
        <v/>
      </c>
      <c r="F51" s="32" t="str">
        <f>IF(AND(ISNUMBER(Roster!$B51),Setup!$B$24="Yes",ISNUMBER(Setup!$C$24)),EDATE(Roster!$B51,12*Setup!$C$24),"")</f>
        <v/>
      </c>
      <c r="G51" s="32" t="str">
        <f>IF(AND(ISNUMBER(Roster!$B51),Setup!$B$25="Yes",ISNUMBER(Setup!$C$25)),EDATE(Roster!$B51,12*Setup!$C$25),"")</f>
        <v/>
      </c>
      <c r="H51" s="32" t="str">
        <f>IF(AND(ISNUMBER(Roster!$B51),Setup!$B$26="Yes",ISNUMBER(Setup!$C$26)),EDATE(Roster!$B51,12*Setup!$C$26),"")</f>
        <v/>
      </c>
      <c r="I51" s="32" t="str">
        <f>IF(AND(ISNUMBER(Roster!$B51),Setup!$B$27="Yes",ISNUMBER(Setup!$C$27)),EDATE(Roster!$B51,12*Setup!$C$27),"")</f>
        <v/>
      </c>
      <c r="J51" s="32" t="str">
        <f>IF(AND(ISNUMBER(Roster!$B51),Setup!$B$28="Yes",ISNUMBER(Setup!$C$28)),EDATE(Roster!$B51,12*Setup!$C$28),"")</f>
        <v/>
      </c>
      <c r="K51" s="32" t="str">
        <f>IF(AND(ISNUMBER(Roster!$B51),Setup!$B$29="Yes",ISNUMBER(Setup!$C$29)),EDATE(Roster!$B51,12*Setup!$C$29),"")</f>
        <v/>
      </c>
      <c r="L51" s="32" t="str">
        <f>IF(AND(ISNUMBER(Roster!$B51),Setup!$B$30="Yes",ISNUMBER(Setup!$C$30)),EDATE(Roster!$B51,12*Setup!$C$30),"")</f>
        <v/>
      </c>
      <c r="M51" s="32" t="str">
        <f>IF(AND(ISNUMBER(Roster!$B51),Setup!$B$31="Yes",ISNUMBER(Setup!$C$31)),EDATE(Roster!$B51,12*Setup!$C$31),"")</f>
        <v/>
      </c>
      <c r="N51" s="32" t="str">
        <f>IF(AND(ISNUMBER(Roster!$B51),Setup!$B$32="Yes",ISNUMBER(Setup!$C$32)),EDATE(Roster!$B51,12*Setup!$C$32),"")</f>
        <v/>
      </c>
      <c r="O51" s="32" t="str">
        <f>IF(AND(ISNUMBER(Roster!$B51),Setup!$B$33="Yes",ISNUMBER(Setup!$C$33)),EDATE(Roster!$B51,12*Setup!$C$33),"")</f>
        <v/>
      </c>
      <c r="P51" s="32" t="str">
        <f>IF(AND(ISNUMBER(Roster!$B51),Setup!$B$34="Yes",ISNUMBER(Setup!$C$34)),EDATE(Roster!$B51,12*Setup!$C$34),"")</f>
        <v/>
      </c>
      <c r="R51" t="str">
        <f>IF(B51="","",IF(B51&lt;Setup!$C$5-Setup!$C$6,"",IF(IF(ISNUMBER(Roster!$D51),Setup!$C$20&lt;=Roster!$D51,FALSE),"",IF(OR(IF(Setup!$C$15&lt;=Setup!$C$16,AND(MONTH(B51)&gt;=Setup!$C$15,MONTH(B51)&lt;=Setup!$C$16),OR(MONTH(B51)&gt;=Setup!$C$15,MONTH(B51)&lt;=Setup!$C$16)),IF(Setup!$C$15&lt;=Setup!$C$16,AND(MONTH(WORKDAY(B51,-(Setup!$C$13+Setup!$G$20),Setup!$C$39:$C$50))&gt;=Setup!$C$15,MONTH(WORKDAY(B51,-(Setup!$C$13+Setup!$G$20),Setup!$C$39:$C$50))&lt;=Setup!$C$16),OR(MONTH(WORKDAY(B51,-(Setup!$C$13+Setup!$G$20),Setup!$C$39:$C$50))&gt;=Setup!$C$15,MONTH(WORKDAY(B51,-(Setup!$C$13+Setup!$G$20),Setup!$C$39:$C$50))&lt;=Setup!$C$16))),WORKDAY(B51,-(Setup!$C$13+Setup!$G$20+Setup!$C$14),Setup!$C$39:$C$50),WORKDAY(B51,-(Setup!$C$13+Setup!$G$20),Setup!$C$39:$C$50))+(46*100+1)/10000000)))</f>
        <v/>
      </c>
      <c r="S51" t="str">
        <f>IF(C51="","",IF(C51&lt;Setup!$C$5-Setup!$C$6,"",IF(IF(ISNUMBER(Roster!$D51),Setup!$C$21&lt;=Roster!$D51,FALSE),"",IF(OR(IF(Setup!$C$15&lt;=Setup!$C$16,AND(MONTH(C51)&gt;=Setup!$C$15,MONTH(C51)&lt;=Setup!$C$16),OR(MONTH(C51)&gt;=Setup!$C$15,MONTH(C51)&lt;=Setup!$C$16)),IF(Setup!$C$15&lt;=Setup!$C$16,AND(MONTH(WORKDAY(C51,-(Setup!$C$13+Setup!$G$21),Setup!$C$39:$C$50))&gt;=Setup!$C$15,MONTH(WORKDAY(C51,-(Setup!$C$13+Setup!$G$21),Setup!$C$39:$C$50))&lt;=Setup!$C$16),OR(MONTH(WORKDAY(C51,-(Setup!$C$13+Setup!$G$21),Setup!$C$39:$C$50))&gt;=Setup!$C$15,MONTH(WORKDAY(C51,-(Setup!$C$13+Setup!$G$21),Setup!$C$39:$C$50))&lt;=Setup!$C$16))),WORKDAY(C51,-(Setup!$C$13+Setup!$G$21+Setup!$C$14),Setup!$C$39:$C$50),WORKDAY(C51,-(Setup!$C$13+Setup!$G$21),Setup!$C$39:$C$50))+(46*100+2)/10000000)))</f>
        <v/>
      </c>
      <c r="T51" t="str">
        <f>IF(D51="","",IF(D51&lt;Setup!$C$5-Setup!$C$6,"",IF(IF(ISNUMBER(Roster!$D51),Setup!$C$22&lt;=Roster!$D51,FALSE),"",IF(OR(IF(Setup!$C$15&lt;=Setup!$C$16,AND(MONTH(D51)&gt;=Setup!$C$15,MONTH(D51)&lt;=Setup!$C$16),OR(MONTH(D51)&gt;=Setup!$C$15,MONTH(D51)&lt;=Setup!$C$16)),IF(Setup!$C$15&lt;=Setup!$C$16,AND(MONTH(WORKDAY(D51,-(Setup!$C$13+Setup!$G$22),Setup!$C$39:$C$50))&gt;=Setup!$C$15,MONTH(WORKDAY(D51,-(Setup!$C$13+Setup!$G$22),Setup!$C$39:$C$50))&lt;=Setup!$C$16),OR(MONTH(WORKDAY(D51,-(Setup!$C$13+Setup!$G$22),Setup!$C$39:$C$50))&gt;=Setup!$C$15,MONTH(WORKDAY(D51,-(Setup!$C$13+Setup!$G$22),Setup!$C$39:$C$50))&lt;=Setup!$C$16))),WORKDAY(D51,-(Setup!$C$13+Setup!$G$22+Setup!$C$14),Setup!$C$39:$C$50),WORKDAY(D51,-(Setup!$C$13+Setup!$G$22),Setup!$C$39:$C$50))+(46*100+3)/10000000)))</f>
        <v/>
      </c>
      <c r="U51" t="str">
        <f>IF(E51="","",IF(E51&lt;Setup!$C$5-Setup!$C$6,"",IF(IF(ISNUMBER(Roster!$D51),Setup!$C$23&lt;=Roster!$D51,FALSE),"",IF(OR(IF(Setup!$C$15&lt;=Setup!$C$16,AND(MONTH(E51)&gt;=Setup!$C$15,MONTH(E51)&lt;=Setup!$C$16),OR(MONTH(E51)&gt;=Setup!$C$15,MONTH(E51)&lt;=Setup!$C$16)),IF(Setup!$C$15&lt;=Setup!$C$16,AND(MONTH(WORKDAY(E51,-(Setup!$C$13+Setup!$G$23),Setup!$C$39:$C$50))&gt;=Setup!$C$15,MONTH(WORKDAY(E51,-(Setup!$C$13+Setup!$G$23),Setup!$C$39:$C$50))&lt;=Setup!$C$16),OR(MONTH(WORKDAY(E51,-(Setup!$C$13+Setup!$G$23),Setup!$C$39:$C$50))&gt;=Setup!$C$15,MONTH(WORKDAY(E51,-(Setup!$C$13+Setup!$G$23),Setup!$C$39:$C$50))&lt;=Setup!$C$16))),WORKDAY(E51,-(Setup!$C$13+Setup!$G$23+Setup!$C$14),Setup!$C$39:$C$50),WORKDAY(E51,-(Setup!$C$13+Setup!$G$23),Setup!$C$39:$C$50))+(46*100+4)/10000000)))</f>
        <v/>
      </c>
      <c r="V51" t="str">
        <f>IF(F51="","",IF(F51&lt;Setup!$C$5-Setup!$C$6,"",IF(IF(ISNUMBER(Roster!$D51),Setup!$C$24&lt;=Roster!$D51,FALSE),"",IF(OR(IF(Setup!$C$15&lt;=Setup!$C$16,AND(MONTH(F51)&gt;=Setup!$C$15,MONTH(F51)&lt;=Setup!$C$16),OR(MONTH(F51)&gt;=Setup!$C$15,MONTH(F51)&lt;=Setup!$C$16)),IF(Setup!$C$15&lt;=Setup!$C$16,AND(MONTH(WORKDAY(F51,-(Setup!$C$13+Setup!$G$24),Setup!$C$39:$C$50))&gt;=Setup!$C$15,MONTH(WORKDAY(F51,-(Setup!$C$13+Setup!$G$24),Setup!$C$39:$C$50))&lt;=Setup!$C$16),OR(MONTH(WORKDAY(F51,-(Setup!$C$13+Setup!$G$24),Setup!$C$39:$C$50))&gt;=Setup!$C$15,MONTH(WORKDAY(F51,-(Setup!$C$13+Setup!$G$24),Setup!$C$39:$C$50))&lt;=Setup!$C$16))),WORKDAY(F51,-(Setup!$C$13+Setup!$G$24+Setup!$C$14),Setup!$C$39:$C$50),WORKDAY(F51,-(Setup!$C$13+Setup!$G$24),Setup!$C$39:$C$50))+(46*100+5)/10000000)))</f>
        <v/>
      </c>
      <c r="W51" t="str">
        <f>IF(G51="","",IF(G51&lt;Setup!$C$5-Setup!$C$6,"",IF(IF(ISNUMBER(Roster!$D51),Setup!$C$25&lt;=Roster!$D51,FALSE),"",IF(OR(IF(Setup!$C$15&lt;=Setup!$C$16,AND(MONTH(G51)&gt;=Setup!$C$15,MONTH(G51)&lt;=Setup!$C$16),OR(MONTH(G51)&gt;=Setup!$C$15,MONTH(G51)&lt;=Setup!$C$16)),IF(Setup!$C$15&lt;=Setup!$C$16,AND(MONTH(WORKDAY(G51,-(Setup!$C$13+Setup!$G$25),Setup!$C$39:$C$50))&gt;=Setup!$C$15,MONTH(WORKDAY(G51,-(Setup!$C$13+Setup!$G$25),Setup!$C$39:$C$50))&lt;=Setup!$C$16),OR(MONTH(WORKDAY(G51,-(Setup!$C$13+Setup!$G$25),Setup!$C$39:$C$50))&gt;=Setup!$C$15,MONTH(WORKDAY(G51,-(Setup!$C$13+Setup!$G$25),Setup!$C$39:$C$50))&lt;=Setup!$C$16))),WORKDAY(G51,-(Setup!$C$13+Setup!$G$25+Setup!$C$14),Setup!$C$39:$C$50),WORKDAY(G51,-(Setup!$C$13+Setup!$G$25),Setup!$C$39:$C$50))+(46*100+6)/10000000)))</f>
        <v/>
      </c>
      <c r="X51" t="str">
        <f>IF(H51="","",IF(H51&lt;Setup!$C$5-Setup!$C$6,"",IF(IF(ISNUMBER(Roster!$D51),Setup!$C$26&lt;=Roster!$D51,FALSE),"",IF(OR(IF(Setup!$C$15&lt;=Setup!$C$16,AND(MONTH(H51)&gt;=Setup!$C$15,MONTH(H51)&lt;=Setup!$C$16),OR(MONTH(H51)&gt;=Setup!$C$15,MONTH(H51)&lt;=Setup!$C$16)),IF(Setup!$C$15&lt;=Setup!$C$16,AND(MONTH(WORKDAY(H51,-(Setup!$C$13+Setup!$G$26),Setup!$C$39:$C$50))&gt;=Setup!$C$15,MONTH(WORKDAY(H51,-(Setup!$C$13+Setup!$G$26),Setup!$C$39:$C$50))&lt;=Setup!$C$16),OR(MONTH(WORKDAY(H51,-(Setup!$C$13+Setup!$G$26),Setup!$C$39:$C$50))&gt;=Setup!$C$15,MONTH(WORKDAY(H51,-(Setup!$C$13+Setup!$G$26),Setup!$C$39:$C$50))&lt;=Setup!$C$16))),WORKDAY(H51,-(Setup!$C$13+Setup!$G$26+Setup!$C$14),Setup!$C$39:$C$50),WORKDAY(H51,-(Setup!$C$13+Setup!$G$26),Setup!$C$39:$C$50))+(46*100+7)/10000000)))</f>
        <v/>
      </c>
      <c r="Y51" t="str">
        <f>IF(I51="","",IF(I51&lt;Setup!$C$5-Setup!$C$6,"",IF(IF(ISNUMBER(Roster!$D51),Setup!$C$27&lt;=Roster!$D51,FALSE),"",IF(OR(IF(Setup!$C$15&lt;=Setup!$C$16,AND(MONTH(I51)&gt;=Setup!$C$15,MONTH(I51)&lt;=Setup!$C$16),OR(MONTH(I51)&gt;=Setup!$C$15,MONTH(I51)&lt;=Setup!$C$16)),IF(Setup!$C$15&lt;=Setup!$C$16,AND(MONTH(WORKDAY(I51,-(Setup!$C$13+Setup!$G$27),Setup!$C$39:$C$50))&gt;=Setup!$C$15,MONTH(WORKDAY(I51,-(Setup!$C$13+Setup!$G$27),Setup!$C$39:$C$50))&lt;=Setup!$C$16),OR(MONTH(WORKDAY(I51,-(Setup!$C$13+Setup!$G$27),Setup!$C$39:$C$50))&gt;=Setup!$C$15,MONTH(WORKDAY(I51,-(Setup!$C$13+Setup!$G$27),Setup!$C$39:$C$50))&lt;=Setup!$C$16))),WORKDAY(I51,-(Setup!$C$13+Setup!$G$27+Setup!$C$14),Setup!$C$39:$C$50),WORKDAY(I51,-(Setup!$C$13+Setup!$G$27),Setup!$C$39:$C$50))+(46*100+8)/10000000)))</f>
        <v/>
      </c>
      <c r="Z51" t="str">
        <f>IF(J51="","",IF(J51&lt;Setup!$C$5-Setup!$C$6,"",IF(IF(ISNUMBER(Roster!$D51),Setup!$C$28&lt;=Roster!$D51,FALSE),"",IF(OR(IF(Setup!$C$15&lt;=Setup!$C$16,AND(MONTH(J51)&gt;=Setup!$C$15,MONTH(J51)&lt;=Setup!$C$16),OR(MONTH(J51)&gt;=Setup!$C$15,MONTH(J51)&lt;=Setup!$C$16)),IF(Setup!$C$15&lt;=Setup!$C$16,AND(MONTH(WORKDAY(J51,-(Setup!$C$13+Setup!$G$28),Setup!$C$39:$C$50))&gt;=Setup!$C$15,MONTH(WORKDAY(J51,-(Setup!$C$13+Setup!$G$28),Setup!$C$39:$C$50))&lt;=Setup!$C$16),OR(MONTH(WORKDAY(J51,-(Setup!$C$13+Setup!$G$28),Setup!$C$39:$C$50))&gt;=Setup!$C$15,MONTH(WORKDAY(J51,-(Setup!$C$13+Setup!$G$28),Setup!$C$39:$C$50))&lt;=Setup!$C$16))),WORKDAY(J51,-(Setup!$C$13+Setup!$G$28+Setup!$C$14),Setup!$C$39:$C$50),WORKDAY(J51,-(Setup!$C$13+Setup!$G$28),Setup!$C$39:$C$50))+(46*100+9)/10000000)))</f>
        <v/>
      </c>
      <c r="AA51" t="str">
        <f>IF(K51="","",IF(K51&lt;Setup!$C$5-Setup!$C$6,"",IF(IF(ISNUMBER(Roster!$D51),Setup!$C$29&lt;=Roster!$D51,FALSE),"",IF(OR(IF(Setup!$C$15&lt;=Setup!$C$16,AND(MONTH(K51)&gt;=Setup!$C$15,MONTH(K51)&lt;=Setup!$C$16),OR(MONTH(K51)&gt;=Setup!$C$15,MONTH(K51)&lt;=Setup!$C$16)),IF(Setup!$C$15&lt;=Setup!$C$16,AND(MONTH(WORKDAY(K51,-(Setup!$C$13+Setup!$G$29),Setup!$C$39:$C$50))&gt;=Setup!$C$15,MONTH(WORKDAY(K51,-(Setup!$C$13+Setup!$G$29),Setup!$C$39:$C$50))&lt;=Setup!$C$16),OR(MONTH(WORKDAY(K51,-(Setup!$C$13+Setup!$G$29),Setup!$C$39:$C$50))&gt;=Setup!$C$15,MONTH(WORKDAY(K51,-(Setup!$C$13+Setup!$G$29),Setup!$C$39:$C$50))&lt;=Setup!$C$16))),WORKDAY(K51,-(Setup!$C$13+Setup!$G$29+Setup!$C$14),Setup!$C$39:$C$50),WORKDAY(K51,-(Setup!$C$13+Setup!$G$29),Setup!$C$39:$C$50))+(46*100+10)/10000000)))</f>
        <v/>
      </c>
      <c r="AB51" t="str">
        <f>IF(L51="","",IF(L51&lt;Setup!$C$5-Setup!$C$6,"",IF(IF(ISNUMBER(Roster!$D51),Setup!$C$30&lt;=Roster!$D51,FALSE),"",IF(OR(IF(Setup!$C$15&lt;=Setup!$C$16,AND(MONTH(L51)&gt;=Setup!$C$15,MONTH(L51)&lt;=Setup!$C$16),OR(MONTH(L51)&gt;=Setup!$C$15,MONTH(L51)&lt;=Setup!$C$16)),IF(Setup!$C$15&lt;=Setup!$C$16,AND(MONTH(WORKDAY(L51,-(Setup!$C$13+Setup!$G$30),Setup!$C$39:$C$50))&gt;=Setup!$C$15,MONTH(WORKDAY(L51,-(Setup!$C$13+Setup!$G$30),Setup!$C$39:$C$50))&lt;=Setup!$C$16),OR(MONTH(WORKDAY(L51,-(Setup!$C$13+Setup!$G$30),Setup!$C$39:$C$50))&gt;=Setup!$C$15,MONTH(WORKDAY(L51,-(Setup!$C$13+Setup!$G$30),Setup!$C$39:$C$50))&lt;=Setup!$C$16))),WORKDAY(L51,-(Setup!$C$13+Setup!$G$30+Setup!$C$14),Setup!$C$39:$C$50),WORKDAY(L51,-(Setup!$C$13+Setup!$G$30),Setup!$C$39:$C$50))+(46*100+11)/10000000)))</f>
        <v/>
      </c>
      <c r="AC51" t="str">
        <f>IF(M51="","",IF(M51&lt;Setup!$C$5-Setup!$C$6,"",IF(IF(ISNUMBER(Roster!$D51),Setup!$C$31&lt;=Roster!$D51,FALSE),"",IF(OR(IF(Setup!$C$15&lt;=Setup!$C$16,AND(MONTH(M51)&gt;=Setup!$C$15,MONTH(M51)&lt;=Setup!$C$16),OR(MONTH(M51)&gt;=Setup!$C$15,MONTH(M51)&lt;=Setup!$C$16)),IF(Setup!$C$15&lt;=Setup!$C$16,AND(MONTH(WORKDAY(M51,-(Setup!$C$13+Setup!$G$31),Setup!$C$39:$C$50))&gt;=Setup!$C$15,MONTH(WORKDAY(M51,-(Setup!$C$13+Setup!$G$31),Setup!$C$39:$C$50))&lt;=Setup!$C$16),OR(MONTH(WORKDAY(M51,-(Setup!$C$13+Setup!$G$31),Setup!$C$39:$C$50))&gt;=Setup!$C$15,MONTH(WORKDAY(M51,-(Setup!$C$13+Setup!$G$31),Setup!$C$39:$C$50))&lt;=Setup!$C$16))),WORKDAY(M51,-(Setup!$C$13+Setup!$G$31+Setup!$C$14),Setup!$C$39:$C$50),WORKDAY(M51,-(Setup!$C$13+Setup!$G$31),Setup!$C$39:$C$50))+(46*100+12)/10000000)))</f>
        <v/>
      </c>
      <c r="AD51" t="str">
        <f>IF(N51="","",IF(N51&lt;Setup!$C$5-Setup!$C$6,"",IF(IF(ISNUMBER(Roster!$D51),Setup!$C$32&lt;=Roster!$D51,FALSE),"",IF(OR(IF(Setup!$C$15&lt;=Setup!$C$16,AND(MONTH(N51)&gt;=Setup!$C$15,MONTH(N51)&lt;=Setup!$C$16),OR(MONTH(N51)&gt;=Setup!$C$15,MONTH(N51)&lt;=Setup!$C$16)),IF(Setup!$C$15&lt;=Setup!$C$16,AND(MONTH(WORKDAY(N51,-(Setup!$C$13+Setup!$G$32),Setup!$C$39:$C$50))&gt;=Setup!$C$15,MONTH(WORKDAY(N51,-(Setup!$C$13+Setup!$G$32),Setup!$C$39:$C$50))&lt;=Setup!$C$16),OR(MONTH(WORKDAY(N51,-(Setup!$C$13+Setup!$G$32),Setup!$C$39:$C$50))&gt;=Setup!$C$15,MONTH(WORKDAY(N51,-(Setup!$C$13+Setup!$G$32),Setup!$C$39:$C$50))&lt;=Setup!$C$16))),WORKDAY(N51,-(Setup!$C$13+Setup!$G$32+Setup!$C$14),Setup!$C$39:$C$50),WORKDAY(N51,-(Setup!$C$13+Setup!$G$32),Setup!$C$39:$C$50))+(46*100+13)/10000000)))</f>
        <v/>
      </c>
      <c r="AE51" t="str">
        <f>IF(O51="","",IF(O51&lt;Setup!$C$5-Setup!$C$6,"",IF(IF(ISNUMBER(Roster!$D51),Setup!$C$33&lt;=Roster!$D51,FALSE),"",IF(OR(IF(Setup!$C$15&lt;=Setup!$C$16,AND(MONTH(O51)&gt;=Setup!$C$15,MONTH(O51)&lt;=Setup!$C$16),OR(MONTH(O51)&gt;=Setup!$C$15,MONTH(O51)&lt;=Setup!$C$16)),IF(Setup!$C$15&lt;=Setup!$C$16,AND(MONTH(WORKDAY(O51,-(Setup!$C$13+Setup!$G$33),Setup!$C$39:$C$50))&gt;=Setup!$C$15,MONTH(WORKDAY(O51,-(Setup!$C$13+Setup!$G$33),Setup!$C$39:$C$50))&lt;=Setup!$C$16),OR(MONTH(WORKDAY(O51,-(Setup!$C$13+Setup!$G$33),Setup!$C$39:$C$50))&gt;=Setup!$C$15,MONTH(WORKDAY(O51,-(Setup!$C$13+Setup!$G$33),Setup!$C$39:$C$50))&lt;=Setup!$C$16))),WORKDAY(O51,-(Setup!$C$13+Setup!$G$33+Setup!$C$14),Setup!$C$39:$C$50),WORKDAY(O51,-(Setup!$C$13+Setup!$G$33),Setup!$C$39:$C$50))+(46*100+14)/10000000)))</f>
        <v/>
      </c>
      <c r="AF51" t="str">
        <f>IF(P51="","",IF(P51&lt;Setup!$C$5-Setup!$C$6,"",IF(IF(ISNUMBER(Roster!$D51),Setup!$C$34&lt;=Roster!$D51,FALSE),"",IF(OR(IF(Setup!$C$15&lt;=Setup!$C$16,AND(MONTH(P51)&gt;=Setup!$C$15,MONTH(P51)&lt;=Setup!$C$16),OR(MONTH(P51)&gt;=Setup!$C$15,MONTH(P51)&lt;=Setup!$C$16)),IF(Setup!$C$15&lt;=Setup!$C$16,AND(MONTH(WORKDAY(P51,-(Setup!$C$13+Setup!$G$34),Setup!$C$39:$C$50))&gt;=Setup!$C$15,MONTH(WORKDAY(P51,-(Setup!$C$13+Setup!$G$34),Setup!$C$39:$C$50))&lt;=Setup!$C$16),OR(MONTH(WORKDAY(P51,-(Setup!$C$13+Setup!$G$34),Setup!$C$39:$C$50))&gt;=Setup!$C$15,MONTH(WORKDAY(P51,-(Setup!$C$13+Setup!$G$34),Setup!$C$39:$C$50))&lt;=Setup!$C$16))),WORKDAY(P51,-(Setup!$C$13+Setup!$G$34+Setup!$C$14),Setup!$C$39:$C$50),WORKDAY(P51,-(Setup!$C$13+Setup!$G$34),Setup!$C$39:$C$50))+(46*100+15)/10000000)))</f>
        <v/>
      </c>
      <c r="AH51" t="str">
        <f t="shared" si="0"/>
        <v/>
      </c>
      <c r="AI51" t="str">
        <f t="shared" si="1"/>
        <v/>
      </c>
      <c r="AK51" t="str">
        <f ca="1">IF(46&gt;$AK$2,"",SMALL($R$6:$AF$505,46))</f>
        <v/>
      </c>
      <c r="AL51" t="str">
        <f t="shared" ca="1" si="2"/>
        <v/>
      </c>
      <c r="AM51" t="str">
        <f t="shared" ca="1" si="3"/>
        <v/>
      </c>
      <c r="AN51" t="str">
        <f t="shared" ca="1" si="4"/>
        <v/>
      </c>
      <c r="AP51" t="str">
        <f>IF(ISNUMBER(Roster!$B51),MAX(1,YEAR(Setup!$C$5)-YEAR(Roster!$B51)+IF(EDATE(Roster!$B51,12*(YEAR(Setup!$C$5)-YEAR(Roster!$B51)))&lt;Setup!$C$5,1,0)),"")</f>
        <v/>
      </c>
      <c r="AQ51" s="32" t="str">
        <f>IF(AP51="","",EDATE(Roster!$B51,12*AP51))</f>
        <v/>
      </c>
      <c r="AR51" t="str">
        <f>IF(AQ51="","",IF(AQ51&lt;DATE(YEAR(Setup!$C$5)+1,MONTH(Setup!$C$5),DAY(Setup!$C$5)),AQ51+46/1000,""))</f>
        <v/>
      </c>
      <c r="AS51" t="str">
        <f t="shared" si="5"/>
        <v/>
      </c>
      <c r="AT51" t="str">
        <f>IF(AS51="","",IF(ISNUMBER(Roster!$D51),Roster!$D51&gt;=AP51,FALSE))</f>
        <v/>
      </c>
      <c r="AU51" t="str">
        <f t="shared" si="6"/>
        <v/>
      </c>
      <c r="AV51" t="str">
        <f ca="1">IF(46&gt;$AV$2,"",SMALL($AR$6:$AR$505,46))</f>
        <v/>
      </c>
      <c r="AW51" t="str">
        <f t="shared" ca="1" si="7"/>
        <v/>
      </c>
    </row>
    <row r="52" spans="2:49" x14ac:dyDescent="0.2">
      <c r="B52" s="32" t="str">
        <f>IF(AND(ISNUMBER(Roster!$B52),Setup!$B$20="Yes",ISNUMBER(Setup!$C$20)),EDATE(Roster!$B52,12*Setup!$C$20),"")</f>
        <v/>
      </c>
      <c r="C52" s="32" t="str">
        <f>IF(AND(ISNUMBER(Roster!$B52),Setup!$B$21="Yes",ISNUMBER(Setup!$C$21)),EDATE(Roster!$B52,12*Setup!$C$21),"")</f>
        <v/>
      </c>
      <c r="D52" s="32" t="str">
        <f>IF(AND(ISNUMBER(Roster!$B52),Setup!$B$22="Yes",ISNUMBER(Setup!$C$22)),EDATE(Roster!$B52,12*Setup!$C$22),"")</f>
        <v/>
      </c>
      <c r="E52" s="32" t="str">
        <f>IF(AND(ISNUMBER(Roster!$B52),Setup!$B$23="Yes",ISNUMBER(Setup!$C$23)),EDATE(Roster!$B52,12*Setup!$C$23),"")</f>
        <v/>
      </c>
      <c r="F52" s="32" t="str">
        <f>IF(AND(ISNUMBER(Roster!$B52),Setup!$B$24="Yes",ISNUMBER(Setup!$C$24)),EDATE(Roster!$B52,12*Setup!$C$24),"")</f>
        <v/>
      </c>
      <c r="G52" s="32" t="str">
        <f>IF(AND(ISNUMBER(Roster!$B52),Setup!$B$25="Yes",ISNUMBER(Setup!$C$25)),EDATE(Roster!$B52,12*Setup!$C$25),"")</f>
        <v/>
      </c>
      <c r="H52" s="32" t="str">
        <f>IF(AND(ISNUMBER(Roster!$B52),Setup!$B$26="Yes",ISNUMBER(Setup!$C$26)),EDATE(Roster!$B52,12*Setup!$C$26),"")</f>
        <v/>
      </c>
      <c r="I52" s="32" t="str">
        <f>IF(AND(ISNUMBER(Roster!$B52),Setup!$B$27="Yes",ISNUMBER(Setup!$C$27)),EDATE(Roster!$B52,12*Setup!$C$27),"")</f>
        <v/>
      </c>
      <c r="J52" s="32" t="str">
        <f>IF(AND(ISNUMBER(Roster!$B52),Setup!$B$28="Yes",ISNUMBER(Setup!$C$28)),EDATE(Roster!$B52,12*Setup!$C$28),"")</f>
        <v/>
      </c>
      <c r="K52" s="32" t="str">
        <f>IF(AND(ISNUMBER(Roster!$B52),Setup!$B$29="Yes",ISNUMBER(Setup!$C$29)),EDATE(Roster!$B52,12*Setup!$C$29),"")</f>
        <v/>
      </c>
      <c r="L52" s="32" t="str">
        <f>IF(AND(ISNUMBER(Roster!$B52),Setup!$B$30="Yes",ISNUMBER(Setup!$C$30)),EDATE(Roster!$B52,12*Setup!$C$30),"")</f>
        <v/>
      </c>
      <c r="M52" s="32" t="str">
        <f>IF(AND(ISNUMBER(Roster!$B52),Setup!$B$31="Yes",ISNUMBER(Setup!$C$31)),EDATE(Roster!$B52,12*Setup!$C$31),"")</f>
        <v/>
      </c>
      <c r="N52" s="32" t="str">
        <f>IF(AND(ISNUMBER(Roster!$B52),Setup!$B$32="Yes",ISNUMBER(Setup!$C$32)),EDATE(Roster!$B52,12*Setup!$C$32),"")</f>
        <v/>
      </c>
      <c r="O52" s="32" t="str">
        <f>IF(AND(ISNUMBER(Roster!$B52),Setup!$B$33="Yes",ISNUMBER(Setup!$C$33)),EDATE(Roster!$B52,12*Setup!$C$33),"")</f>
        <v/>
      </c>
      <c r="P52" s="32" t="str">
        <f>IF(AND(ISNUMBER(Roster!$B52),Setup!$B$34="Yes",ISNUMBER(Setup!$C$34)),EDATE(Roster!$B52,12*Setup!$C$34),"")</f>
        <v/>
      </c>
      <c r="R52" t="str">
        <f>IF(B52="","",IF(B52&lt;Setup!$C$5-Setup!$C$6,"",IF(IF(ISNUMBER(Roster!$D52),Setup!$C$20&lt;=Roster!$D52,FALSE),"",IF(OR(IF(Setup!$C$15&lt;=Setup!$C$16,AND(MONTH(B52)&gt;=Setup!$C$15,MONTH(B52)&lt;=Setup!$C$16),OR(MONTH(B52)&gt;=Setup!$C$15,MONTH(B52)&lt;=Setup!$C$16)),IF(Setup!$C$15&lt;=Setup!$C$16,AND(MONTH(WORKDAY(B52,-(Setup!$C$13+Setup!$G$20),Setup!$C$39:$C$50))&gt;=Setup!$C$15,MONTH(WORKDAY(B52,-(Setup!$C$13+Setup!$G$20),Setup!$C$39:$C$50))&lt;=Setup!$C$16),OR(MONTH(WORKDAY(B52,-(Setup!$C$13+Setup!$G$20),Setup!$C$39:$C$50))&gt;=Setup!$C$15,MONTH(WORKDAY(B52,-(Setup!$C$13+Setup!$G$20),Setup!$C$39:$C$50))&lt;=Setup!$C$16))),WORKDAY(B52,-(Setup!$C$13+Setup!$G$20+Setup!$C$14),Setup!$C$39:$C$50),WORKDAY(B52,-(Setup!$C$13+Setup!$G$20),Setup!$C$39:$C$50))+(47*100+1)/10000000)))</f>
        <v/>
      </c>
      <c r="S52" t="str">
        <f>IF(C52="","",IF(C52&lt;Setup!$C$5-Setup!$C$6,"",IF(IF(ISNUMBER(Roster!$D52),Setup!$C$21&lt;=Roster!$D52,FALSE),"",IF(OR(IF(Setup!$C$15&lt;=Setup!$C$16,AND(MONTH(C52)&gt;=Setup!$C$15,MONTH(C52)&lt;=Setup!$C$16),OR(MONTH(C52)&gt;=Setup!$C$15,MONTH(C52)&lt;=Setup!$C$16)),IF(Setup!$C$15&lt;=Setup!$C$16,AND(MONTH(WORKDAY(C52,-(Setup!$C$13+Setup!$G$21),Setup!$C$39:$C$50))&gt;=Setup!$C$15,MONTH(WORKDAY(C52,-(Setup!$C$13+Setup!$G$21),Setup!$C$39:$C$50))&lt;=Setup!$C$16),OR(MONTH(WORKDAY(C52,-(Setup!$C$13+Setup!$G$21),Setup!$C$39:$C$50))&gt;=Setup!$C$15,MONTH(WORKDAY(C52,-(Setup!$C$13+Setup!$G$21),Setup!$C$39:$C$50))&lt;=Setup!$C$16))),WORKDAY(C52,-(Setup!$C$13+Setup!$G$21+Setup!$C$14),Setup!$C$39:$C$50),WORKDAY(C52,-(Setup!$C$13+Setup!$G$21),Setup!$C$39:$C$50))+(47*100+2)/10000000)))</f>
        <v/>
      </c>
      <c r="T52" t="str">
        <f>IF(D52="","",IF(D52&lt;Setup!$C$5-Setup!$C$6,"",IF(IF(ISNUMBER(Roster!$D52),Setup!$C$22&lt;=Roster!$D52,FALSE),"",IF(OR(IF(Setup!$C$15&lt;=Setup!$C$16,AND(MONTH(D52)&gt;=Setup!$C$15,MONTH(D52)&lt;=Setup!$C$16),OR(MONTH(D52)&gt;=Setup!$C$15,MONTH(D52)&lt;=Setup!$C$16)),IF(Setup!$C$15&lt;=Setup!$C$16,AND(MONTH(WORKDAY(D52,-(Setup!$C$13+Setup!$G$22),Setup!$C$39:$C$50))&gt;=Setup!$C$15,MONTH(WORKDAY(D52,-(Setup!$C$13+Setup!$G$22),Setup!$C$39:$C$50))&lt;=Setup!$C$16),OR(MONTH(WORKDAY(D52,-(Setup!$C$13+Setup!$G$22),Setup!$C$39:$C$50))&gt;=Setup!$C$15,MONTH(WORKDAY(D52,-(Setup!$C$13+Setup!$G$22),Setup!$C$39:$C$50))&lt;=Setup!$C$16))),WORKDAY(D52,-(Setup!$C$13+Setup!$G$22+Setup!$C$14),Setup!$C$39:$C$50),WORKDAY(D52,-(Setup!$C$13+Setup!$G$22),Setup!$C$39:$C$50))+(47*100+3)/10000000)))</f>
        <v/>
      </c>
      <c r="U52" t="str">
        <f>IF(E52="","",IF(E52&lt;Setup!$C$5-Setup!$C$6,"",IF(IF(ISNUMBER(Roster!$D52),Setup!$C$23&lt;=Roster!$D52,FALSE),"",IF(OR(IF(Setup!$C$15&lt;=Setup!$C$16,AND(MONTH(E52)&gt;=Setup!$C$15,MONTH(E52)&lt;=Setup!$C$16),OR(MONTH(E52)&gt;=Setup!$C$15,MONTH(E52)&lt;=Setup!$C$16)),IF(Setup!$C$15&lt;=Setup!$C$16,AND(MONTH(WORKDAY(E52,-(Setup!$C$13+Setup!$G$23),Setup!$C$39:$C$50))&gt;=Setup!$C$15,MONTH(WORKDAY(E52,-(Setup!$C$13+Setup!$G$23),Setup!$C$39:$C$50))&lt;=Setup!$C$16),OR(MONTH(WORKDAY(E52,-(Setup!$C$13+Setup!$G$23),Setup!$C$39:$C$50))&gt;=Setup!$C$15,MONTH(WORKDAY(E52,-(Setup!$C$13+Setup!$G$23),Setup!$C$39:$C$50))&lt;=Setup!$C$16))),WORKDAY(E52,-(Setup!$C$13+Setup!$G$23+Setup!$C$14),Setup!$C$39:$C$50),WORKDAY(E52,-(Setup!$C$13+Setup!$G$23),Setup!$C$39:$C$50))+(47*100+4)/10000000)))</f>
        <v/>
      </c>
      <c r="V52" t="str">
        <f>IF(F52="","",IF(F52&lt;Setup!$C$5-Setup!$C$6,"",IF(IF(ISNUMBER(Roster!$D52),Setup!$C$24&lt;=Roster!$D52,FALSE),"",IF(OR(IF(Setup!$C$15&lt;=Setup!$C$16,AND(MONTH(F52)&gt;=Setup!$C$15,MONTH(F52)&lt;=Setup!$C$16),OR(MONTH(F52)&gt;=Setup!$C$15,MONTH(F52)&lt;=Setup!$C$16)),IF(Setup!$C$15&lt;=Setup!$C$16,AND(MONTH(WORKDAY(F52,-(Setup!$C$13+Setup!$G$24),Setup!$C$39:$C$50))&gt;=Setup!$C$15,MONTH(WORKDAY(F52,-(Setup!$C$13+Setup!$G$24),Setup!$C$39:$C$50))&lt;=Setup!$C$16),OR(MONTH(WORKDAY(F52,-(Setup!$C$13+Setup!$G$24),Setup!$C$39:$C$50))&gt;=Setup!$C$15,MONTH(WORKDAY(F52,-(Setup!$C$13+Setup!$G$24),Setup!$C$39:$C$50))&lt;=Setup!$C$16))),WORKDAY(F52,-(Setup!$C$13+Setup!$G$24+Setup!$C$14),Setup!$C$39:$C$50),WORKDAY(F52,-(Setup!$C$13+Setup!$G$24),Setup!$C$39:$C$50))+(47*100+5)/10000000)))</f>
        <v/>
      </c>
      <c r="W52" t="str">
        <f>IF(G52="","",IF(G52&lt;Setup!$C$5-Setup!$C$6,"",IF(IF(ISNUMBER(Roster!$D52),Setup!$C$25&lt;=Roster!$D52,FALSE),"",IF(OR(IF(Setup!$C$15&lt;=Setup!$C$16,AND(MONTH(G52)&gt;=Setup!$C$15,MONTH(G52)&lt;=Setup!$C$16),OR(MONTH(G52)&gt;=Setup!$C$15,MONTH(G52)&lt;=Setup!$C$16)),IF(Setup!$C$15&lt;=Setup!$C$16,AND(MONTH(WORKDAY(G52,-(Setup!$C$13+Setup!$G$25),Setup!$C$39:$C$50))&gt;=Setup!$C$15,MONTH(WORKDAY(G52,-(Setup!$C$13+Setup!$G$25),Setup!$C$39:$C$50))&lt;=Setup!$C$16),OR(MONTH(WORKDAY(G52,-(Setup!$C$13+Setup!$G$25),Setup!$C$39:$C$50))&gt;=Setup!$C$15,MONTH(WORKDAY(G52,-(Setup!$C$13+Setup!$G$25),Setup!$C$39:$C$50))&lt;=Setup!$C$16))),WORKDAY(G52,-(Setup!$C$13+Setup!$G$25+Setup!$C$14),Setup!$C$39:$C$50),WORKDAY(G52,-(Setup!$C$13+Setup!$G$25),Setup!$C$39:$C$50))+(47*100+6)/10000000)))</f>
        <v/>
      </c>
      <c r="X52" t="str">
        <f>IF(H52="","",IF(H52&lt;Setup!$C$5-Setup!$C$6,"",IF(IF(ISNUMBER(Roster!$D52),Setup!$C$26&lt;=Roster!$D52,FALSE),"",IF(OR(IF(Setup!$C$15&lt;=Setup!$C$16,AND(MONTH(H52)&gt;=Setup!$C$15,MONTH(H52)&lt;=Setup!$C$16),OR(MONTH(H52)&gt;=Setup!$C$15,MONTH(H52)&lt;=Setup!$C$16)),IF(Setup!$C$15&lt;=Setup!$C$16,AND(MONTH(WORKDAY(H52,-(Setup!$C$13+Setup!$G$26),Setup!$C$39:$C$50))&gt;=Setup!$C$15,MONTH(WORKDAY(H52,-(Setup!$C$13+Setup!$G$26),Setup!$C$39:$C$50))&lt;=Setup!$C$16),OR(MONTH(WORKDAY(H52,-(Setup!$C$13+Setup!$G$26),Setup!$C$39:$C$50))&gt;=Setup!$C$15,MONTH(WORKDAY(H52,-(Setup!$C$13+Setup!$G$26),Setup!$C$39:$C$50))&lt;=Setup!$C$16))),WORKDAY(H52,-(Setup!$C$13+Setup!$G$26+Setup!$C$14),Setup!$C$39:$C$50),WORKDAY(H52,-(Setup!$C$13+Setup!$G$26),Setup!$C$39:$C$50))+(47*100+7)/10000000)))</f>
        <v/>
      </c>
      <c r="Y52" t="str">
        <f>IF(I52="","",IF(I52&lt;Setup!$C$5-Setup!$C$6,"",IF(IF(ISNUMBER(Roster!$D52),Setup!$C$27&lt;=Roster!$D52,FALSE),"",IF(OR(IF(Setup!$C$15&lt;=Setup!$C$16,AND(MONTH(I52)&gt;=Setup!$C$15,MONTH(I52)&lt;=Setup!$C$16),OR(MONTH(I52)&gt;=Setup!$C$15,MONTH(I52)&lt;=Setup!$C$16)),IF(Setup!$C$15&lt;=Setup!$C$16,AND(MONTH(WORKDAY(I52,-(Setup!$C$13+Setup!$G$27),Setup!$C$39:$C$50))&gt;=Setup!$C$15,MONTH(WORKDAY(I52,-(Setup!$C$13+Setup!$G$27),Setup!$C$39:$C$50))&lt;=Setup!$C$16),OR(MONTH(WORKDAY(I52,-(Setup!$C$13+Setup!$G$27),Setup!$C$39:$C$50))&gt;=Setup!$C$15,MONTH(WORKDAY(I52,-(Setup!$C$13+Setup!$G$27),Setup!$C$39:$C$50))&lt;=Setup!$C$16))),WORKDAY(I52,-(Setup!$C$13+Setup!$G$27+Setup!$C$14),Setup!$C$39:$C$50),WORKDAY(I52,-(Setup!$C$13+Setup!$G$27),Setup!$C$39:$C$50))+(47*100+8)/10000000)))</f>
        <v/>
      </c>
      <c r="Z52" t="str">
        <f>IF(J52="","",IF(J52&lt;Setup!$C$5-Setup!$C$6,"",IF(IF(ISNUMBER(Roster!$D52),Setup!$C$28&lt;=Roster!$D52,FALSE),"",IF(OR(IF(Setup!$C$15&lt;=Setup!$C$16,AND(MONTH(J52)&gt;=Setup!$C$15,MONTH(J52)&lt;=Setup!$C$16),OR(MONTH(J52)&gt;=Setup!$C$15,MONTH(J52)&lt;=Setup!$C$16)),IF(Setup!$C$15&lt;=Setup!$C$16,AND(MONTH(WORKDAY(J52,-(Setup!$C$13+Setup!$G$28),Setup!$C$39:$C$50))&gt;=Setup!$C$15,MONTH(WORKDAY(J52,-(Setup!$C$13+Setup!$G$28),Setup!$C$39:$C$50))&lt;=Setup!$C$16),OR(MONTH(WORKDAY(J52,-(Setup!$C$13+Setup!$G$28),Setup!$C$39:$C$50))&gt;=Setup!$C$15,MONTH(WORKDAY(J52,-(Setup!$C$13+Setup!$G$28),Setup!$C$39:$C$50))&lt;=Setup!$C$16))),WORKDAY(J52,-(Setup!$C$13+Setup!$G$28+Setup!$C$14),Setup!$C$39:$C$50),WORKDAY(J52,-(Setup!$C$13+Setup!$G$28),Setup!$C$39:$C$50))+(47*100+9)/10000000)))</f>
        <v/>
      </c>
      <c r="AA52" t="str">
        <f>IF(K52="","",IF(K52&lt;Setup!$C$5-Setup!$C$6,"",IF(IF(ISNUMBER(Roster!$D52),Setup!$C$29&lt;=Roster!$D52,FALSE),"",IF(OR(IF(Setup!$C$15&lt;=Setup!$C$16,AND(MONTH(K52)&gt;=Setup!$C$15,MONTH(K52)&lt;=Setup!$C$16),OR(MONTH(K52)&gt;=Setup!$C$15,MONTH(K52)&lt;=Setup!$C$16)),IF(Setup!$C$15&lt;=Setup!$C$16,AND(MONTH(WORKDAY(K52,-(Setup!$C$13+Setup!$G$29),Setup!$C$39:$C$50))&gt;=Setup!$C$15,MONTH(WORKDAY(K52,-(Setup!$C$13+Setup!$G$29),Setup!$C$39:$C$50))&lt;=Setup!$C$16),OR(MONTH(WORKDAY(K52,-(Setup!$C$13+Setup!$G$29),Setup!$C$39:$C$50))&gt;=Setup!$C$15,MONTH(WORKDAY(K52,-(Setup!$C$13+Setup!$G$29),Setup!$C$39:$C$50))&lt;=Setup!$C$16))),WORKDAY(K52,-(Setup!$C$13+Setup!$G$29+Setup!$C$14),Setup!$C$39:$C$50),WORKDAY(K52,-(Setup!$C$13+Setup!$G$29),Setup!$C$39:$C$50))+(47*100+10)/10000000)))</f>
        <v/>
      </c>
      <c r="AB52" t="str">
        <f>IF(L52="","",IF(L52&lt;Setup!$C$5-Setup!$C$6,"",IF(IF(ISNUMBER(Roster!$D52),Setup!$C$30&lt;=Roster!$D52,FALSE),"",IF(OR(IF(Setup!$C$15&lt;=Setup!$C$16,AND(MONTH(L52)&gt;=Setup!$C$15,MONTH(L52)&lt;=Setup!$C$16),OR(MONTH(L52)&gt;=Setup!$C$15,MONTH(L52)&lt;=Setup!$C$16)),IF(Setup!$C$15&lt;=Setup!$C$16,AND(MONTH(WORKDAY(L52,-(Setup!$C$13+Setup!$G$30),Setup!$C$39:$C$50))&gt;=Setup!$C$15,MONTH(WORKDAY(L52,-(Setup!$C$13+Setup!$G$30),Setup!$C$39:$C$50))&lt;=Setup!$C$16),OR(MONTH(WORKDAY(L52,-(Setup!$C$13+Setup!$G$30),Setup!$C$39:$C$50))&gt;=Setup!$C$15,MONTH(WORKDAY(L52,-(Setup!$C$13+Setup!$G$30),Setup!$C$39:$C$50))&lt;=Setup!$C$16))),WORKDAY(L52,-(Setup!$C$13+Setup!$G$30+Setup!$C$14),Setup!$C$39:$C$50),WORKDAY(L52,-(Setup!$C$13+Setup!$G$30),Setup!$C$39:$C$50))+(47*100+11)/10000000)))</f>
        <v/>
      </c>
      <c r="AC52" t="str">
        <f>IF(M52="","",IF(M52&lt;Setup!$C$5-Setup!$C$6,"",IF(IF(ISNUMBER(Roster!$D52),Setup!$C$31&lt;=Roster!$D52,FALSE),"",IF(OR(IF(Setup!$C$15&lt;=Setup!$C$16,AND(MONTH(M52)&gt;=Setup!$C$15,MONTH(M52)&lt;=Setup!$C$16),OR(MONTH(M52)&gt;=Setup!$C$15,MONTH(M52)&lt;=Setup!$C$16)),IF(Setup!$C$15&lt;=Setup!$C$16,AND(MONTH(WORKDAY(M52,-(Setup!$C$13+Setup!$G$31),Setup!$C$39:$C$50))&gt;=Setup!$C$15,MONTH(WORKDAY(M52,-(Setup!$C$13+Setup!$G$31),Setup!$C$39:$C$50))&lt;=Setup!$C$16),OR(MONTH(WORKDAY(M52,-(Setup!$C$13+Setup!$G$31),Setup!$C$39:$C$50))&gt;=Setup!$C$15,MONTH(WORKDAY(M52,-(Setup!$C$13+Setup!$G$31),Setup!$C$39:$C$50))&lt;=Setup!$C$16))),WORKDAY(M52,-(Setup!$C$13+Setup!$G$31+Setup!$C$14),Setup!$C$39:$C$50),WORKDAY(M52,-(Setup!$C$13+Setup!$G$31),Setup!$C$39:$C$50))+(47*100+12)/10000000)))</f>
        <v/>
      </c>
      <c r="AD52" t="str">
        <f>IF(N52="","",IF(N52&lt;Setup!$C$5-Setup!$C$6,"",IF(IF(ISNUMBER(Roster!$D52),Setup!$C$32&lt;=Roster!$D52,FALSE),"",IF(OR(IF(Setup!$C$15&lt;=Setup!$C$16,AND(MONTH(N52)&gt;=Setup!$C$15,MONTH(N52)&lt;=Setup!$C$16),OR(MONTH(N52)&gt;=Setup!$C$15,MONTH(N52)&lt;=Setup!$C$16)),IF(Setup!$C$15&lt;=Setup!$C$16,AND(MONTH(WORKDAY(N52,-(Setup!$C$13+Setup!$G$32),Setup!$C$39:$C$50))&gt;=Setup!$C$15,MONTH(WORKDAY(N52,-(Setup!$C$13+Setup!$G$32),Setup!$C$39:$C$50))&lt;=Setup!$C$16),OR(MONTH(WORKDAY(N52,-(Setup!$C$13+Setup!$G$32),Setup!$C$39:$C$50))&gt;=Setup!$C$15,MONTH(WORKDAY(N52,-(Setup!$C$13+Setup!$G$32),Setup!$C$39:$C$50))&lt;=Setup!$C$16))),WORKDAY(N52,-(Setup!$C$13+Setup!$G$32+Setup!$C$14),Setup!$C$39:$C$50),WORKDAY(N52,-(Setup!$C$13+Setup!$G$32),Setup!$C$39:$C$50))+(47*100+13)/10000000)))</f>
        <v/>
      </c>
      <c r="AE52" t="str">
        <f>IF(O52="","",IF(O52&lt;Setup!$C$5-Setup!$C$6,"",IF(IF(ISNUMBER(Roster!$D52),Setup!$C$33&lt;=Roster!$D52,FALSE),"",IF(OR(IF(Setup!$C$15&lt;=Setup!$C$16,AND(MONTH(O52)&gt;=Setup!$C$15,MONTH(O52)&lt;=Setup!$C$16),OR(MONTH(O52)&gt;=Setup!$C$15,MONTH(O52)&lt;=Setup!$C$16)),IF(Setup!$C$15&lt;=Setup!$C$16,AND(MONTH(WORKDAY(O52,-(Setup!$C$13+Setup!$G$33),Setup!$C$39:$C$50))&gt;=Setup!$C$15,MONTH(WORKDAY(O52,-(Setup!$C$13+Setup!$G$33),Setup!$C$39:$C$50))&lt;=Setup!$C$16),OR(MONTH(WORKDAY(O52,-(Setup!$C$13+Setup!$G$33),Setup!$C$39:$C$50))&gt;=Setup!$C$15,MONTH(WORKDAY(O52,-(Setup!$C$13+Setup!$G$33),Setup!$C$39:$C$50))&lt;=Setup!$C$16))),WORKDAY(O52,-(Setup!$C$13+Setup!$G$33+Setup!$C$14),Setup!$C$39:$C$50),WORKDAY(O52,-(Setup!$C$13+Setup!$G$33),Setup!$C$39:$C$50))+(47*100+14)/10000000)))</f>
        <v/>
      </c>
      <c r="AF52" t="str">
        <f>IF(P52="","",IF(P52&lt;Setup!$C$5-Setup!$C$6,"",IF(IF(ISNUMBER(Roster!$D52),Setup!$C$34&lt;=Roster!$D52,FALSE),"",IF(OR(IF(Setup!$C$15&lt;=Setup!$C$16,AND(MONTH(P52)&gt;=Setup!$C$15,MONTH(P52)&lt;=Setup!$C$16),OR(MONTH(P52)&gt;=Setup!$C$15,MONTH(P52)&lt;=Setup!$C$16)),IF(Setup!$C$15&lt;=Setup!$C$16,AND(MONTH(WORKDAY(P52,-(Setup!$C$13+Setup!$G$34),Setup!$C$39:$C$50))&gt;=Setup!$C$15,MONTH(WORKDAY(P52,-(Setup!$C$13+Setup!$G$34),Setup!$C$39:$C$50))&lt;=Setup!$C$16),OR(MONTH(WORKDAY(P52,-(Setup!$C$13+Setup!$G$34),Setup!$C$39:$C$50))&gt;=Setup!$C$15,MONTH(WORKDAY(P52,-(Setup!$C$13+Setup!$G$34),Setup!$C$39:$C$50))&lt;=Setup!$C$16))),WORKDAY(P52,-(Setup!$C$13+Setup!$G$34+Setup!$C$14),Setup!$C$39:$C$50),WORKDAY(P52,-(Setup!$C$13+Setup!$G$34),Setup!$C$39:$C$50))+(47*100+15)/10000000)))</f>
        <v/>
      </c>
      <c r="AH52" t="str">
        <f t="shared" si="0"/>
        <v/>
      </c>
      <c r="AI52" t="str">
        <f t="shared" si="1"/>
        <v/>
      </c>
      <c r="AK52" t="str">
        <f ca="1">IF(47&gt;$AK$2,"",SMALL($R$6:$AF$505,47))</f>
        <v/>
      </c>
      <c r="AL52" t="str">
        <f t="shared" ca="1" si="2"/>
        <v/>
      </c>
      <c r="AM52" t="str">
        <f t="shared" ca="1" si="3"/>
        <v/>
      </c>
      <c r="AN52" t="str">
        <f t="shared" ca="1" si="4"/>
        <v/>
      </c>
      <c r="AP52" t="str">
        <f>IF(ISNUMBER(Roster!$B52),MAX(1,YEAR(Setup!$C$5)-YEAR(Roster!$B52)+IF(EDATE(Roster!$B52,12*(YEAR(Setup!$C$5)-YEAR(Roster!$B52)))&lt;Setup!$C$5,1,0)),"")</f>
        <v/>
      </c>
      <c r="AQ52" s="32" t="str">
        <f>IF(AP52="","",EDATE(Roster!$B52,12*AP52))</f>
        <v/>
      </c>
      <c r="AR52" t="str">
        <f>IF(AQ52="","",IF(AQ52&lt;DATE(YEAR(Setup!$C$5)+1,MONTH(Setup!$C$5),DAY(Setup!$C$5)),AQ52+47/1000,""))</f>
        <v/>
      </c>
      <c r="AS52" t="str">
        <f t="shared" si="5"/>
        <v/>
      </c>
      <c r="AT52" t="str">
        <f>IF(AS52="","",IF(ISNUMBER(Roster!$D52),Roster!$D52&gt;=AP52,FALSE))</f>
        <v/>
      </c>
      <c r="AU52" t="str">
        <f t="shared" si="6"/>
        <v/>
      </c>
      <c r="AV52" t="str">
        <f ca="1">IF(47&gt;$AV$2,"",SMALL($AR$6:$AR$505,47))</f>
        <v/>
      </c>
      <c r="AW52" t="str">
        <f t="shared" ca="1" si="7"/>
        <v/>
      </c>
    </row>
    <row r="53" spans="2:49" x14ac:dyDescent="0.2">
      <c r="B53" s="32" t="str">
        <f>IF(AND(ISNUMBER(Roster!$B53),Setup!$B$20="Yes",ISNUMBER(Setup!$C$20)),EDATE(Roster!$B53,12*Setup!$C$20),"")</f>
        <v/>
      </c>
      <c r="C53" s="32" t="str">
        <f>IF(AND(ISNUMBER(Roster!$B53),Setup!$B$21="Yes",ISNUMBER(Setup!$C$21)),EDATE(Roster!$B53,12*Setup!$C$21),"")</f>
        <v/>
      </c>
      <c r="D53" s="32" t="str">
        <f>IF(AND(ISNUMBER(Roster!$B53),Setup!$B$22="Yes",ISNUMBER(Setup!$C$22)),EDATE(Roster!$B53,12*Setup!$C$22),"")</f>
        <v/>
      </c>
      <c r="E53" s="32" t="str">
        <f>IF(AND(ISNUMBER(Roster!$B53),Setup!$B$23="Yes",ISNUMBER(Setup!$C$23)),EDATE(Roster!$B53,12*Setup!$C$23),"")</f>
        <v/>
      </c>
      <c r="F53" s="32" t="str">
        <f>IF(AND(ISNUMBER(Roster!$B53),Setup!$B$24="Yes",ISNUMBER(Setup!$C$24)),EDATE(Roster!$B53,12*Setup!$C$24),"")</f>
        <v/>
      </c>
      <c r="G53" s="32" t="str">
        <f>IF(AND(ISNUMBER(Roster!$B53),Setup!$B$25="Yes",ISNUMBER(Setup!$C$25)),EDATE(Roster!$B53,12*Setup!$C$25),"")</f>
        <v/>
      </c>
      <c r="H53" s="32" t="str">
        <f>IF(AND(ISNUMBER(Roster!$B53),Setup!$B$26="Yes",ISNUMBER(Setup!$C$26)),EDATE(Roster!$B53,12*Setup!$C$26),"")</f>
        <v/>
      </c>
      <c r="I53" s="32" t="str">
        <f>IF(AND(ISNUMBER(Roster!$B53),Setup!$B$27="Yes",ISNUMBER(Setup!$C$27)),EDATE(Roster!$B53,12*Setup!$C$27),"")</f>
        <v/>
      </c>
      <c r="J53" s="32" t="str">
        <f>IF(AND(ISNUMBER(Roster!$B53),Setup!$B$28="Yes",ISNUMBER(Setup!$C$28)),EDATE(Roster!$B53,12*Setup!$C$28),"")</f>
        <v/>
      </c>
      <c r="K53" s="32" t="str">
        <f>IF(AND(ISNUMBER(Roster!$B53),Setup!$B$29="Yes",ISNUMBER(Setup!$C$29)),EDATE(Roster!$B53,12*Setup!$C$29),"")</f>
        <v/>
      </c>
      <c r="L53" s="32" t="str">
        <f>IF(AND(ISNUMBER(Roster!$B53),Setup!$B$30="Yes",ISNUMBER(Setup!$C$30)),EDATE(Roster!$B53,12*Setup!$C$30),"")</f>
        <v/>
      </c>
      <c r="M53" s="32" t="str">
        <f>IF(AND(ISNUMBER(Roster!$B53),Setup!$B$31="Yes",ISNUMBER(Setup!$C$31)),EDATE(Roster!$B53,12*Setup!$C$31),"")</f>
        <v/>
      </c>
      <c r="N53" s="32" t="str">
        <f>IF(AND(ISNUMBER(Roster!$B53),Setup!$B$32="Yes",ISNUMBER(Setup!$C$32)),EDATE(Roster!$B53,12*Setup!$C$32),"")</f>
        <v/>
      </c>
      <c r="O53" s="32" t="str">
        <f>IF(AND(ISNUMBER(Roster!$B53),Setup!$B$33="Yes",ISNUMBER(Setup!$C$33)),EDATE(Roster!$B53,12*Setup!$C$33),"")</f>
        <v/>
      </c>
      <c r="P53" s="32" t="str">
        <f>IF(AND(ISNUMBER(Roster!$B53),Setup!$B$34="Yes",ISNUMBER(Setup!$C$34)),EDATE(Roster!$B53,12*Setup!$C$34),"")</f>
        <v/>
      </c>
      <c r="R53" t="str">
        <f>IF(B53="","",IF(B53&lt;Setup!$C$5-Setup!$C$6,"",IF(IF(ISNUMBER(Roster!$D53),Setup!$C$20&lt;=Roster!$D53,FALSE),"",IF(OR(IF(Setup!$C$15&lt;=Setup!$C$16,AND(MONTH(B53)&gt;=Setup!$C$15,MONTH(B53)&lt;=Setup!$C$16),OR(MONTH(B53)&gt;=Setup!$C$15,MONTH(B53)&lt;=Setup!$C$16)),IF(Setup!$C$15&lt;=Setup!$C$16,AND(MONTH(WORKDAY(B53,-(Setup!$C$13+Setup!$G$20),Setup!$C$39:$C$50))&gt;=Setup!$C$15,MONTH(WORKDAY(B53,-(Setup!$C$13+Setup!$G$20),Setup!$C$39:$C$50))&lt;=Setup!$C$16),OR(MONTH(WORKDAY(B53,-(Setup!$C$13+Setup!$G$20),Setup!$C$39:$C$50))&gt;=Setup!$C$15,MONTH(WORKDAY(B53,-(Setup!$C$13+Setup!$G$20),Setup!$C$39:$C$50))&lt;=Setup!$C$16))),WORKDAY(B53,-(Setup!$C$13+Setup!$G$20+Setup!$C$14),Setup!$C$39:$C$50),WORKDAY(B53,-(Setup!$C$13+Setup!$G$20),Setup!$C$39:$C$50))+(48*100+1)/10000000)))</f>
        <v/>
      </c>
      <c r="S53" t="str">
        <f>IF(C53="","",IF(C53&lt;Setup!$C$5-Setup!$C$6,"",IF(IF(ISNUMBER(Roster!$D53),Setup!$C$21&lt;=Roster!$D53,FALSE),"",IF(OR(IF(Setup!$C$15&lt;=Setup!$C$16,AND(MONTH(C53)&gt;=Setup!$C$15,MONTH(C53)&lt;=Setup!$C$16),OR(MONTH(C53)&gt;=Setup!$C$15,MONTH(C53)&lt;=Setup!$C$16)),IF(Setup!$C$15&lt;=Setup!$C$16,AND(MONTH(WORKDAY(C53,-(Setup!$C$13+Setup!$G$21),Setup!$C$39:$C$50))&gt;=Setup!$C$15,MONTH(WORKDAY(C53,-(Setup!$C$13+Setup!$G$21),Setup!$C$39:$C$50))&lt;=Setup!$C$16),OR(MONTH(WORKDAY(C53,-(Setup!$C$13+Setup!$G$21),Setup!$C$39:$C$50))&gt;=Setup!$C$15,MONTH(WORKDAY(C53,-(Setup!$C$13+Setup!$G$21),Setup!$C$39:$C$50))&lt;=Setup!$C$16))),WORKDAY(C53,-(Setup!$C$13+Setup!$G$21+Setup!$C$14),Setup!$C$39:$C$50),WORKDAY(C53,-(Setup!$C$13+Setup!$G$21),Setup!$C$39:$C$50))+(48*100+2)/10000000)))</f>
        <v/>
      </c>
      <c r="T53" t="str">
        <f>IF(D53="","",IF(D53&lt;Setup!$C$5-Setup!$C$6,"",IF(IF(ISNUMBER(Roster!$D53),Setup!$C$22&lt;=Roster!$D53,FALSE),"",IF(OR(IF(Setup!$C$15&lt;=Setup!$C$16,AND(MONTH(D53)&gt;=Setup!$C$15,MONTH(D53)&lt;=Setup!$C$16),OR(MONTH(D53)&gt;=Setup!$C$15,MONTH(D53)&lt;=Setup!$C$16)),IF(Setup!$C$15&lt;=Setup!$C$16,AND(MONTH(WORKDAY(D53,-(Setup!$C$13+Setup!$G$22),Setup!$C$39:$C$50))&gt;=Setup!$C$15,MONTH(WORKDAY(D53,-(Setup!$C$13+Setup!$G$22),Setup!$C$39:$C$50))&lt;=Setup!$C$16),OR(MONTH(WORKDAY(D53,-(Setup!$C$13+Setup!$G$22),Setup!$C$39:$C$50))&gt;=Setup!$C$15,MONTH(WORKDAY(D53,-(Setup!$C$13+Setup!$G$22),Setup!$C$39:$C$50))&lt;=Setup!$C$16))),WORKDAY(D53,-(Setup!$C$13+Setup!$G$22+Setup!$C$14),Setup!$C$39:$C$50),WORKDAY(D53,-(Setup!$C$13+Setup!$G$22),Setup!$C$39:$C$50))+(48*100+3)/10000000)))</f>
        <v/>
      </c>
      <c r="U53" t="str">
        <f>IF(E53="","",IF(E53&lt;Setup!$C$5-Setup!$C$6,"",IF(IF(ISNUMBER(Roster!$D53),Setup!$C$23&lt;=Roster!$D53,FALSE),"",IF(OR(IF(Setup!$C$15&lt;=Setup!$C$16,AND(MONTH(E53)&gt;=Setup!$C$15,MONTH(E53)&lt;=Setup!$C$16),OR(MONTH(E53)&gt;=Setup!$C$15,MONTH(E53)&lt;=Setup!$C$16)),IF(Setup!$C$15&lt;=Setup!$C$16,AND(MONTH(WORKDAY(E53,-(Setup!$C$13+Setup!$G$23),Setup!$C$39:$C$50))&gt;=Setup!$C$15,MONTH(WORKDAY(E53,-(Setup!$C$13+Setup!$G$23),Setup!$C$39:$C$50))&lt;=Setup!$C$16),OR(MONTH(WORKDAY(E53,-(Setup!$C$13+Setup!$G$23),Setup!$C$39:$C$50))&gt;=Setup!$C$15,MONTH(WORKDAY(E53,-(Setup!$C$13+Setup!$G$23),Setup!$C$39:$C$50))&lt;=Setup!$C$16))),WORKDAY(E53,-(Setup!$C$13+Setup!$G$23+Setup!$C$14),Setup!$C$39:$C$50),WORKDAY(E53,-(Setup!$C$13+Setup!$G$23),Setup!$C$39:$C$50))+(48*100+4)/10000000)))</f>
        <v/>
      </c>
      <c r="V53" t="str">
        <f>IF(F53="","",IF(F53&lt;Setup!$C$5-Setup!$C$6,"",IF(IF(ISNUMBER(Roster!$D53),Setup!$C$24&lt;=Roster!$D53,FALSE),"",IF(OR(IF(Setup!$C$15&lt;=Setup!$C$16,AND(MONTH(F53)&gt;=Setup!$C$15,MONTH(F53)&lt;=Setup!$C$16),OR(MONTH(F53)&gt;=Setup!$C$15,MONTH(F53)&lt;=Setup!$C$16)),IF(Setup!$C$15&lt;=Setup!$C$16,AND(MONTH(WORKDAY(F53,-(Setup!$C$13+Setup!$G$24),Setup!$C$39:$C$50))&gt;=Setup!$C$15,MONTH(WORKDAY(F53,-(Setup!$C$13+Setup!$G$24),Setup!$C$39:$C$50))&lt;=Setup!$C$16),OR(MONTH(WORKDAY(F53,-(Setup!$C$13+Setup!$G$24),Setup!$C$39:$C$50))&gt;=Setup!$C$15,MONTH(WORKDAY(F53,-(Setup!$C$13+Setup!$G$24),Setup!$C$39:$C$50))&lt;=Setup!$C$16))),WORKDAY(F53,-(Setup!$C$13+Setup!$G$24+Setup!$C$14),Setup!$C$39:$C$50),WORKDAY(F53,-(Setup!$C$13+Setup!$G$24),Setup!$C$39:$C$50))+(48*100+5)/10000000)))</f>
        <v/>
      </c>
      <c r="W53" t="str">
        <f>IF(G53="","",IF(G53&lt;Setup!$C$5-Setup!$C$6,"",IF(IF(ISNUMBER(Roster!$D53),Setup!$C$25&lt;=Roster!$D53,FALSE),"",IF(OR(IF(Setup!$C$15&lt;=Setup!$C$16,AND(MONTH(G53)&gt;=Setup!$C$15,MONTH(G53)&lt;=Setup!$C$16),OR(MONTH(G53)&gt;=Setup!$C$15,MONTH(G53)&lt;=Setup!$C$16)),IF(Setup!$C$15&lt;=Setup!$C$16,AND(MONTH(WORKDAY(G53,-(Setup!$C$13+Setup!$G$25),Setup!$C$39:$C$50))&gt;=Setup!$C$15,MONTH(WORKDAY(G53,-(Setup!$C$13+Setup!$G$25),Setup!$C$39:$C$50))&lt;=Setup!$C$16),OR(MONTH(WORKDAY(G53,-(Setup!$C$13+Setup!$G$25),Setup!$C$39:$C$50))&gt;=Setup!$C$15,MONTH(WORKDAY(G53,-(Setup!$C$13+Setup!$G$25),Setup!$C$39:$C$50))&lt;=Setup!$C$16))),WORKDAY(G53,-(Setup!$C$13+Setup!$G$25+Setup!$C$14),Setup!$C$39:$C$50),WORKDAY(G53,-(Setup!$C$13+Setup!$G$25),Setup!$C$39:$C$50))+(48*100+6)/10000000)))</f>
        <v/>
      </c>
      <c r="X53" t="str">
        <f>IF(H53="","",IF(H53&lt;Setup!$C$5-Setup!$C$6,"",IF(IF(ISNUMBER(Roster!$D53),Setup!$C$26&lt;=Roster!$D53,FALSE),"",IF(OR(IF(Setup!$C$15&lt;=Setup!$C$16,AND(MONTH(H53)&gt;=Setup!$C$15,MONTH(H53)&lt;=Setup!$C$16),OR(MONTH(H53)&gt;=Setup!$C$15,MONTH(H53)&lt;=Setup!$C$16)),IF(Setup!$C$15&lt;=Setup!$C$16,AND(MONTH(WORKDAY(H53,-(Setup!$C$13+Setup!$G$26),Setup!$C$39:$C$50))&gt;=Setup!$C$15,MONTH(WORKDAY(H53,-(Setup!$C$13+Setup!$G$26),Setup!$C$39:$C$50))&lt;=Setup!$C$16),OR(MONTH(WORKDAY(H53,-(Setup!$C$13+Setup!$G$26),Setup!$C$39:$C$50))&gt;=Setup!$C$15,MONTH(WORKDAY(H53,-(Setup!$C$13+Setup!$G$26),Setup!$C$39:$C$50))&lt;=Setup!$C$16))),WORKDAY(H53,-(Setup!$C$13+Setup!$G$26+Setup!$C$14),Setup!$C$39:$C$50),WORKDAY(H53,-(Setup!$C$13+Setup!$G$26),Setup!$C$39:$C$50))+(48*100+7)/10000000)))</f>
        <v/>
      </c>
      <c r="Y53" t="str">
        <f>IF(I53="","",IF(I53&lt;Setup!$C$5-Setup!$C$6,"",IF(IF(ISNUMBER(Roster!$D53),Setup!$C$27&lt;=Roster!$D53,FALSE),"",IF(OR(IF(Setup!$C$15&lt;=Setup!$C$16,AND(MONTH(I53)&gt;=Setup!$C$15,MONTH(I53)&lt;=Setup!$C$16),OR(MONTH(I53)&gt;=Setup!$C$15,MONTH(I53)&lt;=Setup!$C$16)),IF(Setup!$C$15&lt;=Setup!$C$16,AND(MONTH(WORKDAY(I53,-(Setup!$C$13+Setup!$G$27),Setup!$C$39:$C$50))&gt;=Setup!$C$15,MONTH(WORKDAY(I53,-(Setup!$C$13+Setup!$G$27),Setup!$C$39:$C$50))&lt;=Setup!$C$16),OR(MONTH(WORKDAY(I53,-(Setup!$C$13+Setup!$G$27),Setup!$C$39:$C$50))&gt;=Setup!$C$15,MONTH(WORKDAY(I53,-(Setup!$C$13+Setup!$G$27),Setup!$C$39:$C$50))&lt;=Setup!$C$16))),WORKDAY(I53,-(Setup!$C$13+Setup!$G$27+Setup!$C$14),Setup!$C$39:$C$50),WORKDAY(I53,-(Setup!$C$13+Setup!$G$27),Setup!$C$39:$C$50))+(48*100+8)/10000000)))</f>
        <v/>
      </c>
      <c r="Z53" t="str">
        <f>IF(J53="","",IF(J53&lt;Setup!$C$5-Setup!$C$6,"",IF(IF(ISNUMBER(Roster!$D53),Setup!$C$28&lt;=Roster!$D53,FALSE),"",IF(OR(IF(Setup!$C$15&lt;=Setup!$C$16,AND(MONTH(J53)&gt;=Setup!$C$15,MONTH(J53)&lt;=Setup!$C$16),OR(MONTH(J53)&gt;=Setup!$C$15,MONTH(J53)&lt;=Setup!$C$16)),IF(Setup!$C$15&lt;=Setup!$C$16,AND(MONTH(WORKDAY(J53,-(Setup!$C$13+Setup!$G$28),Setup!$C$39:$C$50))&gt;=Setup!$C$15,MONTH(WORKDAY(J53,-(Setup!$C$13+Setup!$G$28),Setup!$C$39:$C$50))&lt;=Setup!$C$16),OR(MONTH(WORKDAY(J53,-(Setup!$C$13+Setup!$G$28),Setup!$C$39:$C$50))&gt;=Setup!$C$15,MONTH(WORKDAY(J53,-(Setup!$C$13+Setup!$G$28),Setup!$C$39:$C$50))&lt;=Setup!$C$16))),WORKDAY(J53,-(Setup!$C$13+Setup!$G$28+Setup!$C$14),Setup!$C$39:$C$50),WORKDAY(J53,-(Setup!$C$13+Setup!$G$28),Setup!$C$39:$C$50))+(48*100+9)/10000000)))</f>
        <v/>
      </c>
      <c r="AA53" t="str">
        <f>IF(K53="","",IF(K53&lt;Setup!$C$5-Setup!$C$6,"",IF(IF(ISNUMBER(Roster!$D53),Setup!$C$29&lt;=Roster!$D53,FALSE),"",IF(OR(IF(Setup!$C$15&lt;=Setup!$C$16,AND(MONTH(K53)&gt;=Setup!$C$15,MONTH(K53)&lt;=Setup!$C$16),OR(MONTH(K53)&gt;=Setup!$C$15,MONTH(K53)&lt;=Setup!$C$16)),IF(Setup!$C$15&lt;=Setup!$C$16,AND(MONTH(WORKDAY(K53,-(Setup!$C$13+Setup!$G$29),Setup!$C$39:$C$50))&gt;=Setup!$C$15,MONTH(WORKDAY(K53,-(Setup!$C$13+Setup!$G$29),Setup!$C$39:$C$50))&lt;=Setup!$C$16),OR(MONTH(WORKDAY(K53,-(Setup!$C$13+Setup!$G$29),Setup!$C$39:$C$50))&gt;=Setup!$C$15,MONTH(WORKDAY(K53,-(Setup!$C$13+Setup!$G$29),Setup!$C$39:$C$50))&lt;=Setup!$C$16))),WORKDAY(K53,-(Setup!$C$13+Setup!$G$29+Setup!$C$14),Setup!$C$39:$C$50),WORKDAY(K53,-(Setup!$C$13+Setup!$G$29),Setup!$C$39:$C$50))+(48*100+10)/10000000)))</f>
        <v/>
      </c>
      <c r="AB53" t="str">
        <f>IF(L53="","",IF(L53&lt;Setup!$C$5-Setup!$C$6,"",IF(IF(ISNUMBER(Roster!$D53),Setup!$C$30&lt;=Roster!$D53,FALSE),"",IF(OR(IF(Setup!$C$15&lt;=Setup!$C$16,AND(MONTH(L53)&gt;=Setup!$C$15,MONTH(L53)&lt;=Setup!$C$16),OR(MONTH(L53)&gt;=Setup!$C$15,MONTH(L53)&lt;=Setup!$C$16)),IF(Setup!$C$15&lt;=Setup!$C$16,AND(MONTH(WORKDAY(L53,-(Setup!$C$13+Setup!$G$30),Setup!$C$39:$C$50))&gt;=Setup!$C$15,MONTH(WORKDAY(L53,-(Setup!$C$13+Setup!$G$30),Setup!$C$39:$C$50))&lt;=Setup!$C$16),OR(MONTH(WORKDAY(L53,-(Setup!$C$13+Setup!$G$30),Setup!$C$39:$C$50))&gt;=Setup!$C$15,MONTH(WORKDAY(L53,-(Setup!$C$13+Setup!$G$30),Setup!$C$39:$C$50))&lt;=Setup!$C$16))),WORKDAY(L53,-(Setup!$C$13+Setup!$G$30+Setup!$C$14),Setup!$C$39:$C$50),WORKDAY(L53,-(Setup!$C$13+Setup!$G$30),Setup!$C$39:$C$50))+(48*100+11)/10000000)))</f>
        <v/>
      </c>
      <c r="AC53" t="str">
        <f>IF(M53="","",IF(M53&lt;Setup!$C$5-Setup!$C$6,"",IF(IF(ISNUMBER(Roster!$D53),Setup!$C$31&lt;=Roster!$D53,FALSE),"",IF(OR(IF(Setup!$C$15&lt;=Setup!$C$16,AND(MONTH(M53)&gt;=Setup!$C$15,MONTH(M53)&lt;=Setup!$C$16),OR(MONTH(M53)&gt;=Setup!$C$15,MONTH(M53)&lt;=Setup!$C$16)),IF(Setup!$C$15&lt;=Setup!$C$16,AND(MONTH(WORKDAY(M53,-(Setup!$C$13+Setup!$G$31),Setup!$C$39:$C$50))&gt;=Setup!$C$15,MONTH(WORKDAY(M53,-(Setup!$C$13+Setup!$G$31),Setup!$C$39:$C$50))&lt;=Setup!$C$16),OR(MONTH(WORKDAY(M53,-(Setup!$C$13+Setup!$G$31),Setup!$C$39:$C$50))&gt;=Setup!$C$15,MONTH(WORKDAY(M53,-(Setup!$C$13+Setup!$G$31),Setup!$C$39:$C$50))&lt;=Setup!$C$16))),WORKDAY(M53,-(Setup!$C$13+Setup!$G$31+Setup!$C$14),Setup!$C$39:$C$50),WORKDAY(M53,-(Setup!$C$13+Setup!$G$31),Setup!$C$39:$C$50))+(48*100+12)/10000000)))</f>
        <v/>
      </c>
      <c r="AD53" t="str">
        <f>IF(N53="","",IF(N53&lt;Setup!$C$5-Setup!$C$6,"",IF(IF(ISNUMBER(Roster!$D53),Setup!$C$32&lt;=Roster!$D53,FALSE),"",IF(OR(IF(Setup!$C$15&lt;=Setup!$C$16,AND(MONTH(N53)&gt;=Setup!$C$15,MONTH(N53)&lt;=Setup!$C$16),OR(MONTH(N53)&gt;=Setup!$C$15,MONTH(N53)&lt;=Setup!$C$16)),IF(Setup!$C$15&lt;=Setup!$C$16,AND(MONTH(WORKDAY(N53,-(Setup!$C$13+Setup!$G$32),Setup!$C$39:$C$50))&gt;=Setup!$C$15,MONTH(WORKDAY(N53,-(Setup!$C$13+Setup!$G$32),Setup!$C$39:$C$50))&lt;=Setup!$C$16),OR(MONTH(WORKDAY(N53,-(Setup!$C$13+Setup!$G$32),Setup!$C$39:$C$50))&gt;=Setup!$C$15,MONTH(WORKDAY(N53,-(Setup!$C$13+Setup!$G$32),Setup!$C$39:$C$50))&lt;=Setup!$C$16))),WORKDAY(N53,-(Setup!$C$13+Setup!$G$32+Setup!$C$14),Setup!$C$39:$C$50),WORKDAY(N53,-(Setup!$C$13+Setup!$G$32),Setup!$C$39:$C$50))+(48*100+13)/10000000)))</f>
        <v/>
      </c>
      <c r="AE53" t="str">
        <f>IF(O53="","",IF(O53&lt;Setup!$C$5-Setup!$C$6,"",IF(IF(ISNUMBER(Roster!$D53),Setup!$C$33&lt;=Roster!$D53,FALSE),"",IF(OR(IF(Setup!$C$15&lt;=Setup!$C$16,AND(MONTH(O53)&gt;=Setup!$C$15,MONTH(O53)&lt;=Setup!$C$16),OR(MONTH(O53)&gt;=Setup!$C$15,MONTH(O53)&lt;=Setup!$C$16)),IF(Setup!$C$15&lt;=Setup!$C$16,AND(MONTH(WORKDAY(O53,-(Setup!$C$13+Setup!$G$33),Setup!$C$39:$C$50))&gt;=Setup!$C$15,MONTH(WORKDAY(O53,-(Setup!$C$13+Setup!$G$33),Setup!$C$39:$C$50))&lt;=Setup!$C$16),OR(MONTH(WORKDAY(O53,-(Setup!$C$13+Setup!$G$33),Setup!$C$39:$C$50))&gt;=Setup!$C$15,MONTH(WORKDAY(O53,-(Setup!$C$13+Setup!$G$33),Setup!$C$39:$C$50))&lt;=Setup!$C$16))),WORKDAY(O53,-(Setup!$C$13+Setup!$G$33+Setup!$C$14),Setup!$C$39:$C$50),WORKDAY(O53,-(Setup!$C$13+Setup!$G$33),Setup!$C$39:$C$50))+(48*100+14)/10000000)))</f>
        <v/>
      </c>
      <c r="AF53" t="str">
        <f>IF(P53="","",IF(P53&lt;Setup!$C$5-Setup!$C$6,"",IF(IF(ISNUMBER(Roster!$D53),Setup!$C$34&lt;=Roster!$D53,FALSE),"",IF(OR(IF(Setup!$C$15&lt;=Setup!$C$16,AND(MONTH(P53)&gt;=Setup!$C$15,MONTH(P53)&lt;=Setup!$C$16),OR(MONTH(P53)&gt;=Setup!$C$15,MONTH(P53)&lt;=Setup!$C$16)),IF(Setup!$C$15&lt;=Setup!$C$16,AND(MONTH(WORKDAY(P53,-(Setup!$C$13+Setup!$G$34),Setup!$C$39:$C$50))&gt;=Setup!$C$15,MONTH(WORKDAY(P53,-(Setup!$C$13+Setup!$G$34),Setup!$C$39:$C$50))&lt;=Setup!$C$16),OR(MONTH(WORKDAY(P53,-(Setup!$C$13+Setup!$G$34),Setup!$C$39:$C$50))&gt;=Setup!$C$15,MONTH(WORKDAY(P53,-(Setup!$C$13+Setup!$G$34),Setup!$C$39:$C$50))&lt;=Setup!$C$16))),WORKDAY(P53,-(Setup!$C$13+Setup!$G$34+Setup!$C$14),Setup!$C$39:$C$50),WORKDAY(P53,-(Setup!$C$13+Setup!$G$34),Setup!$C$39:$C$50))+(48*100+15)/10000000)))</f>
        <v/>
      </c>
      <c r="AH53" t="str">
        <f t="shared" si="0"/>
        <v/>
      </c>
      <c r="AI53" t="str">
        <f t="shared" si="1"/>
        <v/>
      </c>
      <c r="AK53" t="str">
        <f ca="1">IF(48&gt;$AK$2,"",SMALL($R$6:$AF$505,48))</f>
        <v/>
      </c>
      <c r="AL53" t="str">
        <f t="shared" ca="1" si="2"/>
        <v/>
      </c>
      <c r="AM53" t="str">
        <f t="shared" ca="1" si="3"/>
        <v/>
      </c>
      <c r="AN53" t="str">
        <f t="shared" ca="1" si="4"/>
        <v/>
      </c>
      <c r="AP53" t="str">
        <f>IF(ISNUMBER(Roster!$B53),MAX(1,YEAR(Setup!$C$5)-YEAR(Roster!$B53)+IF(EDATE(Roster!$B53,12*(YEAR(Setup!$C$5)-YEAR(Roster!$B53)))&lt;Setup!$C$5,1,0)),"")</f>
        <v/>
      </c>
      <c r="AQ53" s="32" t="str">
        <f>IF(AP53="","",EDATE(Roster!$B53,12*AP53))</f>
        <v/>
      </c>
      <c r="AR53" t="str">
        <f>IF(AQ53="","",IF(AQ53&lt;DATE(YEAR(Setup!$C$5)+1,MONTH(Setup!$C$5),DAY(Setup!$C$5)),AQ53+48/1000,""))</f>
        <v/>
      </c>
      <c r="AS53" t="str">
        <f t="shared" si="5"/>
        <v/>
      </c>
      <c r="AT53" t="str">
        <f>IF(AS53="","",IF(ISNUMBER(Roster!$D53),Roster!$D53&gt;=AP53,FALSE))</f>
        <v/>
      </c>
      <c r="AU53" t="str">
        <f t="shared" si="6"/>
        <v/>
      </c>
      <c r="AV53" t="str">
        <f ca="1">IF(48&gt;$AV$2,"",SMALL($AR$6:$AR$505,48))</f>
        <v/>
      </c>
      <c r="AW53" t="str">
        <f t="shared" ca="1" si="7"/>
        <v/>
      </c>
    </row>
    <row r="54" spans="2:49" x14ac:dyDescent="0.2">
      <c r="B54" s="32" t="str">
        <f>IF(AND(ISNUMBER(Roster!$B54),Setup!$B$20="Yes",ISNUMBER(Setup!$C$20)),EDATE(Roster!$B54,12*Setup!$C$20),"")</f>
        <v/>
      </c>
      <c r="C54" s="32" t="str">
        <f>IF(AND(ISNUMBER(Roster!$B54),Setup!$B$21="Yes",ISNUMBER(Setup!$C$21)),EDATE(Roster!$B54,12*Setup!$C$21),"")</f>
        <v/>
      </c>
      <c r="D54" s="32" t="str">
        <f>IF(AND(ISNUMBER(Roster!$B54),Setup!$B$22="Yes",ISNUMBER(Setup!$C$22)),EDATE(Roster!$B54,12*Setup!$C$22),"")</f>
        <v/>
      </c>
      <c r="E54" s="32" t="str">
        <f>IF(AND(ISNUMBER(Roster!$B54),Setup!$B$23="Yes",ISNUMBER(Setup!$C$23)),EDATE(Roster!$B54,12*Setup!$C$23),"")</f>
        <v/>
      </c>
      <c r="F54" s="32" t="str">
        <f>IF(AND(ISNUMBER(Roster!$B54),Setup!$B$24="Yes",ISNUMBER(Setup!$C$24)),EDATE(Roster!$B54,12*Setup!$C$24),"")</f>
        <v/>
      </c>
      <c r="G54" s="32" t="str">
        <f>IF(AND(ISNUMBER(Roster!$B54),Setup!$B$25="Yes",ISNUMBER(Setup!$C$25)),EDATE(Roster!$B54,12*Setup!$C$25),"")</f>
        <v/>
      </c>
      <c r="H54" s="32" t="str">
        <f>IF(AND(ISNUMBER(Roster!$B54),Setup!$B$26="Yes",ISNUMBER(Setup!$C$26)),EDATE(Roster!$B54,12*Setup!$C$26),"")</f>
        <v/>
      </c>
      <c r="I54" s="32" t="str">
        <f>IF(AND(ISNUMBER(Roster!$B54),Setup!$B$27="Yes",ISNUMBER(Setup!$C$27)),EDATE(Roster!$B54,12*Setup!$C$27),"")</f>
        <v/>
      </c>
      <c r="J54" s="32" t="str">
        <f>IF(AND(ISNUMBER(Roster!$B54),Setup!$B$28="Yes",ISNUMBER(Setup!$C$28)),EDATE(Roster!$B54,12*Setup!$C$28),"")</f>
        <v/>
      </c>
      <c r="K54" s="32" t="str">
        <f>IF(AND(ISNUMBER(Roster!$B54),Setup!$B$29="Yes",ISNUMBER(Setup!$C$29)),EDATE(Roster!$B54,12*Setup!$C$29),"")</f>
        <v/>
      </c>
      <c r="L54" s="32" t="str">
        <f>IF(AND(ISNUMBER(Roster!$B54),Setup!$B$30="Yes",ISNUMBER(Setup!$C$30)),EDATE(Roster!$B54,12*Setup!$C$30),"")</f>
        <v/>
      </c>
      <c r="M54" s="32" t="str">
        <f>IF(AND(ISNUMBER(Roster!$B54),Setup!$B$31="Yes",ISNUMBER(Setup!$C$31)),EDATE(Roster!$B54,12*Setup!$C$31),"")</f>
        <v/>
      </c>
      <c r="N54" s="32" t="str">
        <f>IF(AND(ISNUMBER(Roster!$B54),Setup!$B$32="Yes",ISNUMBER(Setup!$C$32)),EDATE(Roster!$B54,12*Setup!$C$32),"")</f>
        <v/>
      </c>
      <c r="O54" s="32" t="str">
        <f>IF(AND(ISNUMBER(Roster!$B54),Setup!$B$33="Yes",ISNUMBER(Setup!$C$33)),EDATE(Roster!$B54,12*Setup!$C$33),"")</f>
        <v/>
      </c>
      <c r="P54" s="32" t="str">
        <f>IF(AND(ISNUMBER(Roster!$B54),Setup!$B$34="Yes",ISNUMBER(Setup!$C$34)),EDATE(Roster!$B54,12*Setup!$C$34),"")</f>
        <v/>
      </c>
      <c r="R54" t="str">
        <f>IF(B54="","",IF(B54&lt;Setup!$C$5-Setup!$C$6,"",IF(IF(ISNUMBER(Roster!$D54),Setup!$C$20&lt;=Roster!$D54,FALSE),"",IF(OR(IF(Setup!$C$15&lt;=Setup!$C$16,AND(MONTH(B54)&gt;=Setup!$C$15,MONTH(B54)&lt;=Setup!$C$16),OR(MONTH(B54)&gt;=Setup!$C$15,MONTH(B54)&lt;=Setup!$C$16)),IF(Setup!$C$15&lt;=Setup!$C$16,AND(MONTH(WORKDAY(B54,-(Setup!$C$13+Setup!$G$20),Setup!$C$39:$C$50))&gt;=Setup!$C$15,MONTH(WORKDAY(B54,-(Setup!$C$13+Setup!$G$20),Setup!$C$39:$C$50))&lt;=Setup!$C$16),OR(MONTH(WORKDAY(B54,-(Setup!$C$13+Setup!$G$20),Setup!$C$39:$C$50))&gt;=Setup!$C$15,MONTH(WORKDAY(B54,-(Setup!$C$13+Setup!$G$20),Setup!$C$39:$C$50))&lt;=Setup!$C$16))),WORKDAY(B54,-(Setup!$C$13+Setup!$G$20+Setup!$C$14),Setup!$C$39:$C$50),WORKDAY(B54,-(Setup!$C$13+Setup!$G$20),Setup!$C$39:$C$50))+(49*100+1)/10000000)))</f>
        <v/>
      </c>
      <c r="S54" t="str">
        <f>IF(C54="","",IF(C54&lt;Setup!$C$5-Setup!$C$6,"",IF(IF(ISNUMBER(Roster!$D54),Setup!$C$21&lt;=Roster!$D54,FALSE),"",IF(OR(IF(Setup!$C$15&lt;=Setup!$C$16,AND(MONTH(C54)&gt;=Setup!$C$15,MONTH(C54)&lt;=Setup!$C$16),OR(MONTH(C54)&gt;=Setup!$C$15,MONTH(C54)&lt;=Setup!$C$16)),IF(Setup!$C$15&lt;=Setup!$C$16,AND(MONTH(WORKDAY(C54,-(Setup!$C$13+Setup!$G$21),Setup!$C$39:$C$50))&gt;=Setup!$C$15,MONTH(WORKDAY(C54,-(Setup!$C$13+Setup!$G$21),Setup!$C$39:$C$50))&lt;=Setup!$C$16),OR(MONTH(WORKDAY(C54,-(Setup!$C$13+Setup!$G$21),Setup!$C$39:$C$50))&gt;=Setup!$C$15,MONTH(WORKDAY(C54,-(Setup!$C$13+Setup!$G$21),Setup!$C$39:$C$50))&lt;=Setup!$C$16))),WORKDAY(C54,-(Setup!$C$13+Setup!$G$21+Setup!$C$14),Setup!$C$39:$C$50),WORKDAY(C54,-(Setup!$C$13+Setup!$G$21),Setup!$C$39:$C$50))+(49*100+2)/10000000)))</f>
        <v/>
      </c>
      <c r="T54" t="str">
        <f>IF(D54="","",IF(D54&lt;Setup!$C$5-Setup!$C$6,"",IF(IF(ISNUMBER(Roster!$D54),Setup!$C$22&lt;=Roster!$D54,FALSE),"",IF(OR(IF(Setup!$C$15&lt;=Setup!$C$16,AND(MONTH(D54)&gt;=Setup!$C$15,MONTH(D54)&lt;=Setup!$C$16),OR(MONTH(D54)&gt;=Setup!$C$15,MONTH(D54)&lt;=Setup!$C$16)),IF(Setup!$C$15&lt;=Setup!$C$16,AND(MONTH(WORKDAY(D54,-(Setup!$C$13+Setup!$G$22),Setup!$C$39:$C$50))&gt;=Setup!$C$15,MONTH(WORKDAY(D54,-(Setup!$C$13+Setup!$G$22),Setup!$C$39:$C$50))&lt;=Setup!$C$16),OR(MONTH(WORKDAY(D54,-(Setup!$C$13+Setup!$G$22),Setup!$C$39:$C$50))&gt;=Setup!$C$15,MONTH(WORKDAY(D54,-(Setup!$C$13+Setup!$G$22),Setup!$C$39:$C$50))&lt;=Setup!$C$16))),WORKDAY(D54,-(Setup!$C$13+Setup!$G$22+Setup!$C$14),Setup!$C$39:$C$50),WORKDAY(D54,-(Setup!$C$13+Setup!$G$22),Setup!$C$39:$C$50))+(49*100+3)/10000000)))</f>
        <v/>
      </c>
      <c r="U54" t="str">
        <f>IF(E54="","",IF(E54&lt;Setup!$C$5-Setup!$C$6,"",IF(IF(ISNUMBER(Roster!$D54),Setup!$C$23&lt;=Roster!$D54,FALSE),"",IF(OR(IF(Setup!$C$15&lt;=Setup!$C$16,AND(MONTH(E54)&gt;=Setup!$C$15,MONTH(E54)&lt;=Setup!$C$16),OR(MONTH(E54)&gt;=Setup!$C$15,MONTH(E54)&lt;=Setup!$C$16)),IF(Setup!$C$15&lt;=Setup!$C$16,AND(MONTH(WORKDAY(E54,-(Setup!$C$13+Setup!$G$23),Setup!$C$39:$C$50))&gt;=Setup!$C$15,MONTH(WORKDAY(E54,-(Setup!$C$13+Setup!$G$23),Setup!$C$39:$C$50))&lt;=Setup!$C$16),OR(MONTH(WORKDAY(E54,-(Setup!$C$13+Setup!$G$23),Setup!$C$39:$C$50))&gt;=Setup!$C$15,MONTH(WORKDAY(E54,-(Setup!$C$13+Setup!$G$23),Setup!$C$39:$C$50))&lt;=Setup!$C$16))),WORKDAY(E54,-(Setup!$C$13+Setup!$G$23+Setup!$C$14),Setup!$C$39:$C$50),WORKDAY(E54,-(Setup!$C$13+Setup!$G$23),Setup!$C$39:$C$50))+(49*100+4)/10000000)))</f>
        <v/>
      </c>
      <c r="V54" t="str">
        <f>IF(F54="","",IF(F54&lt;Setup!$C$5-Setup!$C$6,"",IF(IF(ISNUMBER(Roster!$D54),Setup!$C$24&lt;=Roster!$D54,FALSE),"",IF(OR(IF(Setup!$C$15&lt;=Setup!$C$16,AND(MONTH(F54)&gt;=Setup!$C$15,MONTH(F54)&lt;=Setup!$C$16),OR(MONTH(F54)&gt;=Setup!$C$15,MONTH(F54)&lt;=Setup!$C$16)),IF(Setup!$C$15&lt;=Setup!$C$16,AND(MONTH(WORKDAY(F54,-(Setup!$C$13+Setup!$G$24),Setup!$C$39:$C$50))&gt;=Setup!$C$15,MONTH(WORKDAY(F54,-(Setup!$C$13+Setup!$G$24),Setup!$C$39:$C$50))&lt;=Setup!$C$16),OR(MONTH(WORKDAY(F54,-(Setup!$C$13+Setup!$G$24),Setup!$C$39:$C$50))&gt;=Setup!$C$15,MONTH(WORKDAY(F54,-(Setup!$C$13+Setup!$G$24),Setup!$C$39:$C$50))&lt;=Setup!$C$16))),WORKDAY(F54,-(Setup!$C$13+Setup!$G$24+Setup!$C$14),Setup!$C$39:$C$50),WORKDAY(F54,-(Setup!$C$13+Setup!$G$24),Setup!$C$39:$C$50))+(49*100+5)/10000000)))</f>
        <v/>
      </c>
      <c r="W54" t="str">
        <f>IF(G54="","",IF(G54&lt;Setup!$C$5-Setup!$C$6,"",IF(IF(ISNUMBER(Roster!$D54),Setup!$C$25&lt;=Roster!$D54,FALSE),"",IF(OR(IF(Setup!$C$15&lt;=Setup!$C$16,AND(MONTH(G54)&gt;=Setup!$C$15,MONTH(G54)&lt;=Setup!$C$16),OR(MONTH(G54)&gt;=Setup!$C$15,MONTH(G54)&lt;=Setup!$C$16)),IF(Setup!$C$15&lt;=Setup!$C$16,AND(MONTH(WORKDAY(G54,-(Setup!$C$13+Setup!$G$25),Setup!$C$39:$C$50))&gt;=Setup!$C$15,MONTH(WORKDAY(G54,-(Setup!$C$13+Setup!$G$25),Setup!$C$39:$C$50))&lt;=Setup!$C$16),OR(MONTH(WORKDAY(G54,-(Setup!$C$13+Setup!$G$25),Setup!$C$39:$C$50))&gt;=Setup!$C$15,MONTH(WORKDAY(G54,-(Setup!$C$13+Setup!$G$25),Setup!$C$39:$C$50))&lt;=Setup!$C$16))),WORKDAY(G54,-(Setup!$C$13+Setup!$G$25+Setup!$C$14),Setup!$C$39:$C$50),WORKDAY(G54,-(Setup!$C$13+Setup!$G$25),Setup!$C$39:$C$50))+(49*100+6)/10000000)))</f>
        <v/>
      </c>
      <c r="X54" t="str">
        <f>IF(H54="","",IF(H54&lt;Setup!$C$5-Setup!$C$6,"",IF(IF(ISNUMBER(Roster!$D54),Setup!$C$26&lt;=Roster!$D54,FALSE),"",IF(OR(IF(Setup!$C$15&lt;=Setup!$C$16,AND(MONTH(H54)&gt;=Setup!$C$15,MONTH(H54)&lt;=Setup!$C$16),OR(MONTH(H54)&gt;=Setup!$C$15,MONTH(H54)&lt;=Setup!$C$16)),IF(Setup!$C$15&lt;=Setup!$C$16,AND(MONTH(WORKDAY(H54,-(Setup!$C$13+Setup!$G$26),Setup!$C$39:$C$50))&gt;=Setup!$C$15,MONTH(WORKDAY(H54,-(Setup!$C$13+Setup!$G$26),Setup!$C$39:$C$50))&lt;=Setup!$C$16),OR(MONTH(WORKDAY(H54,-(Setup!$C$13+Setup!$G$26),Setup!$C$39:$C$50))&gt;=Setup!$C$15,MONTH(WORKDAY(H54,-(Setup!$C$13+Setup!$G$26),Setup!$C$39:$C$50))&lt;=Setup!$C$16))),WORKDAY(H54,-(Setup!$C$13+Setup!$G$26+Setup!$C$14),Setup!$C$39:$C$50),WORKDAY(H54,-(Setup!$C$13+Setup!$G$26),Setup!$C$39:$C$50))+(49*100+7)/10000000)))</f>
        <v/>
      </c>
      <c r="Y54" t="str">
        <f>IF(I54="","",IF(I54&lt;Setup!$C$5-Setup!$C$6,"",IF(IF(ISNUMBER(Roster!$D54),Setup!$C$27&lt;=Roster!$D54,FALSE),"",IF(OR(IF(Setup!$C$15&lt;=Setup!$C$16,AND(MONTH(I54)&gt;=Setup!$C$15,MONTH(I54)&lt;=Setup!$C$16),OR(MONTH(I54)&gt;=Setup!$C$15,MONTH(I54)&lt;=Setup!$C$16)),IF(Setup!$C$15&lt;=Setup!$C$16,AND(MONTH(WORKDAY(I54,-(Setup!$C$13+Setup!$G$27),Setup!$C$39:$C$50))&gt;=Setup!$C$15,MONTH(WORKDAY(I54,-(Setup!$C$13+Setup!$G$27),Setup!$C$39:$C$50))&lt;=Setup!$C$16),OR(MONTH(WORKDAY(I54,-(Setup!$C$13+Setup!$G$27),Setup!$C$39:$C$50))&gt;=Setup!$C$15,MONTH(WORKDAY(I54,-(Setup!$C$13+Setup!$G$27),Setup!$C$39:$C$50))&lt;=Setup!$C$16))),WORKDAY(I54,-(Setup!$C$13+Setup!$G$27+Setup!$C$14),Setup!$C$39:$C$50),WORKDAY(I54,-(Setup!$C$13+Setup!$G$27),Setup!$C$39:$C$50))+(49*100+8)/10000000)))</f>
        <v/>
      </c>
      <c r="Z54" t="str">
        <f>IF(J54="","",IF(J54&lt;Setup!$C$5-Setup!$C$6,"",IF(IF(ISNUMBER(Roster!$D54),Setup!$C$28&lt;=Roster!$D54,FALSE),"",IF(OR(IF(Setup!$C$15&lt;=Setup!$C$16,AND(MONTH(J54)&gt;=Setup!$C$15,MONTH(J54)&lt;=Setup!$C$16),OR(MONTH(J54)&gt;=Setup!$C$15,MONTH(J54)&lt;=Setup!$C$16)),IF(Setup!$C$15&lt;=Setup!$C$16,AND(MONTH(WORKDAY(J54,-(Setup!$C$13+Setup!$G$28),Setup!$C$39:$C$50))&gt;=Setup!$C$15,MONTH(WORKDAY(J54,-(Setup!$C$13+Setup!$G$28),Setup!$C$39:$C$50))&lt;=Setup!$C$16),OR(MONTH(WORKDAY(J54,-(Setup!$C$13+Setup!$G$28),Setup!$C$39:$C$50))&gt;=Setup!$C$15,MONTH(WORKDAY(J54,-(Setup!$C$13+Setup!$G$28),Setup!$C$39:$C$50))&lt;=Setup!$C$16))),WORKDAY(J54,-(Setup!$C$13+Setup!$G$28+Setup!$C$14),Setup!$C$39:$C$50),WORKDAY(J54,-(Setup!$C$13+Setup!$G$28),Setup!$C$39:$C$50))+(49*100+9)/10000000)))</f>
        <v/>
      </c>
      <c r="AA54" t="str">
        <f>IF(K54="","",IF(K54&lt;Setup!$C$5-Setup!$C$6,"",IF(IF(ISNUMBER(Roster!$D54),Setup!$C$29&lt;=Roster!$D54,FALSE),"",IF(OR(IF(Setup!$C$15&lt;=Setup!$C$16,AND(MONTH(K54)&gt;=Setup!$C$15,MONTH(K54)&lt;=Setup!$C$16),OR(MONTH(K54)&gt;=Setup!$C$15,MONTH(K54)&lt;=Setup!$C$16)),IF(Setup!$C$15&lt;=Setup!$C$16,AND(MONTH(WORKDAY(K54,-(Setup!$C$13+Setup!$G$29),Setup!$C$39:$C$50))&gt;=Setup!$C$15,MONTH(WORKDAY(K54,-(Setup!$C$13+Setup!$G$29),Setup!$C$39:$C$50))&lt;=Setup!$C$16),OR(MONTH(WORKDAY(K54,-(Setup!$C$13+Setup!$G$29),Setup!$C$39:$C$50))&gt;=Setup!$C$15,MONTH(WORKDAY(K54,-(Setup!$C$13+Setup!$G$29),Setup!$C$39:$C$50))&lt;=Setup!$C$16))),WORKDAY(K54,-(Setup!$C$13+Setup!$G$29+Setup!$C$14),Setup!$C$39:$C$50),WORKDAY(K54,-(Setup!$C$13+Setup!$G$29),Setup!$C$39:$C$50))+(49*100+10)/10000000)))</f>
        <v/>
      </c>
      <c r="AB54" t="str">
        <f>IF(L54="","",IF(L54&lt;Setup!$C$5-Setup!$C$6,"",IF(IF(ISNUMBER(Roster!$D54),Setup!$C$30&lt;=Roster!$D54,FALSE),"",IF(OR(IF(Setup!$C$15&lt;=Setup!$C$16,AND(MONTH(L54)&gt;=Setup!$C$15,MONTH(L54)&lt;=Setup!$C$16),OR(MONTH(L54)&gt;=Setup!$C$15,MONTH(L54)&lt;=Setup!$C$16)),IF(Setup!$C$15&lt;=Setup!$C$16,AND(MONTH(WORKDAY(L54,-(Setup!$C$13+Setup!$G$30),Setup!$C$39:$C$50))&gt;=Setup!$C$15,MONTH(WORKDAY(L54,-(Setup!$C$13+Setup!$G$30),Setup!$C$39:$C$50))&lt;=Setup!$C$16),OR(MONTH(WORKDAY(L54,-(Setup!$C$13+Setup!$G$30),Setup!$C$39:$C$50))&gt;=Setup!$C$15,MONTH(WORKDAY(L54,-(Setup!$C$13+Setup!$G$30),Setup!$C$39:$C$50))&lt;=Setup!$C$16))),WORKDAY(L54,-(Setup!$C$13+Setup!$G$30+Setup!$C$14),Setup!$C$39:$C$50),WORKDAY(L54,-(Setup!$C$13+Setup!$G$30),Setup!$C$39:$C$50))+(49*100+11)/10000000)))</f>
        <v/>
      </c>
      <c r="AC54" t="str">
        <f>IF(M54="","",IF(M54&lt;Setup!$C$5-Setup!$C$6,"",IF(IF(ISNUMBER(Roster!$D54),Setup!$C$31&lt;=Roster!$D54,FALSE),"",IF(OR(IF(Setup!$C$15&lt;=Setup!$C$16,AND(MONTH(M54)&gt;=Setup!$C$15,MONTH(M54)&lt;=Setup!$C$16),OR(MONTH(M54)&gt;=Setup!$C$15,MONTH(M54)&lt;=Setup!$C$16)),IF(Setup!$C$15&lt;=Setup!$C$16,AND(MONTH(WORKDAY(M54,-(Setup!$C$13+Setup!$G$31),Setup!$C$39:$C$50))&gt;=Setup!$C$15,MONTH(WORKDAY(M54,-(Setup!$C$13+Setup!$G$31),Setup!$C$39:$C$50))&lt;=Setup!$C$16),OR(MONTH(WORKDAY(M54,-(Setup!$C$13+Setup!$G$31),Setup!$C$39:$C$50))&gt;=Setup!$C$15,MONTH(WORKDAY(M54,-(Setup!$C$13+Setup!$G$31),Setup!$C$39:$C$50))&lt;=Setup!$C$16))),WORKDAY(M54,-(Setup!$C$13+Setup!$G$31+Setup!$C$14),Setup!$C$39:$C$50),WORKDAY(M54,-(Setup!$C$13+Setup!$G$31),Setup!$C$39:$C$50))+(49*100+12)/10000000)))</f>
        <v/>
      </c>
      <c r="AD54" t="str">
        <f>IF(N54="","",IF(N54&lt;Setup!$C$5-Setup!$C$6,"",IF(IF(ISNUMBER(Roster!$D54),Setup!$C$32&lt;=Roster!$D54,FALSE),"",IF(OR(IF(Setup!$C$15&lt;=Setup!$C$16,AND(MONTH(N54)&gt;=Setup!$C$15,MONTH(N54)&lt;=Setup!$C$16),OR(MONTH(N54)&gt;=Setup!$C$15,MONTH(N54)&lt;=Setup!$C$16)),IF(Setup!$C$15&lt;=Setup!$C$16,AND(MONTH(WORKDAY(N54,-(Setup!$C$13+Setup!$G$32),Setup!$C$39:$C$50))&gt;=Setup!$C$15,MONTH(WORKDAY(N54,-(Setup!$C$13+Setup!$G$32),Setup!$C$39:$C$50))&lt;=Setup!$C$16),OR(MONTH(WORKDAY(N54,-(Setup!$C$13+Setup!$G$32),Setup!$C$39:$C$50))&gt;=Setup!$C$15,MONTH(WORKDAY(N54,-(Setup!$C$13+Setup!$G$32),Setup!$C$39:$C$50))&lt;=Setup!$C$16))),WORKDAY(N54,-(Setup!$C$13+Setup!$G$32+Setup!$C$14),Setup!$C$39:$C$50),WORKDAY(N54,-(Setup!$C$13+Setup!$G$32),Setup!$C$39:$C$50))+(49*100+13)/10000000)))</f>
        <v/>
      </c>
      <c r="AE54" t="str">
        <f>IF(O54="","",IF(O54&lt;Setup!$C$5-Setup!$C$6,"",IF(IF(ISNUMBER(Roster!$D54),Setup!$C$33&lt;=Roster!$D54,FALSE),"",IF(OR(IF(Setup!$C$15&lt;=Setup!$C$16,AND(MONTH(O54)&gt;=Setup!$C$15,MONTH(O54)&lt;=Setup!$C$16),OR(MONTH(O54)&gt;=Setup!$C$15,MONTH(O54)&lt;=Setup!$C$16)),IF(Setup!$C$15&lt;=Setup!$C$16,AND(MONTH(WORKDAY(O54,-(Setup!$C$13+Setup!$G$33),Setup!$C$39:$C$50))&gt;=Setup!$C$15,MONTH(WORKDAY(O54,-(Setup!$C$13+Setup!$G$33),Setup!$C$39:$C$50))&lt;=Setup!$C$16),OR(MONTH(WORKDAY(O54,-(Setup!$C$13+Setup!$G$33),Setup!$C$39:$C$50))&gt;=Setup!$C$15,MONTH(WORKDAY(O54,-(Setup!$C$13+Setup!$G$33),Setup!$C$39:$C$50))&lt;=Setup!$C$16))),WORKDAY(O54,-(Setup!$C$13+Setup!$G$33+Setup!$C$14),Setup!$C$39:$C$50),WORKDAY(O54,-(Setup!$C$13+Setup!$G$33),Setup!$C$39:$C$50))+(49*100+14)/10000000)))</f>
        <v/>
      </c>
      <c r="AF54" t="str">
        <f>IF(P54="","",IF(P54&lt;Setup!$C$5-Setup!$C$6,"",IF(IF(ISNUMBER(Roster!$D54),Setup!$C$34&lt;=Roster!$D54,FALSE),"",IF(OR(IF(Setup!$C$15&lt;=Setup!$C$16,AND(MONTH(P54)&gt;=Setup!$C$15,MONTH(P54)&lt;=Setup!$C$16),OR(MONTH(P54)&gt;=Setup!$C$15,MONTH(P54)&lt;=Setup!$C$16)),IF(Setup!$C$15&lt;=Setup!$C$16,AND(MONTH(WORKDAY(P54,-(Setup!$C$13+Setup!$G$34),Setup!$C$39:$C$50))&gt;=Setup!$C$15,MONTH(WORKDAY(P54,-(Setup!$C$13+Setup!$G$34),Setup!$C$39:$C$50))&lt;=Setup!$C$16),OR(MONTH(WORKDAY(P54,-(Setup!$C$13+Setup!$G$34),Setup!$C$39:$C$50))&gt;=Setup!$C$15,MONTH(WORKDAY(P54,-(Setup!$C$13+Setup!$G$34),Setup!$C$39:$C$50))&lt;=Setup!$C$16))),WORKDAY(P54,-(Setup!$C$13+Setup!$G$34+Setup!$C$14),Setup!$C$39:$C$50),WORKDAY(P54,-(Setup!$C$13+Setup!$G$34),Setup!$C$39:$C$50))+(49*100+15)/10000000)))</f>
        <v/>
      </c>
      <c r="AH54" t="str">
        <f t="shared" si="0"/>
        <v/>
      </c>
      <c r="AI54" t="str">
        <f t="shared" si="1"/>
        <v/>
      </c>
      <c r="AK54" t="str">
        <f ca="1">IF(49&gt;$AK$2,"",SMALL($R$6:$AF$505,49))</f>
        <v/>
      </c>
      <c r="AL54" t="str">
        <f t="shared" ca="1" si="2"/>
        <v/>
      </c>
      <c r="AM54" t="str">
        <f t="shared" ca="1" si="3"/>
        <v/>
      </c>
      <c r="AN54" t="str">
        <f t="shared" ca="1" si="4"/>
        <v/>
      </c>
      <c r="AP54" t="str">
        <f>IF(ISNUMBER(Roster!$B54),MAX(1,YEAR(Setup!$C$5)-YEAR(Roster!$B54)+IF(EDATE(Roster!$B54,12*(YEAR(Setup!$C$5)-YEAR(Roster!$B54)))&lt;Setup!$C$5,1,0)),"")</f>
        <v/>
      </c>
      <c r="AQ54" s="32" t="str">
        <f>IF(AP54="","",EDATE(Roster!$B54,12*AP54))</f>
        <v/>
      </c>
      <c r="AR54" t="str">
        <f>IF(AQ54="","",IF(AQ54&lt;DATE(YEAR(Setup!$C$5)+1,MONTH(Setup!$C$5),DAY(Setup!$C$5)),AQ54+49/1000,""))</f>
        <v/>
      </c>
      <c r="AS54" t="str">
        <f t="shared" si="5"/>
        <v/>
      </c>
      <c r="AT54" t="str">
        <f>IF(AS54="","",IF(ISNUMBER(Roster!$D54),Roster!$D54&gt;=AP54,FALSE))</f>
        <v/>
      </c>
      <c r="AU54" t="str">
        <f t="shared" si="6"/>
        <v/>
      </c>
      <c r="AV54" t="str">
        <f ca="1">IF(49&gt;$AV$2,"",SMALL($AR$6:$AR$505,49))</f>
        <v/>
      </c>
      <c r="AW54" t="str">
        <f t="shared" ca="1" si="7"/>
        <v/>
      </c>
    </row>
    <row r="55" spans="2:49" x14ac:dyDescent="0.2">
      <c r="B55" s="32" t="str">
        <f>IF(AND(ISNUMBER(Roster!$B55),Setup!$B$20="Yes",ISNUMBER(Setup!$C$20)),EDATE(Roster!$B55,12*Setup!$C$20),"")</f>
        <v/>
      </c>
      <c r="C55" s="32" t="str">
        <f>IF(AND(ISNUMBER(Roster!$B55),Setup!$B$21="Yes",ISNUMBER(Setup!$C$21)),EDATE(Roster!$B55,12*Setup!$C$21),"")</f>
        <v/>
      </c>
      <c r="D55" s="32" t="str">
        <f>IF(AND(ISNUMBER(Roster!$B55),Setup!$B$22="Yes",ISNUMBER(Setup!$C$22)),EDATE(Roster!$B55,12*Setup!$C$22),"")</f>
        <v/>
      </c>
      <c r="E55" s="32" t="str">
        <f>IF(AND(ISNUMBER(Roster!$B55),Setup!$B$23="Yes",ISNUMBER(Setup!$C$23)),EDATE(Roster!$B55,12*Setup!$C$23),"")</f>
        <v/>
      </c>
      <c r="F55" s="32" t="str">
        <f>IF(AND(ISNUMBER(Roster!$B55),Setup!$B$24="Yes",ISNUMBER(Setup!$C$24)),EDATE(Roster!$B55,12*Setup!$C$24),"")</f>
        <v/>
      </c>
      <c r="G55" s="32" t="str">
        <f>IF(AND(ISNUMBER(Roster!$B55),Setup!$B$25="Yes",ISNUMBER(Setup!$C$25)),EDATE(Roster!$B55,12*Setup!$C$25),"")</f>
        <v/>
      </c>
      <c r="H55" s="32" t="str">
        <f>IF(AND(ISNUMBER(Roster!$B55),Setup!$B$26="Yes",ISNUMBER(Setup!$C$26)),EDATE(Roster!$B55,12*Setup!$C$26),"")</f>
        <v/>
      </c>
      <c r="I55" s="32" t="str">
        <f>IF(AND(ISNUMBER(Roster!$B55),Setup!$B$27="Yes",ISNUMBER(Setup!$C$27)),EDATE(Roster!$B55,12*Setup!$C$27),"")</f>
        <v/>
      </c>
      <c r="J55" s="32" t="str">
        <f>IF(AND(ISNUMBER(Roster!$B55),Setup!$B$28="Yes",ISNUMBER(Setup!$C$28)),EDATE(Roster!$B55,12*Setup!$C$28),"")</f>
        <v/>
      </c>
      <c r="K55" s="32" t="str">
        <f>IF(AND(ISNUMBER(Roster!$B55),Setup!$B$29="Yes",ISNUMBER(Setup!$C$29)),EDATE(Roster!$B55,12*Setup!$C$29),"")</f>
        <v/>
      </c>
      <c r="L55" s="32" t="str">
        <f>IF(AND(ISNUMBER(Roster!$B55),Setup!$B$30="Yes",ISNUMBER(Setup!$C$30)),EDATE(Roster!$B55,12*Setup!$C$30),"")</f>
        <v/>
      </c>
      <c r="M55" s="32" t="str">
        <f>IF(AND(ISNUMBER(Roster!$B55),Setup!$B$31="Yes",ISNUMBER(Setup!$C$31)),EDATE(Roster!$B55,12*Setup!$C$31),"")</f>
        <v/>
      </c>
      <c r="N55" s="32" t="str">
        <f>IF(AND(ISNUMBER(Roster!$B55),Setup!$B$32="Yes",ISNUMBER(Setup!$C$32)),EDATE(Roster!$B55,12*Setup!$C$32),"")</f>
        <v/>
      </c>
      <c r="O55" s="32" t="str">
        <f>IF(AND(ISNUMBER(Roster!$B55),Setup!$B$33="Yes",ISNUMBER(Setup!$C$33)),EDATE(Roster!$B55,12*Setup!$C$33),"")</f>
        <v/>
      </c>
      <c r="P55" s="32" t="str">
        <f>IF(AND(ISNUMBER(Roster!$B55),Setup!$B$34="Yes",ISNUMBER(Setup!$C$34)),EDATE(Roster!$B55,12*Setup!$C$34),"")</f>
        <v/>
      </c>
      <c r="R55" t="str">
        <f>IF(B55="","",IF(B55&lt;Setup!$C$5-Setup!$C$6,"",IF(IF(ISNUMBER(Roster!$D55),Setup!$C$20&lt;=Roster!$D55,FALSE),"",IF(OR(IF(Setup!$C$15&lt;=Setup!$C$16,AND(MONTH(B55)&gt;=Setup!$C$15,MONTH(B55)&lt;=Setup!$C$16),OR(MONTH(B55)&gt;=Setup!$C$15,MONTH(B55)&lt;=Setup!$C$16)),IF(Setup!$C$15&lt;=Setup!$C$16,AND(MONTH(WORKDAY(B55,-(Setup!$C$13+Setup!$G$20),Setup!$C$39:$C$50))&gt;=Setup!$C$15,MONTH(WORKDAY(B55,-(Setup!$C$13+Setup!$G$20),Setup!$C$39:$C$50))&lt;=Setup!$C$16),OR(MONTH(WORKDAY(B55,-(Setup!$C$13+Setup!$G$20),Setup!$C$39:$C$50))&gt;=Setup!$C$15,MONTH(WORKDAY(B55,-(Setup!$C$13+Setup!$G$20),Setup!$C$39:$C$50))&lt;=Setup!$C$16))),WORKDAY(B55,-(Setup!$C$13+Setup!$G$20+Setup!$C$14),Setup!$C$39:$C$50),WORKDAY(B55,-(Setup!$C$13+Setup!$G$20),Setup!$C$39:$C$50))+(50*100+1)/10000000)))</f>
        <v/>
      </c>
      <c r="S55" t="str">
        <f>IF(C55="","",IF(C55&lt;Setup!$C$5-Setup!$C$6,"",IF(IF(ISNUMBER(Roster!$D55),Setup!$C$21&lt;=Roster!$D55,FALSE),"",IF(OR(IF(Setup!$C$15&lt;=Setup!$C$16,AND(MONTH(C55)&gt;=Setup!$C$15,MONTH(C55)&lt;=Setup!$C$16),OR(MONTH(C55)&gt;=Setup!$C$15,MONTH(C55)&lt;=Setup!$C$16)),IF(Setup!$C$15&lt;=Setup!$C$16,AND(MONTH(WORKDAY(C55,-(Setup!$C$13+Setup!$G$21),Setup!$C$39:$C$50))&gt;=Setup!$C$15,MONTH(WORKDAY(C55,-(Setup!$C$13+Setup!$G$21),Setup!$C$39:$C$50))&lt;=Setup!$C$16),OR(MONTH(WORKDAY(C55,-(Setup!$C$13+Setup!$G$21),Setup!$C$39:$C$50))&gt;=Setup!$C$15,MONTH(WORKDAY(C55,-(Setup!$C$13+Setup!$G$21),Setup!$C$39:$C$50))&lt;=Setup!$C$16))),WORKDAY(C55,-(Setup!$C$13+Setup!$G$21+Setup!$C$14),Setup!$C$39:$C$50),WORKDAY(C55,-(Setup!$C$13+Setup!$G$21),Setup!$C$39:$C$50))+(50*100+2)/10000000)))</f>
        <v/>
      </c>
      <c r="T55" t="str">
        <f>IF(D55="","",IF(D55&lt;Setup!$C$5-Setup!$C$6,"",IF(IF(ISNUMBER(Roster!$D55),Setup!$C$22&lt;=Roster!$D55,FALSE),"",IF(OR(IF(Setup!$C$15&lt;=Setup!$C$16,AND(MONTH(D55)&gt;=Setup!$C$15,MONTH(D55)&lt;=Setup!$C$16),OR(MONTH(D55)&gt;=Setup!$C$15,MONTH(D55)&lt;=Setup!$C$16)),IF(Setup!$C$15&lt;=Setup!$C$16,AND(MONTH(WORKDAY(D55,-(Setup!$C$13+Setup!$G$22),Setup!$C$39:$C$50))&gt;=Setup!$C$15,MONTH(WORKDAY(D55,-(Setup!$C$13+Setup!$G$22),Setup!$C$39:$C$50))&lt;=Setup!$C$16),OR(MONTH(WORKDAY(D55,-(Setup!$C$13+Setup!$G$22),Setup!$C$39:$C$50))&gt;=Setup!$C$15,MONTH(WORKDAY(D55,-(Setup!$C$13+Setup!$G$22),Setup!$C$39:$C$50))&lt;=Setup!$C$16))),WORKDAY(D55,-(Setup!$C$13+Setup!$G$22+Setup!$C$14),Setup!$C$39:$C$50),WORKDAY(D55,-(Setup!$C$13+Setup!$G$22),Setup!$C$39:$C$50))+(50*100+3)/10000000)))</f>
        <v/>
      </c>
      <c r="U55" t="str">
        <f>IF(E55="","",IF(E55&lt;Setup!$C$5-Setup!$C$6,"",IF(IF(ISNUMBER(Roster!$D55),Setup!$C$23&lt;=Roster!$D55,FALSE),"",IF(OR(IF(Setup!$C$15&lt;=Setup!$C$16,AND(MONTH(E55)&gt;=Setup!$C$15,MONTH(E55)&lt;=Setup!$C$16),OR(MONTH(E55)&gt;=Setup!$C$15,MONTH(E55)&lt;=Setup!$C$16)),IF(Setup!$C$15&lt;=Setup!$C$16,AND(MONTH(WORKDAY(E55,-(Setup!$C$13+Setup!$G$23),Setup!$C$39:$C$50))&gt;=Setup!$C$15,MONTH(WORKDAY(E55,-(Setup!$C$13+Setup!$G$23),Setup!$C$39:$C$50))&lt;=Setup!$C$16),OR(MONTH(WORKDAY(E55,-(Setup!$C$13+Setup!$G$23),Setup!$C$39:$C$50))&gt;=Setup!$C$15,MONTH(WORKDAY(E55,-(Setup!$C$13+Setup!$G$23),Setup!$C$39:$C$50))&lt;=Setup!$C$16))),WORKDAY(E55,-(Setup!$C$13+Setup!$G$23+Setup!$C$14),Setup!$C$39:$C$50),WORKDAY(E55,-(Setup!$C$13+Setup!$G$23),Setup!$C$39:$C$50))+(50*100+4)/10000000)))</f>
        <v/>
      </c>
      <c r="V55" t="str">
        <f>IF(F55="","",IF(F55&lt;Setup!$C$5-Setup!$C$6,"",IF(IF(ISNUMBER(Roster!$D55),Setup!$C$24&lt;=Roster!$D55,FALSE),"",IF(OR(IF(Setup!$C$15&lt;=Setup!$C$16,AND(MONTH(F55)&gt;=Setup!$C$15,MONTH(F55)&lt;=Setup!$C$16),OR(MONTH(F55)&gt;=Setup!$C$15,MONTH(F55)&lt;=Setup!$C$16)),IF(Setup!$C$15&lt;=Setup!$C$16,AND(MONTH(WORKDAY(F55,-(Setup!$C$13+Setup!$G$24),Setup!$C$39:$C$50))&gt;=Setup!$C$15,MONTH(WORKDAY(F55,-(Setup!$C$13+Setup!$G$24),Setup!$C$39:$C$50))&lt;=Setup!$C$16),OR(MONTH(WORKDAY(F55,-(Setup!$C$13+Setup!$G$24),Setup!$C$39:$C$50))&gt;=Setup!$C$15,MONTH(WORKDAY(F55,-(Setup!$C$13+Setup!$G$24),Setup!$C$39:$C$50))&lt;=Setup!$C$16))),WORKDAY(F55,-(Setup!$C$13+Setup!$G$24+Setup!$C$14),Setup!$C$39:$C$50),WORKDAY(F55,-(Setup!$C$13+Setup!$G$24),Setup!$C$39:$C$50))+(50*100+5)/10000000)))</f>
        <v/>
      </c>
      <c r="W55" t="str">
        <f>IF(G55="","",IF(G55&lt;Setup!$C$5-Setup!$C$6,"",IF(IF(ISNUMBER(Roster!$D55),Setup!$C$25&lt;=Roster!$D55,FALSE),"",IF(OR(IF(Setup!$C$15&lt;=Setup!$C$16,AND(MONTH(G55)&gt;=Setup!$C$15,MONTH(G55)&lt;=Setup!$C$16),OR(MONTH(G55)&gt;=Setup!$C$15,MONTH(G55)&lt;=Setup!$C$16)),IF(Setup!$C$15&lt;=Setup!$C$16,AND(MONTH(WORKDAY(G55,-(Setup!$C$13+Setup!$G$25),Setup!$C$39:$C$50))&gt;=Setup!$C$15,MONTH(WORKDAY(G55,-(Setup!$C$13+Setup!$G$25),Setup!$C$39:$C$50))&lt;=Setup!$C$16),OR(MONTH(WORKDAY(G55,-(Setup!$C$13+Setup!$G$25),Setup!$C$39:$C$50))&gt;=Setup!$C$15,MONTH(WORKDAY(G55,-(Setup!$C$13+Setup!$G$25),Setup!$C$39:$C$50))&lt;=Setup!$C$16))),WORKDAY(G55,-(Setup!$C$13+Setup!$G$25+Setup!$C$14),Setup!$C$39:$C$50),WORKDAY(G55,-(Setup!$C$13+Setup!$G$25),Setup!$C$39:$C$50))+(50*100+6)/10000000)))</f>
        <v/>
      </c>
      <c r="X55" t="str">
        <f>IF(H55="","",IF(H55&lt;Setup!$C$5-Setup!$C$6,"",IF(IF(ISNUMBER(Roster!$D55),Setup!$C$26&lt;=Roster!$D55,FALSE),"",IF(OR(IF(Setup!$C$15&lt;=Setup!$C$16,AND(MONTH(H55)&gt;=Setup!$C$15,MONTH(H55)&lt;=Setup!$C$16),OR(MONTH(H55)&gt;=Setup!$C$15,MONTH(H55)&lt;=Setup!$C$16)),IF(Setup!$C$15&lt;=Setup!$C$16,AND(MONTH(WORKDAY(H55,-(Setup!$C$13+Setup!$G$26),Setup!$C$39:$C$50))&gt;=Setup!$C$15,MONTH(WORKDAY(H55,-(Setup!$C$13+Setup!$G$26),Setup!$C$39:$C$50))&lt;=Setup!$C$16),OR(MONTH(WORKDAY(H55,-(Setup!$C$13+Setup!$G$26),Setup!$C$39:$C$50))&gt;=Setup!$C$15,MONTH(WORKDAY(H55,-(Setup!$C$13+Setup!$G$26),Setup!$C$39:$C$50))&lt;=Setup!$C$16))),WORKDAY(H55,-(Setup!$C$13+Setup!$G$26+Setup!$C$14),Setup!$C$39:$C$50),WORKDAY(H55,-(Setup!$C$13+Setup!$G$26),Setup!$C$39:$C$50))+(50*100+7)/10000000)))</f>
        <v/>
      </c>
      <c r="Y55" t="str">
        <f>IF(I55="","",IF(I55&lt;Setup!$C$5-Setup!$C$6,"",IF(IF(ISNUMBER(Roster!$D55),Setup!$C$27&lt;=Roster!$D55,FALSE),"",IF(OR(IF(Setup!$C$15&lt;=Setup!$C$16,AND(MONTH(I55)&gt;=Setup!$C$15,MONTH(I55)&lt;=Setup!$C$16),OR(MONTH(I55)&gt;=Setup!$C$15,MONTH(I55)&lt;=Setup!$C$16)),IF(Setup!$C$15&lt;=Setup!$C$16,AND(MONTH(WORKDAY(I55,-(Setup!$C$13+Setup!$G$27),Setup!$C$39:$C$50))&gt;=Setup!$C$15,MONTH(WORKDAY(I55,-(Setup!$C$13+Setup!$G$27),Setup!$C$39:$C$50))&lt;=Setup!$C$16),OR(MONTH(WORKDAY(I55,-(Setup!$C$13+Setup!$G$27),Setup!$C$39:$C$50))&gt;=Setup!$C$15,MONTH(WORKDAY(I55,-(Setup!$C$13+Setup!$G$27),Setup!$C$39:$C$50))&lt;=Setup!$C$16))),WORKDAY(I55,-(Setup!$C$13+Setup!$G$27+Setup!$C$14),Setup!$C$39:$C$50),WORKDAY(I55,-(Setup!$C$13+Setup!$G$27),Setup!$C$39:$C$50))+(50*100+8)/10000000)))</f>
        <v/>
      </c>
      <c r="Z55" t="str">
        <f>IF(J55="","",IF(J55&lt;Setup!$C$5-Setup!$C$6,"",IF(IF(ISNUMBER(Roster!$D55),Setup!$C$28&lt;=Roster!$D55,FALSE),"",IF(OR(IF(Setup!$C$15&lt;=Setup!$C$16,AND(MONTH(J55)&gt;=Setup!$C$15,MONTH(J55)&lt;=Setup!$C$16),OR(MONTH(J55)&gt;=Setup!$C$15,MONTH(J55)&lt;=Setup!$C$16)),IF(Setup!$C$15&lt;=Setup!$C$16,AND(MONTH(WORKDAY(J55,-(Setup!$C$13+Setup!$G$28),Setup!$C$39:$C$50))&gt;=Setup!$C$15,MONTH(WORKDAY(J55,-(Setup!$C$13+Setup!$G$28),Setup!$C$39:$C$50))&lt;=Setup!$C$16),OR(MONTH(WORKDAY(J55,-(Setup!$C$13+Setup!$G$28),Setup!$C$39:$C$50))&gt;=Setup!$C$15,MONTH(WORKDAY(J55,-(Setup!$C$13+Setup!$G$28),Setup!$C$39:$C$50))&lt;=Setup!$C$16))),WORKDAY(J55,-(Setup!$C$13+Setup!$G$28+Setup!$C$14),Setup!$C$39:$C$50),WORKDAY(J55,-(Setup!$C$13+Setup!$G$28),Setup!$C$39:$C$50))+(50*100+9)/10000000)))</f>
        <v/>
      </c>
      <c r="AA55" t="str">
        <f>IF(K55="","",IF(K55&lt;Setup!$C$5-Setup!$C$6,"",IF(IF(ISNUMBER(Roster!$D55),Setup!$C$29&lt;=Roster!$D55,FALSE),"",IF(OR(IF(Setup!$C$15&lt;=Setup!$C$16,AND(MONTH(K55)&gt;=Setup!$C$15,MONTH(K55)&lt;=Setup!$C$16),OR(MONTH(K55)&gt;=Setup!$C$15,MONTH(K55)&lt;=Setup!$C$16)),IF(Setup!$C$15&lt;=Setup!$C$16,AND(MONTH(WORKDAY(K55,-(Setup!$C$13+Setup!$G$29),Setup!$C$39:$C$50))&gt;=Setup!$C$15,MONTH(WORKDAY(K55,-(Setup!$C$13+Setup!$G$29),Setup!$C$39:$C$50))&lt;=Setup!$C$16),OR(MONTH(WORKDAY(K55,-(Setup!$C$13+Setup!$G$29),Setup!$C$39:$C$50))&gt;=Setup!$C$15,MONTH(WORKDAY(K55,-(Setup!$C$13+Setup!$G$29),Setup!$C$39:$C$50))&lt;=Setup!$C$16))),WORKDAY(K55,-(Setup!$C$13+Setup!$G$29+Setup!$C$14),Setup!$C$39:$C$50),WORKDAY(K55,-(Setup!$C$13+Setup!$G$29),Setup!$C$39:$C$50))+(50*100+10)/10000000)))</f>
        <v/>
      </c>
      <c r="AB55" t="str">
        <f>IF(L55="","",IF(L55&lt;Setup!$C$5-Setup!$C$6,"",IF(IF(ISNUMBER(Roster!$D55),Setup!$C$30&lt;=Roster!$D55,FALSE),"",IF(OR(IF(Setup!$C$15&lt;=Setup!$C$16,AND(MONTH(L55)&gt;=Setup!$C$15,MONTH(L55)&lt;=Setup!$C$16),OR(MONTH(L55)&gt;=Setup!$C$15,MONTH(L55)&lt;=Setup!$C$16)),IF(Setup!$C$15&lt;=Setup!$C$16,AND(MONTH(WORKDAY(L55,-(Setup!$C$13+Setup!$G$30),Setup!$C$39:$C$50))&gt;=Setup!$C$15,MONTH(WORKDAY(L55,-(Setup!$C$13+Setup!$G$30),Setup!$C$39:$C$50))&lt;=Setup!$C$16),OR(MONTH(WORKDAY(L55,-(Setup!$C$13+Setup!$G$30),Setup!$C$39:$C$50))&gt;=Setup!$C$15,MONTH(WORKDAY(L55,-(Setup!$C$13+Setup!$G$30),Setup!$C$39:$C$50))&lt;=Setup!$C$16))),WORKDAY(L55,-(Setup!$C$13+Setup!$G$30+Setup!$C$14),Setup!$C$39:$C$50),WORKDAY(L55,-(Setup!$C$13+Setup!$G$30),Setup!$C$39:$C$50))+(50*100+11)/10000000)))</f>
        <v/>
      </c>
      <c r="AC55" t="str">
        <f>IF(M55="","",IF(M55&lt;Setup!$C$5-Setup!$C$6,"",IF(IF(ISNUMBER(Roster!$D55),Setup!$C$31&lt;=Roster!$D55,FALSE),"",IF(OR(IF(Setup!$C$15&lt;=Setup!$C$16,AND(MONTH(M55)&gt;=Setup!$C$15,MONTH(M55)&lt;=Setup!$C$16),OR(MONTH(M55)&gt;=Setup!$C$15,MONTH(M55)&lt;=Setup!$C$16)),IF(Setup!$C$15&lt;=Setup!$C$16,AND(MONTH(WORKDAY(M55,-(Setup!$C$13+Setup!$G$31),Setup!$C$39:$C$50))&gt;=Setup!$C$15,MONTH(WORKDAY(M55,-(Setup!$C$13+Setup!$G$31),Setup!$C$39:$C$50))&lt;=Setup!$C$16),OR(MONTH(WORKDAY(M55,-(Setup!$C$13+Setup!$G$31),Setup!$C$39:$C$50))&gt;=Setup!$C$15,MONTH(WORKDAY(M55,-(Setup!$C$13+Setup!$G$31),Setup!$C$39:$C$50))&lt;=Setup!$C$16))),WORKDAY(M55,-(Setup!$C$13+Setup!$G$31+Setup!$C$14),Setup!$C$39:$C$50),WORKDAY(M55,-(Setup!$C$13+Setup!$G$31),Setup!$C$39:$C$50))+(50*100+12)/10000000)))</f>
        <v/>
      </c>
      <c r="AD55" t="str">
        <f>IF(N55="","",IF(N55&lt;Setup!$C$5-Setup!$C$6,"",IF(IF(ISNUMBER(Roster!$D55),Setup!$C$32&lt;=Roster!$D55,FALSE),"",IF(OR(IF(Setup!$C$15&lt;=Setup!$C$16,AND(MONTH(N55)&gt;=Setup!$C$15,MONTH(N55)&lt;=Setup!$C$16),OR(MONTH(N55)&gt;=Setup!$C$15,MONTH(N55)&lt;=Setup!$C$16)),IF(Setup!$C$15&lt;=Setup!$C$16,AND(MONTH(WORKDAY(N55,-(Setup!$C$13+Setup!$G$32),Setup!$C$39:$C$50))&gt;=Setup!$C$15,MONTH(WORKDAY(N55,-(Setup!$C$13+Setup!$G$32),Setup!$C$39:$C$50))&lt;=Setup!$C$16),OR(MONTH(WORKDAY(N55,-(Setup!$C$13+Setup!$G$32),Setup!$C$39:$C$50))&gt;=Setup!$C$15,MONTH(WORKDAY(N55,-(Setup!$C$13+Setup!$G$32),Setup!$C$39:$C$50))&lt;=Setup!$C$16))),WORKDAY(N55,-(Setup!$C$13+Setup!$G$32+Setup!$C$14),Setup!$C$39:$C$50),WORKDAY(N55,-(Setup!$C$13+Setup!$G$32),Setup!$C$39:$C$50))+(50*100+13)/10000000)))</f>
        <v/>
      </c>
      <c r="AE55" t="str">
        <f>IF(O55="","",IF(O55&lt;Setup!$C$5-Setup!$C$6,"",IF(IF(ISNUMBER(Roster!$D55),Setup!$C$33&lt;=Roster!$D55,FALSE),"",IF(OR(IF(Setup!$C$15&lt;=Setup!$C$16,AND(MONTH(O55)&gt;=Setup!$C$15,MONTH(O55)&lt;=Setup!$C$16),OR(MONTH(O55)&gt;=Setup!$C$15,MONTH(O55)&lt;=Setup!$C$16)),IF(Setup!$C$15&lt;=Setup!$C$16,AND(MONTH(WORKDAY(O55,-(Setup!$C$13+Setup!$G$33),Setup!$C$39:$C$50))&gt;=Setup!$C$15,MONTH(WORKDAY(O55,-(Setup!$C$13+Setup!$G$33),Setup!$C$39:$C$50))&lt;=Setup!$C$16),OR(MONTH(WORKDAY(O55,-(Setup!$C$13+Setup!$G$33),Setup!$C$39:$C$50))&gt;=Setup!$C$15,MONTH(WORKDAY(O55,-(Setup!$C$13+Setup!$G$33),Setup!$C$39:$C$50))&lt;=Setup!$C$16))),WORKDAY(O55,-(Setup!$C$13+Setup!$G$33+Setup!$C$14),Setup!$C$39:$C$50),WORKDAY(O55,-(Setup!$C$13+Setup!$G$33),Setup!$C$39:$C$50))+(50*100+14)/10000000)))</f>
        <v/>
      </c>
      <c r="AF55" t="str">
        <f>IF(P55="","",IF(P55&lt;Setup!$C$5-Setup!$C$6,"",IF(IF(ISNUMBER(Roster!$D55),Setup!$C$34&lt;=Roster!$D55,FALSE),"",IF(OR(IF(Setup!$C$15&lt;=Setup!$C$16,AND(MONTH(P55)&gt;=Setup!$C$15,MONTH(P55)&lt;=Setup!$C$16),OR(MONTH(P55)&gt;=Setup!$C$15,MONTH(P55)&lt;=Setup!$C$16)),IF(Setup!$C$15&lt;=Setup!$C$16,AND(MONTH(WORKDAY(P55,-(Setup!$C$13+Setup!$G$34),Setup!$C$39:$C$50))&gt;=Setup!$C$15,MONTH(WORKDAY(P55,-(Setup!$C$13+Setup!$G$34),Setup!$C$39:$C$50))&lt;=Setup!$C$16),OR(MONTH(WORKDAY(P55,-(Setup!$C$13+Setup!$G$34),Setup!$C$39:$C$50))&gt;=Setup!$C$15,MONTH(WORKDAY(P55,-(Setup!$C$13+Setup!$G$34),Setup!$C$39:$C$50))&lt;=Setup!$C$16))),WORKDAY(P55,-(Setup!$C$13+Setup!$G$34+Setup!$C$14),Setup!$C$39:$C$50),WORKDAY(P55,-(Setup!$C$13+Setup!$G$34),Setup!$C$39:$C$50))+(50*100+15)/10000000)))</f>
        <v/>
      </c>
      <c r="AH55" t="str">
        <f t="shared" si="0"/>
        <v/>
      </c>
      <c r="AI55" t="str">
        <f t="shared" si="1"/>
        <v/>
      </c>
      <c r="AK55" t="str">
        <f ca="1">IF(50&gt;$AK$2,"",SMALL($R$6:$AF$505,50))</f>
        <v/>
      </c>
      <c r="AL55" t="str">
        <f t="shared" ca="1" si="2"/>
        <v/>
      </c>
      <c r="AM55" t="str">
        <f t="shared" ca="1" si="3"/>
        <v/>
      </c>
      <c r="AN55" t="str">
        <f t="shared" ca="1" si="4"/>
        <v/>
      </c>
      <c r="AP55" t="str">
        <f>IF(ISNUMBER(Roster!$B55),MAX(1,YEAR(Setup!$C$5)-YEAR(Roster!$B55)+IF(EDATE(Roster!$B55,12*(YEAR(Setup!$C$5)-YEAR(Roster!$B55)))&lt;Setup!$C$5,1,0)),"")</f>
        <v/>
      </c>
      <c r="AQ55" s="32" t="str">
        <f>IF(AP55="","",EDATE(Roster!$B55,12*AP55))</f>
        <v/>
      </c>
      <c r="AR55" t="str">
        <f>IF(AQ55="","",IF(AQ55&lt;DATE(YEAR(Setup!$C$5)+1,MONTH(Setup!$C$5),DAY(Setup!$C$5)),AQ55+50/1000,""))</f>
        <v/>
      </c>
      <c r="AS55" t="str">
        <f t="shared" si="5"/>
        <v/>
      </c>
      <c r="AT55" t="str">
        <f>IF(AS55="","",IF(ISNUMBER(Roster!$D55),Roster!$D55&gt;=AP55,FALSE))</f>
        <v/>
      </c>
      <c r="AU55" t="str">
        <f t="shared" si="6"/>
        <v/>
      </c>
      <c r="AV55" t="str">
        <f ca="1">IF(50&gt;$AV$2,"",SMALL($AR$6:$AR$505,50))</f>
        <v/>
      </c>
      <c r="AW55" t="str">
        <f t="shared" ca="1" si="7"/>
        <v/>
      </c>
    </row>
    <row r="56" spans="2:49" x14ac:dyDescent="0.2">
      <c r="B56" s="32" t="str">
        <f>IF(AND(ISNUMBER(Roster!$B56),Setup!$B$20="Yes",ISNUMBER(Setup!$C$20)),EDATE(Roster!$B56,12*Setup!$C$20),"")</f>
        <v/>
      </c>
      <c r="C56" s="32" t="str">
        <f>IF(AND(ISNUMBER(Roster!$B56),Setup!$B$21="Yes",ISNUMBER(Setup!$C$21)),EDATE(Roster!$B56,12*Setup!$C$21),"")</f>
        <v/>
      </c>
      <c r="D56" s="32" t="str">
        <f>IF(AND(ISNUMBER(Roster!$B56),Setup!$B$22="Yes",ISNUMBER(Setup!$C$22)),EDATE(Roster!$B56,12*Setup!$C$22),"")</f>
        <v/>
      </c>
      <c r="E56" s="32" t="str">
        <f>IF(AND(ISNUMBER(Roster!$B56),Setup!$B$23="Yes",ISNUMBER(Setup!$C$23)),EDATE(Roster!$B56,12*Setup!$C$23),"")</f>
        <v/>
      </c>
      <c r="F56" s="32" t="str">
        <f>IF(AND(ISNUMBER(Roster!$B56),Setup!$B$24="Yes",ISNUMBER(Setup!$C$24)),EDATE(Roster!$B56,12*Setup!$C$24),"")</f>
        <v/>
      </c>
      <c r="G56" s="32" t="str">
        <f>IF(AND(ISNUMBER(Roster!$B56),Setup!$B$25="Yes",ISNUMBER(Setup!$C$25)),EDATE(Roster!$B56,12*Setup!$C$25),"")</f>
        <v/>
      </c>
      <c r="H56" s="32" t="str">
        <f>IF(AND(ISNUMBER(Roster!$B56),Setup!$B$26="Yes",ISNUMBER(Setup!$C$26)),EDATE(Roster!$B56,12*Setup!$C$26),"")</f>
        <v/>
      </c>
      <c r="I56" s="32" t="str">
        <f>IF(AND(ISNUMBER(Roster!$B56),Setup!$B$27="Yes",ISNUMBER(Setup!$C$27)),EDATE(Roster!$B56,12*Setup!$C$27),"")</f>
        <v/>
      </c>
      <c r="J56" s="32" t="str">
        <f>IF(AND(ISNUMBER(Roster!$B56),Setup!$B$28="Yes",ISNUMBER(Setup!$C$28)),EDATE(Roster!$B56,12*Setup!$C$28),"")</f>
        <v/>
      </c>
      <c r="K56" s="32" t="str">
        <f>IF(AND(ISNUMBER(Roster!$B56),Setup!$B$29="Yes",ISNUMBER(Setup!$C$29)),EDATE(Roster!$B56,12*Setup!$C$29),"")</f>
        <v/>
      </c>
      <c r="L56" s="32" t="str">
        <f>IF(AND(ISNUMBER(Roster!$B56),Setup!$B$30="Yes",ISNUMBER(Setup!$C$30)),EDATE(Roster!$B56,12*Setup!$C$30),"")</f>
        <v/>
      </c>
      <c r="M56" s="32" t="str">
        <f>IF(AND(ISNUMBER(Roster!$B56),Setup!$B$31="Yes",ISNUMBER(Setup!$C$31)),EDATE(Roster!$B56,12*Setup!$C$31),"")</f>
        <v/>
      </c>
      <c r="N56" s="32" t="str">
        <f>IF(AND(ISNUMBER(Roster!$B56),Setup!$B$32="Yes",ISNUMBER(Setup!$C$32)),EDATE(Roster!$B56,12*Setup!$C$32),"")</f>
        <v/>
      </c>
      <c r="O56" s="32" t="str">
        <f>IF(AND(ISNUMBER(Roster!$B56),Setup!$B$33="Yes",ISNUMBER(Setup!$C$33)),EDATE(Roster!$B56,12*Setup!$C$33),"")</f>
        <v/>
      </c>
      <c r="P56" s="32" t="str">
        <f>IF(AND(ISNUMBER(Roster!$B56),Setup!$B$34="Yes",ISNUMBER(Setup!$C$34)),EDATE(Roster!$B56,12*Setup!$C$34),"")</f>
        <v/>
      </c>
      <c r="R56" t="str">
        <f>IF(B56="","",IF(B56&lt;Setup!$C$5-Setup!$C$6,"",IF(IF(ISNUMBER(Roster!$D56),Setup!$C$20&lt;=Roster!$D56,FALSE),"",IF(OR(IF(Setup!$C$15&lt;=Setup!$C$16,AND(MONTH(B56)&gt;=Setup!$C$15,MONTH(B56)&lt;=Setup!$C$16),OR(MONTH(B56)&gt;=Setup!$C$15,MONTH(B56)&lt;=Setup!$C$16)),IF(Setup!$C$15&lt;=Setup!$C$16,AND(MONTH(WORKDAY(B56,-(Setup!$C$13+Setup!$G$20),Setup!$C$39:$C$50))&gt;=Setup!$C$15,MONTH(WORKDAY(B56,-(Setup!$C$13+Setup!$G$20),Setup!$C$39:$C$50))&lt;=Setup!$C$16),OR(MONTH(WORKDAY(B56,-(Setup!$C$13+Setup!$G$20),Setup!$C$39:$C$50))&gt;=Setup!$C$15,MONTH(WORKDAY(B56,-(Setup!$C$13+Setup!$G$20),Setup!$C$39:$C$50))&lt;=Setup!$C$16))),WORKDAY(B56,-(Setup!$C$13+Setup!$G$20+Setup!$C$14),Setup!$C$39:$C$50),WORKDAY(B56,-(Setup!$C$13+Setup!$G$20),Setup!$C$39:$C$50))+(51*100+1)/10000000)))</f>
        <v/>
      </c>
      <c r="S56" t="str">
        <f>IF(C56="","",IF(C56&lt;Setup!$C$5-Setup!$C$6,"",IF(IF(ISNUMBER(Roster!$D56),Setup!$C$21&lt;=Roster!$D56,FALSE),"",IF(OR(IF(Setup!$C$15&lt;=Setup!$C$16,AND(MONTH(C56)&gt;=Setup!$C$15,MONTH(C56)&lt;=Setup!$C$16),OR(MONTH(C56)&gt;=Setup!$C$15,MONTH(C56)&lt;=Setup!$C$16)),IF(Setup!$C$15&lt;=Setup!$C$16,AND(MONTH(WORKDAY(C56,-(Setup!$C$13+Setup!$G$21),Setup!$C$39:$C$50))&gt;=Setup!$C$15,MONTH(WORKDAY(C56,-(Setup!$C$13+Setup!$G$21),Setup!$C$39:$C$50))&lt;=Setup!$C$16),OR(MONTH(WORKDAY(C56,-(Setup!$C$13+Setup!$G$21),Setup!$C$39:$C$50))&gt;=Setup!$C$15,MONTH(WORKDAY(C56,-(Setup!$C$13+Setup!$G$21),Setup!$C$39:$C$50))&lt;=Setup!$C$16))),WORKDAY(C56,-(Setup!$C$13+Setup!$G$21+Setup!$C$14),Setup!$C$39:$C$50),WORKDAY(C56,-(Setup!$C$13+Setup!$G$21),Setup!$C$39:$C$50))+(51*100+2)/10000000)))</f>
        <v/>
      </c>
      <c r="T56" t="str">
        <f>IF(D56="","",IF(D56&lt;Setup!$C$5-Setup!$C$6,"",IF(IF(ISNUMBER(Roster!$D56),Setup!$C$22&lt;=Roster!$D56,FALSE),"",IF(OR(IF(Setup!$C$15&lt;=Setup!$C$16,AND(MONTH(D56)&gt;=Setup!$C$15,MONTH(D56)&lt;=Setup!$C$16),OR(MONTH(D56)&gt;=Setup!$C$15,MONTH(D56)&lt;=Setup!$C$16)),IF(Setup!$C$15&lt;=Setup!$C$16,AND(MONTH(WORKDAY(D56,-(Setup!$C$13+Setup!$G$22),Setup!$C$39:$C$50))&gt;=Setup!$C$15,MONTH(WORKDAY(D56,-(Setup!$C$13+Setup!$G$22),Setup!$C$39:$C$50))&lt;=Setup!$C$16),OR(MONTH(WORKDAY(D56,-(Setup!$C$13+Setup!$G$22),Setup!$C$39:$C$50))&gt;=Setup!$C$15,MONTH(WORKDAY(D56,-(Setup!$C$13+Setup!$G$22),Setup!$C$39:$C$50))&lt;=Setup!$C$16))),WORKDAY(D56,-(Setup!$C$13+Setup!$G$22+Setup!$C$14),Setup!$C$39:$C$50),WORKDAY(D56,-(Setup!$C$13+Setup!$G$22),Setup!$C$39:$C$50))+(51*100+3)/10000000)))</f>
        <v/>
      </c>
      <c r="U56" t="str">
        <f>IF(E56="","",IF(E56&lt;Setup!$C$5-Setup!$C$6,"",IF(IF(ISNUMBER(Roster!$D56),Setup!$C$23&lt;=Roster!$D56,FALSE),"",IF(OR(IF(Setup!$C$15&lt;=Setup!$C$16,AND(MONTH(E56)&gt;=Setup!$C$15,MONTH(E56)&lt;=Setup!$C$16),OR(MONTH(E56)&gt;=Setup!$C$15,MONTH(E56)&lt;=Setup!$C$16)),IF(Setup!$C$15&lt;=Setup!$C$16,AND(MONTH(WORKDAY(E56,-(Setup!$C$13+Setup!$G$23),Setup!$C$39:$C$50))&gt;=Setup!$C$15,MONTH(WORKDAY(E56,-(Setup!$C$13+Setup!$G$23),Setup!$C$39:$C$50))&lt;=Setup!$C$16),OR(MONTH(WORKDAY(E56,-(Setup!$C$13+Setup!$G$23),Setup!$C$39:$C$50))&gt;=Setup!$C$15,MONTH(WORKDAY(E56,-(Setup!$C$13+Setup!$G$23),Setup!$C$39:$C$50))&lt;=Setup!$C$16))),WORKDAY(E56,-(Setup!$C$13+Setup!$G$23+Setup!$C$14),Setup!$C$39:$C$50),WORKDAY(E56,-(Setup!$C$13+Setup!$G$23),Setup!$C$39:$C$50))+(51*100+4)/10000000)))</f>
        <v/>
      </c>
      <c r="V56" t="str">
        <f>IF(F56="","",IF(F56&lt;Setup!$C$5-Setup!$C$6,"",IF(IF(ISNUMBER(Roster!$D56),Setup!$C$24&lt;=Roster!$D56,FALSE),"",IF(OR(IF(Setup!$C$15&lt;=Setup!$C$16,AND(MONTH(F56)&gt;=Setup!$C$15,MONTH(F56)&lt;=Setup!$C$16),OR(MONTH(F56)&gt;=Setup!$C$15,MONTH(F56)&lt;=Setup!$C$16)),IF(Setup!$C$15&lt;=Setup!$C$16,AND(MONTH(WORKDAY(F56,-(Setup!$C$13+Setup!$G$24),Setup!$C$39:$C$50))&gt;=Setup!$C$15,MONTH(WORKDAY(F56,-(Setup!$C$13+Setup!$G$24),Setup!$C$39:$C$50))&lt;=Setup!$C$16),OR(MONTH(WORKDAY(F56,-(Setup!$C$13+Setup!$G$24),Setup!$C$39:$C$50))&gt;=Setup!$C$15,MONTH(WORKDAY(F56,-(Setup!$C$13+Setup!$G$24),Setup!$C$39:$C$50))&lt;=Setup!$C$16))),WORKDAY(F56,-(Setup!$C$13+Setup!$G$24+Setup!$C$14),Setup!$C$39:$C$50),WORKDAY(F56,-(Setup!$C$13+Setup!$G$24),Setup!$C$39:$C$50))+(51*100+5)/10000000)))</f>
        <v/>
      </c>
      <c r="W56" t="str">
        <f>IF(G56="","",IF(G56&lt;Setup!$C$5-Setup!$C$6,"",IF(IF(ISNUMBER(Roster!$D56),Setup!$C$25&lt;=Roster!$D56,FALSE),"",IF(OR(IF(Setup!$C$15&lt;=Setup!$C$16,AND(MONTH(G56)&gt;=Setup!$C$15,MONTH(G56)&lt;=Setup!$C$16),OR(MONTH(G56)&gt;=Setup!$C$15,MONTH(G56)&lt;=Setup!$C$16)),IF(Setup!$C$15&lt;=Setup!$C$16,AND(MONTH(WORKDAY(G56,-(Setup!$C$13+Setup!$G$25),Setup!$C$39:$C$50))&gt;=Setup!$C$15,MONTH(WORKDAY(G56,-(Setup!$C$13+Setup!$G$25),Setup!$C$39:$C$50))&lt;=Setup!$C$16),OR(MONTH(WORKDAY(G56,-(Setup!$C$13+Setup!$G$25),Setup!$C$39:$C$50))&gt;=Setup!$C$15,MONTH(WORKDAY(G56,-(Setup!$C$13+Setup!$G$25),Setup!$C$39:$C$50))&lt;=Setup!$C$16))),WORKDAY(G56,-(Setup!$C$13+Setup!$G$25+Setup!$C$14),Setup!$C$39:$C$50),WORKDAY(G56,-(Setup!$C$13+Setup!$G$25),Setup!$C$39:$C$50))+(51*100+6)/10000000)))</f>
        <v/>
      </c>
      <c r="X56" t="str">
        <f>IF(H56="","",IF(H56&lt;Setup!$C$5-Setup!$C$6,"",IF(IF(ISNUMBER(Roster!$D56),Setup!$C$26&lt;=Roster!$D56,FALSE),"",IF(OR(IF(Setup!$C$15&lt;=Setup!$C$16,AND(MONTH(H56)&gt;=Setup!$C$15,MONTH(H56)&lt;=Setup!$C$16),OR(MONTH(H56)&gt;=Setup!$C$15,MONTH(H56)&lt;=Setup!$C$16)),IF(Setup!$C$15&lt;=Setup!$C$16,AND(MONTH(WORKDAY(H56,-(Setup!$C$13+Setup!$G$26),Setup!$C$39:$C$50))&gt;=Setup!$C$15,MONTH(WORKDAY(H56,-(Setup!$C$13+Setup!$G$26),Setup!$C$39:$C$50))&lt;=Setup!$C$16),OR(MONTH(WORKDAY(H56,-(Setup!$C$13+Setup!$G$26),Setup!$C$39:$C$50))&gt;=Setup!$C$15,MONTH(WORKDAY(H56,-(Setup!$C$13+Setup!$G$26),Setup!$C$39:$C$50))&lt;=Setup!$C$16))),WORKDAY(H56,-(Setup!$C$13+Setup!$G$26+Setup!$C$14),Setup!$C$39:$C$50),WORKDAY(H56,-(Setup!$C$13+Setup!$G$26),Setup!$C$39:$C$50))+(51*100+7)/10000000)))</f>
        <v/>
      </c>
      <c r="Y56" t="str">
        <f>IF(I56="","",IF(I56&lt;Setup!$C$5-Setup!$C$6,"",IF(IF(ISNUMBER(Roster!$D56),Setup!$C$27&lt;=Roster!$D56,FALSE),"",IF(OR(IF(Setup!$C$15&lt;=Setup!$C$16,AND(MONTH(I56)&gt;=Setup!$C$15,MONTH(I56)&lt;=Setup!$C$16),OR(MONTH(I56)&gt;=Setup!$C$15,MONTH(I56)&lt;=Setup!$C$16)),IF(Setup!$C$15&lt;=Setup!$C$16,AND(MONTH(WORKDAY(I56,-(Setup!$C$13+Setup!$G$27),Setup!$C$39:$C$50))&gt;=Setup!$C$15,MONTH(WORKDAY(I56,-(Setup!$C$13+Setup!$G$27),Setup!$C$39:$C$50))&lt;=Setup!$C$16),OR(MONTH(WORKDAY(I56,-(Setup!$C$13+Setup!$G$27),Setup!$C$39:$C$50))&gt;=Setup!$C$15,MONTH(WORKDAY(I56,-(Setup!$C$13+Setup!$G$27),Setup!$C$39:$C$50))&lt;=Setup!$C$16))),WORKDAY(I56,-(Setup!$C$13+Setup!$G$27+Setup!$C$14),Setup!$C$39:$C$50),WORKDAY(I56,-(Setup!$C$13+Setup!$G$27),Setup!$C$39:$C$50))+(51*100+8)/10000000)))</f>
        <v/>
      </c>
      <c r="Z56" t="str">
        <f>IF(J56="","",IF(J56&lt;Setup!$C$5-Setup!$C$6,"",IF(IF(ISNUMBER(Roster!$D56),Setup!$C$28&lt;=Roster!$D56,FALSE),"",IF(OR(IF(Setup!$C$15&lt;=Setup!$C$16,AND(MONTH(J56)&gt;=Setup!$C$15,MONTH(J56)&lt;=Setup!$C$16),OR(MONTH(J56)&gt;=Setup!$C$15,MONTH(J56)&lt;=Setup!$C$16)),IF(Setup!$C$15&lt;=Setup!$C$16,AND(MONTH(WORKDAY(J56,-(Setup!$C$13+Setup!$G$28),Setup!$C$39:$C$50))&gt;=Setup!$C$15,MONTH(WORKDAY(J56,-(Setup!$C$13+Setup!$G$28),Setup!$C$39:$C$50))&lt;=Setup!$C$16),OR(MONTH(WORKDAY(J56,-(Setup!$C$13+Setup!$G$28),Setup!$C$39:$C$50))&gt;=Setup!$C$15,MONTH(WORKDAY(J56,-(Setup!$C$13+Setup!$G$28),Setup!$C$39:$C$50))&lt;=Setup!$C$16))),WORKDAY(J56,-(Setup!$C$13+Setup!$G$28+Setup!$C$14),Setup!$C$39:$C$50),WORKDAY(J56,-(Setup!$C$13+Setup!$G$28),Setup!$C$39:$C$50))+(51*100+9)/10000000)))</f>
        <v/>
      </c>
      <c r="AA56" t="str">
        <f>IF(K56="","",IF(K56&lt;Setup!$C$5-Setup!$C$6,"",IF(IF(ISNUMBER(Roster!$D56),Setup!$C$29&lt;=Roster!$D56,FALSE),"",IF(OR(IF(Setup!$C$15&lt;=Setup!$C$16,AND(MONTH(K56)&gt;=Setup!$C$15,MONTH(K56)&lt;=Setup!$C$16),OR(MONTH(K56)&gt;=Setup!$C$15,MONTH(K56)&lt;=Setup!$C$16)),IF(Setup!$C$15&lt;=Setup!$C$16,AND(MONTH(WORKDAY(K56,-(Setup!$C$13+Setup!$G$29),Setup!$C$39:$C$50))&gt;=Setup!$C$15,MONTH(WORKDAY(K56,-(Setup!$C$13+Setup!$G$29),Setup!$C$39:$C$50))&lt;=Setup!$C$16),OR(MONTH(WORKDAY(K56,-(Setup!$C$13+Setup!$G$29),Setup!$C$39:$C$50))&gt;=Setup!$C$15,MONTH(WORKDAY(K56,-(Setup!$C$13+Setup!$G$29),Setup!$C$39:$C$50))&lt;=Setup!$C$16))),WORKDAY(K56,-(Setup!$C$13+Setup!$G$29+Setup!$C$14),Setup!$C$39:$C$50),WORKDAY(K56,-(Setup!$C$13+Setup!$G$29),Setup!$C$39:$C$50))+(51*100+10)/10000000)))</f>
        <v/>
      </c>
      <c r="AB56" t="str">
        <f>IF(L56="","",IF(L56&lt;Setup!$C$5-Setup!$C$6,"",IF(IF(ISNUMBER(Roster!$D56),Setup!$C$30&lt;=Roster!$D56,FALSE),"",IF(OR(IF(Setup!$C$15&lt;=Setup!$C$16,AND(MONTH(L56)&gt;=Setup!$C$15,MONTH(L56)&lt;=Setup!$C$16),OR(MONTH(L56)&gt;=Setup!$C$15,MONTH(L56)&lt;=Setup!$C$16)),IF(Setup!$C$15&lt;=Setup!$C$16,AND(MONTH(WORKDAY(L56,-(Setup!$C$13+Setup!$G$30),Setup!$C$39:$C$50))&gt;=Setup!$C$15,MONTH(WORKDAY(L56,-(Setup!$C$13+Setup!$G$30),Setup!$C$39:$C$50))&lt;=Setup!$C$16),OR(MONTH(WORKDAY(L56,-(Setup!$C$13+Setup!$G$30),Setup!$C$39:$C$50))&gt;=Setup!$C$15,MONTH(WORKDAY(L56,-(Setup!$C$13+Setup!$G$30),Setup!$C$39:$C$50))&lt;=Setup!$C$16))),WORKDAY(L56,-(Setup!$C$13+Setup!$G$30+Setup!$C$14),Setup!$C$39:$C$50),WORKDAY(L56,-(Setup!$C$13+Setup!$G$30),Setup!$C$39:$C$50))+(51*100+11)/10000000)))</f>
        <v/>
      </c>
      <c r="AC56" t="str">
        <f>IF(M56="","",IF(M56&lt;Setup!$C$5-Setup!$C$6,"",IF(IF(ISNUMBER(Roster!$D56),Setup!$C$31&lt;=Roster!$D56,FALSE),"",IF(OR(IF(Setup!$C$15&lt;=Setup!$C$16,AND(MONTH(M56)&gt;=Setup!$C$15,MONTH(M56)&lt;=Setup!$C$16),OR(MONTH(M56)&gt;=Setup!$C$15,MONTH(M56)&lt;=Setup!$C$16)),IF(Setup!$C$15&lt;=Setup!$C$16,AND(MONTH(WORKDAY(M56,-(Setup!$C$13+Setup!$G$31),Setup!$C$39:$C$50))&gt;=Setup!$C$15,MONTH(WORKDAY(M56,-(Setup!$C$13+Setup!$G$31),Setup!$C$39:$C$50))&lt;=Setup!$C$16),OR(MONTH(WORKDAY(M56,-(Setup!$C$13+Setup!$G$31),Setup!$C$39:$C$50))&gt;=Setup!$C$15,MONTH(WORKDAY(M56,-(Setup!$C$13+Setup!$G$31),Setup!$C$39:$C$50))&lt;=Setup!$C$16))),WORKDAY(M56,-(Setup!$C$13+Setup!$G$31+Setup!$C$14),Setup!$C$39:$C$50),WORKDAY(M56,-(Setup!$C$13+Setup!$G$31),Setup!$C$39:$C$50))+(51*100+12)/10000000)))</f>
        <v/>
      </c>
      <c r="AD56" t="str">
        <f>IF(N56="","",IF(N56&lt;Setup!$C$5-Setup!$C$6,"",IF(IF(ISNUMBER(Roster!$D56),Setup!$C$32&lt;=Roster!$D56,FALSE),"",IF(OR(IF(Setup!$C$15&lt;=Setup!$C$16,AND(MONTH(N56)&gt;=Setup!$C$15,MONTH(N56)&lt;=Setup!$C$16),OR(MONTH(N56)&gt;=Setup!$C$15,MONTH(N56)&lt;=Setup!$C$16)),IF(Setup!$C$15&lt;=Setup!$C$16,AND(MONTH(WORKDAY(N56,-(Setup!$C$13+Setup!$G$32),Setup!$C$39:$C$50))&gt;=Setup!$C$15,MONTH(WORKDAY(N56,-(Setup!$C$13+Setup!$G$32),Setup!$C$39:$C$50))&lt;=Setup!$C$16),OR(MONTH(WORKDAY(N56,-(Setup!$C$13+Setup!$G$32),Setup!$C$39:$C$50))&gt;=Setup!$C$15,MONTH(WORKDAY(N56,-(Setup!$C$13+Setup!$G$32),Setup!$C$39:$C$50))&lt;=Setup!$C$16))),WORKDAY(N56,-(Setup!$C$13+Setup!$G$32+Setup!$C$14),Setup!$C$39:$C$50),WORKDAY(N56,-(Setup!$C$13+Setup!$G$32),Setup!$C$39:$C$50))+(51*100+13)/10000000)))</f>
        <v/>
      </c>
      <c r="AE56" t="str">
        <f>IF(O56="","",IF(O56&lt;Setup!$C$5-Setup!$C$6,"",IF(IF(ISNUMBER(Roster!$D56),Setup!$C$33&lt;=Roster!$D56,FALSE),"",IF(OR(IF(Setup!$C$15&lt;=Setup!$C$16,AND(MONTH(O56)&gt;=Setup!$C$15,MONTH(O56)&lt;=Setup!$C$16),OR(MONTH(O56)&gt;=Setup!$C$15,MONTH(O56)&lt;=Setup!$C$16)),IF(Setup!$C$15&lt;=Setup!$C$16,AND(MONTH(WORKDAY(O56,-(Setup!$C$13+Setup!$G$33),Setup!$C$39:$C$50))&gt;=Setup!$C$15,MONTH(WORKDAY(O56,-(Setup!$C$13+Setup!$G$33),Setup!$C$39:$C$50))&lt;=Setup!$C$16),OR(MONTH(WORKDAY(O56,-(Setup!$C$13+Setup!$G$33),Setup!$C$39:$C$50))&gt;=Setup!$C$15,MONTH(WORKDAY(O56,-(Setup!$C$13+Setup!$G$33),Setup!$C$39:$C$50))&lt;=Setup!$C$16))),WORKDAY(O56,-(Setup!$C$13+Setup!$G$33+Setup!$C$14),Setup!$C$39:$C$50),WORKDAY(O56,-(Setup!$C$13+Setup!$G$33),Setup!$C$39:$C$50))+(51*100+14)/10000000)))</f>
        <v/>
      </c>
      <c r="AF56" t="str">
        <f>IF(P56="","",IF(P56&lt;Setup!$C$5-Setup!$C$6,"",IF(IF(ISNUMBER(Roster!$D56),Setup!$C$34&lt;=Roster!$D56,FALSE),"",IF(OR(IF(Setup!$C$15&lt;=Setup!$C$16,AND(MONTH(P56)&gt;=Setup!$C$15,MONTH(P56)&lt;=Setup!$C$16),OR(MONTH(P56)&gt;=Setup!$C$15,MONTH(P56)&lt;=Setup!$C$16)),IF(Setup!$C$15&lt;=Setup!$C$16,AND(MONTH(WORKDAY(P56,-(Setup!$C$13+Setup!$G$34),Setup!$C$39:$C$50))&gt;=Setup!$C$15,MONTH(WORKDAY(P56,-(Setup!$C$13+Setup!$G$34),Setup!$C$39:$C$50))&lt;=Setup!$C$16),OR(MONTH(WORKDAY(P56,-(Setup!$C$13+Setup!$G$34),Setup!$C$39:$C$50))&gt;=Setup!$C$15,MONTH(WORKDAY(P56,-(Setup!$C$13+Setup!$G$34),Setup!$C$39:$C$50))&lt;=Setup!$C$16))),WORKDAY(P56,-(Setup!$C$13+Setup!$G$34+Setup!$C$14),Setup!$C$39:$C$50),WORKDAY(P56,-(Setup!$C$13+Setup!$G$34),Setup!$C$39:$C$50))+(51*100+15)/10000000)))</f>
        <v/>
      </c>
      <c r="AH56" t="str">
        <f t="shared" si="0"/>
        <v/>
      </c>
      <c r="AI56" t="str">
        <f t="shared" si="1"/>
        <v/>
      </c>
      <c r="AK56" t="str">
        <f ca="1">IF(51&gt;$AK$2,"",SMALL($R$6:$AF$505,51))</f>
        <v/>
      </c>
      <c r="AL56" t="str">
        <f t="shared" ca="1" si="2"/>
        <v/>
      </c>
      <c r="AM56" t="str">
        <f t="shared" ca="1" si="3"/>
        <v/>
      </c>
      <c r="AN56" t="str">
        <f t="shared" ca="1" si="4"/>
        <v/>
      </c>
      <c r="AP56" t="str">
        <f>IF(ISNUMBER(Roster!$B56),MAX(1,YEAR(Setup!$C$5)-YEAR(Roster!$B56)+IF(EDATE(Roster!$B56,12*(YEAR(Setup!$C$5)-YEAR(Roster!$B56)))&lt;Setup!$C$5,1,0)),"")</f>
        <v/>
      </c>
      <c r="AQ56" s="32" t="str">
        <f>IF(AP56="","",EDATE(Roster!$B56,12*AP56))</f>
        <v/>
      </c>
      <c r="AR56" t="str">
        <f>IF(AQ56="","",IF(AQ56&lt;DATE(YEAR(Setup!$C$5)+1,MONTH(Setup!$C$5),DAY(Setup!$C$5)),AQ56+51/1000,""))</f>
        <v/>
      </c>
      <c r="AS56" t="str">
        <f t="shared" si="5"/>
        <v/>
      </c>
      <c r="AT56" t="str">
        <f>IF(AS56="","",IF(ISNUMBER(Roster!$D56),Roster!$D56&gt;=AP56,FALSE))</f>
        <v/>
      </c>
      <c r="AU56" t="str">
        <f t="shared" si="6"/>
        <v/>
      </c>
      <c r="AV56" t="str">
        <f ca="1">IF(51&gt;$AV$2,"",SMALL($AR$6:$AR$505,51))</f>
        <v/>
      </c>
      <c r="AW56" t="str">
        <f t="shared" ca="1" si="7"/>
        <v/>
      </c>
    </row>
    <row r="57" spans="2:49" x14ac:dyDescent="0.2">
      <c r="B57" s="32" t="str">
        <f>IF(AND(ISNUMBER(Roster!$B57),Setup!$B$20="Yes",ISNUMBER(Setup!$C$20)),EDATE(Roster!$B57,12*Setup!$C$20),"")</f>
        <v/>
      </c>
      <c r="C57" s="32" t="str">
        <f>IF(AND(ISNUMBER(Roster!$B57),Setup!$B$21="Yes",ISNUMBER(Setup!$C$21)),EDATE(Roster!$B57,12*Setup!$C$21),"")</f>
        <v/>
      </c>
      <c r="D57" s="32" t="str">
        <f>IF(AND(ISNUMBER(Roster!$B57),Setup!$B$22="Yes",ISNUMBER(Setup!$C$22)),EDATE(Roster!$B57,12*Setup!$C$22),"")</f>
        <v/>
      </c>
      <c r="E57" s="32" t="str">
        <f>IF(AND(ISNUMBER(Roster!$B57),Setup!$B$23="Yes",ISNUMBER(Setup!$C$23)),EDATE(Roster!$B57,12*Setup!$C$23),"")</f>
        <v/>
      </c>
      <c r="F57" s="32" t="str">
        <f>IF(AND(ISNUMBER(Roster!$B57),Setup!$B$24="Yes",ISNUMBER(Setup!$C$24)),EDATE(Roster!$B57,12*Setup!$C$24),"")</f>
        <v/>
      </c>
      <c r="G57" s="32" t="str">
        <f>IF(AND(ISNUMBER(Roster!$B57),Setup!$B$25="Yes",ISNUMBER(Setup!$C$25)),EDATE(Roster!$B57,12*Setup!$C$25),"")</f>
        <v/>
      </c>
      <c r="H57" s="32" t="str">
        <f>IF(AND(ISNUMBER(Roster!$B57),Setup!$B$26="Yes",ISNUMBER(Setup!$C$26)),EDATE(Roster!$B57,12*Setup!$C$26),"")</f>
        <v/>
      </c>
      <c r="I57" s="32" t="str">
        <f>IF(AND(ISNUMBER(Roster!$B57),Setup!$B$27="Yes",ISNUMBER(Setup!$C$27)),EDATE(Roster!$B57,12*Setup!$C$27),"")</f>
        <v/>
      </c>
      <c r="J57" s="32" t="str">
        <f>IF(AND(ISNUMBER(Roster!$B57),Setup!$B$28="Yes",ISNUMBER(Setup!$C$28)),EDATE(Roster!$B57,12*Setup!$C$28),"")</f>
        <v/>
      </c>
      <c r="K57" s="32" t="str">
        <f>IF(AND(ISNUMBER(Roster!$B57),Setup!$B$29="Yes",ISNUMBER(Setup!$C$29)),EDATE(Roster!$B57,12*Setup!$C$29),"")</f>
        <v/>
      </c>
      <c r="L57" s="32" t="str">
        <f>IF(AND(ISNUMBER(Roster!$B57),Setup!$B$30="Yes",ISNUMBER(Setup!$C$30)),EDATE(Roster!$B57,12*Setup!$C$30),"")</f>
        <v/>
      </c>
      <c r="M57" s="32" t="str">
        <f>IF(AND(ISNUMBER(Roster!$B57),Setup!$B$31="Yes",ISNUMBER(Setup!$C$31)),EDATE(Roster!$B57,12*Setup!$C$31),"")</f>
        <v/>
      </c>
      <c r="N57" s="32" t="str">
        <f>IF(AND(ISNUMBER(Roster!$B57),Setup!$B$32="Yes",ISNUMBER(Setup!$C$32)),EDATE(Roster!$B57,12*Setup!$C$32),"")</f>
        <v/>
      </c>
      <c r="O57" s="32" t="str">
        <f>IF(AND(ISNUMBER(Roster!$B57),Setup!$B$33="Yes",ISNUMBER(Setup!$C$33)),EDATE(Roster!$B57,12*Setup!$C$33),"")</f>
        <v/>
      </c>
      <c r="P57" s="32" t="str">
        <f>IF(AND(ISNUMBER(Roster!$B57),Setup!$B$34="Yes",ISNUMBER(Setup!$C$34)),EDATE(Roster!$B57,12*Setup!$C$34),"")</f>
        <v/>
      </c>
      <c r="R57" t="str">
        <f>IF(B57="","",IF(B57&lt;Setup!$C$5-Setup!$C$6,"",IF(IF(ISNUMBER(Roster!$D57),Setup!$C$20&lt;=Roster!$D57,FALSE),"",IF(OR(IF(Setup!$C$15&lt;=Setup!$C$16,AND(MONTH(B57)&gt;=Setup!$C$15,MONTH(B57)&lt;=Setup!$C$16),OR(MONTH(B57)&gt;=Setup!$C$15,MONTH(B57)&lt;=Setup!$C$16)),IF(Setup!$C$15&lt;=Setup!$C$16,AND(MONTH(WORKDAY(B57,-(Setup!$C$13+Setup!$G$20),Setup!$C$39:$C$50))&gt;=Setup!$C$15,MONTH(WORKDAY(B57,-(Setup!$C$13+Setup!$G$20),Setup!$C$39:$C$50))&lt;=Setup!$C$16),OR(MONTH(WORKDAY(B57,-(Setup!$C$13+Setup!$G$20),Setup!$C$39:$C$50))&gt;=Setup!$C$15,MONTH(WORKDAY(B57,-(Setup!$C$13+Setup!$G$20),Setup!$C$39:$C$50))&lt;=Setup!$C$16))),WORKDAY(B57,-(Setup!$C$13+Setup!$G$20+Setup!$C$14),Setup!$C$39:$C$50),WORKDAY(B57,-(Setup!$C$13+Setup!$G$20),Setup!$C$39:$C$50))+(52*100+1)/10000000)))</f>
        <v/>
      </c>
      <c r="S57" t="str">
        <f>IF(C57="","",IF(C57&lt;Setup!$C$5-Setup!$C$6,"",IF(IF(ISNUMBER(Roster!$D57),Setup!$C$21&lt;=Roster!$D57,FALSE),"",IF(OR(IF(Setup!$C$15&lt;=Setup!$C$16,AND(MONTH(C57)&gt;=Setup!$C$15,MONTH(C57)&lt;=Setup!$C$16),OR(MONTH(C57)&gt;=Setup!$C$15,MONTH(C57)&lt;=Setup!$C$16)),IF(Setup!$C$15&lt;=Setup!$C$16,AND(MONTH(WORKDAY(C57,-(Setup!$C$13+Setup!$G$21),Setup!$C$39:$C$50))&gt;=Setup!$C$15,MONTH(WORKDAY(C57,-(Setup!$C$13+Setup!$G$21),Setup!$C$39:$C$50))&lt;=Setup!$C$16),OR(MONTH(WORKDAY(C57,-(Setup!$C$13+Setup!$G$21),Setup!$C$39:$C$50))&gt;=Setup!$C$15,MONTH(WORKDAY(C57,-(Setup!$C$13+Setup!$G$21),Setup!$C$39:$C$50))&lt;=Setup!$C$16))),WORKDAY(C57,-(Setup!$C$13+Setup!$G$21+Setup!$C$14),Setup!$C$39:$C$50),WORKDAY(C57,-(Setup!$C$13+Setup!$G$21),Setup!$C$39:$C$50))+(52*100+2)/10000000)))</f>
        <v/>
      </c>
      <c r="T57" t="str">
        <f>IF(D57="","",IF(D57&lt;Setup!$C$5-Setup!$C$6,"",IF(IF(ISNUMBER(Roster!$D57),Setup!$C$22&lt;=Roster!$D57,FALSE),"",IF(OR(IF(Setup!$C$15&lt;=Setup!$C$16,AND(MONTH(D57)&gt;=Setup!$C$15,MONTH(D57)&lt;=Setup!$C$16),OR(MONTH(D57)&gt;=Setup!$C$15,MONTH(D57)&lt;=Setup!$C$16)),IF(Setup!$C$15&lt;=Setup!$C$16,AND(MONTH(WORKDAY(D57,-(Setup!$C$13+Setup!$G$22),Setup!$C$39:$C$50))&gt;=Setup!$C$15,MONTH(WORKDAY(D57,-(Setup!$C$13+Setup!$G$22),Setup!$C$39:$C$50))&lt;=Setup!$C$16),OR(MONTH(WORKDAY(D57,-(Setup!$C$13+Setup!$G$22),Setup!$C$39:$C$50))&gt;=Setup!$C$15,MONTH(WORKDAY(D57,-(Setup!$C$13+Setup!$G$22),Setup!$C$39:$C$50))&lt;=Setup!$C$16))),WORKDAY(D57,-(Setup!$C$13+Setup!$G$22+Setup!$C$14),Setup!$C$39:$C$50),WORKDAY(D57,-(Setup!$C$13+Setup!$G$22),Setup!$C$39:$C$50))+(52*100+3)/10000000)))</f>
        <v/>
      </c>
      <c r="U57" t="str">
        <f>IF(E57="","",IF(E57&lt;Setup!$C$5-Setup!$C$6,"",IF(IF(ISNUMBER(Roster!$D57),Setup!$C$23&lt;=Roster!$D57,FALSE),"",IF(OR(IF(Setup!$C$15&lt;=Setup!$C$16,AND(MONTH(E57)&gt;=Setup!$C$15,MONTH(E57)&lt;=Setup!$C$16),OR(MONTH(E57)&gt;=Setup!$C$15,MONTH(E57)&lt;=Setup!$C$16)),IF(Setup!$C$15&lt;=Setup!$C$16,AND(MONTH(WORKDAY(E57,-(Setup!$C$13+Setup!$G$23),Setup!$C$39:$C$50))&gt;=Setup!$C$15,MONTH(WORKDAY(E57,-(Setup!$C$13+Setup!$G$23),Setup!$C$39:$C$50))&lt;=Setup!$C$16),OR(MONTH(WORKDAY(E57,-(Setup!$C$13+Setup!$G$23),Setup!$C$39:$C$50))&gt;=Setup!$C$15,MONTH(WORKDAY(E57,-(Setup!$C$13+Setup!$G$23),Setup!$C$39:$C$50))&lt;=Setup!$C$16))),WORKDAY(E57,-(Setup!$C$13+Setup!$G$23+Setup!$C$14),Setup!$C$39:$C$50),WORKDAY(E57,-(Setup!$C$13+Setup!$G$23),Setup!$C$39:$C$50))+(52*100+4)/10000000)))</f>
        <v/>
      </c>
      <c r="V57" t="str">
        <f>IF(F57="","",IF(F57&lt;Setup!$C$5-Setup!$C$6,"",IF(IF(ISNUMBER(Roster!$D57),Setup!$C$24&lt;=Roster!$D57,FALSE),"",IF(OR(IF(Setup!$C$15&lt;=Setup!$C$16,AND(MONTH(F57)&gt;=Setup!$C$15,MONTH(F57)&lt;=Setup!$C$16),OR(MONTH(F57)&gt;=Setup!$C$15,MONTH(F57)&lt;=Setup!$C$16)),IF(Setup!$C$15&lt;=Setup!$C$16,AND(MONTH(WORKDAY(F57,-(Setup!$C$13+Setup!$G$24),Setup!$C$39:$C$50))&gt;=Setup!$C$15,MONTH(WORKDAY(F57,-(Setup!$C$13+Setup!$G$24),Setup!$C$39:$C$50))&lt;=Setup!$C$16),OR(MONTH(WORKDAY(F57,-(Setup!$C$13+Setup!$G$24),Setup!$C$39:$C$50))&gt;=Setup!$C$15,MONTH(WORKDAY(F57,-(Setup!$C$13+Setup!$G$24),Setup!$C$39:$C$50))&lt;=Setup!$C$16))),WORKDAY(F57,-(Setup!$C$13+Setup!$G$24+Setup!$C$14),Setup!$C$39:$C$50),WORKDAY(F57,-(Setup!$C$13+Setup!$G$24),Setup!$C$39:$C$50))+(52*100+5)/10000000)))</f>
        <v/>
      </c>
      <c r="W57" t="str">
        <f>IF(G57="","",IF(G57&lt;Setup!$C$5-Setup!$C$6,"",IF(IF(ISNUMBER(Roster!$D57),Setup!$C$25&lt;=Roster!$D57,FALSE),"",IF(OR(IF(Setup!$C$15&lt;=Setup!$C$16,AND(MONTH(G57)&gt;=Setup!$C$15,MONTH(G57)&lt;=Setup!$C$16),OR(MONTH(G57)&gt;=Setup!$C$15,MONTH(G57)&lt;=Setup!$C$16)),IF(Setup!$C$15&lt;=Setup!$C$16,AND(MONTH(WORKDAY(G57,-(Setup!$C$13+Setup!$G$25),Setup!$C$39:$C$50))&gt;=Setup!$C$15,MONTH(WORKDAY(G57,-(Setup!$C$13+Setup!$G$25),Setup!$C$39:$C$50))&lt;=Setup!$C$16),OR(MONTH(WORKDAY(G57,-(Setup!$C$13+Setup!$G$25),Setup!$C$39:$C$50))&gt;=Setup!$C$15,MONTH(WORKDAY(G57,-(Setup!$C$13+Setup!$G$25),Setup!$C$39:$C$50))&lt;=Setup!$C$16))),WORKDAY(G57,-(Setup!$C$13+Setup!$G$25+Setup!$C$14),Setup!$C$39:$C$50),WORKDAY(G57,-(Setup!$C$13+Setup!$G$25),Setup!$C$39:$C$50))+(52*100+6)/10000000)))</f>
        <v/>
      </c>
      <c r="X57" t="str">
        <f>IF(H57="","",IF(H57&lt;Setup!$C$5-Setup!$C$6,"",IF(IF(ISNUMBER(Roster!$D57),Setup!$C$26&lt;=Roster!$D57,FALSE),"",IF(OR(IF(Setup!$C$15&lt;=Setup!$C$16,AND(MONTH(H57)&gt;=Setup!$C$15,MONTH(H57)&lt;=Setup!$C$16),OR(MONTH(H57)&gt;=Setup!$C$15,MONTH(H57)&lt;=Setup!$C$16)),IF(Setup!$C$15&lt;=Setup!$C$16,AND(MONTH(WORKDAY(H57,-(Setup!$C$13+Setup!$G$26),Setup!$C$39:$C$50))&gt;=Setup!$C$15,MONTH(WORKDAY(H57,-(Setup!$C$13+Setup!$G$26),Setup!$C$39:$C$50))&lt;=Setup!$C$16),OR(MONTH(WORKDAY(H57,-(Setup!$C$13+Setup!$G$26),Setup!$C$39:$C$50))&gt;=Setup!$C$15,MONTH(WORKDAY(H57,-(Setup!$C$13+Setup!$G$26),Setup!$C$39:$C$50))&lt;=Setup!$C$16))),WORKDAY(H57,-(Setup!$C$13+Setup!$G$26+Setup!$C$14),Setup!$C$39:$C$50),WORKDAY(H57,-(Setup!$C$13+Setup!$G$26),Setup!$C$39:$C$50))+(52*100+7)/10000000)))</f>
        <v/>
      </c>
      <c r="Y57" t="str">
        <f>IF(I57="","",IF(I57&lt;Setup!$C$5-Setup!$C$6,"",IF(IF(ISNUMBER(Roster!$D57),Setup!$C$27&lt;=Roster!$D57,FALSE),"",IF(OR(IF(Setup!$C$15&lt;=Setup!$C$16,AND(MONTH(I57)&gt;=Setup!$C$15,MONTH(I57)&lt;=Setup!$C$16),OR(MONTH(I57)&gt;=Setup!$C$15,MONTH(I57)&lt;=Setup!$C$16)),IF(Setup!$C$15&lt;=Setup!$C$16,AND(MONTH(WORKDAY(I57,-(Setup!$C$13+Setup!$G$27),Setup!$C$39:$C$50))&gt;=Setup!$C$15,MONTH(WORKDAY(I57,-(Setup!$C$13+Setup!$G$27),Setup!$C$39:$C$50))&lt;=Setup!$C$16),OR(MONTH(WORKDAY(I57,-(Setup!$C$13+Setup!$G$27),Setup!$C$39:$C$50))&gt;=Setup!$C$15,MONTH(WORKDAY(I57,-(Setup!$C$13+Setup!$G$27),Setup!$C$39:$C$50))&lt;=Setup!$C$16))),WORKDAY(I57,-(Setup!$C$13+Setup!$G$27+Setup!$C$14),Setup!$C$39:$C$50),WORKDAY(I57,-(Setup!$C$13+Setup!$G$27),Setup!$C$39:$C$50))+(52*100+8)/10000000)))</f>
        <v/>
      </c>
      <c r="Z57" t="str">
        <f>IF(J57="","",IF(J57&lt;Setup!$C$5-Setup!$C$6,"",IF(IF(ISNUMBER(Roster!$D57),Setup!$C$28&lt;=Roster!$D57,FALSE),"",IF(OR(IF(Setup!$C$15&lt;=Setup!$C$16,AND(MONTH(J57)&gt;=Setup!$C$15,MONTH(J57)&lt;=Setup!$C$16),OR(MONTH(J57)&gt;=Setup!$C$15,MONTH(J57)&lt;=Setup!$C$16)),IF(Setup!$C$15&lt;=Setup!$C$16,AND(MONTH(WORKDAY(J57,-(Setup!$C$13+Setup!$G$28),Setup!$C$39:$C$50))&gt;=Setup!$C$15,MONTH(WORKDAY(J57,-(Setup!$C$13+Setup!$G$28),Setup!$C$39:$C$50))&lt;=Setup!$C$16),OR(MONTH(WORKDAY(J57,-(Setup!$C$13+Setup!$G$28),Setup!$C$39:$C$50))&gt;=Setup!$C$15,MONTH(WORKDAY(J57,-(Setup!$C$13+Setup!$G$28),Setup!$C$39:$C$50))&lt;=Setup!$C$16))),WORKDAY(J57,-(Setup!$C$13+Setup!$G$28+Setup!$C$14),Setup!$C$39:$C$50),WORKDAY(J57,-(Setup!$C$13+Setup!$G$28),Setup!$C$39:$C$50))+(52*100+9)/10000000)))</f>
        <v/>
      </c>
      <c r="AA57" t="str">
        <f>IF(K57="","",IF(K57&lt;Setup!$C$5-Setup!$C$6,"",IF(IF(ISNUMBER(Roster!$D57),Setup!$C$29&lt;=Roster!$D57,FALSE),"",IF(OR(IF(Setup!$C$15&lt;=Setup!$C$16,AND(MONTH(K57)&gt;=Setup!$C$15,MONTH(K57)&lt;=Setup!$C$16),OR(MONTH(K57)&gt;=Setup!$C$15,MONTH(K57)&lt;=Setup!$C$16)),IF(Setup!$C$15&lt;=Setup!$C$16,AND(MONTH(WORKDAY(K57,-(Setup!$C$13+Setup!$G$29),Setup!$C$39:$C$50))&gt;=Setup!$C$15,MONTH(WORKDAY(K57,-(Setup!$C$13+Setup!$G$29),Setup!$C$39:$C$50))&lt;=Setup!$C$16),OR(MONTH(WORKDAY(K57,-(Setup!$C$13+Setup!$G$29),Setup!$C$39:$C$50))&gt;=Setup!$C$15,MONTH(WORKDAY(K57,-(Setup!$C$13+Setup!$G$29),Setup!$C$39:$C$50))&lt;=Setup!$C$16))),WORKDAY(K57,-(Setup!$C$13+Setup!$G$29+Setup!$C$14),Setup!$C$39:$C$50),WORKDAY(K57,-(Setup!$C$13+Setup!$G$29),Setup!$C$39:$C$50))+(52*100+10)/10000000)))</f>
        <v/>
      </c>
      <c r="AB57" t="str">
        <f>IF(L57="","",IF(L57&lt;Setup!$C$5-Setup!$C$6,"",IF(IF(ISNUMBER(Roster!$D57),Setup!$C$30&lt;=Roster!$D57,FALSE),"",IF(OR(IF(Setup!$C$15&lt;=Setup!$C$16,AND(MONTH(L57)&gt;=Setup!$C$15,MONTH(L57)&lt;=Setup!$C$16),OR(MONTH(L57)&gt;=Setup!$C$15,MONTH(L57)&lt;=Setup!$C$16)),IF(Setup!$C$15&lt;=Setup!$C$16,AND(MONTH(WORKDAY(L57,-(Setup!$C$13+Setup!$G$30),Setup!$C$39:$C$50))&gt;=Setup!$C$15,MONTH(WORKDAY(L57,-(Setup!$C$13+Setup!$G$30),Setup!$C$39:$C$50))&lt;=Setup!$C$16),OR(MONTH(WORKDAY(L57,-(Setup!$C$13+Setup!$G$30),Setup!$C$39:$C$50))&gt;=Setup!$C$15,MONTH(WORKDAY(L57,-(Setup!$C$13+Setup!$G$30),Setup!$C$39:$C$50))&lt;=Setup!$C$16))),WORKDAY(L57,-(Setup!$C$13+Setup!$G$30+Setup!$C$14),Setup!$C$39:$C$50),WORKDAY(L57,-(Setup!$C$13+Setup!$G$30),Setup!$C$39:$C$50))+(52*100+11)/10000000)))</f>
        <v/>
      </c>
      <c r="AC57" t="str">
        <f>IF(M57="","",IF(M57&lt;Setup!$C$5-Setup!$C$6,"",IF(IF(ISNUMBER(Roster!$D57),Setup!$C$31&lt;=Roster!$D57,FALSE),"",IF(OR(IF(Setup!$C$15&lt;=Setup!$C$16,AND(MONTH(M57)&gt;=Setup!$C$15,MONTH(M57)&lt;=Setup!$C$16),OR(MONTH(M57)&gt;=Setup!$C$15,MONTH(M57)&lt;=Setup!$C$16)),IF(Setup!$C$15&lt;=Setup!$C$16,AND(MONTH(WORKDAY(M57,-(Setup!$C$13+Setup!$G$31),Setup!$C$39:$C$50))&gt;=Setup!$C$15,MONTH(WORKDAY(M57,-(Setup!$C$13+Setup!$G$31),Setup!$C$39:$C$50))&lt;=Setup!$C$16),OR(MONTH(WORKDAY(M57,-(Setup!$C$13+Setup!$G$31),Setup!$C$39:$C$50))&gt;=Setup!$C$15,MONTH(WORKDAY(M57,-(Setup!$C$13+Setup!$G$31),Setup!$C$39:$C$50))&lt;=Setup!$C$16))),WORKDAY(M57,-(Setup!$C$13+Setup!$G$31+Setup!$C$14),Setup!$C$39:$C$50),WORKDAY(M57,-(Setup!$C$13+Setup!$G$31),Setup!$C$39:$C$50))+(52*100+12)/10000000)))</f>
        <v/>
      </c>
      <c r="AD57" t="str">
        <f>IF(N57="","",IF(N57&lt;Setup!$C$5-Setup!$C$6,"",IF(IF(ISNUMBER(Roster!$D57),Setup!$C$32&lt;=Roster!$D57,FALSE),"",IF(OR(IF(Setup!$C$15&lt;=Setup!$C$16,AND(MONTH(N57)&gt;=Setup!$C$15,MONTH(N57)&lt;=Setup!$C$16),OR(MONTH(N57)&gt;=Setup!$C$15,MONTH(N57)&lt;=Setup!$C$16)),IF(Setup!$C$15&lt;=Setup!$C$16,AND(MONTH(WORKDAY(N57,-(Setup!$C$13+Setup!$G$32),Setup!$C$39:$C$50))&gt;=Setup!$C$15,MONTH(WORKDAY(N57,-(Setup!$C$13+Setup!$G$32),Setup!$C$39:$C$50))&lt;=Setup!$C$16),OR(MONTH(WORKDAY(N57,-(Setup!$C$13+Setup!$G$32),Setup!$C$39:$C$50))&gt;=Setup!$C$15,MONTH(WORKDAY(N57,-(Setup!$C$13+Setup!$G$32),Setup!$C$39:$C$50))&lt;=Setup!$C$16))),WORKDAY(N57,-(Setup!$C$13+Setup!$G$32+Setup!$C$14),Setup!$C$39:$C$50),WORKDAY(N57,-(Setup!$C$13+Setup!$G$32),Setup!$C$39:$C$50))+(52*100+13)/10000000)))</f>
        <v/>
      </c>
      <c r="AE57" t="str">
        <f>IF(O57="","",IF(O57&lt;Setup!$C$5-Setup!$C$6,"",IF(IF(ISNUMBER(Roster!$D57),Setup!$C$33&lt;=Roster!$D57,FALSE),"",IF(OR(IF(Setup!$C$15&lt;=Setup!$C$16,AND(MONTH(O57)&gt;=Setup!$C$15,MONTH(O57)&lt;=Setup!$C$16),OR(MONTH(O57)&gt;=Setup!$C$15,MONTH(O57)&lt;=Setup!$C$16)),IF(Setup!$C$15&lt;=Setup!$C$16,AND(MONTH(WORKDAY(O57,-(Setup!$C$13+Setup!$G$33),Setup!$C$39:$C$50))&gt;=Setup!$C$15,MONTH(WORKDAY(O57,-(Setup!$C$13+Setup!$G$33),Setup!$C$39:$C$50))&lt;=Setup!$C$16),OR(MONTH(WORKDAY(O57,-(Setup!$C$13+Setup!$G$33),Setup!$C$39:$C$50))&gt;=Setup!$C$15,MONTH(WORKDAY(O57,-(Setup!$C$13+Setup!$G$33),Setup!$C$39:$C$50))&lt;=Setup!$C$16))),WORKDAY(O57,-(Setup!$C$13+Setup!$G$33+Setup!$C$14),Setup!$C$39:$C$50),WORKDAY(O57,-(Setup!$C$13+Setup!$G$33),Setup!$C$39:$C$50))+(52*100+14)/10000000)))</f>
        <v/>
      </c>
      <c r="AF57" t="str">
        <f>IF(P57="","",IF(P57&lt;Setup!$C$5-Setup!$C$6,"",IF(IF(ISNUMBER(Roster!$D57),Setup!$C$34&lt;=Roster!$D57,FALSE),"",IF(OR(IF(Setup!$C$15&lt;=Setup!$C$16,AND(MONTH(P57)&gt;=Setup!$C$15,MONTH(P57)&lt;=Setup!$C$16),OR(MONTH(P57)&gt;=Setup!$C$15,MONTH(P57)&lt;=Setup!$C$16)),IF(Setup!$C$15&lt;=Setup!$C$16,AND(MONTH(WORKDAY(P57,-(Setup!$C$13+Setup!$G$34),Setup!$C$39:$C$50))&gt;=Setup!$C$15,MONTH(WORKDAY(P57,-(Setup!$C$13+Setup!$G$34),Setup!$C$39:$C$50))&lt;=Setup!$C$16),OR(MONTH(WORKDAY(P57,-(Setup!$C$13+Setup!$G$34),Setup!$C$39:$C$50))&gt;=Setup!$C$15,MONTH(WORKDAY(P57,-(Setup!$C$13+Setup!$G$34),Setup!$C$39:$C$50))&lt;=Setup!$C$16))),WORKDAY(P57,-(Setup!$C$13+Setup!$G$34+Setup!$C$14),Setup!$C$39:$C$50),WORKDAY(P57,-(Setup!$C$13+Setup!$G$34),Setup!$C$39:$C$50))+(52*100+15)/10000000)))</f>
        <v/>
      </c>
      <c r="AH57" t="str">
        <f t="shared" si="0"/>
        <v/>
      </c>
      <c r="AI57" t="str">
        <f t="shared" si="1"/>
        <v/>
      </c>
      <c r="AK57" t="str">
        <f ca="1">IF(52&gt;$AK$2,"",SMALL($R$6:$AF$505,52))</f>
        <v/>
      </c>
      <c r="AL57" t="str">
        <f t="shared" ca="1" si="2"/>
        <v/>
      </c>
      <c r="AM57" t="str">
        <f t="shared" ca="1" si="3"/>
        <v/>
      </c>
      <c r="AN57" t="str">
        <f t="shared" ca="1" si="4"/>
        <v/>
      </c>
      <c r="AP57" t="str">
        <f>IF(ISNUMBER(Roster!$B57),MAX(1,YEAR(Setup!$C$5)-YEAR(Roster!$B57)+IF(EDATE(Roster!$B57,12*(YEAR(Setup!$C$5)-YEAR(Roster!$B57)))&lt;Setup!$C$5,1,0)),"")</f>
        <v/>
      </c>
      <c r="AQ57" s="32" t="str">
        <f>IF(AP57="","",EDATE(Roster!$B57,12*AP57))</f>
        <v/>
      </c>
      <c r="AR57" t="str">
        <f>IF(AQ57="","",IF(AQ57&lt;DATE(YEAR(Setup!$C$5)+1,MONTH(Setup!$C$5),DAY(Setup!$C$5)),AQ57+52/1000,""))</f>
        <v/>
      </c>
      <c r="AS57" t="str">
        <f t="shared" si="5"/>
        <v/>
      </c>
      <c r="AT57" t="str">
        <f>IF(AS57="","",IF(ISNUMBER(Roster!$D57),Roster!$D57&gt;=AP57,FALSE))</f>
        <v/>
      </c>
      <c r="AU57" t="str">
        <f t="shared" si="6"/>
        <v/>
      </c>
      <c r="AV57" t="str">
        <f ca="1">IF(52&gt;$AV$2,"",SMALL($AR$6:$AR$505,52))</f>
        <v/>
      </c>
      <c r="AW57" t="str">
        <f t="shared" ca="1" si="7"/>
        <v/>
      </c>
    </row>
    <row r="58" spans="2:49" x14ac:dyDescent="0.2">
      <c r="B58" s="32" t="str">
        <f>IF(AND(ISNUMBER(Roster!$B58),Setup!$B$20="Yes",ISNUMBER(Setup!$C$20)),EDATE(Roster!$B58,12*Setup!$C$20),"")</f>
        <v/>
      </c>
      <c r="C58" s="32" t="str">
        <f>IF(AND(ISNUMBER(Roster!$B58),Setup!$B$21="Yes",ISNUMBER(Setup!$C$21)),EDATE(Roster!$B58,12*Setup!$C$21),"")</f>
        <v/>
      </c>
      <c r="D58" s="32" t="str">
        <f>IF(AND(ISNUMBER(Roster!$B58),Setup!$B$22="Yes",ISNUMBER(Setup!$C$22)),EDATE(Roster!$B58,12*Setup!$C$22),"")</f>
        <v/>
      </c>
      <c r="E58" s="32" t="str">
        <f>IF(AND(ISNUMBER(Roster!$B58),Setup!$B$23="Yes",ISNUMBER(Setup!$C$23)),EDATE(Roster!$B58,12*Setup!$C$23),"")</f>
        <v/>
      </c>
      <c r="F58" s="32" t="str">
        <f>IF(AND(ISNUMBER(Roster!$B58),Setup!$B$24="Yes",ISNUMBER(Setup!$C$24)),EDATE(Roster!$B58,12*Setup!$C$24),"")</f>
        <v/>
      </c>
      <c r="G58" s="32" t="str">
        <f>IF(AND(ISNUMBER(Roster!$B58),Setup!$B$25="Yes",ISNUMBER(Setup!$C$25)),EDATE(Roster!$B58,12*Setup!$C$25),"")</f>
        <v/>
      </c>
      <c r="H58" s="32" t="str">
        <f>IF(AND(ISNUMBER(Roster!$B58),Setup!$B$26="Yes",ISNUMBER(Setup!$C$26)),EDATE(Roster!$B58,12*Setup!$C$26),"")</f>
        <v/>
      </c>
      <c r="I58" s="32" t="str">
        <f>IF(AND(ISNUMBER(Roster!$B58),Setup!$B$27="Yes",ISNUMBER(Setup!$C$27)),EDATE(Roster!$B58,12*Setup!$C$27),"")</f>
        <v/>
      </c>
      <c r="J58" s="32" t="str">
        <f>IF(AND(ISNUMBER(Roster!$B58),Setup!$B$28="Yes",ISNUMBER(Setup!$C$28)),EDATE(Roster!$B58,12*Setup!$C$28),"")</f>
        <v/>
      </c>
      <c r="K58" s="32" t="str">
        <f>IF(AND(ISNUMBER(Roster!$B58),Setup!$B$29="Yes",ISNUMBER(Setup!$C$29)),EDATE(Roster!$B58,12*Setup!$C$29),"")</f>
        <v/>
      </c>
      <c r="L58" s="32" t="str">
        <f>IF(AND(ISNUMBER(Roster!$B58),Setup!$B$30="Yes",ISNUMBER(Setup!$C$30)),EDATE(Roster!$B58,12*Setup!$C$30),"")</f>
        <v/>
      </c>
      <c r="M58" s="32" t="str">
        <f>IF(AND(ISNUMBER(Roster!$B58),Setup!$B$31="Yes",ISNUMBER(Setup!$C$31)),EDATE(Roster!$B58,12*Setup!$C$31),"")</f>
        <v/>
      </c>
      <c r="N58" s="32" t="str">
        <f>IF(AND(ISNUMBER(Roster!$B58),Setup!$B$32="Yes",ISNUMBER(Setup!$C$32)),EDATE(Roster!$B58,12*Setup!$C$32),"")</f>
        <v/>
      </c>
      <c r="O58" s="32" t="str">
        <f>IF(AND(ISNUMBER(Roster!$B58),Setup!$B$33="Yes",ISNUMBER(Setup!$C$33)),EDATE(Roster!$B58,12*Setup!$C$33),"")</f>
        <v/>
      </c>
      <c r="P58" s="32" t="str">
        <f>IF(AND(ISNUMBER(Roster!$B58),Setup!$B$34="Yes",ISNUMBER(Setup!$C$34)),EDATE(Roster!$B58,12*Setup!$C$34),"")</f>
        <v/>
      </c>
      <c r="R58" t="str">
        <f>IF(B58="","",IF(B58&lt;Setup!$C$5-Setup!$C$6,"",IF(IF(ISNUMBER(Roster!$D58),Setup!$C$20&lt;=Roster!$D58,FALSE),"",IF(OR(IF(Setup!$C$15&lt;=Setup!$C$16,AND(MONTH(B58)&gt;=Setup!$C$15,MONTH(B58)&lt;=Setup!$C$16),OR(MONTH(B58)&gt;=Setup!$C$15,MONTH(B58)&lt;=Setup!$C$16)),IF(Setup!$C$15&lt;=Setup!$C$16,AND(MONTH(WORKDAY(B58,-(Setup!$C$13+Setup!$G$20),Setup!$C$39:$C$50))&gt;=Setup!$C$15,MONTH(WORKDAY(B58,-(Setup!$C$13+Setup!$G$20),Setup!$C$39:$C$50))&lt;=Setup!$C$16),OR(MONTH(WORKDAY(B58,-(Setup!$C$13+Setup!$G$20),Setup!$C$39:$C$50))&gt;=Setup!$C$15,MONTH(WORKDAY(B58,-(Setup!$C$13+Setup!$G$20),Setup!$C$39:$C$50))&lt;=Setup!$C$16))),WORKDAY(B58,-(Setup!$C$13+Setup!$G$20+Setup!$C$14),Setup!$C$39:$C$50),WORKDAY(B58,-(Setup!$C$13+Setup!$G$20),Setup!$C$39:$C$50))+(53*100+1)/10000000)))</f>
        <v/>
      </c>
      <c r="S58" t="str">
        <f>IF(C58="","",IF(C58&lt;Setup!$C$5-Setup!$C$6,"",IF(IF(ISNUMBER(Roster!$D58),Setup!$C$21&lt;=Roster!$D58,FALSE),"",IF(OR(IF(Setup!$C$15&lt;=Setup!$C$16,AND(MONTH(C58)&gt;=Setup!$C$15,MONTH(C58)&lt;=Setup!$C$16),OR(MONTH(C58)&gt;=Setup!$C$15,MONTH(C58)&lt;=Setup!$C$16)),IF(Setup!$C$15&lt;=Setup!$C$16,AND(MONTH(WORKDAY(C58,-(Setup!$C$13+Setup!$G$21),Setup!$C$39:$C$50))&gt;=Setup!$C$15,MONTH(WORKDAY(C58,-(Setup!$C$13+Setup!$G$21),Setup!$C$39:$C$50))&lt;=Setup!$C$16),OR(MONTH(WORKDAY(C58,-(Setup!$C$13+Setup!$G$21),Setup!$C$39:$C$50))&gt;=Setup!$C$15,MONTH(WORKDAY(C58,-(Setup!$C$13+Setup!$G$21),Setup!$C$39:$C$50))&lt;=Setup!$C$16))),WORKDAY(C58,-(Setup!$C$13+Setup!$G$21+Setup!$C$14),Setup!$C$39:$C$50),WORKDAY(C58,-(Setup!$C$13+Setup!$G$21),Setup!$C$39:$C$50))+(53*100+2)/10000000)))</f>
        <v/>
      </c>
      <c r="T58" t="str">
        <f>IF(D58="","",IF(D58&lt;Setup!$C$5-Setup!$C$6,"",IF(IF(ISNUMBER(Roster!$D58),Setup!$C$22&lt;=Roster!$D58,FALSE),"",IF(OR(IF(Setup!$C$15&lt;=Setup!$C$16,AND(MONTH(D58)&gt;=Setup!$C$15,MONTH(D58)&lt;=Setup!$C$16),OR(MONTH(D58)&gt;=Setup!$C$15,MONTH(D58)&lt;=Setup!$C$16)),IF(Setup!$C$15&lt;=Setup!$C$16,AND(MONTH(WORKDAY(D58,-(Setup!$C$13+Setup!$G$22),Setup!$C$39:$C$50))&gt;=Setup!$C$15,MONTH(WORKDAY(D58,-(Setup!$C$13+Setup!$G$22),Setup!$C$39:$C$50))&lt;=Setup!$C$16),OR(MONTH(WORKDAY(D58,-(Setup!$C$13+Setup!$G$22),Setup!$C$39:$C$50))&gt;=Setup!$C$15,MONTH(WORKDAY(D58,-(Setup!$C$13+Setup!$G$22),Setup!$C$39:$C$50))&lt;=Setup!$C$16))),WORKDAY(D58,-(Setup!$C$13+Setup!$G$22+Setup!$C$14),Setup!$C$39:$C$50),WORKDAY(D58,-(Setup!$C$13+Setup!$G$22),Setup!$C$39:$C$50))+(53*100+3)/10000000)))</f>
        <v/>
      </c>
      <c r="U58" t="str">
        <f>IF(E58="","",IF(E58&lt;Setup!$C$5-Setup!$C$6,"",IF(IF(ISNUMBER(Roster!$D58),Setup!$C$23&lt;=Roster!$D58,FALSE),"",IF(OR(IF(Setup!$C$15&lt;=Setup!$C$16,AND(MONTH(E58)&gt;=Setup!$C$15,MONTH(E58)&lt;=Setup!$C$16),OR(MONTH(E58)&gt;=Setup!$C$15,MONTH(E58)&lt;=Setup!$C$16)),IF(Setup!$C$15&lt;=Setup!$C$16,AND(MONTH(WORKDAY(E58,-(Setup!$C$13+Setup!$G$23),Setup!$C$39:$C$50))&gt;=Setup!$C$15,MONTH(WORKDAY(E58,-(Setup!$C$13+Setup!$G$23),Setup!$C$39:$C$50))&lt;=Setup!$C$16),OR(MONTH(WORKDAY(E58,-(Setup!$C$13+Setup!$G$23),Setup!$C$39:$C$50))&gt;=Setup!$C$15,MONTH(WORKDAY(E58,-(Setup!$C$13+Setup!$G$23),Setup!$C$39:$C$50))&lt;=Setup!$C$16))),WORKDAY(E58,-(Setup!$C$13+Setup!$G$23+Setup!$C$14),Setup!$C$39:$C$50),WORKDAY(E58,-(Setup!$C$13+Setup!$G$23),Setup!$C$39:$C$50))+(53*100+4)/10000000)))</f>
        <v/>
      </c>
      <c r="V58" t="str">
        <f>IF(F58="","",IF(F58&lt;Setup!$C$5-Setup!$C$6,"",IF(IF(ISNUMBER(Roster!$D58),Setup!$C$24&lt;=Roster!$D58,FALSE),"",IF(OR(IF(Setup!$C$15&lt;=Setup!$C$16,AND(MONTH(F58)&gt;=Setup!$C$15,MONTH(F58)&lt;=Setup!$C$16),OR(MONTH(F58)&gt;=Setup!$C$15,MONTH(F58)&lt;=Setup!$C$16)),IF(Setup!$C$15&lt;=Setup!$C$16,AND(MONTH(WORKDAY(F58,-(Setup!$C$13+Setup!$G$24),Setup!$C$39:$C$50))&gt;=Setup!$C$15,MONTH(WORKDAY(F58,-(Setup!$C$13+Setup!$G$24),Setup!$C$39:$C$50))&lt;=Setup!$C$16),OR(MONTH(WORKDAY(F58,-(Setup!$C$13+Setup!$G$24),Setup!$C$39:$C$50))&gt;=Setup!$C$15,MONTH(WORKDAY(F58,-(Setup!$C$13+Setup!$G$24),Setup!$C$39:$C$50))&lt;=Setup!$C$16))),WORKDAY(F58,-(Setup!$C$13+Setup!$G$24+Setup!$C$14),Setup!$C$39:$C$50),WORKDAY(F58,-(Setup!$C$13+Setup!$G$24),Setup!$C$39:$C$50))+(53*100+5)/10000000)))</f>
        <v/>
      </c>
      <c r="W58" t="str">
        <f>IF(G58="","",IF(G58&lt;Setup!$C$5-Setup!$C$6,"",IF(IF(ISNUMBER(Roster!$D58),Setup!$C$25&lt;=Roster!$D58,FALSE),"",IF(OR(IF(Setup!$C$15&lt;=Setup!$C$16,AND(MONTH(G58)&gt;=Setup!$C$15,MONTH(G58)&lt;=Setup!$C$16),OR(MONTH(G58)&gt;=Setup!$C$15,MONTH(G58)&lt;=Setup!$C$16)),IF(Setup!$C$15&lt;=Setup!$C$16,AND(MONTH(WORKDAY(G58,-(Setup!$C$13+Setup!$G$25),Setup!$C$39:$C$50))&gt;=Setup!$C$15,MONTH(WORKDAY(G58,-(Setup!$C$13+Setup!$G$25),Setup!$C$39:$C$50))&lt;=Setup!$C$16),OR(MONTH(WORKDAY(G58,-(Setup!$C$13+Setup!$G$25),Setup!$C$39:$C$50))&gt;=Setup!$C$15,MONTH(WORKDAY(G58,-(Setup!$C$13+Setup!$G$25),Setup!$C$39:$C$50))&lt;=Setup!$C$16))),WORKDAY(G58,-(Setup!$C$13+Setup!$G$25+Setup!$C$14),Setup!$C$39:$C$50),WORKDAY(G58,-(Setup!$C$13+Setup!$G$25),Setup!$C$39:$C$50))+(53*100+6)/10000000)))</f>
        <v/>
      </c>
      <c r="X58" t="str">
        <f>IF(H58="","",IF(H58&lt;Setup!$C$5-Setup!$C$6,"",IF(IF(ISNUMBER(Roster!$D58),Setup!$C$26&lt;=Roster!$D58,FALSE),"",IF(OR(IF(Setup!$C$15&lt;=Setup!$C$16,AND(MONTH(H58)&gt;=Setup!$C$15,MONTH(H58)&lt;=Setup!$C$16),OR(MONTH(H58)&gt;=Setup!$C$15,MONTH(H58)&lt;=Setup!$C$16)),IF(Setup!$C$15&lt;=Setup!$C$16,AND(MONTH(WORKDAY(H58,-(Setup!$C$13+Setup!$G$26),Setup!$C$39:$C$50))&gt;=Setup!$C$15,MONTH(WORKDAY(H58,-(Setup!$C$13+Setup!$G$26),Setup!$C$39:$C$50))&lt;=Setup!$C$16),OR(MONTH(WORKDAY(H58,-(Setup!$C$13+Setup!$G$26),Setup!$C$39:$C$50))&gt;=Setup!$C$15,MONTH(WORKDAY(H58,-(Setup!$C$13+Setup!$G$26),Setup!$C$39:$C$50))&lt;=Setup!$C$16))),WORKDAY(H58,-(Setup!$C$13+Setup!$G$26+Setup!$C$14),Setup!$C$39:$C$50),WORKDAY(H58,-(Setup!$C$13+Setup!$G$26),Setup!$C$39:$C$50))+(53*100+7)/10000000)))</f>
        <v/>
      </c>
      <c r="Y58" t="str">
        <f>IF(I58="","",IF(I58&lt;Setup!$C$5-Setup!$C$6,"",IF(IF(ISNUMBER(Roster!$D58),Setup!$C$27&lt;=Roster!$D58,FALSE),"",IF(OR(IF(Setup!$C$15&lt;=Setup!$C$16,AND(MONTH(I58)&gt;=Setup!$C$15,MONTH(I58)&lt;=Setup!$C$16),OR(MONTH(I58)&gt;=Setup!$C$15,MONTH(I58)&lt;=Setup!$C$16)),IF(Setup!$C$15&lt;=Setup!$C$16,AND(MONTH(WORKDAY(I58,-(Setup!$C$13+Setup!$G$27),Setup!$C$39:$C$50))&gt;=Setup!$C$15,MONTH(WORKDAY(I58,-(Setup!$C$13+Setup!$G$27),Setup!$C$39:$C$50))&lt;=Setup!$C$16),OR(MONTH(WORKDAY(I58,-(Setup!$C$13+Setup!$G$27),Setup!$C$39:$C$50))&gt;=Setup!$C$15,MONTH(WORKDAY(I58,-(Setup!$C$13+Setup!$G$27),Setup!$C$39:$C$50))&lt;=Setup!$C$16))),WORKDAY(I58,-(Setup!$C$13+Setup!$G$27+Setup!$C$14),Setup!$C$39:$C$50),WORKDAY(I58,-(Setup!$C$13+Setup!$G$27),Setup!$C$39:$C$50))+(53*100+8)/10000000)))</f>
        <v/>
      </c>
      <c r="Z58" t="str">
        <f>IF(J58="","",IF(J58&lt;Setup!$C$5-Setup!$C$6,"",IF(IF(ISNUMBER(Roster!$D58),Setup!$C$28&lt;=Roster!$D58,FALSE),"",IF(OR(IF(Setup!$C$15&lt;=Setup!$C$16,AND(MONTH(J58)&gt;=Setup!$C$15,MONTH(J58)&lt;=Setup!$C$16),OR(MONTH(J58)&gt;=Setup!$C$15,MONTH(J58)&lt;=Setup!$C$16)),IF(Setup!$C$15&lt;=Setup!$C$16,AND(MONTH(WORKDAY(J58,-(Setup!$C$13+Setup!$G$28),Setup!$C$39:$C$50))&gt;=Setup!$C$15,MONTH(WORKDAY(J58,-(Setup!$C$13+Setup!$G$28),Setup!$C$39:$C$50))&lt;=Setup!$C$16),OR(MONTH(WORKDAY(J58,-(Setup!$C$13+Setup!$G$28),Setup!$C$39:$C$50))&gt;=Setup!$C$15,MONTH(WORKDAY(J58,-(Setup!$C$13+Setup!$G$28),Setup!$C$39:$C$50))&lt;=Setup!$C$16))),WORKDAY(J58,-(Setup!$C$13+Setup!$G$28+Setup!$C$14),Setup!$C$39:$C$50),WORKDAY(J58,-(Setup!$C$13+Setup!$G$28),Setup!$C$39:$C$50))+(53*100+9)/10000000)))</f>
        <v/>
      </c>
      <c r="AA58" t="str">
        <f>IF(K58="","",IF(K58&lt;Setup!$C$5-Setup!$C$6,"",IF(IF(ISNUMBER(Roster!$D58),Setup!$C$29&lt;=Roster!$D58,FALSE),"",IF(OR(IF(Setup!$C$15&lt;=Setup!$C$16,AND(MONTH(K58)&gt;=Setup!$C$15,MONTH(K58)&lt;=Setup!$C$16),OR(MONTH(K58)&gt;=Setup!$C$15,MONTH(K58)&lt;=Setup!$C$16)),IF(Setup!$C$15&lt;=Setup!$C$16,AND(MONTH(WORKDAY(K58,-(Setup!$C$13+Setup!$G$29),Setup!$C$39:$C$50))&gt;=Setup!$C$15,MONTH(WORKDAY(K58,-(Setup!$C$13+Setup!$G$29),Setup!$C$39:$C$50))&lt;=Setup!$C$16),OR(MONTH(WORKDAY(K58,-(Setup!$C$13+Setup!$G$29),Setup!$C$39:$C$50))&gt;=Setup!$C$15,MONTH(WORKDAY(K58,-(Setup!$C$13+Setup!$G$29),Setup!$C$39:$C$50))&lt;=Setup!$C$16))),WORKDAY(K58,-(Setup!$C$13+Setup!$G$29+Setup!$C$14),Setup!$C$39:$C$50),WORKDAY(K58,-(Setup!$C$13+Setup!$G$29),Setup!$C$39:$C$50))+(53*100+10)/10000000)))</f>
        <v/>
      </c>
      <c r="AB58" t="str">
        <f>IF(L58="","",IF(L58&lt;Setup!$C$5-Setup!$C$6,"",IF(IF(ISNUMBER(Roster!$D58),Setup!$C$30&lt;=Roster!$D58,FALSE),"",IF(OR(IF(Setup!$C$15&lt;=Setup!$C$16,AND(MONTH(L58)&gt;=Setup!$C$15,MONTH(L58)&lt;=Setup!$C$16),OR(MONTH(L58)&gt;=Setup!$C$15,MONTH(L58)&lt;=Setup!$C$16)),IF(Setup!$C$15&lt;=Setup!$C$16,AND(MONTH(WORKDAY(L58,-(Setup!$C$13+Setup!$G$30),Setup!$C$39:$C$50))&gt;=Setup!$C$15,MONTH(WORKDAY(L58,-(Setup!$C$13+Setup!$G$30),Setup!$C$39:$C$50))&lt;=Setup!$C$16),OR(MONTH(WORKDAY(L58,-(Setup!$C$13+Setup!$G$30),Setup!$C$39:$C$50))&gt;=Setup!$C$15,MONTH(WORKDAY(L58,-(Setup!$C$13+Setup!$G$30),Setup!$C$39:$C$50))&lt;=Setup!$C$16))),WORKDAY(L58,-(Setup!$C$13+Setup!$G$30+Setup!$C$14),Setup!$C$39:$C$50),WORKDAY(L58,-(Setup!$C$13+Setup!$G$30),Setup!$C$39:$C$50))+(53*100+11)/10000000)))</f>
        <v/>
      </c>
      <c r="AC58" t="str">
        <f>IF(M58="","",IF(M58&lt;Setup!$C$5-Setup!$C$6,"",IF(IF(ISNUMBER(Roster!$D58),Setup!$C$31&lt;=Roster!$D58,FALSE),"",IF(OR(IF(Setup!$C$15&lt;=Setup!$C$16,AND(MONTH(M58)&gt;=Setup!$C$15,MONTH(M58)&lt;=Setup!$C$16),OR(MONTH(M58)&gt;=Setup!$C$15,MONTH(M58)&lt;=Setup!$C$16)),IF(Setup!$C$15&lt;=Setup!$C$16,AND(MONTH(WORKDAY(M58,-(Setup!$C$13+Setup!$G$31),Setup!$C$39:$C$50))&gt;=Setup!$C$15,MONTH(WORKDAY(M58,-(Setup!$C$13+Setup!$G$31),Setup!$C$39:$C$50))&lt;=Setup!$C$16),OR(MONTH(WORKDAY(M58,-(Setup!$C$13+Setup!$G$31),Setup!$C$39:$C$50))&gt;=Setup!$C$15,MONTH(WORKDAY(M58,-(Setup!$C$13+Setup!$G$31),Setup!$C$39:$C$50))&lt;=Setup!$C$16))),WORKDAY(M58,-(Setup!$C$13+Setup!$G$31+Setup!$C$14),Setup!$C$39:$C$50),WORKDAY(M58,-(Setup!$C$13+Setup!$G$31),Setup!$C$39:$C$50))+(53*100+12)/10000000)))</f>
        <v/>
      </c>
      <c r="AD58" t="str">
        <f>IF(N58="","",IF(N58&lt;Setup!$C$5-Setup!$C$6,"",IF(IF(ISNUMBER(Roster!$D58),Setup!$C$32&lt;=Roster!$D58,FALSE),"",IF(OR(IF(Setup!$C$15&lt;=Setup!$C$16,AND(MONTH(N58)&gt;=Setup!$C$15,MONTH(N58)&lt;=Setup!$C$16),OR(MONTH(N58)&gt;=Setup!$C$15,MONTH(N58)&lt;=Setup!$C$16)),IF(Setup!$C$15&lt;=Setup!$C$16,AND(MONTH(WORKDAY(N58,-(Setup!$C$13+Setup!$G$32),Setup!$C$39:$C$50))&gt;=Setup!$C$15,MONTH(WORKDAY(N58,-(Setup!$C$13+Setup!$G$32),Setup!$C$39:$C$50))&lt;=Setup!$C$16),OR(MONTH(WORKDAY(N58,-(Setup!$C$13+Setup!$G$32),Setup!$C$39:$C$50))&gt;=Setup!$C$15,MONTH(WORKDAY(N58,-(Setup!$C$13+Setup!$G$32),Setup!$C$39:$C$50))&lt;=Setup!$C$16))),WORKDAY(N58,-(Setup!$C$13+Setup!$G$32+Setup!$C$14),Setup!$C$39:$C$50),WORKDAY(N58,-(Setup!$C$13+Setup!$G$32),Setup!$C$39:$C$50))+(53*100+13)/10000000)))</f>
        <v/>
      </c>
      <c r="AE58" t="str">
        <f>IF(O58="","",IF(O58&lt;Setup!$C$5-Setup!$C$6,"",IF(IF(ISNUMBER(Roster!$D58),Setup!$C$33&lt;=Roster!$D58,FALSE),"",IF(OR(IF(Setup!$C$15&lt;=Setup!$C$16,AND(MONTH(O58)&gt;=Setup!$C$15,MONTH(O58)&lt;=Setup!$C$16),OR(MONTH(O58)&gt;=Setup!$C$15,MONTH(O58)&lt;=Setup!$C$16)),IF(Setup!$C$15&lt;=Setup!$C$16,AND(MONTH(WORKDAY(O58,-(Setup!$C$13+Setup!$G$33),Setup!$C$39:$C$50))&gt;=Setup!$C$15,MONTH(WORKDAY(O58,-(Setup!$C$13+Setup!$G$33),Setup!$C$39:$C$50))&lt;=Setup!$C$16),OR(MONTH(WORKDAY(O58,-(Setup!$C$13+Setup!$G$33),Setup!$C$39:$C$50))&gt;=Setup!$C$15,MONTH(WORKDAY(O58,-(Setup!$C$13+Setup!$G$33),Setup!$C$39:$C$50))&lt;=Setup!$C$16))),WORKDAY(O58,-(Setup!$C$13+Setup!$G$33+Setup!$C$14),Setup!$C$39:$C$50),WORKDAY(O58,-(Setup!$C$13+Setup!$G$33),Setup!$C$39:$C$50))+(53*100+14)/10000000)))</f>
        <v/>
      </c>
      <c r="AF58" t="str">
        <f>IF(P58="","",IF(P58&lt;Setup!$C$5-Setup!$C$6,"",IF(IF(ISNUMBER(Roster!$D58),Setup!$C$34&lt;=Roster!$D58,FALSE),"",IF(OR(IF(Setup!$C$15&lt;=Setup!$C$16,AND(MONTH(P58)&gt;=Setup!$C$15,MONTH(P58)&lt;=Setup!$C$16),OR(MONTH(P58)&gt;=Setup!$C$15,MONTH(P58)&lt;=Setup!$C$16)),IF(Setup!$C$15&lt;=Setup!$C$16,AND(MONTH(WORKDAY(P58,-(Setup!$C$13+Setup!$G$34),Setup!$C$39:$C$50))&gt;=Setup!$C$15,MONTH(WORKDAY(P58,-(Setup!$C$13+Setup!$G$34),Setup!$C$39:$C$50))&lt;=Setup!$C$16),OR(MONTH(WORKDAY(P58,-(Setup!$C$13+Setup!$G$34),Setup!$C$39:$C$50))&gt;=Setup!$C$15,MONTH(WORKDAY(P58,-(Setup!$C$13+Setup!$G$34),Setup!$C$39:$C$50))&lt;=Setup!$C$16))),WORKDAY(P58,-(Setup!$C$13+Setup!$G$34+Setup!$C$14),Setup!$C$39:$C$50),WORKDAY(P58,-(Setup!$C$13+Setup!$G$34),Setup!$C$39:$C$50))+(53*100+15)/10000000)))</f>
        <v/>
      </c>
      <c r="AH58" t="str">
        <f t="shared" si="0"/>
        <v/>
      </c>
      <c r="AI58" t="str">
        <f t="shared" si="1"/>
        <v/>
      </c>
      <c r="AK58" t="str">
        <f ca="1">IF(53&gt;$AK$2,"",SMALL($R$6:$AF$505,53))</f>
        <v/>
      </c>
      <c r="AL58" t="str">
        <f t="shared" ca="1" si="2"/>
        <v/>
      </c>
      <c r="AM58" t="str">
        <f t="shared" ca="1" si="3"/>
        <v/>
      </c>
      <c r="AN58" t="str">
        <f t="shared" ca="1" si="4"/>
        <v/>
      </c>
      <c r="AP58" t="str">
        <f>IF(ISNUMBER(Roster!$B58),MAX(1,YEAR(Setup!$C$5)-YEAR(Roster!$B58)+IF(EDATE(Roster!$B58,12*(YEAR(Setup!$C$5)-YEAR(Roster!$B58)))&lt;Setup!$C$5,1,0)),"")</f>
        <v/>
      </c>
      <c r="AQ58" s="32" t="str">
        <f>IF(AP58="","",EDATE(Roster!$B58,12*AP58))</f>
        <v/>
      </c>
      <c r="AR58" t="str">
        <f>IF(AQ58="","",IF(AQ58&lt;DATE(YEAR(Setup!$C$5)+1,MONTH(Setup!$C$5),DAY(Setup!$C$5)),AQ58+53/1000,""))</f>
        <v/>
      </c>
      <c r="AS58" t="str">
        <f t="shared" si="5"/>
        <v/>
      </c>
      <c r="AT58" t="str">
        <f>IF(AS58="","",IF(ISNUMBER(Roster!$D58),Roster!$D58&gt;=AP58,FALSE))</f>
        <v/>
      </c>
      <c r="AU58" t="str">
        <f t="shared" si="6"/>
        <v/>
      </c>
      <c r="AV58" t="str">
        <f ca="1">IF(53&gt;$AV$2,"",SMALL($AR$6:$AR$505,53))</f>
        <v/>
      </c>
      <c r="AW58" t="str">
        <f t="shared" ca="1" si="7"/>
        <v/>
      </c>
    </row>
    <row r="59" spans="2:49" x14ac:dyDescent="0.2">
      <c r="B59" s="32" t="str">
        <f>IF(AND(ISNUMBER(Roster!$B59),Setup!$B$20="Yes",ISNUMBER(Setup!$C$20)),EDATE(Roster!$B59,12*Setup!$C$20),"")</f>
        <v/>
      </c>
      <c r="C59" s="32" t="str">
        <f>IF(AND(ISNUMBER(Roster!$B59),Setup!$B$21="Yes",ISNUMBER(Setup!$C$21)),EDATE(Roster!$B59,12*Setup!$C$21),"")</f>
        <v/>
      </c>
      <c r="D59" s="32" t="str">
        <f>IF(AND(ISNUMBER(Roster!$B59),Setup!$B$22="Yes",ISNUMBER(Setup!$C$22)),EDATE(Roster!$B59,12*Setup!$C$22),"")</f>
        <v/>
      </c>
      <c r="E59" s="32" t="str">
        <f>IF(AND(ISNUMBER(Roster!$B59),Setup!$B$23="Yes",ISNUMBER(Setup!$C$23)),EDATE(Roster!$B59,12*Setup!$C$23),"")</f>
        <v/>
      </c>
      <c r="F59" s="32" t="str">
        <f>IF(AND(ISNUMBER(Roster!$B59),Setup!$B$24="Yes",ISNUMBER(Setup!$C$24)),EDATE(Roster!$B59,12*Setup!$C$24),"")</f>
        <v/>
      </c>
      <c r="G59" s="32" t="str">
        <f>IF(AND(ISNUMBER(Roster!$B59),Setup!$B$25="Yes",ISNUMBER(Setup!$C$25)),EDATE(Roster!$B59,12*Setup!$C$25),"")</f>
        <v/>
      </c>
      <c r="H59" s="32" t="str">
        <f>IF(AND(ISNUMBER(Roster!$B59),Setup!$B$26="Yes",ISNUMBER(Setup!$C$26)),EDATE(Roster!$B59,12*Setup!$C$26),"")</f>
        <v/>
      </c>
      <c r="I59" s="32" t="str">
        <f>IF(AND(ISNUMBER(Roster!$B59),Setup!$B$27="Yes",ISNUMBER(Setup!$C$27)),EDATE(Roster!$B59,12*Setup!$C$27),"")</f>
        <v/>
      </c>
      <c r="J59" s="32" t="str">
        <f>IF(AND(ISNUMBER(Roster!$B59),Setup!$B$28="Yes",ISNUMBER(Setup!$C$28)),EDATE(Roster!$B59,12*Setup!$C$28),"")</f>
        <v/>
      </c>
      <c r="K59" s="32" t="str">
        <f>IF(AND(ISNUMBER(Roster!$B59),Setup!$B$29="Yes",ISNUMBER(Setup!$C$29)),EDATE(Roster!$B59,12*Setup!$C$29),"")</f>
        <v/>
      </c>
      <c r="L59" s="32" t="str">
        <f>IF(AND(ISNUMBER(Roster!$B59),Setup!$B$30="Yes",ISNUMBER(Setup!$C$30)),EDATE(Roster!$B59,12*Setup!$C$30),"")</f>
        <v/>
      </c>
      <c r="M59" s="32" t="str">
        <f>IF(AND(ISNUMBER(Roster!$B59),Setup!$B$31="Yes",ISNUMBER(Setup!$C$31)),EDATE(Roster!$B59,12*Setup!$C$31),"")</f>
        <v/>
      </c>
      <c r="N59" s="32" t="str">
        <f>IF(AND(ISNUMBER(Roster!$B59),Setup!$B$32="Yes",ISNUMBER(Setup!$C$32)),EDATE(Roster!$B59,12*Setup!$C$32),"")</f>
        <v/>
      </c>
      <c r="O59" s="32" t="str">
        <f>IF(AND(ISNUMBER(Roster!$B59),Setup!$B$33="Yes",ISNUMBER(Setup!$C$33)),EDATE(Roster!$B59,12*Setup!$C$33),"")</f>
        <v/>
      </c>
      <c r="P59" s="32" t="str">
        <f>IF(AND(ISNUMBER(Roster!$B59),Setup!$B$34="Yes",ISNUMBER(Setup!$C$34)),EDATE(Roster!$B59,12*Setup!$C$34),"")</f>
        <v/>
      </c>
      <c r="R59" t="str">
        <f>IF(B59="","",IF(B59&lt;Setup!$C$5-Setup!$C$6,"",IF(IF(ISNUMBER(Roster!$D59),Setup!$C$20&lt;=Roster!$D59,FALSE),"",IF(OR(IF(Setup!$C$15&lt;=Setup!$C$16,AND(MONTH(B59)&gt;=Setup!$C$15,MONTH(B59)&lt;=Setup!$C$16),OR(MONTH(B59)&gt;=Setup!$C$15,MONTH(B59)&lt;=Setup!$C$16)),IF(Setup!$C$15&lt;=Setup!$C$16,AND(MONTH(WORKDAY(B59,-(Setup!$C$13+Setup!$G$20),Setup!$C$39:$C$50))&gt;=Setup!$C$15,MONTH(WORKDAY(B59,-(Setup!$C$13+Setup!$G$20),Setup!$C$39:$C$50))&lt;=Setup!$C$16),OR(MONTH(WORKDAY(B59,-(Setup!$C$13+Setup!$G$20),Setup!$C$39:$C$50))&gt;=Setup!$C$15,MONTH(WORKDAY(B59,-(Setup!$C$13+Setup!$G$20),Setup!$C$39:$C$50))&lt;=Setup!$C$16))),WORKDAY(B59,-(Setup!$C$13+Setup!$G$20+Setup!$C$14),Setup!$C$39:$C$50),WORKDAY(B59,-(Setup!$C$13+Setup!$G$20),Setup!$C$39:$C$50))+(54*100+1)/10000000)))</f>
        <v/>
      </c>
      <c r="S59" t="str">
        <f>IF(C59="","",IF(C59&lt;Setup!$C$5-Setup!$C$6,"",IF(IF(ISNUMBER(Roster!$D59),Setup!$C$21&lt;=Roster!$D59,FALSE),"",IF(OR(IF(Setup!$C$15&lt;=Setup!$C$16,AND(MONTH(C59)&gt;=Setup!$C$15,MONTH(C59)&lt;=Setup!$C$16),OR(MONTH(C59)&gt;=Setup!$C$15,MONTH(C59)&lt;=Setup!$C$16)),IF(Setup!$C$15&lt;=Setup!$C$16,AND(MONTH(WORKDAY(C59,-(Setup!$C$13+Setup!$G$21),Setup!$C$39:$C$50))&gt;=Setup!$C$15,MONTH(WORKDAY(C59,-(Setup!$C$13+Setup!$G$21),Setup!$C$39:$C$50))&lt;=Setup!$C$16),OR(MONTH(WORKDAY(C59,-(Setup!$C$13+Setup!$G$21),Setup!$C$39:$C$50))&gt;=Setup!$C$15,MONTH(WORKDAY(C59,-(Setup!$C$13+Setup!$G$21),Setup!$C$39:$C$50))&lt;=Setup!$C$16))),WORKDAY(C59,-(Setup!$C$13+Setup!$G$21+Setup!$C$14),Setup!$C$39:$C$50),WORKDAY(C59,-(Setup!$C$13+Setup!$G$21),Setup!$C$39:$C$50))+(54*100+2)/10000000)))</f>
        <v/>
      </c>
      <c r="T59" t="str">
        <f>IF(D59="","",IF(D59&lt;Setup!$C$5-Setup!$C$6,"",IF(IF(ISNUMBER(Roster!$D59),Setup!$C$22&lt;=Roster!$D59,FALSE),"",IF(OR(IF(Setup!$C$15&lt;=Setup!$C$16,AND(MONTH(D59)&gt;=Setup!$C$15,MONTH(D59)&lt;=Setup!$C$16),OR(MONTH(D59)&gt;=Setup!$C$15,MONTH(D59)&lt;=Setup!$C$16)),IF(Setup!$C$15&lt;=Setup!$C$16,AND(MONTH(WORKDAY(D59,-(Setup!$C$13+Setup!$G$22),Setup!$C$39:$C$50))&gt;=Setup!$C$15,MONTH(WORKDAY(D59,-(Setup!$C$13+Setup!$G$22),Setup!$C$39:$C$50))&lt;=Setup!$C$16),OR(MONTH(WORKDAY(D59,-(Setup!$C$13+Setup!$G$22),Setup!$C$39:$C$50))&gt;=Setup!$C$15,MONTH(WORKDAY(D59,-(Setup!$C$13+Setup!$G$22),Setup!$C$39:$C$50))&lt;=Setup!$C$16))),WORKDAY(D59,-(Setup!$C$13+Setup!$G$22+Setup!$C$14),Setup!$C$39:$C$50),WORKDAY(D59,-(Setup!$C$13+Setup!$G$22),Setup!$C$39:$C$50))+(54*100+3)/10000000)))</f>
        <v/>
      </c>
      <c r="U59" t="str">
        <f>IF(E59="","",IF(E59&lt;Setup!$C$5-Setup!$C$6,"",IF(IF(ISNUMBER(Roster!$D59),Setup!$C$23&lt;=Roster!$D59,FALSE),"",IF(OR(IF(Setup!$C$15&lt;=Setup!$C$16,AND(MONTH(E59)&gt;=Setup!$C$15,MONTH(E59)&lt;=Setup!$C$16),OR(MONTH(E59)&gt;=Setup!$C$15,MONTH(E59)&lt;=Setup!$C$16)),IF(Setup!$C$15&lt;=Setup!$C$16,AND(MONTH(WORKDAY(E59,-(Setup!$C$13+Setup!$G$23),Setup!$C$39:$C$50))&gt;=Setup!$C$15,MONTH(WORKDAY(E59,-(Setup!$C$13+Setup!$G$23),Setup!$C$39:$C$50))&lt;=Setup!$C$16),OR(MONTH(WORKDAY(E59,-(Setup!$C$13+Setup!$G$23),Setup!$C$39:$C$50))&gt;=Setup!$C$15,MONTH(WORKDAY(E59,-(Setup!$C$13+Setup!$G$23),Setup!$C$39:$C$50))&lt;=Setup!$C$16))),WORKDAY(E59,-(Setup!$C$13+Setup!$G$23+Setup!$C$14),Setup!$C$39:$C$50),WORKDAY(E59,-(Setup!$C$13+Setup!$G$23),Setup!$C$39:$C$50))+(54*100+4)/10000000)))</f>
        <v/>
      </c>
      <c r="V59" t="str">
        <f>IF(F59="","",IF(F59&lt;Setup!$C$5-Setup!$C$6,"",IF(IF(ISNUMBER(Roster!$D59),Setup!$C$24&lt;=Roster!$D59,FALSE),"",IF(OR(IF(Setup!$C$15&lt;=Setup!$C$16,AND(MONTH(F59)&gt;=Setup!$C$15,MONTH(F59)&lt;=Setup!$C$16),OR(MONTH(F59)&gt;=Setup!$C$15,MONTH(F59)&lt;=Setup!$C$16)),IF(Setup!$C$15&lt;=Setup!$C$16,AND(MONTH(WORKDAY(F59,-(Setup!$C$13+Setup!$G$24),Setup!$C$39:$C$50))&gt;=Setup!$C$15,MONTH(WORKDAY(F59,-(Setup!$C$13+Setup!$G$24),Setup!$C$39:$C$50))&lt;=Setup!$C$16),OR(MONTH(WORKDAY(F59,-(Setup!$C$13+Setup!$G$24),Setup!$C$39:$C$50))&gt;=Setup!$C$15,MONTH(WORKDAY(F59,-(Setup!$C$13+Setup!$G$24),Setup!$C$39:$C$50))&lt;=Setup!$C$16))),WORKDAY(F59,-(Setup!$C$13+Setup!$G$24+Setup!$C$14),Setup!$C$39:$C$50),WORKDAY(F59,-(Setup!$C$13+Setup!$G$24),Setup!$C$39:$C$50))+(54*100+5)/10000000)))</f>
        <v/>
      </c>
      <c r="W59" t="str">
        <f>IF(G59="","",IF(G59&lt;Setup!$C$5-Setup!$C$6,"",IF(IF(ISNUMBER(Roster!$D59),Setup!$C$25&lt;=Roster!$D59,FALSE),"",IF(OR(IF(Setup!$C$15&lt;=Setup!$C$16,AND(MONTH(G59)&gt;=Setup!$C$15,MONTH(G59)&lt;=Setup!$C$16),OR(MONTH(G59)&gt;=Setup!$C$15,MONTH(G59)&lt;=Setup!$C$16)),IF(Setup!$C$15&lt;=Setup!$C$16,AND(MONTH(WORKDAY(G59,-(Setup!$C$13+Setup!$G$25),Setup!$C$39:$C$50))&gt;=Setup!$C$15,MONTH(WORKDAY(G59,-(Setup!$C$13+Setup!$G$25),Setup!$C$39:$C$50))&lt;=Setup!$C$16),OR(MONTH(WORKDAY(G59,-(Setup!$C$13+Setup!$G$25),Setup!$C$39:$C$50))&gt;=Setup!$C$15,MONTH(WORKDAY(G59,-(Setup!$C$13+Setup!$G$25),Setup!$C$39:$C$50))&lt;=Setup!$C$16))),WORKDAY(G59,-(Setup!$C$13+Setup!$G$25+Setup!$C$14),Setup!$C$39:$C$50),WORKDAY(G59,-(Setup!$C$13+Setup!$G$25),Setup!$C$39:$C$50))+(54*100+6)/10000000)))</f>
        <v/>
      </c>
      <c r="X59" t="str">
        <f>IF(H59="","",IF(H59&lt;Setup!$C$5-Setup!$C$6,"",IF(IF(ISNUMBER(Roster!$D59),Setup!$C$26&lt;=Roster!$D59,FALSE),"",IF(OR(IF(Setup!$C$15&lt;=Setup!$C$16,AND(MONTH(H59)&gt;=Setup!$C$15,MONTH(H59)&lt;=Setup!$C$16),OR(MONTH(H59)&gt;=Setup!$C$15,MONTH(H59)&lt;=Setup!$C$16)),IF(Setup!$C$15&lt;=Setup!$C$16,AND(MONTH(WORKDAY(H59,-(Setup!$C$13+Setup!$G$26),Setup!$C$39:$C$50))&gt;=Setup!$C$15,MONTH(WORKDAY(H59,-(Setup!$C$13+Setup!$G$26),Setup!$C$39:$C$50))&lt;=Setup!$C$16),OR(MONTH(WORKDAY(H59,-(Setup!$C$13+Setup!$G$26),Setup!$C$39:$C$50))&gt;=Setup!$C$15,MONTH(WORKDAY(H59,-(Setup!$C$13+Setup!$G$26),Setup!$C$39:$C$50))&lt;=Setup!$C$16))),WORKDAY(H59,-(Setup!$C$13+Setup!$G$26+Setup!$C$14),Setup!$C$39:$C$50),WORKDAY(H59,-(Setup!$C$13+Setup!$G$26),Setup!$C$39:$C$50))+(54*100+7)/10000000)))</f>
        <v/>
      </c>
      <c r="Y59" t="str">
        <f>IF(I59="","",IF(I59&lt;Setup!$C$5-Setup!$C$6,"",IF(IF(ISNUMBER(Roster!$D59),Setup!$C$27&lt;=Roster!$D59,FALSE),"",IF(OR(IF(Setup!$C$15&lt;=Setup!$C$16,AND(MONTH(I59)&gt;=Setup!$C$15,MONTH(I59)&lt;=Setup!$C$16),OR(MONTH(I59)&gt;=Setup!$C$15,MONTH(I59)&lt;=Setup!$C$16)),IF(Setup!$C$15&lt;=Setup!$C$16,AND(MONTH(WORKDAY(I59,-(Setup!$C$13+Setup!$G$27),Setup!$C$39:$C$50))&gt;=Setup!$C$15,MONTH(WORKDAY(I59,-(Setup!$C$13+Setup!$G$27),Setup!$C$39:$C$50))&lt;=Setup!$C$16),OR(MONTH(WORKDAY(I59,-(Setup!$C$13+Setup!$G$27),Setup!$C$39:$C$50))&gt;=Setup!$C$15,MONTH(WORKDAY(I59,-(Setup!$C$13+Setup!$G$27),Setup!$C$39:$C$50))&lt;=Setup!$C$16))),WORKDAY(I59,-(Setup!$C$13+Setup!$G$27+Setup!$C$14),Setup!$C$39:$C$50),WORKDAY(I59,-(Setup!$C$13+Setup!$G$27),Setup!$C$39:$C$50))+(54*100+8)/10000000)))</f>
        <v/>
      </c>
      <c r="Z59" t="str">
        <f>IF(J59="","",IF(J59&lt;Setup!$C$5-Setup!$C$6,"",IF(IF(ISNUMBER(Roster!$D59),Setup!$C$28&lt;=Roster!$D59,FALSE),"",IF(OR(IF(Setup!$C$15&lt;=Setup!$C$16,AND(MONTH(J59)&gt;=Setup!$C$15,MONTH(J59)&lt;=Setup!$C$16),OR(MONTH(J59)&gt;=Setup!$C$15,MONTH(J59)&lt;=Setup!$C$16)),IF(Setup!$C$15&lt;=Setup!$C$16,AND(MONTH(WORKDAY(J59,-(Setup!$C$13+Setup!$G$28),Setup!$C$39:$C$50))&gt;=Setup!$C$15,MONTH(WORKDAY(J59,-(Setup!$C$13+Setup!$G$28),Setup!$C$39:$C$50))&lt;=Setup!$C$16),OR(MONTH(WORKDAY(J59,-(Setup!$C$13+Setup!$G$28),Setup!$C$39:$C$50))&gt;=Setup!$C$15,MONTH(WORKDAY(J59,-(Setup!$C$13+Setup!$G$28),Setup!$C$39:$C$50))&lt;=Setup!$C$16))),WORKDAY(J59,-(Setup!$C$13+Setup!$G$28+Setup!$C$14),Setup!$C$39:$C$50),WORKDAY(J59,-(Setup!$C$13+Setup!$G$28),Setup!$C$39:$C$50))+(54*100+9)/10000000)))</f>
        <v/>
      </c>
      <c r="AA59" t="str">
        <f>IF(K59="","",IF(K59&lt;Setup!$C$5-Setup!$C$6,"",IF(IF(ISNUMBER(Roster!$D59),Setup!$C$29&lt;=Roster!$D59,FALSE),"",IF(OR(IF(Setup!$C$15&lt;=Setup!$C$16,AND(MONTH(K59)&gt;=Setup!$C$15,MONTH(K59)&lt;=Setup!$C$16),OR(MONTH(K59)&gt;=Setup!$C$15,MONTH(K59)&lt;=Setup!$C$16)),IF(Setup!$C$15&lt;=Setup!$C$16,AND(MONTH(WORKDAY(K59,-(Setup!$C$13+Setup!$G$29),Setup!$C$39:$C$50))&gt;=Setup!$C$15,MONTH(WORKDAY(K59,-(Setup!$C$13+Setup!$G$29),Setup!$C$39:$C$50))&lt;=Setup!$C$16),OR(MONTH(WORKDAY(K59,-(Setup!$C$13+Setup!$G$29),Setup!$C$39:$C$50))&gt;=Setup!$C$15,MONTH(WORKDAY(K59,-(Setup!$C$13+Setup!$G$29),Setup!$C$39:$C$50))&lt;=Setup!$C$16))),WORKDAY(K59,-(Setup!$C$13+Setup!$G$29+Setup!$C$14),Setup!$C$39:$C$50),WORKDAY(K59,-(Setup!$C$13+Setup!$G$29),Setup!$C$39:$C$50))+(54*100+10)/10000000)))</f>
        <v/>
      </c>
      <c r="AB59" t="str">
        <f>IF(L59="","",IF(L59&lt;Setup!$C$5-Setup!$C$6,"",IF(IF(ISNUMBER(Roster!$D59),Setup!$C$30&lt;=Roster!$D59,FALSE),"",IF(OR(IF(Setup!$C$15&lt;=Setup!$C$16,AND(MONTH(L59)&gt;=Setup!$C$15,MONTH(L59)&lt;=Setup!$C$16),OR(MONTH(L59)&gt;=Setup!$C$15,MONTH(L59)&lt;=Setup!$C$16)),IF(Setup!$C$15&lt;=Setup!$C$16,AND(MONTH(WORKDAY(L59,-(Setup!$C$13+Setup!$G$30),Setup!$C$39:$C$50))&gt;=Setup!$C$15,MONTH(WORKDAY(L59,-(Setup!$C$13+Setup!$G$30),Setup!$C$39:$C$50))&lt;=Setup!$C$16),OR(MONTH(WORKDAY(L59,-(Setup!$C$13+Setup!$G$30),Setup!$C$39:$C$50))&gt;=Setup!$C$15,MONTH(WORKDAY(L59,-(Setup!$C$13+Setup!$G$30),Setup!$C$39:$C$50))&lt;=Setup!$C$16))),WORKDAY(L59,-(Setup!$C$13+Setup!$G$30+Setup!$C$14),Setup!$C$39:$C$50),WORKDAY(L59,-(Setup!$C$13+Setup!$G$30),Setup!$C$39:$C$50))+(54*100+11)/10000000)))</f>
        <v/>
      </c>
      <c r="AC59" t="str">
        <f>IF(M59="","",IF(M59&lt;Setup!$C$5-Setup!$C$6,"",IF(IF(ISNUMBER(Roster!$D59),Setup!$C$31&lt;=Roster!$D59,FALSE),"",IF(OR(IF(Setup!$C$15&lt;=Setup!$C$16,AND(MONTH(M59)&gt;=Setup!$C$15,MONTH(M59)&lt;=Setup!$C$16),OR(MONTH(M59)&gt;=Setup!$C$15,MONTH(M59)&lt;=Setup!$C$16)),IF(Setup!$C$15&lt;=Setup!$C$16,AND(MONTH(WORKDAY(M59,-(Setup!$C$13+Setup!$G$31),Setup!$C$39:$C$50))&gt;=Setup!$C$15,MONTH(WORKDAY(M59,-(Setup!$C$13+Setup!$G$31),Setup!$C$39:$C$50))&lt;=Setup!$C$16),OR(MONTH(WORKDAY(M59,-(Setup!$C$13+Setup!$G$31),Setup!$C$39:$C$50))&gt;=Setup!$C$15,MONTH(WORKDAY(M59,-(Setup!$C$13+Setup!$G$31),Setup!$C$39:$C$50))&lt;=Setup!$C$16))),WORKDAY(M59,-(Setup!$C$13+Setup!$G$31+Setup!$C$14),Setup!$C$39:$C$50),WORKDAY(M59,-(Setup!$C$13+Setup!$G$31),Setup!$C$39:$C$50))+(54*100+12)/10000000)))</f>
        <v/>
      </c>
      <c r="AD59" t="str">
        <f>IF(N59="","",IF(N59&lt;Setup!$C$5-Setup!$C$6,"",IF(IF(ISNUMBER(Roster!$D59),Setup!$C$32&lt;=Roster!$D59,FALSE),"",IF(OR(IF(Setup!$C$15&lt;=Setup!$C$16,AND(MONTH(N59)&gt;=Setup!$C$15,MONTH(N59)&lt;=Setup!$C$16),OR(MONTH(N59)&gt;=Setup!$C$15,MONTH(N59)&lt;=Setup!$C$16)),IF(Setup!$C$15&lt;=Setup!$C$16,AND(MONTH(WORKDAY(N59,-(Setup!$C$13+Setup!$G$32),Setup!$C$39:$C$50))&gt;=Setup!$C$15,MONTH(WORKDAY(N59,-(Setup!$C$13+Setup!$G$32),Setup!$C$39:$C$50))&lt;=Setup!$C$16),OR(MONTH(WORKDAY(N59,-(Setup!$C$13+Setup!$G$32),Setup!$C$39:$C$50))&gt;=Setup!$C$15,MONTH(WORKDAY(N59,-(Setup!$C$13+Setup!$G$32),Setup!$C$39:$C$50))&lt;=Setup!$C$16))),WORKDAY(N59,-(Setup!$C$13+Setup!$G$32+Setup!$C$14),Setup!$C$39:$C$50),WORKDAY(N59,-(Setup!$C$13+Setup!$G$32),Setup!$C$39:$C$50))+(54*100+13)/10000000)))</f>
        <v/>
      </c>
      <c r="AE59" t="str">
        <f>IF(O59="","",IF(O59&lt;Setup!$C$5-Setup!$C$6,"",IF(IF(ISNUMBER(Roster!$D59),Setup!$C$33&lt;=Roster!$D59,FALSE),"",IF(OR(IF(Setup!$C$15&lt;=Setup!$C$16,AND(MONTH(O59)&gt;=Setup!$C$15,MONTH(O59)&lt;=Setup!$C$16),OR(MONTH(O59)&gt;=Setup!$C$15,MONTH(O59)&lt;=Setup!$C$16)),IF(Setup!$C$15&lt;=Setup!$C$16,AND(MONTH(WORKDAY(O59,-(Setup!$C$13+Setup!$G$33),Setup!$C$39:$C$50))&gt;=Setup!$C$15,MONTH(WORKDAY(O59,-(Setup!$C$13+Setup!$G$33),Setup!$C$39:$C$50))&lt;=Setup!$C$16),OR(MONTH(WORKDAY(O59,-(Setup!$C$13+Setup!$G$33),Setup!$C$39:$C$50))&gt;=Setup!$C$15,MONTH(WORKDAY(O59,-(Setup!$C$13+Setup!$G$33),Setup!$C$39:$C$50))&lt;=Setup!$C$16))),WORKDAY(O59,-(Setup!$C$13+Setup!$G$33+Setup!$C$14),Setup!$C$39:$C$50),WORKDAY(O59,-(Setup!$C$13+Setup!$G$33),Setup!$C$39:$C$50))+(54*100+14)/10000000)))</f>
        <v/>
      </c>
      <c r="AF59" t="str">
        <f>IF(P59="","",IF(P59&lt;Setup!$C$5-Setup!$C$6,"",IF(IF(ISNUMBER(Roster!$D59),Setup!$C$34&lt;=Roster!$D59,FALSE),"",IF(OR(IF(Setup!$C$15&lt;=Setup!$C$16,AND(MONTH(P59)&gt;=Setup!$C$15,MONTH(P59)&lt;=Setup!$C$16),OR(MONTH(P59)&gt;=Setup!$C$15,MONTH(P59)&lt;=Setup!$C$16)),IF(Setup!$C$15&lt;=Setup!$C$16,AND(MONTH(WORKDAY(P59,-(Setup!$C$13+Setup!$G$34),Setup!$C$39:$C$50))&gt;=Setup!$C$15,MONTH(WORKDAY(P59,-(Setup!$C$13+Setup!$G$34),Setup!$C$39:$C$50))&lt;=Setup!$C$16),OR(MONTH(WORKDAY(P59,-(Setup!$C$13+Setup!$G$34),Setup!$C$39:$C$50))&gt;=Setup!$C$15,MONTH(WORKDAY(P59,-(Setup!$C$13+Setup!$G$34),Setup!$C$39:$C$50))&lt;=Setup!$C$16))),WORKDAY(P59,-(Setup!$C$13+Setup!$G$34+Setup!$C$14),Setup!$C$39:$C$50),WORKDAY(P59,-(Setup!$C$13+Setup!$G$34),Setup!$C$39:$C$50))+(54*100+15)/10000000)))</f>
        <v/>
      </c>
      <c r="AH59" t="str">
        <f t="shared" si="0"/>
        <v/>
      </c>
      <c r="AI59" t="str">
        <f t="shared" si="1"/>
        <v/>
      </c>
      <c r="AK59" t="str">
        <f ca="1">IF(54&gt;$AK$2,"",SMALL($R$6:$AF$505,54))</f>
        <v/>
      </c>
      <c r="AL59" t="str">
        <f t="shared" ca="1" si="2"/>
        <v/>
      </c>
      <c r="AM59" t="str">
        <f t="shared" ca="1" si="3"/>
        <v/>
      </c>
      <c r="AN59" t="str">
        <f t="shared" ca="1" si="4"/>
        <v/>
      </c>
      <c r="AP59" t="str">
        <f>IF(ISNUMBER(Roster!$B59),MAX(1,YEAR(Setup!$C$5)-YEAR(Roster!$B59)+IF(EDATE(Roster!$B59,12*(YEAR(Setup!$C$5)-YEAR(Roster!$B59)))&lt;Setup!$C$5,1,0)),"")</f>
        <v/>
      </c>
      <c r="AQ59" s="32" t="str">
        <f>IF(AP59="","",EDATE(Roster!$B59,12*AP59))</f>
        <v/>
      </c>
      <c r="AR59" t="str">
        <f>IF(AQ59="","",IF(AQ59&lt;DATE(YEAR(Setup!$C$5)+1,MONTH(Setup!$C$5),DAY(Setup!$C$5)),AQ59+54/1000,""))</f>
        <v/>
      </c>
      <c r="AS59" t="str">
        <f t="shared" si="5"/>
        <v/>
      </c>
      <c r="AT59" t="str">
        <f>IF(AS59="","",IF(ISNUMBER(Roster!$D59),Roster!$D59&gt;=AP59,FALSE))</f>
        <v/>
      </c>
      <c r="AU59" t="str">
        <f t="shared" si="6"/>
        <v/>
      </c>
      <c r="AV59" t="str">
        <f ca="1">IF(54&gt;$AV$2,"",SMALL($AR$6:$AR$505,54))</f>
        <v/>
      </c>
      <c r="AW59" t="str">
        <f t="shared" ca="1" si="7"/>
        <v/>
      </c>
    </row>
    <row r="60" spans="2:49" x14ac:dyDescent="0.2">
      <c r="B60" s="32" t="str">
        <f>IF(AND(ISNUMBER(Roster!$B60),Setup!$B$20="Yes",ISNUMBER(Setup!$C$20)),EDATE(Roster!$B60,12*Setup!$C$20),"")</f>
        <v/>
      </c>
      <c r="C60" s="32" t="str">
        <f>IF(AND(ISNUMBER(Roster!$B60),Setup!$B$21="Yes",ISNUMBER(Setup!$C$21)),EDATE(Roster!$B60,12*Setup!$C$21),"")</f>
        <v/>
      </c>
      <c r="D60" s="32" t="str">
        <f>IF(AND(ISNUMBER(Roster!$B60),Setup!$B$22="Yes",ISNUMBER(Setup!$C$22)),EDATE(Roster!$B60,12*Setup!$C$22),"")</f>
        <v/>
      </c>
      <c r="E60" s="32" t="str">
        <f>IF(AND(ISNUMBER(Roster!$B60),Setup!$B$23="Yes",ISNUMBER(Setup!$C$23)),EDATE(Roster!$B60,12*Setup!$C$23),"")</f>
        <v/>
      </c>
      <c r="F60" s="32" t="str">
        <f>IF(AND(ISNUMBER(Roster!$B60),Setup!$B$24="Yes",ISNUMBER(Setup!$C$24)),EDATE(Roster!$B60,12*Setup!$C$24),"")</f>
        <v/>
      </c>
      <c r="G60" s="32" t="str">
        <f>IF(AND(ISNUMBER(Roster!$B60),Setup!$B$25="Yes",ISNUMBER(Setup!$C$25)),EDATE(Roster!$B60,12*Setup!$C$25),"")</f>
        <v/>
      </c>
      <c r="H60" s="32" t="str">
        <f>IF(AND(ISNUMBER(Roster!$B60),Setup!$B$26="Yes",ISNUMBER(Setup!$C$26)),EDATE(Roster!$B60,12*Setup!$C$26),"")</f>
        <v/>
      </c>
      <c r="I60" s="32" t="str">
        <f>IF(AND(ISNUMBER(Roster!$B60),Setup!$B$27="Yes",ISNUMBER(Setup!$C$27)),EDATE(Roster!$B60,12*Setup!$C$27),"")</f>
        <v/>
      </c>
      <c r="J60" s="32" t="str">
        <f>IF(AND(ISNUMBER(Roster!$B60),Setup!$B$28="Yes",ISNUMBER(Setup!$C$28)),EDATE(Roster!$B60,12*Setup!$C$28),"")</f>
        <v/>
      </c>
      <c r="K60" s="32" t="str">
        <f>IF(AND(ISNUMBER(Roster!$B60),Setup!$B$29="Yes",ISNUMBER(Setup!$C$29)),EDATE(Roster!$B60,12*Setup!$C$29),"")</f>
        <v/>
      </c>
      <c r="L60" s="32" t="str">
        <f>IF(AND(ISNUMBER(Roster!$B60),Setup!$B$30="Yes",ISNUMBER(Setup!$C$30)),EDATE(Roster!$B60,12*Setup!$C$30),"")</f>
        <v/>
      </c>
      <c r="M60" s="32" t="str">
        <f>IF(AND(ISNUMBER(Roster!$B60),Setup!$B$31="Yes",ISNUMBER(Setup!$C$31)),EDATE(Roster!$B60,12*Setup!$C$31),"")</f>
        <v/>
      </c>
      <c r="N60" s="32" t="str">
        <f>IF(AND(ISNUMBER(Roster!$B60),Setup!$B$32="Yes",ISNUMBER(Setup!$C$32)),EDATE(Roster!$B60,12*Setup!$C$32),"")</f>
        <v/>
      </c>
      <c r="O60" s="32" t="str">
        <f>IF(AND(ISNUMBER(Roster!$B60),Setup!$B$33="Yes",ISNUMBER(Setup!$C$33)),EDATE(Roster!$B60,12*Setup!$C$33),"")</f>
        <v/>
      </c>
      <c r="P60" s="32" t="str">
        <f>IF(AND(ISNUMBER(Roster!$B60),Setup!$B$34="Yes",ISNUMBER(Setup!$C$34)),EDATE(Roster!$B60,12*Setup!$C$34),"")</f>
        <v/>
      </c>
      <c r="R60" t="str">
        <f>IF(B60="","",IF(B60&lt;Setup!$C$5-Setup!$C$6,"",IF(IF(ISNUMBER(Roster!$D60),Setup!$C$20&lt;=Roster!$D60,FALSE),"",IF(OR(IF(Setup!$C$15&lt;=Setup!$C$16,AND(MONTH(B60)&gt;=Setup!$C$15,MONTH(B60)&lt;=Setup!$C$16),OR(MONTH(B60)&gt;=Setup!$C$15,MONTH(B60)&lt;=Setup!$C$16)),IF(Setup!$C$15&lt;=Setup!$C$16,AND(MONTH(WORKDAY(B60,-(Setup!$C$13+Setup!$G$20),Setup!$C$39:$C$50))&gt;=Setup!$C$15,MONTH(WORKDAY(B60,-(Setup!$C$13+Setup!$G$20),Setup!$C$39:$C$50))&lt;=Setup!$C$16),OR(MONTH(WORKDAY(B60,-(Setup!$C$13+Setup!$G$20),Setup!$C$39:$C$50))&gt;=Setup!$C$15,MONTH(WORKDAY(B60,-(Setup!$C$13+Setup!$G$20),Setup!$C$39:$C$50))&lt;=Setup!$C$16))),WORKDAY(B60,-(Setup!$C$13+Setup!$G$20+Setup!$C$14),Setup!$C$39:$C$50),WORKDAY(B60,-(Setup!$C$13+Setup!$G$20),Setup!$C$39:$C$50))+(55*100+1)/10000000)))</f>
        <v/>
      </c>
      <c r="S60" t="str">
        <f>IF(C60="","",IF(C60&lt;Setup!$C$5-Setup!$C$6,"",IF(IF(ISNUMBER(Roster!$D60),Setup!$C$21&lt;=Roster!$D60,FALSE),"",IF(OR(IF(Setup!$C$15&lt;=Setup!$C$16,AND(MONTH(C60)&gt;=Setup!$C$15,MONTH(C60)&lt;=Setup!$C$16),OR(MONTH(C60)&gt;=Setup!$C$15,MONTH(C60)&lt;=Setup!$C$16)),IF(Setup!$C$15&lt;=Setup!$C$16,AND(MONTH(WORKDAY(C60,-(Setup!$C$13+Setup!$G$21),Setup!$C$39:$C$50))&gt;=Setup!$C$15,MONTH(WORKDAY(C60,-(Setup!$C$13+Setup!$G$21),Setup!$C$39:$C$50))&lt;=Setup!$C$16),OR(MONTH(WORKDAY(C60,-(Setup!$C$13+Setup!$G$21),Setup!$C$39:$C$50))&gt;=Setup!$C$15,MONTH(WORKDAY(C60,-(Setup!$C$13+Setup!$G$21),Setup!$C$39:$C$50))&lt;=Setup!$C$16))),WORKDAY(C60,-(Setup!$C$13+Setup!$G$21+Setup!$C$14),Setup!$C$39:$C$50),WORKDAY(C60,-(Setup!$C$13+Setup!$G$21),Setup!$C$39:$C$50))+(55*100+2)/10000000)))</f>
        <v/>
      </c>
      <c r="T60" t="str">
        <f>IF(D60="","",IF(D60&lt;Setup!$C$5-Setup!$C$6,"",IF(IF(ISNUMBER(Roster!$D60),Setup!$C$22&lt;=Roster!$D60,FALSE),"",IF(OR(IF(Setup!$C$15&lt;=Setup!$C$16,AND(MONTH(D60)&gt;=Setup!$C$15,MONTH(D60)&lt;=Setup!$C$16),OR(MONTH(D60)&gt;=Setup!$C$15,MONTH(D60)&lt;=Setup!$C$16)),IF(Setup!$C$15&lt;=Setup!$C$16,AND(MONTH(WORKDAY(D60,-(Setup!$C$13+Setup!$G$22),Setup!$C$39:$C$50))&gt;=Setup!$C$15,MONTH(WORKDAY(D60,-(Setup!$C$13+Setup!$G$22),Setup!$C$39:$C$50))&lt;=Setup!$C$16),OR(MONTH(WORKDAY(D60,-(Setup!$C$13+Setup!$G$22),Setup!$C$39:$C$50))&gt;=Setup!$C$15,MONTH(WORKDAY(D60,-(Setup!$C$13+Setup!$G$22),Setup!$C$39:$C$50))&lt;=Setup!$C$16))),WORKDAY(D60,-(Setup!$C$13+Setup!$G$22+Setup!$C$14),Setup!$C$39:$C$50),WORKDAY(D60,-(Setup!$C$13+Setup!$G$22),Setup!$C$39:$C$50))+(55*100+3)/10000000)))</f>
        <v/>
      </c>
      <c r="U60" t="str">
        <f>IF(E60="","",IF(E60&lt;Setup!$C$5-Setup!$C$6,"",IF(IF(ISNUMBER(Roster!$D60),Setup!$C$23&lt;=Roster!$D60,FALSE),"",IF(OR(IF(Setup!$C$15&lt;=Setup!$C$16,AND(MONTH(E60)&gt;=Setup!$C$15,MONTH(E60)&lt;=Setup!$C$16),OR(MONTH(E60)&gt;=Setup!$C$15,MONTH(E60)&lt;=Setup!$C$16)),IF(Setup!$C$15&lt;=Setup!$C$16,AND(MONTH(WORKDAY(E60,-(Setup!$C$13+Setup!$G$23),Setup!$C$39:$C$50))&gt;=Setup!$C$15,MONTH(WORKDAY(E60,-(Setup!$C$13+Setup!$G$23),Setup!$C$39:$C$50))&lt;=Setup!$C$16),OR(MONTH(WORKDAY(E60,-(Setup!$C$13+Setup!$G$23),Setup!$C$39:$C$50))&gt;=Setup!$C$15,MONTH(WORKDAY(E60,-(Setup!$C$13+Setup!$G$23),Setup!$C$39:$C$50))&lt;=Setup!$C$16))),WORKDAY(E60,-(Setup!$C$13+Setup!$G$23+Setup!$C$14),Setup!$C$39:$C$50),WORKDAY(E60,-(Setup!$C$13+Setup!$G$23),Setup!$C$39:$C$50))+(55*100+4)/10000000)))</f>
        <v/>
      </c>
      <c r="V60" t="str">
        <f>IF(F60="","",IF(F60&lt;Setup!$C$5-Setup!$C$6,"",IF(IF(ISNUMBER(Roster!$D60),Setup!$C$24&lt;=Roster!$D60,FALSE),"",IF(OR(IF(Setup!$C$15&lt;=Setup!$C$16,AND(MONTH(F60)&gt;=Setup!$C$15,MONTH(F60)&lt;=Setup!$C$16),OR(MONTH(F60)&gt;=Setup!$C$15,MONTH(F60)&lt;=Setup!$C$16)),IF(Setup!$C$15&lt;=Setup!$C$16,AND(MONTH(WORKDAY(F60,-(Setup!$C$13+Setup!$G$24),Setup!$C$39:$C$50))&gt;=Setup!$C$15,MONTH(WORKDAY(F60,-(Setup!$C$13+Setup!$G$24),Setup!$C$39:$C$50))&lt;=Setup!$C$16),OR(MONTH(WORKDAY(F60,-(Setup!$C$13+Setup!$G$24),Setup!$C$39:$C$50))&gt;=Setup!$C$15,MONTH(WORKDAY(F60,-(Setup!$C$13+Setup!$G$24),Setup!$C$39:$C$50))&lt;=Setup!$C$16))),WORKDAY(F60,-(Setup!$C$13+Setup!$G$24+Setup!$C$14),Setup!$C$39:$C$50),WORKDAY(F60,-(Setup!$C$13+Setup!$G$24),Setup!$C$39:$C$50))+(55*100+5)/10000000)))</f>
        <v/>
      </c>
      <c r="W60" t="str">
        <f>IF(G60="","",IF(G60&lt;Setup!$C$5-Setup!$C$6,"",IF(IF(ISNUMBER(Roster!$D60),Setup!$C$25&lt;=Roster!$D60,FALSE),"",IF(OR(IF(Setup!$C$15&lt;=Setup!$C$16,AND(MONTH(G60)&gt;=Setup!$C$15,MONTH(G60)&lt;=Setup!$C$16),OR(MONTH(G60)&gt;=Setup!$C$15,MONTH(G60)&lt;=Setup!$C$16)),IF(Setup!$C$15&lt;=Setup!$C$16,AND(MONTH(WORKDAY(G60,-(Setup!$C$13+Setup!$G$25),Setup!$C$39:$C$50))&gt;=Setup!$C$15,MONTH(WORKDAY(G60,-(Setup!$C$13+Setup!$G$25),Setup!$C$39:$C$50))&lt;=Setup!$C$16),OR(MONTH(WORKDAY(G60,-(Setup!$C$13+Setup!$G$25),Setup!$C$39:$C$50))&gt;=Setup!$C$15,MONTH(WORKDAY(G60,-(Setup!$C$13+Setup!$G$25),Setup!$C$39:$C$50))&lt;=Setup!$C$16))),WORKDAY(G60,-(Setup!$C$13+Setup!$G$25+Setup!$C$14),Setup!$C$39:$C$50),WORKDAY(G60,-(Setup!$C$13+Setup!$G$25),Setup!$C$39:$C$50))+(55*100+6)/10000000)))</f>
        <v/>
      </c>
      <c r="X60" t="str">
        <f>IF(H60="","",IF(H60&lt;Setup!$C$5-Setup!$C$6,"",IF(IF(ISNUMBER(Roster!$D60),Setup!$C$26&lt;=Roster!$D60,FALSE),"",IF(OR(IF(Setup!$C$15&lt;=Setup!$C$16,AND(MONTH(H60)&gt;=Setup!$C$15,MONTH(H60)&lt;=Setup!$C$16),OR(MONTH(H60)&gt;=Setup!$C$15,MONTH(H60)&lt;=Setup!$C$16)),IF(Setup!$C$15&lt;=Setup!$C$16,AND(MONTH(WORKDAY(H60,-(Setup!$C$13+Setup!$G$26),Setup!$C$39:$C$50))&gt;=Setup!$C$15,MONTH(WORKDAY(H60,-(Setup!$C$13+Setup!$G$26),Setup!$C$39:$C$50))&lt;=Setup!$C$16),OR(MONTH(WORKDAY(H60,-(Setup!$C$13+Setup!$G$26),Setup!$C$39:$C$50))&gt;=Setup!$C$15,MONTH(WORKDAY(H60,-(Setup!$C$13+Setup!$G$26),Setup!$C$39:$C$50))&lt;=Setup!$C$16))),WORKDAY(H60,-(Setup!$C$13+Setup!$G$26+Setup!$C$14),Setup!$C$39:$C$50),WORKDAY(H60,-(Setup!$C$13+Setup!$G$26),Setup!$C$39:$C$50))+(55*100+7)/10000000)))</f>
        <v/>
      </c>
      <c r="Y60" t="str">
        <f>IF(I60="","",IF(I60&lt;Setup!$C$5-Setup!$C$6,"",IF(IF(ISNUMBER(Roster!$D60),Setup!$C$27&lt;=Roster!$D60,FALSE),"",IF(OR(IF(Setup!$C$15&lt;=Setup!$C$16,AND(MONTH(I60)&gt;=Setup!$C$15,MONTH(I60)&lt;=Setup!$C$16),OR(MONTH(I60)&gt;=Setup!$C$15,MONTH(I60)&lt;=Setup!$C$16)),IF(Setup!$C$15&lt;=Setup!$C$16,AND(MONTH(WORKDAY(I60,-(Setup!$C$13+Setup!$G$27),Setup!$C$39:$C$50))&gt;=Setup!$C$15,MONTH(WORKDAY(I60,-(Setup!$C$13+Setup!$G$27),Setup!$C$39:$C$50))&lt;=Setup!$C$16),OR(MONTH(WORKDAY(I60,-(Setup!$C$13+Setup!$G$27),Setup!$C$39:$C$50))&gt;=Setup!$C$15,MONTH(WORKDAY(I60,-(Setup!$C$13+Setup!$G$27),Setup!$C$39:$C$50))&lt;=Setup!$C$16))),WORKDAY(I60,-(Setup!$C$13+Setup!$G$27+Setup!$C$14),Setup!$C$39:$C$50),WORKDAY(I60,-(Setup!$C$13+Setup!$G$27),Setup!$C$39:$C$50))+(55*100+8)/10000000)))</f>
        <v/>
      </c>
      <c r="Z60" t="str">
        <f>IF(J60="","",IF(J60&lt;Setup!$C$5-Setup!$C$6,"",IF(IF(ISNUMBER(Roster!$D60),Setup!$C$28&lt;=Roster!$D60,FALSE),"",IF(OR(IF(Setup!$C$15&lt;=Setup!$C$16,AND(MONTH(J60)&gt;=Setup!$C$15,MONTH(J60)&lt;=Setup!$C$16),OR(MONTH(J60)&gt;=Setup!$C$15,MONTH(J60)&lt;=Setup!$C$16)),IF(Setup!$C$15&lt;=Setup!$C$16,AND(MONTH(WORKDAY(J60,-(Setup!$C$13+Setup!$G$28),Setup!$C$39:$C$50))&gt;=Setup!$C$15,MONTH(WORKDAY(J60,-(Setup!$C$13+Setup!$G$28),Setup!$C$39:$C$50))&lt;=Setup!$C$16),OR(MONTH(WORKDAY(J60,-(Setup!$C$13+Setup!$G$28),Setup!$C$39:$C$50))&gt;=Setup!$C$15,MONTH(WORKDAY(J60,-(Setup!$C$13+Setup!$G$28),Setup!$C$39:$C$50))&lt;=Setup!$C$16))),WORKDAY(J60,-(Setup!$C$13+Setup!$G$28+Setup!$C$14),Setup!$C$39:$C$50),WORKDAY(J60,-(Setup!$C$13+Setup!$G$28),Setup!$C$39:$C$50))+(55*100+9)/10000000)))</f>
        <v/>
      </c>
      <c r="AA60" t="str">
        <f>IF(K60="","",IF(K60&lt;Setup!$C$5-Setup!$C$6,"",IF(IF(ISNUMBER(Roster!$D60),Setup!$C$29&lt;=Roster!$D60,FALSE),"",IF(OR(IF(Setup!$C$15&lt;=Setup!$C$16,AND(MONTH(K60)&gt;=Setup!$C$15,MONTH(K60)&lt;=Setup!$C$16),OR(MONTH(K60)&gt;=Setup!$C$15,MONTH(K60)&lt;=Setup!$C$16)),IF(Setup!$C$15&lt;=Setup!$C$16,AND(MONTH(WORKDAY(K60,-(Setup!$C$13+Setup!$G$29),Setup!$C$39:$C$50))&gt;=Setup!$C$15,MONTH(WORKDAY(K60,-(Setup!$C$13+Setup!$G$29),Setup!$C$39:$C$50))&lt;=Setup!$C$16),OR(MONTH(WORKDAY(K60,-(Setup!$C$13+Setup!$G$29),Setup!$C$39:$C$50))&gt;=Setup!$C$15,MONTH(WORKDAY(K60,-(Setup!$C$13+Setup!$G$29),Setup!$C$39:$C$50))&lt;=Setup!$C$16))),WORKDAY(K60,-(Setup!$C$13+Setup!$G$29+Setup!$C$14),Setup!$C$39:$C$50),WORKDAY(K60,-(Setup!$C$13+Setup!$G$29),Setup!$C$39:$C$50))+(55*100+10)/10000000)))</f>
        <v/>
      </c>
      <c r="AB60" t="str">
        <f>IF(L60="","",IF(L60&lt;Setup!$C$5-Setup!$C$6,"",IF(IF(ISNUMBER(Roster!$D60),Setup!$C$30&lt;=Roster!$D60,FALSE),"",IF(OR(IF(Setup!$C$15&lt;=Setup!$C$16,AND(MONTH(L60)&gt;=Setup!$C$15,MONTH(L60)&lt;=Setup!$C$16),OR(MONTH(L60)&gt;=Setup!$C$15,MONTH(L60)&lt;=Setup!$C$16)),IF(Setup!$C$15&lt;=Setup!$C$16,AND(MONTH(WORKDAY(L60,-(Setup!$C$13+Setup!$G$30),Setup!$C$39:$C$50))&gt;=Setup!$C$15,MONTH(WORKDAY(L60,-(Setup!$C$13+Setup!$G$30),Setup!$C$39:$C$50))&lt;=Setup!$C$16),OR(MONTH(WORKDAY(L60,-(Setup!$C$13+Setup!$G$30),Setup!$C$39:$C$50))&gt;=Setup!$C$15,MONTH(WORKDAY(L60,-(Setup!$C$13+Setup!$G$30),Setup!$C$39:$C$50))&lt;=Setup!$C$16))),WORKDAY(L60,-(Setup!$C$13+Setup!$G$30+Setup!$C$14),Setup!$C$39:$C$50),WORKDAY(L60,-(Setup!$C$13+Setup!$G$30),Setup!$C$39:$C$50))+(55*100+11)/10000000)))</f>
        <v/>
      </c>
      <c r="AC60" t="str">
        <f>IF(M60="","",IF(M60&lt;Setup!$C$5-Setup!$C$6,"",IF(IF(ISNUMBER(Roster!$D60),Setup!$C$31&lt;=Roster!$D60,FALSE),"",IF(OR(IF(Setup!$C$15&lt;=Setup!$C$16,AND(MONTH(M60)&gt;=Setup!$C$15,MONTH(M60)&lt;=Setup!$C$16),OR(MONTH(M60)&gt;=Setup!$C$15,MONTH(M60)&lt;=Setup!$C$16)),IF(Setup!$C$15&lt;=Setup!$C$16,AND(MONTH(WORKDAY(M60,-(Setup!$C$13+Setup!$G$31),Setup!$C$39:$C$50))&gt;=Setup!$C$15,MONTH(WORKDAY(M60,-(Setup!$C$13+Setup!$G$31),Setup!$C$39:$C$50))&lt;=Setup!$C$16),OR(MONTH(WORKDAY(M60,-(Setup!$C$13+Setup!$G$31),Setup!$C$39:$C$50))&gt;=Setup!$C$15,MONTH(WORKDAY(M60,-(Setup!$C$13+Setup!$G$31),Setup!$C$39:$C$50))&lt;=Setup!$C$16))),WORKDAY(M60,-(Setup!$C$13+Setup!$G$31+Setup!$C$14),Setup!$C$39:$C$50),WORKDAY(M60,-(Setup!$C$13+Setup!$G$31),Setup!$C$39:$C$50))+(55*100+12)/10000000)))</f>
        <v/>
      </c>
      <c r="AD60" t="str">
        <f>IF(N60="","",IF(N60&lt;Setup!$C$5-Setup!$C$6,"",IF(IF(ISNUMBER(Roster!$D60),Setup!$C$32&lt;=Roster!$D60,FALSE),"",IF(OR(IF(Setup!$C$15&lt;=Setup!$C$16,AND(MONTH(N60)&gt;=Setup!$C$15,MONTH(N60)&lt;=Setup!$C$16),OR(MONTH(N60)&gt;=Setup!$C$15,MONTH(N60)&lt;=Setup!$C$16)),IF(Setup!$C$15&lt;=Setup!$C$16,AND(MONTH(WORKDAY(N60,-(Setup!$C$13+Setup!$G$32),Setup!$C$39:$C$50))&gt;=Setup!$C$15,MONTH(WORKDAY(N60,-(Setup!$C$13+Setup!$G$32),Setup!$C$39:$C$50))&lt;=Setup!$C$16),OR(MONTH(WORKDAY(N60,-(Setup!$C$13+Setup!$G$32),Setup!$C$39:$C$50))&gt;=Setup!$C$15,MONTH(WORKDAY(N60,-(Setup!$C$13+Setup!$G$32),Setup!$C$39:$C$50))&lt;=Setup!$C$16))),WORKDAY(N60,-(Setup!$C$13+Setup!$G$32+Setup!$C$14),Setup!$C$39:$C$50),WORKDAY(N60,-(Setup!$C$13+Setup!$G$32),Setup!$C$39:$C$50))+(55*100+13)/10000000)))</f>
        <v/>
      </c>
      <c r="AE60" t="str">
        <f>IF(O60="","",IF(O60&lt;Setup!$C$5-Setup!$C$6,"",IF(IF(ISNUMBER(Roster!$D60),Setup!$C$33&lt;=Roster!$D60,FALSE),"",IF(OR(IF(Setup!$C$15&lt;=Setup!$C$16,AND(MONTH(O60)&gt;=Setup!$C$15,MONTH(O60)&lt;=Setup!$C$16),OR(MONTH(O60)&gt;=Setup!$C$15,MONTH(O60)&lt;=Setup!$C$16)),IF(Setup!$C$15&lt;=Setup!$C$16,AND(MONTH(WORKDAY(O60,-(Setup!$C$13+Setup!$G$33),Setup!$C$39:$C$50))&gt;=Setup!$C$15,MONTH(WORKDAY(O60,-(Setup!$C$13+Setup!$G$33),Setup!$C$39:$C$50))&lt;=Setup!$C$16),OR(MONTH(WORKDAY(O60,-(Setup!$C$13+Setup!$G$33),Setup!$C$39:$C$50))&gt;=Setup!$C$15,MONTH(WORKDAY(O60,-(Setup!$C$13+Setup!$G$33),Setup!$C$39:$C$50))&lt;=Setup!$C$16))),WORKDAY(O60,-(Setup!$C$13+Setup!$G$33+Setup!$C$14),Setup!$C$39:$C$50),WORKDAY(O60,-(Setup!$C$13+Setup!$G$33),Setup!$C$39:$C$50))+(55*100+14)/10000000)))</f>
        <v/>
      </c>
      <c r="AF60" t="str">
        <f>IF(P60="","",IF(P60&lt;Setup!$C$5-Setup!$C$6,"",IF(IF(ISNUMBER(Roster!$D60),Setup!$C$34&lt;=Roster!$D60,FALSE),"",IF(OR(IF(Setup!$C$15&lt;=Setup!$C$16,AND(MONTH(P60)&gt;=Setup!$C$15,MONTH(P60)&lt;=Setup!$C$16),OR(MONTH(P60)&gt;=Setup!$C$15,MONTH(P60)&lt;=Setup!$C$16)),IF(Setup!$C$15&lt;=Setup!$C$16,AND(MONTH(WORKDAY(P60,-(Setup!$C$13+Setup!$G$34),Setup!$C$39:$C$50))&gt;=Setup!$C$15,MONTH(WORKDAY(P60,-(Setup!$C$13+Setup!$G$34),Setup!$C$39:$C$50))&lt;=Setup!$C$16),OR(MONTH(WORKDAY(P60,-(Setup!$C$13+Setup!$G$34),Setup!$C$39:$C$50))&gt;=Setup!$C$15,MONTH(WORKDAY(P60,-(Setup!$C$13+Setup!$G$34),Setup!$C$39:$C$50))&lt;=Setup!$C$16))),WORKDAY(P60,-(Setup!$C$13+Setup!$G$34+Setup!$C$14),Setup!$C$39:$C$50),WORKDAY(P60,-(Setup!$C$13+Setup!$G$34),Setup!$C$39:$C$50))+(55*100+15)/10000000)))</f>
        <v/>
      </c>
      <c r="AH60" t="str">
        <f t="shared" si="0"/>
        <v/>
      </c>
      <c r="AI60" t="str">
        <f t="shared" si="1"/>
        <v/>
      </c>
      <c r="AK60" t="str">
        <f ca="1">IF(55&gt;$AK$2,"",SMALL($R$6:$AF$505,55))</f>
        <v/>
      </c>
      <c r="AL60" t="str">
        <f t="shared" ca="1" si="2"/>
        <v/>
      </c>
      <c r="AM60" t="str">
        <f t="shared" ca="1" si="3"/>
        <v/>
      </c>
      <c r="AN60" t="str">
        <f t="shared" ca="1" si="4"/>
        <v/>
      </c>
      <c r="AP60" t="str">
        <f>IF(ISNUMBER(Roster!$B60),MAX(1,YEAR(Setup!$C$5)-YEAR(Roster!$B60)+IF(EDATE(Roster!$B60,12*(YEAR(Setup!$C$5)-YEAR(Roster!$B60)))&lt;Setup!$C$5,1,0)),"")</f>
        <v/>
      </c>
      <c r="AQ60" s="32" t="str">
        <f>IF(AP60="","",EDATE(Roster!$B60,12*AP60))</f>
        <v/>
      </c>
      <c r="AR60" t="str">
        <f>IF(AQ60="","",IF(AQ60&lt;DATE(YEAR(Setup!$C$5)+1,MONTH(Setup!$C$5),DAY(Setup!$C$5)),AQ60+55/1000,""))</f>
        <v/>
      </c>
      <c r="AS60" t="str">
        <f t="shared" si="5"/>
        <v/>
      </c>
      <c r="AT60" t="str">
        <f>IF(AS60="","",IF(ISNUMBER(Roster!$D60),Roster!$D60&gt;=AP60,FALSE))</f>
        <v/>
      </c>
      <c r="AU60" t="str">
        <f t="shared" si="6"/>
        <v/>
      </c>
      <c r="AV60" t="str">
        <f ca="1">IF(55&gt;$AV$2,"",SMALL($AR$6:$AR$505,55))</f>
        <v/>
      </c>
      <c r="AW60" t="str">
        <f t="shared" ca="1" si="7"/>
        <v/>
      </c>
    </row>
    <row r="61" spans="2:49" x14ac:dyDescent="0.2">
      <c r="B61" s="32" t="str">
        <f>IF(AND(ISNUMBER(Roster!$B61),Setup!$B$20="Yes",ISNUMBER(Setup!$C$20)),EDATE(Roster!$B61,12*Setup!$C$20),"")</f>
        <v/>
      </c>
      <c r="C61" s="32" t="str">
        <f>IF(AND(ISNUMBER(Roster!$B61),Setup!$B$21="Yes",ISNUMBER(Setup!$C$21)),EDATE(Roster!$B61,12*Setup!$C$21),"")</f>
        <v/>
      </c>
      <c r="D61" s="32" t="str">
        <f>IF(AND(ISNUMBER(Roster!$B61),Setup!$B$22="Yes",ISNUMBER(Setup!$C$22)),EDATE(Roster!$B61,12*Setup!$C$22),"")</f>
        <v/>
      </c>
      <c r="E61" s="32" t="str">
        <f>IF(AND(ISNUMBER(Roster!$B61),Setup!$B$23="Yes",ISNUMBER(Setup!$C$23)),EDATE(Roster!$B61,12*Setup!$C$23),"")</f>
        <v/>
      </c>
      <c r="F61" s="32" t="str">
        <f>IF(AND(ISNUMBER(Roster!$B61),Setup!$B$24="Yes",ISNUMBER(Setup!$C$24)),EDATE(Roster!$B61,12*Setup!$C$24),"")</f>
        <v/>
      </c>
      <c r="G61" s="32" t="str">
        <f>IF(AND(ISNUMBER(Roster!$B61),Setup!$B$25="Yes",ISNUMBER(Setup!$C$25)),EDATE(Roster!$B61,12*Setup!$C$25),"")</f>
        <v/>
      </c>
      <c r="H61" s="32" t="str">
        <f>IF(AND(ISNUMBER(Roster!$B61),Setup!$B$26="Yes",ISNUMBER(Setup!$C$26)),EDATE(Roster!$B61,12*Setup!$C$26),"")</f>
        <v/>
      </c>
      <c r="I61" s="32" t="str">
        <f>IF(AND(ISNUMBER(Roster!$B61),Setup!$B$27="Yes",ISNUMBER(Setup!$C$27)),EDATE(Roster!$B61,12*Setup!$C$27),"")</f>
        <v/>
      </c>
      <c r="J61" s="32" t="str">
        <f>IF(AND(ISNUMBER(Roster!$B61),Setup!$B$28="Yes",ISNUMBER(Setup!$C$28)),EDATE(Roster!$B61,12*Setup!$C$28),"")</f>
        <v/>
      </c>
      <c r="K61" s="32" t="str">
        <f>IF(AND(ISNUMBER(Roster!$B61),Setup!$B$29="Yes",ISNUMBER(Setup!$C$29)),EDATE(Roster!$B61,12*Setup!$C$29),"")</f>
        <v/>
      </c>
      <c r="L61" s="32" t="str">
        <f>IF(AND(ISNUMBER(Roster!$B61),Setup!$B$30="Yes",ISNUMBER(Setup!$C$30)),EDATE(Roster!$B61,12*Setup!$C$30),"")</f>
        <v/>
      </c>
      <c r="M61" s="32" t="str">
        <f>IF(AND(ISNUMBER(Roster!$B61),Setup!$B$31="Yes",ISNUMBER(Setup!$C$31)),EDATE(Roster!$B61,12*Setup!$C$31),"")</f>
        <v/>
      </c>
      <c r="N61" s="32" t="str">
        <f>IF(AND(ISNUMBER(Roster!$B61),Setup!$B$32="Yes",ISNUMBER(Setup!$C$32)),EDATE(Roster!$B61,12*Setup!$C$32),"")</f>
        <v/>
      </c>
      <c r="O61" s="32" t="str">
        <f>IF(AND(ISNUMBER(Roster!$B61),Setup!$B$33="Yes",ISNUMBER(Setup!$C$33)),EDATE(Roster!$B61,12*Setup!$C$33),"")</f>
        <v/>
      </c>
      <c r="P61" s="32" t="str">
        <f>IF(AND(ISNUMBER(Roster!$B61),Setup!$B$34="Yes",ISNUMBER(Setup!$C$34)),EDATE(Roster!$B61,12*Setup!$C$34),"")</f>
        <v/>
      </c>
      <c r="R61" t="str">
        <f>IF(B61="","",IF(B61&lt;Setup!$C$5-Setup!$C$6,"",IF(IF(ISNUMBER(Roster!$D61),Setup!$C$20&lt;=Roster!$D61,FALSE),"",IF(OR(IF(Setup!$C$15&lt;=Setup!$C$16,AND(MONTH(B61)&gt;=Setup!$C$15,MONTH(B61)&lt;=Setup!$C$16),OR(MONTH(B61)&gt;=Setup!$C$15,MONTH(B61)&lt;=Setup!$C$16)),IF(Setup!$C$15&lt;=Setup!$C$16,AND(MONTH(WORKDAY(B61,-(Setup!$C$13+Setup!$G$20),Setup!$C$39:$C$50))&gt;=Setup!$C$15,MONTH(WORKDAY(B61,-(Setup!$C$13+Setup!$G$20),Setup!$C$39:$C$50))&lt;=Setup!$C$16),OR(MONTH(WORKDAY(B61,-(Setup!$C$13+Setup!$G$20),Setup!$C$39:$C$50))&gt;=Setup!$C$15,MONTH(WORKDAY(B61,-(Setup!$C$13+Setup!$G$20),Setup!$C$39:$C$50))&lt;=Setup!$C$16))),WORKDAY(B61,-(Setup!$C$13+Setup!$G$20+Setup!$C$14),Setup!$C$39:$C$50),WORKDAY(B61,-(Setup!$C$13+Setup!$G$20),Setup!$C$39:$C$50))+(56*100+1)/10000000)))</f>
        <v/>
      </c>
      <c r="S61" t="str">
        <f>IF(C61="","",IF(C61&lt;Setup!$C$5-Setup!$C$6,"",IF(IF(ISNUMBER(Roster!$D61),Setup!$C$21&lt;=Roster!$D61,FALSE),"",IF(OR(IF(Setup!$C$15&lt;=Setup!$C$16,AND(MONTH(C61)&gt;=Setup!$C$15,MONTH(C61)&lt;=Setup!$C$16),OR(MONTH(C61)&gt;=Setup!$C$15,MONTH(C61)&lt;=Setup!$C$16)),IF(Setup!$C$15&lt;=Setup!$C$16,AND(MONTH(WORKDAY(C61,-(Setup!$C$13+Setup!$G$21),Setup!$C$39:$C$50))&gt;=Setup!$C$15,MONTH(WORKDAY(C61,-(Setup!$C$13+Setup!$G$21),Setup!$C$39:$C$50))&lt;=Setup!$C$16),OR(MONTH(WORKDAY(C61,-(Setup!$C$13+Setup!$G$21),Setup!$C$39:$C$50))&gt;=Setup!$C$15,MONTH(WORKDAY(C61,-(Setup!$C$13+Setup!$G$21),Setup!$C$39:$C$50))&lt;=Setup!$C$16))),WORKDAY(C61,-(Setup!$C$13+Setup!$G$21+Setup!$C$14),Setup!$C$39:$C$50),WORKDAY(C61,-(Setup!$C$13+Setup!$G$21),Setup!$C$39:$C$50))+(56*100+2)/10000000)))</f>
        <v/>
      </c>
      <c r="T61" t="str">
        <f>IF(D61="","",IF(D61&lt;Setup!$C$5-Setup!$C$6,"",IF(IF(ISNUMBER(Roster!$D61),Setup!$C$22&lt;=Roster!$D61,FALSE),"",IF(OR(IF(Setup!$C$15&lt;=Setup!$C$16,AND(MONTH(D61)&gt;=Setup!$C$15,MONTH(D61)&lt;=Setup!$C$16),OR(MONTH(D61)&gt;=Setup!$C$15,MONTH(D61)&lt;=Setup!$C$16)),IF(Setup!$C$15&lt;=Setup!$C$16,AND(MONTH(WORKDAY(D61,-(Setup!$C$13+Setup!$G$22),Setup!$C$39:$C$50))&gt;=Setup!$C$15,MONTH(WORKDAY(D61,-(Setup!$C$13+Setup!$G$22),Setup!$C$39:$C$50))&lt;=Setup!$C$16),OR(MONTH(WORKDAY(D61,-(Setup!$C$13+Setup!$G$22),Setup!$C$39:$C$50))&gt;=Setup!$C$15,MONTH(WORKDAY(D61,-(Setup!$C$13+Setup!$G$22),Setup!$C$39:$C$50))&lt;=Setup!$C$16))),WORKDAY(D61,-(Setup!$C$13+Setup!$G$22+Setup!$C$14),Setup!$C$39:$C$50),WORKDAY(D61,-(Setup!$C$13+Setup!$G$22),Setup!$C$39:$C$50))+(56*100+3)/10000000)))</f>
        <v/>
      </c>
      <c r="U61" t="str">
        <f>IF(E61="","",IF(E61&lt;Setup!$C$5-Setup!$C$6,"",IF(IF(ISNUMBER(Roster!$D61),Setup!$C$23&lt;=Roster!$D61,FALSE),"",IF(OR(IF(Setup!$C$15&lt;=Setup!$C$16,AND(MONTH(E61)&gt;=Setup!$C$15,MONTH(E61)&lt;=Setup!$C$16),OR(MONTH(E61)&gt;=Setup!$C$15,MONTH(E61)&lt;=Setup!$C$16)),IF(Setup!$C$15&lt;=Setup!$C$16,AND(MONTH(WORKDAY(E61,-(Setup!$C$13+Setup!$G$23),Setup!$C$39:$C$50))&gt;=Setup!$C$15,MONTH(WORKDAY(E61,-(Setup!$C$13+Setup!$G$23),Setup!$C$39:$C$50))&lt;=Setup!$C$16),OR(MONTH(WORKDAY(E61,-(Setup!$C$13+Setup!$G$23),Setup!$C$39:$C$50))&gt;=Setup!$C$15,MONTH(WORKDAY(E61,-(Setup!$C$13+Setup!$G$23),Setup!$C$39:$C$50))&lt;=Setup!$C$16))),WORKDAY(E61,-(Setup!$C$13+Setup!$G$23+Setup!$C$14),Setup!$C$39:$C$50),WORKDAY(E61,-(Setup!$C$13+Setup!$G$23),Setup!$C$39:$C$50))+(56*100+4)/10000000)))</f>
        <v/>
      </c>
      <c r="V61" t="str">
        <f>IF(F61="","",IF(F61&lt;Setup!$C$5-Setup!$C$6,"",IF(IF(ISNUMBER(Roster!$D61),Setup!$C$24&lt;=Roster!$D61,FALSE),"",IF(OR(IF(Setup!$C$15&lt;=Setup!$C$16,AND(MONTH(F61)&gt;=Setup!$C$15,MONTH(F61)&lt;=Setup!$C$16),OR(MONTH(F61)&gt;=Setup!$C$15,MONTH(F61)&lt;=Setup!$C$16)),IF(Setup!$C$15&lt;=Setup!$C$16,AND(MONTH(WORKDAY(F61,-(Setup!$C$13+Setup!$G$24),Setup!$C$39:$C$50))&gt;=Setup!$C$15,MONTH(WORKDAY(F61,-(Setup!$C$13+Setup!$G$24),Setup!$C$39:$C$50))&lt;=Setup!$C$16),OR(MONTH(WORKDAY(F61,-(Setup!$C$13+Setup!$G$24),Setup!$C$39:$C$50))&gt;=Setup!$C$15,MONTH(WORKDAY(F61,-(Setup!$C$13+Setup!$G$24),Setup!$C$39:$C$50))&lt;=Setup!$C$16))),WORKDAY(F61,-(Setup!$C$13+Setup!$G$24+Setup!$C$14),Setup!$C$39:$C$50),WORKDAY(F61,-(Setup!$C$13+Setup!$G$24),Setup!$C$39:$C$50))+(56*100+5)/10000000)))</f>
        <v/>
      </c>
      <c r="W61" t="str">
        <f>IF(G61="","",IF(G61&lt;Setup!$C$5-Setup!$C$6,"",IF(IF(ISNUMBER(Roster!$D61),Setup!$C$25&lt;=Roster!$D61,FALSE),"",IF(OR(IF(Setup!$C$15&lt;=Setup!$C$16,AND(MONTH(G61)&gt;=Setup!$C$15,MONTH(G61)&lt;=Setup!$C$16),OR(MONTH(G61)&gt;=Setup!$C$15,MONTH(G61)&lt;=Setup!$C$16)),IF(Setup!$C$15&lt;=Setup!$C$16,AND(MONTH(WORKDAY(G61,-(Setup!$C$13+Setup!$G$25),Setup!$C$39:$C$50))&gt;=Setup!$C$15,MONTH(WORKDAY(G61,-(Setup!$C$13+Setup!$G$25),Setup!$C$39:$C$50))&lt;=Setup!$C$16),OR(MONTH(WORKDAY(G61,-(Setup!$C$13+Setup!$G$25),Setup!$C$39:$C$50))&gt;=Setup!$C$15,MONTH(WORKDAY(G61,-(Setup!$C$13+Setup!$G$25),Setup!$C$39:$C$50))&lt;=Setup!$C$16))),WORKDAY(G61,-(Setup!$C$13+Setup!$G$25+Setup!$C$14),Setup!$C$39:$C$50),WORKDAY(G61,-(Setup!$C$13+Setup!$G$25),Setup!$C$39:$C$50))+(56*100+6)/10000000)))</f>
        <v/>
      </c>
      <c r="X61" t="str">
        <f>IF(H61="","",IF(H61&lt;Setup!$C$5-Setup!$C$6,"",IF(IF(ISNUMBER(Roster!$D61),Setup!$C$26&lt;=Roster!$D61,FALSE),"",IF(OR(IF(Setup!$C$15&lt;=Setup!$C$16,AND(MONTH(H61)&gt;=Setup!$C$15,MONTH(H61)&lt;=Setup!$C$16),OR(MONTH(H61)&gt;=Setup!$C$15,MONTH(H61)&lt;=Setup!$C$16)),IF(Setup!$C$15&lt;=Setup!$C$16,AND(MONTH(WORKDAY(H61,-(Setup!$C$13+Setup!$G$26),Setup!$C$39:$C$50))&gt;=Setup!$C$15,MONTH(WORKDAY(H61,-(Setup!$C$13+Setup!$G$26),Setup!$C$39:$C$50))&lt;=Setup!$C$16),OR(MONTH(WORKDAY(H61,-(Setup!$C$13+Setup!$G$26),Setup!$C$39:$C$50))&gt;=Setup!$C$15,MONTH(WORKDAY(H61,-(Setup!$C$13+Setup!$G$26),Setup!$C$39:$C$50))&lt;=Setup!$C$16))),WORKDAY(H61,-(Setup!$C$13+Setup!$G$26+Setup!$C$14),Setup!$C$39:$C$50),WORKDAY(H61,-(Setup!$C$13+Setup!$G$26),Setup!$C$39:$C$50))+(56*100+7)/10000000)))</f>
        <v/>
      </c>
      <c r="Y61" t="str">
        <f>IF(I61="","",IF(I61&lt;Setup!$C$5-Setup!$C$6,"",IF(IF(ISNUMBER(Roster!$D61),Setup!$C$27&lt;=Roster!$D61,FALSE),"",IF(OR(IF(Setup!$C$15&lt;=Setup!$C$16,AND(MONTH(I61)&gt;=Setup!$C$15,MONTH(I61)&lt;=Setup!$C$16),OR(MONTH(I61)&gt;=Setup!$C$15,MONTH(I61)&lt;=Setup!$C$16)),IF(Setup!$C$15&lt;=Setup!$C$16,AND(MONTH(WORKDAY(I61,-(Setup!$C$13+Setup!$G$27),Setup!$C$39:$C$50))&gt;=Setup!$C$15,MONTH(WORKDAY(I61,-(Setup!$C$13+Setup!$G$27),Setup!$C$39:$C$50))&lt;=Setup!$C$16),OR(MONTH(WORKDAY(I61,-(Setup!$C$13+Setup!$G$27),Setup!$C$39:$C$50))&gt;=Setup!$C$15,MONTH(WORKDAY(I61,-(Setup!$C$13+Setup!$G$27),Setup!$C$39:$C$50))&lt;=Setup!$C$16))),WORKDAY(I61,-(Setup!$C$13+Setup!$G$27+Setup!$C$14),Setup!$C$39:$C$50),WORKDAY(I61,-(Setup!$C$13+Setup!$G$27),Setup!$C$39:$C$50))+(56*100+8)/10000000)))</f>
        <v/>
      </c>
      <c r="Z61" t="str">
        <f>IF(J61="","",IF(J61&lt;Setup!$C$5-Setup!$C$6,"",IF(IF(ISNUMBER(Roster!$D61),Setup!$C$28&lt;=Roster!$D61,FALSE),"",IF(OR(IF(Setup!$C$15&lt;=Setup!$C$16,AND(MONTH(J61)&gt;=Setup!$C$15,MONTH(J61)&lt;=Setup!$C$16),OR(MONTH(J61)&gt;=Setup!$C$15,MONTH(J61)&lt;=Setup!$C$16)),IF(Setup!$C$15&lt;=Setup!$C$16,AND(MONTH(WORKDAY(J61,-(Setup!$C$13+Setup!$G$28),Setup!$C$39:$C$50))&gt;=Setup!$C$15,MONTH(WORKDAY(J61,-(Setup!$C$13+Setup!$G$28),Setup!$C$39:$C$50))&lt;=Setup!$C$16),OR(MONTH(WORKDAY(J61,-(Setup!$C$13+Setup!$G$28),Setup!$C$39:$C$50))&gt;=Setup!$C$15,MONTH(WORKDAY(J61,-(Setup!$C$13+Setup!$G$28),Setup!$C$39:$C$50))&lt;=Setup!$C$16))),WORKDAY(J61,-(Setup!$C$13+Setup!$G$28+Setup!$C$14),Setup!$C$39:$C$50),WORKDAY(J61,-(Setup!$C$13+Setup!$G$28),Setup!$C$39:$C$50))+(56*100+9)/10000000)))</f>
        <v/>
      </c>
      <c r="AA61" t="str">
        <f>IF(K61="","",IF(K61&lt;Setup!$C$5-Setup!$C$6,"",IF(IF(ISNUMBER(Roster!$D61),Setup!$C$29&lt;=Roster!$D61,FALSE),"",IF(OR(IF(Setup!$C$15&lt;=Setup!$C$16,AND(MONTH(K61)&gt;=Setup!$C$15,MONTH(K61)&lt;=Setup!$C$16),OR(MONTH(K61)&gt;=Setup!$C$15,MONTH(K61)&lt;=Setup!$C$16)),IF(Setup!$C$15&lt;=Setup!$C$16,AND(MONTH(WORKDAY(K61,-(Setup!$C$13+Setup!$G$29),Setup!$C$39:$C$50))&gt;=Setup!$C$15,MONTH(WORKDAY(K61,-(Setup!$C$13+Setup!$G$29),Setup!$C$39:$C$50))&lt;=Setup!$C$16),OR(MONTH(WORKDAY(K61,-(Setup!$C$13+Setup!$G$29),Setup!$C$39:$C$50))&gt;=Setup!$C$15,MONTH(WORKDAY(K61,-(Setup!$C$13+Setup!$G$29),Setup!$C$39:$C$50))&lt;=Setup!$C$16))),WORKDAY(K61,-(Setup!$C$13+Setup!$G$29+Setup!$C$14),Setup!$C$39:$C$50),WORKDAY(K61,-(Setup!$C$13+Setup!$G$29),Setup!$C$39:$C$50))+(56*100+10)/10000000)))</f>
        <v/>
      </c>
      <c r="AB61" t="str">
        <f>IF(L61="","",IF(L61&lt;Setup!$C$5-Setup!$C$6,"",IF(IF(ISNUMBER(Roster!$D61),Setup!$C$30&lt;=Roster!$D61,FALSE),"",IF(OR(IF(Setup!$C$15&lt;=Setup!$C$16,AND(MONTH(L61)&gt;=Setup!$C$15,MONTH(L61)&lt;=Setup!$C$16),OR(MONTH(L61)&gt;=Setup!$C$15,MONTH(L61)&lt;=Setup!$C$16)),IF(Setup!$C$15&lt;=Setup!$C$16,AND(MONTH(WORKDAY(L61,-(Setup!$C$13+Setup!$G$30),Setup!$C$39:$C$50))&gt;=Setup!$C$15,MONTH(WORKDAY(L61,-(Setup!$C$13+Setup!$G$30),Setup!$C$39:$C$50))&lt;=Setup!$C$16),OR(MONTH(WORKDAY(L61,-(Setup!$C$13+Setup!$G$30),Setup!$C$39:$C$50))&gt;=Setup!$C$15,MONTH(WORKDAY(L61,-(Setup!$C$13+Setup!$G$30),Setup!$C$39:$C$50))&lt;=Setup!$C$16))),WORKDAY(L61,-(Setup!$C$13+Setup!$G$30+Setup!$C$14),Setup!$C$39:$C$50),WORKDAY(L61,-(Setup!$C$13+Setup!$G$30),Setup!$C$39:$C$50))+(56*100+11)/10000000)))</f>
        <v/>
      </c>
      <c r="AC61" t="str">
        <f>IF(M61="","",IF(M61&lt;Setup!$C$5-Setup!$C$6,"",IF(IF(ISNUMBER(Roster!$D61),Setup!$C$31&lt;=Roster!$D61,FALSE),"",IF(OR(IF(Setup!$C$15&lt;=Setup!$C$16,AND(MONTH(M61)&gt;=Setup!$C$15,MONTH(M61)&lt;=Setup!$C$16),OR(MONTH(M61)&gt;=Setup!$C$15,MONTH(M61)&lt;=Setup!$C$16)),IF(Setup!$C$15&lt;=Setup!$C$16,AND(MONTH(WORKDAY(M61,-(Setup!$C$13+Setup!$G$31),Setup!$C$39:$C$50))&gt;=Setup!$C$15,MONTH(WORKDAY(M61,-(Setup!$C$13+Setup!$G$31),Setup!$C$39:$C$50))&lt;=Setup!$C$16),OR(MONTH(WORKDAY(M61,-(Setup!$C$13+Setup!$G$31),Setup!$C$39:$C$50))&gt;=Setup!$C$15,MONTH(WORKDAY(M61,-(Setup!$C$13+Setup!$G$31),Setup!$C$39:$C$50))&lt;=Setup!$C$16))),WORKDAY(M61,-(Setup!$C$13+Setup!$G$31+Setup!$C$14),Setup!$C$39:$C$50),WORKDAY(M61,-(Setup!$C$13+Setup!$G$31),Setup!$C$39:$C$50))+(56*100+12)/10000000)))</f>
        <v/>
      </c>
      <c r="AD61" t="str">
        <f>IF(N61="","",IF(N61&lt;Setup!$C$5-Setup!$C$6,"",IF(IF(ISNUMBER(Roster!$D61),Setup!$C$32&lt;=Roster!$D61,FALSE),"",IF(OR(IF(Setup!$C$15&lt;=Setup!$C$16,AND(MONTH(N61)&gt;=Setup!$C$15,MONTH(N61)&lt;=Setup!$C$16),OR(MONTH(N61)&gt;=Setup!$C$15,MONTH(N61)&lt;=Setup!$C$16)),IF(Setup!$C$15&lt;=Setup!$C$16,AND(MONTH(WORKDAY(N61,-(Setup!$C$13+Setup!$G$32),Setup!$C$39:$C$50))&gt;=Setup!$C$15,MONTH(WORKDAY(N61,-(Setup!$C$13+Setup!$G$32),Setup!$C$39:$C$50))&lt;=Setup!$C$16),OR(MONTH(WORKDAY(N61,-(Setup!$C$13+Setup!$G$32),Setup!$C$39:$C$50))&gt;=Setup!$C$15,MONTH(WORKDAY(N61,-(Setup!$C$13+Setup!$G$32),Setup!$C$39:$C$50))&lt;=Setup!$C$16))),WORKDAY(N61,-(Setup!$C$13+Setup!$G$32+Setup!$C$14),Setup!$C$39:$C$50),WORKDAY(N61,-(Setup!$C$13+Setup!$G$32),Setup!$C$39:$C$50))+(56*100+13)/10000000)))</f>
        <v/>
      </c>
      <c r="AE61" t="str">
        <f>IF(O61="","",IF(O61&lt;Setup!$C$5-Setup!$C$6,"",IF(IF(ISNUMBER(Roster!$D61),Setup!$C$33&lt;=Roster!$D61,FALSE),"",IF(OR(IF(Setup!$C$15&lt;=Setup!$C$16,AND(MONTH(O61)&gt;=Setup!$C$15,MONTH(O61)&lt;=Setup!$C$16),OR(MONTH(O61)&gt;=Setup!$C$15,MONTH(O61)&lt;=Setup!$C$16)),IF(Setup!$C$15&lt;=Setup!$C$16,AND(MONTH(WORKDAY(O61,-(Setup!$C$13+Setup!$G$33),Setup!$C$39:$C$50))&gt;=Setup!$C$15,MONTH(WORKDAY(O61,-(Setup!$C$13+Setup!$G$33),Setup!$C$39:$C$50))&lt;=Setup!$C$16),OR(MONTH(WORKDAY(O61,-(Setup!$C$13+Setup!$G$33),Setup!$C$39:$C$50))&gt;=Setup!$C$15,MONTH(WORKDAY(O61,-(Setup!$C$13+Setup!$G$33),Setup!$C$39:$C$50))&lt;=Setup!$C$16))),WORKDAY(O61,-(Setup!$C$13+Setup!$G$33+Setup!$C$14),Setup!$C$39:$C$50),WORKDAY(O61,-(Setup!$C$13+Setup!$G$33),Setup!$C$39:$C$50))+(56*100+14)/10000000)))</f>
        <v/>
      </c>
      <c r="AF61" t="str">
        <f>IF(P61="","",IF(P61&lt;Setup!$C$5-Setup!$C$6,"",IF(IF(ISNUMBER(Roster!$D61),Setup!$C$34&lt;=Roster!$D61,FALSE),"",IF(OR(IF(Setup!$C$15&lt;=Setup!$C$16,AND(MONTH(P61)&gt;=Setup!$C$15,MONTH(P61)&lt;=Setup!$C$16),OR(MONTH(P61)&gt;=Setup!$C$15,MONTH(P61)&lt;=Setup!$C$16)),IF(Setup!$C$15&lt;=Setup!$C$16,AND(MONTH(WORKDAY(P61,-(Setup!$C$13+Setup!$G$34),Setup!$C$39:$C$50))&gt;=Setup!$C$15,MONTH(WORKDAY(P61,-(Setup!$C$13+Setup!$G$34),Setup!$C$39:$C$50))&lt;=Setup!$C$16),OR(MONTH(WORKDAY(P61,-(Setup!$C$13+Setup!$G$34),Setup!$C$39:$C$50))&gt;=Setup!$C$15,MONTH(WORKDAY(P61,-(Setup!$C$13+Setup!$G$34),Setup!$C$39:$C$50))&lt;=Setup!$C$16))),WORKDAY(P61,-(Setup!$C$13+Setup!$G$34+Setup!$C$14),Setup!$C$39:$C$50),WORKDAY(P61,-(Setup!$C$13+Setup!$G$34),Setup!$C$39:$C$50))+(56*100+15)/10000000)))</f>
        <v/>
      </c>
      <c r="AH61" t="str">
        <f t="shared" si="0"/>
        <v/>
      </c>
      <c r="AI61" t="str">
        <f t="shared" si="1"/>
        <v/>
      </c>
      <c r="AK61" t="str">
        <f ca="1">IF(56&gt;$AK$2,"",SMALL($R$6:$AF$505,56))</f>
        <v/>
      </c>
      <c r="AL61" t="str">
        <f t="shared" ca="1" si="2"/>
        <v/>
      </c>
      <c r="AM61" t="str">
        <f t="shared" ca="1" si="3"/>
        <v/>
      </c>
      <c r="AN61" t="str">
        <f t="shared" ca="1" si="4"/>
        <v/>
      </c>
      <c r="AP61" t="str">
        <f>IF(ISNUMBER(Roster!$B61),MAX(1,YEAR(Setup!$C$5)-YEAR(Roster!$B61)+IF(EDATE(Roster!$B61,12*(YEAR(Setup!$C$5)-YEAR(Roster!$B61)))&lt;Setup!$C$5,1,0)),"")</f>
        <v/>
      </c>
      <c r="AQ61" s="32" t="str">
        <f>IF(AP61="","",EDATE(Roster!$B61,12*AP61))</f>
        <v/>
      </c>
      <c r="AR61" t="str">
        <f>IF(AQ61="","",IF(AQ61&lt;DATE(YEAR(Setup!$C$5)+1,MONTH(Setup!$C$5),DAY(Setup!$C$5)),AQ61+56/1000,""))</f>
        <v/>
      </c>
      <c r="AS61" t="str">
        <f t="shared" si="5"/>
        <v/>
      </c>
      <c r="AT61" t="str">
        <f>IF(AS61="","",IF(ISNUMBER(Roster!$D61),Roster!$D61&gt;=AP61,FALSE))</f>
        <v/>
      </c>
      <c r="AU61" t="str">
        <f t="shared" si="6"/>
        <v/>
      </c>
      <c r="AV61" t="str">
        <f ca="1">IF(56&gt;$AV$2,"",SMALL($AR$6:$AR$505,56))</f>
        <v/>
      </c>
      <c r="AW61" t="str">
        <f t="shared" ca="1" si="7"/>
        <v/>
      </c>
    </row>
    <row r="62" spans="2:49" x14ac:dyDescent="0.2">
      <c r="B62" s="32" t="str">
        <f>IF(AND(ISNUMBER(Roster!$B62),Setup!$B$20="Yes",ISNUMBER(Setup!$C$20)),EDATE(Roster!$B62,12*Setup!$C$20),"")</f>
        <v/>
      </c>
      <c r="C62" s="32" t="str">
        <f>IF(AND(ISNUMBER(Roster!$B62),Setup!$B$21="Yes",ISNUMBER(Setup!$C$21)),EDATE(Roster!$B62,12*Setup!$C$21),"")</f>
        <v/>
      </c>
      <c r="D62" s="32" t="str">
        <f>IF(AND(ISNUMBER(Roster!$B62),Setup!$B$22="Yes",ISNUMBER(Setup!$C$22)),EDATE(Roster!$B62,12*Setup!$C$22),"")</f>
        <v/>
      </c>
      <c r="E62" s="32" t="str">
        <f>IF(AND(ISNUMBER(Roster!$B62),Setup!$B$23="Yes",ISNUMBER(Setup!$C$23)),EDATE(Roster!$B62,12*Setup!$C$23),"")</f>
        <v/>
      </c>
      <c r="F62" s="32" t="str">
        <f>IF(AND(ISNUMBER(Roster!$B62),Setup!$B$24="Yes",ISNUMBER(Setup!$C$24)),EDATE(Roster!$B62,12*Setup!$C$24),"")</f>
        <v/>
      </c>
      <c r="G62" s="32" t="str">
        <f>IF(AND(ISNUMBER(Roster!$B62),Setup!$B$25="Yes",ISNUMBER(Setup!$C$25)),EDATE(Roster!$B62,12*Setup!$C$25),"")</f>
        <v/>
      </c>
      <c r="H62" s="32" t="str">
        <f>IF(AND(ISNUMBER(Roster!$B62),Setup!$B$26="Yes",ISNUMBER(Setup!$C$26)),EDATE(Roster!$B62,12*Setup!$C$26),"")</f>
        <v/>
      </c>
      <c r="I62" s="32" t="str">
        <f>IF(AND(ISNUMBER(Roster!$B62),Setup!$B$27="Yes",ISNUMBER(Setup!$C$27)),EDATE(Roster!$B62,12*Setup!$C$27),"")</f>
        <v/>
      </c>
      <c r="J62" s="32" t="str">
        <f>IF(AND(ISNUMBER(Roster!$B62),Setup!$B$28="Yes",ISNUMBER(Setup!$C$28)),EDATE(Roster!$B62,12*Setup!$C$28),"")</f>
        <v/>
      </c>
      <c r="K62" s="32" t="str">
        <f>IF(AND(ISNUMBER(Roster!$B62),Setup!$B$29="Yes",ISNUMBER(Setup!$C$29)),EDATE(Roster!$B62,12*Setup!$C$29),"")</f>
        <v/>
      </c>
      <c r="L62" s="32" t="str">
        <f>IF(AND(ISNUMBER(Roster!$B62),Setup!$B$30="Yes",ISNUMBER(Setup!$C$30)),EDATE(Roster!$B62,12*Setup!$C$30),"")</f>
        <v/>
      </c>
      <c r="M62" s="32" t="str">
        <f>IF(AND(ISNUMBER(Roster!$B62),Setup!$B$31="Yes",ISNUMBER(Setup!$C$31)),EDATE(Roster!$B62,12*Setup!$C$31),"")</f>
        <v/>
      </c>
      <c r="N62" s="32" t="str">
        <f>IF(AND(ISNUMBER(Roster!$B62),Setup!$B$32="Yes",ISNUMBER(Setup!$C$32)),EDATE(Roster!$B62,12*Setup!$C$32),"")</f>
        <v/>
      </c>
      <c r="O62" s="32" t="str">
        <f>IF(AND(ISNUMBER(Roster!$B62),Setup!$B$33="Yes",ISNUMBER(Setup!$C$33)),EDATE(Roster!$B62,12*Setup!$C$33),"")</f>
        <v/>
      </c>
      <c r="P62" s="32" t="str">
        <f>IF(AND(ISNUMBER(Roster!$B62),Setup!$B$34="Yes",ISNUMBER(Setup!$C$34)),EDATE(Roster!$B62,12*Setup!$C$34),"")</f>
        <v/>
      </c>
      <c r="R62" t="str">
        <f>IF(B62="","",IF(B62&lt;Setup!$C$5-Setup!$C$6,"",IF(IF(ISNUMBER(Roster!$D62),Setup!$C$20&lt;=Roster!$D62,FALSE),"",IF(OR(IF(Setup!$C$15&lt;=Setup!$C$16,AND(MONTH(B62)&gt;=Setup!$C$15,MONTH(B62)&lt;=Setup!$C$16),OR(MONTH(B62)&gt;=Setup!$C$15,MONTH(B62)&lt;=Setup!$C$16)),IF(Setup!$C$15&lt;=Setup!$C$16,AND(MONTH(WORKDAY(B62,-(Setup!$C$13+Setup!$G$20),Setup!$C$39:$C$50))&gt;=Setup!$C$15,MONTH(WORKDAY(B62,-(Setup!$C$13+Setup!$G$20),Setup!$C$39:$C$50))&lt;=Setup!$C$16),OR(MONTH(WORKDAY(B62,-(Setup!$C$13+Setup!$G$20),Setup!$C$39:$C$50))&gt;=Setup!$C$15,MONTH(WORKDAY(B62,-(Setup!$C$13+Setup!$G$20),Setup!$C$39:$C$50))&lt;=Setup!$C$16))),WORKDAY(B62,-(Setup!$C$13+Setup!$G$20+Setup!$C$14),Setup!$C$39:$C$50),WORKDAY(B62,-(Setup!$C$13+Setup!$G$20),Setup!$C$39:$C$50))+(57*100+1)/10000000)))</f>
        <v/>
      </c>
      <c r="S62" t="str">
        <f>IF(C62="","",IF(C62&lt;Setup!$C$5-Setup!$C$6,"",IF(IF(ISNUMBER(Roster!$D62),Setup!$C$21&lt;=Roster!$D62,FALSE),"",IF(OR(IF(Setup!$C$15&lt;=Setup!$C$16,AND(MONTH(C62)&gt;=Setup!$C$15,MONTH(C62)&lt;=Setup!$C$16),OR(MONTH(C62)&gt;=Setup!$C$15,MONTH(C62)&lt;=Setup!$C$16)),IF(Setup!$C$15&lt;=Setup!$C$16,AND(MONTH(WORKDAY(C62,-(Setup!$C$13+Setup!$G$21),Setup!$C$39:$C$50))&gt;=Setup!$C$15,MONTH(WORKDAY(C62,-(Setup!$C$13+Setup!$G$21),Setup!$C$39:$C$50))&lt;=Setup!$C$16),OR(MONTH(WORKDAY(C62,-(Setup!$C$13+Setup!$G$21),Setup!$C$39:$C$50))&gt;=Setup!$C$15,MONTH(WORKDAY(C62,-(Setup!$C$13+Setup!$G$21),Setup!$C$39:$C$50))&lt;=Setup!$C$16))),WORKDAY(C62,-(Setup!$C$13+Setup!$G$21+Setup!$C$14),Setup!$C$39:$C$50),WORKDAY(C62,-(Setup!$C$13+Setup!$G$21),Setup!$C$39:$C$50))+(57*100+2)/10000000)))</f>
        <v/>
      </c>
      <c r="T62" t="str">
        <f>IF(D62="","",IF(D62&lt;Setup!$C$5-Setup!$C$6,"",IF(IF(ISNUMBER(Roster!$D62),Setup!$C$22&lt;=Roster!$D62,FALSE),"",IF(OR(IF(Setup!$C$15&lt;=Setup!$C$16,AND(MONTH(D62)&gt;=Setup!$C$15,MONTH(D62)&lt;=Setup!$C$16),OR(MONTH(D62)&gt;=Setup!$C$15,MONTH(D62)&lt;=Setup!$C$16)),IF(Setup!$C$15&lt;=Setup!$C$16,AND(MONTH(WORKDAY(D62,-(Setup!$C$13+Setup!$G$22),Setup!$C$39:$C$50))&gt;=Setup!$C$15,MONTH(WORKDAY(D62,-(Setup!$C$13+Setup!$G$22),Setup!$C$39:$C$50))&lt;=Setup!$C$16),OR(MONTH(WORKDAY(D62,-(Setup!$C$13+Setup!$G$22),Setup!$C$39:$C$50))&gt;=Setup!$C$15,MONTH(WORKDAY(D62,-(Setup!$C$13+Setup!$G$22),Setup!$C$39:$C$50))&lt;=Setup!$C$16))),WORKDAY(D62,-(Setup!$C$13+Setup!$G$22+Setup!$C$14),Setup!$C$39:$C$50),WORKDAY(D62,-(Setup!$C$13+Setup!$G$22),Setup!$C$39:$C$50))+(57*100+3)/10000000)))</f>
        <v/>
      </c>
      <c r="U62" t="str">
        <f>IF(E62="","",IF(E62&lt;Setup!$C$5-Setup!$C$6,"",IF(IF(ISNUMBER(Roster!$D62),Setup!$C$23&lt;=Roster!$D62,FALSE),"",IF(OR(IF(Setup!$C$15&lt;=Setup!$C$16,AND(MONTH(E62)&gt;=Setup!$C$15,MONTH(E62)&lt;=Setup!$C$16),OR(MONTH(E62)&gt;=Setup!$C$15,MONTH(E62)&lt;=Setup!$C$16)),IF(Setup!$C$15&lt;=Setup!$C$16,AND(MONTH(WORKDAY(E62,-(Setup!$C$13+Setup!$G$23),Setup!$C$39:$C$50))&gt;=Setup!$C$15,MONTH(WORKDAY(E62,-(Setup!$C$13+Setup!$G$23),Setup!$C$39:$C$50))&lt;=Setup!$C$16),OR(MONTH(WORKDAY(E62,-(Setup!$C$13+Setup!$G$23),Setup!$C$39:$C$50))&gt;=Setup!$C$15,MONTH(WORKDAY(E62,-(Setup!$C$13+Setup!$G$23),Setup!$C$39:$C$50))&lt;=Setup!$C$16))),WORKDAY(E62,-(Setup!$C$13+Setup!$G$23+Setup!$C$14),Setup!$C$39:$C$50),WORKDAY(E62,-(Setup!$C$13+Setup!$G$23),Setup!$C$39:$C$50))+(57*100+4)/10000000)))</f>
        <v/>
      </c>
      <c r="V62" t="str">
        <f>IF(F62="","",IF(F62&lt;Setup!$C$5-Setup!$C$6,"",IF(IF(ISNUMBER(Roster!$D62),Setup!$C$24&lt;=Roster!$D62,FALSE),"",IF(OR(IF(Setup!$C$15&lt;=Setup!$C$16,AND(MONTH(F62)&gt;=Setup!$C$15,MONTH(F62)&lt;=Setup!$C$16),OR(MONTH(F62)&gt;=Setup!$C$15,MONTH(F62)&lt;=Setup!$C$16)),IF(Setup!$C$15&lt;=Setup!$C$16,AND(MONTH(WORKDAY(F62,-(Setup!$C$13+Setup!$G$24),Setup!$C$39:$C$50))&gt;=Setup!$C$15,MONTH(WORKDAY(F62,-(Setup!$C$13+Setup!$G$24),Setup!$C$39:$C$50))&lt;=Setup!$C$16),OR(MONTH(WORKDAY(F62,-(Setup!$C$13+Setup!$G$24),Setup!$C$39:$C$50))&gt;=Setup!$C$15,MONTH(WORKDAY(F62,-(Setup!$C$13+Setup!$G$24),Setup!$C$39:$C$50))&lt;=Setup!$C$16))),WORKDAY(F62,-(Setup!$C$13+Setup!$G$24+Setup!$C$14),Setup!$C$39:$C$50),WORKDAY(F62,-(Setup!$C$13+Setup!$G$24),Setup!$C$39:$C$50))+(57*100+5)/10000000)))</f>
        <v/>
      </c>
      <c r="W62" t="str">
        <f>IF(G62="","",IF(G62&lt;Setup!$C$5-Setup!$C$6,"",IF(IF(ISNUMBER(Roster!$D62),Setup!$C$25&lt;=Roster!$D62,FALSE),"",IF(OR(IF(Setup!$C$15&lt;=Setup!$C$16,AND(MONTH(G62)&gt;=Setup!$C$15,MONTH(G62)&lt;=Setup!$C$16),OR(MONTH(G62)&gt;=Setup!$C$15,MONTH(G62)&lt;=Setup!$C$16)),IF(Setup!$C$15&lt;=Setup!$C$16,AND(MONTH(WORKDAY(G62,-(Setup!$C$13+Setup!$G$25),Setup!$C$39:$C$50))&gt;=Setup!$C$15,MONTH(WORKDAY(G62,-(Setup!$C$13+Setup!$G$25),Setup!$C$39:$C$50))&lt;=Setup!$C$16),OR(MONTH(WORKDAY(G62,-(Setup!$C$13+Setup!$G$25),Setup!$C$39:$C$50))&gt;=Setup!$C$15,MONTH(WORKDAY(G62,-(Setup!$C$13+Setup!$G$25),Setup!$C$39:$C$50))&lt;=Setup!$C$16))),WORKDAY(G62,-(Setup!$C$13+Setup!$G$25+Setup!$C$14),Setup!$C$39:$C$50),WORKDAY(G62,-(Setup!$C$13+Setup!$G$25),Setup!$C$39:$C$50))+(57*100+6)/10000000)))</f>
        <v/>
      </c>
      <c r="X62" t="str">
        <f>IF(H62="","",IF(H62&lt;Setup!$C$5-Setup!$C$6,"",IF(IF(ISNUMBER(Roster!$D62),Setup!$C$26&lt;=Roster!$D62,FALSE),"",IF(OR(IF(Setup!$C$15&lt;=Setup!$C$16,AND(MONTH(H62)&gt;=Setup!$C$15,MONTH(H62)&lt;=Setup!$C$16),OR(MONTH(H62)&gt;=Setup!$C$15,MONTH(H62)&lt;=Setup!$C$16)),IF(Setup!$C$15&lt;=Setup!$C$16,AND(MONTH(WORKDAY(H62,-(Setup!$C$13+Setup!$G$26),Setup!$C$39:$C$50))&gt;=Setup!$C$15,MONTH(WORKDAY(H62,-(Setup!$C$13+Setup!$G$26),Setup!$C$39:$C$50))&lt;=Setup!$C$16),OR(MONTH(WORKDAY(H62,-(Setup!$C$13+Setup!$G$26),Setup!$C$39:$C$50))&gt;=Setup!$C$15,MONTH(WORKDAY(H62,-(Setup!$C$13+Setup!$G$26),Setup!$C$39:$C$50))&lt;=Setup!$C$16))),WORKDAY(H62,-(Setup!$C$13+Setup!$G$26+Setup!$C$14),Setup!$C$39:$C$50),WORKDAY(H62,-(Setup!$C$13+Setup!$G$26),Setup!$C$39:$C$50))+(57*100+7)/10000000)))</f>
        <v/>
      </c>
      <c r="Y62" t="str">
        <f>IF(I62="","",IF(I62&lt;Setup!$C$5-Setup!$C$6,"",IF(IF(ISNUMBER(Roster!$D62),Setup!$C$27&lt;=Roster!$D62,FALSE),"",IF(OR(IF(Setup!$C$15&lt;=Setup!$C$16,AND(MONTH(I62)&gt;=Setup!$C$15,MONTH(I62)&lt;=Setup!$C$16),OR(MONTH(I62)&gt;=Setup!$C$15,MONTH(I62)&lt;=Setup!$C$16)),IF(Setup!$C$15&lt;=Setup!$C$16,AND(MONTH(WORKDAY(I62,-(Setup!$C$13+Setup!$G$27),Setup!$C$39:$C$50))&gt;=Setup!$C$15,MONTH(WORKDAY(I62,-(Setup!$C$13+Setup!$G$27),Setup!$C$39:$C$50))&lt;=Setup!$C$16),OR(MONTH(WORKDAY(I62,-(Setup!$C$13+Setup!$G$27),Setup!$C$39:$C$50))&gt;=Setup!$C$15,MONTH(WORKDAY(I62,-(Setup!$C$13+Setup!$G$27),Setup!$C$39:$C$50))&lt;=Setup!$C$16))),WORKDAY(I62,-(Setup!$C$13+Setup!$G$27+Setup!$C$14),Setup!$C$39:$C$50),WORKDAY(I62,-(Setup!$C$13+Setup!$G$27),Setup!$C$39:$C$50))+(57*100+8)/10000000)))</f>
        <v/>
      </c>
      <c r="Z62" t="str">
        <f>IF(J62="","",IF(J62&lt;Setup!$C$5-Setup!$C$6,"",IF(IF(ISNUMBER(Roster!$D62),Setup!$C$28&lt;=Roster!$D62,FALSE),"",IF(OR(IF(Setup!$C$15&lt;=Setup!$C$16,AND(MONTH(J62)&gt;=Setup!$C$15,MONTH(J62)&lt;=Setup!$C$16),OR(MONTH(J62)&gt;=Setup!$C$15,MONTH(J62)&lt;=Setup!$C$16)),IF(Setup!$C$15&lt;=Setup!$C$16,AND(MONTH(WORKDAY(J62,-(Setup!$C$13+Setup!$G$28),Setup!$C$39:$C$50))&gt;=Setup!$C$15,MONTH(WORKDAY(J62,-(Setup!$C$13+Setup!$G$28),Setup!$C$39:$C$50))&lt;=Setup!$C$16),OR(MONTH(WORKDAY(J62,-(Setup!$C$13+Setup!$G$28),Setup!$C$39:$C$50))&gt;=Setup!$C$15,MONTH(WORKDAY(J62,-(Setup!$C$13+Setup!$G$28),Setup!$C$39:$C$50))&lt;=Setup!$C$16))),WORKDAY(J62,-(Setup!$C$13+Setup!$G$28+Setup!$C$14),Setup!$C$39:$C$50),WORKDAY(J62,-(Setup!$C$13+Setup!$G$28),Setup!$C$39:$C$50))+(57*100+9)/10000000)))</f>
        <v/>
      </c>
      <c r="AA62" t="str">
        <f>IF(K62="","",IF(K62&lt;Setup!$C$5-Setup!$C$6,"",IF(IF(ISNUMBER(Roster!$D62),Setup!$C$29&lt;=Roster!$D62,FALSE),"",IF(OR(IF(Setup!$C$15&lt;=Setup!$C$16,AND(MONTH(K62)&gt;=Setup!$C$15,MONTH(K62)&lt;=Setup!$C$16),OR(MONTH(K62)&gt;=Setup!$C$15,MONTH(K62)&lt;=Setup!$C$16)),IF(Setup!$C$15&lt;=Setup!$C$16,AND(MONTH(WORKDAY(K62,-(Setup!$C$13+Setup!$G$29),Setup!$C$39:$C$50))&gt;=Setup!$C$15,MONTH(WORKDAY(K62,-(Setup!$C$13+Setup!$G$29),Setup!$C$39:$C$50))&lt;=Setup!$C$16),OR(MONTH(WORKDAY(K62,-(Setup!$C$13+Setup!$G$29),Setup!$C$39:$C$50))&gt;=Setup!$C$15,MONTH(WORKDAY(K62,-(Setup!$C$13+Setup!$G$29),Setup!$C$39:$C$50))&lt;=Setup!$C$16))),WORKDAY(K62,-(Setup!$C$13+Setup!$G$29+Setup!$C$14),Setup!$C$39:$C$50),WORKDAY(K62,-(Setup!$C$13+Setup!$G$29),Setup!$C$39:$C$50))+(57*100+10)/10000000)))</f>
        <v/>
      </c>
      <c r="AB62" t="str">
        <f>IF(L62="","",IF(L62&lt;Setup!$C$5-Setup!$C$6,"",IF(IF(ISNUMBER(Roster!$D62),Setup!$C$30&lt;=Roster!$D62,FALSE),"",IF(OR(IF(Setup!$C$15&lt;=Setup!$C$16,AND(MONTH(L62)&gt;=Setup!$C$15,MONTH(L62)&lt;=Setup!$C$16),OR(MONTH(L62)&gt;=Setup!$C$15,MONTH(L62)&lt;=Setup!$C$16)),IF(Setup!$C$15&lt;=Setup!$C$16,AND(MONTH(WORKDAY(L62,-(Setup!$C$13+Setup!$G$30),Setup!$C$39:$C$50))&gt;=Setup!$C$15,MONTH(WORKDAY(L62,-(Setup!$C$13+Setup!$G$30),Setup!$C$39:$C$50))&lt;=Setup!$C$16),OR(MONTH(WORKDAY(L62,-(Setup!$C$13+Setup!$G$30),Setup!$C$39:$C$50))&gt;=Setup!$C$15,MONTH(WORKDAY(L62,-(Setup!$C$13+Setup!$G$30),Setup!$C$39:$C$50))&lt;=Setup!$C$16))),WORKDAY(L62,-(Setup!$C$13+Setup!$G$30+Setup!$C$14),Setup!$C$39:$C$50),WORKDAY(L62,-(Setup!$C$13+Setup!$G$30),Setup!$C$39:$C$50))+(57*100+11)/10000000)))</f>
        <v/>
      </c>
      <c r="AC62" t="str">
        <f>IF(M62="","",IF(M62&lt;Setup!$C$5-Setup!$C$6,"",IF(IF(ISNUMBER(Roster!$D62),Setup!$C$31&lt;=Roster!$D62,FALSE),"",IF(OR(IF(Setup!$C$15&lt;=Setup!$C$16,AND(MONTH(M62)&gt;=Setup!$C$15,MONTH(M62)&lt;=Setup!$C$16),OR(MONTH(M62)&gt;=Setup!$C$15,MONTH(M62)&lt;=Setup!$C$16)),IF(Setup!$C$15&lt;=Setup!$C$16,AND(MONTH(WORKDAY(M62,-(Setup!$C$13+Setup!$G$31),Setup!$C$39:$C$50))&gt;=Setup!$C$15,MONTH(WORKDAY(M62,-(Setup!$C$13+Setup!$G$31),Setup!$C$39:$C$50))&lt;=Setup!$C$16),OR(MONTH(WORKDAY(M62,-(Setup!$C$13+Setup!$G$31),Setup!$C$39:$C$50))&gt;=Setup!$C$15,MONTH(WORKDAY(M62,-(Setup!$C$13+Setup!$G$31),Setup!$C$39:$C$50))&lt;=Setup!$C$16))),WORKDAY(M62,-(Setup!$C$13+Setup!$G$31+Setup!$C$14),Setup!$C$39:$C$50),WORKDAY(M62,-(Setup!$C$13+Setup!$G$31),Setup!$C$39:$C$50))+(57*100+12)/10000000)))</f>
        <v/>
      </c>
      <c r="AD62" t="str">
        <f>IF(N62="","",IF(N62&lt;Setup!$C$5-Setup!$C$6,"",IF(IF(ISNUMBER(Roster!$D62),Setup!$C$32&lt;=Roster!$D62,FALSE),"",IF(OR(IF(Setup!$C$15&lt;=Setup!$C$16,AND(MONTH(N62)&gt;=Setup!$C$15,MONTH(N62)&lt;=Setup!$C$16),OR(MONTH(N62)&gt;=Setup!$C$15,MONTH(N62)&lt;=Setup!$C$16)),IF(Setup!$C$15&lt;=Setup!$C$16,AND(MONTH(WORKDAY(N62,-(Setup!$C$13+Setup!$G$32),Setup!$C$39:$C$50))&gt;=Setup!$C$15,MONTH(WORKDAY(N62,-(Setup!$C$13+Setup!$G$32),Setup!$C$39:$C$50))&lt;=Setup!$C$16),OR(MONTH(WORKDAY(N62,-(Setup!$C$13+Setup!$G$32),Setup!$C$39:$C$50))&gt;=Setup!$C$15,MONTH(WORKDAY(N62,-(Setup!$C$13+Setup!$G$32),Setup!$C$39:$C$50))&lt;=Setup!$C$16))),WORKDAY(N62,-(Setup!$C$13+Setup!$G$32+Setup!$C$14),Setup!$C$39:$C$50),WORKDAY(N62,-(Setup!$C$13+Setup!$G$32),Setup!$C$39:$C$50))+(57*100+13)/10000000)))</f>
        <v/>
      </c>
      <c r="AE62" t="str">
        <f>IF(O62="","",IF(O62&lt;Setup!$C$5-Setup!$C$6,"",IF(IF(ISNUMBER(Roster!$D62),Setup!$C$33&lt;=Roster!$D62,FALSE),"",IF(OR(IF(Setup!$C$15&lt;=Setup!$C$16,AND(MONTH(O62)&gt;=Setup!$C$15,MONTH(O62)&lt;=Setup!$C$16),OR(MONTH(O62)&gt;=Setup!$C$15,MONTH(O62)&lt;=Setup!$C$16)),IF(Setup!$C$15&lt;=Setup!$C$16,AND(MONTH(WORKDAY(O62,-(Setup!$C$13+Setup!$G$33),Setup!$C$39:$C$50))&gt;=Setup!$C$15,MONTH(WORKDAY(O62,-(Setup!$C$13+Setup!$G$33),Setup!$C$39:$C$50))&lt;=Setup!$C$16),OR(MONTH(WORKDAY(O62,-(Setup!$C$13+Setup!$G$33),Setup!$C$39:$C$50))&gt;=Setup!$C$15,MONTH(WORKDAY(O62,-(Setup!$C$13+Setup!$G$33),Setup!$C$39:$C$50))&lt;=Setup!$C$16))),WORKDAY(O62,-(Setup!$C$13+Setup!$G$33+Setup!$C$14),Setup!$C$39:$C$50),WORKDAY(O62,-(Setup!$C$13+Setup!$G$33),Setup!$C$39:$C$50))+(57*100+14)/10000000)))</f>
        <v/>
      </c>
      <c r="AF62" t="str">
        <f>IF(P62="","",IF(P62&lt;Setup!$C$5-Setup!$C$6,"",IF(IF(ISNUMBER(Roster!$D62),Setup!$C$34&lt;=Roster!$D62,FALSE),"",IF(OR(IF(Setup!$C$15&lt;=Setup!$C$16,AND(MONTH(P62)&gt;=Setup!$C$15,MONTH(P62)&lt;=Setup!$C$16),OR(MONTH(P62)&gt;=Setup!$C$15,MONTH(P62)&lt;=Setup!$C$16)),IF(Setup!$C$15&lt;=Setup!$C$16,AND(MONTH(WORKDAY(P62,-(Setup!$C$13+Setup!$G$34),Setup!$C$39:$C$50))&gt;=Setup!$C$15,MONTH(WORKDAY(P62,-(Setup!$C$13+Setup!$G$34),Setup!$C$39:$C$50))&lt;=Setup!$C$16),OR(MONTH(WORKDAY(P62,-(Setup!$C$13+Setup!$G$34),Setup!$C$39:$C$50))&gt;=Setup!$C$15,MONTH(WORKDAY(P62,-(Setup!$C$13+Setup!$G$34),Setup!$C$39:$C$50))&lt;=Setup!$C$16))),WORKDAY(P62,-(Setup!$C$13+Setup!$G$34+Setup!$C$14),Setup!$C$39:$C$50),WORKDAY(P62,-(Setup!$C$13+Setup!$G$34),Setup!$C$39:$C$50))+(57*100+15)/10000000)))</f>
        <v/>
      </c>
      <c r="AH62" t="str">
        <f t="shared" si="0"/>
        <v/>
      </c>
      <c r="AI62" t="str">
        <f t="shared" si="1"/>
        <v/>
      </c>
      <c r="AK62" t="str">
        <f ca="1">IF(57&gt;$AK$2,"",SMALL($R$6:$AF$505,57))</f>
        <v/>
      </c>
      <c r="AL62" t="str">
        <f t="shared" ca="1" si="2"/>
        <v/>
      </c>
      <c r="AM62" t="str">
        <f t="shared" ca="1" si="3"/>
        <v/>
      </c>
      <c r="AN62" t="str">
        <f t="shared" ca="1" si="4"/>
        <v/>
      </c>
      <c r="AP62" t="str">
        <f>IF(ISNUMBER(Roster!$B62),MAX(1,YEAR(Setup!$C$5)-YEAR(Roster!$B62)+IF(EDATE(Roster!$B62,12*(YEAR(Setup!$C$5)-YEAR(Roster!$B62)))&lt;Setup!$C$5,1,0)),"")</f>
        <v/>
      </c>
      <c r="AQ62" s="32" t="str">
        <f>IF(AP62="","",EDATE(Roster!$B62,12*AP62))</f>
        <v/>
      </c>
      <c r="AR62" t="str">
        <f>IF(AQ62="","",IF(AQ62&lt;DATE(YEAR(Setup!$C$5)+1,MONTH(Setup!$C$5),DAY(Setup!$C$5)),AQ62+57/1000,""))</f>
        <v/>
      </c>
      <c r="AS62" t="str">
        <f t="shared" si="5"/>
        <v/>
      </c>
      <c r="AT62" t="str">
        <f>IF(AS62="","",IF(ISNUMBER(Roster!$D62),Roster!$D62&gt;=AP62,FALSE))</f>
        <v/>
      </c>
      <c r="AU62" t="str">
        <f t="shared" si="6"/>
        <v/>
      </c>
      <c r="AV62" t="str">
        <f ca="1">IF(57&gt;$AV$2,"",SMALL($AR$6:$AR$505,57))</f>
        <v/>
      </c>
      <c r="AW62" t="str">
        <f t="shared" ca="1" si="7"/>
        <v/>
      </c>
    </row>
    <row r="63" spans="2:49" x14ac:dyDescent="0.2">
      <c r="B63" s="32" t="str">
        <f>IF(AND(ISNUMBER(Roster!$B63),Setup!$B$20="Yes",ISNUMBER(Setup!$C$20)),EDATE(Roster!$B63,12*Setup!$C$20),"")</f>
        <v/>
      </c>
      <c r="C63" s="32" t="str">
        <f>IF(AND(ISNUMBER(Roster!$B63),Setup!$B$21="Yes",ISNUMBER(Setup!$C$21)),EDATE(Roster!$B63,12*Setup!$C$21),"")</f>
        <v/>
      </c>
      <c r="D63" s="32" t="str">
        <f>IF(AND(ISNUMBER(Roster!$B63),Setup!$B$22="Yes",ISNUMBER(Setup!$C$22)),EDATE(Roster!$B63,12*Setup!$C$22),"")</f>
        <v/>
      </c>
      <c r="E63" s="32" t="str">
        <f>IF(AND(ISNUMBER(Roster!$B63),Setup!$B$23="Yes",ISNUMBER(Setup!$C$23)),EDATE(Roster!$B63,12*Setup!$C$23),"")</f>
        <v/>
      </c>
      <c r="F63" s="32" t="str">
        <f>IF(AND(ISNUMBER(Roster!$B63),Setup!$B$24="Yes",ISNUMBER(Setup!$C$24)),EDATE(Roster!$B63,12*Setup!$C$24),"")</f>
        <v/>
      </c>
      <c r="G63" s="32" t="str">
        <f>IF(AND(ISNUMBER(Roster!$B63),Setup!$B$25="Yes",ISNUMBER(Setup!$C$25)),EDATE(Roster!$B63,12*Setup!$C$25),"")</f>
        <v/>
      </c>
      <c r="H63" s="32" t="str">
        <f>IF(AND(ISNUMBER(Roster!$B63),Setup!$B$26="Yes",ISNUMBER(Setup!$C$26)),EDATE(Roster!$B63,12*Setup!$C$26),"")</f>
        <v/>
      </c>
      <c r="I63" s="32" t="str">
        <f>IF(AND(ISNUMBER(Roster!$B63),Setup!$B$27="Yes",ISNUMBER(Setup!$C$27)),EDATE(Roster!$B63,12*Setup!$C$27),"")</f>
        <v/>
      </c>
      <c r="J63" s="32" t="str">
        <f>IF(AND(ISNUMBER(Roster!$B63),Setup!$B$28="Yes",ISNUMBER(Setup!$C$28)),EDATE(Roster!$B63,12*Setup!$C$28),"")</f>
        <v/>
      </c>
      <c r="K63" s="32" t="str">
        <f>IF(AND(ISNUMBER(Roster!$B63),Setup!$B$29="Yes",ISNUMBER(Setup!$C$29)),EDATE(Roster!$B63,12*Setup!$C$29),"")</f>
        <v/>
      </c>
      <c r="L63" s="32" t="str">
        <f>IF(AND(ISNUMBER(Roster!$B63),Setup!$B$30="Yes",ISNUMBER(Setup!$C$30)),EDATE(Roster!$B63,12*Setup!$C$30),"")</f>
        <v/>
      </c>
      <c r="M63" s="32" t="str">
        <f>IF(AND(ISNUMBER(Roster!$B63),Setup!$B$31="Yes",ISNUMBER(Setup!$C$31)),EDATE(Roster!$B63,12*Setup!$C$31),"")</f>
        <v/>
      </c>
      <c r="N63" s="32" t="str">
        <f>IF(AND(ISNUMBER(Roster!$B63),Setup!$B$32="Yes",ISNUMBER(Setup!$C$32)),EDATE(Roster!$B63,12*Setup!$C$32),"")</f>
        <v/>
      </c>
      <c r="O63" s="32" t="str">
        <f>IF(AND(ISNUMBER(Roster!$B63),Setup!$B$33="Yes",ISNUMBER(Setup!$C$33)),EDATE(Roster!$B63,12*Setup!$C$33),"")</f>
        <v/>
      </c>
      <c r="P63" s="32" t="str">
        <f>IF(AND(ISNUMBER(Roster!$B63),Setup!$B$34="Yes",ISNUMBER(Setup!$C$34)),EDATE(Roster!$B63,12*Setup!$C$34),"")</f>
        <v/>
      </c>
      <c r="R63" t="str">
        <f>IF(B63="","",IF(B63&lt;Setup!$C$5-Setup!$C$6,"",IF(IF(ISNUMBER(Roster!$D63),Setup!$C$20&lt;=Roster!$D63,FALSE),"",IF(OR(IF(Setup!$C$15&lt;=Setup!$C$16,AND(MONTH(B63)&gt;=Setup!$C$15,MONTH(B63)&lt;=Setup!$C$16),OR(MONTH(B63)&gt;=Setup!$C$15,MONTH(B63)&lt;=Setup!$C$16)),IF(Setup!$C$15&lt;=Setup!$C$16,AND(MONTH(WORKDAY(B63,-(Setup!$C$13+Setup!$G$20),Setup!$C$39:$C$50))&gt;=Setup!$C$15,MONTH(WORKDAY(B63,-(Setup!$C$13+Setup!$G$20),Setup!$C$39:$C$50))&lt;=Setup!$C$16),OR(MONTH(WORKDAY(B63,-(Setup!$C$13+Setup!$G$20),Setup!$C$39:$C$50))&gt;=Setup!$C$15,MONTH(WORKDAY(B63,-(Setup!$C$13+Setup!$G$20),Setup!$C$39:$C$50))&lt;=Setup!$C$16))),WORKDAY(B63,-(Setup!$C$13+Setup!$G$20+Setup!$C$14),Setup!$C$39:$C$50),WORKDAY(B63,-(Setup!$C$13+Setup!$G$20),Setup!$C$39:$C$50))+(58*100+1)/10000000)))</f>
        <v/>
      </c>
      <c r="S63" t="str">
        <f>IF(C63="","",IF(C63&lt;Setup!$C$5-Setup!$C$6,"",IF(IF(ISNUMBER(Roster!$D63),Setup!$C$21&lt;=Roster!$D63,FALSE),"",IF(OR(IF(Setup!$C$15&lt;=Setup!$C$16,AND(MONTH(C63)&gt;=Setup!$C$15,MONTH(C63)&lt;=Setup!$C$16),OR(MONTH(C63)&gt;=Setup!$C$15,MONTH(C63)&lt;=Setup!$C$16)),IF(Setup!$C$15&lt;=Setup!$C$16,AND(MONTH(WORKDAY(C63,-(Setup!$C$13+Setup!$G$21),Setup!$C$39:$C$50))&gt;=Setup!$C$15,MONTH(WORKDAY(C63,-(Setup!$C$13+Setup!$G$21),Setup!$C$39:$C$50))&lt;=Setup!$C$16),OR(MONTH(WORKDAY(C63,-(Setup!$C$13+Setup!$G$21),Setup!$C$39:$C$50))&gt;=Setup!$C$15,MONTH(WORKDAY(C63,-(Setup!$C$13+Setup!$G$21),Setup!$C$39:$C$50))&lt;=Setup!$C$16))),WORKDAY(C63,-(Setup!$C$13+Setup!$G$21+Setup!$C$14),Setup!$C$39:$C$50),WORKDAY(C63,-(Setup!$C$13+Setup!$G$21),Setup!$C$39:$C$50))+(58*100+2)/10000000)))</f>
        <v/>
      </c>
      <c r="T63" t="str">
        <f>IF(D63="","",IF(D63&lt;Setup!$C$5-Setup!$C$6,"",IF(IF(ISNUMBER(Roster!$D63),Setup!$C$22&lt;=Roster!$D63,FALSE),"",IF(OR(IF(Setup!$C$15&lt;=Setup!$C$16,AND(MONTH(D63)&gt;=Setup!$C$15,MONTH(D63)&lt;=Setup!$C$16),OR(MONTH(D63)&gt;=Setup!$C$15,MONTH(D63)&lt;=Setup!$C$16)),IF(Setup!$C$15&lt;=Setup!$C$16,AND(MONTH(WORKDAY(D63,-(Setup!$C$13+Setup!$G$22),Setup!$C$39:$C$50))&gt;=Setup!$C$15,MONTH(WORKDAY(D63,-(Setup!$C$13+Setup!$G$22),Setup!$C$39:$C$50))&lt;=Setup!$C$16),OR(MONTH(WORKDAY(D63,-(Setup!$C$13+Setup!$G$22),Setup!$C$39:$C$50))&gt;=Setup!$C$15,MONTH(WORKDAY(D63,-(Setup!$C$13+Setup!$G$22),Setup!$C$39:$C$50))&lt;=Setup!$C$16))),WORKDAY(D63,-(Setup!$C$13+Setup!$G$22+Setup!$C$14),Setup!$C$39:$C$50),WORKDAY(D63,-(Setup!$C$13+Setup!$G$22),Setup!$C$39:$C$50))+(58*100+3)/10000000)))</f>
        <v/>
      </c>
      <c r="U63" t="str">
        <f>IF(E63="","",IF(E63&lt;Setup!$C$5-Setup!$C$6,"",IF(IF(ISNUMBER(Roster!$D63),Setup!$C$23&lt;=Roster!$D63,FALSE),"",IF(OR(IF(Setup!$C$15&lt;=Setup!$C$16,AND(MONTH(E63)&gt;=Setup!$C$15,MONTH(E63)&lt;=Setup!$C$16),OR(MONTH(E63)&gt;=Setup!$C$15,MONTH(E63)&lt;=Setup!$C$16)),IF(Setup!$C$15&lt;=Setup!$C$16,AND(MONTH(WORKDAY(E63,-(Setup!$C$13+Setup!$G$23),Setup!$C$39:$C$50))&gt;=Setup!$C$15,MONTH(WORKDAY(E63,-(Setup!$C$13+Setup!$G$23),Setup!$C$39:$C$50))&lt;=Setup!$C$16),OR(MONTH(WORKDAY(E63,-(Setup!$C$13+Setup!$G$23),Setup!$C$39:$C$50))&gt;=Setup!$C$15,MONTH(WORKDAY(E63,-(Setup!$C$13+Setup!$G$23),Setup!$C$39:$C$50))&lt;=Setup!$C$16))),WORKDAY(E63,-(Setup!$C$13+Setup!$G$23+Setup!$C$14),Setup!$C$39:$C$50),WORKDAY(E63,-(Setup!$C$13+Setup!$G$23),Setup!$C$39:$C$50))+(58*100+4)/10000000)))</f>
        <v/>
      </c>
      <c r="V63" t="str">
        <f>IF(F63="","",IF(F63&lt;Setup!$C$5-Setup!$C$6,"",IF(IF(ISNUMBER(Roster!$D63),Setup!$C$24&lt;=Roster!$D63,FALSE),"",IF(OR(IF(Setup!$C$15&lt;=Setup!$C$16,AND(MONTH(F63)&gt;=Setup!$C$15,MONTH(F63)&lt;=Setup!$C$16),OR(MONTH(F63)&gt;=Setup!$C$15,MONTH(F63)&lt;=Setup!$C$16)),IF(Setup!$C$15&lt;=Setup!$C$16,AND(MONTH(WORKDAY(F63,-(Setup!$C$13+Setup!$G$24),Setup!$C$39:$C$50))&gt;=Setup!$C$15,MONTH(WORKDAY(F63,-(Setup!$C$13+Setup!$G$24),Setup!$C$39:$C$50))&lt;=Setup!$C$16),OR(MONTH(WORKDAY(F63,-(Setup!$C$13+Setup!$G$24),Setup!$C$39:$C$50))&gt;=Setup!$C$15,MONTH(WORKDAY(F63,-(Setup!$C$13+Setup!$G$24),Setup!$C$39:$C$50))&lt;=Setup!$C$16))),WORKDAY(F63,-(Setup!$C$13+Setup!$G$24+Setup!$C$14),Setup!$C$39:$C$50),WORKDAY(F63,-(Setup!$C$13+Setup!$G$24),Setup!$C$39:$C$50))+(58*100+5)/10000000)))</f>
        <v/>
      </c>
      <c r="W63" t="str">
        <f>IF(G63="","",IF(G63&lt;Setup!$C$5-Setup!$C$6,"",IF(IF(ISNUMBER(Roster!$D63),Setup!$C$25&lt;=Roster!$D63,FALSE),"",IF(OR(IF(Setup!$C$15&lt;=Setup!$C$16,AND(MONTH(G63)&gt;=Setup!$C$15,MONTH(G63)&lt;=Setup!$C$16),OR(MONTH(G63)&gt;=Setup!$C$15,MONTH(G63)&lt;=Setup!$C$16)),IF(Setup!$C$15&lt;=Setup!$C$16,AND(MONTH(WORKDAY(G63,-(Setup!$C$13+Setup!$G$25),Setup!$C$39:$C$50))&gt;=Setup!$C$15,MONTH(WORKDAY(G63,-(Setup!$C$13+Setup!$G$25),Setup!$C$39:$C$50))&lt;=Setup!$C$16),OR(MONTH(WORKDAY(G63,-(Setup!$C$13+Setup!$G$25),Setup!$C$39:$C$50))&gt;=Setup!$C$15,MONTH(WORKDAY(G63,-(Setup!$C$13+Setup!$G$25),Setup!$C$39:$C$50))&lt;=Setup!$C$16))),WORKDAY(G63,-(Setup!$C$13+Setup!$G$25+Setup!$C$14),Setup!$C$39:$C$50),WORKDAY(G63,-(Setup!$C$13+Setup!$G$25),Setup!$C$39:$C$50))+(58*100+6)/10000000)))</f>
        <v/>
      </c>
      <c r="X63" t="str">
        <f>IF(H63="","",IF(H63&lt;Setup!$C$5-Setup!$C$6,"",IF(IF(ISNUMBER(Roster!$D63),Setup!$C$26&lt;=Roster!$D63,FALSE),"",IF(OR(IF(Setup!$C$15&lt;=Setup!$C$16,AND(MONTH(H63)&gt;=Setup!$C$15,MONTH(H63)&lt;=Setup!$C$16),OR(MONTH(H63)&gt;=Setup!$C$15,MONTH(H63)&lt;=Setup!$C$16)),IF(Setup!$C$15&lt;=Setup!$C$16,AND(MONTH(WORKDAY(H63,-(Setup!$C$13+Setup!$G$26),Setup!$C$39:$C$50))&gt;=Setup!$C$15,MONTH(WORKDAY(H63,-(Setup!$C$13+Setup!$G$26),Setup!$C$39:$C$50))&lt;=Setup!$C$16),OR(MONTH(WORKDAY(H63,-(Setup!$C$13+Setup!$G$26),Setup!$C$39:$C$50))&gt;=Setup!$C$15,MONTH(WORKDAY(H63,-(Setup!$C$13+Setup!$G$26),Setup!$C$39:$C$50))&lt;=Setup!$C$16))),WORKDAY(H63,-(Setup!$C$13+Setup!$G$26+Setup!$C$14),Setup!$C$39:$C$50),WORKDAY(H63,-(Setup!$C$13+Setup!$G$26),Setup!$C$39:$C$50))+(58*100+7)/10000000)))</f>
        <v/>
      </c>
      <c r="Y63" t="str">
        <f>IF(I63="","",IF(I63&lt;Setup!$C$5-Setup!$C$6,"",IF(IF(ISNUMBER(Roster!$D63),Setup!$C$27&lt;=Roster!$D63,FALSE),"",IF(OR(IF(Setup!$C$15&lt;=Setup!$C$16,AND(MONTH(I63)&gt;=Setup!$C$15,MONTH(I63)&lt;=Setup!$C$16),OR(MONTH(I63)&gt;=Setup!$C$15,MONTH(I63)&lt;=Setup!$C$16)),IF(Setup!$C$15&lt;=Setup!$C$16,AND(MONTH(WORKDAY(I63,-(Setup!$C$13+Setup!$G$27),Setup!$C$39:$C$50))&gt;=Setup!$C$15,MONTH(WORKDAY(I63,-(Setup!$C$13+Setup!$G$27),Setup!$C$39:$C$50))&lt;=Setup!$C$16),OR(MONTH(WORKDAY(I63,-(Setup!$C$13+Setup!$G$27),Setup!$C$39:$C$50))&gt;=Setup!$C$15,MONTH(WORKDAY(I63,-(Setup!$C$13+Setup!$G$27),Setup!$C$39:$C$50))&lt;=Setup!$C$16))),WORKDAY(I63,-(Setup!$C$13+Setup!$G$27+Setup!$C$14),Setup!$C$39:$C$50),WORKDAY(I63,-(Setup!$C$13+Setup!$G$27),Setup!$C$39:$C$50))+(58*100+8)/10000000)))</f>
        <v/>
      </c>
      <c r="Z63" t="str">
        <f>IF(J63="","",IF(J63&lt;Setup!$C$5-Setup!$C$6,"",IF(IF(ISNUMBER(Roster!$D63),Setup!$C$28&lt;=Roster!$D63,FALSE),"",IF(OR(IF(Setup!$C$15&lt;=Setup!$C$16,AND(MONTH(J63)&gt;=Setup!$C$15,MONTH(J63)&lt;=Setup!$C$16),OR(MONTH(J63)&gt;=Setup!$C$15,MONTH(J63)&lt;=Setup!$C$16)),IF(Setup!$C$15&lt;=Setup!$C$16,AND(MONTH(WORKDAY(J63,-(Setup!$C$13+Setup!$G$28),Setup!$C$39:$C$50))&gt;=Setup!$C$15,MONTH(WORKDAY(J63,-(Setup!$C$13+Setup!$G$28),Setup!$C$39:$C$50))&lt;=Setup!$C$16),OR(MONTH(WORKDAY(J63,-(Setup!$C$13+Setup!$G$28),Setup!$C$39:$C$50))&gt;=Setup!$C$15,MONTH(WORKDAY(J63,-(Setup!$C$13+Setup!$G$28),Setup!$C$39:$C$50))&lt;=Setup!$C$16))),WORKDAY(J63,-(Setup!$C$13+Setup!$G$28+Setup!$C$14),Setup!$C$39:$C$50),WORKDAY(J63,-(Setup!$C$13+Setup!$G$28),Setup!$C$39:$C$50))+(58*100+9)/10000000)))</f>
        <v/>
      </c>
      <c r="AA63" t="str">
        <f>IF(K63="","",IF(K63&lt;Setup!$C$5-Setup!$C$6,"",IF(IF(ISNUMBER(Roster!$D63),Setup!$C$29&lt;=Roster!$D63,FALSE),"",IF(OR(IF(Setup!$C$15&lt;=Setup!$C$16,AND(MONTH(K63)&gt;=Setup!$C$15,MONTH(K63)&lt;=Setup!$C$16),OR(MONTH(K63)&gt;=Setup!$C$15,MONTH(K63)&lt;=Setup!$C$16)),IF(Setup!$C$15&lt;=Setup!$C$16,AND(MONTH(WORKDAY(K63,-(Setup!$C$13+Setup!$G$29),Setup!$C$39:$C$50))&gt;=Setup!$C$15,MONTH(WORKDAY(K63,-(Setup!$C$13+Setup!$G$29),Setup!$C$39:$C$50))&lt;=Setup!$C$16),OR(MONTH(WORKDAY(K63,-(Setup!$C$13+Setup!$G$29),Setup!$C$39:$C$50))&gt;=Setup!$C$15,MONTH(WORKDAY(K63,-(Setup!$C$13+Setup!$G$29),Setup!$C$39:$C$50))&lt;=Setup!$C$16))),WORKDAY(K63,-(Setup!$C$13+Setup!$G$29+Setup!$C$14),Setup!$C$39:$C$50),WORKDAY(K63,-(Setup!$C$13+Setup!$G$29),Setup!$C$39:$C$50))+(58*100+10)/10000000)))</f>
        <v/>
      </c>
      <c r="AB63" t="str">
        <f>IF(L63="","",IF(L63&lt;Setup!$C$5-Setup!$C$6,"",IF(IF(ISNUMBER(Roster!$D63),Setup!$C$30&lt;=Roster!$D63,FALSE),"",IF(OR(IF(Setup!$C$15&lt;=Setup!$C$16,AND(MONTH(L63)&gt;=Setup!$C$15,MONTH(L63)&lt;=Setup!$C$16),OR(MONTH(L63)&gt;=Setup!$C$15,MONTH(L63)&lt;=Setup!$C$16)),IF(Setup!$C$15&lt;=Setup!$C$16,AND(MONTH(WORKDAY(L63,-(Setup!$C$13+Setup!$G$30),Setup!$C$39:$C$50))&gt;=Setup!$C$15,MONTH(WORKDAY(L63,-(Setup!$C$13+Setup!$G$30),Setup!$C$39:$C$50))&lt;=Setup!$C$16),OR(MONTH(WORKDAY(L63,-(Setup!$C$13+Setup!$G$30),Setup!$C$39:$C$50))&gt;=Setup!$C$15,MONTH(WORKDAY(L63,-(Setup!$C$13+Setup!$G$30),Setup!$C$39:$C$50))&lt;=Setup!$C$16))),WORKDAY(L63,-(Setup!$C$13+Setup!$G$30+Setup!$C$14),Setup!$C$39:$C$50),WORKDAY(L63,-(Setup!$C$13+Setup!$G$30),Setup!$C$39:$C$50))+(58*100+11)/10000000)))</f>
        <v/>
      </c>
      <c r="AC63" t="str">
        <f>IF(M63="","",IF(M63&lt;Setup!$C$5-Setup!$C$6,"",IF(IF(ISNUMBER(Roster!$D63),Setup!$C$31&lt;=Roster!$D63,FALSE),"",IF(OR(IF(Setup!$C$15&lt;=Setup!$C$16,AND(MONTH(M63)&gt;=Setup!$C$15,MONTH(M63)&lt;=Setup!$C$16),OR(MONTH(M63)&gt;=Setup!$C$15,MONTH(M63)&lt;=Setup!$C$16)),IF(Setup!$C$15&lt;=Setup!$C$16,AND(MONTH(WORKDAY(M63,-(Setup!$C$13+Setup!$G$31),Setup!$C$39:$C$50))&gt;=Setup!$C$15,MONTH(WORKDAY(M63,-(Setup!$C$13+Setup!$G$31),Setup!$C$39:$C$50))&lt;=Setup!$C$16),OR(MONTH(WORKDAY(M63,-(Setup!$C$13+Setup!$G$31),Setup!$C$39:$C$50))&gt;=Setup!$C$15,MONTH(WORKDAY(M63,-(Setup!$C$13+Setup!$G$31),Setup!$C$39:$C$50))&lt;=Setup!$C$16))),WORKDAY(M63,-(Setup!$C$13+Setup!$G$31+Setup!$C$14),Setup!$C$39:$C$50),WORKDAY(M63,-(Setup!$C$13+Setup!$G$31),Setup!$C$39:$C$50))+(58*100+12)/10000000)))</f>
        <v/>
      </c>
      <c r="AD63" t="str">
        <f>IF(N63="","",IF(N63&lt;Setup!$C$5-Setup!$C$6,"",IF(IF(ISNUMBER(Roster!$D63),Setup!$C$32&lt;=Roster!$D63,FALSE),"",IF(OR(IF(Setup!$C$15&lt;=Setup!$C$16,AND(MONTH(N63)&gt;=Setup!$C$15,MONTH(N63)&lt;=Setup!$C$16),OR(MONTH(N63)&gt;=Setup!$C$15,MONTH(N63)&lt;=Setup!$C$16)),IF(Setup!$C$15&lt;=Setup!$C$16,AND(MONTH(WORKDAY(N63,-(Setup!$C$13+Setup!$G$32),Setup!$C$39:$C$50))&gt;=Setup!$C$15,MONTH(WORKDAY(N63,-(Setup!$C$13+Setup!$G$32),Setup!$C$39:$C$50))&lt;=Setup!$C$16),OR(MONTH(WORKDAY(N63,-(Setup!$C$13+Setup!$G$32),Setup!$C$39:$C$50))&gt;=Setup!$C$15,MONTH(WORKDAY(N63,-(Setup!$C$13+Setup!$G$32),Setup!$C$39:$C$50))&lt;=Setup!$C$16))),WORKDAY(N63,-(Setup!$C$13+Setup!$G$32+Setup!$C$14),Setup!$C$39:$C$50),WORKDAY(N63,-(Setup!$C$13+Setup!$G$32),Setup!$C$39:$C$50))+(58*100+13)/10000000)))</f>
        <v/>
      </c>
      <c r="AE63" t="str">
        <f>IF(O63="","",IF(O63&lt;Setup!$C$5-Setup!$C$6,"",IF(IF(ISNUMBER(Roster!$D63),Setup!$C$33&lt;=Roster!$D63,FALSE),"",IF(OR(IF(Setup!$C$15&lt;=Setup!$C$16,AND(MONTH(O63)&gt;=Setup!$C$15,MONTH(O63)&lt;=Setup!$C$16),OR(MONTH(O63)&gt;=Setup!$C$15,MONTH(O63)&lt;=Setup!$C$16)),IF(Setup!$C$15&lt;=Setup!$C$16,AND(MONTH(WORKDAY(O63,-(Setup!$C$13+Setup!$G$33),Setup!$C$39:$C$50))&gt;=Setup!$C$15,MONTH(WORKDAY(O63,-(Setup!$C$13+Setup!$G$33),Setup!$C$39:$C$50))&lt;=Setup!$C$16),OR(MONTH(WORKDAY(O63,-(Setup!$C$13+Setup!$G$33),Setup!$C$39:$C$50))&gt;=Setup!$C$15,MONTH(WORKDAY(O63,-(Setup!$C$13+Setup!$G$33),Setup!$C$39:$C$50))&lt;=Setup!$C$16))),WORKDAY(O63,-(Setup!$C$13+Setup!$G$33+Setup!$C$14),Setup!$C$39:$C$50),WORKDAY(O63,-(Setup!$C$13+Setup!$G$33),Setup!$C$39:$C$50))+(58*100+14)/10000000)))</f>
        <v/>
      </c>
      <c r="AF63" t="str">
        <f>IF(P63="","",IF(P63&lt;Setup!$C$5-Setup!$C$6,"",IF(IF(ISNUMBER(Roster!$D63),Setup!$C$34&lt;=Roster!$D63,FALSE),"",IF(OR(IF(Setup!$C$15&lt;=Setup!$C$16,AND(MONTH(P63)&gt;=Setup!$C$15,MONTH(P63)&lt;=Setup!$C$16),OR(MONTH(P63)&gt;=Setup!$C$15,MONTH(P63)&lt;=Setup!$C$16)),IF(Setup!$C$15&lt;=Setup!$C$16,AND(MONTH(WORKDAY(P63,-(Setup!$C$13+Setup!$G$34),Setup!$C$39:$C$50))&gt;=Setup!$C$15,MONTH(WORKDAY(P63,-(Setup!$C$13+Setup!$G$34),Setup!$C$39:$C$50))&lt;=Setup!$C$16),OR(MONTH(WORKDAY(P63,-(Setup!$C$13+Setup!$G$34),Setup!$C$39:$C$50))&gt;=Setup!$C$15,MONTH(WORKDAY(P63,-(Setup!$C$13+Setup!$G$34),Setup!$C$39:$C$50))&lt;=Setup!$C$16))),WORKDAY(P63,-(Setup!$C$13+Setup!$G$34+Setup!$C$14),Setup!$C$39:$C$50),WORKDAY(P63,-(Setup!$C$13+Setup!$G$34),Setup!$C$39:$C$50))+(58*100+15)/10000000)))</f>
        <v/>
      </c>
      <c r="AH63" t="str">
        <f t="shared" si="0"/>
        <v/>
      </c>
      <c r="AI63" t="str">
        <f t="shared" si="1"/>
        <v/>
      </c>
      <c r="AK63" t="str">
        <f ca="1">IF(58&gt;$AK$2,"",SMALL($R$6:$AF$505,58))</f>
        <v/>
      </c>
      <c r="AL63" t="str">
        <f t="shared" ca="1" si="2"/>
        <v/>
      </c>
      <c r="AM63" t="str">
        <f t="shared" ca="1" si="3"/>
        <v/>
      </c>
      <c r="AN63" t="str">
        <f t="shared" ca="1" si="4"/>
        <v/>
      </c>
      <c r="AP63" t="str">
        <f>IF(ISNUMBER(Roster!$B63),MAX(1,YEAR(Setup!$C$5)-YEAR(Roster!$B63)+IF(EDATE(Roster!$B63,12*(YEAR(Setup!$C$5)-YEAR(Roster!$B63)))&lt;Setup!$C$5,1,0)),"")</f>
        <v/>
      </c>
      <c r="AQ63" s="32" t="str">
        <f>IF(AP63="","",EDATE(Roster!$B63,12*AP63))</f>
        <v/>
      </c>
      <c r="AR63" t="str">
        <f>IF(AQ63="","",IF(AQ63&lt;DATE(YEAR(Setup!$C$5)+1,MONTH(Setup!$C$5),DAY(Setup!$C$5)),AQ63+58/1000,""))</f>
        <v/>
      </c>
      <c r="AS63" t="str">
        <f t="shared" si="5"/>
        <v/>
      </c>
      <c r="AT63" t="str">
        <f>IF(AS63="","",IF(ISNUMBER(Roster!$D63),Roster!$D63&gt;=AP63,FALSE))</f>
        <v/>
      </c>
      <c r="AU63" t="str">
        <f t="shared" si="6"/>
        <v/>
      </c>
      <c r="AV63" t="str">
        <f ca="1">IF(58&gt;$AV$2,"",SMALL($AR$6:$AR$505,58))</f>
        <v/>
      </c>
      <c r="AW63" t="str">
        <f t="shared" ca="1" si="7"/>
        <v/>
      </c>
    </row>
    <row r="64" spans="2:49" x14ac:dyDescent="0.2">
      <c r="B64" s="32" t="str">
        <f>IF(AND(ISNUMBER(Roster!$B64),Setup!$B$20="Yes",ISNUMBER(Setup!$C$20)),EDATE(Roster!$B64,12*Setup!$C$20),"")</f>
        <v/>
      </c>
      <c r="C64" s="32" t="str">
        <f>IF(AND(ISNUMBER(Roster!$B64),Setup!$B$21="Yes",ISNUMBER(Setup!$C$21)),EDATE(Roster!$B64,12*Setup!$C$21),"")</f>
        <v/>
      </c>
      <c r="D64" s="32" t="str">
        <f>IF(AND(ISNUMBER(Roster!$B64),Setup!$B$22="Yes",ISNUMBER(Setup!$C$22)),EDATE(Roster!$B64,12*Setup!$C$22),"")</f>
        <v/>
      </c>
      <c r="E64" s="32" t="str">
        <f>IF(AND(ISNUMBER(Roster!$B64),Setup!$B$23="Yes",ISNUMBER(Setup!$C$23)),EDATE(Roster!$B64,12*Setup!$C$23),"")</f>
        <v/>
      </c>
      <c r="F64" s="32" t="str">
        <f>IF(AND(ISNUMBER(Roster!$B64),Setup!$B$24="Yes",ISNUMBER(Setup!$C$24)),EDATE(Roster!$B64,12*Setup!$C$24),"")</f>
        <v/>
      </c>
      <c r="G64" s="32" t="str">
        <f>IF(AND(ISNUMBER(Roster!$B64),Setup!$B$25="Yes",ISNUMBER(Setup!$C$25)),EDATE(Roster!$B64,12*Setup!$C$25),"")</f>
        <v/>
      </c>
      <c r="H64" s="32" t="str">
        <f>IF(AND(ISNUMBER(Roster!$B64),Setup!$B$26="Yes",ISNUMBER(Setup!$C$26)),EDATE(Roster!$B64,12*Setup!$C$26),"")</f>
        <v/>
      </c>
      <c r="I64" s="32" t="str">
        <f>IF(AND(ISNUMBER(Roster!$B64),Setup!$B$27="Yes",ISNUMBER(Setup!$C$27)),EDATE(Roster!$B64,12*Setup!$C$27),"")</f>
        <v/>
      </c>
      <c r="J64" s="32" t="str">
        <f>IF(AND(ISNUMBER(Roster!$B64),Setup!$B$28="Yes",ISNUMBER(Setup!$C$28)),EDATE(Roster!$B64,12*Setup!$C$28),"")</f>
        <v/>
      </c>
      <c r="K64" s="32" t="str">
        <f>IF(AND(ISNUMBER(Roster!$B64),Setup!$B$29="Yes",ISNUMBER(Setup!$C$29)),EDATE(Roster!$B64,12*Setup!$C$29),"")</f>
        <v/>
      </c>
      <c r="L64" s="32" t="str">
        <f>IF(AND(ISNUMBER(Roster!$B64),Setup!$B$30="Yes",ISNUMBER(Setup!$C$30)),EDATE(Roster!$B64,12*Setup!$C$30),"")</f>
        <v/>
      </c>
      <c r="M64" s="32" t="str">
        <f>IF(AND(ISNUMBER(Roster!$B64),Setup!$B$31="Yes",ISNUMBER(Setup!$C$31)),EDATE(Roster!$B64,12*Setup!$C$31),"")</f>
        <v/>
      </c>
      <c r="N64" s="32" t="str">
        <f>IF(AND(ISNUMBER(Roster!$B64),Setup!$B$32="Yes",ISNUMBER(Setup!$C$32)),EDATE(Roster!$B64,12*Setup!$C$32),"")</f>
        <v/>
      </c>
      <c r="O64" s="32" t="str">
        <f>IF(AND(ISNUMBER(Roster!$B64),Setup!$B$33="Yes",ISNUMBER(Setup!$C$33)),EDATE(Roster!$B64,12*Setup!$C$33),"")</f>
        <v/>
      </c>
      <c r="P64" s="32" t="str">
        <f>IF(AND(ISNUMBER(Roster!$B64),Setup!$B$34="Yes",ISNUMBER(Setup!$C$34)),EDATE(Roster!$B64,12*Setup!$C$34),"")</f>
        <v/>
      </c>
      <c r="R64" t="str">
        <f>IF(B64="","",IF(B64&lt;Setup!$C$5-Setup!$C$6,"",IF(IF(ISNUMBER(Roster!$D64),Setup!$C$20&lt;=Roster!$D64,FALSE),"",IF(OR(IF(Setup!$C$15&lt;=Setup!$C$16,AND(MONTH(B64)&gt;=Setup!$C$15,MONTH(B64)&lt;=Setup!$C$16),OR(MONTH(B64)&gt;=Setup!$C$15,MONTH(B64)&lt;=Setup!$C$16)),IF(Setup!$C$15&lt;=Setup!$C$16,AND(MONTH(WORKDAY(B64,-(Setup!$C$13+Setup!$G$20),Setup!$C$39:$C$50))&gt;=Setup!$C$15,MONTH(WORKDAY(B64,-(Setup!$C$13+Setup!$G$20),Setup!$C$39:$C$50))&lt;=Setup!$C$16),OR(MONTH(WORKDAY(B64,-(Setup!$C$13+Setup!$G$20),Setup!$C$39:$C$50))&gt;=Setup!$C$15,MONTH(WORKDAY(B64,-(Setup!$C$13+Setup!$G$20),Setup!$C$39:$C$50))&lt;=Setup!$C$16))),WORKDAY(B64,-(Setup!$C$13+Setup!$G$20+Setup!$C$14),Setup!$C$39:$C$50),WORKDAY(B64,-(Setup!$C$13+Setup!$G$20),Setup!$C$39:$C$50))+(59*100+1)/10000000)))</f>
        <v/>
      </c>
      <c r="S64" t="str">
        <f>IF(C64="","",IF(C64&lt;Setup!$C$5-Setup!$C$6,"",IF(IF(ISNUMBER(Roster!$D64),Setup!$C$21&lt;=Roster!$D64,FALSE),"",IF(OR(IF(Setup!$C$15&lt;=Setup!$C$16,AND(MONTH(C64)&gt;=Setup!$C$15,MONTH(C64)&lt;=Setup!$C$16),OR(MONTH(C64)&gt;=Setup!$C$15,MONTH(C64)&lt;=Setup!$C$16)),IF(Setup!$C$15&lt;=Setup!$C$16,AND(MONTH(WORKDAY(C64,-(Setup!$C$13+Setup!$G$21),Setup!$C$39:$C$50))&gt;=Setup!$C$15,MONTH(WORKDAY(C64,-(Setup!$C$13+Setup!$G$21),Setup!$C$39:$C$50))&lt;=Setup!$C$16),OR(MONTH(WORKDAY(C64,-(Setup!$C$13+Setup!$G$21),Setup!$C$39:$C$50))&gt;=Setup!$C$15,MONTH(WORKDAY(C64,-(Setup!$C$13+Setup!$G$21),Setup!$C$39:$C$50))&lt;=Setup!$C$16))),WORKDAY(C64,-(Setup!$C$13+Setup!$G$21+Setup!$C$14),Setup!$C$39:$C$50),WORKDAY(C64,-(Setup!$C$13+Setup!$G$21),Setup!$C$39:$C$50))+(59*100+2)/10000000)))</f>
        <v/>
      </c>
      <c r="T64" t="str">
        <f>IF(D64="","",IF(D64&lt;Setup!$C$5-Setup!$C$6,"",IF(IF(ISNUMBER(Roster!$D64),Setup!$C$22&lt;=Roster!$D64,FALSE),"",IF(OR(IF(Setup!$C$15&lt;=Setup!$C$16,AND(MONTH(D64)&gt;=Setup!$C$15,MONTH(D64)&lt;=Setup!$C$16),OR(MONTH(D64)&gt;=Setup!$C$15,MONTH(D64)&lt;=Setup!$C$16)),IF(Setup!$C$15&lt;=Setup!$C$16,AND(MONTH(WORKDAY(D64,-(Setup!$C$13+Setup!$G$22),Setup!$C$39:$C$50))&gt;=Setup!$C$15,MONTH(WORKDAY(D64,-(Setup!$C$13+Setup!$G$22),Setup!$C$39:$C$50))&lt;=Setup!$C$16),OR(MONTH(WORKDAY(D64,-(Setup!$C$13+Setup!$G$22),Setup!$C$39:$C$50))&gt;=Setup!$C$15,MONTH(WORKDAY(D64,-(Setup!$C$13+Setup!$G$22),Setup!$C$39:$C$50))&lt;=Setup!$C$16))),WORKDAY(D64,-(Setup!$C$13+Setup!$G$22+Setup!$C$14),Setup!$C$39:$C$50),WORKDAY(D64,-(Setup!$C$13+Setup!$G$22),Setup!$C$39:$C$50))+(59*100+3)/10000000)))</f>
        <v/>
      </c>
      <c r="U64" t="str">
        <f>IF(E64="","",IF(E64&lt;Setup!$C$5-Setup!$C$6,"",IF(IF(ISNUMBER(Roster!$D64),Setup!$C$23&lt;=Roster!$D64,FALSE),"",IF(OR(IF(Setup!$C$15&lt;=Setup!$C$16,AND(MONTH(E64)&gt;=Setup!$C$15,MONTH(E64)&lt;=Setup!$C$16),OR(MONTH(E64)&gt;=Setup!$C$15,MONTH(E64)&lt;=Setup!$C$16)),IF(Setup!$C$15&lt;=Setup!$C$16,AND(MONTH(WORKDAY(E64,-(Setup!$C$13+Setup!$G$23),Setup!$C$39:$C$50))&gt;=Setup!$C$15,MONTH(WORKDAY(E64,-(Setup!$C$13+Setup!$G$23),Setup!$C$39:$C$50))&lt;=Setup!$C$16),OR(MONTH(WORKDAY(E64,-(Setup!$C$13+Setup!$G$23),Setup!$C$39:$C$50))&gt;=Setup!$C$15,MONTH(WORKDAY(E64,-(Setup!$C$13+Setup!$G$23),Setup!$C$39:$C$50))&lt;=Setup!$C$16))),WORKDAY(E64,-(Setup!$C$13+Setup!$G$23+Setup!$C$14),Setup!$C$39:$C$50),WORKDAY(E64,-(Setup!$C$13+Setup!$G$23),Setup!$C$39:$C$50))+(59*100+4)/10000000)))</f>
        <v/>
      </c>
      <c r="V64" t="str">
        <f>IF(F64="","",IF(F64&lt;Setup!$C$5-Setup!$C$6,"",IF(IF(ISNUMBER(Roster!$D64),Setup!$C$24&lt;=Roster!$D64,FALSE),"",IF(OR(IF(Setup!$C$15&lt;=Setup!$C$16,AND(MONTH(F64)&gt;=Setup!$C$15,MONTH(F64)&lt;=Setup!$C$16),OR(MONTH(F64)&gt;=Setup!$C$15,MONTH(F64)&lt;=Setup!$C$16)),IF(Setup!$C$15&lt;=Setup!$C$16,AND(MONTH(WORKDAY(F64,-(Setup!$C$13+Setup!$G$24),Setup!$C$39:$C$50))&gt;=Setup!$C$15,MONTH(WORKDAY(F64,-(Setup!$C$13+Setup!$G$24),Setup!$C$39:$C$50))&lt;=Setup!$C$16),OR(MONTH(WORKDAY(F64,-(Setup!$C$13+Setup!$G$24),Setup!$C$39:$C$50))&gt;=Setup!$C$15,MONTH(WORKDAY(F64,-(Setup!$C$13+Setup!$G$24),Setup!$C$39:$C$50))&lt;=Setup!$C$16))),WORKDAY(F64,-(Setup!$C$13+Setup!$G$24+Setup!$C$14),Setup!$C$39:$C$50),WORKDAY(F64,-(Setup!$C$13+Setup!$G$24),Setup!$C$39:$C$50))+(59*100+5)/10000000)))</f>
        <v/>
      </c>
      <c r="W64" t="str">
        <f>IF(G64="","",IF(G64&lt;Setup!$C$5-Setup!$C$6,"",IF(IF(ISNUMBER(Roster!$D64),Setup!$C$25&lt;=Roster!$D64,FALSE),"",IF(OR(IF(Setup!$C$15&lt;=Setup!$C$16,AND(MONTH(G64)&gt;=Setup!$C$15,MONTH(G64)&lt;=Setup!$C$16),OR(MONTH(G64)&gt;=Setup!$C$15,MONTH(G64)&lt;=Setup!$C$16)),IF(Setup!$C$15&lt;=Setup!$C$16,AND(MONTH(WORKDAY(G64,-(Setup!$C$13+Setup!$G$25),Setup!$C$39:$C$50))&gt;=Setup!$C$15,MONTH(WORKDAY(G64,-(Setup!$C$13+Setup!$G$25),Setup!$C$39:$C$50))&lt;=Setup!$C$16),OR(MONTH(WORKDAY(G64,-(Setup!$C$13+Setup!$G$25),Setup!$C$39:$C$50))&gt;=Setup!$C$15,MONTH(WORKDAY(G64,-(Setup!$C$13+Setup!$G$25),Setup!$C$39:$C$50))&lt;=Setup!$C$16))),WORKDAY(G64,-(Setup!$C$13+Setup!$G$25+Setup!$C$14),Setup!$C$39:$C$50),WORKDAY(G64,-(Setup!$C$13+Setup!$G$25),Setup!$C$39:$C$50))+(59*100+6)/10000000)))</f>
        <v/>
      </c>
      <c r="X64" t="str">
        <f>IF(H64="","",IF(H64&lt;Setup!$C$5-Setup!$C$6,"",IF(IF(ISNUMBER(Roster!$D64),Setup!$C$26&lt;=Roster!$D64,FALSE),"",IF(OR(IF(Setup!$C$15&lt;=Setup!$C$16,AND(MONTH(H64)&gt;=Setup!$C$15,MONTH(H64)&lt;=Setup!$C$16),OR(MONTH(H64)&gt;=Setup!$C$15,MONTH(H64)&lt;=Setup!$C$16)),IF(Setup!$C$15&lt;=Setup!$C$16,AND(MONTH(WORKDAY(H64,-(Setup!$C$13+Setup!$G$26),Setup!$C$39:$C$50))&gt;=Setup!$C$15,MONTH(WORKDAY(H64,-(Setup!$C$13+Setup!$G$26),Setup!$C$39:$C$50))&lt;=Setup!$C$16),OR(MONTH(WORKDAY(H64,-(Setup!$C$13+Setup!$G$26),Setup!$C$39:$C$50))&gt;=Setup!$C$15,MONTH(WORKDAY(H64,-(Setup!$C$13+Setup!$G$26),Setup!$C$39:$C$50))&lt;=Setup!$C$16))),WORKDAY(H64,-(Setup!$C$13+Setup!$G$26+Setup!$C$14),Setup!$C$39:$C$50),WORKDAY(H64,-(Setup!$C$13+Setup!$G$26),Setup!$C$39:$C$50))+(59*100+7)/10000000)))</f>
        <v/>
      </c>
      <c r="Y64" t="str">
        <f>IF(I64="","",IF(I64&lt;Setup!$C$5-Setup!$C$6,"",IF(IF(ISNUMBER(Roster!$D64),Setup!$C$27&lt;=Roster!$D64,FALSE),"",IF(OR(IF(Setup!$C$15&lt;=Setup!$C$16,AND(MONTH(I64)&gt;=Setup!$C$15,MONTH(I64)&lt;=Setup!$C$16),OR(MONTH(I64)&gt;=Setup!$C$15,MONTH(I64)&lt;=Setup!$C$16)),IF(Setup!$C$15&lt;=Setup!$C$16,AND(MONTH(WORKDAY(I64,-(Setup!$C$13+Setup!$G$27),Setup!$C$39:$C$50))&gt;=Setup!$C$15,MONTH(WORKDAY(I64,-(Setup!$C$13+Setup!$G$27),Setup!$C$39:$C$50))&lt;=Setup!$C$16),OR(MONTH(WORKDAY(I64,-(Setup!$C$13+Setup!$G$27),Setup!$C$39:$C$50))&gt;=Setup!$C$15,MONTH(WORKDAY(I64,-(Setup!$C$13+Setup!$G$27),Setup!$C$39:$C$50))&lt;=Setup!$C$16))),WORKDAY(I64,-(Setup!$C$13+Setup!$G$27+Setup!$C$14),Setup!$C$39:$C$50),WORKDAY(I64,-(Setup!$C$13+Setup!$G$27),Setup!$C$39:$C$50))+(59*100+8)/10000000)))</f>
        <v/>
      </c>
      <c r="Z64" t="str">
        <f>IF(J64="","",IF(J64&lt;Setup!$C$5-Setup!$C$6,"",IF(IF(ISNUMBER(Roster!$D64),Setup!$C$28&lt;=Roster!$D64,FALSE),"",IF(OR(IF(Setup!$C$15&lt;=Setup!$C$16,AND(MONTH(J64)&gt;=Setup!$C$15,MONTH(J64)&lt;=Setup!$C$16),OR(MONTH(J64)&gt;=Setup!$C$15,MONTH(J64)&lt;=Setup!$C$16)),IF(Setup!$C$15&lt;=Setup!$C$16,AND(MONTH(WORKDAY(J64,-(Setup!$C$13+Setup!$G$28),Setup!$C$39:$C$50))&gt;=Setup!$C$15,MONTH(WORKDAY(J64,-(Setup!$C$13+Setup!$G$28),Setup!$C$39:$C$50))&lt;=Setup!$C$16),OR(MONTH(WORKDAY(J64,-(Setup!$C$13+Setup!$G$28),Setup!$C$39:$C$50))&gt;=Setup!$C$15,MONTH(WORKDAY(J64,-(Setup!$C$13+Setup!$G$28),Setup!$C$39:$C$50))&lt;=Setup!$C$16))),WORKDAY(J64,-(Setup!$C$13+Setup!$G$28+Setup!$C$14),Setup!$C$39:$C$50),WORKDAY(J64,-(Setup!$C$13+Setup!$G$28),Setup!$C$39:$C$50))+(59*100+9)/10000000)))</f>
        <v/>
      </c>
      <c r="AA64" t="str">
        <f>IF(K64="","",IF(K64&lt;Setup!$C$5-Setup!$C$6,"",IF(IF(ISNUMBER(Roster!$D64),Setup!$C$29&lt;=Roster!$D64,FALSE),"",IF(OR(IF(Setup!$C$15&lt;=Setup!$C$16,AND(MONTH(K64)&gt;=Setup!$C$15,MONTH(K64)&lt;=Setup!$C$16),OR(MONTH(K64)&gt;=Setup!$C$15,MONTH(K64)&lt;=Setup!$C$16)),IF(Setup!$C$15&lt;=Setup!$C$16,AND(MONTH(WORKDAY(K64,-(Setup!$C$13+Setup!$G$29),Setup!$C$39:$C$50))&gt;=Setup!$C$15,MONTH(WORKDAY(K64,-(Setup!$C$13+Setup!$G$29),Setup!$C$39:$C$50))&lt;=Setup!$C$16),OR(MONTH(WORKDAY(K64,-(Setup!$C$13+Setup!$G$29),Setup!$C$39:$C$50))&gt;=Setup!$C$15,MONTH(WORKDAY(K64,-(Setup!$C$13+Setup!$G$29),Setup!$C$39:$C$50))&lt;=Setup!$C$16))),WORKDAY(K64,-(Setup!$C$13+Setup!$G$29+Setup!$C$14),Setup!$C$39:$C$50),WORKDAY(K64,-(Setup!$C$13+Setup!$G$29),Setup!$C$39:$C$50))+(59*100+10)/10000000)))</f>
        <v/>
      </c>
      <c r="AB64" t="str">
        <f>IF(L64="","",IF(L64&lt;Setup!$C$5-Setup!$C$6,"",IF(IF(ISNUMBER(Roster!$D64),Setup!$C$30&lt;=Roster!$D64,FALSE),"",IF(OR(IF(Setup!$C$15&lt;=Setup!$C$16,AND(MONTH(L64)&gt;=Setup!$C$15,MONTH(L64)&lt;=Setup!$C$16),OR(MONTH(L64)&gt;=Setup!$C$15,MONTH(L64)&lt;=Setup!$C$16)),IF(Setup!$C$15&lt;=Setup!$C$16,AND(MONTH(WORKDAY(L64,-(Setup!$C$13+Setup!$G$30),Setup!$C$39:$C$50))&gt;=Setup!$C$15,MONTH(WORKDAY(L64,-(Setup!$C$13+Setup!$G$30),Setup!$C$39:$C$50))&lt;=Setup!$C$16),OR(MONTH(WORKDAY(L64,-(Setup!$C$13+Setup!$G$30),Setup!$C$39:$C$50))&gt;=Setup!$C$15,MONTH(WORKDAY(L64,-(Setup!$C$13+Setup!$G$30),Setup!$C$39:$C$50))&lt;=Setup!$C$16))),WORKDAY(L64,-(Setup!$C$13+Setup!$G$30+Setup!$C$14),Setup!$C$39:$C$50),WORKDAY(L64,-(Setup!$C$13+Setup!$G$30),Setup!$C$39:$C$50))+(59*100+11)/10000000)))</f>
        <v/>
      </c>
      <c r="AC64" t="str">
        <f>IF(M64="","",IF(M64&lt;Setup!$C$5-Setup!$C$6,"",IF(IF(ISNUMBER(Roster!$D64),Setup!$C$31&lt;=Roster!$D64,FALSE),"",IF(OR(IF(Setup!$C$15&lt;=Setup!$C$16,AND(MONTH(M64)&gt;=Setup!$C$15,MONTH(M64)&lt;=Setup!$C$16),OR(MONTH(M64)&gt;=Setup!$C$15,MONTH(M64)&lt;=Setup!$C$16)),IF(Setup!$C$15&lt;=Setup!$C$16,AND(MONTH(WORKDAY(M64,-(Setup!$C$13+Setup!$G$31),Setup!$C$39:$C$50))&gt;=Setup!$C$15,MONTH(WORKDAY(M64,-(Setup!$C$13+Setup!$G$31),Setup!$C$39:$C$50))&lt;=Setup!$C$16),OR(MONTH(WORKDAY(M64,-(Setup!$C$13+Setup!$G$31),Setup!$C$39:$C$50))&gt;=Setup!$C$15,MONTH(WORKDAY(M64,-(Setup!$C$13+Setup!$G$31),Setup!$C$39:$C$50))&lt;=Setup!$C$16))),WORKDAY(M64,-(Setup!$C$13+Setup!$G$31+Setup!$C$14),Setup!$C$39:$C$50),WORKDAY(M64,-(Setup!$C$13+Setup!$G$31),Setup!$C$39:$C$50))+(59*100+12)/10000000)))</f>
        <v/>
      </c>
      <c r="AD64" t="str">
        <f>IF(N64="","",IF(N64&lt;Setup!$C$5-Setup!$C$6,"",IF(IF(ISNUMBER(Roster!$D64),Setup!$C$32&lt;=Roster!$D64,FALSE),"",IF(OR(IF(Setup!$C$15&lt;=Setup!$C$16,AND(MONTH(N64)&gt;=Setup!$C$15,MONTH(N64)&lt;=Setup!$C$16),OR(MONTH(N64)&gt;=Setup!$C$15,MONTH(N64)&lt;=Setup!$C$16)),IF(Setup!$C$15&lt;=Setup!$C$16,AND(MONTH(WORKDAY(N64,-(Setup!$C$13+Setup!$G$32),Setup!$C$39:$C$50))&gt;=Setup!$C$15,MONTH(WORKDAY(N64,-(Setup!$C$13+Setup!$G$32),Setup!$C$39:$C$50))&lt;=Setup!$C$16),OR(MONTH(WORKDAY(N64,-(Setup!$C$13+Setup!$G$32),Setup!$C$39:$C$50))&gt;=Setup!$C$15,MONTH(WORKDAY(N64,-(Setup!$C$13+Setup!$G$32),Setup!$C$39:$C$50))&lt;=Setup!$C$16))),WORKDAY(N64,-(Setup!$C$13+Setup!$G$32+Setup!$C$14),Setup!$C$39:$C$50),WORKDAY(N64,-(Setup!$C$13+Setup!$G$32),Setup!$C$39:$C$50))+(59*100+13)/10000000)))</f>
        <v/>
      </c>
      <c r="AE64" t="str">
        <f>IF(O64="","",IF(O64&lt;Setup!$C$5-Setup!$C$6,"",IF(IF(ISNUMBER(Roster!$D64),Setup!$C$33&lt;=Roster!$D64,FALSE),"",IF(OR(IF(Setup!$C$15&lt;=Setup!$C$16,AND(MONTH(O64)&gt;=Setup!$C$15,MONTH(O64)&lt;=Setup!$C$16),OR(MONTH(O64)&gt;=Setup!$C$15,MONTH(O64)&lt;=Setup!$C$16)),IF(Setup!$C$15&lt;=Setup!$C$16,AND(MONTH(WORKDAY(O64,-(Setup!$C$13+Setup!$G$33),Setup!$C$39:$C$50))&gt;=Setup!$C$15,MONTH(WORKDAY(O64,-(Setup!$C$13+Setup!$G$33),Setup!$C$39:$C$50))&lt;=Setup!$C$16),OR(MONTH(WORKDAY(O64,-(Setup!$C$13+Setup!$G$33),Setup!$C$39:$C$50))&gt;=Setup!$C$15,MONTH(WORKDAY(O64,-(Setup!$C$13+Setup!$G$33),Setup!$C$39:$C$50))&lt;=Setup!$C$16))),WORKDAY(O64,-(Setup!$C$13+Setup!$G$33+Setup!$C$14),Setup!$C$39:$C$50),WORKDAY(O64,-(Setup!$C$13+Setup!$G$33),Setup!$C$39:$C$50))+(59*100+14)/10000000)))</f>
        <v/>
      </c>
      <c r="AF64" t="str">
        <f>IF(P64="","",IF(P64&lt;Setup!$C$5-Setup!$C$6,"",IF(IF(ISNUMBER(Roster!$D64),Setup!$C$34&lt;=Roster!$D64,FALSE),"",IF(OR(IF(Setup!$C$15&lt;=Setup!$C$16,AND(MONTH(P64)&gt;=Setup!$C$15,MONTH(P64)&lt;=Setup!$C$16),OR(MONTH(P64)&gt;=Setup!$C$15,MONTH(P64)&lt;=Setup!$C$16)),IF(Setup!$C$15&lt;=Setup!$C$16,AND(MONTH(WORKDAY(P64,-(Setup!$C$13+Setup!$G$34),Setup!$C$39:$C$50))&gt;=Setup!$C$15,MONTH(WORKDAY(P64,-(Setup!$C$13+Setup!$G$34),Setup!$C$39:$C$50))&lt;=Setup!$C$16),OR(MONTH(WORKDAY(P64,-(Setup!$C$13+Setup!$G$34),Setup!$C$39:$C$50))&gt;=Setup!$C$15,MONTH(WORKDAY(P64,-(Setup!$C$13+Setup!$G$34),Setup!$C$39:$C$50))&lt;=Setup!$C$16))),WORKDAY(P64,-(Setup!$C$13+Setup!$G$34+Setup!$C$14),Setup!$C$39:$C$50),WORKDAY(P64,-(Setup!$C$13+Setup!$G$34),Setup!$C$39:$C$50))+(59*100+15)/10000000)))</f>
        <v/>
      </c>
      <c r="AH64" t="str">
        <f t="shared" si="0"/>
        <v/>
      </c>
      <c r="AI64" t="str">
        <f t="shared" si="1"/>
        <v/>
      </c>
      <c r="AK64" t="str">
        <f ca="1">IF(59&gt;$AK$2,"",SMALL($R$6:$AF$505,59))</f>
        <v/>
      </c>
      <c r="AL64" t="str">
        <f t="shared" ca="1" si="2"/>
        <v/>
      </c>
      <c r="AM64" t="str">
        <f t="shared" ca="1" si="3"/>
        <v/>
      </c>
      <c r="AN64" t="str">
        <f t="shared" ca="1" si="4"/>
        <v/>
      </c>
      <c r="AP64" t="str">
        <f>IF(ISNUMBER(Roster!$B64),MAX(1,YEAR(Setup!$C$5)-YEAR(Roster!$B64)+IF(EDATE(Roster!$B64,12*(YEAR(Setup!$C$5)-YEAR(Roster!$B64)))&lt;Setup!$C$5,1,0)),"")</f>
        <v/>
      </c>
      <c r="AQ64" s="32" t="str">
        <f>IF(AP64="","",EDATE(Roster!$B64,12*AP64))</f>
        <v/>
      </c>
      <c r="AR64" t="str">
        <f>IF(AQ64="","",IF(AQ64&lt;DATE(YEAR(Setup!$C$5)+1,MONTH(Setup!$C$5),DAY(Setup!$C$5)),AQ64+59/1000,""))</f>
        <v/>
      </c>
      <c r="AS64" t="str">
        <f t="shared" si="5"/>
        <v/>
      </c>
      <c r="AT64" t="str">
        <f>IF(AS64="","",IF(ISNUMBER(Roster!$D64),Roster!$D64&gt;=AP64,FALSE))</f>
        <v/>
      </c>
      <c r="AU64" t="str">
        <f t="shared" si="6"/>
        <v/>
      </c>
      <c r="AV64" t="str">
        <f ca="1">IF(59&gt;$AV$2,"",SMALL($AR$6:$AR$505,59))</f>
        <v/>
      </c>
      <c r="AW64" t="str">
        <f t="shared" ca="1" si="7"/>
        <v/>
      </c>
    </row>
    <row r="65" spans="2:49" x14ac:dyDescent="0.2">
      <c r="B65" s="32" t="str">
        <f>IF(AND(ISNUMBER(Roster!$B65),Setup!$B$20="Yes",ISNUMBER(Setup!$C$20)),EDATE(Roster!$B65,12*Setup!$C$20),"")</f>
        <v/>
      </c>
      <c r="C65" s="32" t="str">
        <f>IF(AND(ISNUMBER(Roster!$B65),Setup!$B$21="Yes",ISNUMBER(Setup!$C$21)),EDATE(Roster!$B65,12*Setup!$C$21),"")</f>
        <v/>
      </c>
      <c r="D65" s="32" t="str">
        <f>IF(AND(ISNUMBER(Roster!$B65),Setup!$B$22="Yes",ISNUMBER(Setup!$C$22)),EDATE(Roster!$B65,12*Setup!$C$22),"")</f>
        <v/>
      </c>
      <c r="E65" s="32" t="str">
        <f>IF(AND(ISNUMBER(Roster!$B65),Setup!$B$23="Yes",ISNUMBER(Setup!$C$23)),EDATE(Roster!$B65,12*Setup!$C$23),"")</f>
        <v/>
      </c>
      <c r="F65" s="32" t="str">
        <f>IF(AND(ISNUMBER(Roster!$B65),Setup!$B$24="Yes",ISNUMBER(Setup!$C$24)),EDATE(Roster!$B65,12*Setup!$C$24),"")</f>
        <v/>
      </c>
      <c r="G65" s="32" t="str">
        <f>IF(AND(ISNUMBER(Roster!$B65),Setup!$B$25="Yes",ISNUMBER(Setup!$C$25)),EDATE(Roster!$B65,12*Setup!$C$25),"")</f>
        <v/>
      </c>
      <c r="H65" s="32" t="str">
        <f>IF(AND(ISNUMBER(Roster!$B65),Setup!$B$26="Yes",ISNUMBER(Setup!$C$26)),EDATE(Roster!$B65,12*Setup!$C$26),"")</f>
        <v/>
      </c>
      <c r="I65" s="32" t="str">
        <f>IF(AND(ISNUMBER(Roster!$B65),Setup!$B$27="Yes",ISNUMBER(Setup!$C$27)),EDATE(Roster!$B65,12*Setup!$C$27),"")</f>
        <v/>
      </c>
      <c r="J65" s="32" t="str">
        <f>IF(AND(ISNUMBER(Roster!$B65),Setup!$B$28="Yes",ISNUMBER(Setup!$C$28)),EDATE(Roster!$B65,12*Setup!$C$28),"")</f>
        <v/>
      </c>
      <c r="K65" s="32" t="str">
        <f>IF(AND(ISNUMBER(Roster!$B65),Setup!$B$29="Yes",ISNUMBER(Setup!$C$29)),EDATE(Roster!$B65,12*Setup!$C$29),"")</f>
        <v/>
      </c>
      <c r="L65" s="32" t="str">
        <f>IF(AND(ISNUMBER(Roster!$B65),Setup!$B$30="Yes",ISNUMBER(Setup!$C$30)),EDATE(Roster!$B65,12*Setup!$C$30),"")</f>
        <v/>
      </c>
      <c r="M65" s="32" t="str">
        <f>IF(AND(ISNUMBER(Roster!$B65),Setup!$B$31="Yes",ISNUMBER(Setup!$C$31)),EDATE(Roster!$B65,12*Setup!$C$31),"")</f>
        <v/>
      </c>
      <c r="N65" s="32" t="str">
        <f>IF(AND(ISNUMBER(Roster!$B65),Setup!$B$32="Yes",ISNUMBER(Setup!$C$32)),EDATE(Roster!$B65,12*Setup!$C$32),"")</f>
        <v/>
      </c>
      <c r="O65" s="32" t="str">
        <f>IF(AND(ISNUMBER(Roster!$B65),Setup!$B$33="Yes",ISNUMBER(Setup!$C$33)),EDATE(Roster!$B65,12*Setup!$C$33),"")</f>
        <v/>
      </c>
      <c r="P65" s="32" t="str">
        <f>IF(AND(ISNUMBER(Roster!$B65),Setup!$B$34="Yes",ISNUMBER(Setup!$C$34)),EDATE(Roster!$B65,12*Setup!$C$34),"")</f>
        <v/>
      </c>
      <c r="R65" t="str">
        <f>IF(B65="","",IF(B65&lt;Setup!$C$5-Setup!$C$6,"",IF(IF(ISNUMBER(Roster!$D65),Setup!$C$20&lt;=Roster!$D65,FALSE),"",IF(OR(IF(Setup!$C$15&lt;=Setup!$C$16,AND(MONTH(B65)&gt;=Setup!$C$15,MONTH(B65)&lt;=Setup!$C$16),OR(MONTH(B65)&gt;=Setup!$C$15,MONTH(B65)&lt;=Setup!$C$16)),IF(Setup!$C$15&lt;=Setup!$C$16,AND(MONTH(WORKDAY(B65,-(Setup!$C$13+Setup!$G$20),Setup!$C$39:$C$50))&gt;=Setup!$C$15,MONTH(WORKDAY(B65,-(Setup!$C$13+Setup!$G$20),Setup!$C$39:$C$50))&lt;=Setup!$C$16),OR(MONTH(WORKDAY(B65,-(Setup!$C$13+Setup!$G$20),Setup!$C$39:$C$50))&gt;=Setup!$C$15,MONTH(WORKDAY(B65,-(Setup!$C$13+Setup!$G$20),Setup!$C$39:$C$50))&lt;=Setup!$C$16))),WORKDAY(B65,-(Setup!$C$13+Setup!$G$20+Setup!$C$14),Setup!$C$39:$C$50),WORKDAY(B65,-(Setup!$C$13+Setup!$G$20),Setup!$C$39:$C$50))+(60*100+1)/10000000)))</f>
        <v/>
      </c>
      <c r="S65" t="str">
        <f>IF(C65="","",IF(C65&lt;Setup!$C$5-Setup!$C$6,"",IF(IF(ISNUMBER(Roster!$D65),Setup!$C$21&lt;=Roster!$D65,FALSE),"",IF(OR(IF(Setup!$C$15&lt;=Setup!$C$16,AND(MONTH(C65)&gt;=Setup!$C$15,MONTH(C65)&lt;=Setup!$C$16),OR(MONTH(C65)&gt;=Setup!$C$15,MONTH(C65)&lt;=Setup!$C$16)),IF(Setup!$C$15&lt;=Setup!$C$16,AND(MONTH(WORKDAY(C65,-(Setup!$C$13+Setup!$G$21),Setup!$C$39:$C$50))&gt;=Setup!$C$15,MONTH(WORKDAY(C65,-(Setup!$C$13+Setup!$G$21),Setup!$C$39:$C$50))&lt;=Setup!$C$16),OR(MONTH(WORKDAY(C65,-(Setup!$C$13+Setup!$G$21),Setup!$C$39:$C$50))&gt;=Setup!$C$15,MONTH(WORKDAY(C65,-(Setup!$C$13+Setup!$G$21),Setup!$C$39:$C$50))&lt;=Setup!$C$16))),WORKDAY(C65,-(Setup!$C$13+Setup!$G$21+Setup!$C$14),Setup!$C$39:$C$50),WORKDAY(C65,-(Setup!$C$13+Setup!$G$21),Setup!$C$39:$C$50))+(60*100+2)/10000000)))</f>
        <v/>
      </c>
      <c r="T65" t="str">
        <f>IF(D65="","",IF(D65&lt;Setup!$C$5-Setup!$C$6,"",IF(IF(ISNUMBER(Roster!$D65),Setup!$C$22&lt;=Roster!$D65,FALSE),"",IF(OR(IF(Setup!$C$15&lt;=Setup!$C$16,AND(MONTH(D65)&gt;=Setup!$C$15,MONTH(D65)&lt;=Setup!$C$16),OR(MONTH(D65)&gt;=Setup!$C$15,MONTH(D65)&lt;=Setup!$C$16)),IF(Setup!$C$15&lt;=Setup!$C$16,AND(MONTH(WORKDAY(D65,-(Setup!$C$13+Setup!$G$22),Setup!$C$39:$C$50))&gt;=Setup!$C$15,MONTH(WORKDAY(D65,-(Setup!$C$13+Setup!$G$22),Setup!$C$39:$C$50))&lt;=Setup!$C$16),OR(MONTH(WORKDAY(D65,-(Setup!$C$13+Setup!$G$22),Setup!$C$39:$C$50))&gt;=Setup!$C$15,MONTH(WORKDAY(D65,-(Setup!$C$13+Setup!$G$22),Setup!$C$39:$C$50))&lt;=Setup!$C$16))),WORKDAY(D65,-(Setup!$C$13+Setup!$G$22+Setup!$C$14),Setup!$C$39:$C$50),WORKDAY(D65,-(Setup!$C$13+Setup!$G$22),Setup!$C$39:$C$50))+(60*100+3)/10000000)))</f>
        <v/>
      </c>
      <c r="U65" t="str">
        <f>IF(E65="","",IF(E65&lt;Setup!$C$5-Setup!$C$6,"",IF(IF(ISNUMBER(Roster!$D65),Setup!$C$23&lt;=Roster!$D65,FALSE),"",IF(OR(IF(Setup!$C$15&lt;=Setup!$C$16,AND(MONTH(E65)&gt;=Setup!$C$15,MONTH(E65)&lt;=Setup!$C$16),OR(MONTH(E65)&gt;=Setup!$C$15,MONTH(E65)&lt;=Setup!$C$16)),IF(Setup!$C$15&lt;=Setup!$C$16,AND(MONTH(WORKDAY(E65,-(Setup!$C$13+Setup!$G$23),Setup!$C$39:$C$50))&gt;=Setup!$C$15,MONTH(WORKDAY(E65,-(Setup!$C$13+Setup!$G$23),Setup!$C$39:$C$50))&lt;=Setup!$C$16),OR(MONTH(WORKDAY(E65,-(Setup!$C$13+Setup!$G$23),Setup!$C$39:$C$50))&gt;=Setup!$C$15,MONTH(WORKDAY(E65,-(Setup!$C$13+Setup!$G$23),Setup!$C$39:$C$50))&lt;=Setup!$C$16))),WORKDAY(E65,-(Setup!$C$13+Setup!$G$23+Setup!$C$14),Setup!$C$39:$C$50),WORKDAY(E65,-(Setup!$C$13+Setup!$G$23),Setup!$C$39:$C$50))+(60*100+4)/10000000)))</f>
        <v/>
      </c>
      <c r="V65" t="str">
        <f>IF(F65="","",IF(F65&lt;Setup!$C$5-Setup!$C$6,"",IF(IF(ISNUMBER(Roster!$D65),Setup!$C$24&lt;=Roster!$D65,FALSE),"",IF(OR(IF(Setup!$C$15&lt;=Setup!$C$16,AND(MONTH(F65)&gt;=Setup!$C$15,MONTH(F65)&lt;=Setup!$C$16),OR(MONTH(F65)&gt;=Setup!$C$15,MONTH(F65)&lt;=Setup!$C$16)),IF(Setup!$C$15&lt;=Setup!$C$16,AND(MONTH(WORKDAY(F65,-(Setup!$C$13+Setup!$G$24),Setup!$C$39:$C$50))&gt;=Setup!$C$15,MONTH(WORKDAY(F65,-(Setup!$C$13+Setup!$G$24),Setup!$C$39:$C$50))&lt;=Setup!$C$16),OR(MONTH(WORKDAY(F65,-(Setup!$C$13+Setup!$G$24),Setup!$C$39:$C$50))&gt;=Setup!$C$15,MONTH(WORKDAY(F65,-(Setup!$C$13+Setup!$G$24),Setup!$C$39:$C$50))&lt;=Setup!$C$16))),WORKDAY(F65,-(Setup!$C$13+Setup!$G$24+Setup!$C$14),Setup!$C$39:$C$50),WORKDAY(F65,-(Setup!$C$13+Setup!$G$24),Setup!$C$39:$C$50))+(60*100+5)/10000000)))</f>
        <v/>
      </c>
      <c r="W65" t="str">
        <f>IF(G65="","",IF(G65&lt;Setup!$C$5-Setup!$C$6,"",IF(IF(ISNUMBER(Roster!$D65),Setup!$C$25&lt;=Roster!$D65,FALSE),"",IF(OR(IF(Setup!$C$15&lt;=Setup!$C$16,AND(MONTH(G65)&gt;=Setup!$C$15,MONTH(G65)&lt;=Setup!$C$16),OR(MONTH(G65)&gt;=Setup!$C$15,MONTH(G65)&lt;=Setup!$C$16)),IF(Setup!$C$15&lt;=Setup!$C$16,AND(MONTH(WORKDAY(G65,-(Setup!$C$13+Setup!$G$25),Setup!$C$39:$C$50))&gt;=Setup!$C$15,MONTH(WORKDAY(G65,-(Setup!$C$13+Setup!$G$25),Setup!$C$39:$C$50))&lt;=Setup!$C$16),OR(MONTH(WORKDAY(G65,-(Setup!$C$13+Setup!$G$25),Setup!$C$39:$C$50))&gt;=Setup!$C$15,MONTH(WORKDAY(G65,-(Setup!$C$13+Setup!$G$25),Setup!$C$39:$C$50))&lt;=Setup!$C$16))),WORKDAY(G65,-(Setup!$C$13+Setup!$G$25+Setup!$C$14),Setup!$C$39:$C$50),WORKDAY(G65,-(Setup!$C$13+Setup!$G$25),Setup!$C$39:$C$50))+(60*100+6)/10000000)))</f>
        <v/>
      </c>
      <c r="X65" t="str">
        <f>IF(H65="","",IF(H65&lt;Setup!$C$5-Setup!$C$6,"",IF(IF(ISNUMBER(Roster!$D65),Setup!$C$26&lt;=Roster!$D65,FALSE),"",IF(OR(IF(Setup!$C$15&lt;=Setup!$C$16,AND(MONTH(H65)&gt;=Setup!$C$15,MONTH(H65)&lt;=Setup!$C$16),OR(MONTH(H65)&gt;=Setup!$C$15,MONTH(H65)&lt;=Setup!$C$16)),IF(Setup!$C$15&lt;=Setup!$C$16,AND(MONTH(WORKDAY(H65,-(Setup!$C$13+Setup!$G$26),Setup!$C$39:$C$50))&gt;=Setup!$C$15,MONTH(WORKDAY(H65,-(Setup!$C$13+Setup!$G$26),Setup!$C$39:$C$50))&lt;=Setup!$C$16),OR(MONTH(WORKDAY(H65,-(Setup!$C$13+Setup!$G$26),Setup!$C$39:$C$50))&gt;=Setup!$C$15,MONTH(WORKDAY(H65,-(Setup!$C$13+Setup!$G$26),Setup!$C$39:$C$50))&lt;=Setup!$C$16))),WORKDAY(H65,-(Setup!$C$13+Setup!$G$26+Setup!$C$14),Setup!$C$39:$C$50),WORKDAY(H65,-(Setup!$C$13+Setup!$G$26),Setup!$C$39:$C$50))+(60*100+7)/10000000)))</f>
        <v/>
      </c>
      <c r="Y65" t="str">
        <f>IF(I65="","",IF(I65&lt;Setup!$C$5-Setup!$C$6,"",IF(IF(ISNUMBER(Roster!$D65),Setup!$C$27&lt;=Roster!$D65,FALSE),"",IF(OR(IF(Setup!$C$15&lt;=Setup!$C$16,AND(MONTH(I65)&gt;=Setup!$C$15,MONTH(I65)&lt;=Setup!$C$16),OR(MONTH(I65)&gt;=Setup!$C$15,MONTH(I65)&lt;=Setup!$C$16)),IF(Setup!$C$15&lt;=Setup!$C$16,AND(MONTH(WORKDAY(I65,-(Setup!$C$13+Setup!$G$27),Setup!$C$39:$C$50))&gt;=Setup!$C$15,MONTH(WORKDAY(I65,-(Setup!$C$13+Setup!$G$27),Setup!$C$39:$C$50))&lt;=Setup!$C$16),OR(MONTH(WORKDAY(I65,-(Setup!$C$13+Setup!$G$27),Setup!$C$39:$C$50))&gt;=Setup!$C$15,MONTH(WORKDAY(I65,-(Setup!$C$13+Setup!$G$27),Setup!$C$39:$C$50))&lt;=Setup!$C$16))),WORKDAY(I65,-(Setup!$C$13+Setup!$G$27+Setup!$C$14),Setup!$C$39:$C$50),WORKDAY(I65,-(Setup!$C$13+Setup!$G$27),Setup!$C$39:$C$50))+(60*100+8)/10000000)))</f>
        <v/>
      </c>
      <c r="Z65" t="str">
        <f>IF(J65="","",IF(J65&lt;Setup!$C$5-Setup!$C$6,"",IF(IF(ISNUMBER(Roster!$D65),Setup!$C$28&lt;=Roster!$D65,FALSE),"",IF(OR(IF(Setup!$C$15&lt;=Setup!$C$16,AND(MONTH(J65)&gt;=Setup!$C$15,MONTH(J65)&lt;=Setup!$C$16),OR(MONTH(J65)&gt;=Setup!$C$15,MONTH(J65)&lt;=Setup!$C$16)),IF(Setup!$C$15&lt;=Setup!$C$16,AND(MONTH(WORKDAY(J65,-(Setup!$C$13+Setup!$G$28),Setup!$C$39:$C$50))&gt;=Setup!$C$15,MONTH(WORKDAY(J65,-(Setup!$C$13+Setup!$G$28),Setup!$C$39:$C$50))&lt;=Setup!$C$16),OR(MONTH(WORKDAY(J65,-(Setup!$C$13+Setup!$G$28),Setup!$C$39:$C$50))&gt;=Setup!$C$15,MONTH(WORKDAY(J65,-(Setup!$C$13+Setup!$G$28),Setup!$C$39:$C$50))&lt;=Setup!$C$16))),WORKDAY(J65,-(Setup!$C$13+Setup!$G$28+Setup!$C$14),Setup!$C$39:$C$50),WORKDAY(J65,-(Setup!$C$13+Setup!$G$28),Setup!$C$39:$C$50))+(60*100+9)/10000000)))</f>
        <v/>
      </c>
      <c r="AA65" t="str">
        <f>IF(K65="","",IF(K65&lt;Setup!$C$5-Setup!$C$6,"",IF(IF(ISNUMBER(Roster!$D65),Setup!$C$29&lt;=Roster!$D65,FALSE),"",IF(OR(IF(Setup!$C$15&lt;=Setup!$C$16,AND(MONTH(K65)&gt;=Setup!$C$15,MONTH(K65)&lt;=Setup!$C$16),OR(MONTH(K65)&gt;=Setup!$C$15,MONTH(K65)&lt;=Setup!$C$16)),IF(Setup!$C$15&lt;=Setup!$C$16,AND(MONTH(WORKDAY(K65,-(Setup!$C$13+Setup!$G$29),Setup!$C$39:$C$50))&gt;=Setup!$C$15,MONTH(WORKDAY(K65,-(Setup!$C$13+Setup!$G$29),Setup!$C$39:$C$50))&lt;=Setup!$C$16),OR(MONTH(WORKDAY(K65,-(Setup!$C$13+Setup!$G$29),Setup!$C$39:$C$50))&gt;=Setup!$C$15,MONTH(WORKDAY(K65,-(Setup!$C$13+Setup!$G$29),Setup!$C$39:$C$50))&lt;=Setup!$C$16))),WORKDAY(K65,-(Setup!$C$13+Setup!$G$29+Setup!$C$14),Setup!$C$39:$C$50),WORKDAY(K65,-(Setup!$C$13+Setup!$G$29),Setup!$C$39:$C$50))+(60*100+10)/10000000)))</f>
        <v/>
      </c>
      <c r="AB65" t="str">
        <f>IF(L65="","",IF(L65&lt;Setup!$C$5-Setup!$C$6,"",IF(IF(ISNUMBER(Roster!$D65),Setup!$C$30&lt;=Roster!$D65,FALSE),"",IF(OR(IF(Setup!$C$15&lt;=Setup!$C$16,AND(MONTH(L65)&gt;=Setup!$C$15,MONTH(L65)&lt;=Setup!$C$16),OR(MONTH(L65)&gt;=Setup!$C$15,MONTH(L65)&lt;=Setup!$C$16)),IF(Setup!$C$15&lt;=Setup!$C$16,AND(MONTH(WORKDAY(L65,-(Setup!$C$13+Setup!$G$30),Setup!$C$39:$C$50))&gt;=Setup!$C$15,MONTH(WORKDAY(L65,-(Setup!$C$13+Setup!$G$30),Setup!$C$39:$C$50))&lt;=Setup!$C$16),OR(MONTH(WORKDAY(L65,-(Setup!$C$13+Setup!$G$30),Setup!$C$39:$C$50))&gt;=Setup!$C$15,MONTH(WORKDAY(L65,-(Setup!$C$13+Setup!$G$30),Setup!$C$39:$C$50))&lt;=Setup!$C$16))),WORKDAY(L65,-(Setup!$C$13+Setup!$G$30+Setup!$C$14),Setup!$C$39:$C$50),WORKDAY(L65,-(Setup!$C$13+Setup!$G$30),Setup!$C$39:$C$50))+(60*100+11)/10000000)))</f>
        <v/>
      </c>
      <c r="AC65" t="str">
        <f>IF(M65="","",IF(M65&lt;Setup!$C$5-Setup!$C$6,"",IF(IF(ISNUMBER(Roster!$D65),Setup!$C$31&lt;=Roster!$D65,FALSE),"",IF(OR(IF(Setup!$C$15&lt;=Setup!$C$16,AND(MONTH(M65)&gt;=Setup!$C$15,MONTH(M65)&lt;=Setup!$C$16),OR(MONTH(M65)&gt;=Setup!$C$15,MONTH(M65)&lt;=Setup!$C$16)),IF(Setup!$C$15&lt;=Setup!$C$16,AND(MONTH(WORKDAY(M65,-(Setup!$C$13+Setup!$G$31),Setup!$C$39:$C$50))&gt;=Setup!$C$15,MONTH(WORKDAY(M65,-(Setup!$C$13+Setup!$G$31),Setup!$C$39:$C$50))&lt;=Setup!$C$16),OR(MONTH(WORKDAY(M65,-(Setup!$C$13+Setup!$G$31),Setup!$C$39:$C$50))&gt;=Setup!$C$15,MONTH(WORKDAY(M65,-(Setup!$C$13+Setup!$G$31),Setup!$C$39:$C$50))&lt;=Setup!$C$16))),WORKDAY(M65,-(Setup!$C$13+Setup!$G$31+Setup!$C$14),Setup!$C$39:$C$50),WORKDAY(M65,-(Setup!$C$13+Setup!$G$31),Setup!$C$39:$C$50))+(60*100+12)/10000000)))</f>
        <v/>
      </c>
      <c r="AD65" t="str">
        <f>IF(N65="","",IF(N65&lt;Setup!$C$5-Setup!$C$6,"",IF(IF(ISNUMBER(Roster!$D65),Setup!$C$32&lt;=Roster!$D65,FALSE),"",IF(OR(IF(Setup!$C$15&lt;=Setup!$C$16,AND(MONTH(N65)&gt;=Setup!$C$15,MONTH(N65)&lt;=Setup!$C$16),OR(MONTH(N65)&gt;=Setup!$C$15,MONTH(N65)&lt;=Setup!$C$16)),IF(Setup!$C$15&lt;=Setup!$C$16,AND(MONTH(WORKDAY(N65,-(Setup!$C$13+Setup!$G$32),Setup!$C$39:$C$50))&gt;=Setup!$C$15,MONTH(WORKDAY(N65,-(Setup!$C$13+Setup!$G$32),Setup!$C$39:$C$50))&lt;=Setup!$C$16),OR(MONTH(WORKDAY(N65,-(Setup!$C$13+Setup!$G$32),Setup!$C$39:$C$50))&gt;=Setup!$C$15,MONTH(WORKDAY(N65,-(Setup!$C$13+Setup!$G$32),Setup!$C$39:$C$50))&lt;=Setup!$C$16))),WORKDAY(N65,-(Setup!$C$13+Setup!$G$32+Setup!$C$14),Setup!$C$39:$C$50),WORKDAY(N65,-(Setup!$C$13+Setup!$G$32),Setup!$C$39:$C$50))+(60*100+13)/10000000)))</f>
        <v/>
      </c>
      <c r="AE65" t="str">
        <f>IF(O65="","",IF(O65&lt;Setup!$C$5-Setup!$C$6,"",IF(IF(ISNUMBER(Roster!$D65),Setup!$C$33&lt;=Roster!$D65,FALSE),"",IF(OR(IF(Setup!$C$15&lt;=Setup!$C$16,AND(MONTH(O65)&gt;=Setup!$C$15,MONTH(O65)&lt;=Setup!$C$16),OR(MONTH(O65)&gt;=Setup!$C$15,MONTH(O65)&lt;=Setup!$C$16)),IF(Setup!$C$15&lt;=Setup!$C$16,AND(MONTH(WORKDAY(O65,-(Setup!$C$13+Setup!$G$33),Setup!$C$39:$C$50))&gt;=Setup!$C$15,MONTH(WORKDAY(O65,-(Setup!$C$13+Setup!$G$33),Setup!$C$39:$C$50))&lt;=Setup!$C$16),OR(MONTH(WORKDAY(O65,-(Setup!$C$13+Setup!$G$33),Setup!$C$39:$C$50))&gt;=Setup!$C$15,MONTH(WORKDAY(O65,-(Setup!$C$13+Setup!$G$33),Setup!$C$39:$C$50))&lt;=Setup!$C$16))),WORKDAY(O65,-(Setup!$C$13+Setup!$G$33+Setup!$C$14),Setup!$C$39:$C$50),WORKDAY(O65,-(Setup!$C$13+Setup!$G$33),Setup!$C$39:$C$50))+(60*100+14)/10000000)))</f>
        <v/>
      </c>
      <c r="AF65" t="str">
        <f>IF(P65="","",IF(P65&lt;Setup!$C$5-Setup!$C$6,"",IF(IF(ISNUMBER(Roster!$D65),Setup!$C$34&lt;=Roster!$D65,FALSE),"",IF(OR(IF(Setup!$C$15&lt;=Setup!$C$16,AND(MONTH(P65)&gt;=Setup!$C$15,MONTH(P65)&lt;=Setup!$C$16),OR(MONTH(P65)&gt;=Setup!$C$15,MONTH(P65)&lt;=Setup!$C$16)),IF(Setup!$C$15&lt;=Setup!$C$16,AND(MONTH(WORKDAY(P65,-(Setup!$C$13+Setup!$G$34),Setup!$C$39:$C$50))&gt;=Setup!$C$15,MONTH(WORKDAY(P65,-(Setup!$C$13+Setup!$G$34),Setup!$C$39:$C$50))&lt;=Setup!$C$16),OR(MONTH(WORKDAY(P65,-(Setup!$C$13+Setup!$G$34),Setup!$C$39:$C$50))&gt;=Setup!$C$15,MONTH(WORKDAY(P65,-(Setup!$C$13+Setup!$G$34),Setup!$C$39:$C$50))&lt;=Setup!$C$16))),WORKDAY(P65,-(Setup!$C$13+Setup!$G$34+Setup!$C$14),Setup!$C$39:$C$50),WORKDAY(P65,-(Setup!$C$13+Setup!$G$34),Setup!$C$39:$C$50))+(60*100+15)/10000000)))</f>
        <v/>
      </c>
      <c r="AH65" t="str">
        <f t="shared" si="0"/>
        <v/>
      </c>
      <c r="AI65" t="str">
        <f t="shared" si="1"/>
        <v/>
      </c>
      <c r="AK65" t="str">
        <f ca="1">IF(60&gt;$AK$2,"",SMALL($R$6:$AF$505,60))</f>
        <v/>
      </c>
      <c r="AL65" t="str">
        <f t="shared" ca="1" si="2"/>
        <v/>
      </c>
      <c r="AM65" t="str">
        <f t="shared" ca="1" si="3"/>
        <v/>
      </c>
      <c r="AN65" t="str">
        <f t="shared" ca="1" si="4"/>
        <v/>
      </c>
      <c r="AP65" t="str">
        <f>IF(ISNUMBER(Roster!$B65),MAX(1,YEAR(Setup!$C$5)-YEAR(Roster!$B65)+IF(EDATE(Roster!$B65,12*(YEAR(Setup!$C$5)-YEAR(Roster!$B65)))&lt;Setup!$C$5,1,0)),"")</f>
        <v/>
      </c>
      <c r="AQ65" s="32" t="str">
        <f>IF(AP65="","",EDATE(Roster!$B65,12*AP65))</f>
        <v/>
      </c>
      <c r="AR65" t="str">
        <f>IF(AQ65="","",IF(AQ65&lt;DATE(YEAR(Setup!$C$5)+1,MONTH(Setup!$C$5),DAY(Setup!$C$5)),AQ65+60/1000,""))</f>
        <v/>
      </c>
      <c r="AS65" t="str">
        <f t="shared" si="5"/>
        <v/>
      </c>
      <c r="AT65" t="str">
        <f>IF(AS65="","",IF(ISNUMBER(Roster!$D65),Roster!$D65&gt;=AP65,FALSE))</f>
        <v/>
      </c>
      <c r="AU65" t="str">
        <f t="shared" si="6"/>
        <v/>
      </c>
      <c r="AV65" t="str">
        <f ca="1">IF(60&gt;$AV$2,"",SMALL($AR$6:$AR$505,60))</f>
        <v/>
      </c>
      <c r="AW65" t="str">
        <f t="shared" ca="1" si="7"/>
        <v/>
      </c>
    </row>
    <row r="66" spans="2:49" x14ac:dyDescent="0.2">
      <c r="B66" s="32" t="str">
        <f>IF(AND(ISNUMBER(Roster!$B66),Setup!$B$20="Yes",ISNUMBER(Setup!$C$20)),EDATE(Roster!$B66,12*Setup!$C$20),"")</f>
        <v/>
      </c>
      <c r="C66" s="32" t="str">
        <f>IF(AND(ISNUMBER(Roster!$B66),Setup!$B$21="Yes",ISNUMBER(Setup!$C$21)),EDATE(Roster!$B66,12*Setup!$C$21),"")</f>
        <v/>
      </c>
      <c r="D66" s="32" t="str">
        <f>IF(AND(ISNUMBER(Roster!$B66),Setup!$B$22="Yes",ISNUMBER(Setup!$C$22)),EDATE(Roster!$B66,12*Setup!$C$22),"")</f>
        <v/>
      </c>
      <c r="E66" s="32" t="str">
        <f>IF(AND(ISNUMBER(Roster!$B66),Setup!$B$23="Yes",ISNUMBER(Setup!$C$23)),EDATE(Roster!$B66,12*Setup!$C$23),"")</f>
        <v/>
      </c>
      <c r="F66" s="32" t="str">
        <f>IF(AND(ISNUMBER(Roster!$B66),Setup!$B$24="Yes",ISNUMBER(Setup!$C$24)),EDATE(Roster!$B66,12*Setup!$C$24),"")</f>
        <v/>
      </c>
      <c r="G66" s="32" t="str">
        <f>IF(AND(ISNUMBER(Roster!$B66),Setup!$B$25="Yes",ISNUMBER(Setup!$C$25)),EDATE(Roster!$B66,12*Setup!$C$25),"")</f>
        <v/>
      </c>
      <c r="H66" s="32" t="str">
        <f>IF(AND(ISNUMBER(Roster!$B66),Setup!$B$26="Yes",ISNUMBER(Setup!$C$26)),EDATE(Roster!$B66,12*Setup!$C$26),"")</f>
        <v/>
      </c>
      <c r="I66" s="32" t="str">
        <f>IF(AND(ISNUMBER(Roster!$B66),Setup!$B$27="Yes",ISNUMBER(Setup!$C$27)),EDATE(Roster!$B66,12*Setup!$C$27),"")</f>
        <v/>
      </c>
      <c r="J66" s="32" t="str">
        <f>IF(AND(ISNUMBER(Roster!$B66),Setup!$B$28="Yes",ISNUMBER(Setup!$C$28)),EDATE(Roster!$B66,12*Setup!$C$28),"")</f>
        <v/>
      </c>
      <c r="K66" s="32" t="str">
        <f>IF(AND(ISNUMBER(Roster!$B66),Setup!$B$29="Yes",ISNUMBER(Setup!$C$29)),EDATE(Roster!$B66,12*Setup!$C$29),"")</f>
        <v/>
      </c>
      <c r="L66" s="32" t="str">
        <f>IF(AND(ISNUMBER(Roster!$B66),Setup!$B$30="Yes",ISNUMBER(Setup!$C$30)),EDATE(Roster!$B66,12*Setup!$C$30),"")</f>
        <v/>
      </c>
      <c r="M66" s="32" t="str">
        <f>IF(AND(ISNUMBER(Roster!$B66),Setup!$B$31="Yes",ISNUMBER(Setup!$C$31)),EDATE(Roster!$B66,12*Setup!$C$31),"")</f>
        <v/>
      </c>
      <c r="N66" s="32" t="str">
        <f>IF(AND(ISNUMBER(Roster!$B66),Setup!$B$32="Yes",ISNUMBER(Setup!$C$32)),EDATE(Roster!$B66,12*Setup!$C$32),"")</f>
        <v/>
      </c>
      <c r="O66" s="32" t="str">
        <f>IF(AND(ISNUMBER(Roster!$B66),Setup!$B$33="Yes",ISNUMBER(Setup!$C$33)),EDATE(Roster!$B66,12*Setup!$C$33),"")</f>
        <v/>
      </c>
      <c r="P66" s="32" t="str">
        <f>IF(AND(ISNUMBER(Roster!$B66),Setup!$B$34="Yes",ISNUMBER(Setup!$C$34)),EDATE(Roster!$B66,12*Setup!$C$34),"")</f>
        <v/>
      </c>
      <c r="R66" t="str">
        <f>IF(B66="","",IF(B66&lt;Setup!$C$5-Setup!$C$6,"",IF(IF(ISNUMBER(Roster!$D66),Setup!$C$20&lt;=Roster!$D66,FALSE),"",IF(OR(IF(Setup!$C$15&lt;=Setup!$C$16,AND(MONTH(B66)&gt;=Setup!$C$15,MONTH(B66)&lt;=Setup!$C$16),OR(MONTH(B66)&gt;=Setup!$C$15,MONTH(B66)&lt;=Setup!$C$16)),IF(Setup!$C$15&lt;=Setup!$C$16,AND(MONTH(WORKDAY(B66,-(Setup!$C$13+Setup!$G$20),Setup!$C$39:$C$50))&gt;=Setup!$C$15,MONTH(WORKDAY(B66,-(Setup!$C$13+Setup!$G$20),Setup!$C$39:$C$50))&lt;=Setup!$C$16),OR(MONTH(WORKDAY(B66,-(Setup!$C$13+Setup!$G$20),Setup!$C$39:$C$50))&gt;=Setup!$C$15,MONTH(WORKDAY(B66,-(Setup!$C$13+Setup!$G$20),Setup!$C$39:$C$50))&lt;=Setup!$C$16))),WORKDAY(B66,-(Setup!$C$13+Setup!$G$20+Setup!$C$14),Setup!$C$39:$C$50),WORKDAY(B66,-(Setup!$C$13+Setup!$G$20),Setup!$C$39:$C$50))+(61*100+1)/10000000)))</f>
        <v/>
      </c>
      <c r="S66" t="str">
        <f>IF(C66="","",IF(C66&lt;Setup!$C$5-Setup!$C$6,"",IF(IF(ISNUMBER(Roster!$D66),Setup!$C$21&lt;=Roster!$D66,FALSE),"",IF(OR(IF(Setup!$C$15&lt;=Setup!$C$16,AND(MONTH(C66)&gt;=Setup!$C$15,MONTH(C66)&lt;=Setup!$C$16),OR(MONTH(C66)&gt;=Setup!$C$15,MONTH(C66)&lt;=Setup!$C$16)),IF(Setup!$C$15&lt;=Setup!$C$16,AND(MONTH(WORKDAY(C66,-(Setup!$C$13+Setup!$G$21),Setup!$C$39:$C$50))&gt;=Setup!$C$15,MONTH(WORKDAY(C66,-(Setup!$C$13+Setup!$G$21),Setup!$C$39:$C$50))&lt;=Setup!$C$16),OR(MONTH(WORKDAY(C66,-(Setup!$C$13+Setup!$G$21),Setup!$C$39:$C$50))&gt;=Setup!$C$15,MONTH(WORKDAY(C66,-(Setup!$C$13+Setup!$G$21),Setup!$C$39:$C$50))&lt;=Setup!$C$16))),WORKDAY(C66,-(Setup!$C$13+Setup!$G$21+Setup!$C$14),Setup!$C$39:$C$50),WORKDAY(C66,-(Setup!$C$13+Setup!$G$21),Setup!$C$39:$C$50))+(61*100+2)/10000000)))</f>
        <v/>
      </c>
      <c r="T66" t="str">
        <f>IF(D66="","",IF(D66&lt;Setup!$C$5-Setup!$C$6,"",IF(IF(ISNUMBER(Roster!$D66),Setup!$C$22&lt;=Roster!$D66,FALSE),"",IF(OR(IF(Setup!$C$15&lt;=Setup!$C$16,AND(MONTH(D66)&gt;=Setup!$C$15,MONTH(D66)&lt;=Setup!$C$16),OR(MONTH(D66)&gt;=Setup!$C$15,MONTH(D66)&lt;=Setup!$C$16)),IF(Setup!$C$15&lt;=Setup!$C$16,AND(MONTH(WORKDAY(D66,-(Setup!$C$13+Setup!$G$22),Setup!$C$39:$C$50))&gt;=Setup!$C$15,MONTH(WORKDAY(D66,-(Setup!$C$13+Setup!$G$22),Setup!$C$39:$C$50))&lt;=Setup!$C$16),OR(MONTH(WORKDAY(D66,-(Setup!$C$13+Setup!$G$22),Setup!$C$39:$C$50))&gt;=Setup!$C$15,MONTH(WORKDAY(D66,-(Setup!$C$13+Setup!$G$22),Setup!$C$39:$C$50))&lt;=Setup!$C$16))),WORKDAY(D66,-(Setup!$C$13+Setup!$G$22+Setup!$C$14),Setup!$C$39:$C$50),WORKDAY(D66,-(Setup!$C$13+Setup!$G$22),Setup!$C$39:$C$50))+(61*100+3)/10000000)))</f>
        <v/>
      </c>
      <c r="U66" t="str">
        <f>IF(E66="","",IF(E66&lt;Setup!$C$5-Setup!$C$6,"",IF(IF(ISNUMBER(Roster!$D66),Setup!$C$23&lt;=Roster!$D66,FALSE),"",IF(OR(IF(Setup!$C$15&lt;=Setup!$C$16,AND(MONTH(E66)&gt;=Setup!$C$15,MONTH(E66)&lt;=Setup!$C$16),OR(MONTH(E66)&gt;=Setup!$C$15,MONTH(E66)&lt;=Setup!$C$16)),IF(Setup!$C$15&lt;=Setup!$C$16,AND(MONTH(WORKDAY(E66,-(Setup!$C$13+Setup!$G$23),Setup!$C$39:$C$50))&gt;=Setup!$C$15,MONTH(WORKDAY(E66,-(Setup!$C$13+Setup!$G$23),Setup!$C$39:$C$50))&lt;=Setup!$C$16),OR(MONTH(WORKDAY(E66,-(Setup!$C$13+Setup!$G$23),Setup!$C$39:$C$50))&gt;=Setup!$C$15,MONTH(WORKDAY(E66,-(Setup!$C$13+Setup!$G$23),Setup!$C$39:$C$50))&lt;=Setup!$C$16))),WORKDAY(E66,-(Setup!$C$13+Setup!$G$23+Setup!$C$14),Setup!$C$39:$C$50),WORKDAY(E66,-(Setup!$C$13+Setup!$G$23),Setup!$C$39:$C$50))+(61*100+4)/10000000)))</f>
        <v/>
      </c>
      <c r="V66" t="str">
        <f>IF(F66="","",IF(F66&lt;Setup!$C$5-Setup!$C$6,"",IF(IF(ISNUMBER(Roster!$D66),Setup!$C$24&lt;=Roster!$D66,FALSE),"",IF(OR(IF(Setup!$C$15&lt;=Setup!$C$16,AND(MONTH(F66)&gt;=Setup!$C$15,MONTH(F66)&lt;=Setup!$C$16),OR(MONTH(F66)&gt;=Setup!$C$15,MONTH(F66)&lt;=Setup!$C$16)),IF(Setup!$C$15&lt;=Setup!$C$16,AND(MONTH(WORKDAY(F66,-(Setup!$C$13+Setup!$G$24),Setup!$C$39:$C$50))&gt;=Setup!$C$15,MONTH(WORKDAY(F66,-(Setup!$C$13+Setup!$G$24),Setup!$C$39:$C$50))&lt;=Setup!$C$16),OR(MONTH(WORKDAY(F66,-(Setup!$C$13+Setup!$G$24),Setup!$C$39:$C$50))&gt;=Setup!$C$15,MONTH(WORKDAY(F66,-(Setup!$C$13+Setup!$G$24),Setup!$C$39:$C$50))&lt;=Setup!$C$16))),WORKDAY(F66,-(Setup!$C$13+Setup!$G$24+Setup!$C$14),Setup!$C$39:$C$50),WORKDAY(F66,-(Setup!$C$13+Setup!$G$24),Setup!$C$39:$C$50))+(61*100+5)/10000000)))</f>
        <v/>
      </c>
      <c r="W66" t="str">
        <f>IF(G66="","",IF(G66&lt;Setup!$C$5-Setup!$C$6,"",IF(IF(ISNUMBER(Roster!$D66),Setup!$C$25&lt;=Roster!$D66,FALSE),"",IF(OR(IF(Setup!$C$15&lt;=Setup!$C$16,AND(MONTH(G66)&gt;=Setup!$C$15,MONTH(G66)&lt;=Setup!$C$16),OR(MONTH(G66)&gt;=Setup!$C$15,MONTH(G66)&lt;=Setup!$C$16)),IF(Setup!$C$15&lt;=Setup!$C$16,AND(MONTH(WORKDAY(G66,-(Setup!$C$13+Setup!$G$25),Setup!$C$39:$C$50))&gt;=Setup!$C$15,MONTH(WORKDAY(G66,-(Setup!$C$13+Setup!$G$25),Setup!$C$39:$C$50))&lt;=Setup!$C$16),OR(MONTH(WORKDAY(G66,-(Setup!$C$13+Setup!$G$25),Setup!$C$39:$C$50))&gt;=Setup!$C$15,MONTH(WORKDAY(G66,-(Setup!$C$13+Setup!$G$25),Setup!$C$39:$C$50))&lt;=Setup!$C$16))),WORKDAY(G66,-(Setup!$C$13+Setup!$G$25+Setup!$C$14),Setup!$C$39:$C$50),WORKDAY(G66,-(Setup!$C$13+Setup!$G$25),Setup!$C$39:$C$50))+(61*100+6)/10000000)))</f>
        <v/>
      </c>
      <c r="X66" t="str">
        <f>IF(H66="","",IF(H66&lt;Setup!$C$5-Setup!$C$6,"",IF(IF(ISNUMBER(Roster!$D66),Setup!$C$26&lt;=Roster!$D66,FALSE),"",IF(OR(IF(Setup!$C$15&lt;=Setup!$C$16,AND(MONTH(H66)&gt;=Setup!$C$15,MONTH(H66)&lt;=Setup!$C$16),OR(MONTH(H66)&gt;=Setup!$C$15,MONTH(H66)&lt;=Setup!$C$16)),IF(Setup!$C$15&lt;=Setup!$C$16,AND(MONTH(WORKDAY(H66,-(Setup!$C$13+Setup!$G$26),Setup!$C$39:$C$50))&gt;=Setup!$C$15,MONTH(WORKDAY(H66,-(Setup!$C$13+Setup!$G$26),Setup!$C$39:$C$50))&lt;=Setup!$C$16),OR(MONTH(WORKDAY(H66,-(Setup!$C$13+Setup!$G$26),Setup!$C$39:$C$50))&gt;=Setup!$C$15,MONTH(WORKDAY(H66,-(Setup!$C$13+Setup!$G$26),Setup!$C$39:$C$50))&lt;=Setup!$C$16))),WORKDAY(H66,-(Setup!$C$13+Setup!$G$26+Setup!$C$14),Setup!$C$39:$C$50),WORKDAY(H66,-(Setup!$C$13+Setup!$G$26),Setup!$C$39:$C$50))+(61*100+7)/10000000)))</f>
        <v/>
      </c>
      <c r="Y66" t="str">
        <f>IF(I66="","",IF(I66&lt;Setup!$C$5-Setup!$C$6,"",IF(IF(ISNUMBER(Roster!$D66),Setup!$C$27&lt;=Roster!$D66,FALSE),"",IF(OR(IF(Setup!$C$15&lt;=Setup!$C$16,AND(MONTH(I66)&gt;=Setup!$C$15,MONTH(I66)&lt;=Setup!$C$16),OR(MONTH(I66)&gt;=Setup!$C$15,MONTH(I66)&lt;=Setup!$C$16)),IF(Setup!$C$15&lt;=Setup!$C$16,AND(MONTH(WORKDAY(I66,-(Setup!$C$13+Setup!$G$27),Setup!$C$39:$C$50))&gt;=Setup!$C$15,MONTH(WORKDAY(I66,-(Setup!$C$13+Setup!$G$27),Setup!$C$39:$C$50))&lt;=Setup!$C$16),OR(MONTH(WORKDAY(I66,-(Setup!$C$13+Setup!$G$27),Setup!$C$39:$C$50))&gt;=Setup!$C$15,MONTH(WORKDAY(I66,-(Setup!$C$13+Setup!$G$27),Setup!$C$39:$C$50))&lt;=Setup!$C$16))),WORKDAY(I66,-(Setup!$C$13+Setup!$G$27+Setup!$C$14),Setup!$C$39:$C$50),WORKDAY(I66,-(Setup!$C$13+Setup!$G$27),Setup!$C$39:$C$50))+(61*100+8)/10000000)))</f>
        <v/>
      </c>
      <c r="Z66" t="str">
        <f>IF(J66="","",IF(J66&lt;Setup!$C$5-Setup!$C$6,"",IF(IF(ISNUMBER(Roster!$D66),Setup!$C$28&lt;=Roster!$D66,FALSE),"",IF(OR(IF(Setup!$C$15&lt;=Setup!$C$16,AND(MONTH(J66)&gt;=Setup!$C$15,MONTH(J66)&lt;=Setup!$C$16),OR(MONTH(J66)&gt;=Setup!$C$15,MONTH(J66)&lt;=Setup!$C$16)),IF(Setup!$C$15&lt;=Setup!$C$16,AND(MONTH(WORKDAY(J66,-(Setup!$C$13+Setup!$G$28),Setup!$C$39:$C$50))&gt;=Setup!$C$15,MONTH(WORKDAY(J66,-(Setup!$C$13+Setup!$G$28),Setup!$C$39:$C$50))&lt;=Setup!$C$16),OR(MONTH(WORKDAY(J66,-(Setup!$C$13+Setup!$G$28),Setup!$C$39:$C$50))&gt;=Setup!$C$15,MONTH(WORKDAY(J66,-(Setup!$C$13+Setup!$G$28),Setup!$C$39:$C$50))&lt;=Setup!$C$16))),WORKDAY(J66,-(Setup!$C$13+Setup!$G$28+Setup!$C$14),Setup!$C$39:$C$50),WORKDAY(J66,-(Setup!$C$13+Setup!$G$28),Setup!$C$39:$C$50))+(61*100+9)/10000000)))</f>
        <v/>
      </c>
      <c r="AA66" t="str">
        <f>IF(K66="","",IF(K66&lt;Setup!$C$5-Setup!$C$6,"",IF(IF(ISNUMBER(Roster!$D66),Setup!$C$29&lt;=Roster!$D66,FALSE),"",IF(OR(IF(Setup!$C$15&lt;=Setup!$C$16,AND(MONTH(K66)&gt;=Setup!$C$15,MONTH(K66)&lt;=Setup!$C$16),OR(MONTH(K66)&gt;=Setup!$C$15,MONTH(K66)&lt;=Setup!$C$16)),IF(Setup!$C$15&lt;=Setup!$C$16,AND(MONTH(WORKDAY(K66,-(Setup!$C$13+Setup!$G$29),Setup!$C$39:$C$50))&gt;=Setup!$C$15,MONTH(WORKDAY(K66,-(Setup!$C$13+Setup!$G$29),Setup!$C$39:$C$50))&lt;=Setup!$C$16),OR(MONTH(WORKDAY(K66,-(Setup!$C$13+Setup!$G$29),Setup!$C$39:$C$50))&gt;=Setup!$C$15,MONTH(WORKDAY(K66,-(Setup!$C$13+Setup!$G$29),Setup!$C$39:$C$50))&lt;=Setup!$C$16))),WORKDAY(K66,-(Setup!$C$13+Setup!$G$29+Setup!$C$14),Setup!$C$39:$C$50),WORKDAY(K66,-(Setup!$C$13+Setup!$G$29),Setup!$C$39:$C$50))+(61*100+10)/10000000)))</f>
        <v/>
      </c>
      <c r="AB66" t="str">
        <f>IF(L66="","",IF(L66&lt;Setup!$C$5-Setup!$C$6,"",IF(IF(ISNUMBER(Roster!$D66),Setup!$C$30&lt;=Roster!$D66,FALSE),"",IF(OR(IF(Setup!$C$15&lt;=Setup!$C$16,AND(MONTH(L66)&gt;=Setup!$C$15,MONTH(L66)&lt;=Setup!$C$16),OR(MONTH(L66)&gt;=Setup!$C$15,MONTH(L66)&lt;=Setup!$C$16)),IF(Setup!$C$15&lt;=Setup!$C$16,AND(MONTH(WORKDAY(L66,-(Setup!$C$13+Setup!$G$30),Setup!$C$39:$C$50))&gt;=Setup!$C$15,MONTH(WORKDAY(L66,-(Setup!$C$13+Setup!$G$30),Setup!$C$39:$C$50))&lt;=Setup!$C$16),OR(MONTH(WORKDAY(L66,-(Setup!$C$13+Setup!$G$30),Setup!$C$39:$C$50))&gt;=Setup!$C$15,MONTH(WORKDAY(L66,-(Setup!$C$13+Setup!$G$30),Setup!$C$39:$C$50))&lt;=Setup!$C$16))),WORKDAY(L66,-(Setup!$C$13+Setup!$G$30+Setup!$C$14),Setup!$C$39:$C$50),WORKDAY(L66,-(Setup!$C$13+Setup!$G$30),Setup!$C$39:$C$50))+(61*100+11)/10000000)))</f>
        <v/>
      </c>
      <c r="AC66" t="str">
        <f>IF(M66="","",IF(M66&lt;Setup!$C$5-Setup!$C$6,"",IF(IF(ISNUMBER(Roster!$D66),Setup!$C$31&lt;=Roster!$D66,FALSE),"",IF(OR(IF(Setup!$C$15&lt;=Setup!$C$16,AND(MONTH(M66)&gt;=Setup!$C$15,MONTH(M66)&lt;=Setup!$C$16),OR(MONTH(M66)&gt;=Setup!$C$15,MONTH(M66)&lt;=Setup!$C$16)),IF(Setup!$C$15&lt;=Setup!$C$16,AND(MONTH(WORKDAY(M66,-(Setup!$C$13+Setup!$G$31),Setup!$C$39:$C$50))&gt;=Setup!$C$15,MONTH(WORKDAY(M66,-(Setup!$C$13+Setup!$G$31),Setup!$C$39:$C$50))&lt;=Setup!$C$16),OR(MONTH(WORKDAY(M66,-(Setup!$C$13+Setup!$G$31),Setup!$C$39:$C$50))&gt;=Setup!$C$15,MONTH(WORKDAY(M66,-(Setup!$C$13+Setup!$G$31),Setup!$C$39:$C$50))&lt;=Setup!$C$16))),WORKDAY(M66,-(Setup!$C$13+Setup!$G$31+Setup!$C$14),Setup!$C$39:$C$50),WORKDAY(M66,-(Setup!$C$13+Setup!$G$31),Setup!$C$39:$C$50))+(61*100+12)/10000000)))</f>
        <v/>
      </c>
      <c r="AD66" t="str">
        <f>IF(N66="","",IF(N66&lt;Setup!$C$5-Setup!$C$6,"",IF(IF(ISNUMBER(Roster!$D66),Setup!$C$32&lt;=Roster!$D66,FALSE),"",IF(OR(IF(Setup!$C$15&lt;=Setup!$C$16,AND(MONTH(N66)&gt;=Setup!$C$15,MONTH(N66)&lt;=Setup!$C$16),OR(MONTH(N66)&gt;=Setup!$C$15,MONTH(N66)&lt;=Setup!$C$16)),IF(Setup!$C$15&lt;=Setup!$C$16,AND(MONTH(WORKDAY(N66,-(Setup!$C$13+Setup!$G$32),Setup!$C$39:$C$50))&gt;=Setup!$C$15,MONTH(WORKDAY(N66,-(Setup!$C$13+Setup!$G$32),Setup!$C$39:$C$50))&lt;=Setup!$C$16),OR(MONTH(WORKDAY(N66,-(Setup!$C$13+Setup!$G$32),Setup!$C$39:$C$50))&gt;=Setup!$C$15,MONTH(WORKDAY(N66,-(Setup!$C$13+Setup!$G$32),Setup!$C$39:$C$50))&lt;=Setup!$C$16))),WORKDAY(N66,-(Setup!$C$13+Setup!$G$32+Setup!$C$14),Setup!$C$39:$C$50),WORKDAY(N66,-(Setup!$C$13+Setup!$G$32),Setup!$C$39:$C$50))+(61*100+13)/10000000)))</f>
        <v/>
      </c>
      <c r="AE66" t="str">
        <f>IF(O66="","",IF(O66&lt;Setup!$C$5-Setup!$C$6,"",IF(IF(ISNUMBER(Roster!$D66),Setup!$C$33&lt;=Roster!$D66,FALSE),"",IF(OR(IF(Setup!$C$15&lt;=Setup!$C$16,AND(MONTH(O66)&gt;=Setup!$C$15,MONTH(O66)&lt;=Setup!$C$16),OR(MONTH(O66)&gt;=Setup!$C$15,MONTH(O66)&lt;=Setup!$C$16)),IF(Setup!$C$15&lt;=Setup!$C$16,AND(MONTH(WORKDAY(O66,-(Setup!$C$13+Setup!$G$33),Setup!$C$39:$C$50))&gt;=Setup!$C$15,MONTH(WORKDAY(O66,-(Setup!$C$13+Setup!$G$33),Setup!$C$39:$C$50))&lt;=Setup!$C$16),OR(MONTH(WORKDAY(O66,-(Setup!$C$13+Setup!$G$33),Setup!$C$39:$C$50))&gt;=Setup!$C$15,MONTH(WORKDAY(O66,-(Setup!$C$13+Setup!$G$33),Setup!$C$39:$C$50))&lt;=Setup!$C$16))),WORKDAY(O66,-(Setup!$C$13+Setup!$G$33+Setup!$C$14),Setup!$C$39:$C$50),WORKDAY(O66,-(Setup!$C$13+Setup!$G$33),Setup!$C$39:$C$50))+(61*100+14)/10000000)))</f>
        <v/>
      </c>
      <c r="AF66" t="str">
        <f>IF(P66="","",IF(P66&lt;Setup!$C$5-Setup!$C$6,"",IF(IF(ISNUMBER(Roster!$D66),Setup!$C$34&lt;=Roster!$D66,FALSE),"",IF(OR(IF(Setup!$C$15&lt;=Setup!$C$16,AND(MONTH(P66)&gt;=Setup!$C$15,MONTH(P66)&lt;=Setup!$C$16),OR(MONTH(P66)&gt;=Setup!$C$15,MONTH(P66)&lt;=Setup!$C$16)),IF(Setup!$C$15&lt;=Setup!$C$16,AND(MONTH(WORKDAY(P66,-(Setup!$C$13+Setup!$G$34),Setup!$C$39:$C$50))&gt;=Setup!$C$15,MONTH(WORKDAY(P66,-(Setup!$C$13+Setup!$G$34),Setup!$C$39:$C$50))&lt;=Setup!$C$16),OR(MONTH(WORKDAY(P66,-(Setup!$C$13+Setup!$G$34),Setup!$C$39:$C$50))&gt;=Setup!$C$15,MONTH(WORKDAY(P66,-(Setup!$C$13+Setup!$G$34),Setup!$C$39:$C$50))&lt;=Setup!$C$16))),WORKDAY(P66,-(Setup!$C$13+Setup!$G$34+Setup!$C$14),Setup!$C$39:$C$50),WORKDAY(P66,-(Setup!$C$13+Setup!$G$34),Setup!$C$39:$C$50))+(61*100+15)/10000000)))</f>
        <v/>
      </c>
      <c r="AH66" t="str">
        <f t="shared" si="0"/>
        <v/>
      </c>
      <c r="AI66" t="str">
        <f t="shared" si="1"/>
        <v/>
      </c>
      <c r="AK66" t="str">
        <f ca="1">IF(61&gt;$AK$2,"",SMALL($R$6:$AF$505,61))</f>
        <v/>
      </c>
      <c r="AL66" t="str">
        <f t="shared" ca="1" si="2"/>
        <v/>
      </c>
      <c r="AM66" t="str">
        <f t="shared" ca="1" si="3"/>
        <v/>
      </c>
      <c r="AN66" t="str">
        <f t="shared" ca="1" si="4"/>
        <v/>
      </c>
      <c r="AP66" t="str">
        <f>IF(ISNUMBER(Roster!$B66),MAX(1,YEAR(Setup!$C$5)-YEAR(Roster!$B66)+IF(EDATE(Roster!$B66,12*(YEAR(Setup!$C$5)-YEAR(Roster!$B66)))&lt;Setup!$C$5,1,0)),"")</f>
        <v/>
      </c>
      <c r="AQ66" s="32" t="str">
        <f>IF(AP66="","",EDATE(Roster!$B66,12*AP66))</f>
        <v/>
      </c>
      <c r="AR66" t="str">
        <f>IF(AQ66="","",IF(AQ66&lt;DATE(YEAR(Setup!$C$5)+1,MONTH(Setup!$C$5),DAY(Setup!$C$5)),AQ66+61/1000,""))</f>
        <v/>
      </c>
      <c r="AS66" t="str">
        <f t="shared" si="5"/>
        <v/>
      </c>
      <c r="AT66" t="str">
        <f>IF(AS66="","",IF(ISNUMBER(Roster!$D66),Roster!$D66&gt;=AP66,FALSE))</f>
        <v/>
      </c>
      <c r="AU66" t="str">
        <f t="shared" si="6"/>
        <v/>
      </c>
      <c r="AV66" t="str">
        <f ca="1">IF(61&gt;$AV$2,"",SMALL($AR$6:$AR$505,61))</f>
        <v/>
      </c>
      <c r="AW66" t="str">
        <f t="shared" ca="1" si="7"/>
        <v/>
      </c>
    </row>
    <row r="67" spans="2:49" x14ac:dyDescent="0.2">
      <c r="B67" s="32" t="str">
        <f>IF(AND(ISNUMBER(Roster!$B67),Setup!$B$20="Yes",ISNUMBER(Setup!$C$20)),EDATE(Roster!$B67,12*Setup!$C$20),"")</f>
        <v/>
      </c>
      <c r="C67" s="32" t="str">
        <f>IF(AND(ISNUMBER(Roster!$B67),Setup!$B$21="Yes",ISNUMBER(Setup!$C$21)),EDATE(Roster!$B67,12*Setup!$C$21),"")</f>
        <v/>
      </c>
      <c r="D67" s="32" t="str">
        <f>IF(AND(ISNUMBER(Roster!$B67),Setup!$B$22="Yes",ISNUMBER(Setup!$C$22)),EDATE(Roster!$B67,12*Setup!$C$22),"")</f>
        <v/>
      </c>
      <c r="E67" s="32" t="str">
        <f>IF(AND(ISNUMBER(Roster!$B67),Setup!$B$23="Yes",ISNUMBER(Setup!$C$23)),EDATE(Roster!$B67,12*Setup!$C$23),"")</f>
        <v/>
      </c>
      <c r="F67" s="32" t="str">
        <f>IF(AND(ISNUMBER(Roster!$B67),Setup!$B$24="Yes",ISNUMBER(Setup!$C$24)),EDATE(Roster!$B67,12*Setup!$C$24),"")</f>
        <v/>
      </c>
      <c r="G67" s="32" t="str">
        <f>IF(AND(ISNUMBER(Roster!$B67),Setup!$B$25="Yes",ISNUMBER(Setup!$C$25)),EDATE(Roster!$B67,12*Setup!$C$25),"")</f>
        <v/>
      </c>
      <c r="H67" s="32" t="str">
        <f>IF(AND(ISNUMBER(Roster!$B67),Setup!$B$26="Yes",ISNUMBER(Setup!$C$26)),EDATE(Roster!$B67,12*Setup!$C$26),"")</f>
        <v/>
      </c>
      <c r="I67" s="32" t="str">
        <f>IF(AND(ISNUMBER(Roster!$B67),Setup!$B$27="Yes",ISNUMBER(Setup!$C$27)),EDATE(Roster!$B67,12*Setup!$C$27),"")</f>
        <v/>
      </c>
      <c r="J67" s="32" t="str">
        <f>IF(AND(ISNUMBER(Roster!$B67),Setup!$B$28="Yes",ISNUMBER(Setup!$C$28)),EDATE(Roster!$B67,12*Setup!$C$28),"")</f>
        <v/>
      </c>
      <c r="K67" s="32" t="str">
        <f>IF(AND(ISNUMBER(Roster!$B67),Setup!$B$29="Yes",ISNUMBER(Setup!$C$29)),EDATE(Roster!$B67,12*Setup!$C$29),"")</f>
        <v/>
      </c>
      <c r="L67" s="32" t="str">
        <f>IF(AND(ISNUMBER(Roster!$B67),Setup!$B$30="Yes",ISNUMBER(Setup!$C$30)),EDATE(Roster!$B67,12*Setup!$C$30),"")</f>
        <v/>
      </c>
      <c r="M67" s="32" t="str">
        <f>IF(AND(ISNUMBER(Roster!$B67),Setup!$B$31="Yes",ISNUMBER(Setup!$C$31)),EDATE(Roster!$B67,12*Setup!$C$31),"")</f>
        <v/>
      </c>
      <c r="N67" s="32" t="str">
        <f>IF(AND(ISNUMBER(Roster!$B67),Setup!$B$32="Yes",ISNUMBER(Setup!$C$32)),EDATE(Roster!$B67,12*Setup!$C$32),"")</f>
        <v/>
      </c>
      <c r="O67" s="32" t="str">
        <f>IF(AND(ISNUMBER(Roster!$B67),Setup!$B$33="Yes",ISNUMBER(Setup!$C$33)),EDATE(Roster!$B67,12*Setup!$C$33),"")</f>
        <v/>
      </c>
      <c r="P67" s="32" t="str">
        <f>IF(AND(ISNUMBER(Roster!$B67),Setup!$B$34="Yes",ISNUMBER(Setup!$C$34)),EDATE(Roster!$B67,12*Setup!$C$34),"")</f>
        <v/>
      </c>
      <c r="R67" t="str">
        <f>IF(B67="","",IF(B67&lt;Setup!$C$5-Setup!$C$6,"",IF(IF(ISNUMBER(Roster!$D67),Setup!$C$20&lt;=Roster!$D67,FALSE),"",IF(OR(IF(Setup!$C$15&lt;=Setup!$C$16,AND(MONTH(B67)&gt;=Setup!$C$15,MONTH(B67)&lt;=Setup!$C$16),OR(MONTH(B67)&gt;=Setup!$C$15,MONTH(B67)&lt;=Setup!$C$16)),IF(Setup!$C$15&lt;=Setup!$C$16,AND(MONTH(WORKDAY(B67,-(Setup!$C$13+Setup!$G$20),Setup!$C$39:$C$50))&gt;=Setup!$C$15,MONTH(WORKDAY(B67,-(Setup!$C$13+Setup!$G$20),Setup!$C$39:$C$50))&lt;=Setup!$C$16),OR(MONTH(WORKDAY(B67,-(Setup!$C$13+Setup!$G$20),Setup!$C$39:$C$50))&gt;=Setup!$C$15,MONTH(WORKDAY(B67,-(Setup!$C$13+Setup!$G$20),Setup!$C$39:$C$50))&lt;=Setup!$C$16))),WORKDAY(B67,-(Setup!$C$13+Setup!$G$20+Setup!$C$14),Setup!$C$39:$C$50),WORKDAY(B67,-(Setup!$C$13+Setup!$G$20),Setup!$C$39:$C$50))+(62*100+1)/10000000)))</f>
        <v/>
      </c>
      <c r="S67" t="str">
        <f>IF(C67="","",IF(C67&lt;Setup!$C$5-Setup!$C$6,"",IF(IF(ISNUMBER(Roster!$D67),Setup!$C$21&lt;=Roster!$D67,FALSE),"",IF(OR(IF(Setup!$C$15&lt;=Setup!$C$16,AND(MONTH(C67)&gt;=Setup!$C$15,MONTH(C67)&lt;=Setup!$C$16),OR(MONTH(C67)&gt;=Setup!$C$15,MONTH(C67)&lt;=Setup!$C$16)),IF(Setup!$C$15&lt;=Setup!$C$16,AND(MONTH(WORKDAY(C67,-(Setup!$C$13+Setup!$G$21),Setup!$C$39:$C$50))&gt;=Setup!$C$15,MONTH(WORKDAY(C67,-(Setup!$C$13+Setup!$G$21),Setup!$C$39:$C$50))&lt;=Setup!$C$16),OR(MONTH(WORKDAY(C67,-(Setup!$C$13+Setup!$G$21),Setup!$C$39:$C$50))&gt;=Setup!$C$15,MONTH(WORKDAY(C67,-(Setup!$C$13+Setup!$G$21),Setup!$C$39:$C$50))&lt;=Setup!$C$16))),WORKDAY(C67,-(Setup!$C$13+Setup!$G$21+Setup!$C$14),Setup!$C$39:$C$50),WORKDAY(C67,-(Setup!$C$13+Setup!$G$21),Setup!$C$39:$C$50))+(62*100+2)/10000000)))</f>
        <v/>
      </c>
      <c r="T67" t="str">
        <f>IF(D67="","",IF(D67&lt;Setup!$C$5-Setup!$C$6,"",IF(IF(ISNUMBER(Roster!$D67),Setup!$C$22&lt;=Roster!$D67,FALSE),"",IF(OR(IF(Setup!$C$15&lt;=Setup!$C$16,AND(MONTH(D67)&gt;=Setup!$C$15,MONTH(D67)&lt;=Setup!$C$16),OR(MONTH(D67)&gt;=Setup!$C$15,MONTH(D67)&lt;=Setup!$C$16)),IF(Setup!$C$15&lt;=Setup!$C$16,AND(MONTH(WORKDAY(D67,-(Setup!$C$13+Setup!$G$22),Setup!$C$39:$C$50))&gt;=Setup!$C$15,MONTH(WORKDAY(D67,-(Setup!$C$13+Setup!$G$22),Setup!$C$39:$C$50))&lt;=Setup!$C$16),OR(MONTH(WORKDAY(D67,-(Setup!$C$13+Setup!$G$22),Setup!$C$39:$C$50))&gt;=Setup!$C$15,MONTH(WORKDAY(D67,-(Setup!$C$13+Setup!$G$22),Setup!$C$39:$C$50))&lt;=Setup!$C$16))),WORKDAY(D67,-(Setup!$C$13+Setup!$G$22+Setup!$C$14),Setup!$C$39:$C$50),WORKDAY(D67,-(Setup!$C$13+Setup!$G$22),Setup!$C$39:$C$50))+(62*100+3)/10000000)))</f>
        <v/>
      </c>
      <c r="U67" t="str">
        <f>IF(E67="","",IF(E67&lt;Setup!$C$5-Setup!$C$6,"",IF(IF(ISNUMBER(Roster!$D67),Setup!$C$23&lt;=Roster!$D67,FALSE),"",IF(OR(IF(Setup!$C$15&lt;=Setup!$C$16,AND(MONTH(E67)&gt;=Setup!$C$15,MONTH(E67)&lt;=Setup!$C$16),OR(MONTH(E67)&gt;=Setup!$C$15,MONTH(E67)&lt;=Setup!$C$16)),IF(Setup!$C$15&lt;=Setup!$C$16,AND(MONTH(WORKDAY(E67,-(Setup!$C$13+Setup!$G$23),Setup!$C$39:$C$50))&gt;=Setup!$C$15,MONTH(WORKDAY(E67,-(Setup!$C$13+Setup!$G$23),Setup!$C$39:$C$50))&lt;=Setup!$C$16),OR(MONTH(WORKDAY(E67,-(Setup!$C$13+Setup!$G$23),Setup!$C$39:$C$50))&gt;=Setup!$C$15,MONTH(WORKDAY(E67,-(Setup!$C$13+Setup!$G$23),Setup!$C$39:$C$50))&lt;=Setup!$C$16))),WORKDAY(E67,-(Setup!$C$13+Setup!$G$23+Setup!$C$14),Setup!$C$39:$C$50),WORKDAY(E67,-(Setup!$C$13+Setup!$G$23),Setup!$C$39:$C$50))+(62*100+4)/10000000)))</f>
        <v/>
      </c>
      <c r="V67" t="str">
        <f>IF(F67="","",IF(F67&lt;Setup!$C$5-Setup!$C$6,"",IF(IF(ISNUMBER(Roster!$D67),Setup!$C$24&lt;=Roster!$D67,FALSE),"",IF(OR(IF(Setup!$C$15&lt;=Setup!$C$16,AND(MONTH(F67)&gt;=Setup!$C$15,MONTH(F67)&lt;=Setup!$C$16),OR(MONTH(F67)&gt;=Setup!$C$15,MONTH(F67)&lt;=Setup!$C$16)),IF(Setup!$C$15&lt;=Setup!$C$16,AND(MONTH(WORKDAY(F67,-(Setup!$C$13+Setup!$G$24),Setup!$C$39:$C$50))&gt;=Setup!$C$15,MONTH(WORKDAY(F67,-(Setup!$C$13+Setup!$G$24),Setup!$C$39:$C$50))&lt;=Setup!$C$16),OR(MONTH(WORKDAY(F67,-(Setup!$C$13+Setup!$G$24),Setup!$C$39:$C$50))&gt;=Setup!$C$15,MONTH(WORKDAY(F67,-(Setup!$C$13+Setup!$G$24),Setup!$C$39:$C$50))&lt;=Setup!$C$16))),WORKDAY(F67,-(Setup!$C$13+Setup!$G$24+Setup!$C$14),Setup!$C$39:$C$50),WORKDAY(F67,-(Setup!$C$13+Setup!$G$24),Setup!$C$39:$C$50))+(62*100+5)/10000000)))</f>
        <v/>
      </c>
      <c r="W67" t="str">
        <f>IF(G67="","",IF(G67&lt;Setup!$C$5-Setup!$C$6,"",IF(IF(ISNUMBER(Roster!$D67),Setup!$C$25&lt;=Roster!$D67,FALSE),"",IF(OR(IF(Setup!$C$15&lt;=Setup!$C$16,AND(MONTH(G67)&gt;=Setup!$C$15,MONTH(G67)&lt;=Setup!$C$16),OR(MONTH(G67)&gt;=Setup!$C$15,MONTH(G67)&lt;=Setup!$C$16)),IF(Setup!$C$15&lt;=Setup!$C$16,AND(MONTH(WORKDAY(G67,-(Setup!$C$13+Setup!$G$25),Setup!$C$39:$C$50))&gt;=Setup!$C$15,MONTH(WORKDAY(G67,-(Setup!$C$13+Setup!$G$25),Setup!$C$39:$C$50))&lt;=Setup!$C$16),OR(MONTH(WORKDAY(G67,-(Setup!$C$13+Setup!$G$25),Setup!$C$39:$C$50))&gt;=Setup!$C$15,MONTH(WORKDAY(G67,-(Setup!$C$13+Setup!$G$25),Setup!$C$39:$C$50))&lt;=Setup!$C$16))),WORKDAY(G67,-(Setup!$C$13+Setup!$G$25+Setup!$C$14),Setup!$C$39:$C$50),WORKDAY(G67,-(Setup!$C$13+Setup!$G$25),Setup!$C$39:$C$50))+(62*100+6)/10000000)))</f>
        <v/>
      </c>
      <c r="X67" t="str">
        <f>IF(H67="","",IF(H67&lt;Setup!$C$5-Setup!$C$6,"",IF(IF(ISNUMBER(Roster!$D67),Setup!$C$26&lt;=Roster!$D67,FALSE),"",IF(OR(IF(Setup!$C$15&lt;=Setup!$C$16,AND(MONTH(H67)&gt;=Setup!$C$15,MONTH(H67)&lt;=Setup!$C$16),OR(MONTH(H67)&gt;=Setup!$C$15,MONTH(H67)&lt;=Setup!$C$16)),IF(Setup!$C$15&lt;=Setup!$C$16,AND(MONTH(WORKDAY(H67,-(Setup!$C$13+Setup!$G$26),Setup!$C$39:$C$50))&gt;=Setup!$C$15,MONTH(WORKDAY(H67,-(Setup!$C$13+Setup!$G$26),Setup!$C$39:$C$50))&lt;=Setup!$C$16),OR(MONTH(WORKDAY(H67,-(Setup!$C$13+Setup!$G$26),Setup!$C$39:$C$50))&gt;=Setup!$C$15,MONTH(WORKDAY(H67,-(Setup!$C$13+Setup!$G$26),Setup!$C$39:$C$50))&lt;=Setup!$C$16))),WORKDAY(H67,-(Setup!$C$13+Setup!$G$26+Setup!$C$14),Setup!$C$39:$C$50),WORKDAY(H67,-(Setup!$C$13+Setup!$G$26),Setup!$C$39:$C$50))+(62*100+7)/10000000)))</f>
        <v/>
      </c>
      <c r="Y67" t="str">
        <f>IF(I67="","",IF(I67&lt;Setup!$C$5-Setup!$C$6,"",IF(IF(ISNUMBER(Roster!$D67),Setup!$C$27&lt;=Roster!$D67,FALSE),"",IF(OR(IF(Setup!$C$15&lt;=Setup!$C$16,AND(MONTH(I67)&gt;=Setup!$C$15,MONTH(I67)&lt;=Setup!$C$16),OR(MONTH(I67)&gt;=Setup!$C$15,MONTH(I67)&lt;=Setup!$C$16)),IF(Setup!$C$15&lt;=Setup!$C$16,AND(MONTH(WORKDAY(I67,-(Setup!$C$13+Setup!$G$27),Setup!$C$39:$C$50))&gt;=Setup!$C$15,MONTH(WORKDAY(I67,-(Setup!$C$13+Setup!$G$27),Setup!$C$39:$C$50))&lt;=Setup!$C$16),OR(MONTH(WORKDAY(I67,-(Setup!$C$13+Setup!$G$27),Setup!$C$39:$C$50))&gt;=Setup!$C$15,MONTH(WORKDAY(I67,-(Setup!$C$13+Setup!$G$27),Setup!$C$39:$C$50))&lt;=Setup!$C$16))),WORKDAY(I67,-(Setup!$C$13+Setup!$G$27+Setup!$C$14),Setup!$C$39:$C$50),WORKDAY(I67,-(Setup!$C$13+Setup!$G$27),Setup!$C$39:$C$50))+(62*100+8)/10000000)))</f>
        <v/>
      </c>
      <c r="Z67" t="str">
        <f>IF(J67="","",IF(J67&lt;Setup!$C$5-Setup!$C$6,"",IF(IF(ISNUMBER(Roster!$D67),Setup!$C$28&lt;=Roster!$D67,FALSE),"",IF(OR(IF(Setup!$C$15&lt;=Setup!$C$16,AND(MONTH(J67)&gt;=Setup!$C$15,MONTH(J67)&lt;=Setup!$C$16),OR(MONTH(J67)&gt;=Setup!$C$15,MONTH(J67)&lt;=Setup!$C$16)),IF(Setup!$C$15&lt;=Setup!$C$16,AND(MONTH(WORKDAY(J67,-(Setup!$C$13+Setup!$G$28),Setup!$C$39:$C$50))&gt;=Setup!$C$15,MONTH(WORKDAY(J67,-(Setup!$C$13+Setup!$G$28),Setup!$C$39:$C$50))&lt;=Setup!$C$16),OR(MONTH(WORKDAY(J67,-(Setup!$C$13+Setup!$G$28),Setup!$C$39:$C$50))&gt;=Setup!$C$15,MONTH(WORKDAY(J67,-(Setup!$C$13+Setup!$G$28),Setup!$C$39:$C$50))&lt;=Setup!$C$16))),WORKDAY(J67,-(Setup!$C$13+Setup!$G$28+Setup!$C$14),Setup!$C$39:$C$50),WORKDAY(J67,-(Setup!$C$13+Setup!$G$28),Setup!$C$39:$C$50))+(62*100+9)/10000000)))</f>
        <v/>
      </c>
      <c r="AA67" t="str">
        <f>IF(K67="","",IF(K67&lt;Setup!$C$5-Setup!$C$6,"",IF(IF(ISNUMBER(Roster!$D67),Setup!$C$29&lt;=Roster!$D67,FALSE),"",IF(OR(IF(Setup!$C$15&lt;=Setup!$C$16,AND(MONTH(K67)&gt;=Setup!$C$15,MONTH(K67)&lt;=Setup!$C$16),OR(MONTH(K67)&gt;=Setup!$C$15,MONTH(K67)&lt;=Setup!$C$16)),IF(Setup!$C$15&lt;=Setup!$C$16,AND(MONTH(WORKDAY(K67,-(Setup!$C$13+Setup!$G$29),Setup!$C$39:$C$50))&gt;=Setup!$C$15,MONTH(WORKDAY(K67,-(Setup!$C$13+Setup!$G$29),Setup!$C$39:$C$50))&lt;=Setup!$C$16),OR(MONTH(WORKDAY(K67,-(Setup!$C$13+Setup!$G$29),Setup!$C$39:$C$50))&gt;=Setup!$C$15,MONTH(WORKDAY(K67,-(Setup!$C$13+Setup!$G$29),Setup!$C$39:$C$50))&lt;=Setup!$C$16))),WORKDAY(K67,-(Setup!$C$13+Setup!$G$29+Setup!$C$14),Setup!$C$39:$C$50),WORKDAY(K67,-(Setup!$C$13+Setup!$G$29),Setup!$C$39:$C$50))+(62*100+10)/10000000)))</f>
        <v/>
      </c>
      <c r="AB67" t="str">
        <f>IF(L67="","",IF(L67&lt;Setup!$C$5-Setup!$C$6,"",IF(IF(ISNUMBER(Roster!$D67),Setup!$C$30&lt;=Roster!$D67,FALSE),"",IF(OR(IF(Setup!$C$15&lt;=Setup!$C$16,AND(MONTH(L67)&gt;=Setup!$C$15,MONTH(L67)&lt;=Setup!$C$16),OR(MONTH(L67)&gt;=Setup!$C$15,MONTH(L67)&lt;=Setup!$C$16)),IF(Setup!$C$15&lt;=Setup!$C$16,AND(MONTH(WORKDAY(L67,-(Setup!$C$13+Setup!$G$30),Setup!$C$39:$C$50))&gt;=Setup!$C$15,MONTH(WORKDAY(L67,-(Setup!$C$13+Setup!$G$30),Setup!$C$39:$C$50))&lt;=Setup!$C$16),OR(MONTH(WORKDAY(L67,-(Setup!$C$13+Setup!$G$30),Setup!$C$39:$C$50))&gt;=Setup!$C$15,MONTH(WORKDAY(L67,-(Setup!$C$13+Setup!$G$30),Setup!$C$39:$C$50))&lt;=Setup!$C$16))),WORKDAY(L67,-(Setup!$C$13+Setup!$G$30+Setup!$C$14),Setup!$C$39:$C$50),WORKDAY(L67,-(Setup!$C$13+Setup!$G$30),Setup!$C$39:$C$50))+(62*100+11)/10000000)))</f>
        <v/>
      </c>
      <c r="AC67" t="str">
        <f>IF(M67="","",IF(M67&lt;Setup!$C$5-Setup!$C$6,"",IF(IF(ISNUMBER(Roster!$D67),Setup!$C$31&lt;=Roster!$D67,FALSE),"",IF(OR(IF(Setup!$C$15&lt;=Setup!$C$16,AND(MONTH(M67)&gt;=Setup!$C$15,MONTH(M67)&lt;=Setup!$C$16),OR(MONTH(M67)&gt;=Setup!$C$15,MONTH(M67)&lt;=Setup!$C$16)),IF(Setup!$C$15&lt;=Setup!$C$16,AND(MONTH(WORKDAY(M67,-(Setup!$C$13+Setup!$G$31),Setup!$C$39:$C$50))&gt;=Setup!$C$15,MONTH(WORKDAY(M67,-(Setup!$C$13+Setup!$G$31),Setup!$C$39:$C$50))&lt;=Setup!$C$16),OR(MONTH(WORKDAY(M67,-(Setup!$C$13+Setup!$G$31),Setup!$C$39:$C$50))&gt;=Setup!$C$15,MONTH(WORKDAY(M67,-(Setup!$C$13+Setup!$G$31),Setup!$C$39:$C$50))&lt;=Setup!$C$16))),WORKDAY(M67,-(Setup!$C$13+Setup!$G$31+Setup!$C$14),Setup!$C$39:$C$50),WORKDAY(M67,-(Setup!$C$13+Setup!$G$31),Setup!$C$39:$C$50))+(62*100+12)/10000000)))</f>
        <v/>
      </c>
      <c r="AD67" t="str">
        <f>IF(N67="","",IF(N67&lt;Setup!$C$5-Setup!$C$6,"",IF(IF(ISNUMBER(Roster!$D67),Setup!$C$32&lt;=Roster!$D67,FALSE),"",IF(OR(IF(Setup!$C$15&lt;=Setup!$C$16,AND(MONTH(N67)&gt;=Setup!$C$15,MONTH(N67)&lt;=Setup!$C$16),OR(MONTH(N67)&gt;=Setup!$C$15,MONTH(N67)&lt;=Setup!$C$16)),IF(Setup!$C$15&lt;=Setup!$C$16,AND(MONTH(WORKDAY(N67,-(Setup!$C$13+Setup!$G$32),Setup!$C$39:$C$50))&gt;=Setup!$C$15,MONTH(WORKDAY(N67,-(Setup!$C$13+Setup!$G$32),Setup!$C$39:$C$50))&lt;=Setup!$C$16),OR(MONTH(WORKDAY(N67,-(Setup!$C$13+Setup!$G$32),Setup!$C$39:$C$50))&gt;=Setup!$C$15,MONTH(WORKDAY(N67,-(Setup!$C$13+Setup!$G$32),Setup!$C$39:$C$50))&lt;=Setup!$C$16))),WORKDAY(N67,-(Setup!$C$13+Setup!$G$32+Setup!$C$14),Setup!$C$39:$C$50),WORKDAY(N67,-(Setup!$C$13+Setup!$G$32),Setup!$C$39:$C$50))+(62*100+13)/10000000)))</f>
        <v/>
      </c>
      <c r="AE67" t="str">
        <f>IF(O67="","",IF(O67&lt;Setup!$C$5-Setup!$C$6,"",IF(IF(ISNUMBER(Roster!$D67),Setup!$C$33&lt;=Roster!$D67,FALSE),"",IF(OR(IF(Setup!$C$15&lt;=Setup!$C$16,AND(MONTH(O67)&gt;=Setup!$C$15,MONTH(O67)&lt;=Setup!$C$16),OR(MONTH(O67)&gt;=Setup!$C$15,MONTH(O67)&lt;=Setup!$C$16)),IF(Setup!$C$15&lt;=Setup!$C$16,AND(MONTH(WORKDAY(O67,-(Setup!$C$13+Setup!$G$33),Setup!$C$39:$C$50))&gt;=Setup!$C$15,MONTH(WORKDAY(O67,-(Setup!$C$13+Setup!$G$33),Setup!$C$39:$C$50))&lt;=Setup!$C$16),OR(MONTH(WORKDAY(O67,-(Setup!$C$13+Setup!$G$33),Setup!$C$39:$C$50))&gt;=Setup!$C$15,MONTH(WORKDAY(O67,-(Setup!$C$13+Setup!$G$33),Setup!$C$39:$C$50))&lt;=Setup!$C$16))),WORKDAY(O67,-(Setup!$C$13+Setup!$G$33+Setup!$C$14),Setup!$C$39:$C$50),WORKDAY(O67,-(Setup!$C$13+Setup!$G$33),Setup!$C$39:$C$50))+(62*100+14)/10000000)))</f>
        <v/>
      </c>
      <c r="AF67" t="str">
        <f>IF(P67="","",IF(P67&lt;Setup!$C$5-Setup!$C$6,"",IF(IF(ISNUMBER(Roster!$D67),Setup!$C$34&lt;=Roster!$D67,FALSE),"",IF(OR(IF(Setup!$C$15&lt;=Setup!$C$16,AND(MONTH(P67)&gt;=Setup!$C$15,MONTH(P67)&lt;=Setup!$C$16),OR(MONTH(P67)&gt;=Setup!$C$15,MONTH(P67)&lt;=Setup!$C$16)),IF(Setup!$C$15&lt;=Setup!$C$16,AND(MONTH(WORKDAY(P67,-(Setup!$C$13+Setup!$G$34),Setup!$C$39:$C$50))&gt;=Setup!$C$15,MONTH(WORKDAY(P67,-(Setup!$C$13+Setup!$G$34),Setup!$C$39:$C$50))&lt;=Setup!$C$16),OR(MONTH(WORKDAY(P67,-(Setup!$C$13+Setup!$G$34),Setup!$C$39:$C$50))&gt;=Setup!$C$15,MONTH(WORKDAY(P67,-(Setup!$C$13+Setup!$G$34),Setup!$C$39:$C$50))&lt;=Setup!$C$16))),WORKDAY(P67,-(Setup!$C$13+Setup!$G$34+Setup!$C$14),Setup!$C$39:$C$50),WORKDAY(P67,-(Setup!$C$13+Setup!$G$34),Setup!$C$39:$C$50))+(62*100+15)/10000000)))</f>
        <v/>
      </c>
      <c r="AH67" t="str">
        <f t="shared" si="0"/>
        <v/>
      </c>
      <c r="AI67" t="str">
        <f t="shared" si="1"/>
        <v/>
      </c>
      <c r="AK67" t="str">
        <f ca="1">IF(62&gt;$AK$2,"",SMALL($R$6:$AF$505,62))</f>
        <v/>
      </c>
      <c r="AL67" t="str">
        <f t="shared" ca="1" si="2"/>
        <v/>
      </c>
      <c r="AM67" t="str">
        <f t="shared" ca="1" si="3"/>
        <v/>
      </c>
      <c r="AN67" t="str">
        <f t="shared" ca="1" si="4"/>
        <v/>
      </c>
      <c r="AP67" t="str">
        <f>IF(ISNUMBER(Roster!$B67),MAX(1,YEAR(Setup!$C$5)-YEAR(Roster!$B67)+IF(EDATE(Roster!$B67,12*(YEAR(Setup!$C$5)-YEAR(Roster!$B67)))&lt;Setup!$C$5,1,0)),"")</f>
        <v/>
      </c>
      <c r="AQ67" s="32" t="str">
        <f>IF(AP67="","",EDATE(Roster!$B67,12*AP67))</f>
        <v/>
      </c>
      <c r="AR67" t="str">
        <f>IF(AQ67="","",IF(AQ67&lt;DATE(YEAR(Setup!$C$5)+1,MONTH(Setup!$C$5),DAY(Setup!$C$5)),AQ67+62/1000,""))</f>
        <v/>
      </c>
      <c r="AS67" t="str">
        <f t="shared" si="5"/>
        <v/>
      </c>
      <c r="AT67" t="str">
        <f>IF(AS67="","",IF(ISNUMBER(Roster!$D67),Roster!$D67&gt;=AP67,FALSE))</f>
        <v/>
      </c>
      <c r="AU67" t="str">
        <f t="shared" si="6"/>
        <v/>
      </c>
      <c r="AV67" t="str">
        <f ca="1">IF(62&gt;$AV$2,"",SMALL($AR$6:$AR$505,62))</f>
        <v/>
      </c>
      <c r="AW67" t="str">
        <f t="shared" ca="1" si="7"/>
        <v/>
      </c>
    </row>
    <row r="68" spans="2:49" x14ac:dyDescent="0.2">
      <c r="B68" s="32" t="str">
        <f>IF(AND(ISNUMBER(Roster!$B68),Setup!$B$20="Yes",ISNUMBER(Setup!$C$20)),EDATE(Roster!$B68,12*Setup!$C$20),"")</f>
        <v/>
      </c>
      <c r="C68" s="32" t="str">
        <f>IF(AND(ISNUMBER(Roster!$B68),Setup!$B$21="Yes",ISNUMBER(Setup!$C$21)),EDATE(Roster!$B68,12*Setup!$C$21),"")</f>
        <v/>
      </c>
      <c r="D68" s="32" t="str">
        <f>IF(AND(ISNUMBER(Roster!$B68),Setup!$B$22="Yes",ISNUMBER(Setup!$C$22)),EDATE(Roster!$B68,12*Setup!$C$22),"")</f>
        <v/>
      </c>
      <c r="E68" s="32" t="str">
        <f>IF(AND(ISNUMBER(Roster!$B68),Setup!$B$23="Yes",ISNUMBER(Setup!$C$23)),EDATE(Roster!$B68,12*Setup!$C$23),"")</f>
        <v/>
      </c>
      <c r="F68" s="32" t="str">
        <f>IF(AND(ISNUMBER(Roster!$B68),Setup!$B$24="Yes",ISNUMBER(Setup!$C$24)),EDATE(Roster!$B68,12*Setup!$C$24),"")</f>
        <v/>
      </c>
      <c r="G68" s="32" t="str">
        <f>IF(AND(ISNUMBER(Roster!$B68),Setup!$B$25="Yes",ISNUMBER(Setup!$C$25)),EDATE(Roster!$B68,12*Setup!$C$25),"")</f>
        <v/>
      </c>
      <c r="H68" s="32" t="str">
        <f>IF(AND(ISNUMBER(Roster!$B68),Setup!$B$26="Yes",ISNUMBER(Setup!$C$26)),EDATE(Roster!$B68,12*Setup!$C$26),"")</f>
        <v/>
      </c>
      <c r="I68" s="32" t="str">
        <f>IF(AND(ISNUMBER(Roster!$B68),Setup!$B$27="Yes",ISNUMBER(Setup!$C$27)),EDATE(Roster!$B68,12*Setup!$C$27),"")</f>
        <v/>
      </c>
      <c r="J68" s="32" t="str">
        <f>IF(AND(ISNUMBER(Roster!$B68),Setup!$B$28="Yes",ISNUMBER(Setup!$C$28)),EDATE(Roster!$B68,12*Setup!$C$28),"")</f>
        <v/>
      </c>
      <c r="K68" s="32" t="str">
        <f>IF(AND(ISNUMBER(Roster!$B68),Setup!$B$29="Yes",ISNUMBER(Setup!$C$29)),EDATE(Roster!$B68,12*Setup!$C$29),"")</f>
        <v/>
      </c>
      <c r="L68" s="32" t="str">
        <f>IF(AND(ISNUMBER(Roster!$B68),Setup!$B$30="Yes",ISNUMBER(Setup!$C$30)),EDATE(Roster!$B68,12*Setup!$C$30),"")</f>
        <v/>
      </c>
      <c r="M68" s="32" t="str">
        <f>IF(AND(ISNUMBER(Roster!$B68),Setup!$B$31="Yes",ISNUMBER(Setup!$C$31)),EDATE(Roster!$B68,12*Setup!$C$31),"")</f>
        <v/>
      </c>
      <c r="N68" s="32" t="str">
        <f>IF(AND(ISNUMBER(Roster!$B68),Setup!$B$32="Yes",ISNUMBER(Setup!$C$32)),EDATE(Roster!$B68,12*Setup!$C$32),"")</f>
        <v/>
      </c>
      <c r="O68" s="32" t="str">
        <f>IF(AND(ISNUMBER(Roster!$B68),Setup!$B$33="Yes",ISNUMBER(Setup!$C$33)),EDATE(Roster!$B68,12*Setup!$C$33),"")</f>
        <v/>
      </c>
      <c r="P68" s="32" t="str">
        <f>IF(AND(ISNUMBER(Roster!$B68),Setup!$B$34="Yes",ISNUMBER(Setup!$C$34)),EDATE(Roster!$B68,12*Setup!$C$34),"")</f>
        <v/>
      </c>
      <c r="R68" t="str">
        <f>IF(B68="","",IF(B68&lt;Setup!$C$5-Setup!$C$6,"",IF(IF(ISNUMBER(Roster!$D68),Setup!$C$20&lt;=Roster!$D68,FALSE),"",IF(OR(IF(Setup!$C$15&lt;=Setup!$C$16,AND(MONTH(B68)&gt;=Setup!$C$15,MONTH(B68)&lt;=Setup!$C$16),OR(MONTH(B68)&gt;=Setup!$C$15,MONTH(B68)&lt;=Setup!$C$16)),IF(Setup!$C$15&lt;=Setup!$C$16,AND(MONTH(WORKDAY(B68,-(Setup!$C$13+Setup!$G$20),Setup!$C$39:$C$50))&gt;=Setup!$C$15,MONTH(WORKDAY(B68,-(Setup!$C$13+Setup!$G$20),Setup!$C$39:$C$50))&lt;=Setup!$C$16),OR(MONTH(WORKDAY(B68,-(Setup!$C$13+Setup!$G$20),Setup!$C$39:$C$50))&gt;=Setup!$C$15,MONTH(WORKDAY(B68,-(Setup!$C$13+Setup!$G$20),Setup!$C$39:$C$50))&lt;=Setup!$C$16))),WORKDAY(B68,-(Setup!$C$13+Setup!$G$20+Setup!$C$14),Setup!$C$39:$C$50),WORKDAY(B68,-(Setup!$C$13+Setup!$G$20),Setup!$C$39:$C$50))+(63*100+1)/10000000)))</f>
        <v/>
      </c>
      <c r="S68" t="str">
        <f>IF(C68="","",IF(C68&lt;Setup!$C$5-Setup!$C$6,"",IF(IF(ISNUMBER(Roster!$D68),Setup!$C$21&lt;=Roster!$D68,FALSE),"",IF(OR(IF(Setup!$C$15&lt;=Setup!$C$16,AND(MONTH(C68)&gt;=Setup!$C$15,MONTH(C68)&lt;=Setup!$C$16),OR(MONTH(C68)&gt;=Setup!$C$15,MONTH(C68)&lt;=Setup!$C$16)),IF(Setup!$C$15&lt;=Setup!$C$16,AND(MONTH(WORKDAY(C68,-(Setup!$C$13+Setup!$G$21),Setup!$C$39:$C$50))&gt;=Setup!$C$15,MONTH(WORKDAY(C68,-(Setup!$C$13+Setup!$G$21),Setup!$C$39:$C$50))&lt;=Setup!$C$16),OR(MONTH(WORKDAY(C68,-(Setup!$C$13+Setup!$G$21),Setup!$C$39:$C$50))&gt;=Setup!$C$15,MONTH(WORKDAY(C68,-(Setup!$C$13+Setup!$G$21),Setup!$C$39:$C$50))&lt;=Setup!$C$16))),WORKDAY(C68,-(Setup!$C$13+Setup!$G$21+Setup!$C$14),Setup!$C$39:$C$50),WORKDAY(C68,-(Setup!$C$13+Setup!$G$21),Setup!$C$39:$C$50))+(63*100+2)/10000000)))</f>
        <v/>
      </c>
      <c r="T68" t="str">
        <f>IF(D68="","",IF(D68&lt;Setup!$C$5-Setup!$C$6,"",IF(IF(ISNUMBER(Roster!$D68),Setup!$C$22&lt;=Roster!$D68,FALSE),"",IF(OR(IF(Setup!$C$15&lt;=Setup!$C$16,AND(MONTH(D68)&gt;=Setup!$C$15,MONTH(D68)&lt;=Setup!$C$16),OR(MONTH(D68)&gt;=Setup!$C$15,MONTH(D68)&lt;=Setup!$C$16)),IF(Setup!$C$15&lt;=Setup!$C$16,AND(MONTH(WORKDAY(D68,-(Setup!$C$13+Setup!$G$22),Setup!$C$39:$C$50))&gt;=Setup!$C$15,MONTH(WORKDAY(D68,-(Setup!$C$13+Setup!$G$22),Setup!$C$39:$C$50))&lt;=Setup!$C$16),OR(MONTH(WORKDAY(D68,-(Setup!$C$13+Setup!$G$22),Setup!$C$39:$C$50))&gt;=Setup!$C$15,MONTH(WORKDAY(D68,-(Setup!$C$13+Setup!$G$22),Setup!$C$39:$C$50))&lt;=Setup!$C$16))),WORKDAY(D68,-(Setup!$C$13+Setup!$G$22+Setup!$C$14),Setup!$C$39:$C$50),WORKDAY(D68,-(Setup!$C$13+Setup!$G$22),Setup!$C$39:$C$50))+(63*100+3)/10000000)))</f>
        <v/>
      </c>
      <c r="U68" t="str">
        <f>IF(E68="","",IF(E68&lt;Setup!$C$5-Setup!$C$6,"",IF(IF(ISNUMBER(Roster!$D68),Setup!$C$23&lt;=Roster!$D68,FALSE),"",IF(OR(IF(Setup!$C$15&lt;=Setup!$C$16,AND(MONTH(E68)&gt;=Setup!$C$15,MONTH(E68)&lt;=Setup!$C$16),OR(MONTH(E68)&gt;=Setup!$C$15,MONTH(E68)&lt;=Setup!$C$16)),IF(Setup!$C$15&lt;=Setup!$C$16,AND(MONTH(WORKDAY(E68,-(Setup!$C$13+Setup!$G$23),Setup!$C$39:$C$50))&gt;=Setup!$C$15,MONTH(WORKDAY(E68,-(Setup!$C$13+Setup!$G$23),Setup!$C$39:$C$50))&lt;=Setup!$C$16),OR(MONTH(WORKDAY(E68,-(Setup!$C$13+Setup!$G$23),Setup!$C$39:$C$50))&gt;=Setup!$C$15,MONTH(WORKDAY(E68,-(Setup!$C$13+Setup!$G$23),Setup!$C$39:$C$50))&lt;=Setup!$C$16))),WORKDAY(E68,-(Setup!$C$13+Setup!$G$23+Setup!$C$14),Setup!$C$39:$C$50),WORKDAY(E68,-(Setup!$C$13+Setup!$G$23),Setup!$C$39:$C$50))+(63*100+4)/10000000)))</f>
        <v/>
      </c>
      <c r="V68" t="str">
        <f>IF(F68="","",IF(F68&lt;Setup!$C$5-Setup!$C$6,"",IF(IF(ISNUMBER(Roster!$D68),Setup!$C$24&lt;=Roster!$D68,FALSE),"",IF(OR(IF(Setup!$C$15&lt;=Setup!$C$16,AND(MONTH(F68)&gt;=Setup!$C$15,MONTH(F68)&lt;=Setup!$C$16),OR(MONTH(F68)&gt;=Setup!$C$15,MONTH(F68)&lt;=Setup!$C$16)),IF(Setup!$C$15&lt;=Setup!$C$16,AND(MONTH(WORKDAY(F68,-(Setup!$C$13+Setup!$G$24),Setup!$C$39:$C$50))&gt;=Setup!$C$15,MONTH(WORKDAY(F68,-(Setup!$C$13+Setup!$G$24),Setup!$C$39:$C$50))&lt;=Setup!$C$16),OR(MONTH(WORKDAY(F68,-(Setup!$C$13+Setup!$G$24),Setup!$C$39:$C$50))&gt;=Setup!$C$15,MONTH(WORKDAY(F68,-(Setup!$C$13+Setup!$G$24),Setup!$C$39:$C$50))&lt;=Setup!$C$16))),WORKDAY(F68,-(Setup!$C$13+Setup!$G$24+Setup!$C$14),Setup!$C$39:$C$50),WORKDAY(F68,-(Setup!$C$13+Setup!$G$24),Setup!$C$39:$C$50))+(63*100+5)/10000000)))</f>
        <v/>
      </c>
      <c r="W68" t="str">
        <f>IF(G68="","",IF(G68&lt;Setup!$C$5-Setup!$C$6,"",IF(IF(ISNUMBER(Roster!$D68),Setup!$C$25&lt;=Roster!$D68,FALSE),"",IF(OR(IF(Setup!$C$15&lt;=Setup!$C$16,AND(MONTH(G68)&gt;=Setup!$C$15,MONTH(G68)&lt;=Setup!$C$16),OR(MONTH(G68)&gt;=Setup!$C$15,MONTH(G68)&lt;=Setup!$C$16)),IF(Setup!$C$15&lt;=Setup!$C$16,AND(MONTH(WORKDAY(G68,-(Setup!$C$13+Setup!$G$25),Setup!$C$39:$C$50))&gt;=Setup!$C$15,MONTH(WORKDAY(G68,-(Setup!$C$13+Setup!$G$25),Setup!$C$39:$C$50))&lt;=Setup!$C$16),OR(MONTH(WORKDAY(G68,-(Setup!$C$13+Setup!$G$25),Setup!$C$39:$C$50))&gt;=Setup!$C$15,MONTH(WORKDAY(G68,-(Setup!$C$13+Setup!$G$25),Setup!$C$39:$C$50))&lt;=Setup!$C$16))),WORKDAY(G68,-(Setup!$C$13+Setup!$G$25+Setup!$C$14),Setup!$C$39:$C$50),WORKDAY(G68,-(Setup!$C$13+Setup!$G$25),Setup!$C$39:$C$50))+(63*100+6)/10000000)))</f>
        <v/>
      </c>
      <c r="X68" t="str">
        <f>IF(H68="","",IF(H68&lt;Setup!$C$5-Setup!$C$6,"",IF(IF(ISNUMBER(Roster!$D68),Setup!$C$26&lt;=Roster!$D68,FALSE),"",IF(OR(IF(Setup!$C$15&lt;=Setup!$C$16,AND(MONTH(H68)&gt;=Setup!$C$15,MONTH(H68)&lt;=Setup!$C$16),OR(MONTH(H68)&gt;=Setup!$C$15,MONTH(H68)&lt;=Setup!$C$16)),IF(Setup!$C$15&lt;=Setup!$C$16,AND(MONTH(WORKDAY(H68,-(Setup!$C$13+Setup!$G$26),Setup!$C$39:$C$50))&gt;=Setup!$C$15,MONTH(WORKDAY(H68,-(Setup!$C$13+Setup!$G$26),Setup!$C$39:$C$50))&lt;=Setup!$C$16),OR(MONTH(WORKDAY(H68,-(Setup!$C$13+Setup!$G$26),Setup!$C$39:$C$50))&gt;=Setup!$C$15,MONTH(WORKDAY(H68,-(Setup!$C$13+Setup!$G$26),Setup!$C$39:$C$50))&lt;=Setup!$C$16))),WORKDAY(H68,-(Setup!$C$13+Setup!$G$26+Setup!$C$14),Setup!$C$39:$C$50),WORKDAY(H68,-(Setup!$C$13+Setup!$G$26),Setup!$C$39:$C$50))+(63*100+7)/10000000)))</f>
        <v/>
      </c>
      <c r="Y68" t="str">
        <f>IF(I68="","",IF(I68&lt;Setup!$C$5-Setup!$C$6,"",IF(IF(ISNUMBER(Roster!$D68),Setup!$C$27&lt;=Roster!$D68,FALSE),"",IF(OR(IF(Setup!$C$15&lt;=Setup!$C$16,AND(MONTH(I68)&gt;=Setup!$C$15,MONTH(I68)&lt;=Setup!$C$16),OR(MONTH(I68)&gt;=Setup!$C$15,MONTH(I68)&lt;=Setup!$C$16)),IF(Setup!$C$15&lt;=Setup!$C$16,AND(MONTH(WORKDAY(I68,-(Setup!$C$13+Setup!$G$27),Setup!$C$39:$C$50))&gt;=Setup!$C$15,MONTH(WORKDAY(I68,-(Setup!$C$13+Setup!$G$27),Setup!$C$39:$C$50))&lt;=Setup!$C$16),OR(MONTH(WORKDAY(I68,-(Setup!$C$13+Setup!$G$27),Setup!$C$39:$C$50))&gt;=Setup!$C$15,MONTH(WORKDAY(I68,-(Setup!$C$13+Setup!$G$27),Setup!$C$39:$C$50))&lt;=Setup!$C$16))),WORKDAY(I68,-(Setup!$C$13+Setup!$G$27+Setup!$C$14),Setup!$C$39:$C$50),WORKDAY(I68,-(Setup!$C$13+Setup!$G$27),Setup!$C$39:$C$50))+(63*100+8)/10000000)))</f>
        <v/>
      </c>
      <c r="Z68" t="str">
        <f>IF(J68="","",IF(J68&lt;Setup!$C$5-Setup!$C$6,"",IF(IF(ISNUMBER(Roster!$D68),Setup!$C$28&lt;=Roster!$D68,FALSE),"",IF(OR(IF(Setup!$C$15&lt;=Setup!$C$16,AND(MONTH(J68)&gt;=Setup!$C$15,MONTH(J68)&lt;=Setup!$C$16),OR(MONTH(J68)&gt;=Setup!$C$15,MONTH(J68)&lt;=Setup!$C$16)),IF(Setup!$C$15&lt;=Setup!$C$16,AND(MONTH(WORKDAY(J68,-(Setup!$C$13+Setup!$G$28),Setup!$C$39:$C$50))&gt;=Setup!$C$15,MONTH(WORKDAY(J68,-(Setup!$C$13+Setup!$G$28),Setup!$C$39:$C$50))&lt;=Setup!$C$16),OR(MONTH(WORKDAY(J68,-(Setup!$C$13+Setup!$G$28),Setup!$C$39:$C$50))&gt;=Setup!$C$15,MONTH(WORKDAY(J68,-(Setup!$C$13+Setup!$G$28),Setup!$C$39:$C$50))&lt;=Setup!$C$16))),WORKDAY(J68,-(Setup!$C$13+Setup!$G$28+Setup!$C$14),Setup!$C$39:$C$50),WORKDAY(J68,-(Setup!$C$13+Setup!$G$28),Setup!$C$39:$C$50))+(63*100+9)/10000000)))</f>
        <v/>
      </c>
      <c r="AA68" t="str">
        <f>IF(K68="","",IF(K68&lt;Setup!$C$5-Setup!$C$6,"",IF(IF(ISNUMBER(Roster!$D68),Setup!$C$29&lt;=Roster!$D68,FALSE),"",IF(OR(IF(Setup!$C$15&lt;=Setup!$C$16,AND(MONTH(K68)&gt;=Setup!$C$15,MONTH(K68)&lt;=Setup!$C$16),OR(MONTH(K68)&gt;=Setup!$C$15,MONTH(K68)&lt;=Setup!$C$16)),IF(Setup!$C$15&lt;=Setup!$C$16,AND(MONTH(WORKDAY(K68,-(Setup!$C$13+Setup!$G$29),Setup!$C$39:$C$50))&gt;=Setup!$C$15,MONTH(WORKDAY(K68,-(Setup!$C$13+Setup!$G$29),Setup!$C$39:$C$50))&lt;=Setup!$C$16),OR(MONTH(WORKDAY(K68,-(Setup!$C$13+Setup!$G$29),Setup!$C$39:$C$50))&gt;=Setup!$C$15,MONTH(WORKDAY(K68,-(Setup!$C$13+Setup!$G$29),Setup!$C$39:$C$50))&lt;=Setup!$C$16))),WORKDAY(K68,-(Setup!$C$13+Setup!$G$29+Setup!$C$14),Setup!$C$39:$C$50),WORKDAY(K68,-(Setup!$C$13+Setup!$G$29),Setup!$C$39:$C$50))+(63*100+10)/10000000)))</f>
        <v/>
      </c>
      <c r="AB68" t="str">
        <f>IF(L68="","",IF(L68&lt;Setup!$C$5-Setup!$C$6,"",IF(IF(ISNUMBER(Roster!$D68),Setup!$C$30&lt;=Roster!$D68,FALSE),"",IF(OR(IF(Setup!$C$15&lt;=Setup!$C$16,AND(MONTH(L68)&gt;=Setup!$C$15,MONTH(L68)&lt;=Setup!$C$16),OR(MONTH(L68)&gt;=Setup!$C$15,MONTH(L68)&lt;=Setup!$C$16)),IF(Setup!$C$15&lt;=Setup!$C$16,AND(MONTH(WORKDAY(L68,-(Setup!$C$13+Setup!$G$30),Setup!$C$39:$C$50))&gt;=Setup!$C$15,MONTH(WORKDAY(L68,-(Setup!$C$13+Setup!$G$30),Setup!$C$39:$C$50))&lt;=Setup!$C$16),OR(MONTH(WORKDAY(L68,-(Setup!$C$13+Setup!$G$30),Setup!$C$39:$C$50))&gt;=Setup!$C$15,MONTH(WORKDAY(L68,-(Setup!$C$13+Setup!$G$30),Setup!$C$39:$C$50))&lt;=Setup!$C$16))),WORKDAY(L68,-(Setup!$C$13+Setup!$G$30+Setup!$C$14),Setup!$C$39:$C$50),WORKDAY(L68,-(Setup!$C$13+Setup!$G$30),Setup!$C$39:$C$50))+(63*100+11)/10000000)))</f>
        <v/>
      </c>
      <c r="AC68" t="str">
        <f>IF(M68="","",IF(M68&lt;Setup!$C$5-Setup!$C$6,"",IF(IF(ISNUMBER(Roster!$D68),Setup!$C$31&lt;=Roster!$D68,FALSE),"",IF(OR(IF(Setup!$C$15&lt;=Setup!$C$16,AND(MONTH(M68)&gt;=Setup!$C$15,MONTH(M68)&lt;=Setup!$C$16),OR(MONTH(M68)&gt;=Setup!$C$15,MONTH(M68)&lt;=Setup!$C$16)),IF(Setup!$C$15&lt;=Setup!$C$16,AND(MONTH(WORKDAY(M68,-(Setup!$C$13+Setup!$G$31),Setup!$C$39:$C$50))&gt;=Setup!$C$15,MONTH(WORKDAY(M68,-(Setup!$C$13+Setup!$G$31),Setup!$C$39:$C$50))&lt;=Setup!$C$16),OR(MONTH(WORKDAY(M68,-(Setup!$C$13+Setup!$G$31),Setup!$C$39:$C$50))&gt;=Setup!$C$15,MONTH(WORKDAY(M68,-(Setup!$C$13+Setup!$G$31),Setup!$C$39:$C$50))&lt;=Setup!$C$16))),WORKDAY(M68,-(Setup!$C$13+Setup!$G$31+Setup!$C$14),Setup!$C$39:$C$50),WORKDAY(M68,-(Setup!$C$13+Setup!$G$31),Setup!$C$39:$C$50))+(63*100+12)/10000000)))</f>
        <v/>
      </c>
      <c r="AD68" t="str">
        <f>IF(N68="","",IF(N68&lt;Setup!$C$5-Setup!$C$6,"",IF(IF(ISNUMBER(Roster!$D68),Setup!$C$32&lt;=Roster!$D68,FALSE),"",IF(OR(IF(Setup!$C$15&lt;=Setup!$C$16,AND(MONTH(N68)&gt;=Setup!$C$15,MONTH(N68)&lt;=Setup!$C$16),OR(MONTH(N68)&gt;=Setup!$C$15,MONTH(N68)&lt;=Setup!$C$16)),IF(Setup!$C$15&lt;=Setup!$C$16,AND(MONTH(WORKDAY(N68,-(Setup!$C$13+Setup!$G$32),Setup!$C$39:$C$50))&gt;=Setup!$C$15,MONTH(WORKDAY(N68,-(Setup!$C$13+Setup!$G$32),Setup!$C$39:$C$50))&lt;=Setup!$C$16),OR(MONTH(WORKDAY(N68,-(Setup!$C$13+Setup!$G$32),Setup!$C$39:$C$50))&gt;=Setup!$C$15,MONTH(WORKDAY(N68,-(Setup!$C$13+Setup!$G$32),Setup!$C$39:$C$50))&lt;=Setup!$C$16))),WORKDAY(N68,-(Setup!$C$13+Setup!$G$32+Setup!$C$14),Setup!$C$39:$C$50),WORKDAY(N68,-(Setup!$C$13+Setup!$G$32),Setup!$C$39:$C$50))+(63*100+13)/10000000)))</f>
        <v/>
      </c>
      <c r="AE68" t="str">
        <f>IF(O68="","",IF(O68&lt;Setup!$C$5-Setup!$C$6,"",IF(IF(ISNUMBER(Roster!$D68),Setup!$C$33&lt;=Roster!$D68,FALSE),"",IF(OR(IF(Setup!$C$15&lt;=Setup!$C$16,AND(MONTH(O68)&gt;=Setup!$C$15,MONTH(O68)&lt;=Setup!$C$16),OR(MONTH(O68)&gt;=Setup!$C$15,MONTH(O68)&lt;=Setup!$C$16)),IF(Setup!$C$15&lt;=Setup!$C$16,AND(MONTH(WORKDAY(O68,-(Setup!$C$13+Setup!$G$33),Setup!$C$39:$C$50))&gt;=Setup!$C$15,MONTH(WORKDAY(O68,-(Setup!$C$13+Setup!$G$33),Setup!$C$39:$C$50))&lt;=Setup!$C$16),OR(MONTH(WORKDAY(O68,-(Setup!$C$13+Setup!$G$33),Setup!$C$39:$C$50))&gt;=Setup!$C$15,MONTH(WORKDAY(O68,-(Setup!$C$13+Setup!$G$33),Setup!$C$39:$C$50))&lt;=Setup!$C$16))),WORKDAY(O68,-(Setup!$C$13+Setup!$G$33+Setup!$C$14),Setup!$C$39:$C$50),WORKDAY(O68,-(Setup!$C$13+Setup!$G$33),Setup!$C$39:$C$50))+(63*100+14)/10000000)))</f>
        <v/>
      </c>
      <c r="AF68" t="str">
        <f>IF(P68="","",IF(P68&lt;Setup!$C$5-Setup!$C$6,"",IF(IF(ISNUMBER(Roster!$D68),Setup!$C$34&lt;=Roster!$D68,FALSE),"",IF(OR(IF(Setup!$C$15&lt;=Setup!$C$16,AND(MONTH(P68)&gt;=Setup!$C$15,MONTH(P68)&lt;=Setup!$C$16),OR(MONTH(P68)&gt;=Setup!$C$15,MONTH(P68)&lt;=Setup!$C$16)),IF(Setup!$C$15&lt;=Setup!$C$16,AND(MONTH(WORKDAY(P68,-(Setup!$C$13+Setup!$G$34),Setup!$C$39:$C$50))&gt;=Setup!$C$15,MONTH(WORKDAY(P68,-(Setup!$C$13+Setup!$G$34),Setup!$C$39:$C$50))&lt;=Setup!$C$16),OR(MONTH(WORKDAY(P68,-(Setup!$C$13+Setup!$G$34),Setup!$C$39:$C$50))&gt;=Setup!$C$15,MONTH(WORKDAY(P68,-(Setup!$C$13+Setup!$G$34),Setup!$C$39:$C$50))&lt;=Setup!$C$16))),WORKDAY(P68,-(Setup!$C$13+Setup!$G$34+Setup!$C$14),Setup!$C$39:$C$50),WORKDAY(P68,-(Setup!$C$13+Setup!$G$34),Setup!$C$39:$C$50))+(63*100+15)/10000000)))</f>
        <v/>
      </c>
      <c r="AH68" t="str">
        <f t="shared" si="0"/>
        <v/>
      </c>
      <c r="AI68" t="str">
        <f t="shared" si="1"/>
        <v/>
      </c>
      <c r="AK68" t="str">
        <f ca="1">IF(63&gt;$AK$2,"",SMALL($R$6:$AF$505,63))</f>
        <v/>
      </c>
      <c r="AL68" t="str">
        <f t="shared" ca="1" si="2"/>
        <v/>
      </c>
      <c r="AM68" t="str">
        <f t="shared" ca="1" si="3"/>
        <v/>
      </c>
      <c r="AN68" t="str">
        <f t="shared" ca="1" si="4"/>
        <v/>
      </c>
      <c r="AP68" t="str">
        <f>IF(ISNUMBER(Roster!$B68),MAX(1,YEAR(Setup!$C$5)-YEAR(Roster!$B68)+IF(EDATE(Roster!$B68,12*(YEAR(Setup!$C$5)-YEAR(Roster!$B68)))&lt;Setup!$C$5,1,0)),"")</f>
        <v/>
      </c>
      <c r="AQ68" s="32" t="str">
        <f>IF(AP68="","",EDATE(Roster!$B68,12*AP68))</f>
        <v/>
      </c>
      <c r="AR68" t="str">
        <f>IF(AQ68="","",IF(AQ68&lt;DATE(YEAR(Setup!$C$5)+1,MONTH(Setup!$C$5),DAY(Setup!$C$5)),AQ68+63/1000,""))</f>
        <v/>
      </c>
      <c r="AS68" t="str">
        <f t="shared" si="5"/>
        <v/>
      </c>
      <c r="AT68" t="str">
        <f>IF(AS68="","",IF(ISNUMBER(Roster!$D68),Roster!$D68&gt;=AP68,FALSE))</f>
        <v/>
      </c>
      <c r="AU68" t="str">
        <f t="shared" si="6"/>
        <v/>
      </c>
      <c r="AV68" t="str">
        <f ca="1">IF(63&gt;$AV$2,"",SMALL($AR$6:$AR$505,63))</f>
        <v/>
      </c>
      <c r="AW68" t="str">
        <f t="shared" ca="1" si="7"/>
        <v/>
      </c>
    </row>
    <row r="69" spans="2:49" x14ac:dyDescent="0.2">
      <c r="B69" s="32" t="str">
        <f>IF(AND(ISNUMBER(Roster!$B69),Setup!$B$20="Yes",ISNUMBER(Setup!$C$20)),EDATE(Roster!$B69,12*Setup!$C$20),"")</f>
        <v/>
      </c>
      <c r="C69" s="32" t="str">
        <f>IF(AND(ISNUMBER(Roster!$B69),Setup!$B$21="Yes",ISNUMBER(Setup!$C$21)),EDATE(Roster!$B69,12*Setup!$C$21),"")</f>
        <v/>
      </c>
      <c r="D69" s="32" t="str">
        <f>IF(AND(ISNUMBER(Roster!$B69),Setup!$B$22="Yes",ISNUMBER(Setup!$C$22)),EDATE(Roster!$B69,12*Setup!$C$22),"")</f>
        <v/>
      </c>
      <c r="E69" s="32" t="str">
        <f>IF(AND(ISNUMBER(Roster!$B69),Setup!$B$23="Yes",ISNUMBER(Setup!$C$23)),EDATE(Roster!$B69,12*Setup!$C$23),"")</f>
        <v/>
      </c>
      <c r="F69" s="32" t="str">
        <f>IF(AND(ISNUMBER(Roster!$B69),Setup!$B$24="Yes",ISNUMBER(Setup!$C$24)),EDATE(Roster!$B69,12*Setup!$C$24),"")</f>
        <v/>
      </c>
      <c r="G69" s="32" t="str">
        <f>IF(AND(ISNUMBER(Roster!$B69),Setup!$B$25="Yes",ISNUMBER(Setup!$C$25)),EDATE(Roster!$B69,12*Setup!$C$25),"")</f>
        <v/>
      </c>
      <c r="H69" s="32" t="str">
        <f>IF(AND(ISNUMBER(Roster!$B69),Setup!$B$26="Yes",ISNUMBER(Setup!$C$26)),EDATE(Roster!$B69,12*Setup!$C$26),"")</f>
        <v/>
      </c>
      <c r="I69" s="32" t="str">
        <f>IF(AND(ISNUMBER(Roster!$B69),Setup!$B$27="Yes",ISNUMBER(Setup!$C$27)),EDATE(Roster!$B69,12*Setup!$C$27),"")</f>
        <v/>
      </c>
      <c r="J69" s="32" t="str">
        <f>IF(AND(ISNUMBER(Roster!$B69),Setup!$B$28="Yes",ISNUMBER(Setup!$C$28)),EDATE(Roster!$B69,12*Setup!$C$28),"")</f>
        <v/>
      </c>
      <c r="K69" s="32" t="str">
        <f>IF(AND(ISNUMBER(Roster!$B69),Setup!$B$29="Yes",ISNUMBER(Setup!$C$29)),EDATE(Roster!$B69,12*Setup!$C$29),"")</f>
        <v/>
      </c>
      <c r="L69" s="32" t="str">
        <f>IF(AND(ISNUMBER(Roster!$B69),Setup!$B$30="Yes",ISNUMBER(Setup!$C$30)),EDATE(Roster!$B69,12*Setup!$C$30),"")</f>
        <v/>
      </c>
      <c r="M69" s="32" t="str">
        <f>IF(AND(ISNUMBER(Roster!$B69),Setup!$B$31="Yes",ISNUMBER(Setup!$C$31)),EDATE(Roster!$B69,12*Setup!$C$31),"")</f>
        <v/>
      </c>
      <c r="N69" s="32" t="str">
        <f>IF(AND(ISNUMBER(Roster!$B69),Setup!$B$32="Yes",ISNUMBER(Setup!$C$32)),EDATE(Roster!$B69,12*Setup!$C$32),"")</f>
        <v/>
      </c>
      <c r="O69" s="32" t="str">
        <f>IF(AND(ISNUMBER(Roster!$B69),Setup!$B$33="Yes",ISNUMBER(Setup!$C$33)),EDATE(Roster!$B69,12*Setup!$C$33),"")</f>
        <v/>
      </c>
      <c r="P69" s="32" t="str">
        <f>IF(AND(ISNUMBER(Roster!$B69),Setup!$B$34="Yes",ISNUMBER(Setup!$C$34)),EDATE(Roster!$B69,12*Setup!$C$34),"")</f>
        <v/>
      </c>
      <c r="R69" t="str">
        <f>IF(B69="","",IF(B69&lt;Setup!$C$5-Setup!$C$6,"",IF(IF(ISNUMBER(Roster!$D69),Setup!$C$20&lt;=Roster!$D69,FALSE),"",IF(OR(IF(Setup!$C$15&lt;=Setup!$C$16,AND(MONTH(B69)&gt;=Setup!$C$15,MONTH(B69)&lt;=Setup!$C$16),OR(MONTH(B69)&gt;=Setup!$C$15,MONTH(B69)&lt;=Setup!$C$16)),IF(Setup!$C$15&lt;=Setup!$C$16,AND(MONTH(WORKDAY(B69,-(Setup!$C$13+Setup!$G$20),Setup!$C$39:$C$50))&gt;=Setup!$C$15,MONTH(WORKDAY(B69,-(Setup!$C$13+Setup!$G$20),Setup!$C$39:$C$50))&lt;=Setup!$C$16),OR(MONTH(WORKDAY(B69,-(Setup!$C$13+Setup!$G$20),Setup!$C$39:$C$50))&gt;=Setup!$C$15,MONTH(WORKDAY(B69,-(Setup!$C$13+Setup!$G$20),Setup!$C$39:$C$50))&lt;=Setup!$C$16))),WORKDAY(B69,-(Setup!$C$13+Setup!$G$20+Setup!$C$14),Setup!$C$39:$C$50),WORKDAY(B69,-(Setup!$C$13+Setup!$G$20),Setup!$C$39:$C$50))+(64*100+1)/10000000)))</f>
        <v/>
      </c>
      <c r="S69" t="str">
        <f>IF(C69="","",IF(C69&lt;Setup!$C$5-Setup!$C$6,"",IF(IF(ISNUMBER(Roster!$D69),Setup!$C$21&lt;=Roster!$D69,FALSE),"",IF(OR(IF(Setup!$C$15&lt;=Setup!$C$16,AND(MONTH(C69)&gt;=Setup!$C$15,MONTH(C69)&lt;=Setup!$C$16),OR(MONTH(C69)&gt;=Setup!$C$15,MONTH(C69)&lt;=Setup!$C$16)),IF(Setup!$C$15&lt;=Setup!$C$16,AND(MONTH(WORKDAY(C69,-(Setup!$C$13+Setup!$G$21),Setup!$C$39:$C$50))&gt;=Setup!$C$15,MONTH(WORKDAY(C69,-(Setup!$C$13+Setup!$G$21),Setup!$C$39:$C$50))&lt;=Setup!$C$16),OR(MONTH(WORKDAY(C69,-(Setup!$C$13+Setup!$G$21),Setup!$C$39:$C$50))&gt;=Setup!$C$15,MONTH(WORKDAY(C69,-(Setup!$C$13+Setup!$G$21),Setup!$C$39:$C$50))&lt;=Setup!$C$16))),WORKDAY(C69,-(Setup!$C$13+Setup!$G$21+Setup!$C$14),Setup!$C$39:$C$50),WORKDAY(C69,-(Setup!$C$13+Setup!$G$21),Setup!$C$39:$C$50))+(64*100+2)/10000000)))</f>
        <v/>
      </c>
      <c r="T69" t="str">
        <f>IF(D69="","",IF(D69&lt;Setup!$C$5-Setup!$C$6,"",IF(IF(ISNUMBER(Roster!$D69),Setup!$C$22&lt;=Roster!$D69,FALSE),"",IF(OR(IF(Setup!$C$15&lt;=Setup!$C$16,AND(MONTH(D69)&gt;=Setup!$C$15,MONTH(D69)&lt;=Setup!$C$16),OR(MONTH(D69)&gt;=Setup!$C$15,MONTH(D69)&lt;=Setup!$C$16)),IF(Setup!$C$15&lt;=Setup!$C$16,AND(MONTH(WORKDAY(D69,-(Setup!$C$13+Setup!$G$22),Setup!$C$39:$C$50))&gt;=Setup!$C$15,MONTH(WORKDAY(D69,-(Setup!$C$13+Setup!$G$22),Setup!$C$39:$C$50))&lt;=Setup!$C$16),OR(MONTH(WORKDAY(D69,-(Setup!$C$13+Setup!$G$22),Setup!$C$39:$C$50))&gt;=Setup!$C$15,MONTH(WORKDAY(D69,-(Setup!$C$13+Setup!$G$22),Setup!$C$39:$C$50))&lt;=Setup!$C$16))),WORKDAY(D69,-(Setup!$C$13+Setup!$G$22+Setup!$C$14),Setup!$C$39:$C$50),WORKDAY(D69,-(Setup!$C$13+Setup!$G$22),Setup!$C$39:$C$50))+(64*100+3)/10000000)))</f>
        <v/>
      </c>
      <c r="U69" t="str">
        <f>IF(E69="","",IF(E69&lt;Setup!$C$5-Setup!$C$6,"",IF(IF(ISNUMBER(Roster!$D69),Setup!$C$23&lt;=Roster!$D69,FALSE),"",IF(OR(IF(Setup!$C$15&lt;=Setup!$C$16,AND(MONTH(E69)&gt;=Setup!$C$15,MONTH(E69)&lt;=Setup!$C$16),OR(MONTH(E69)&gt;=Setup!$C$15,MONTH(E69)&lt;=Setup!$C$16)),IF(Setup!$C$15&lt;=Setup!$C$16,AND(MONTH(WORKDAY(E69,-(Setup!$C$13+Setup!$G$23),Setup!$C$39:$C$50))&gt;=Setup!$C$15,MONTH(WORKDAY(E69,-(Setup!$C$13+Setup!$G$23),Setup!$C$39:$C$50))&lt;=Setup!$C$16),OR(MONTH(WORKDAY(E69,-(Setup!$C$13+Setup!$G$23),Setup!$C$39:$C$50))&gt;=Setup!$C$15,MONTH(WORKDAY(E69,-(Setup!$C$13+Setup!$G$23),Setup!$C$39:$C$50))&lt;=Setup!$C$16))),WORKDAY(E69,-(Setup!$C$13+Setup!$G$23+Setup!$C$14),Setup!$C$39:$C$50),WORKDAY(E69,-(Setup!$C$13+Setup!$G$23),Setup!$C$39:$C$50))+(64*100+4)/10000000)))</f>
        <v/>
      </c>
      <c r="V69" t="str">
        <f>IF(F69="","",IF(F69&lt;Setup!$C$5-Setup!$C$6,"",IF(IF(ISNUMBER(Roster!$D69),Setup!$C$24&lt;=Roster!$D69,FALSE),"",IF(OR(IF(Setup!$C$15&lt;=Setup!$C$16,AND(MONTH(F69)&gt;=Setup!$C$15,MONTH(F69)&lt;=Setup!$C$16),OR(MONTH(F69)&gt;=Setup!$C$15,MONTH(F69)&lt;=Setup!$C$16)),IF(Setup!$C$15&lt;=Setup!$C$16,AND(MONTH(WORKDAY(F69,-(Setup!$C$13+Setup!$G$24),Setup!$C$39:$C$50))&gt;=Setup!$C$15,MONTH(WORKDAY(F69,-(Setup!$C$13+Setup!$G$24),Setup!$C$39:$C$50))&lt;=Setup!$C$16),OR(MONTH(WORKDAY(F69,-(Setup!$C$13+Setup!$G$24),Setup!$C$39:$C$50))&gt;=Setup!$C$15,MONTH(WORKDAY(F69,-(Setup!$C$13+Setup!$G$24),Setup!$C$39:$C$50))&lt;=Setup!$C$16))),WORKDAY(F69,-(Setup!$C$13+Setup!$G$24+Setup!$C$14),Setup!$C$39:$C$50),WORKDAY(F69,-(Setup!$C$13+Setup!$G$24),Setup!$C$39:$C$50))+(64*100+5)/10000000)))</f>
        <v/>
      </c>
      <c r="W69" t="str">
        <f>IF(G69="","",IF(G69&lt;Setup!$C$5-Setup!$C$6,"",IF(IF(ISNUMBER(Roster!$D69),Setup!$C$25&lt;=Roster!$D69,FALSE),"",IF(OR(IF(Setup!$C$15&lt;=Setup!$C$16,AND(MONTH(G69)&gt;=Setup!$C$15,MONTH(G69)&lt;=Setup!$C$16),OR(MONTH(G69)&gt;=Setup!$C$15,MONTH(G69)&lt;=Setup!$C$16)),IF(Setup!$C$15&lt;=Setup!$C$16,AND(MONTH(WORKDAY(G69,-(Setup!$C$13+Setup!$G$25),Setup!$C$39:$C$50))&gt;=Setup!$C$15,MONTH(WORKDAY(G69,-(Setup!$C$13+Setup!$G$25),Setup!$C$39:$C$50))&lt;=Setup!$C$16),OR(MONTH(WORKDAY(G69,-(Setup!$C$13+Setup!$G$25),Setup!$C$39:$C$50))&gt;=Setup!$C$15,MONTH(WORKDAY(G69,-(Setup!$C$13+Setup!$G$25),Setup!$C$39:$C$50))&lt;=Setup!$C$16))),WORKDAY(G69,-(Setup!$C$13+Setup!$G$25+Setup!$C$14),Setup!$C$39:$C$50),WORKDAY(G69,-(Setup!$C$13+Setup!$G$25),Setup!$C$39:$C$50))+(64*100+6)/10000000)))</f>
        <v/>
      </c>
      <c r="X69" t="str">
        <f>IF(H69="","",IF(H69&lt;Setup!$C$5-Setup!$C$6,"",IF(IF(ISNUMBER(Roster!$D69),Setup!$C$26&lt;=Roster!$D69,FALSE),"",IF(OR(IF(Setup!$C$15&lt;=Setup!$C$16,AND(MONTH(H69)&gt;=Setup!$C$15,MONTH(H69)&lt;=Setup!$C$16),OR(MONTH(H69)&gt;=Setup!$C$15,MONTH(H69)&lt;=Setup!$C$16)),IF(Setup!$C$15&lt;=Setup!$C$16,AND(MONTH(WORKDAY(H69,-(Setup!$C$13+Setup!$G$26),Setup!$C$39:$C$50))&gt;=Setup!$C$15,MONTH(WORKDAY(H69,-(Setup!$C$13+Setup!$G$26),Setup!$C$39:$C$50))&lt;=Setup!$C$16),OR(MONTH(WORKDAY(H69,-(Setup!$C$13+Setup!$G$26),Setup!$C$39:$C$50))&gt;=Setup!$C$15,MONTH(WORKDAY(H69,-(Setup!$C$13+Setup!$G$26),Setup!$C$39:$C$50))&lt;=Setup!$C$16))),WORKDAY(H69,-(Setup!$C$13+Setup!$G$26+Setup!$C$14),Setup!$C$39:$C$50),WORKDAY(H69,-(Setup!$C$13+Setup!$G$26),Setup!$C$39:$C$50))+(64*100+7)/10000000)))</f>
        <v/>
      </c>
      <c r="Y69" t="str">
        <f>IF(I69="","",IF(I69&lt;Setup!$C$5-Setup!$C$6,"",IF(IF(ISNUMBER(Roster!$D69),Setup!$C$27&lt;=Roster!$D69,FALSE),"",IF(OR(IF(Setup!$C$15&lt;=Setup!$C$16,AND(MONTH(I69)&gt;=Setup!$C$15,MONTH(I69)&lt;=Setup!$C$16),OR(MONTH(I69)&gt;=Setup!$C$15,MONTH(I69)&lt;=Setup!$C$16)),IF(Setup!$C$15&lt;=Setup!$C$16,AND(MONTH(WORKDAY(I69,-(Setup!$C$13+Setup!$G$27),Setup!$C$39:$C$50))&gt;=Setup!$C$15,MONTH(WORKDAY(I69,-(Setup!$C$13+Setup!$G$27),Setup!$C$39:$C$50))&lt;=Setup!$C$16),OR(MONTH(WORKDAY(I69,-(Setup!$C$13+Setup!$G$27),Setup!$C$39:$C$50))&gt;=Setup!$C$15,MONTH(WORKDAY(I69,-(Setup!$C$13+Setup!$G$27),Setup!$C$39:$C$50))&lt;=Setup!$C$16))),WORKDAY(I69,-(Setup!$C$13+Setup!$G$27+Setup!$C$14),Setup!$C$39:$C$50),WORKDAY(I69,-(Setup!$C$13+Setup!$G$27),Setup!$C$39:$C$50))+(64*100+8)/10000000)))</f>
        <v/>
      </c>
      <c r="Z69" t="str">
        <f>IF(J69="","",IF(J69&lt;Setup!$C$5-Setup!$C$6,"",IF(IF(ISNUMBER(Roster!$D69),Setup!$C$28&lt;=Roster!$D69,FALSE),"",IF(OR(IF(Setup!$C$15&lt;=Setup!$C$16,AND(MONTH(J69)&gt;=Setup!$C$15,MONTH(J69)&lt;=Setup!$C$16),OR(MONTH(J69)&gt;=Setup!$C$15,MONTH(J69)&lt;=Setup!$C$16)),IF(Setup!$C$15&lt;=Setup!$C$16,AND(MONTH(WORKDAY(J69,-(Setup!$C$13+Setup!$G$28),Setup!$C$39:$C$50))&gt;=Setup!$C$15,MONTH(WORKDAY(J69,-(Setup!$C$13+Setup!$G$28),Setup!$C$39:$C$50))&lt;=Setup!$C$16),OR(MONTH(WORKDAY(J69,-(Setup!$C$13+Setup!$G$28),Setup!$C$39:$C$50))&gt;=Setup!$C$15,MONTH(WORKDAY(J69,-(Setup!$C$13+Setup!$G$28),Setup!$C$39:$C$50))&lt;=Setup!$C$16))),WORKDAY(J69,-(Setup!$C$13+Setup!$G$28+Setup!$C$14),Setup!$C$39:$C$50),WORKDAY(J69,-(Setup!$C$13+Setup!$G$28),Setup!$C$39:$C$50))+(64*100+9)/10000000)))</f>
        <v/>
      </c>
      <c r="AA69" t="str">
        <f>IF(K69="","",IF(K69&lt;Setup!$C$5-Setup!$C$6,"",IF(IF(ISNUMBER(Roster!$D69),Setup!$C$29&lt;=Roster!$D69,FALSE),"",IF(OR(IF(Setup!$C$15&lt;=Setup!$C$16,AND(MONTH(K69)&gt;=Setup!$C$15,MONTH(K69)&lt;=Setup!$C$16),OR(MONTH(K69)&gt;=Setup!$C$15,MONTH(K69)&lt;=Setup!$C$16)),IF(Setup!$C$15&lt;=Setup!$C$16,AND(MONTH(WORKDAY(K69,-(Setup!$C$13+Setup!$G$29),Setup!$C$39:$C$50))&gt;=Setup!$C$15,MONTH(WORKDAY(K69,-(Setup!$C$13+Setup!$G$29),Setup!$C$39:$C$50))&lt;=Setup!$C$16),OR(MONTH(WORKDAY(K69,-(Setup!$C$13+Setup!$G$29),Setup!$C$39:$C$50))&gt;=Setup!$C$15,MONTH(WORKDAY(K69,-(Setup!$C$13+Setup!$G$29),Setup!$C$39:$C$50))&lt;=Setup!$C$16))),WORKDAY(K69,-(Setup!$C$13+Setup!$G$29+Setup!$C$14),Setup!$C$39:$C$50),WORKDAY(K69,-(Setup!$C$13+Setup!$G$29),Setup!$C$39:$C$50))+(64*100+10)/10000000)))</f>
        <v/>
      </c>
      <c r="AB69" t="str">
        <f>IF(L69="","",IF(L69&lt;Setup!$C$5-Setup!$C$6,"",IF(IF(ISNUMBER(Roster!$D69),Setup!$C$30&lt;=Roster!$D69,FALSE),"",IF(OR(IF(Setup!$C$15&lt;=Setup!$C$16,AND(MONTH(L69)&gt;=Setup!$C$15,MONTH(L69)&lt;=Setup!$C$16),OR(MONTH(L69)&gt;=Setup!$C$15,MONTH(L69)&lt;=Setup!$C$16)),IF(Setup!$C$15&lt;=Setup!$C$16,AND(MONTH(WORKDAY(L69,-(Setup!$C$13+Setup!$G$30),Setup!$C$39:$C$50))&gt;=Setup!$C$15,MONTH(WORKDAY(L69,-(Setup!$C$13+Setup!$G$30),Setup!$C$39:$C$50))&lt;=Setup!$C$16),OR(MONTH(WORKDAY(L69,-(Setup!$C$13+Setup!$G$30),Setup!$C$39:$C$50))&gt;=Setup!$C$15,MONTH(WORKDAY(L69,-(Setup!$C$13+Setup!$G$30),Setup!$C$39:$C$50))&lt;=Setup!$C$16))),WORKDAY(L69,-(Setup!$C$13+Setup!$G$30+Setup!$C$14),Setup!$C$39:$C$50),WORKDAY(L69,-(Setup!$C$13+Setup!$G$30),Setup!$C$39:$C$50))+(64*100+11)/10000000)))</f>
        <v/>
      </c>
      <c r="AC69" t="str">
        <f>IF(M69="","",IF(M69&lt;Setup!$C$5-Setup!$C$6,"",IF(IF(ISNUMBER(Roster!$D69),Setup!$C$31&lt;=Roster!$D69,FALSE),"",IF(OR(IF(Setup!$C$15&lt;=Setup!$C$16,AND(MONTH(M69)&gt;=Setup!$C$15,MONTH(M69)&lt;=Setup!$C$16),OR(MONTH(M69)&gt;=Setup!$C$15,MONTH(M69)&lt;=Setup!$C$16)),IF(Setup!$C$15&lt;=Setup!$C$16,AND(MONTH(WORKDAY(M69,-(Setup!$C$13+Setup!$G$31),Setup!$C$39:$C$50))&gt;=Setup!$C$15,MONTH(WORKDAY(M69,-(Setup!$C$13+Setup!$G$31),Setup!$C$39:$C$50))&lt;=Setup!$C$16),OR(MONTH(WORKDAY(M69,-(Setup!$C$13+Setup!$G$31),Setup!$C$39:$C$50))&gt;=Setup!$C$15,MONTH(WORKDAY(M69,-(Setup!$C$13+Setup!$G$31),Setup!$C$39:$C$50))&lt;=Setup!$C$16))),WORKDAY(M69,-(Setup!$C$13+Setup!$G$31+Setup!$C$14),Setup!$C$39:$C$50),WORKDAY(M69,-(Setup!$C$13+Setup!$G$31),Setup!$C$39:$C$50))+(64*100+12)/10000000)))</f>
        <v/>
      </c>
      <c r="AD69" t="str">
        <f>IF(N69="","",IF(N69&lt;Setup!$C$5-Setup!$C$6,"",IF(IF(ISNUMBER(Roster!$D69),Setup!$C$32&lt;=Roster!$D69,FALSE),"",IF(OR(IF(Setup!$C$15&lt;=Setup!$C$16,AND(MONTH(N69)&gt;=Setup!$C$15,MONTH(N69)&lt;=Setup!$C$16),OR(MONTH(N69)&gt;=Setup!$C$15,MONTH(N69)&lt;=Setup!$C$16)),IF(Setup!$C$15&lt;=Setup!$C$16,AND(MONTH(WORKDAY(N69,-(Setup!$C$13+Setup!$G$32),Setup!$C$39:$C$50))&gt;=Setup!$C$15,MONTH(WORKDAY(N69,-(Setup!$C$13+Setup!$G$32),Setup!$C$39:$C$50))&lt;=Setup!$C$16),OR(MONTH(WORKDAY(N69,-(Setup!$C$13+Setup!$G$32),Setup!$C$39:$C$50))&gt;=Setup!$C$15,MONTH(WORKDAY(N69,-(Setup!$C$13+Setup!$G$32),Setup!$C$39:$C$50))&lt;=Setup!$C$16))),WORKDAY(N69,-(Setup!$C$13+Setup!$G$32+Setup!$C$14),Setup!$C$39:$C$50),WORKDAY(N69,-(Setup!$C$13+Setup!$G$32),Setup!$C$39:$C$50))+(64*100+13)/10000000)))</f>
        <v/>
      </c>
      <c r="AE69" t="str">
        <f>IF(O69="","",IF(O69&lt;Setup!$C$5-Setup!$C$6,"",IF(IF(ISNUMBER(Roster!$D69),Setup!$C$33&lt;=Roster!$D69,FALSE),"",IF(OR(IF(Setup!$C$15&lt;=Setup!$C$16,AND(MONTH(O69)&gt;=Setup!$C$15,MONTH(O69)&lt;=Setup!$C$16),OR(MONTH(O69)&gt;=Setup!$C$15,MONTH(O69)&lt;=Setup!$C$16)),IF(Setup!$C$15&lt;=Setup!$C$16,AND(MONTH(WORKDAY(O69,-(Setup!$C$13+Setup!$G$33),Setup!$C$39:$C$50))&gt;=Setup!$C$15,MONTH(WORKDAY(O69,-(Setup!$C$13+Setup!$G$33),Setup!$C$39:$C$50))&lt;=Setup!$C$16),OR(MONTH(WORKDAY(O69,-(Setup!$C$13+Setup!$G$33),Setup!$C$39:$C$50))&gt;=Setup!$C$15,MONTH(WORKDAY(O69,-(Setup!$C$13+Setup!$G$33),Setup!$C$39:$C$50))&lt;=Setup!$C$16))),WORKDAY(O69,-(Setup!$C$13+Setup!$G$33+Setup!$C$14),Setup!$C$39:$C$50),WORKDAY(O69,-(Setup!$C$13+Setup!$G$33),Setup!$C$39:$C$50))+(64*100+14)/10000000)))</f>
        <v/>
      </c>
      <c r="AF69" t="str">
        <f>IF(P69="","",IF(P69&lt;Setup!$C$5-Setup!$C$6,"",IF(IF(ISNUMBER(Roster!$D69),Setup!$C$34&lt;=Roster!$D69,FALSE),"",IF(OR(IF(Setup!$C$15&lt;=Setup!$C$16,AND(MONTH(P69)&gt;=Setup!$C$15,MONTH(P69)&lt;=Setup!$C$16),OR(MONTH(P69)&gt;=Setup!$C$15,MONTH(P69)&lt;=Setup!$C$16)),IF(Setup!$C$15&lt;=Setup!$C$16,AND(MONTH(WORKDAY(P69,-(Setup!$C$13+Setup!$G$34),Setup!$C$39:$C$50))&gt;=Setup!$C$15,MONTH(WORKDAY(P69,-(Setup!$C$13+Setup!$G$34),Setup!$C$39:$C$50))&lt;=Setup!$C$16),OR(MONTH(WORKDAY(P69,-(Setup!$C$13+Setup!$G$34),Setup!$C$39:$C$50))&gt;=Setup!$C$15,MONTH(WORKDAY(P69,-(Setup!$C$13+Setup!$G$34),Setup!$C$39:$C$50))&lt;=Setup!$C$16))),WORKDAY(P69,-(Setup!$C$13+Setup!$G$34+Setup!$C$14),Setup!$C$39:$C$50),WORKDAY(P69,-(Setup!$C$13+Setup!$G$34),Setup!$C$39:$C$50))+(64*100+15)/10000000)))</f>
        <v/>
      </c>
      <c r="AH69" t="str">
        <f t="shared" si="0"/>
        <v/>
      </c>
      <c r="AI69" t="str">
        <f t="shared" si="1"/>
        <v/>
      </c>
      <c r="AK69" t="str">
        <f ca="1">IF(64&gt;$AK$2,"",SMALL($R$6:$AF$505,64))</f>
        <v/>
      </c>
      <c r="AL69" t="str">
        <f t="shared" ca="1" si="2"/>
        <v/>
      </c>
      <c r="AM69" t="str">
        <f t="shared" ca="1" si="3"/>
        <v/>
      </c>
      <c r="AN69" t="str">
        <f t="shared" ca="1" si="4"/>
        <v/>
      </c>
      <c r="AP69" t="str">
        <f>IF(ISNUMBER(Roster!$B69),MAX(1,YEAR(Setup!$C$5)-YEAR(Roster!$B69)+IF(EDATE(Roster!$B69,12*(YEAR(Setup!$C$5)-YEAR(Roster!$B69)))&lt;Setup!$C$5,1,0)),"")</f>
        <v/>
      </c>
      <c r="AQ69" s="32" t="str">
        <f>IF(AP69="","",EDATE(Roster!$B69,12*AP69))</f>
        <v/>
      </c>
      <c r="AR69" t="str">
        <f>IF(AQ69="","",IF(AQ69&lt;DATE(YEAR(Setup!$C$5)+1,MONTH(Setup!$C$5),DAY(Setup!$C$5)),AQ69+64/1000,""))</f>
        <v/>
      </c>
      <c r="AS69" t="str">
        <f t="shared" si="5"/>
        <v/>
      </c>
      <c r="AT69" t="str">
        <f>IF(AS69="","",IF(ISNUMBER(Roster!$D69),Roster!$D69&gt;=AP69,FALSE))</f>
        <v/>
      </c>
      <c r="AU69" t="str">
        <f t="shared" si="6"/>
        <v/>
      </c>
      <c r="AV69" t="str">
        <f ca="1">IF(64&gt;$AV$2,"",SMALL($AR$6:$AR$505,64))</f>
        <v/>
      </c>
      <c r="AW69" t="str">
        <f t="shared" ca="1" si="7"/>
        <v/>
      </c>
    </row>
    <row r="70" spans="2:49" x14ac:dyDescent="0.2">
      <c r="B70" s="32" t="str">
        <f>IF(AND(ISNUMBER(Roster!$B70),Setup!$B$20="Yes",ISNUMBER(Setup!$C$20)),EDATE(Roster!$B70,12*Setup!$C$20),"")</f>
        <v/>
      </c>
      <c r="C70" s="32" t="str">
        <f>IF(AND(ISNUMBER(Roster!$B70),Setup!$B$21="Yes",ISNUMBER(Setup!$C$21)),EDATE(Roster!$B70,12*Setup!$C$21),"")</f>
        <v/>
      </c>
      <c r="D70" s="32" t="str">
        <f>IF(AND(ISNUMBER(Roster!$B70),Setup!$B$22="Yes",ISNUMBER(Setup!$C$22)),EDATE(Roster!$B70,12*Setup!$C$22),"")</f>
        <v/>
      </c>
      <c r="E70" s="32" t="str">
        <f>IF(AND(ISNUMBER(Roster!$B70),Setup!$B$23="Yes",ISNUMBER(Setup!$C$23)),EDATE(Roster!$B70,12*Setup!$C$23),"")</f>
        <v/>
      </c>
      <c r="F70" s="32" t="str">
        <f>IF(AND(ISNUMBER(Roster!$B70),Setup!$B$24="Yes",ISNUMBER(Setup!$C$24)),EDATE(Roster!$B70,12*Setup!$C$24),"")</f>
        <v/>
      </c>
      <c r="G70" s="32" t="str">
        <f>IF(AND(ISNUMBER(Roster!$B70),Setup!$B$25="Yes",ISNUMBER(Setup!$C$25)),EDATE(Roster!$B70,12*Setup!$C$25),"")</f>
        <v/>
      </c>
      <c r="H70" s="32" t="str">
        <f>IF(AND(ISNUMBER(Roster!$B70),Setup!$B$26="Yes",ISNUMBER(Setup!$C$26)),EDATE(Roster!$B70,12*Setup!$C$26),"")</f>
        <v/>
      </c>
      <c r="I70" s="32" t="str">
        <f>IF(AND(ISNUMBER(Roster!$B70),Setup!$B$27="Yes",ISNUMBER(Setup!$C$27)),EDATE(Roster!$B70,12*Setup!$C$27),"")</f>
        <v/>
      </c>
      <c r="J70" s="32" t="str">
        <f>IF(AND(ISNUMBER(Roster!$B70),Setup!$B$28="Yes",ISNUMBER(Setup!$C$28)),EDATE(Roster!$B70,12*Setup!$C$28),"")</f>
        <v/>
      </c>
      <c r="K70" s="32" t="str">
        <f>IF(AND(ISNUMBER(Roster!$B70),Setup!$B$29="Yes",ISNUMBER(Setup!$C$29)),EDATE(Roster!$B70,12*Setup!$C$29),"")</f>
        <v/>
      </c>
      <c r="L70" s="32" t="str">
        <f>IF(AND(ISNUMBER(Roster!$B70),Setup!$B$30="Yes",ISNUMBER(Setup!$C$30)),EDATE(Roster!$B70,12*Setup!$C$30),"")</f>
        <v/>
      </c>
      <c r="M70" s="32" t="str">
        <f>IF(AND(ISNUMBER(Roster!$B70),Setup!$B$31="Yes",ISNUMBER(Setup!$C$31)),EDATE(Roster!$B70,12*Setup!$C$31),"")</f>
        <v/>
      </c>
      <c r="N70" s="32" t="str">
        <f>IF(AND(ISNUMBER(Roster!$B70),Setup!$B$32="Yes",ISNUMBER(Setup!$C$32)),EDATE(Roster!$B70,12*Setup!$C$32),"")</f>
        <v/>
      </c>
      <c r="O70" s="32" t="str">
        <f>IF(AND(ISNUMBER(Roster!$B70),Setup!$B$33="Yes",ISNUMBER(Setup!$C$33)),EDATE(Roster!$B70,12*Setup!$C$33),"")</f>
        <v/>
      </c>
      <c r="P70" s="32" t="str">
        <f>IF(AND(ISNUMBER(Roster!$B70),Setup!$B$34="Yes",ISNUMBER(Setup!$C$34)),EDATE(Roster!$B70,12*Setup!$C$34),"")</f>
        <v/>
      </c>
      <c r="R70" t="str">
        <f>IF(B70="","",IF(B70&lt;Setup!$C$5-Setup!$C$6,"",IF(IF(ISNUMBER(Roster!$D70),Setup!$C$20&lt;=Roster!$D70,FALSE),"",IF(OR(IF(Setup!$C$15&lt;=Setup!$C$16,AND(MONTH(B70)&gt;=Setup!$C$15,MONTH(B70)&lt;=Setup!$C$16),OR(MONTH(B70)&gt;=Setup!$C$15,MONTH(B70)&lt;=Setup!$C$16)),IF(Setup!$C$15&lt;=Setup!$C$16,AND(MONTH(WORKDAY(B70,-(Setup!$C$13+Setup!$G$20),Setup!$C$39:$C$50))&gt;=Setup!$C$15,MONTH(WORKDAY(B70,-(Setup!$C$13+Setup!$G$20),Setup!$C$39:$C$50))&lt;=Setup!$C$16),OR(MONTH(WORKDAY(B70,-(Setup!$C$13+Setup!$G$20),Setup!$C$39:$C$50))&gt;=Setup!$C$15,MONTH(WORKDAY(B70,-(Setup!$C$13+Setup!$G$20),Setup!$C$39:$C$50))&lt;=Setup!$C$16))),WORKDAY(B70,-(Setup!$C$13+Setup!$G$20+Setup!$C$14),Setup!$C$39:$C$50),WORKDAY(B70,-(Setup!$C$13+Setup!$G$20),Setup!$C$39:$C$50))+(65*100+1)/10000000)))</f>
        <v/>
      </c>
      <c r="S70" t="str">
        <f>IF(C70="","",IF(C70&lt;Setup!$C$5-Setup!$C$6,"",IF(IF(ISNUMBER(Roster!$D70),Setup!$C$21&lt;=Roster!$D70,FALSE),"",IF(OR(IF(Setup!$C$15&lt;=Setup!$C$16,AND(MONTH(C70)&gt;=Setup!$C$15,MONTH(C70)&lt;=Setup!$C$16),OR(MONTH(C70)&gt;=Setup!$C$15,MONTH(C70)&lt;=Setup!$C$16)),IF(Setup!$C$15&lt;=Setup!$C$16,AND(MONTH(WORKDAY(C70,-(Setup!$C$13+Setup!$G$21),Setup!$C$39:$C$50))&gt;=Setup!$C$15,MONTH(WORKDAY(C70,-(Setup!$C$13+Setup!$G$21),Setup!$C$39:$C$50))&lt;=Setup!$C$16),OR(MONTH(WORKDAY(C70,-(Setup!$C$13+Setup!$G$21),Setup!$C$39:$C$50))&gt;=Setup!$C$15,MONTH(WORKDAY(C70,-(Setup!$C$13+Setup!$G$21),Setup!$C$39:$C$50))&lt;=Setup!$C$16))),WORKDAY(C70,-(Setup!$C$13+Setup!$G$21+Setup!$C$14),Setup!$C$39:$C$50),WORKDAY(C70,-(Setup!$C$13+Setup!$G$21),Setup!$C$39:$C$50))+(65*100+2)/10000000)))</f>
        <v/>
      </c>
      <c r="T70" t="str">
        <f>IF(D70="","",IF(D70&lt;Setup!$C$5-Setup!$C$6,"",IF(IF(ISNUMBER(Roster!$D70),Setup!$C$22&lt;=Roster!$D70,FALSE),"",IF(OR(IF(Setup!$C$15&lt;=Setup!$C$16,AND(MONTH(D70)&gt;=Setup!$C$15,MONTH(D70)&lt;=Setup!$C$16),OR(MONTH(D70)&gt;=Setup!$C$15,MONTH(D70)&lt;=Setup!$C$16)),IF(Setup!$C$15&lt;=Setup!$C$16,AND(MONTH(WORKDAY(D70,-(Setup!$C$13+Setup!$G$22),Setup!$C$39:$C$50))&gt;=Setup!$C$15,MONTH(WORKDAY(D70,-(Setup!$C$13+Setup!$G$22),Setup!$C$39:$C$50))&lt;=Setup!$C$16),OR(MONTH(WORKDAY(D70,-(Setup!$C$13+Setup!$G$22),Setup!$C$39:$C$50))&gt;=Setup!$C$15,MONTH(WORKDAY(D70,-(Setup!$C$13+Setup!$G$22),Setup!$C$39:$C$50))&lt;=Setup!$C$16))),WORKDAY(D70,-(Setup!$C$13+Setup!$G$22+Setup!$C$14),Setup!$C$39:$C$50),WORKDAY(D70,-(Setup!$C$13+Setup!$G$22),Setup!$C$39:$C$50))+(65*100+3)/10000000)))</f>
        <v/>
      </c>
      <c r="U70" t="str">
        <f>IF(E70="","",IF(E70&lt;Setup!$C$5-Setup!$C$6,"",IF(IF(ISNUMBER(Roster!$D70),Setup!$C$23&lt;=Roster!$D70,FALSE),"",IF(OR(IF(Setup!$C$15&lt;=Setup!$C$16,AND(MONTH(E70)&gt;=Setup!$C$15,MONTH(E70)&lt;=Setup!$C$16),OR(MONTH(E70)&gt;=Setup!$C$15,MONTH(E70)&lt;=Setup!$C$16)),IF(Setup!$C$15&lt;=Setup!$C$16,AND(MONTH(WORKDAY(E70,-(Setup!$C$13+Setup!$G$23),Setup!$C$39:$C$50))&gt;=Setup!$C$15,MONTH(WORKDAY(E70,-(Setup!$C$13+Setup!$G$23),Setup!$C$39:$C$50))&lt;=Setup!$C$16),OR(MONTH(WORKDAY(E70,-(Setup!$C$13+Setup!$G$23),Setup!$C$39:$C$50))&gt;=Setup!$C$15,MONTH(WORKDAY(E70,-(Setup!$C$13+Setup!$G$23),Setup!$C$39:$C$50))&lt;=Setup!$C$16))),WORKDAY(E70,-(Setup!$C$13+Setup!$G$23+Setup!$C$14),Setup!$C$39:$C$50),WORKDAY(E70,-(Setup!$C$13+Setup!$G$23),Setup!$C$39:$C$50))+(65*100+4)/10000000)))</f>
        <v/>
      </c>
      <c r="V70" t="str">
        <f>IF(F70="","",IF(F70&lt;Setup!$C$5-Setup!$C$6,"",IF(IF(ISNUMBER(Roster!$D70),Setup!$C$24&lt;=Roster!$D70,FALSE),"",IF(OR(IF(Setup!$C$15&lt;=Setup!$C$16,AND(MONTH(F70)&gt;=Setup!$C$15,MONTH(F70)&lt;=Setup!$C$16),OR(MONTH(F70)&gt;=Setup!$C$15,MONTH(F70)&lt;=Setup!$C$16)),IF(Setup!$C$15&lt;=Setup!$C$16,AND(MONTH(WORKDAY(F70,-(Setup!$C$13+Setup!$G$24),Setup!$C$39:$C$50))&gt;=Setup!$C$15,MONTH(WORKDAY(F70,-(Setup!$C$13+Setup!$G$24),Setup!$C$39:$C$50))&lt;=Setup!$C$16),OR(MONTH(WORKDAY(F70,-(Setup!$C$13+Setup!$G$24),Setup!$C$39:$C$50))&gt;=Setup!$C$15,MONTH(WORKDAY(F70,-(Setup!$C$13+Setup!$G$24),Setup!$C$39:$C$50))&lt;=Setup!$C$16))),WORKDAY(F70,-(Setup!$C$13+Setup!$G$24+Setup!$C$14),Setup!$C$39:$C$50),WORKDAY(F70,-(Setup!$C$13+Setup!$G$24),Setup!$C$39:$C$50))+(65*100+5)/10000000)))</f>
        <v/>
      </c>
      <c r="W70" t="str">
        <f>IF(G70="","",IF(G70&lt;Setup!$C$5-Setup!$C$6,"",IF(IF(ISNUMBER(Roster!$D70),Setup!$C$25&lt;=Roster!$D70,FALSE),"",IF(OR(IF(Setup!$C$15&lt;=Setup!$C$16,AND(MONTH(G70)&gt;=Setup!$C$15,MONTH(G70)&lt;=Setup!$C$16),OR(MONTH(G70)&gt;=Setup!$C$15,MONTH(G70)&lt;=Setup!$C$16)),IF(Setup!$C$15&lt;=Setup!$C$16,AND(MONTH(WORKDAY(G70,-(Setup!$C$13+Setup!$G$25),Setup!$C$39:$C$50))&gt;=Setup!$C$15,MONTH(WORKDAY(G70,-(Setup!$C$13+Setup!$G$25),Setup!$C$39:$C$50))&lt;=Setup!$C$16),OR(MONTH(WORKDAY(G70,-(Setup!$C$13+Setup!$G$25),Setup!$C$39:$C$50))&gt;=Setup!$C$15,MONTH(WORKDAY(G70,-(Setup!$C$13+Setup!$G$25),Setup!$C$39:$C$50))&lt;=Setup!$C$16))),WORKDAY(G70,-(Setup!$C$13+Setup!$G$25+Setup!$C$14),Setup!$C$39:$C$50),WORKDAY(G70,-(Setup!$C$13+Setup!$G$25),Setup!$C$39:$C$50))+(65*100+6)/10000000)))</f>
        <v/>
      </c>
      <c r="X70" t="str">
        <f>IF(H70="","",IF(H70&lt;Setup!$C$5-Setup!$C$6,"",IF(IF(ISNUMBER(Roster!$D70),Setup!$C$26&lt;=Roster!$D70,FALSE),"",IF(OR(IF(Setup!$C$15&lt;=Setup!$C$16,AND(MONTH(H70)&gt;=Setup!$C$15,MONTH(H70)&lt;=Setup!$C$16),OR(MONTH(H70)&gt;=Setup!$C$15,MONTH(H70)&lt;=Setup!$C$16)),IF(Setup!$C$15&lt;=Setup!$C$16,AND(MONTH(WORKDAY(H70,-(Setup!$C$13+Setup!$G$26),Setup!$C$39:$C$50))&gt;=Setup!$C$15,MONTH(WORKDAY(H70,-(Setup!$C$13+Setup!$G$26),Setup!$C$39:$C$50))&lt;=Setup!$C$16),OR(MONTH(WORKDAY(H70,-(Setup!$C$13+Setup!$G$26),Setup!$C$39:$C$50))&gt;=Setup!$C$15,MONTH(WORKDAY(H70,-(Setup!$C$13+Setup!$G$26),Setup!$C$39:$C$50))&lt;=Setup!$C$16))),WORKDAY(H70,-(Setup!$C$13+Setup!$G$26+Setup!$C$14),Setup!$C$39:$C$50),WORKDAY(H70,-(Setup!$C$13+Setup!$G$26),Setup!$C$39:$C$50))+(65*100+7)/10000000)))</f>
        <v/>
      </c>
      <c r="Y70" t="str">
        <f>IF(I70="","",IF(I70&lt;Setup!$C$5-Setup!$C$6,"",IF(IF(ISNUMBER(Roster!$D70),Setup!$C$27&lt;=Roster!$D70,FALSE),"",IF(OR(IF(Setup!$C$15&lt;=Setup!$C$16,AND(MONTH(I70)&gt;=Setup!$C$15,MONTH(I70)&lt;=Setup!$C$16),OR(MONTH(I70)&gt;=Setup!$C$15,MONTH(I70)&lt;=Setup!$C$16)),IF(Setup!$C$15&lt;=Setup!$C$16,AND(MONTH(WORKDAY(I70,-(Setup!$C$13+Setup!$G$27),Setup!$C$39:$C$50))&gt;=Setup!$C$15,MONTH(WORKDAY(I70,-(Setup!$C$13+Setup!$G$27),Setup!$C$39:$C$50))&lt;=Setup!$C$16),OR(MONTH(WORKDAY(I70,-(Setup!$C$13+Setup!$G$27),Setup!$C$39:$C$50))&gt;=Setup!$C$15,MONTH(WORKDAY(I70,-(Setup!$C$13+Setup!$G$27),Setup!$C$39:$C$50))&lt;=Setup!$C$16))),WORKDAY(I70,-(Setup!$C$13+Setup!$G$27+Setup!$C$14),Setup!$C$39:$C$50),WORKDAY(I70,-(Setup!$C$13+Setup!$G$27),Setup!$C$39:$C$50))+(65*100+8)/10000000)))</f>
        <v/>
      </c>
      <c r="Z70" t="str">
        <f>IF(J70="","",IF(J70&lt;Setup!$C$5-Setup!$C$6,"",IF(IF(ISNUMBER(Roster!$D70),Setup!$C$28&lt;=Roster!$D70,FALSE),"",IF(OR(IF(Setup!$C$15&lt;=Setup!$C$16,AND(MONTH(J70)&gt;=Setup!$C$15,MONTH(J70)&lt;=Setup!$C$16),OR(MONTH(J70)&gt;=Setup!$C$15,MONTH(J70)&lt;=Setup!$C$16)),IF(Setup!$C$15&lt;=Setup!$C$16,AND(MONTH(WORKDAY(J70,-(Setup!$C$13+Setup!$G$28),Setup!$C$39:$C$50))&gt;=Setup!$C$15,MONTH(WORKDAY(J70,-(Setup!$C$13+Setup!$G$28),Setup!$C$39:$C$50))&lt;=Setup!$C$16),OR(MONTH(WORKDAY(J70,-(Setup!$C$13+Setup!$G$28),Setup!$C$39:$C$50))&gt;=Setup!$C$15,MONTH(WORKDAY(J70,-(Setup!$C$13+Setup!$G$28),Setup!$C$39:$C$50))&lt;=Setup!$C$16))),WORKDAY(J70,-(Setup!$C$13+Setup!$G$28+Setup!$C$14),Setup!$C$39:$C$50),WORKDAY(J70,-(Setup!$C$13+Setup!$G$28),Setup!$C$39:$C$50))+(65*100+9)/10000000)))</f>
        <v/>
      </c>
      <c r="AA70" t="str">
        <f>IF(K70="","",IF(K70&lt;Setup!$C$5-Setup!$C$6,"",IF(IF(ISNUMBER(Roster!$D70),Setup!$C$29&lt;=Roster!$D70,FALSE),"",IF(OR(IF(Setup!$C$15&lt;=Setup!$C$16,AND(MONTH(K70)&gt;=Setup!$C$15,MONTH(K70)&lt;=Setup!$C$16),OR(MONTH(K70)&gt;=Setup!$C$15,MONTH(K70)&lt;=Setup!$C$16)),IF(Setup!$C$15&lt;=Setup!$C$16,AND(MONTH(WORKDAY(K70,-(Setup!$C$13+Setup!$G$29),Setup!$C$39:$C$50))&gt;=Setup!$C$15,MONTH(WORKDAY(K70,-(Setup!$C$13+Setup!$G$29),Setup!$C$39:$C$50))&lt;=Setup!$C$16),OR(MONTH(WORKDAY(K70,-(Setup!$C$13+Setup!$G$29),Setup!$C$39:$C$50))&gt;=Setup!$C$15,MONTH(WORKDAY(K70,-(Setup!$C$13+Setup!$G$29),Setup!$C$39:$C$50))&lt;=Setup!$C$16))),WORKDAY(K70,-(Setup!$C$13+Setup!$G$29+Setup!$C$14),Setup!$C$39:$C$50),WORKDAY(K70,-(Setup!$C$13+Setup!$G$29),Setup!$C$39:$C$50))+(65*100+10)/10000000)))</f>
        <v/>
      </c>
      <c r="AB70" t="str">
        <f>IF(L70="","",IF(L70&lt;Setup!$C$5-Setup!$C$6,"",IF(IF(ISNUMBER(Roster!$D70),Setup!$C$30&lt;=Roster!$D70,FALSE),"",IF(OR(IF(Setup!$C$15&lt;=Setup!$C$16,AND(MONTH(L70)&gt;=Setup!$C$15,MONTH(L70)&lt;=Setup!$C$16),OR(MONTH(L70)&gt;=Setup!$C$15,MONTH(L70)&lt;=Setup!$C$16)),IF(Setup!$C$15&lt;=Setup!$C$16,AND(MONTH(WORKDAY(L70,-(Setup!$C$13+Setup!$G$30),Setup!$C$39:$C$50))&gt;=Setup!$C$15,MONTH(WORKDAY(L70,-(Setup!$C$13+Setup!$G$30),Setup!$C$39:$C$50))&lt;=Setup!$C$16),OR(MONTH(WORKDAY(L70,-(Setup!$C$13+Setup!$G$30),Setup!$C$39:$C$50))&gt;=Setup!$C$15,MONTH(WORKDAY(L70,-(Setup!$C$13+Setup!$G$30),Setup!$C$39:$C$50))&lt;=Setup!$C$16))),WORKDAY(L70,-(Setup!$C$13+Setup!$G$30+Setup!$C$14),Setup!$C$39:$C$50),WORKDAY(L70,-(Setup!$C$13+Setup!$G$30),Setup!$C$39:$C$50))+(65*100+11)/10000000)))</f>
        <v/>
      </c>
      <c r="AC70" t="str">
        <f>IF(M70="","",IF(M70&lt;Setup!$C$5-Setup!$C$6,"",IF(IF(ISNUMBER(Roster!$D70),Setup!$C$31&lt;=Roster!$D70,FALSE),"",IF(OR(IF(Setup!$C$15&lt;=Setup!$C$16,AND(MONTH(M70)&gt;=Setup!$C$15,MONTH(M70)&lt;=Setup!$C$16),OR(MONTH(M70)&gt;=Setup!$C$15,MONTH(M70)&lt;=Setup!$C$16)),IF(Setup!$C$15&lt;=Setup!$C$16,AND(MONTH(WORKDAY(M70,-(Setup!$C$13+Setup!$G$31),Setup!$C$39:$C$50))&gt;=Setup!$C$15,MONTH(WORKDAY(M70,-(Setup!$C$13+Setup!$G$31),Setup!$C$39:$C$50))&lt;=Setup!$C$16),OR(MONTH(WORKDAY(M70,-(Setup!$C$13+Setup!$G$31),Setup!$C$39:$C$50))&gt;=Setup!$C$15,MONTH(WORKDAY(M70,-(Setup!$C$13+Setup!$G$31),Setup!$C$39:$C$50))&lt;=Setup!$C$16))),WORKDAY(M70,-(Setup!$C$13+Setup!$G$31+Setup!$C$14),Setup!$C$39:$C$50),WORKDAY(M70,-(Setup!$C$13+Setup!$G$31),Setup!$C$39:$C$50))+(65*100+12)/10000000)))</f>
        <v/>
      </c>
      <c r="AD70" t="str">
        <f>IF(N70="","",IF(N70&lt;Setup!$C$5-Setup!$C$6,"",IF(IF(ISNUMBER(Roster!$D70),Setup!$C$32&lt;=Roster!$D70,FALSE),"",IF(OR(IF(Setup!$C$15&lt;=Setup!$C$16,AND(MONTH(N70)&gt;=Setup!$C$15,MONTH(N70)&lt;=Setup!$C$16),OR(MONTH(N70)&gt;=Setup!$C$15,MONTH(N70)&lt;=Setup!$C$16)),IF(Setup!$C$15&lt;=Setup!$C$16,AND(MONTH(WORKDAY(N70,-(Setup!$C$13+Setup!$G$32),Setup!$C$39:$C$50))&gt;=Setup!$C$15,MONTH(WORKDAY(N70,-(Setup!$C$13+Setup!$G$32),Setup!$C$39:$C$50))&lt;=Setup!$C$16),OR(MONTH(WORKDAY(N70,-(Setup!$C$13+Setup!$G$32),Setup!$C$39:$C$50))&gt;=Setup!$C$15,MONTH(WORKDAY(N70,-(Setup!$C$13+Setup!$G$32),Setup!$C$39:$C$50))&lt;=Setup!$C$16))),WORKDAY(N70,-(Setup!$C$13+Setup!$G$32+Setup!$C$14),Setup!$C$39:$C$50),WORKDAY(N70,-(Setup!$C$13+Setup!$G$32),Setup!$C$39:$C$50))+(65*100+13)/10000000)))</f>
        <v/>
      </c>
      <c r="AE70" t="str">
        <f>IF(O70="","",IF(O70&lt;Setup!$C$5-Setup!$C$6,"",IF(IF(ISNUMBER(Roster!$D70),Setup!$C$33&lt;=Roster!$D70,FALSE),"",IF(OR(IF(Setup!$C$15&lt;=Setup!$C$16,AND(MONTH(O70)&gt;=Setup!$C$15,MONTH(O70)&lt;=Setup!$C$16),OR(MONTH(O70)&gt;=Setup!$C$15,MONTH(O70)&lt;=Setup!$C$16)),IF(Setup!$C$15&lt;=Setup!$C$16,AND(MONTH(WORKDAY(O70,-(Setup!$C$13+Setup!$G$33),Setup!$C$39:$C$50))&gt;=Setup!$C$15,MONTH(WORKDAY(O70,-(Setup!$C$13+Setup!$G$33),Setup!$C$39:$C$50))&lt;=Setup!$C$16),OR(MONTH(WORKDAY(O70,-(Setup!$C$13+Setup!$G$33),Setup!$C$39:$C$50))&gt;=Setup!$C$15,MONTH(WORKDAY(O70,-(Setup!$C$13+Setup!$G$33),Setup!$C$39:$C$50))&lt;=Setup!$C$16))),WORKDAY(O70,-(Setup!$C$13+Setup!$G$33+Setup!$C$14),Setup!$C$39:$C$50),WORKDAY(O70,-(Setup!$C$13+Setup!$G$33),Setup!$C$39:$C$50))+(65*100+14)/10000000)))</f>
        <v/>
      </c>
      <c r="AF70" t="str">
        <f>IF(P70="","",IF(P70&lt;Setup!$C$5-Setup!$C$6,"",IF(IF(ISNUMBER(Roster!$D70),Setup!$C$34&lt;=Roster!$D70,FALSE),"",IF(OR(IF(Setup!$C$15&lt;=Setup!$C$16,AND(MONTH(P70)&gt;=Setup!$C$15,MONTH(P70)&lt;=Setup!$C$16),OR(MONTH(P70)&gt;=Setup!$C$15,MONTH(P70)&lt;=Setup!$C$16)),IF(Setup!$C$15&lt;=Setup!$C$16,AND(MONTH(WORKDAY(P70,-(Setup!$C$13+Setup!$G$34),Setup!$C$39:$C$50))&gt;=Setup!$C$15,MONTH(WORKDAY(P70,-(Setup!$C$13+Setup!$G$34),Setup!$C$39:$C$50))&lt;=Setup!$C$16),OR(MONTH(WORKDAY(P70,-(Setup!$C$13+Setup!$G$34),Setup!$C$39:$C$50))&gt;=Setup!$C$15,MONTH(WORKDAY(P70,-(Setup!$C$13+Setup!$G$34),Setup!$C$39:$C$50))&lt;=Setup!$C$16))),WORKDAY(P70,-(Setup!$C$13+Setup!$G$34+Setup!$C$14),Setup!$C$39:$C$50),WORKDAY(P70,-(Setup!$C$13+Setup!$G$34),Setup!$C$39:$C$50))+(65*100+15)/10000000)))</f>
        <v/>
      </c>
      <c r="AH70" t="str">
        <f t="shared" ref="AH70:AH133" si="9">IF(COUNT(R70:AF70)=0,"",MIN(R70:AF70))</f>
        <v/>
      </c>
      <c r="AI70" t="str">
        <f t="shared" ref="AI70:AI133" si="10">IF(AH70="","",MOD(ROUND((AH70-INT(AH70))*10000000,0),100))</f>
        <v/>
      </c>
      <c r="AK70" t="str">
        <f ca="1">IF(65&gt;$AK$2,"",SMALL($R$6:$AF$505,65))</f>
        <v/>
      </c>
      <c r="AL70" t="str">
        <f t="shared" ref="AL70:AL133" ca="1" si="11">IF(AK70="","",ROUND((AK70-INT(AK70))*10000000,0))</f>
        <v/>
      </c>
      <c r="AM70" t="str">
        <f t="shared" ref="AM70:AM133" ca="1" si="12">IF(AL70="","",INT(AL70/100))</f>
        <v/>
      </c>
      <c r="AN70" t="str">
        <f t="shared" ref="AN70:AN133" ca="1" si="13">IF(AL70="","",MOD(AL70,100))</f>
        <v/>
      </c>
      <c r="AP70" t="str">
        <f>IF(ISNUMBER(Roster!$B70),MAX(1,YEAR(Setup!$C$5)-YEAR(Roster!$B70)+IF(EDATE(Roster!$B70,12*(YEAR(Setup!$C$5)-YEAR(Roster!$B70)))&lt;Setup!$C$5,1,0)),"")</f>
        <v/>
      </c>
      <c r="AQ70" s="32" t="str">
        <f>IF(AP70="","",EDATE(Roster!$B70,12*AP70))</f>
        <v/>
      </c>
      <c r="AR70" t="str">
        <f>IF(AQ70="","",IF(AQ70&lt;DATE(YEAR(Setup!$C$5)+1,MONTH(Setup!$C$5),DAY(Setup!$C$5)),AQ70+65/1000,""))</f>
        <v/>
      </c>
      <c r="AS70" t="str">
        <f t="shared" ref="AS70:AS133" si="14">IF(AR70="","",IFERROR(MATCH(AP70,$AY$20:$AY$34,0),""))</f>
        <v/>
      </c>
      <c r="AT70" t="str">
        <f>IF(AS70="","",IF(ISNUMBER(Roster!$D70),Roster!$D70&gt;=AP70,FALSE))</f>
        <v/>
      </c>
      <c r="AU70" t="str">
        <f t="shared" ref="AU70:AU133" si="15">IF(AS70="","",IF(AT70,"",INT(INDEX($R70:$AF70,1,AS70))))</f>
        <v/>
      </c>
      <c r="AV70" t="str">
        <f ca="1">IF(65&gt;$AV$2,"",SMALL($AR$6:$AR$505,65))</f>
        <v/>
      </c>
      <c r="AW70" t="str">
        <f t="shared" ref="AW70:AW133" ca="1" si="16">IF(AV70="","",ROUND((AV70-INT(AV70))*1000,0))</f>
        <v/>
      </c>
    </row>
    <row r="71" spans="2:49" x14ac:dyDescent="0.2">
      <c r="B71" s="32" t="str">
        <f>IF(AND(ISNUMBER(Roster!$B71),Setup!$B$20="Yes",ISNUMBER(Setup!$C$20)),EDATE(Roster!$B71,12*Setup!$C$20),"")</f>
        <v/>
      </c>
      <c r="C71" s="32" t="str">
        <f>IF(AND(ISNUMBER(Roster!$B71),Setup!$B$21="Yes",ISNUMBER(Setup!$C$21)),EDATE(Roster!$B71,12*Setup!$C$21),"")</f>
        <v/>
      </c>
      <c r="D71" s="32" t="str">
        <f>IF(AND(ISNUMBER(Roster!$B71),Setup!$B$22="Yes",ISNUMBER(Setup!$C$22)),EDATE(Roster!$B71,12*Setup!$C$22),"")</f>
        <v/>
      </c>
      <c r="E71" s="32" t="str">
        <f>IF(AND(ISNUMBER(Roster!$B71),Setup!$B$23="Yes",ISNUMBER(Setup!$C$23)),EDATE(Roster!$B71,12*Setup!$C$23),"")</f>
        <v/>
      </c>
      <c r="F71" s="32" t="str">
        <f>IF(AND(ISNUMBER(Roster!$B71),Setup!$B$24="Yes",ISNUMBER(Setup!$C$24)),EDATE(Roster!$B71,12*Setup!$C$24),"")</f>
        <v/>
      </c>
      <c r="G71" s="32" t="str">
        <f>IF(AND(ISNUMBER(Roster!$B71),Setup!$B$25="Yes",ISNUMBER(Setup!$C$25)),EDATE(Roster!$B71,12*Setup!$C$25),"")</f>
        <v/>
      </c>
      <c r="H71" s="32" t="str">
        <f>IF(AND(ISNUMBER(Roster!$B71),Setup!$B$26="Yes",ISNUMBER(Setup!$C$26)),EDATE(Roster!$B71,12*Setup!$C$26),"")</f>
        <v/>
      </c>
      <c r="I71" s="32" t="str">
        <f>IF(AND(ISNUMBER(Roster!$B71),Setup!$B$27="Yes",ISNUMBER(Setup!$C$27)),EDATE(Roster!$B71,12*Setup!$C$27),"")</f>
        <v/>
      </c>
      <c r="J71" s="32" t="str">
        <f>IF(AND(ISNUMBER(Roster!$B71),Setup!$B$28="Yes",ISNUMBER(Setup!$C$28)),EDATE(Roster!$B71,12*Setup!$C$28),"")</f>
        <v/>
      </c>
      <c r="K71" s="32" t="str">
        <f>IF(AND(ISNUMBER(Roster!$B71),Setup!$B$29="Yes",ISNUMBER(Setup!$C$29)),EDATE(Roster!$B71,12*Setup!$C$29),"")</f>
        <v/>
      </c>
      <c r="L71" s="32" t="str">
        <f>IF(AND(ISNUMBER(Roster!$B71),Setup!$B$30="Yes",ISNUMBER(Setup!$C$30)),EDATE(Roster!$B71,12*Setup!$C$30),"")</f>
        <v/>
      </c>
      <c r="M71" s="32" t="str">
        <f>IF(AND(ISNUMBER(Roster!$B71),Setup!$B$31="Yes",ISNUMBER(Setup!$C$31)),EDATE(Roster!$B71,12*Setup!$C$31),"")</f>
        <v/>
      </c>
      <c r="N71" s="32" t="str">
        <f>IF(AND(ISNUMBER(Roster!$B71),Setup!$B$32="Yes",ISNUMBER(Setup!$C$32)),EDATE(Roster!$B71,12*Setup!$C$32),"")</f>
        <v/>
      </c>
      <c r="O71" s="32" t="str">
        <f>IF(AND(ISNUMBER(Roster!$B71),Setup!$B$33="Yes",ISNUMBER(Setup!$C$33)),EDATE(Roster!$B71,12*Setup!$C$33),"")</f>
        <v/>
      </c>
      <c r="P71" s="32" t="str">
        <f>IF(AND(ISNUMBER(Roster!$B71),Setup!$B$34="Yes",ISNUMBER(Setup!$C$34)),EDATE(Roster!$B71,12*Setup!$C$34),"")</f>
        <v/>
      </c>
      <c r="R71" t="str">
        <f>IF(B71="","",IF(B71&lt;Setup!$C$5-Setup!$C$6,"",IF(IF(ISNUMBER(Roster!$D71),Setup!$C$20&lt;=Roster!$D71,FALSE),"",IF(OR(IF(Setup!$C$15&lt;=Setup!$C$16,AND(MONTH(B71)&gt;=Setup!$C$15,MONTH(B71)&lt;=Setup!$C$16),OR(MONTH(B71)&gt;=Setup!$C$15,MONTH(B71)&lt;=Setup!$C$16)),IF(Setup!$C$15&lt;=Setup!$C$16,AND(MONTH(WORKDAY(B71,-(Setup!$C$13+Setup!$G$20),Setup!$C$39:$C$50))&gt;=Setup!$C$15,MONTH(WORKDAY(B71,-(Setup!$C$13+Setup!$G$20),Setup!$C$39:$C$50))&lt;=Setup!$C$16),OR(MONTH(WORKDAY(B71,-(Setup!$C$13+Setup!$G$20),Setup!$C$39:$C$50))&gt;=Setup!$C$15,MONTH(WORKDAY(B71,-(Setup!$C$13+Setup!$G$20),Setup!$C$39:$C$50))&lt;=Setup!$C$16))),WORKDAY(B71,-(Setup!$C$13+Setup!$G$20+Setup!$C$14),Setup!$C$39:$C$50),WORKDAY(B71,-(Setup!$C$13+Setup!$G$20),Setup!$C$39:$C$50))+(66*100+1)/10000000)))</f>
        <v/>
      </c>
      <c r="S71" t="str">
        <f>IF(C71="","",IF(C71&lt;Setup!$C$5-Setup!$C$6,"",IF(IF(ISNUMBER(Roster!$D71),Setup!$C$21&lt;=Roster!$D71,FALSE),"",IF(OR(IF(Setup!$C$15&lt;=Setup!$C$16,AND(MONTH(C71)&gt;=Setup!$C$15,MONTH(C71)&lt;=Setup!$C$16),OR(MONTH(C71)&gt;=Setup!$C$15,MONTH(C71)&lt;=Setup!$C$16)),IF(Setup!$C$15&lt;=Setup!$C$16,AND(MONTH(WORKDAY(C71,-(Setup!$C$13+Setup!$G$21),Setup!$C$39:$C$50))&gt;=Setup!$C$15,MONTH(WORKDAY(C71,-(Setup!$C$13+Setup!$G$21),Setup!$C$39:$C$50))&lt;=Setup!$C$16),OR(MONTH(WORKDAY(C71,-(Setup!$C$13+Setup!$G$21),Setup!$C$39:$C$50))&gt;=Setup!$C$15,MONTH(WORKDAY(C71,-(Setup!$C$13+Setup!$G$21),Setup!$C$39:$C$50))&lt;=Setup!$C$16))),WORKDAY(C71,-(Setup!$C$13+Setup!$G$21+Setup!$C$14),Setup!$C$39:$C$50),WORKDAY(C71,-(Setup!$C$13+Setup!$G$21),Setup!$C$39:$C$50))+(66*100+2)/10000000)))</f>
        <v/>
      </c>
      <c r="T71" t="str">
        <f>IF(D71="","",IF(D71&lt;Setup!$C$5-Setup!$C$6,"",IF(IF(ISNUMBER(Roster!$D71),Setup!$C$22&lt;=Roster!$D71,FALSE),"",IF(OR(IF(Setup!$C$15&lt;=Setup!$C$16,AND(MONTH(D71)&gt;=Setup!$C$15,MONTH(D71)&lt;=Setup!$C$16),OR(MONTH(D71)&gt;=Setup!$C$15,MONTH(D71)&lt;=Setup!$C$16)),IF(Setup!$C$15&lt;=Setup!$C$16,AND(MONTH(WORKDAY(D71,-(Setup!$C$13+Setup!$G$22),Setup!$C$39:$C$50))&gt;=Setup!$C$15,MONTH(WORKDAY(D71,-(Setup!$C$13+Setup!$G$22),Setup!$C$39:$C$50))&lt;=Setup!$C$16),OR(MONTH(WORKDAY(D71,-(Setup!$C$13+Setup!$G$22),Setup!$C$39:$C$50))&gt;=Setup!$C$15,MONTH(WORKDAY(D71,-(Setup!$C$13+Setup!$G$22),Setup!$C$39:$C$50))&lt;=Setup!$C$16))),WORKDAY(D71,-(Setup!$C$13+Setup!$G$22+Setup!$C$14),Setup!$C$39:$C$50),WORKDAY(D71,-(Setup!$C$13+Setup!$G$22),Setup!$C$39:$C$50))+(66*100+3)/10000000)))</f>
        <v/>
      </c>
      <c r="U71" t="str">
        <f>IF(E71="","",IF(E71&lt;Setup!$C$5-Setup!$C$6,"",IF(IF(ISNUMBER(Roster!$D71),Setup!$C$23&lt;=Roster!$D71,FALSE),"",IF(OR(IF(Setup!$C$15&lt;=Setup!$C$16,AND(MONTH(E71)&gt;=Setup!$C$15,MONTH(E71)&lt;=Setup!$C$16),OR(MONTH(E71)&gt;=Setup!$C$15,MONTH(E71)&lt;=Setup!$C$16)),IF(Setup!$C$15&lt;=Setup!$C$16,AND(MONTH(WORKDAY(E71,-(Setup!$C$13+Setup!$G$23),Setup!$C$39:$C$50))&gt;=Setup!$C$15,MONTH(WORKDAY(E71,-(Setup!$C$13+Setup!$G$23),Setup!$C$39:$C$50))&lt;=Setup!$C$16),OR(MONTH(WORKDAY(E71,-(Setup!$C$13+Setup!$G$23),Setup!$C$39:$C$50))&gt;=Setup!$C$15,MONTH(WORKDAY(E71,-(Setup!$C$13+Setup!$G$23),Setup!$C$39:$C$50))&lt;=Setup!$C$16))),WORKDAY(E71,-(Setup!$C$13+Setup!$G$23+Setup!$C$14),Setup!$C$39:$C$50),WORKDAY(E71,-(Setup!$C$13+Setup!$G$23),Setup!$C$39:$C$50))+(66*100+4)/10000000)))</f>
        <v/>
      </c>
      <c r="V71" t="str">
        <f>IF(F71="","",IF(F71&lt;Setup!$C$5-Setup!$C$6,"",IF(IF(ISNUMBER(Roster!$D71),Setup!$C$24&lt;=Roster!$D71,FALSE),"",IF(OR(IF(Setup!$C$15&lt;=Setup!$C$16,AND(MONTH(F71)&gt;=Setup!$C$15,MONTH(F71)&lt;=Setup!$C$16),OR(MONTH(F71)&gt;=Setup!$C$15,MONTH(F71)&lt;=Setup!$C$16)),IF(Setup!$C$15&lt;=Setup!$C$16,AND(MONTH(WORKDAY(F71,-(Setup!$C$13+Setup!$G$24),Setup!$C$39:$C$50))&gt;=Setup!$C$15,MONTH(WORKDAY(F71,-(Setup!$C$13+Setup!$G$24),Setup!$C$39:$C$50))&lt;=Setup!$C$16),OR(MONTH(WORKDAY(F71,-(Setup!$C$13+Setup!$G$24),Setup!$C$39:$C$50))&gt;=Setup!$C$15,MONTH(WORKDAY(F71,-(Setup!$C$13+Setup!$G$24),Setup!$C$39:$C$50))&lt;=Setup!$C$16))),WORKDAY(F71,-(Setup!$C$13+Setup!$G$24+Setup!$C$14),Setup!$C$39:$C$50),WORKDAY(F71,-(Setup!$C$13+Setup!$G$24),Setup!$C$39:$C$50))+(66*100+5)/10000000)))</f>
        <v/>
      </c>
      <c r="W71" t="str">
        <f>IF(G71="","",IF(G71&lt;Setup!$C$5-Setup!$C$6,"",IF(IF(ISNUMBER(Roster!$D71),Setup!$C$25&lt;=Roster!$D71,FALSE),"",IF(OR(IF(Setup!$C$15&lt;=Setup!$C$16,AND(MONTH(G71)&gt;=Setup!$C$15,MONTH(G71)&lt;=Setup!$C$16),OR(MONTH(G71)&gt;=Setup!$C$15,MONTH(G71)&lt;=Setup!$C$16)),IF(Setup!$C$15&lt;=Setup!$C$16,AND(MONTH(WORKDAY(G71,-(Setup!$C$13+Setup!$G$25),Setup!$C$39:$C$50))&gt;=Setup!$C$15,MONTH(WORKDAY(G71,-(Setup!$C$13+Setup!$G$25),Setup!$C$39:$C$50))&lt;=Setup!$C$16),OR(MONTH(WORKDAY(G71,-(Setup!$C$13+Setup!$G$25),Setup!$C$39:$C$50))&gt;=Setup!$C$15,MONTH(WORKDAY(G71,-(Setup!$C$13+Setup!$G$25),Setup!$C$39:$C$50))&lt;=Setup!$C$16))),WORKDAY(G71,-(Setup!$C$13+Setup!$G$25+Setup!$C$14),Setup!$C$39:$C$50),WORKDAY(G71,-(Setup!$C$13+Setup!$G$25),Setup!$C$39:$C$50))+(66*100+6)/10000000)))</f>
        <v/>
      </c>
      <c r="X71" t="str">
        <f>IF(H71="","",IF(H71&lt;Setup!$C$5-Setup!$C$6,"",IF(IF(ISNUMBER(Roster!$D71),Setup!$C$26&lt;=Roster!$D71,FALSE),"",IF(OR(IF(Setup!$C$15&lt;=Setup!$C$16,AND(MONTH(H71)&gt;=Setup!$C$15,MONTH(H71)&lt;=Setup!$C$16),OR(MONTH(H71)&gt;=Setup!$C$15,MONTH(H71)&lt;=Setup!$C$16)),IF(Setup!$C$15&lt;=Setup!$C$16,AND(MONTH(WORKDAY(H71,-(Setup!$C$13+Setup!$G$26),Setup!$C$39:$C$50))&gt;=Setup!$C$15,MONTH(WORKDAY(H71,-(Setup!$C$13+Setup!$G$26),Setup!$C$39:$C$50))&lt;=Setup!$C$16),OR(MONTH(WORKDAY(H71,-(Setup!$C$13+Setup!$G$26),Setup!$C$39:$C$50))&gt;=Setup!$C$15,MONTH(WORKDAY(H71,-(Setup!$C$13+Setup!$G$26),Setup!$C$39:$C$50))&lt;=Setup!$C$16))),WORKDAY(H71,-(Setup!$C$13+Setup!$G$26+Setup!$C$14),Setup!$C$39:$C$50),WORKDAY(H71,-(Setup!$C$13+Setup!$G$26),Setup!$C$39:$C$50))+(66*100+7)/10000000)))</f>
        <v/>
      </c>
      <c r="Y71" t="str">
        <f>IF(I71="","",IF(I71&lt;Setup!$C$5-Setup!$C$6,"",IF(IF(ISNUMBER(Roster!$D71),Setup!$C$27&lt;=Roster!$D71,FALSE),"",IF(OR(IF(Setup!$C$15&lt;=Setup!$C$16,AND(MONTH(I71)&gt;=Setup!$C$15,MONTH(I71)&lt;=Setup!$C$16),OR(MONTH(I71)&gt;=Setup!$C$15,MONTH(I71)&lt;=Setup!$C$16)),IF(Setup!$C$15&lt;=Setup!$C$16,AND(MONTH(WORKDAY(I71,-(Setup!$C$13+Setup!$G$27),Setup!$C$39:$C$50))&gt;=Setup!$C$15,MONTH(WORKDAY(I71,-(Setup!$C$13+Setup!$G$27),Setup!$C$39:$C$50))&lt;=Setup!$C$16),OR(MONTH(WORKDAY(I71,-(Setup!$C$13+Setup!$G$27),Setup!$C$39:$C$50))&gt;=Setup!$C$15,MONTH(WORKDAY(I71,-(Setup!$C$13+Setup!$G$27),Setup!$C$39:$C$50))&lt;=Setup!$C$16))),WORKDAY(I71,-(Setup!$C$13+Setup!$G$27+Setup!$C$14),Setup!$C$39:$C$50),WORKDAY(I71,-(Setup!$C$13+Setup!$G$27),Setup!$C$39:$C$50))+(66*100+8)/10000000)))</f>
        <v/>
      </c>
      <c r="Z71" t="str">
        <f>IF(J71="","",IF(J71&lt;Setup!$C$5-Setup!$C$6,"",IF(IF(ISNUMBER(Roster!$D71),Setup!$C$28&lt;=Roster!$D71,FALSE),"",IF(OR(IF(Setup!$C$15&lt;=Setup!$C$16,AND(MONTH(J71)&gt;=Setup!$C$15,MONTH(J71)&lt;=Setup!$C$16),OR(MONTH(J71)&gt;=Setup!$C$15,MONTH(J71)&lt;=Setup!$C$16)),IF(Setup!$C$15&lt;=Setup!$C$16,AND(MONTH(WORKDAY(J71,-(Setup!$C$13+Setup!$G$28),Setup!$C$39:$C$50))&gt;=Setup!$C$15,MONTH(WORKDAY(J71,-(Setup!$C$13+Setup!$G$28),Setup!$C$39:$C$50))&lt;=Setup!$C$16),OR(MONTH(WORKDAY(J71,-(Setup!$C$13+Setup!$G$28),Setup!$C$39:$C$50))&gt;=Setup!$C$15,MONTH(WORKDAY(J71,-(Setup!$C$13+Setup!$G$28),Setup!$C$39:$C$50))&lt;=Setup!$C$16))),WORKDAY(J71,-(Setup!$C$13+Setup!$G$28+Setup!$C$14),Setup!$C$39:$C$50),WORKDAY(J71,-(Setup!$C$13+Setup!$G$28),Setup!$C$39:$C$50))+(66*100+9)/10000000)))</f>
        <v/>
      </c>
      <c r="AA71" t="str">
        <f>IF(K71="","",IF(K71&lt;Setup!$C$5-Setup!$C$6,"",IF(IF(ISNUMBER(Roster!$D71),Setup!$C$29&lt;=Roster!$D71,FALSE),"",IF(OR(IF(Setup!$C$15&lt;=Setup!$C$16,AND(MONTH(K71)&gt;=Setup!$C$15,MONTH(K71)&lt;=Setup!$C$16),OR(MONTH(K71)&gt;=Setup!$C$15,MONTH(K71)&lt;=Setup!$C$16)),IF(Setup!$C$15&lt;=Setup!$C$16,AND(MONTH(WORKDAY(K71,-(Setup!$C$13+Setup!$G$29),Setup!$C$39:$C$50))&gt;=Setup!$C$15,MONTH(WORKDAY(K71,-(Setup!$C$13+Setup!$G$29),Setup!$C$39:$C$50))&lt;=Setup!$C$16),OR(MONTH(WORKDAY(K71,-(Setup!$C$13+Setup!$G$29),Setup!$C$39:$C$50))&gt;=Setup!$C$15,MONTH(WORKDAY(K71,-(Setup!$C$13+Setup!$G$29),Setup!$C$39:$C$50))&lt;=Setup!$C$16))),WORKDAY(K71,-(Setup!$C$13+Setup!$G$29+Setup!$C$14),Setup!$C$39:$C$50),WORKDAY(K71,-(Setup!$C$13+Setup!$G$29),Setup!$C$39:$C$50))+(66*100+10)/10000000)))</f>
        <v/>
      </c>
      <c r="AB71" t="str">
        <f>IF(L71="","",IF(L71&lt;Setup!$C$5-Setup!$C$6,"",IF(IF(ISNUMBER(Roster!$D71),Setup!$C$30&lt;=Roster!$D71,FALSE),"",IF(OR(IF(Setup!$C$15&lt;=Setup!$C$16,AND(MONTH(L71)&gt;=Setup!$C$15,MONTH(L71)&lt;=Setup!$C$16),OR(MONTH(L71)&gt;=Setup!$C$15,MONTH(L71)&lt;=Setup!$C$16)),IF(Setup!$C$15&lt;=Setup!$C$16,AND(MONTH(WORKDAY(L71,-(Setup!$C$13+Setup!$G$30),Setup!$C$39:$C$50))&gt;=Setup!$C$15,MONTH(WORKDAY(L71,-(Setup!$C$13+Setup!$G$30),Setup!$C$39:$C$50))&lt;=Setup!$C$16),OR(MONTH(WORKDAY(L71,-(Setup!$C$13+Setup!$G$30),Setup!$C$39:$C$50))&gt;=Setup!$C$15,MONTH(WORKDAY(L71,-(Setup!$C$13+Setup!$G$30),Setup!$C$39:$C$50))&lt;=Setup!$C$16))),WORKDAY(L71,-(Setup!$C$13+Setup!$G$30+Setup!$C$14),Setup!$C$39:$C$50),WORKDAY(L71,-(Setup!$C$13+Setup!$G$30),Setup!$C$39:$C$50))+(66*100+11)/10000000)))</f>
        <v/>
      </c>
      <c r="AC71" t="str">
        <f>IF(M71="","",IF(M71&lt;Setup!$C$5-Setup!$C$6,"",IF(IF(ISNUMBER(Roster!$D71),Setup!$C$31&lt;=Roster!$D71,FALSE),"",IF(OR(IF(Setup!$C$15&lt;=Setup!$C$16,AND(MONTH(M71)&gt;=Setup!$C$15,MONTH(M71)&lt;=Setup!$C$16),OR(MONTH(M71)&gt;=Setup!$C$15,MONTH(M71)&lt;=Setup!$C$16)),IF(Setup!$C$15&lt;=Setup!$C$16,AND(MONTH(WORKDAY(M71,-(Setup!$C$13+Setup!$G$31),Setup!$C$39:$C$50))&gt;=Setup!$C$15,MONTH(WORKDAY(M71,-(Setup!$C$13+Setup!$G$31),Setup!$C$39:$C$50))&lt;=Setup!$C$16),OR(MONTH(WORKDAY(M71,-(Setup!$C$13+Setup!$G$31),Setup!$C$39:$C$50))&gt;=Setup!$C$15,MONTH(WORKDAY(M71,-(Setup!$C$13+Setup!$G$31),Setup!$C$39:$C$50))&lt;=Setup!$C$16))),WORKDAY(M71,-(Setup!$C$13+Setup!$G$31+Setup!$C$14),Setup!$C$39:$C$50),WORKDAY(M71,-(Setup!$C$13+Setup!$G$31),Setup!$C$39:$C$50))+(66*100+12)/10000000)))</f>
        <v/>
      </c>
      <c r="AD71" t="str">
        <f>IF(N71="","",IF(N71&lt;Setup!$C$5-Setup!$C$6,"",IF(IF(ISNUMBER(Roster!$D71),Setup!$C$32&lt;=Roster!$D71,FALSE),"",IF(OR(IF(Setup!$C$15&lt;=Setup!$C$16,AND(MONTH(N71)&gt;=Setup!$C$15,MONTH(N71)&lt;=Setup!$C$16),OR(MONTH(N71)&gt;=Setup!$C$15,MONTH(N71)&lt;=Setup!$C$16)),IF(Setup!$C$15&lt;=Setup!$C$16,AND(MONTH(WORKDAY(N71,-(Setup!$C$13+Setup!$G$32),Setup!$C$39:$C$50))&gt;=Setup!$C$15,MONTH(WORKDAY(N71,-(Setup!$C$13+Setup!$G$32),Setup!$C$39:$C$50))&lt;=Setup!$C$16),OR(MONTH(WORKDAY(N71,-(Setup!$C$13+Setup!$G$32),Setup!$C$39:$C$50))&gt;=Setup!$C$15,MONTH(WORKDAY(N71,-(Setup!$C$13+Setup!$G$32),Setup!$C$39:$C$50))&lt;=Setup!$C$16))),WORKDAY(N71,-(Setup!$C$13+Setup!$G$32+Setup!$C$14),Setup!$C$39:$C$50),WORKDAY(N71,-(Setup!$C$13+Setup!$G$32),Setup!$C$39:$C$50))+(66*100+13)/10000000)))</f>
        <v/>
      </c>
      <c r="AE71" t="str">
        <f>IF(O71="","",IF(O71&lt;Setup!$C$5-Setup!$C$6,"",IF(IF(ISNUMBER(Roster!$D71),Setup!$C$33&lt;=Roster!$D71,FALSE),"",IF(OR(IF(Setup!$C$15&lt;=Setup!$C$16,AND(MONTH(O71)&gt;=Setup!$C$15,MONTH(O71)&lt;=Setup!$C$16),OR(MONTH(O71)&gt;=Setup!$C$15,MONTH(O71)&lt;=Setup!$C$16)),IF(Setup!$C$15&lt;=Setup!$C$16,AND(MONTH(WORKDAY(O71,-(Setup!$C$13+Setup!$G$33),Setup!$C$39:$C$50))&gt;=Setup!$C$15,MONTH(WORKDAY(O71,-(Setup!$C$13+Setup!$G$33),Setup!$C$39:$C$50))&lt;=Setup!$C$16),OR(MONTH(WORKDAY(O71,-(Setup!$C$13+Setup!$G$33),Setup!$C$39:$C$50))&gt;=Setup!$C$15,MONTH(WORKDAY(O71,-(Setup!$C$13+Setup!$G$33),Setup!$C$39:$C$50))&lt;=Setup!$C$16))),WORKDAY(O71,-(Setup!$C$13+Setup!$G$33+Setup!$C$14),Setup!$C$39:$C$50),WORKDAY(O71,-(Setup!$C$13+Setup!$G$33),Setup!$C$39:$C$50))+(66*100+14)/10000000)))</f>
        <v/>
      </c>
      <c r="AF71" t="str">
        <f>IF(P71="","",IF(P71&lt;Setup!$C$5-Setup!$C$6,"",IF(IF(ISNUMBER(Roster!$D71),Setup!$C$34&lt;=Roster!$D71,FALSE),"",IF(OR(IF(Setup!$C$15&lt;=Setup!$C$16,AND(MONTH(P71)&gt;=Setup!$C$15,MONTH(P71)&lt;=Setup!$C$16),OR(MONTH(P71)&gt;=Setup!$C$15,MONTH(P71)&lt;=Setup!$C$16)),IF(Setup!$C$15&lt;=Setup!$C$16,AND(MONTH(WORKDAY(P71,-(Setup!$C$13+Setup!$G$34),Setup!$C$39:$C$50))&gt;=Setup!$C$15,MONTH(WORKDAY(P71,-(Setup!$C$13+Setup!$G$34),Setup!$C$39:$C$50))&lt;=Setup!$C$16),OR(MONTH(WORKDAY(P71,-(Setup!$C$13+Setup!$G$34),Setup!$C$39:$C$50))&gt;=Setup!$C$15,MONTH(WORKDAY(P71,-(Setup!$C$13+Setup!$G$34),Setup!$C$39:$C$50))&lt;=Setup!$C$16))),WORKDAY(P71,-(Setup!$C$13+Setup!$G$34+Setup!$C$14),Setup!$C$39:$C$50),WORKDAY(P71,-(Setup!$C$13+Setup!$G$34),Setup!$C$39:$C$50))+(66*100+15)/10000000)))</f>
        <v/>
      </c>
      <c r="AH71" t="str">
        <f t="shared" si="9"/>
        <v/>
      </c>
      <c r="AI71" t="str">
        <f t="shared" si="10"/>
        <v/>
      </c>
      <c r="AK71" t="str">
        <f ca="1">IF(66&gt;$AK$2,"",SMALL($R$6:$AF$505,66))</f>
        <v/>
      </c>
      <c r="AL71" t="str">
        <f t="shared" ca="1" si="11"/>
        <v/>
      </c>
      <c r="AM71" t="str">
        <f t="shared" ca="1" si="12"/>
        <v/>
      </c>
      <c r="AN71" t="str">
        <f t="shared" ca="1" si="13"/>
        <v/>
      </c>
      <c r="AP71" t="str">
        <f>IF(ISNUMBER(Roster!$B71),MAX(1,YEAR(Setup!$C$5)-YEAR(Roster!$B71)+IF(EDATE(Roster!$B71,12*(YEAR(Setup!$C$5)-YEAR(Roster!$B71)))&lt;Setup!$C$5,1,0)),"")</f>
        <v/>
      </c>
      <c r="AQ71" s="32" t="str">
        <f>IF(AP71="","",EDATE(Roster!$B71,12*AP71))</f>
        <v/>
      </c>
      <c r="AR71" t="str">
        <f>IF(AQ71="","",IF(AQ71&lt;DATE(YEAR(Setup!$C$5)+1,MONTH(Setup!$C$5),DAY(Setup!$C$5)),AQ71+66/1000,""))</f>
        <v/>
      </c>
      <c r="AS71" t="str">
        <f t="shared" si="14"/>
        <v/>
      </c>
      <c r="AT71" t="str">
        <f>IF(AS71="","",IF(ISNUMBER(Roster!$D71),Roster!$D71&gt;=AP71,FALSE))</f>
        <v/>
      </c>
      <c r="AU71" t="str">
        <f t="shared" si="15"/>
        <v/>
      </c>
      <c r="AV71" t="str">
        <f ca="1">IF(66&gt;$AV$2,"",SMALL($AR$6:$AR$505,66))</f>
        <v/>
      </c>
      <c r="AW71" t="str">
        <f t="shared" ca="1" si="16"/>
        <v/>
      </c>
    </row>
    <row r="72" spans="2:49" x14ac:dyDescent="0.2">
      <c r="B72" s="32" t="str">
        <f>IF(AND(ISNUMBER(Roster!$B72),Setup!$B$20="Yes",ISNUMBER(Setup!$C$20)),EDATE(Roster!$B72,12*Setup!$C$20),"")</f>
        <v/>
      </c>
      <c r="C72" s="32" t="str">
        <f>IF(AND(ISNUMBER(Roster!$B72),Setup!$B$21="Yes",ISNUMBER(Setup!$C$21)),EDATE(Roster!$B72,12*Setup!$C$21),"")</f>
        <v/>
      </c>
      <c r="D72" s="32" t="str">
        <f>IF(AND(ISNUMBER(Roster!$B72),Setup!$B$22="Yes",ISNUMBER(Setup!$C$22)),EDATE(Roster!$B72,12*Setup!$C$22),"")</f>
        <v/>
      </c>
      <c r="E72" s="32" t="str">
        <f>IF(AND(ISNUMBER(Roster!$B72),Setup!$B$23="Yes",ISNUMBER(Setup!$C$23)),EDATE(Roster!$B72,12*Setup!$C$23),"")</f>
        <v/>
      </c>
      <c r="F72" s="32" t="str">
        <f>IF(AND(ISNUMBER(Roster!$B72),Setup!$B$24="Yes",ISNUMBER(Setup!$C$24)),EDATE(Roster!$B72,12*Setup!$C$24),"")</f>
        <v/>
      </c>
      <c r="G72" s="32" t="str">
        <f>IF(AND(ISNUMBER(Roster!$B72),Setup!$B$25="Yes",ISNUMBER(Setup!$C$25)),EDATE(Roster!$B72,12*Setup!$C$25),"")</f>
        <v/>
      </c>
      <c r="H72" s="32" t="str">
        <f>IF(AND(ISNUMBER(Roster!$B72),Setup!$B$26="Yes",ISNUMBER(Setup!$C$26)),EDATE(Roster!$B72,12*Setup!$C$26),"")</f>
        <v/>
      </c>
      <c r="I72" s="32" t="str">
        <f>IF(AND(ISNUMBER(Roster!$B72),Setup!$B$27="Yes",ISNUMBER(Setup!$C$27)),EDATE(Roster!$B72,12*Setup!$C$27),"")</f>
        <v/>
      </c>
      <c r="J72" s="32" t="str">
        <f>IF(AND(ISNUMBER(Roster!$B72),Setup!$B$28="Yes",ISNUMBER(Setup!$C$28)),EDATE(Roster!$B72,12*Setup!$C$28),"")</f>
        <v/>
      </c>
      <c r="K72" s="32" t="str">
        <f>IF(AND(ISNUMBER(Roster!$B72),Setup!$B$29="Yes",ISNUMBER(Setup!$C$29)),EDATE(Roster!$B72,12*Setup!$C$29),"")</f>
        <v/>
      </c>
      <c r="L72" s="32" t="str">
        <f>IF(AND(ISNUMBER(Roster!$B72),Setup!$B$30="Yes",ISNUMBER(Setup!$C$30)),EDATE(Roster!$B72,12*Setup!$C$30),"")</f>
        <v/>
      </c>
      <c r="M72" s="32" t="str">
        <f>IF(AND(ISNUMBER(Roster!$B72),Setup!$B$31="Yes",ISNUMBER(Setup!$C$31)),EDATE(Roster!$B72,12*Setup!$C$31),"")</f>
        <v/>
      </c>
      <c r="N72" s="32" t="str">
        <f>IF(AND(ISNUMBER(Roster!$B72),Setup!$B$32="Yes",ISNUMBER(Setup!$C$32)),EDATE(Roster!$B72,12*Setup!$C$32),"")</f>
        <v/>
      </c>
      <c r="O72" s="32" t="str">
        <f>IF(AND(ISNUMBER(Roster!$B72),Setup!$B$33="Yes",ISNUMBER(Setup!$C$33)),EDATE(Roster!$B72,12*Setup!$C$33),"")</f>
        <v/>
      </c>
      <c r="P72" s="32" t="str">
        <f>IF(AND(ISNUMBER(Roster!$B72),Setup!$B$34="Yes",ISNUMBER(Setup!$C$34)),EDATE(Roster!$B72,12*Setup!$C$34),"")</f>
        <v/>
      </c>
      <c r="R72" t="str">
        <f>IF(B72="","",IF(B72&lt;Setup!$C$5-Setup!$C$6,"",IF(IF(ISNUMBER(Roster!$D72),Setup!$C$20&lt;=Roster!$D72,FALSE),"",IF(OR(IF(Setup!$C$15&lt;=Setup!$C$16,AND(MONTH(B72)&gt;=Setup!$C$15,MONTH(B72)&lt;=Setup!$C$16),OR(MONTH(B72)&gt;=Setup!$C$15,MONTH(B72)&lt;=Setup!$C$16)),IF(Setup!$C$15&lt;=Setup!$C$16,AND(MONTH(WORKDAY(B72,-(Setup!$C$13+Setup!$G$20),Setup!$C$39:$C$50))&gt;=Setup!$C$15,MONTH(WORKDAY(B72,-(Setup!$C$13+Setup!$G$20),Setup!$C$39:$C$50))&lt;=Setup!$C$16),OR(MONTH(WORKDAY(B72,-(Setup!$C$13+Setup!$G$20),Setup!$C$39:$C$50))&gt;=Setup!$C$15,MONTH(WORKDAY(B72,-(Setup!$C$13+Setup!$G$20),Setup!$C$39:$C$50))&lt;=Setup!$C$16))),WORKDAY(B72,-(Setup!$C$13+Setup!$G$20+Setup!$C$14),Setup!$C$39:$C$50),WORKDAY(B72,-(Setup!$C$13+Setup!$G$20),Setup!$C$39:$C$50))+(67*100+1)/10000000)))</f>
        <v/>
      </c>
      <c r="S72" t="str">
        <f>IF(C72="","",IF(C72&lt;Setup!$C$5-Setup!$C$6,"",IF(IF(ISNUMBER(Roster!$D72),Setup!$C$21&lt;=Roster!$D72,FALSE),"",IF(OR(IF(Setup!$C$15&lt;=Setup!$C$16,AND(MONTH(C72)&gt;=Setup!$C$15,MONTH(C72)&lt;=Setup!$C$16),OR(MONTH(C72)&gt;=Setup!$C$15,MONTH(C72)&lt;=Setup!$C$16)),IF(Setup!$C$15&lt;=Setup!$C$16,AND(MONTH(WORKDAY(C72,-(Setup!$C$13+Setup!$G$21),Setup!$C$39:$C$50))&gt;=Setup!$C$15,MONTH(WORKDAY(C72,-(Setup!$C$13+Setup!$G$21),Setup!$C$39:$C$50))&lt;=Setup!$C$16),OR(MONTH(WORKDAY(C72,-(Setup!$C$13+Setup!$G$21),Setup!$C$39:$C$50))&gt;=Setup!$C$15,MONTH(WORKDAY(C72,-(Setup!$C$13+Setup!$G$21),Setup!$C$39:$C$50))&lt;=Setup!$C$16))),WORKDAY(C72,-(Setup!$C$13+Setup!$G$21+Setup!$C$14),Setup!$C$39:$C$50),WORKDAY(C72,-(Setup!$C$13+Setup!$G$21),Setup!$C$39:$C$50))+(67*100+2)/10000000)))</f>
        <v/>
      </c>
      <c r="T72" t="str">
        <f>IF(D72="","",IF(D72&lt;Setup!$C$5-Setup!$C$6,"",IF(IF(ISNUMBER(Roster!$D72),Setup!$C$22&lt;=Roster!$D72,FALSE),"",IF(OR(IF(Setup!$C$15&lt;=Setup!$C$16,AND(MONTH(D72)&gt;=Setup!$C$15,MONTH(D72)&lt;=Setup!$C$16),OR(MONTH(D72)&gt;=Setup!$C$15,MONTH(D72)&lt;=Setup!$C$16)),IF(Setup!$C$15&lt;=Setup!$C$16,AND(MONTH(WORKDAY(D72,-(Setup!$C$13+Setup!$G$22),Setup!$C$39:$C$50))&gt;=Setup!$C$15,MONTH(WORKDAY(D72,-(Setup!$C$13+Setup!$G$22),Setup!$C$39:$C$50))&lt;=Setup!$C$16),OR(MONTH(WORKDAY(D72,-(Setup!$C$13+Setup!$G$22),Setup!$C$39:$C$50))&gt;=Setup!$C$15,MONTH(WORKDAY(D72,-(Setup!$C$13+Setup!$G$22),Setup!$C$39:$C$50))&lt;=Setup!$C$16))),WORKDAY(D72,-(Setup!$C$13+Setup!$G$22+Setup!$C$14),Setup!$C$39:$C$50),WORKDAY(D72,-(Setup!$C$13+Setup!$G$22),Setup!$C$39:$C$50))+(67*100+3)/10000000)))</f>
        <v/>
      </c>
      <c r="U72" t="str">
        <f>IF(E72="","",IF(E72&lt;Setup!$C$5-Setup!$C$6,"",IF(IF(ISNUMBER(Roster!$D72),Setup!$C$23&lt;=Roster!$D72,FALSE),"",IF(OR(IF(Setup!$C$15&lt;=Setup!$C$16,AND(MONTH(E72)&gt;=Setup!$C$15,MONTH(E72)&lt;=Setup!$C$16),OR(MONTH(E72)&gt;=Setup!$C$15,MONTH(E72)&lt;=Setup!$C$16)),IF(Setup!$C$15&lt;=Setup!$C$16,AND(MONTH(WORKDAY(E72,-(Setup!$C$13+Setup!$G$23),Setup!$C$39:$C$50))&gt;=Setup!$C$15,MONTH(WORKDAY(E72,-(Setup!$C$13+Setup!$G$23),Setup!$C$39:$C$50))&lt;=Setup!$C$16),OR(MONTH(WORKDAY(E72,-(Setup!$C$13+Setup!$G$23),Setup!$C$39:$C$50))&gt;=Setup!$C$15,MONTH(WORKDAY(E72,-(Setup!$C$13+Setup!$G$23),Setup!$C$39:$C$50))&lt;=Setup!$C$16))),WORKDAY(E72,-(Setup!$C$13+Setup!$G$23+Setup!$C$14),Setup!$C$39:$C$50),WORKDAY(E72,-(Setup!$C$13+Setup!$G$23),Setup!$C$39:$C$50))+(67*100+4)/10000000)))</f>
        <v/>
      </c>
      <c r="V72" t="str">
        <f>IF(F72="","",IF(F72&lt;Setup!$C$5-Setup!$C$6,"",IF(IF(ISNUMBER(Roster!$D72),Setup!$C$24&lt;=Roster!$D72,FALSE),"",IF(OR(IF(Setup!$C$15&lt;=Setup!$C$16,AND(MONTH(F72)&gt;=Setup!$C$15,MONTH(F72)&lt;=Setup!$C$16),OR(MONTH(F72)&gt;=Setup!$C$15,MONTH(F72)&lt;=Setup!$C$16)),IF(Setup!$C$15&lt;=Setup!$C$16,AND(MONTH(WORKDAY(F72,-(Setup!$C$13+Setup!$G$24),Setup!$C$39:$C$50))&gt;=Setup!$C$15,MONTH(WORKDAY(F72,-(Setup!$C$13+Setup!$G$24),Setup!$C$39:$C$50))&lt;=Setup!$C$16),OR(MONTH(WORKDAY(F72,-(Setup!$C$13+Setup!$G$24),Setup!$C$39:$C$50))&gt;=Setup!$C$15,MONTH(WORKDAY(F72,-(Setup!$C$13+Setup!$G$24),Setup!$C$39:$C$50))&lt;=Setup!$C$16))),WORKDAY(F72,-(Setup!$C$13+Setup!$G$24+Setup!$C$14),Setup!$C$39:$C$50),WORKDAY(F72,-(Setup!$C$13+Setup!$G$24),Setup!$C$39:$C$50))+(67*100+5)/10000000)))</f>
        <v/>
      </c>
      <c r="W72" t="str">
        <f>IF(G72="","",IF(G72&lt;Setup!$C$5-Setup!$C$6,"",IF(IF(ISNUMBER(Roster!$D72),Setup!$C$25&lt;=Roster!$D72,FALSE),"",IF(OR(IF(Setup!$C$15&lt;=Setup!$C$16,AND(MONTH(G72)&gt;=Setup!$C$15,MONTH(G72)&lt;=Setup!$C$16),OR(MONTH(G72)&gt;=Setup!$C$15,MONTH(G72)&lt;=Setup!$C$16)),IF(Setup!$C$15&lt;=Setup!$C$16,AND(MONTH(WORKDAY(G72,-(Setup!$C$13+Setup!$G$25),Setup!$C$39:$C$50))&gt;=Setup!$C$15,MONTH(WORKDAY(G72,-(Setup!$C$13+Setup!$G$25),Setup!$C$39:$C$50))&lt;=Setup!$C$16),OR(MONTH(WORKDAY(G72,-(Setup!$C$13+Setup!$G$25),Setup!$C$39:$C$50))&gt;=Setup!$C$15,MONTH(WORKDAY(G72,-(Setup!$C$13+Setup!$G$25),Setup!$C$39:$C$50))&lt;=Setup!$C$16))),WORKDAY(G72,-(Setup!$C$13+Setup!$G$25+Setup!$C$14),Setup!$C$39:$C$50),WORKDAY(G72,-(Setup!$C$13+Setup!$G$25),Setup!$C$39:$C$50))+(67*100+6)/10000000)))</f>
        <v/>
      </c>
      <c r="X72" t="str">
        <f>IF(H72="","",IF(H72&lt;Setup!$C$5-Setup!$C$6,"",IF(IF(ISNUMBER(Roster!$D72),Setup!$C$26&lt;=Roster!$D72,FALSE),"",IF(OR(IF(Setup!$C$15&lt;=Setup!$C$16,AND(MONTH(H72)&gt;=Setup!$C$15,MONTH(H72)&lt;=Setup!$C$16),OR(MONTH(H72)&gt;=Setup!$C$15,MONTH(H72)&lt;=Setup!$C$16)),IF(Setup!$C$15&lt;=Setup!$C$16,AND(MONTH(WORKDAY(H72,-(Setup!$C$13+Setup!$G$26),Setup!$C$39:$C$50))&gt;=Setup!$C$15,MONTH(WORKDAY(H72,-(Setup!$C$13+Setup!$G$26),Setup!$C$39:$C$50))&lt;=Setup!$C$16),OR(MONTH(WORKDAY(H72,-(Setup!$C$13+Setup!$G$26),Setup!$C$39:$C$50))&gt;=Setup!$C$15,MONTH(WORKDAY(H72,-(Setup!$C$13+Setup!$G$26),Setup!$C$39:$C$50))&lt;=Setup!$C$16))),WORKDAY(H72,-(Setup!$C$13+Setup!$G$26+Setup!$C$14),Setup!$C$39:$C$50),WORKDAY(H72,-(Setup!$C$13+Setup!$G$26),Setup!$C$39:$C$50))+(67*100+7)/10000000)))</f>
        <v/>
      </c>
      <c r="Y72" t="str">
        <f>IF(I72="","",IF(I72&lt;Setup!$C$5-Setup!$C$6,"",IF(IF(ISNUMBER(Roster!$D72),Setup!$C$27&lt;=Roster!$D72,FALSE),"",IF(OR(IF(Setup!$C$15&lt;=Setup!$C$16,AND(MONTH(I72)&gt;=Setup!$C$15,MONTH(I72)&lt;=Setup!$C$16),OR(MONTH(I72)&gt;=Setup!$C$15,MONTH(I72)&lt;=Setup!$C$16)),IF(Setup!$C$15&lt;=Setup!$C$16,AND(MONTH(WORKDAY(I72,-(Setup!$C$13+Setup!$G$27),Setup!$C$39:$C$50))&gt;=Setup!$C$15,MONTH(WORKDAY(I72,-(Setup!$C$13+Setup!$G$27),Setup!$C$39:$C$50))&lt;=Setup!$C$16),OR(MONTH(WORKDAY(I72,-(Setup!$C$13+Setup!$G$27),Setup!$C$39:$C$50))&gt;=Setup!$C$15,MONTH(WORKDAY(I72,-(Setup!$C$13+Setup!$G$27),Setup!$C$39:$C$50))&lt;=Setup!$C$16))),WORKDAY(I72,-(Setup!$C$13+Setup!$G$27+Setup!$C$14),Setup!$C$39:$C$50),WORKDAY(I72,-(Setup!$C$13+Setup!$G$27),Setup!$C$39:$C$50))+(67*100+8)/10000000)))</f>
        <v/>
      </c>
      <c r="Z72" t="str">
        <f>IF(J72="","",IF(J72&lt;Setup!$C$5-Setup!$C$6,"",IF(IF(ISNUMBER(Roster!$D72),Setup!$C$28&lt;=Roster!$D72,FALSE),"",IF(OR(IF(Setup!$C$15&lt;=Setup!$C$16,AND(MONTH(J72)&gt;=Setup!$C$15,MONTH(J72)&lt;=Setup!$C$16),OR(MONTH(J72)&gt;=Setup!$C$15,MONTH(J72)&lt;=Setup!$C$16)),IF(Setup!$C$15&lt;=Setup!$C$16,AND(MONTH(WORKDAY(J72,-(Setup!$C$13+Setup!$G$28),Setup!$C$39:$C$50))&gt;=Setup!$C$15,MONTH(WORKDAY(J72,-(Setup!$C$13+Setup!$G$28),Setup!$C$39:$C$50))&lt;=Setup!$C$16),OR(MONTH(WORKDAY(J72,-(Setup!$C$13+Setup!$G$28),Setup!$C$39:$C$50))&gt;=Setup!$C$15,MONTH(WORKDAY(J72,-(Setup!$C$13+Setup!$G$28),Setup!$C$39:$C$50))&lt;=Setup!$C$16))),WORKDAY(J72,-(Setup!$C$13+Setup!$G$28+Setup!$C$14),Setup!$C$39:$C$50),WORKDAY(J72,-(Setup!$C$13+Setup!$G$28),Setup!$C$39:$C$50))+(67*100+9)/10000000)))</f>
        <v/>
      </c>
      <c r="AA72" t="str">
        <f>IF(K72="","",IF(K72&lt;Setup!$C$5-Setup!$C$6,"",IF(IF(ISNUMBER(Roster!$D72),Setup!$C$29&lt;=Roster!$D72,FALSE),"",IF(OR(IF(Setup!$C$15&lt;=Setup!$C$16,AND(MONTH(K72)&gt;=Setup!$C$15,MONTH(K72)&lt;=Setup!$C$16),OR(MONTH(K72)&gt;=Setup!$C$15,MONTH(K72)&lt;=Setup!$C$16)),IF(Setup!$C$15&lt;=Setup!$C$16,AND(MONTH(WORKDAY(K72,-(Setup!$C$13+Setup!$G$29),Setup!$C$39:$C$50))&gt;=Setup!$C$15,MONTH(WORKDAY(K72,-(Setup!$C$13+Setup!$G$29),Setup!$C$39:$C$50))&lt;=Setup!$C$16),OR(MONTH(WORKDAY(K72,-(Setup!$C$13+Setup!$G$29),Setup!$C$39:$C$50))&gt;=Setup!$C$15,MONTH(WORKDAY(K72,-(Setup!$C$13+Setup!$G$29),Setup!$C$39:$C$50))&lt;=Setup!$C$16))),WORKDAY(K72,-(Setup!$C$13+Setup!$G$29+Setup!$C$14),Setup!$C$39:$C$50),WORKDAY(K72,-(Setup!$C$13+Setup!$G$29),Setup!$C$39:$C$50))+(67*100+10)/10000000)))</f>
        <v/>
      </c>
      <c r="AB72" t="str">
        <f>IF(L72="","",IF(L72&lt;Setup!$C$5-Setup!$C$6,"",IF(IF(ISNUMBER(Roster!$D72),Setup!$C$30&lt;=Roster!$D72,FALSE),"",IF(OR(IF(Setup!$C$15&lt;=Setup!$C$16,AND(MONTH(L72)&gt;=Setup!$C$15,MONTH(L72)&lt;=Setup!$C$16),OR(MONTH(L72)&gt;=Setup!$C$15,MONTH(L72)&lt;=Setup!$C$16)),IF(Setup!$C$15&lt;=Setup!$C$16,AND(MONTH(WORKDAY(L72,-(Setup!$C$13+Setup!$G$30),Setup!$C$39:$C$50))&gt;=Setup!$C$15,MONTH(WORKDAY(L72,-(Setup!$C$13+Setup!$G$30),Setup!$C$39:$C$50))&lt;=Setup!$C$16),OR(MONTH(WORKDAY(L72,-(Setup!$C$13+Setup!$G$30),Setup!$C$39:$C$50))&gt;=Setup!$C$15,MONTH(WORKDAY(L72,-(Setup!$C$13+Setup!$G$30),Setup!$C$39:$C$50))&lt;=Setup!$C$16))),WORKDAY(L72,-(Setup!$C$13+Setup!$G$30+Setup!$C$14),Setup!$C$39:$C$50),WORKDAY(L72,-(Setup!$C$13+Setup!$G$30),Setup!$C$39:$C$50))+(67*100+11)/10000000)))</f>
        <v/>
      </c>
      <c r="AC72" t="str">
        <f>IF(M72="","",IF(M72&lt;Setup!$C$5-Setup!$C$6,"",IF(IF(ISNUMBER(Roster!$D72),Setup!$C$31&lt;=Roster!$D72,FALSE),"",IF(OR(IF(Setup!$C$15&lt;=Setup!$C$16,AND(MONTH(M72)&gt;=Setup!$C$15,MONTH(M72)&lt;=Setup!$C$16),OR(MONTH(M72)&gt;=Setup!$C$15,MONTH(M72)&lt;=Setup!$C$16)),IF(Setup!$C$15&lt;=Setup!$C$16,AND(MONTH(WORKDAY(M72,-(Setup!$C$13+Setup!$G$31),Setup!$C$39:$C$50))&gt;=Setup!$C$15,MONTH(WORKDAY(M72,-(Setup!$C$13+Setup!$G$31),Setup!$C$39:$C$50))&lt;=Setup!$C$16),OR(MONTH(WORKDAY(M72,-(Setup!$C$13+Setup!$G$31),Setup!$C$39:$C$50))&gt;=Setup!$C$15,MONTH(WORKDAY(M72,-(Setup!$C$13+Setup!$G$31),Setup!$C$39:$C$50))&lt;=Setup!$C$16))),WORKDAY(M72,-(Setup!$C$13+Setup!$G$31+Setup!$C$14),Setup!$C$39:$C$50),WORKDAY(M72,-(Setup!$C$13+Setup!$G$31),Setup!$C$39:$C$50))+(67*100+12)/10000000)))</f>
        <v/>
      </c>
      <c r="AD72" t="str">
        <f>IF(N72="","",IF(N72&lt;Setup!$C$5-Setup!$C$6,"",IF(IF(ISNUMBER(Roster!$D72),Setup!$C$32&lt;=Roster!$D72,FALSE),"",IF(OR(IF(Setup!$C$15&lt;=Setup!$C$16,AND(MONTH(N72)&gt;=Setup!$C$15,MONTH(N72)&lt;=Setup!$C$16),OR(MONTH(N72)&gt;=Setup!$C$15,MONTH(N72)&lt;=Setup!$C$16)),IF(Setup!$C$15&lt;=Setup!$C$16,AND(MONTH(WORKDAY(N72,-(Setup!$C$13+Setup!$G$32),Setup!$C$39:$C$50))&gt;=Setup!$C$15,MONTH(WORKDAY(N72,-(Setup!$C$13+Setup!$G$32),Setup!$C$39:$C$50))&lt;=Setup!$C$16),OR(MONTH(WORKDAY(N72,-(Setup!$C$13+Setup!$G$32),Setup!$C$39:$C$50))&gt;=Setup!$C$15,MONTH(WORKDAY(N72,-(Setup!$C$13+Setup!$G$32),Setup!$C$39:$C$50))&lt;=Setup!$C$16))),WORKDAY(N72,-(Setup!$C$13+Setup!$G$32+Setup!$C$14),Setup!$C$39:$C$50),WORKDAY(N72,-(Setup!$C$13+Setup!$G$32),Setup!$C$39:$C$50))+(67*100+13)/10000000)))</f>
        <v/>
      </c>
      <c r="AE72" t="str">
        <f>IF(O72="","",IF(O72&lt;Setup!$C$5-Setup!$C$6,"",IF(IF(ISNUMBER(Roster!$D72),Setup!$C$33&lt;=Roster!$D72,FALSE),"",IF(OR(IF(Setup!$C$15&lt;=Setup!$C$16,AND(MONTH(O72)&gt;=Setup!$C$15,MONTH(O72)&lt;=Setup!$C$16),OR(MONTH(O72)&gt;=Setup!$C$15,MONTH(O72)&lt;=Setup!$C$16)),IF(Setup!$C$15&lt;=Setup!$C$16,AND(MONTH(WORKDAY(O72,-(Setup!$C$13+Setup!$G$33),Setup!$C$39:$C$50))&gt;=Setup!$C$15,MONTH(WORKDAY(O72,-(Setup!$C$13+Setup!$G$33),Setup!$C$39:$C$50))&lt;=Setup!$C$16),OR(MONTH(WORKDAY(O72,-(Setup!$C$13+Setup!$G$33),Setup!$C$39:$C$50))&gt;=Setup!$C$15,MONTH(WORKDAY(O72,-(Setup!$C$13+Setup!$G$33),Setup!$C$39:$C$50))&lt;=Setup!$C$16))),WORKDAY(O72,-(Setup!$C$13+Setup!$G$33+Setup!$C$14),Setup!$C$39:$C$50),WORKDAY(O72,-(Setup!$C$13+Setup!$G$33),Setup!$C$39:$C$50))+(67*100+14)/10000000)))</f>
        <v/>
      </c>
      <c r="AF72" t="str">
        <f>IF(P72="","",IF(P72&lt;Setup!$C$5-Setup!$C$6,"",IF(IF(ISNUMBER(Roster!$D72),Setup!$C$34&lt;=Roster!$D72,FALSE),"",IF(OR(IF(Setup!$C$15&lt;=Setup!$C$16,AND(MONTH(P72)&gt;=Setup!$C$15,MONTH(P72)&lt;=Setup!$C$16),OR(MONTH(P72)&gt;=Setup!$C$15,MONTH(P72)&lt;=Setup!$C$16)),IF(Setup!$C$15&lt;=Setup!$C$16,AND(MONTH(WORKDAY(P72,-(Setup!$C$13+Setup!$G$34),Setup!$C$39:$C$50))&gt;=Setup!$C$15,MONTH(WORKDAY(P72,-(Setup!$C$13+Setup!$G$34),Setup!$C$39:$C$50))&lt;=Setup!$C$16),OR(MONTH(WORKDAY(P72,-(Setup!$C$13+Setup!$G$34),Setup!$C$39:$C$50))&gt;=Setup!$C$15,MONTH(WORKDAY(P72,-(Setup!$C$13+Setup!$G$34),Setup!$C$39:$C$50))&lt;=Setup!$C$16))),WORKDAY(P72,-(Setup!$C$13+Setup!$G$34+Setup!$C$14),Setup!$C$39:$C$50),WORKDAY(P72,-(Setup!$C$13+Setup!$G$34),Setup!$C$39:$C$50))+(67*100+15)/10000000)))</f>
        <v/>
      </c>
      <c r="AH72" t="str">
        <f t="shared" si="9"/>
        <v/>
      </c>
      <c r="AI72" t="str">
        <f t="shared" si="10"/>
        <v/>
      </c>
      <c r="AK72" t="str">
        <f ca="1">IF(67&gt;$AK$2,"",SMALL($R$6:$AF$505,67))</f>
        <v/>
      </c>
      <c r="AL72" t="str">
        <f t="shared" ca="1" si="11"/>
        <v/>
      </c>
      <c r="AM72" t="str">
        <f t="shared" ca="1" si="12"/>
        <v/>
      </c>
      <c r="AN72" t="str">
        <f t="shared" ca="1" si="13"/>
        <v/>
      </c>
      <c r="AP72" t="str">
        <f>IF(ISNUMBER(Roster!$B72),MAX(1,YEAR(Setup!$C$5)-YEAR(Roster!$B72)+IF(EDATE(Roster!$B72,12*(YEAR(Setup!$C$5)-YEAR(Roster!$B72)))&lt;Setup!$C$5,1,0)),"")</f>
        <v/>
      </c>
      <c r="AQ72" s="32" t="str">
        <f>IF(AP72="","",EDATE(Roster!$B72,12*AP72))</f>
        <v/>
      </c>
      <c r="AR72" t="str">
        <f>IF(AQ72="","",IF(AQ72&lt;DATE(YEAR(Setup!$C$5)+1,MONTH(Setup!$C$5),DAY(Setup!$C$5)),AQ72+67/1000,""))</f>
        <v/>
      </c>
      <c r="AS72" t="str">
        <f t="shared" si="14"/>
        <v/>
      </c>
      <c r="AT72" t="str">
        <f>IF(AS72="","",IF(ISNUMBER(Roster!$D72),Roster!$D72&gt;=AP72,FALSE))</f>
        <v/>
      </c>
      <c r="AU72" t="str">
        <f t="shared" si="15"/>
        <v/>
      </c>
      <c r="AV72" t="str">
        <f ca="1">IF(67&gt;$AV$2,"",SMALL($AR$6:$AR$505,67))</f>
        <v/>
      </c>
      <c r="AW72" t="str">
        <f t="shared" ca="1" si="16"/>
        <v/>
      </c>
    </row>
    <row r="73" spans="2:49" x14ac:dyDescent="0.2">
      <c r="B73" s="32" t="str">
        <f>IF(AND(ISNUMBER(Roster!$B73),Setup!$B$20="Yes",ISNUMBER(Setup!$C$20)),EDATE(Roster!$B73,12*Setup!$C$20),"")</f>
        <v/>
      </c>
      <c r="C73" s="32" t="str">
        <f>IF(AND(ISNUMBER(Roster!$B73),Setup!$B$21="Yes",ISNUMBER(Setup!$C$21)),EDATE(Roster!$B73,12*Setup!$C$21),"")</f>
        <v/>
      </c>
      <c r="D73" s="32" t="str">
        <f>IF(AND(ISNUMBER(Roster!$B73),Setup!$B$22="Yes",ISNUMBER(Setup!$C$22)),EDATE(Roster!$B73,12*Setup!$C$22),"")</f>
        <v/>
      </c>
      <c r="E73" s="32" t="str">
        <f>IF(AND(ISNUMBER(Roster!$B73),Setup!$B$23="Yes",ISNUMBER(Setup!$C$23)),EDATE(Roster!$B73,12*Setup!$C$23),"")</f>
        <v/>
      </c>
      <c r="F73" s="32" t="str">
        <f>IF(AND(ISNUMBER(Roster!$B73),Setup!$B$24="Yes",ISNUMBER(Setup!$C$24)),EDATE(Roster!$B73,12*Setup!$C$24),"")</f>
        <v/>
      </c>
      <c r="G73" s="32" t="str">
        <f>IF(AND(ISNUMBER(Roster!$B73),Setup!$B$25="Yes",ISNUMBER(Setup!$C$25)),EDATE(Roster!$B73,12*Setup!$C$25),"")</f>
        <v/>
      </c>
      <c r="H73" s="32" t="str">
        <f>IF(AND(ISNUMBER(Roster!$B73),Setup!$B$26="Yes",ISNUMBER(Setup!$C$26)),EDATE(Roster!$B73,12*Setup!$C$26),"")</f>
        <v/>
      </c>
      <c r="I73" s="32" t="str">
        <f>IF(AND(ISNUMBER(Roster!$B73),Setup!$B$27="Yes",ISNUMBER(Setup!$C$27)),EDATE(Roster!$B73,12*Setup!$C$27),"")</f>
        <v/>
      </c>
      <c r="J73" s="32" t="str">
        <f>IF(AND(ISNUMBER(Roster!$B73),Setup!$B$28="Yes",ISNUMBER(Setup!$C$28)),EDATE(Roster!$B73,12*Setup!$C$28),"")</f>
        <v/>
      </c>
      <c r="K73" s="32" t="str">
        <f>IF(AND(ISNUMBER(Roster!$B73),Setup!$B$29="Yes",ISNUMBER(Setup!$C$29)),EDATE(Roster!$B73,12*Setup!$C$29),"")</f>
        <v/>
      </c>
      <c r="L73" s="32" t="str">
        <f>IF(AND(ISNUMBER(Roster!$B73),Setup!$B$30="Yes",ISNUMBER(Setup!$C$30)),EDATE(Roster!$B73,12*Setup!$C$30),"")</f>
        <v/>
      </c>
      <c r="M73" s="32" t="str">
        <f>IF(AND(ISNUMBER(Roster!$B73),Setup!$B$31="Yes",ISNUMBER(Setup!$C$31)),EDATE(Roster!$B73,12*Setup!$C$31),"")</f>
        <v/>
      </c>
      <c r="N73" s="32" t="str">
        <f>IF(AND(ISNUMBER(Roster!$B73),Setup!$B$32="Yes",ISNUMBER(Setup!$C$32)),EDATE(Roster!$B73,12*Setup!$C$32),"")</f>
        <v/>
      </c>
      <c r="O73" s="32" t="str">
        <f>IF(AND(ISNUMBER(Roster!$B73),Setup!$B$33="Yes",ISNUMBER(Setup!$C$33)),EDATE(Roster!$B73,12*Setup!$C$33),"")</f>
        <v/>
      </c>
      <c r="P73" s="32" t="str">
        <f>IF(AND(ISNUMBER(Roster!$B73),Setup!$B$34="Yes",ISNUMBER(Setup!$C$34)),EDATE(Roster!$B73,12*Setup!$C$34),"")</f>
        <v/>
      </c>
      <c r="R73" t="str">
        <f>IF(B73="","",IF(B73&lt;Setup!$C$5-Setup!$C$6,"",IF(IF(ISNUMBER(Roster!$D73),Setup!$C$20&lt;=Roster!$D73,FALSE),"",IF(OR(IF(Setup!$C$15&lt;=Setup!$C$16,AND(MONTH(B73)&gt;=Setup!$C$15,MONTH(B73)&lt;=Setup!$C$16),OR(MONTH(B73)&gt;=Setup!$C$15,MONTH(B73)&lt;=Setup!$C$16)),IF(Setup!$C$15&lt;=Setup!$C$16,AND(MONTH(WORKDAY(B73,-(Setup!$C$13+Setup!$G$20),Setup!$C$39:$C$50))&gt;=Setup!$C$15,MONTH(WORKDAY(B73,-(Setup!$C$13+Setup!$G$20),Setup!$C$39:$C$50))&lt;=Setup!$C$16),OR(MONTH(WORKDAY(B73,-(Setup!$C$13+Setup!$G$20),Setup!$C$39:$C$50))&gt;=Setup!$C$15,MONTH(WORKDAY(B73,-(Setup!$C$13+Setup!$G$20),Setup!$C$39:$C$50))&lt;=Setup!$C$16))),WORKDAY(B73,-(Setup!$C$13+Setup!$G$20+Setup!$C$14),Setup!$C$39:$C$50),WORKDAY(B73,-(Setup!$C$13+Setup!$G$20),Setup!$C$39:$C$50))+(68*100+1)/10000000)))</f>
        <v/>
      </c>
      <c r="S73" t="str">
        <f>IF(C73="","",IF(C73&lt;Setup!$C$5-Setup!$C$6,"",IF(IF(ISNUMBER(Roster!$D73),Setup!$C$21&lt;=Roster!$D73,FALSE),"",IF(OR(IF(Setup!$C$15&lt;=Setup!$C$16,AND(MONTH(C73)&gt;=Setup!$C$15,MONTH(C73)&lt;=Setup!$C$16),OR(MONTH(C73)&gt;=Setup!$C$15,MONTH(C73)&lt;=Setup!$C$16)),IF(Setup!$C$15&lt;=Setup!$C$16,AND(MONTH(WORKDAY(C73,-(Setup!$C$13+Setup!$G$21),Setup!$C$39:$C$50))&gt;=Setup!$C$15,MONTH(WORKDAY(C73,-(Setup!$C$13+Setup!$G$21),Setup!$C$39:$C$50))&lt;=Setup!$C$16),OR(MONTH(WORKDAY(C73,-(Setup!$C$13+Setup!$G$21),Setup!$C$39:$C$50))&gt;=Setup!$C$15,MONTH(WORKDAY(C73,-(Setup!$C$13+Setup!$G$21),Setup!$C$39:$C$50))&lt;=Setup!$C$16))),WORKDAY(C73,-(Setup!$C$13+Setup!$G$21+Setup!$C$14),Setup!$C$39:$C$50),WORKDAY(C73,-(Setup!$C$13+Setup!$G$21),Setup!$C$39:$C$50))+(68*100+2)/10000000)))</f>
        <v/>
      </c>
      <c r="T73" t="str">
        <f>IF(D73="","",IF(D73&lt;Setup!$C$5-Setup!$C$6,"",IF(IF(ISNUMBER(Roster!$D73),Setup!$C$22&lt;=Roster!$D73,FALSE),"",IF(OR(IF(Setup!$C$15&lt;=Setup!$C$16,AND(MONTH(D73)&gt;=Setup!$C$15,MONTH(D73)&lt;=Setup!$C$16),OR(MONTH(D73)&gt;=Setup!$C$15,MONTH(D73)&lt;=Setup!$C$16)),IF(Setup!$C$15&lt;=Setup!$C$16,AND(MONTH(WORKDAY(D73,-(Setup!$C$13+Setup!$G$22),Setup!$C$39:$C$50))&gt;=Setup!$C$15,MONTH(WORKDAY(D73,-(Setup!$C$13+Setup!$G$22),Setup!$C$39:$C$50))&lt;=Setup!$C$16),OR(MONTH(WORKDAY(D73,-(Setup!$C$13+Setup!$G$22),Setup!$C$39:$C$50))&gt;=Setup!$C$15,MONTH(WORKDAY(D73,-(Setup!$C$13+Setup!$G$22),Setup!$C$39:$C$50))&lt;=Setup!$C$16))),WORKDAY(D73,-(Setup!$C$13+Setup!$G$22+Setup!$C$14),Setup!$C$39:$C$50),WORKDAY(D73,-(Setup!$C$13+Setup!$G$22),Setup!$C$39:$C$50))+(68*100+3)/10000000)))</f>
        <v/>
      </c>
      <c r="U73" t="str">
        <f>IF(E73="","",IF(E73&lt;Setup!$C$5-Setup!$C$6,"",IF(IF(ISNUMBER(Roster!$D73),Setup!$C$23&lt;=Roster!$D73,FALSE),"",IF(OR(IF(Setup!$C$15&lt;=Setup!$C$16,AND(MONTH(E73)&gt;=Setup!$C$15,MONTH(E73)&lt;=Setup!$C$16),OR(MONTH(E73)&gt;=Setup!$C$15,MONTH(E73)&lt;=Setup!$C$16)),IF(Setup!$C$15&lt;=Setup!$C$16,AND(MONTH(WORKDAY(E73,-(Setup!$C$13+Setup!$G$23),Setup!$C$39:$C$50))&gt;=Setup!$C$15,MONTH(WORKDAY(E73,-(Setup!$C$13+Setup!$G$23),Setup!$C$39:$C$50))&lt;=Setup!$C$16),OR(MONTH(WORKDAY(E73,-(Setup!$C$13+Setup!$G$23),Setup!$C$39:$C$50))&gt;=Setup!$C$15,MONTH(WORKDAY(E73,-(Setup!$C$13+Setup!$G$23),Setup!$C$39:$C$50))&lt;=Setup!$C$16))),WORKDAY(E73,-(Setup!$C$13+Setup!$G$23+Setup!$C$14),Setup!$C$39:$C$50),WORKDAY(E73,-(Setup!$C$13+Setup!$G$23),Setup!$C$39:$C$50))+(68*100+4)/10000000)))</f>
        <v/>
      </c>
      <c r="V73" t="str">
        <f>IF(F73="","",IF(F73&lt;Setup!$C$5-Setup!$C$6,"",IF(IF(ISNUMBER(Roster!$D73),Setup!$C$24&lt;=Roster!$D73,FALSE),"",IF(OR(IF(Setup!$C$15&lt;=Setup!$C$16,AND(MONTH(F73)&gt;=Setup!$C$15,MONTH(F73)&lt;=Setup!$C$16),OR(MONTH(F73)&gt;=Setup!$C$15,MONTH(F73)&lt;=Setup!$C$16)),IF(Setup!$C$15&lt;=Setup!$C$16,AND(MONTH(WORKDAY(F73,-(Setup!$C$13+Setup!$G$24),Setup!$C$39:$C$50))&gt;=Setup!$C$15,MONTH(WORKDAY(F73,-(Setup!$C$13+Setup!$G$24),Setup!$C$39:$C$50))&lt;=Setup!$C$16),OR(MONTH(WORKDAY(F73,-(Setup!$C$13+Setup!$G$24),Setup!$C$39:$C$50))&gt;=Setup!$C$15,MONTH(WORKDAY(F73,-(Setup!$C$13+Setup!$G$24),Setup!$C$39:$C$50))&lt;=Setup!$C$16))),WORKDAY(F73,-(Setup!$C$13+Setup!$G$24+Setup!$C$14),Setup!$C$39:$C$50),WORKDAY(F73,-(Setup!$C$13+Setup!$G$24),Setup!$C$39:$C$50))+(68*100+5)/10000000)))</f>
        <v/>
      </c>
      <c r="W73" t="str">
        <f>IF(G73="","",IF(G73&lt;Setup!$C$5-Setup!$C$6,"",IF(IF(ISNUMBER(Roster!$D73),Setup!$C$25&lt;=Roster!$D73,FALSE),"",IF(OR(IF(Setup!$C$15&lt;=Setup!$C$16,AND(MONTH(G73)&gt;=Setup!$C$15,MONTH(G73)&lt;=Setup!$C$16),OR(MONTH(G73)&gt;=Setup!$C$15,MONTH(G73)&lt;=Setup!$C$16)),IF(Setup!$C$15&lt;=Setup!$C$16,AND(MONTH(WORKDAY(G73,-(Setup!$C$13+Setup!$G$25),Setup!$C$39:$C$50))&gt;=Setup!$C$15,MONTH(WORKDAY(G73,-(Setup!$C$13+Setup!$G$25),Setup!$C$39:$C$50))&lt;=Setup!$C$16),OR(MONTH(WORKDAY(G73,-(Setup!$C$13+Setup!$G$25),Setup!$C$39:$C$50))&gt;=Setup!$C$15,MONTH(WORKDAY(G73,-(Setup!$C$13+Setup!$G$25),Setup!$C$39:$C$50))&lt;=Setup!$C$16))),WORKDAY(G73,-(Setup!$C$13+Setup!$G$25+Setup!$C$14),Setup!$C$39:$C$50),WORKDAY(G73,-(Setup!$C$13+Setup!$G$25),Setup!$C$39:$C$50))+(68*100+6)/10000000)))</f>
        <v/>
      </c>
      <c r="X73" t="str">
        <f>IF(H73="","",IF(H73&lt;Setup!$C$5-Setup!$C$6,"",IF(IF(ISNUMBER(Roster!$D73),Setup!$C$26&lt;=Roster!$D73,FALSE),"",IF(OR(IF(Setup!$C$15&lt;=Setup!$C$16,AND(MONTH(H73)&gt;=Setup!$C$15,MONTH(H73)&lt;=Setup!$C$16),OR(MONTH(H73)&gt;=Setup!$C$15,MONTH(H73)&lt;=Setup!$C$16)),IF(Setup!$C$15&lt;=Setup!$C$16,AND(MONTH(WORKDAY(H73,-(Setup!$C$13+Setup!$G$26),Setup!$C$39:$C$50))&gt;=Setup!$C$15,MONTH(WORKDAY(H73,-(Setup!$C$13+Setup!$G$26),Setup!$C$39:$C$50))&lt;=Setup!$C$16),OR(MONTH(WORKDAY(H73,-(Setup!$C$13+Setup!$G$26),Setup!$C$39:$C$50))&gt;=Setup!$C$15,MONTH(WORKDAY(H73,-(Setup!$C$13+Setup!$G$26),Setup!$C$39:$C$50))&lt;=Setup!$C$16))),WORKDAY(H73,-(Setup!$C$13+Setup!$G$26+Setup!$C$14),Setup!$C$39:$C$50),WORKDAY(H73,-(Setup!$C$13+Setup!$G$26),Setup!$C$39:$C$50))+(68*100+7)/10000000)))</f>
        <v/>
      </c>
      <c r="Y73" t="str">
        <f>IF(I73="","",IF(I73&lt;Setup!$C$5-Setup!$C$6,"",IF(IF(ISNUMBER(Roster!$D73),Setup!$C$27&lt;=Roster!$D73,FALSE),"",IF(OR(IF(Setup!$C$15&lt;=Setup!$C$16,AND(MONTH(I73)&gt;=Setup!$C$15,MONTH(I73)&lt;=Setup!$C$16),OR(MONTH(I73)&gt;=Setup!$C$15,MONTH(I73)&lt;=Setup!$C$16)),IF(Setup!$C$15&lt;=Setup!$C$16,AND(MONTH(WORKDAY(I73,-(Setup!$C$13+Setup!$G$27),Setup!$C$39:$C$50))&gt;=Setup!$C$15,MONTH(WORKDAY(I73,-(Setup!$C$13+Setup!$G$27),Setup!$C$39:$C$50))&lt;=Setup!$C$16),OR(MONTH(WORKDAY(I73,-(Setup!$C$13+Setup!$G$27),Setup!$C$39:$C$50))&gt;=Setup!$C$15,MONTH(WORKDAY(I73,-(Setup!$C$13+Setup!$G$27),Setup!$C$39:$C$50))&lt;=Setup!$C$16))),WORKDAY(I73,-(Setup!$C$13+Setup!$G$27+Setup!$C$14),Setup!$C$39:$C$50),WORKDAY(I73,-(Setup!$C$13+Setup!$G$27),Setup!$C$39:$C$50))+(68*100+8)/10000000)))</f>
        <v/>
      </c>
      <c r="Z73" t="str">
        <f>IF(J73="","",IF(J73&lt;Setup!$C$5-Setup!$C$6,"",IF(IF(ISNUMBER(Roster!$D73),Setup!$C$28&lt;=Roster!$D73,FALSE),"",IF(OR(IF(Setup!$C$15&lt;=Setup!$C$16,AND(MONTH(J73)&gt;=Setup!$C$15,MONTH(J73)&lt;=Setup!$C$16),OR(MONTH(J73)&gt;=Setup!$C$15,MONTH(J73)&lt;=Setup!$C$16)),IF(Setup!$C$15&lt;=Setup!$C$16,AND(MONTH(WORKDAY(J73,-(Setup!$C$13+Setup!$G$28),Setup!$C$39:$C$50))&gt;=Setup!$C$15,MONTH(WORKDAY(J73,-(Setup!$C$13+Setup!$G$28),Setup!$C$39:$C$50))&lt;=Setup!$C$16),OR(MONTH(WORKDAY(J73,-(Setup!$C$13+Setup!$G$28),Setup!$C$39:$C$50))&gt;=Setup!$C$15,MONTH(WORKDAY(J73,-(Setup!$C$13+Setup!$G$28),Setup!$C$39:$C$50))&lt;=Setup!$C$16))),WORKDAY(J73,-(Setup!$C$13+Setup!$G$28+Setup!$C$14),Setup!$C$39:$C$50),WORKDAY(J73,-(Setup!$C$13+Setup!$G$28),Setup!$C$39:$C$50))+(68*100+9)/10000000)))</f>
        <v/>
      </c>
      <c r="AA73" t="str">
        <f>IF(K73="","",IF(K73&lt;Setup!$C$5-Setup!$C$6,"",IF(IF(ISNUMBER(Roster!$D73),Setup!$C$29&lt;=Roster!$D73,FALSE),"",IF(OR(IF(Setup!$C$15&lt;=Setup!$C$16,AND(MONTH(K73)&gt;=Setup!$C$15,MONTH(K73)&lt;=Setup!$C$16),OR(MONTH(K73)&gt;=Setup!$C$15,MONTH(K73)&lt;=Setup!$C$16)),IF(Setup!$C$15&lt;=Setup!$C$16,AND(MONTH(WORKDAY(K73,-(Setup!$C$13+Setup!$G$29),Setup!$C$39:$C$50))&gt;=Setup!$C$15,MONTH(WORKDAY(K73,-(Setup!$C$13+Setup!$G$29),Setup!$C$39:$C$50))&lt;=Setup!$C$16),OR(MONTH(WORKDAY(K73,-(Setup!$C$13+Setup!$G$29),Setup!$C$39:$C$50))&gt;=Setup!$C$15,MONTH(WORKDAY(K73,-(Setup!$C$13+Setup!$G$29),Setup!$C$39:$C$50))&lt;=Setup!$C$16))),WORKDAY(K73,-(Setup!$C$13+Setup!$G$29+Setup!$C$14),Setup!$C$39:$C$50),WORKDAY(K73,-(Setup!$C$13+Setup!$G$29),Setup!$C$39:$C$50))+(68*100+10)/10000000)))</f>
        <v/>
      </c>
      <c r="AB73" t="str">
        <f>IF(L73="","",IF(L73&lt;Setup!$C$5-Setup!$C$6,"",IF(IF(ISNUMBER(Roster!$D73),Setup!$C$30&lt;=Roster!$D73,FALSE),"",IF(OR(IF(Setup!$C$15&lt;=Setup!$C$16,AND(MONTH(L73)&gt;=Setup!$C$15,MONTH(L73)&lt;=Setup!$C$16),OR(MONTH(L73)&gt;=Setup!$C$15,MONTH(L73)&lt;=Setup!$C$16)),IF(Setup!$C$15&lt;=Setup!$C$16,AND(MONTH(WORKDAY(L73,-(Setup!$C$13+Setup!$G$30),Setup!$C$39:$C$50))&gt;=Setup!$C$15,MONTH(WORKDAY(L73,-(Setup!$C$13+Setup!$G$30),Setup!$C$39:$C$50))&lt;=Setup!$C$16),OR(MONTH(WORKDAY(L73,-(Setup!$C$13+Setup!$G$30),Setup!$C$39:$C$50))&gt;=Setup!$C$15,MONTH(WORKDAY(L73,-(Setup!$C$13+Setup!$G$30),Setup!$C$39:$C$50))&lt;=Setup!$C$16))),WORKDAY(L73,-(Setup!$C$13+Setup!$G$30+Setup!$C$14),Setup!$C$39:$C$50),WORKDAY(L73,-(Setup!$C$13+Setup!$G$30),Setup!$C$39:$C$50))+(68*100+11)/10000000)))</f>
        <v/>
      </c>
      <c r="AC73" t="str">
        <f>IF(M73="","",IF(M73&lt;Setup!$C$5-Setup!$C$6,"",IF(IF(ISNUMBER(Roster!$D73),Setup!$C$31&lt;=Roster!$D73,FALSE),"",IF(OR(IF(Setup!$C$15&lt;=Setup!$C$16,AND(MONTH(M73)&gt;=Setup!$C$15,MONTH(M73)&lt;=Setup!$C$16),OR(MONTH(M73)&gt;=Setup!$C$15,MONTH(M73)&lt;=Setup!$C$16)),IF(Setup!$C$15&lt;=Setup!$C$16,AND(MONTH(WORKDAY(M73,-(Setup!$C$13+Setup!$G$31),Setup!$C$39:$C$50))&gt;=Setup!$C$15,MONTH(WORKDAY(M73,-(Setup!$C$13+Setup!$G$31),Setup!$C$39:$C$50))&lt;=Setup!$C$16),OR(MONTH(WORKDAY(M73,-(Setup!$C$13+Setup!$G$31),Setup!$C$39:$C$50))&gt;=Setup!$C$15,MONTH(WORKDAY(M73,-(Setup!$C$13+Setup!$G$31),Setup!$C$39:$C$50))&lt;=Setup!$C$16))),WORKDAY(M73,-(Setup!$C$13+Setup!$G$31+Setup!$C$14),Setup!$C$39:$C$50),WORKDAY(M73,-(Setup!$C$13+Setup!$G$31),Setup!$C$39:$C$50))+(68*100+12)/10000000)))</f>
        <v/>
      </c>
      <c r="AD73" t="str">
        <f>IF(N73="","",IF(N73&lt;Setup!$C$5-Setup!$C$6,"",IF(IF(ISNUMBER(Roster!$D73),Setup!$C$32&lt;=Roster!$D73,FALSE),"",IF(OR(IF(Setup!$C$15&lt;=Setup!$C$16,AND(MONTH(N73)&gt;=Setup!$C$15,MONTH(N73)&lt;=Setup!$C$16),OR(MONTH(N73)&gt;=Setup!$C$15,MONTH(N73)&lt;=Setup!$C$16)),IF(Setup!$C$15&lt;=Setup!$C$16,AND(MONTH(WORKDAY(N73,-(Setup!$C$13+Setup!$G$32),Setup!$C$39:$C$50))&gt;=Setup!$C$15,MONTH(WORKDAY(N73,-(Setup!$C$13+Setup!$G$32),Setup!$C$39:$C$50))&lt;=Setup!$C$16),OR(MONTH(WORKDAY(N73,-(Setup!$C$13+Setup!$G$32),Setup!$C$39:$C$50))&gt;=Setup!$C$15,MONTH(WORKDAY(N73,-(Setup!$C$13+Setup!$G$32),Setup!$C$39:$C$50))&lt;=Setup!$C$16))),WORKDAY(N73,-(Setup!$C$13+Setup!$G$32+Setup!$C$14),Setup!$C$39:$C$50),WORKDAY(N73,-(Setup!$C$13+Setup!$G$32),Setup!$C$39:$C$50))+(68*100+13)/10000000)))</f>
        <v/>
      </c>
      <c r="AE73" t="str">
        <f>IF(O73="","",IF(O73&lt;Setup!$C$5-Setup!$C$6,"",IF(IF(ISNUMBER(Roster!$D73),Setup!$C$33&lt;=Roster!$D73,FALSE),"",IF(OR(IF(Setup!$C$15&lt;=Setup!$C$16,AND(MONTH(O73)&gt;=Setup!$C$15,MONTH(O73)&lt;=Setup!$C$16),OR(MONTH(O73)&gt;=Setup!$C$15,MONTH(O73)&lt;=Setup!$C$16)),IF(Setup!$C$15&lt;=Setup!$C$16,AND(MONTH(WORKDAY(O73,-(Setup!$C$13+Setup!$G$33),Setup!$C$39:$C$50))&gt;=Setup!$C$15,MONTH(WORKDAY(O73,-(Setup!$C$13+Setup!$G$33),Setup!$C$39:$C$50))&lt;=Setup!$C$16),OR(MONTH(WORKDAY(O73,-(Setup!$C$13+Setup!$G$33),Setup!$C$39:$C$50))&gt;=Setup!$C$15,MONTH(WORKDAY(O73,-(Setup!$C$13+Setup!$G$33),Setup!$C$39:$C$50))&lt;=Setup!$C$16))),WORKDAY(O73,-(Setup!$C$13+Setup!$G$33+Setup!$C$14),Setup!$C$39:$C$50),WORKDAY(O73,-(Setup!$C$13+Setup!$G$33),Setup!$C$39:$C$50))+(68*100+14)/10000000)))</f>
        <v/>
      </c>
      <c r="AF73" t="str">
        <f>IF(P73="","",IF(P73&lt;Setup!$C$5-Setup!$C$6,"",IF(IF(ISNUMBER(Roster!$D73),Setup!$C$34&lt;=Roster!$D73,FALSE),"",IF(OR(IF(Setup!$C$15&lt;=Setup!$C$16,AND(MONTH(P73)&gt;=Setup!$C$15,MONTH(P73)&lt;=Setup!$C$16),OR(MONTH(P73)&gt;=Setup!$C$15,MONTH(P73)&lt;=Setup!$C$16)),IF(Setup!$C$15&lt;=Setup!$C$16,AND(MONTH(WORKDAY(P73,-(Setup!$C$13+Setup!$G$34),Setup!$C$39:$C$50))&gt;=Setup!$C$15,MONTH(WORKDAY(P73,-(Setup!$C$13+Setup!$G$34),Setup!$C$39:$C$50))&lt;=Setup!$C$16),OR(MONTH(WORKDAY(P73,-(Setup!$C$13+Setup!$G$34),Setup!$C$39:$C$50))&gt;=Setup!$C$15,MONTH(WORKDAY(P73,-(Setup!$C$13+Setup!$G$34),Setup!$C$39:$C$50))&lt;=Setup!$C$16))),WORKDAY(P73,-(Setup!$C$13+Setup!$G$34+Setup!$C$14),Setup!$C$39:$C$50),WORKDAY(P73,-(Setup!$C$13+Setup!$G$34),Setup!$C$39:$C$50))+(68*100+15)/10000000)))</f>
        <v/>
      </c>
      <c r="AH73" t="str">
        <f t="shared" si="9"/>
        <v/>
      </c>
      <c r="AI73" t="str">
        <f t="shared" si="10"/>
        <v/>
      </c>
      <c r="AK73" t="str">
        <f ca="1">IF(68&gt;$AK$2,"",SMALL($R$6:$AF$505,68))</f>
        <v/>
      </c>
      <c r="AL73" t="str">
        <f t="shared" ca="1" si="11"/>
        <v/>
      </c>
      <c r="AM73" t="str">
        <f t="shared" ca="1" si="12"/>
        <v/>
      </c>
      <c r="AN73" t="str">
        <f t="shared" ca="1" si="13"/>
        <v/>
      </c>
      <c r="AP73" t="str">
        <f>IF(ISNUMBER(Roster!$B73),MAX(1,YEAR(Setup!$C$5)-YEAR(Roster!$B73)+IF(EDATE(Roster!$B73,12*(YEAR(Setup!$C$5)-YEAR(Roster!$B73)))&lt;Setup!$C$5,1,0)),"")</f>
        <v/>
      </c>
      <c r="AQ73" s="32" t="str">
        <f>IF(AP73="","",EDATE(Roster!$B73,12*AP73))</f>
        <v/>
      </c>
      <c r="AR73" t="str">
        <f>IF(AQ73="","",IF(AQ73&lt;DATE(YEAR(Setup!$C$5)+1,MONTH(Setup!$C$5),DAY(Setup!$C$5)),AQ73+68/1000,""))</f>
        <v/>
      </c>
      <c r="AS73" t="str">
        <f t="shared" si="14"/>
        <v/>
      </c>
      <c r="AT73" t="str">
        <f>IF(AS73="","",IF(ISNUMBER(Roster!$D73),Roster!$D73&gt;=AP73,FALSE))</f>
        <v/>
      </c>
      <c r="AU73" t="str">
        <f t="shared" si="15"/>
        <v/>
      </c>
      <c r="AV73" t="str">
        <f ca="1">IF(68&gt;$AV$2,"",SMALL($AR$6:$AR$505,68))</f>
        <v/>
      </c>
      <c r="AW73" t="str">
        <f t="shared" ca="1" si="16"/>
        <v/>
      </c>
    </row>
    <row r="74" spans="2:49" x14ac:dyDescent="0.2">
      <c r="B74" s="32" t="str">
        <f>IF(AND(ISNUMBER(Roster!$B74),Setup!$B$20="Yes",ISNUMBER(Setup!$C$20)),EDATE(Roster!$B74,12*Setup!$C$20),"")</f>
        <v/>
      </c>
      <c r="C74" s="32" t="str">
        <f>IF(AND(ISNUMBER(Roster!$B74),Setup!$B$21="Yes",ISNUMBER(Setup!$C$21)),EDATE(Roster!$B74,12*Setup!$C$21),"")</f>
        <v/>
      </c>
      <c r="D74" s="32" t="str">
        <f>IF(AND(ISNUMBER(Roster!$B74),Setup!$B$22="Yes",ISNUMBER(Setup!$C$22)),EDATE(Roster!$B74,12*Setup!$C$22),"")</f>
        <v/>
      </c>
      <c r="E74" s="32" t="str">
        <f>IF(AND(ISNUMBER(Roster!$B74),Setup!$B$23="Yes",ISNUMBER(Setup!$C$23)),EDATE(Roster!$B74,12*Setup!$C$23),"")</f>
        <v/>
      </c>
      <c r="F74" s="32" t="str">
        <f>IF(AND(ISNUMBER(Roster!$B74),Setup!$B$24="Yes",ISNUMBER(Setup!$C$24)),EDATE(Roster!$B74,12*Setup!$C$24),"")</f>
        <v/>
      </c>
      <c r="G74" s="32" t="str">
        <f>IF(AND(ISNUMBER(Roster!$B74),Setup!$B$25="Yes",ISNUMBER(Setup!$C$25)),EDATE(Roster!$B74,12*Setup!$C$25),"")</f>
        <v/>
      </c>
      <c r="H74" s="32" t="str">
        <f>IF(AND(ISNUMBER(Roster!$B74),Setup!$B$26="Yes",ISNUMBER(Setup!$C$26)),EDATE(Roster!$B74,12*Setup!$C$26),"")</f>
        <v/>
      </c>
      <c r="I74" s="32" t="str">
        <f>IF(AND(ISNUMBER(Roster!$B74),Setup!$B$27="Yes",ISNUMBER(Setup!$C$27)),EDATE(Roster!$B74,12*Setup!$C$27),"")</f>
        <v/>
      </c>
      <c r="J74" s="32" t="str">
        <f>IF(AND(ISNUMBER(Roster!$B74),Setup!$B$28="Yes",ISNUMBER(Setup!$C$28)),EDATE(Roster!$B74,12*Setup!$C$28),"")</f>
        <v/>
      </c>
      <c r="K74" s="32" t="str">
        <f>IF(AND(ISNUMBER(Roster!$B74),Setup!$B$29="Yes",ISNUMBER(Setup!$C$29)),EDATE(Roster!$B74,12*Setup!$C$29),"")</f>
        <v/>
      </c>
      <c r="L74" s="32" t="str">
        <f>IF(AND(ISNUMBER(Roster!$B74),Setup!$B$30="Yes",ISNUMBER(Setup!$C$30)),EDATE(Roster!$B74,12*Setup!$C$30),"")</f>
        <v/>
      </c>
      <c r="M74" s="32" t="str">
        <f>IF(AND(ISNUMBER(Roster!$B74),Setup!$B$31="Yes",ISNUMBER(Setup!$C$31)),EDATE(Roster!$B74,12*Setup!$C$31),"")</f>
        <v/>
      </c>
      <c r="N74" s="32" t="str">
        <f>IF(AND(ISNUMBER(Roster!$B74),Setup!$B$32="Yes",ISNUMBER(Setup!$C$32)),EDATE(Roster!$B74,12*Setup!$C$32),"")</f>
        <v/>
      </c>
      <c r="O74" s="32" t="str">
        <f>IF(AND(ISNUMBER(Roster!$B74),Setup!$B$33="Yes",ISNUMBER(Setup!$C$33)),EDATE(Roster!$B74,12*Setup!$C$33),"")</f>
        <v/>
      </c>
      <c r="P74" s="32" t="str">
        <f>IF(AND(ISNUMBER(Roster!$B74),Setup!$B$34="Yes",ISNUMBER(Setup!$C$34)),EDATE(Roster!$B74,12*Setup!$C$34),"")</f>
        <v/>
      </c>
      <c r="R74" t="str">
        <f>IF(B74="","",IF(B74&lt;Setup!$C$5-Setup!$C$6,"",IF(IF(ISNUMBER(Roster!$D74),Setup!$C$20&lt;=Roster!$D74,FALSE),"",IF(OR(IF(Setup!$C$15&lt;=Setup!$C$16,AND(MONTH(B74)&gt;=Setup!$C$15,MONTH(B74)&lt;=Setup!$C$16),OR(MONTH(B74)&gt;=Setup!$C$15,MONTH(B74)&lt;=Setup!$C$16)),IF(Setup!$C$15&lt;=Setup!$C$16,AND(MONTH(WORKDAY(B74,-(Setup!$C$13+Setup!$G$20),Setup!$C$39:$C$50))&gt;=Setup!$C$15,MONTH(WORKDAY(B74,-(Setup!$C$13+Setup!$G$20),Setup!$C$39:$C$50))&lt;=Setup!$C$16),OR(MONTH(WORKDAY(B74,-(Setup!$C$13+Setup!$G$20),Setup!$C$39:$C$50))&gt;=Setup!$C$15,MONTH(WORKDAY(B74,-(Setup!$C$13+Setup!$G$20),Setup!$C$39:$C$50))&lt;=Setup!$C$16))),WORKDAY(B74,-(Setup!$C$13+Setup!$G$20+Setup!$C$14),Setup!$C$39:$C$50),WORKDAY(B74,-(Setup!$C$13+Setup!$G$20),Setup!$C$39:$C$50))+(69*100+1)/10000000)))</f>
        <v/>
      </c>
      <c r="S74" t="str">
        <f>IF(C74="","",IF(C74&lt;Setup!$C$5-Setup!$C$6,"",IF(IF(ISNUMBER(Roster!$D74),Setup!$C$21&lt;=Roster!$D74,FALSE),"",IF(OR(IF(Setup!$C$15&lt;=Setup!$C$16,AND(MONTH(C74)&gt;=Setup!$C$15,MONTH(C74)&lt;=Setup!$C$16),OR(MONTH(C74)&gt;=Setup!$C$15,MONTH(C74)&lt;=Setup!$C$16)),IF(Setup!$C$15&lt;=Setup!$C$16,AND(MONTH(WORKDAY(C74,-(Setup!$C$13+Setup!$G$21),Setup!$C$39:$C$50))&gt;=Setup!$C$15,MONTH(WORKDAY(C74,-(Setup!$C$13+Setup!$G$21),Setup!$C$39:$C$50))&lt;=Setup!$C$16),OR(MONTH(WORKDAY(C74,-(Setup!$C$13+Setup!$G$21),Setup!$C$39:$C$50))&gt;=Setup!$C$15,MONTH(WORKDAY(C74,-(Setup!$C$13+Setup!$G$21),Setup!$C$39:$C$50))&lt;=Setup!$C$16))),WORKDAY(C74,-(Setup!$C$13+Setup!$G$21+Setup!$C$14),Setup!$C$39:$C$50),WORKDAY(C74,-(Setup!$C$13+Setup!$G$21),Setup!$C$39:$C$50))+(69*100+2)/10000000)))</f>
        <v/>
      </c>
      <c r="T74" t="str">
        <f>IF(D74="","",IF(D74&lt;Setup!$C$5-Setup!$C$6,"",IF(IF(ISNUMBER(Roster!$D74),Setup!$C$22&lt;=Roster!$D74,FALSE),"",IF(OR(IF(Setup!$C$15&lt;=Setup!$C$16,AND(MONTH(D74)&gt;=Setup!$C$15,MONTH(D74)&lt;=Setup!$C$16),OR(MONTH(D74)&gt;=Setup!$C$15,MONTH(D74)&lt;=Setup!$C$16)),IF(Setup!$C$15&lt;=Setup!$C$16,AND(MONTH(WORKDAY(D74,-(Setup!$C$13+Setup!$G$22),Setup!$C$39:$C$50))&gt;=Setup!$C$15,MONTH(WORKDAY(D74,-(Setup!$C$13+Setup!$G$22),Setup!$C$39:$C$50))&lt;=Setup!$C$16),OR(MONTH(WORKDAY(D74,-(Setup!$C$13+Setup!$G$22),Setup!$C$39:$C$50))&gt;=Setup!$C$15,MONTH(WORKDAY(D74,-(Setup!$C$13+Setup!$G$22),Setup!$C$39:$C$50))&lt;=Setup!$C$16))),WORKDAY(D74,-(Setup!$C$13+Setup!$G$22+Setup!$C$14),Setup!$C$39:$C$50),WORKDAY(D74,-(Setup!$C$13+Setup!$G$22),Setup!$C$39:$C$50))+(69*100+3)/10000000)))</f>
        <v/>
      </c>
      <c r="U74" t="str">
        <f>IF(E74="","",IF(E74&lt;Setup!$C$5-Setup!$C$6,"",IF(IF(ISNUMBER(Roster!$D74),Setup!$C$23&lt;=Roster!$D74,FALSE),"",IF(OR(IF(Setup!$C$15&lt;=Setup!$C$16,AND(MONTH(E74)&gt;=Setup!$C$15,MONTH(E74)&lt;=Setup!$C$16),OR(MONTH(E74)&gt;=Setup!$C$15,MONTH(E74)&lt;=Setup!$C$16)),IF(Setup!$C$15&lt;=Setup!$C$16,AND(MONTH(WORKDAY(E74,-(Setup!$C$13+Setup!$G$23),Setup!$C$39:$C$50))&gt;=Setup!$C$15,MONTH(WORKDAY(E74,-(Setup!$C$13+Setup!$G$23),Setup!$C$39:$C$50))&lt;=Setup!$C$16),OR(MONTH(WORKDAY(E74,-(Setup!$C$13+Setup!$G$23),Setup!$C$39:$C$50))&gt;=Setup!$C$15,MONTH(WORKDAY(E74,-(Setup!$C$13+Setup!$G$23),Setup!$C$39:$C$50))&lt;=Setup!$C$16))),WORKDAY(E74,-(Setup!$C$13+Setup!$G$23+Setup!$C$14),Setup!$C$39:$C$50),WORKDAY(E74,-(Setup!$C$13+Setup!$G$23),Setup!$C$39:$C$50))+(69*100+4)/10000000)))</f>
        <v/>
      </c>
      <c r="V74" t="str">
        <f>IF(F74="","",IF(F74&lt;Setup!$C$5-Setup!$C$6,"",IF(IF(ISNUMBER(Roster!$D74),Setup!$C$24&lt;=Roster!$D74,FALSE),"",IF(OR(IF(Setup!$C$15&lt;=Setup!$C$16,AND(MONTH(F74)&gt;=Setup!$C$15,MONTH(F74)&lt;=Setup!$C$16),OR(MONTH(F74)&gt;=Setup!$C$15,MONTH(F74)&lt;=Setup!$C$16)),IF(Setup!$C$15&lt;=Setup!$C$16,AND(MONTH(WORKDAY(F74,-(Setup!$C$13+Setup!$G$24),Setup!$C$39:$C$50))&gt;=Setup!$C$15,MONTH(WORKDAY(F74,-(Setup!$C$13+Setup!$G$24),Setup!$C$39:$C$50))&lt;=Setup!$C$16),OR(MONTH(WORKDAY(F74,-(Setup!$C$13+Setup!$G$24),Setup!$C$39:$C$50))&gt;=Setup!$C$15,MONTH(WORKDAY(F74,-(Setup!$C$13+Setup!$G$24),Setup!$C$39:$C$50))&lt;=Setup!$C$16))),WORKDAY(F74,-(Setup!$C$13+Setup!$G$24+Setup!$C$14),Setup!$C$39:$C$50),WORKDAY(F74,-(Setup!$C$13+Setup!$G$24),Setup!$C$39:$C$50))+(69*100+5)/10000000)))</f>
        <v/>
      </c>
      <c r="W74" t="str">
        <f>IF(G74="","",IF(G74&lt;Setup!$C$5-Setup!$C$6,"",IF(IF(ISNUMBER(Roster!$D74),Setup!$C$25&lt;=Roster!$D74,FALSE),"",IF(OR(IF(Setup!$C$15&lt;=Setup!$C$16,AND(MONTH(G74)&gt;=Setup!$C$15,MONTH(G74)&lt;=Setup!$C$16),OR(MONTH(G74)&gt;=Setup!$C$15,MONTH(G74)&lt;=Setup!$C$16)),IF(Setup!$C$15&lt;=Setup!$C$16,AND(MONTH(WORKDAY(G74,-(Setup!$C$13+Setup!$G$25),Setup!$C$39:$C$50))&gt;=Setup!$C$15,MONTH(WORKDAY(G74,-(Setup!$C$13+Setup!$G$25),Setup!$C$39:$C$50))&lt;=Setup!$C$16),OR(MONTH(WORKDAY(G74,-(Setup!$C$13+Setup!$G$25),Setup!$C$39:$C$50))&gt;=Setup!$C$15,MONTH(WORKDAY(G74,-(Setup!$C$13+Setup!$G$25),Setup!$C$39:$C$50))&lt;=Setup!$C$16))),WORKDAY(G74,-(Setup!$C$13+Setup!$G$25+Setup!$C$14),Setup!$C$39:$C$50),WORKDAY(G74,-(Setup!$C$13+Setup!$G$25),Setup!$C$39:$C$50))+(69*100+6)/10000000)))</f>
        <v/>
      </c>
      <c r="X74" t="str">
        <f>IF(H74="","",IF(H74&lt;Setup!$C$5-Setup!$C$6,"",IF(IF(ISNUMBER(Roster!$D74),Setup!$C$26&lt;=Roster!$D74,FALSE),"",IF(OR(IF(Setup!$C$15&lt;=Setup!$C$16,AND(MONTH(H74)&gt;=Setup!$C$15,MONTH(H74)&lt;=Setup!$C$16),OR(MONTH(H74)&gt;=Setup!$C$15,MONTH(H74)&lt;=Setup!$C$16)),IF(Setup!$C$15&lt;=Setup!$C$16,AND(MONTH(WORKDAY(H74,-(Setup!$C$13+Setup!$G$26),Setup!$C$39:$C$50))&gt;=Setup!$C$15,MONTH(WORKDAY(H74,-(Setup!$C$13+Setup!$G$26),Setup!$C$39:$C$50))&lt;=Setup!$C$16),OR(MONTH(WORKDAY(H74,-(Setup!$C$13+Setup!$G$26),Setup!$C$39:$C$50))&gt;=Setup!$C$15,MONTH(WORKDAY(H74,-(Setup!$C$13+Setup!$G$26),Setup!$C$39:$C$50))&lt;=Setup!$C$16))),WORKDAY(H74,-(Setup!$C$13+Setup!$G$26+Setup!$C$14),Setup!$C$39:$C$50),WORKDAY(H74,-(Setup!$C$13+Setup!$G$26),Setup!$C$39:$C$50))+(69*100+7)/10000000)))</f>
        <v/>
      </c>
      <c r="Y74" t="str">
        <f>IF(I74="","",IF(I74&lt;Setup!$C$5-Setup!$C$6,"",IF(IF(ISNUMBER(Roster!$D74),Setup!$C$27&lt;=Roster!$D74,FALSE),"",IF(OR(IF(Setup!$C$15&lt;=Setup!$C$16,AND(MONTH(I74)&gt;=Setup!$C$15,MONTH(I74)&lt;=Setup!$C$16),OR(MONTH(I74)&gt;=Setup!$C$15,MONTH(I74)&lt;=Setup!$C$16)),IF(Setup!$C$15&lt;=Setup!$C$16,AND(MONTH(WORKDAY(I74,-(Setup!$C$13+Setup!$G$27),Setup!$C$39:$C$50))&gt;=Setup!$C$15,MONTH(WORKDAY(I74,-(Setup!$C$13+Setup!$G$27),Setup!$C$39:$C$50))&lt;=Setup!$C$16),OR(MONTH(WORKDAY(I74,-(Setup!$C$13+Setup!$G$27),Setup!$C$39:$C$50))&gt;=Setup!$C$15,MONTH(WORKDAY(I74,-(Setup!$C$13+Setup!$G$27),Setup!$C$39:$C$50))&lt;=Setup!$C$16))),WORKDAY(I74,-(Setup!$C$13+Setup!$G$27+Setup!$C$14),Setup!$C$39:$C$50),WORKDAY(I74,-(Setup!$C$13+Setup!$G$27),Setup!$C$39:$C$50))+(69*100+8)/10000000)))</f>
        <v/>
      </c>
      <c r="Z74" t="str">
        <f>IF(J74="","",IF(J74&lt;Setup!$C$5-Setup!$C$6,"",IF(IF(ISNUMBER(Roster!$D74),Setup!$C$28&lt;=Roster!$D74,FALSE),"",IF(OR(IF(Setup!$C$15&lt;=Setup!$C$16,AND(MONTH(J74)&gt;=Setup!$C$15,MONTH(J74)&lt;=Setup!$C$16),OR(MONTH(J74)&gt;=Setup!$C$15,MONTH(J74)&lt;=Setup!$C$16)),IF(Setup!$C$15&lt;=Setup!$C$16,AND(MONTH(WORKDAY(J74,-(Setup!$C$13+Setup!$G$28),Setup!$C$39:$C$50))&gt;=Setup!$C$15,MONTH(WORKDAY(J74,-(Setup!$C$13+Setup!$G$28),Setup!$C$39:$C$50))&lt;=Setup!$C$16),OR(MONTH(WORKDAY(J74,-(Setup!$C$13+Setup!$G$28),Setup!$C$39:$C$50))&gt;=Setup!$C$15,MONTH(WORKDAY(J74,-(Setup!$C$13+Setup!$G$28),Setup!$C$39:$C$50))&lt;=Setup!$C$16))),WORKDAY(J74,-(Setup!$C$13+Setup!$G$28+Setup!$C$14),Setup!$C$39:$C$50),WORKDAY(J74,-(Setup!$C$13+Setup!$G$28),Setup!$C$39:$C$50))+(69*100+9)/10000000)))</f>
        <v/>
      </c>
      <c r="AA74" t="str">
        <f>IF(K74="","",IF(K74&lt;Setup!$C$5-Setup!$C$6,"",IF(IF(ISNUMBER(Roster!$D74),Setup!$C$29&lt;=Roster!$D74,FALSE),"",IF(OR(IF(Setup!$C$15&lt;=Setup!$C$16,AND(MONTH(K74)&gt;=Setup!$C$15,MONTH(K74)&lt;=Setup!$C$16),OR(MONTH(K74)&gt;=Setup!$C$15,MONTH(K74)&lt;=Setup!$C$16)),IF(Setup!$C$15&lt;=Setup!$C$16,AND(MONTH(WORKDAY(K74,-(Setup!$C$13+Setup!$G$29),Setup!$C$39:$C$50))&gt;=Setup!$C$15,MONTH(WORKDAY(K74,-(Setup!$C$13+Setup!$G$29),Setup!$C$39:$C$50))&lt;=Setup!$C$16),OR(MONTH(WORKDAY(K74,-(Setup!$C$13+Setup!$G$29),Setup!$C$39:$C$50))&gt;=Setup!$C$15,MONTH(WORKDAY(K74,-(Setup!$C$13+Setup!$G$29),Setup!$C$39:$C$50))&lt;=Setup!$C$16))),WORKDAY(K74,-(Setup!$C$13+Setup!$G$29+Setup!$C$14),Setup!$C$39:$C$50),WORKDAY(K74,-(Setup!$C$13+Setup!$G$29),Setup!$C$39:$C$50))+(69*100+10)/10000000)))</f>
        <v/>
      </c>
      <c r="AB74" t="str">
        <f>IF(L74="","",IF(L74&lt;Setup!$C$5-Setup!$C$6,"",IF(IF(ISNUMBER(Roster!$D74),Setup!$C$30&lt;=Roster!$D74,FALSE),"",IF(OR(IF(Setup!$C$15&lt;=Setup!$C$16,AND(MONTH(L74)&gt;=Setup!$C$15,MONTH(L74)&lt;=Setup!$C$16),OR(MONTH(L74)&gt;=Setup!$C$15,MONTH(L74)&lt;=Setup!$C$16)),IF(Setup!$C$15&lt;=Setup!$C$16,AND(MONTH(WORKDAY(L74,-(Setup!$C$13+Setup!$G$30),Setup!$C$39:$C$50))&gt;=Setup!$C$15,MONTH(WORKDAY(L74,-(Setup!$C$13+Setup!$G$30),Setup!$C$39:$C$50))&lt;=Setup!$C$16),OR(MONTH(WORKDAY(L74,-(Setup!$C$13+Setup!$G$30),Setup!$C$39:$C$50))&gt;=Setup!$C$15,MONTH(WORKDAY(L74,-(Setup!$C$13+Setup!$G$30),Setup!$C$39:$C$50))&lt;=Setup!$C$16))),WORKDAY(L74,-(Setup!$C$13+Setup!$G$30+Setup!$C$14),Setup!$C$39:$C$50),WORKDAY(L74,-(Setup!$C$13+Setup!$G$30),Setup!$C$39:$C$50))+(69*100+11)/10000000)))</f>
        <v/>
      </c>
      <c r="AC74" t="str">
        <f>IF(M74="","",IF(M74&lt;Setup!$C$5-Setup!$C$6,"",IF(IF(ISNUMBER(Roster!$D74),Setup!$C$31&lt;=Roster!$D74,FALSE),"",IF(OR(IF(Setup!$C$15&lt;=Setup!$C$16,AND(MONTH(M74)&gt;=Setup!$C$15,MONTH(M74)&lt;=Setup!$C$16),OR(MONTH(M74)&gt;=Setup!$C$15,MONTH(M74)&lt;=Setup!$C$16)),IF(Setup!$C$15&lt;=Setup!$C$16,AND(MONTH(WORKDAY(M74,-(Setup!$C$13+Setup!$G$31),Setup!$C$39:$C$50))&gt;=Setup!$C$15,MONTH(WORKDAY(M74,-(Setup!$C$13+Setup!$G$31),Setup!$C$39:$C$50))&lt;=Setup!$C$16),OR(MONTH(WORKDAY(M74,-(Setup!$C$13+Setup!$G$31),Setup!$C$39:$C$50))&gt;=Setup!$C$15,MONTH(WORKDAY(M74,-(Setup!$C$13+Setup!$G$31),Setup!$C$39:$C$50))&lt;=Setup!$C$16))),WORKDAY(M74,-(Setup!$C$13+Setup!$G$31+Setup!$C$14),Setup!$C$39:$C$50),WORKDAY(M74,-(Setup!$C$13+Setup!$G$31),Setup!$C$39:$C$50))+(69*100+12)/10000000)))</f>
        <v/>
      </c>
      <c r="AD74" t="str">
        <f>IF(N74="","",IF(N74&lt;Setup!$C$5-Setup!$C$6,"",IF(IF(ISNUMBER(Roster!$D74),Setup!$C$32&lt;=Roster!$D74,FALSE),"",IF(OR(IF(Setup!$C$15&lt;=Setup!$C$16,AND(MONTH(N74)&gt;=Setup!$C$15,MONTH(N74)&lt;=Setup!$C$16),OR(MONTH(N74)&gt;=Setup!$C$15,MONTH(N74)&lt;=Setup!$C$16)),IF(Setup!$C$15&lt;=Setup!$C$16,AND(MONTH(WORKDAY(N74,-(Setup!$C$13+Setup!$G$32),Setup!$C$39:$C$50))&gt;=Setup!$C$15,MONTH(WORKDAY(N74,-(Setup!$C$13+Setup!$G$32),Setup!$C$39:$C$50))&lt;=Setup!$C$16),OR(MONTH(WORKDAY(N74,-(Setup!$C$13+Setup!$G$32),Setup!$C$39:$C$50))&gt;=Setup!$C$15,MONTH(WORKDAY(N74,-(Setup!$C$13+Setup!$G$32),Setup!$C$39:$C$50))&lt;=Setup!$C$16))),WORKDAY(N74,-(Setup!$C$13+Setup!$G$32+Setup!$C$14),Setup!$C$39:$C$50),WORKDAY(N74,-(Setup!$C$13+Setup!$G$32),Setup!$C$39:$C$50))+(69*100+13)/10000000)))</f>
        <v/>
      </c>
      <c r="AE74" t="str">
        <f>IF(O74="","",IF(O74&lt;Setup!$C$5-Setup!$C$6,"",IF(IF(ISNUMBER(Roster!$D74),Setup!$C$33&lt;=Roster!$D74,FALSE),"",IF(OR(IF(Setup!$C$15&lt;=Setup!$C$16,AND(MONTH(O74)&gt;=Setup!$C$15,MONTH(O74)&lt;=Setup!$C$16),OR(MONTH(O74)&gt;=Setup!$C$15,MONTH(O74)&lt;=Setup!$C$16)),IF(Setup!$C$15&lt;=Setup!$C$16,AND(MONTH(WORKDAY(O74,-(Setup!$C$13+Setup!$G$33),Setup!$C$39:$C$50))&gt;=Setup!$C$15,MONTH(WORKDAY(O74,-(Setup!$C$13+Setup!$G$33),Setup!$C$39:$C$50))&lt;=Setup!$C$16),OR(MONTH(WORKDAY(O74,-(Setup!$C$13+Setup!$G$33),Setup!$C$39:$C$50))&gt;=Setup!$C$15,MONTH(WORKDAY(O74,-(Setup!$C$13+Setup!$G$33),Setup!$C$39:$C$50))&lt;=Setup!$C$16))),WORKDAY(O74,-(Setup!$C$13+Setup!$G$33+Setup!$C$14),Setup!$C$39:$C$50),WORKDAY(O74,-(Setup!$C$13+Setup!$G$33),Setup!$C$39:$C$50))+(69*100+14)/10000000)))</f>
        <v/>
      </c>
      <c r="AF74" t="str">
        <f>IF(P74="","",IF(P74&lt;Setup!$C$5-Setup!$C$6,"",IF(IF(ISNUMBER(Roster!$D74),Setup!$C$34&lt;=Roster!$D74,FALSE),"",IF(OR(IF(Setup!$C$15&lt;=Setup!$C$16,AND(MONTH(P74)&gt;=Setup!$C$15,MONTH(P74)&lt;=Setup!$C$16),OR(MONTH(P74)&gt;=Setup!$C$15,MONTH(P74)&lt;=Setup!$C$16)),IF(Setup!$C$15&lt;=Setup!$C$16,AND(MONTH(WORKDAY(P74,-(Setup!$C$13+Setup!$G$34),Setup!$C$39:$C$50))&gt;=Setup!$C$15,MONTH(WORKDAY(P74,-(Setup!$C$13+Setup!$G$34),Setup!$C$39:$C$50))&lt;=Setup!$C$16),OR(MONTH(WORKDAY(P74,-(Setup!$C$13+Setup!$G$34),Setup!$C$39:$C$50))&gt;=Setup!$C$15,MONTH(WORKDAY(P74,-(Setup!$C$13+Setup!$G$34),Setup!$C$39:$C$50))&lt;=Setup!$C$16))),WORKDAY(P74,-(Setup!$C$13+Setup!$G$34+Setup!$C$14),Setup!$C$39:$C$50),WORKDAY(P74,-(Setup!$C$13+Setup!$G$34),Setup!$C$39:$C$50))+(69*100+15)/10000000)))</f>
        <v/>
      </c>
      <c r="AH74" t="str">
        <f t="shared" si="9"/>
        <v/>
      </c>
      <c r="AI74" t="str">
        <f t="shared" si="10"/>
        <v/>
      </c>
      <c r="AK74" t="str">
        <f ca="1">IF(69&gt;$AK$2,"",SMALL($R$6:$AF$505,69))</f>
        <v/>
      </c>
      <c r="AL74" t="str">
        <f t="shared" ca="1" si="11"/>
        <v/>
      </c>
      <c r="AM74" t="str">
        <f t="shared" ca="1" si="12"/>
        <v/>
      </c>
      <c r="AN74" t="str">
        <f t="shared" ca="1" si="13"/>
        <v/>
      </c>
      <c r="AP74" t="str">
        <f>IF(ISNUMBER(Roster!$B74),MAX(1,YEAR(Setup!$C$5)-YEAR(Roster!$B74)+IF(EDATE(Roster!$B74,12*(YEAR(Setup!$C$5)-YEAR(Roster!$B74)))&lt;Setup!$C$5,1,0)),"")</f>
        <v/>
      </c>
      <c r="AQ74" s="32" t="str">
        <f>IF(AP74="","",EDATE(Roster!$B74,12*AP74))</f>
        <v/>
      </c>
      <c r="AR74" t="str">
        <f>IF(AQ74="","",IF(AQ74&lt;DATE(YEAR(Setup!$C$5)+1,MONTH(Setup!$C$5),DAY(Setup!$C$5)),AQ74+69/1000,""))</f>
        <v/>
      </c>
      <c r="AS74" t="str">
        <f t="shared" si="14"/>
        <v/>
      </c>
      <c r="AT74" t="str">
        <f>IF(AS74="","",IF(ISNUMBER(Roster!$D74),Roster!$D74&gt;=AP74,FALSE))</f>
        <v/>
      </c>
      <c r="AU74" t="str">
        <f t="shared" si="15"/>
        <v/>
      </c>
      <c r="AV74" t="str">
        <f ca="1">IF(69&gt;$AV$2,"",SMALL($AR$6:$AR$505,69))</f>
        <v/>
      </c>
      <c r="AW74" t="str">
        <f t="shared" ca="1" si="16"/>
        <v/>
      </c>
    </row>
    <row r="75" spans="2:49" x14ac:dyDescent="0.2">
      <c r="B75" s="32" t="str">
        <f>IF(AND(ISNUMBER(Roster!$B75),Setup!$B$20="Yes",ISNUMBER(Setup!$C$20)),EDATE(Roster!$B75,12*Setup!$C$20),"")</f>
        <v/>
      </c>
      <c r="C75" s="32" t="str">
        <f>IF(AND(ISNUMBER(Roster!$B75),Setup!$B$21="Yes",ISNUMBER(Setup!$C$21)),EDATE(Roster!$B75,12*Setup!$C$21),"")</f>
        <v/>
      </c>
      <c r="D75" s="32" t="str">
        <f>IF(AND(ISNUMBER(Roster!$B75),Setup!$B$22="Yes",ISNUMBER(Setup!$C$22)),EDATE(Roster!$B75,12*Setup!$C$22),"")</f>
        <v/>
      </c>
      <c r="E75" s="32" t="str">
        <f>IF(AND(ISNUMBER(Roster!$B75),Setup!$B$23="Yes",ISNUMBER(Setup!$C$23)),EDATE(Roster!$B75,12*Setup!$C$23),"")</f>
        <v/>
      </c>
      <c r="F75" s="32" t="str">
        <f>IF(AND(ISNUMBER(Roster!$B75),Setup!$B$24="Yes",ISNUMBER(Setup!$C$24)),EDATE(Roster!$B75,12*Setup!$C$24),"")</f>
        <v/>
      </c>
      <c r="G75" s="32" t="str">
        <f>IF(AND(ISNUMBER(Roster!$B75),Setup!$B$25="Yes",ISNUMBER(Setup!$C$25)),EDATE(Roster!$B75,12*Setup!$C$25),"")</f>
        <v/>
      </c>
      <c r="H75" s="32" t="str">
        <f>IF(AND(ISNUMBER(Roster!$B75),Setup!$B$26="Yes",ISNUMBER(Setup!$C$26)),EDATE(Roster!$B75,12*Setup!$C$26),"")</f>
        <v/>
      </c>
      <c r="I75" s="32" t="str">
        <f>IF(AND(ISNUMBER(Roster!$B75),Setup!$B$27="Yes",ISNUMBER(Setup!$C$27)),EDATE(Roster!$B75,12*Setup!$C$27),"")</f>
        <v/>
      </c>
      <c r="J75" s="32" t="str">
        <f>IF(AND(ISNUMBER(Roster!$B75),Setup!$B$28="Yes",ISNUMBER(Setup!$C$28)),EDATE(Roster!$B75,12*Setup!$C$28),"")</f>
        <v/>
      </c>
      <c r="K75" s="32" t="str">
        <f>IF(AND(ISNUMBER(Roster!$B75),Setup!$B$29="Yes",ISNUMBER(Setup!$C$29)),EDATE(Roster!$B75,12*Setup!$C$29),"")</f>
        <v/>
      </c>
      <c r="L75" s="32" t="str">
        <f>IF(AND(ISNUMBER(Roster!$B75),Setup!$B$30="Yes",ISNUMBER(Setup!$C$30)),EDATE(Roster!$B75,12*Setup!$C$30),"")</f>
        <v/>
      </c>
      <c r="M75" s="32" t="str">
        <f>IF(AND(ISNUMBER(Roster!$B75),Setup!$B$31="Yes",ISNUMBER(Setup!$C$31)),EDATE(Roster!$B75,12*Setup!$C$31),"")</f>
        <v/>
      </c>
      <c r="N75" s="32" t="str">
        <f>IF(AND(ISNUMBER(Roster!$B75),Setup!$B$32="Yes",ISNUMBER(Setup!$C$32)),EDATE(Roster!$B75,12*Setup!$C$32),"")</f>
        <v/>
      </c>
      <c r="O75" s="32" t="str">
        <f>IF(AND(ISNUMBER(Roster!$B75),Setup!$B$33="Yes",ISNUMBER(Setup!$C$33)),EDATE(Roster!$B75,12*Setup!$C$33),"")</f>
        <v/>
      </c>
      <c r="P75" s="32" t="str">
        <f>IF(AND(ISNUMBER(Roster!$B75),Setup!$B$34="Yes",ISNUMBER(Setup!$C$34)),EDATE(Roster!$B75,12*Setup!$C$34),"")</f>
        <v/>
      </c>
      <c r="R75" t="str">
        <f>IF(B75="","",IF(B75&lt;Setup!$C$5-Setup!$C$6,"",IF(IF(ISNUMBER(Roster!$D75),Setup!$C$20&lt;=Roster!$D75,FALSE),"",IF(OR(IF(Setup!$C$15&lt;=Setup!$C$16,AND(MONTH(B75)&gt;=Setup!$C$15,MONTH(B75)&lt;=Setup!$C$16),OR(MONTH(B75)&gt;=Setup!$C$15,MONTH(B75)&lt;=Setup!$C$16)),IF(Setup!$C$15&lt;=Setup!$C$16,AND(MONTH(WORKDAY(B75,-(Setup!$C$13+Setup!$G$20),Setup!$C$39:$C$50))&gt;=Setup!$C$15,MONTH(WORKDAY(B75,-(Setup!$C$13+Setup!$G$20),Setup!$C$39:$C$50))&lt;=Setup!$C$16),OR(MONTH(WORKDAY(B75,-(Setup!$C$13+Setup!$G$20),Setup!$C$39:$C$50))&gt;=Setup!$C$15,MONTH(WORKDAY(B75,-(Setup!$C$13+Setup!$G$20),Setup!$C$39:$C$50))&lt;=Setup!$C$16))),WORKDAY(B75,-(Setup!$C$13+Setup!$G$20+Setup!$C$14),Setup!$C$39:$C$50),WORKDAY(B75,-(Setup!$C$13+Setup!$G$20),Setup!$C$39:$C$50))+(70*100+1)/10000000)))</f>
        <v/>
      </c>
      <c r="S75" t="str">
        <f>IF(C75="","",IF(C75&lt;Setup!$C$5-Setup!$C$6,"",IF(IF(ISNUMBER(Roster!$D75),Setup!$C$21&lt;=Roster!$D75,FALSE),"",IF(OR(IF(Setup!$C$15&lt;=Setup!$C$16,AND(MONTH(C75)&gt;=Setup!$C$15,MONTH(C75)&lt;=Setup!$C$16),OR(MONTH(C75)&gt;=Setup!$C$15,MONTH(C75)&lt;=Setup!$C$16)),IF(Setup!$C$15&lt;=Setup!$C$16,AND(MONTH(WORKDAY(C75,-(Setup!$C$13+Setup!$G$21),Setup!$C$39:$C$50))&gt;=Setup!$C$15,MONTH(WORKDAY(C75,-(Setup!$C$13+Setup!$G$21),Setup!$C$39:$C$50))&lt;=Setup!$C$16),OR(MONTH(WORKDAY(C75,-(Setup!$C$13+Setup!$G$21),Setup!$C$39:$C$50))&gt;=Setup!$C$15,MONTH(WORKDAY(C75,-(Setup!$C$13+Setup!$G$21),Setup!$C$39:$C$50))&lt;=Setup!$C$16))),WORKDAY(C75,-(Setup!$C$13+Setup!$G$21+Setup!$C$14),Setup!$C$39:$C$50),WORKDAY(C75,-(Setup!$C$13+Setup!$G$21),Setup!$C$39:$C$50))+(70*100+2)/10000000)))</f>
        <v/>
      </c>
      <c r="T75" t="str">
        <f>IF(D75="","",IF(D75&lt;Setup!$C$5-Setup!$C$6,"",IF(IF(ISNUMBER(Roster!$D75),Setup!$C$22&lt;=Roster!$D75,FALSE),"",IF(OR(IF(Setup!$C$15&lt;=Setup!$C$16,AND(MONTH(D75)&gt;=Setup!$C$15,MONTH(D75)&lt;=Setup!$C$16),OR(MONTH(D75)&gt;=Setup!$C$15,MONTH(D75)&lt;=Setup!$C$16)),IF(Setup!$C$15&lt;=Setup!$C$16,AND(MONTH(WORKDAY(D75,-(Setup!$C$13+Setup!$G$22),Setup!$C$39:$C$50))&gt;=Setup!$C$15,MONTH(WORKDAY(D75,-(Setup!$C$13+Setup!$G$22),Setup!$C$39:$C$50))&lt;=Setup!$C$16),OR(MONTH(WORKDAY(D75,-(Setup!$C$13+Setup!$G$22),Setup!$C$39:$C$50))&gt;=Setup!$C$15,MONTH(WORKDAY(D75,-(Setup!$C$13+Setup!$G$22),Setup!$C$39:$C$50))&lt;=Setup!$C$16))),WORKDAY(D75,-(Setup!$C$13+Setup!$G$22+Setup!$C$14),Setup!$C$39:$C$50),WORKDAY(D75,-(Setup!$C$13+Setup!$G$22),Setup!$C$39:$C$50))+(70*100+3)/10000000)))</f>
        <v/>
      </c>
      <c r="U75" t="str">
        <f>IF(E75="","",IF(E75&lt;Setup!$C$5-Setup!$C$6,"",IF(IF(ISNUMBER(Roster!$D75),Setup!$C$23&lt;=Roster!$D75,FALSE),"",IF(OR(IF(Setup!$C$15&lt;=Setup!$C$16,AND(MONTH(E75)&gt;=Setup!$C$15,MONTH(E75)&lt;=Setup!$C$16),OR(MONTH(E75)&gt;=Setup!$C$15,MONTH(E75)&lt;=Setup!$C$16)),IF(Setup!$C$15&lt;=Setup!$C$16,AND(MONTH(WORKDAY(E75,-(Setup!$C$13+Setup!$G$23),Setup!$C$39:$C$50))&gt;=Setup!$C$15,MONTH(WORKDAY(E75,-(Setup!$C$13+Setup!$G$23),Setup!$C$39:$C$50))&lt;=Setup!$C$16),OR(MONTH(WORKDAY(E75,-(Setup!$C$13+Setup!$G$23),Setup!$C$39:$C$50))&gt;=Setup!$C$15,MONTH(WORKDAY(E75,-(Setup!$C$13+Setup!$G$23),Setup!$C$39:$C$50))&lt;=Setup!$C$16))),WORKDAY(E75,-(Setup!$C$13+Setup!$G$23+Setup!$C$14),Setup!$C$39:$C$50),WORKDAY(E75,-(Setup!$C$13+Setup!$G$23),Setup!$C$39:$C$50))+(70*100+4)/10000000)))</f>
        <v/>
      </c>
      <c r="V75" t="str">
        <f>IF(F75="","",IF(F75&lt;Setup!$C$5-Setup!$C$6,"",IF(IF(ISNUMBER(Roster!$D75),Setup!$C$24&lt;=Roster!$D75,FALSE),"",IF(OR(IF(Setup!$C$15&lt;=Setup!$C$16,AND(MONTH(F75)&gt;=Setup!$C$15,MONTH(F75)&lt;=Setup!$C$16),OR(MONTH(F75)&gt;=Setup!$C$15,MONTH(F75)&lt;=Setup!$C$16)),IF(Setup!$C$15&lt;=Setup!$C$16,AND(MONTH(WORKDAY(F75,-(Setup!$C$13+Setup!$G$24),Setup!$C$39:$C$50))&gt;=Setup!$C$15,MONTH(WORKDAY(F75,-(Setup!$C$13+Setup!$G$24),Setup!$C$39:$C$50))&lt;=Setup!$C$16),OR(MONTH(WORKDAY(F75,-(Setup!$C$13+Setup!$G$24),Setup!$C$39:$C$50))&gt;=Setup!$C$15,MONTH(WORKDAY(F75,-(Setup!$C$13+Setup!$G$24),Setup!$C$39:$C$50))&lt;=Setup!$C$16))),WORKDAY(F75,-(Setup!$C$13+Setup!$G$24+Setup!$C$14),Setup!$C$39:$C$50),WORKDAY(F75,-(Setup!$C$13+Setup!$G$24),Setup!$C$39:$C$50))+(70*100+5)/10000000)))</f>
        <v/>
      </c>
      <c r="W75" t="str">
        <f>IF(G75="","",IF(G75&lt;Setup!$C$5-Setup!$C$6,"",IF(IF(ISNUMBER(Roster!$D75),Setup!$C$25&lt;=Roster!$D75,FALSE),"",IF(OR(IF(Setup!$C$15&lt;=Setup!$C$16,AND(MONTH(G75)&gt;=Setup!$C$15,MONTH(G75)&lt;=Setup!$C$16),OR(MONTH(G75)&gt;=Setup!$C$15,MONTH(G75)&lt;=Setup!$C$16)),IF(Setup!$C$15&lt;=Setup!$C$16,AND(MONTH(WORKDAY(G75,-(Setup!$C$13+Setup!$G$25),Setup!$C$39:$C$50))&gt;=Setup!$C$15,MONTH(WORKDAY(G75,-(Setup!$C$13+Setup!$G$25),Setup!$C$39:$C$50))&lt;=Setup!$C$16),OR(MONTH(WORKDAY(G75,-(Setup!$C$13+Setup!$G$25),Setup!$C$39:$C$50))&gt;=Setup!$C$15,MONTH(WORKDAY(G75,-(Setup!$C$13+Setup!$G$25),Setup!$C$39:$C$50))&lt;=Setup!$C$16))),WORKDAY(G75,-(Setup!$C$13+Setup!$G$25+Setup!$C$14),Setup!$C$39:$C$50),WORKDAY(G75,-(Setup!$C$13+Setup!$G$25),Setup!$C$39:$C$50))+(70*100+6)/10000000)))</f>
        <v/>
      </c>
      <c r="X75" t="str">
        <f>IF(H75="","",IF(H75&lt;Setup!$C$5-Setup!$C$6,"",IF(IF(ISNUMBER(Roster!$D75),Setup!$C$26&lt;=Roster!$D75,FALSE),"",IF(OR(IF(Setup!$C$15&lt;=Setup!$C$16,AND(MONTH(H75)&gt;=Setup!$C$15,MONTH(H75)&lt;=Setup!$C$16),OR(MONTH(H75)&gt;=Setup!$C$15,MONTH(H75)&lt;=Setup!$C$16)),IF(Setup!$C$15&lt;=Setup!$C$16,AND(MONTH(WORKDAY(H75,-(Setup!$C$13+Setup!$G$26),Setup!$C$39:$C$50))&gt;=Setup!$C$15,MONTH(WORKDAY(H75,-(Setup!$C$13+Setup!$G$26),Setup!$C$39:$C$50))&lt;=Setup!$C$16),OR(MONTH(WORKDAY(H75,-(Setup!$C$13+Setup!$G$26),Setup!$C$39:$C$50))&gt;=Setup!$C$15,MONTH(WORKDAY(H75,-(Setup!$C$13+Setup!$G$26),Setup!$C$39:$C$50))&lt;=Setup!$C$16))),WORKDAY(H75,-(Setup!$C$13+Setup!$G$26+Setup!$C$14),Setup!$C$39:$C$50),WORKDAY(H75,-(Setup!$C$13+Setup!$G$26),Setup!$C$39:$C$50))+(70*100+7)/10000000)))</f>
        <v/>
      </c>
      <c r="Y75" t="str">
        <f>IF(I75="","",IF(I75&lt;Setup!$C$5-Setup!$C$6,"",IF(IF(ISNUMBER(Roster!$D75),Setup!$C$27&lt;=Roster!$D75,FALSE),"",IF(OR(IF(Setup!$C$15&lt;=Setup!$C$16,AND(MONTH(I75)&gt;=Setup!$C$15,MONTH(I75)&lt;=Setup!$C$16),OR(MONTH(I75)&gt;=Setup!$C$15,MONTH(I75)&lt;=Setup!$C$16)),IF(Setup!$C$15&lt;=Setup!$C$16,AND(MONTH(WORKDAY(I75,-(Setup!$C$13+Setup!$G$27),Setup!$C$39:$C$50))&gt;=Setup!$C$15,MONTH(WORKDAY(I75,-(Setup!$C$13+Setup!$G$27),Setup!$C$39:$C$50))&lt;=Setup!$C$16),OR(MONTH(WORKDAY(I75,-(Setup!$C$13+Setup!$G$27),Setup!$C$39:$C$50))&gt;=Setup!$C$15,MONTH(WORKDAY(I75,-(Setup!$C$13+Setup!$G$27),Setup!$C$39:$C$50))&lt;=Setup!$C$16))),WORKDAY(I75,-(Setup!$C$13+Setup!$G$27+Setup!$C$14),Setup!$C$39:$C$50),WORKDAY(I75,-(Setup!$C$13+Setup!$G$27),Setup!$C$39:$C$50))+(70*100+8)/10000000)))</f>
        <v/>
      </c>
      <c r="Z75" t="str">
        <f>IF(J75="","",IF(J75&lt;Setup!$C$5-Setup!$C$6,"",IF(IF(ISNUMBER(Roster!$D75),Setup!$C$28&lt;=Roster!$D75,FALSE),"",IF(OR(IF(Setup!$C$15&lt;=Setup!$C$16,AND(MONTH(J75)&gt;=Setup!$C$15,MONTH(J75)&lt;=Setup!$C$16),OR(MONTH(J75)&gt;=Setup!$C$15,MONTH(J75)&lt;=Setup!$C$16)),IF(Setup!$C$15&lt;=Setup!$C$16,AND(MONTH(WORKDAY(J75,-(Setup!$C$13+Setup!$G$28),Setup!$C$39:$C$50))&gt;=Setup!$C$15,MONTH(WORKDAY(J75,-(Setup!$C$13+Setup!$G$28),Setup!$C$39:$C$50))&lt;=Setup!$C$16),OR(MONTH(WORKDAY(J75,-(Setup!$C$13+Setup!$G$28),Setup!$C$39:$C$50))&gt;=Setup!$C$15,MONTH(WORKDAY(J75,-(Setup!$C$13+Setup!$G$28),Setup!$C$39:$C$50))&lt;=Setup!$C$16))),WORKDAY(J75,-(Setup!$C$13+Setup!$G$28+Setup!$C$14),Setup!$C$39:$C$50),WORKDAY(J75,-(Setup!$C$13+Setup!$G$28),Setup!$C$39:$C$50))+(70*100+9)/10000000)))</f>
        <v/>
      </c>
      <c r="AA75" t="str">
        <f>IF(K75="","",IF(K75&lt;Setup!$C$5-Setup!$C$6,"",IF(IF(ISNUMBER(Roster!$D75),Setup!$C$29&lt;=Roster!$D75,FALSE),"",IF(OR(IF(Setup!$C$15&lt;=Setup!$C$16,AND(MONTH(K75)&gt;=Setup!$C$15,MONTH(K75)&lt;=Setup!$C$16),OR(MONTH(K75)&gt;=Setup!$C$15,MONTH(K75)&lt;=Setup!$C$16)),IF(Setup!$C$15&lt;=Setup!$C$16,AND(MONTH(WORKDAY(K75,-(Setup!$C$13+Setup!$G$29),Setup!$C$39:$C$50))&gt;=Setup!$C$15,MONTH(WORKDAY(K75,-(Setup!$C$13+Setup!$G$29),Setup!$C$39:$C$50))&lt;=Setup!$C$16),OR(MONTH(WORKDAY(K75,-(Setup!$C$13+Setup!$G$29),Setup!$C$39:$C$50))&gt;=Setup!$C$15,MONTH(WORKDAY(K75,-(Setup!$C$13+Setup!$G$29),Setup!$C$39:$C$50))&lt;=Setup!$C$16))),WORKDAY(K75,-(Setup!$C$13+Setup!$G$29+Setup!$C$14),Setup!$C$39:$C$50),WORKDAY(K75,-(Setup!$C$13+Setup!$G$29),Setup!$C$39:$C$50))+(70*100+10)/10000000)))</f>
        <v/>
      </c>
      <c r="AB75" t="str">
        <f>IF(L75="","",IF(L75&lt;Setup!$C$5-Setup!$C$6,"",IF(IF(ISNUMBER(Roster!$D75),Setup!$C$30&lt;=Roster!$D75,FALSE),"",IF(OR(IF(Setup!$C$15&lt;=Setup!$C$16,AND(MONTH(L75)&gt;=Setup!$C$15,MONTH(L75)&lt;=Setup!$C$16),OR(MONTH(L75)&gt;=Setup!$C$15,MONTH(L75)&lt;=Setup!$C$16)),IF(Setup!$C$15&lt;=Setup!$C$16,AND(MONTH(WORKDAY(L75,-(Setup!$C$13+Setup!$G$30),Setup!$C$39:$C$50))&gt;=Setup!$C$15,MONTH(WORKDAY(L75,-(Setup!$C$13+Setup!$G$30),Setup!$C$39:$C$50))&lt;=Setup!$C$16),OR(MONTH(WORKDAY(L75,-(Setup!$C$13+Setup!$G$30),Setup!$C$39:$C$50))&gt;=Setup!$C$15,MONTH(WORKDAY(L75,-(Setup!$C$13+Setup!$G$30),Setup!$C$39:$C$50))&lt;=Setup!$C$16))),WORKDAY(L75,-(Setup!$C$13+Setup!$G$30+Setup!$C$14),Setup!$C$39:$C$50),WORKDAY(L75,-(Setup!$C$13+Setup!$G$30),Setup!$C$39:$C$50))+(70*100+11)/10000000)))</f>
        <v/>
      </c>
      <c r="AC75" t="str">
        <f>IF(M75="","",IF(M75&lt;Setup!$C$5-Setup!$C$6,"",IF(IF(ISNUMBER(Roster!$D75),Setup!$C$31&lt;=Roster!$D75,FALSE),"",IF(OR(IF(Setup!$C$15&lt;=Setup!$C$16,AND(MONTH(M75)&gt;=Setup!$C$15,MONTH(M75)&lt;=Setup!$C$16),OR(MONTH(M75)&gt;=Setup!$C$15,MONTH(M75)&lt;=Setup!$C$16)),IF(Setup!$C$15&lt;=Setup!$C$16,AND(MONTH(WORKDAY(M75,-(Setup!$C$13+Setup!$G$31),Setup!$C$39:$C$50))&gt;=Setup!$C$15,MONTH(WORKDAY(M75,-(Setup!$C$13+Setup!$G$31),Setup!$C$39:$C$50))&lt;=Setup!$C$16),OR(MONTH(WORKDAY(M75,-(Setup!$C$13+Setup!$G$31),Setup!$C$39:$C$50))&gt;=Setup!$C$15,MONTH(WORKDAY(M75,-(Setup!$C$13+Setup!$G$31),Setup!$C$39:$C$50))&lt;=Setup!$C$16))),WORKDAY(M75,-(Setup!$C$13+Setup!$G$31+Setup!$C$14),Setup!$C$39:$C$50),WORKDAY(M75,-(Setup!$C$13+Setup!$G$31),Setup!$C$39:$C$50))+(70*100+12)/10000000)))</f>
        <v/>
      </c>
      <c r="AD75" t="str">
        <f>IF(N75="","",IF(N75&lt;Setup!$C$5-Setup!$C$6,"",IF(IF(ISNUMBER(Roster!$D75),Setup!$C$32&lt;=Roster!$D75,FALSE),"",IF(OR(IF(Setup!$C$15&lt;=Setup!$C$16,AND(MONTH(N75)&gt;=Setup!$C$15,MONTH(N75)&lt;=Setup!$C$16),OR(MONTH(N75)&gt;=Setup!$C$15,MONTH(N75)&lt;=Setup!$C$16)),IF(Setup!$C$15&lt;=Setup!$C$16,AND(MONTH(WORKDAY(N75,-(Setup!$C$13+Setup!$G$32),Setup!$C$39:$C$50))&gt;=Setup!$C$15,MONTH(WORKDAY(N75,-(Setup!$C$13+Setup!$G$32),Setup!$C$39:$C$50))&lt;=Setup!$C$16),OR(MONTH(WORKDAY(N75,-(Setup!$C$13+Setup!$G$32),Setup!$C$39:$C$50))&gt;=Setup!$C$15,MONTH(WORKDAY(N75,-(Setup!$C$13+Setup!$G$32),Setup!$C$39:$C$50))&lt;=Setup!$C$16))),WORKDAY(N75,-(Setup!$C$13+Setup!$G$32+Setup!$C$14),Setup!$C$39:$C$50),WORKDAY(N75,-(Setup!$C$13+Setup!$G$32),Setup!$C$39:$C$50))+(70*100+13)/10000000)))</f>
        <v/>
      </c>
      <c r="AE75" t="str">
        <f>IF(O75="","",IF(O75&lt;Setup!$C$5-Setup!$C$6,"",IF(IF(ISNUMBER(Roster!$D75),Setup!$C$33&lt;=Roster!$D75,FALSE),"",IF(OR(IF(Setup!$C$15&lt;=Setup!$C$16,AND(MONTH(O75)&gt;=Setup!$C$15,MONTH(O75)&lt;=Setup!$C$16),OR(MONTH(O75)&gt;=Setup!$C$15,MONTH(O75)&lt;=Setup!$C$16)),IF(Setup!$C$15&lt;=Setup!$C$16,AND(MONTH(WORKDAY(O75,-(Setup!$C$13+Setup!$G$33),Setup!$C$39:$C$50))&gt;=Setup!$C$15,MONTH(WORKDAY(O75,-(Setup!$C$13+Setup!$G$33),Setup!$C$39:$C$50))&lt;=Setup!$C$16),OR(MONTH(WORKDAY(O75,-(Setup!$C$13+Setup!$G$33),Setup!$C$39:$C$50))&gt;=Setup!$C$15,MONTH(WORKDAY(O75,-(Setup!$C$13+Setup!$G$33),Setup!$C$39:$C$50))&lt;=Setup!$C$16))),WORKDAY(O75,-(Setup!$C$13+Setup!$G$33+Setup!$C$14),Setup!$C$39:$C$50),WORKDAY(O75,-(Setup!$C$13+Setup!$G$33),Setup!$C$39:$C$50))+(70*100+14)/10000000)))</f>
        <v/>
      </c>
      <c r="AF75" t="str">
        <f>IF(P75="","",IF(P75&lt;Setup!$C$5-Setup!$C$6,"",IF(IF(ISNUMBER(Roster!$D75),Setup!$C$34&lt;=Roster!$D75,FALSE),"",IF(OR(IF(Setup!$C$15&lt;=Setup!$C$16,AND(MONTH(P75)&gt;=Setup!$C$15,MONTH(P75)&lt;=Setup!$C$16),OR(MONTH(P75)&gt;=Setup!$C$15,MONTH(P75)&lt;=Setup!$C$16)),IF(Setup!$C$15&lt;=Setup!$C$16,AND(MONTH(WORKDAY(P75,-(Setup!$C$13+Setup!$G$34),Setup!$C$39:$C$50))&gt;=Setup!$C$15,MONTH(WORKDAY(P75,-(Setup!$C$13+Setup!$G$34),Setup!$C$39:$C$50))&lt;=Setup!$C$16),OR(MONTH(WORKDAY(P75,-(Setup!$C$13+Setup!$G$34),Setup!$C$39:$C$50))&gt;=Setup!$C$15,MONTH(WORKDAY(P75,-(Setup!$C$13+Setup!$G$34),Setup!$C$39:$C$50))&lt;=Setup!$C$16))),WORKDAY(P75,-(Setup!$C$13+Setup!$G$34+Setup!$C$14),Setup!$C$39:$C$50),WORKDAY(P75,-(Setup!$C$13+Setup!$G$34),Setup!$C$39:$C$50))+(70*100+15)/10000000)))</f>
        <v/>
      </c>
      <c r="AH75" t="str">
        <f t="shared" si="9"/>
        <v/>
      </c>
      <c r="AI75" t="str">
        <f t="shared" si="10"/>
        <v/>
      </c>
      <c r="AK75" t="str">
        <f ca="1">IF(70&gt;$AK$2,"",SMALL($R$6:$AF$505,70))</f>
        <v/>
      </c>
      <c r="AL75" t="str">
        <f t="shared" ca="1" si="11"/>
        <v/>
      </c>
      <c r="AM75" t="str">
        <f t="shared" ca="1" si="12"/>
        <v/>
      </c>
      <c r="AN75" t="str">
        <f t="shared" ca="1" si="13"/>
        <v/>
      </c>
      <c r="AP75" t="str">
        <f>IF(ISNUMBER(Roster!$B75),MAX(1,YEAR(Setup!$C$5)-YEAR(Roster!$B75)+IF(EDATE(Roster!$B75,12*(YEAR(Setup!$C$5)-YEAR(Roster!$B75)))&lt;Setup!$C$5,1,0)),"")</f>
        <v/>
      </c>
      <c r="AQ75" s="32" t="str">
        <f>IF(AP75="","",EDATE(Roster!$B75,12*AP75))</f>
        <v/>
      </c>
      <c r="AR75" t="str">
        <f>IF(AQ75="","",IF(AQ75&lt;DATE(YEAR(Setup!$C$5)+1,MONTH(Setup!$C$5),DAY(Setup!$C$5)),AQ75+70/1000,""))</f>
        <v/>
      </c>
      <c r="AS75" t="str">
        <f t="shared" si="14"/>
        <v/>
      </c>
      <c r="AT75" t="str">
        <f>IF(AS75="","",IF(ISNUMBER(Roster!$D75),Roster!$D75&gt;=AP75,FALSE))</f>
        <v/>
      </c>
      <c r="AU75" t="str">
        <f t="shared" si="15"/>
        <v/>
      </c>
      <c r="AV75" t="str">
        <f ca="1">IF(70&gt;$AV$2,"",SMALL($AR$6:$AR$505,70))</f>
        <v/>
      </c>
      <c r="AW75" t="str">
        <f t="shared" ca="1" si="16"/>
        <v/>
      </c>
    </row>
    <row r="76" spans="2:49" x14ac:dyDescent="0.2">
      <c r="B76" s="32" t="str">
        <f>IF(AND(ISNUMBER(Roster!$B76),Setup!$B$20="Yes",ISNUMBER(Setup!$C$20)),EDATE(Roster!$B76,12*Setup!$C$20),"")</f>
        <v/>
      </c>
      <c r="C76" s="32" t="str">
        <f>IF(AND(ISNUMBER(Roster!$B76),Setup!$B$21="Yes",ISNUMBER(Setup!$C$21)),EDATE(Roster!$B76,12*Setup!$C$21),"")</f>
        <v/>
      </c>
      <c r="D76" s="32" t="str">
        <f>IF(AND(ISNUMBER(Roster!$B76),Setup!$B$22="Yes",ISNUMBER(Setup!$C$22)),EDATE(Roster!$B76,12*Setup!$C$22),"")</f>
        <v/>
      </c>
      <c r="E76" s="32" t="str">
        <f>IF(AND(ISNUMBER(Roster!$B76),Setup!$B$23="Yes",ISNUMBER(Setup!$C$23)),EDATE(Roster!$B76,12*Setup!$C$23),"")</f>
        <v/>
      </c>
      <c r="F76" s="32" t="str">
        <f>IF(AND(ISNUMBER(Roster!$B76),Setup!$B$24="Yes",ISNUMBER(Setup!$C$24)),EDATE(Roster!$B76,12*Setup!$C$24),"")</f>
        <v/>
      </c>
      <c r="G76" s="32" t="str">
        <f>IF(AND(ISNUMBER(Roster!$B76),Setup!$B$25="Yes",ISNUMBER(Setup!$C$25)),EDATE(Roster!$B76,12*Setup!$C$25),"")</f>
        <v/>
      </c>
      <c r="H76" s="32" t="str">
        <f>IF(AND(ISNUMBER(Roster!$B76),Setup!$B$26="Yes",ISNUMBER(Setup!$C$26)),EDATE(Roster!$B76,12*Setup!$C$26),"")</f>
        <v/>
      </c>
      <c r="I76" s="32" t="str">
        <f>IF(AND(ISNUMBER(Roster!$B76),Setup!$B$27="Yes",ISNUMBER(Setup!$C$27)),EDATE(Roster!$B76,12*Setup!$C$27),"")</f>
        <v/>
      </c>
      <c r="J76" s="32" t="str">
        <f>IF(AND(ISNUMBER(Roster!$B76),Setup!$B$28="Yes",ISNUMBER(Setup!$C$28)),EDATE(Roster!$B76,12*Setup!$C$28),"")</f>
        <v/>
      </c>
      <c r="K76" s="32" t="str">
        <f>IF(AND(ISNUMBER(Roster!$B76),Setup!$B$29="Yes",ISNUMBER(Setup!$C$29)),EDATE(Roster!$B76,12*Setup!$C$29),"")</f>
        <v/>
      </c>
      <c r="L76" s="32" t="str">
        <f>IF(AND(ISNUMBER(Roster!$B76),Setup!$B$30="Yes",ISNUMBER(Setup!$C$30)),EDATE(Roster!$B76,12*Setup!$C$30),"")</f>
        <v/>
      </c>
      <c r="M76" s="32" t="str">
        <f>IF(AND(ISNUMBER(Roster!$B76),Setup!$B$31="Yes",ISNUMBER(Setup!$C$31)),EDATE(Roster!$B76,12*Setup!$C$31),"")</f>
        <v/>
      </c>
      <c r="N76" s="32" t="str">
        <f>IF(AND(ISNUMBER(Roster!$B76),Setup!$B$32="Yes",ISNUMBER(Setup!$C$32)),EDATE(Roster!$B76,12*Setup!$C$32),"")</f>
        <v/>
      </c>
      <c r="O76" s="32" t="str">
        <f>IF(AND(ISNUMBER(Roster!$B76),Setup!$B$33="Yes",ISNUMBER(Setup!$C$33)),EDATE(Roster!$B76,12*Setup!$C$33),"")</f>
        <v/>
      </c>
      <c r="P76" s="32" t="str">
        <f>IF(AND(ISNUMBER(Roster!$B76),Setup!$B$34="Yes",ISNUMBER(Setup!$C$34)),EDATE(Roster!$B76,12*Setup!$C$34),"")</f>
        <v/>
      </c>
      <c r="R76" t="str">
        <f>IF(B76="","",IF(B76&lt;Setup!$C$5-Setup!$C$6,"",IF(IF(ISNUMBER(Roster!$D76),Setup!$C$20&lt;=Roster!$D76,FALSE),"",IF(OR(IF(Setup!$C$15&lt;=Setup!$C$16,AND(MONTH(B76)&gt;=Setup!$C$15,MONTH(B76)&lt;=Setup!$C$16),OR(MONTH(B76)&gt;=Setup!$C$15,MONTH(B76)&lt;=Setup!$C$16)),IF(Setup!$C$15&lt;=Setup!$C$16,AND(MONTH(WORKDAY(B76,-(Setup!$C$13+Setup!$G$20),Setup!$C$39:$C$50))&gt;=Setup!$C$15,MONTH(WORKDAY(B76,-(Setup!$C$13+Setup!$G$20),Setup!$C$39:$C$50))&lt;=Setup!$C$16),OR(MONTH(WORKDAY(B76,-(Setup!$C$13+Setup!$G$20),Setup!$C$39:$C$50))&gt;=Setup!$C$15,MONTH(WORKDAY(B76,-(Setup!$C$13+Setup!$G$20),Setup!$C$39:$C$50))&lt;=Setup!$C$16))),WORKDAY(B76,-(Setup!$C$13+Setup!$G$20+Setup!$C$14),Setup!$C$39:$C$50),WORKDAY(B76,-(Setup!$C$13+Setup!$G$20),Setup!$C$39:$C$50))+(71*100+1)/10000000)))</f>
        <v/>
      </c>
      <c r="S76" t="str">
        <f>IF(C76="","",IF(C76&lt;Setup!$C$5-Setup!$C$6,"",IF(IF(ISNUMBER(Roster!$D76),Setup!$C$21&lt;=Roster!$D76,FALSE),"",IF(OR(IF(Setup!$C$15&lt;=Setup!$C$16,AND(MONTH(C76)&gt;=Setup!$C$15,MONTH(C76)&lt;=Setup!$C$16),OR(MONTH(C76)&gt;=Setup!$C$15,MONTH(C76)&lt;=Setup!$C$16)),IF(Setup!$C$15&lt;=Setup!$C$16,AND(MONTH(WORKDAY(C76,-(Setup!$C$13+Setup!$G$21),Setup!$C$39:$C$50))&gt;=Setup!$C$15,MONTH(WORKDAY(C76,-(Setup!$C$13+Setup!$G$21),Setup!$C$39:$C$50))&lt;=Setup!$C$16),OR(MONTH(WORKDAY(C76,-(Setup!$C$13+Setup!$G$21),Setup!$C$39:$C$50))&gt;=Setup!$C$15,MONTH(WORKDAY(C76,-(Setup!$C$13+Setup!$G$21),Setup!$C$39:$C$50))&lt;=Setup!$C$16))),WORKDAY(C76,-(Setup!$C$13+Setup!$G$21+Setup!$C$14),Setup!$C$39:$C$50),WORKDAY(C76,-(Setup!$C$13+Setup!$G$21),Setup!$C$39:$C$50))+(71*100+2)/10000000)))</f>
        <v/>
      </c>
      <c r="T76" t="str">
        <f>IF(D76="","",IF(D76&lt;Setup!$C$5-Setup!$C$6,"",IF(IF(ISNUMBER(Roster!$D76),Setup!$C$22&lt;=Roster!$D76,FALSE),"",IF(OR(IF(Setup!$C$15&lt;=Setup!$C$16,AND(MONTH(D76)&gt;=Setup!$C$15,MONTH(D76)&lt;=Setup!$C$16),OR(MONTH(D76)&gt;=Setup!$C$15,MONTH(D76)&lt;=Setup!$C$16)),IF(Setup!$C$15&lt;=Setup!$C$16,AND(MONTH(WORKDAY(D76,-(Setup!$C$13+Setup!$G$22),Setup!$C$39:$C$50))&gt;=Setup!$C$15,MONTH(WORKDAY(D76,-(Setup!$C$13+Setup!$G$22),Setup!$C$39:$C$50))&lt;=Setup!$C$16),OR(MONTH(WORKDAY(D76,-(Setup!$C$13+Setup!$G$22),Setup!$C$39:$C$50))&gt;=Setup!$C$15,MONTH(WORKDAY(D76,-(Setup!$C$13+Setup!$G$22),Setup!$C$39:$C$50))&lt;=Setup!$C$16))),WORKDAY(D76,-(Setup!$C$13+Setup!$G$22+Setup!$C$14),Setup!$C$39:$C$50),WORKDAY(D76,-(Setup!$C$13+Setup!$G$22),Setup!$C$39:$C$50))+(71*100+3)/10000000)))</f>
        <v/>
      </c>
      <c r="U76" t="str">
        <f>IF(E76="","",IF(E76&lt;Setup!$C$5-Setup!$C$6,"",IF(IF(ISNUMBER(Roster!$D76),Setup!$C$23&lt;=Roster!$D76,FALSE),"",IF(OR(IF(Setup!$C$15&lt;=Setup!$C$16,AND(MONTH(E76)&gt;=Setup!$C$15,MONTH(E76)&lt;=Setup!$C$16),OR(MONTH(E76)&gt;=Setup!$C$15,MONTH(E76)&lt;=Setup!$C$16)),IF(Setup!$C$15&lt;=Setup!$C$16,AND(MONTH(WORKDAY(E76,-(Setup!$C$13+Setup!$G$23),Setup!$C$39:$C$50))&gt;=Setup!$C$15,MONTH(WORKDAY(E76,-(Setup!$C$13+Setup!$G$23),Setup!$C$39:$C$50))&lt;=Setup!$C$16),OR(MONTH(WORKDAY(E76,-(Setup!$C$13+Setup!$G$23),Setup!$C$39:$C$50))&gt;=Setup!$C$15,MONTH(WORKDAY(E76,-(Setup!$C$13+Setup!$G$23),Setup!$C$39:$C$50))&lt;=Setup!$C$16))),WORKDAY(E76,-(Setup!$C$13+Setup!$G$23+Setup!$C$14),Setup!$C$39:$C$50),WORKDAY(E76,-(Setup!$C$13+Setup!$G$23),Setup!$C$39:$C$50))+(71*100+4)/10000000)))</f>
        <v/>
      </c>
      <c r="V76" t="str">
        <f>IF(F76="","",IF(F76&lt;Setup!$C$5-Setup!$C$6,"",IF(IF(ISNUMBER(Roster!$D76),Setup!$C$24&lt;=Roster!$D76,FALSE),"",IF(OR(IF(Setup!$C$15&lt;=Setup!$C$16,AND(MONTH(F76)&gt;=Setup!$C$15,MONTH(F76)&lt;=Setup!$C$16),OR(MONTH(F76)&gt;=Setup!$C$15,MONTH(F76)&lt;=Setup!$C$16)),IF(Setup!$C$15&lt;=Setup!$C$16,AND(MONTH(WORKDAY(F76,-(Setup!$C$13+Setup!$G$24),Setup!$C$39:$C$50))&gt;=Setup!$C$15,MONTH(WORKDAY(F76,-(Setup!$C$13+Setup!$G$24),Setup!$C$39:$C$50))&lt;=Setup!$C$16),OR(MONTH(WORKDAY(F76,-(Setup!$C$13+Setup!$G$24),Setup!$C$39:$C$50))&gt;=Setup!$C$15,MONTH(WORKDAY(F76,-(Setup!$C$13+Setup!$G$24),Setup!$C$39:$C$50))&lt;=Setup!$C$16))),WORKDAY(F76,-(Setup!$C$13+Setup!$G$24+Setup!$C$14),Setup!$C$39:$C$50),WORKDAY(F76,-(Setup!$C$13+Setup!$G$24),Setup!$C$39:$C$50))+(71*100+5)/10000000)))</f>
        <v/>
      </c>
      <c r="W76" t="str">
        <f>IF(G76="","",IF(G76&lt;Setup!$C$5-Setup!$C$6,"",IF(IF(ISNUMBER(Roster!$D76),Setup!$C$25&lt;=Roster!$D76,FALSE),"",IF(OR(IF(Setup!$C$15&lt;=Setup!$C$16,AND(MONTH(G76)&gt;=Setup!$C$15,MONTH(G76)&lt;=Setup!$C$16),OR(MONTH(G76)&gt;=Setup!$C$15,MONTH(G76)&lt;=Setup!$C$16)),IF(Setup!$C$15&lt;=Setup!$C$16,AND(MONTH(WORKDAY(G76,-(Setup!$C$13+Setup!$G$25),Setup!$C$39:$C$50))&gt;=Setup!$C$15,MONTH(WORKDAY(G76,-(Setup!$C$13+Setup!$G$25),Setup!$C$39:$C$50))&lt;=Setup!$C$16),OR(MONTH(WORKDAY(G76,-(Setup!$C$13+Setup!$G$25),Setup!$C$39:$C$50))&gt;=Setup!$C$15,MONTH(WORKDAY(G76,-(Setup!$C$13+Setup!$G$25),Setup!$C$39:$C$50))&lt;=Setup!$C$16))),WORKDAY(G76,-(Setup!$C$13+Setup!$G$25+Setup!$C$14),Setup!$C$39:$C$50),WORKDAY(G76,-(Setup!$C$13+Setup!$G$25),Setup!$C$39:$C$50))+(71*100+6)/10000000)))</f>
        <v/>
      </c>
      <c r="X76" t="str">
        <f>IF(H76="","",IF(H76&lt;Setup!$C$5-Setup!$C$6,"",IF(IF(ISNUMBER(Roster!$D76),Setup!$C$26&lt;=Roster!$D76,FALSE),"",IF(OR(IF(Setup!$C$15&lt;=Setup!$C$16,AND(MONTH(H76)&gt;=Setup!$C$15,MONTH(H76)&lt;=Setup!$C$16),OR(MONTH(H76)&gt;=Setup!$C$15,MONTH(H76)&lt;=Setup!$C$16)),IF(Setup!$C$15&lt;=Setup!$C$16,AND(MONTH(WORKDAY(H76,-(Setup!$C$13+Setup!$G$26),Setup!$C$39:$C$50))&gt;=Setup!$C$15,MONTH(WORKDAY(H76,-(Setup!$C$13+Setup!$G$26),Setup!$C$39:$C$50))&lt;=Setup!$C$16),OR(MONTH(WORKDAY(H76,-(Setup!$C$13+Setup!$G$26),Setup!$C$39:$C$50))&gt;=Setup!$C$15,MONTH(WORKDAY(H76,-(Setup!$C$13+Setup!$G$26),Setup!$C$39:$C$50))&lt;=Setup!$C$16))),WORKDAY(H76,-(Setup!$C$13+Setup!$G$26+Setup!$C$14),Setup!$C$39:$C$50),WORKDAY(H76,-(Setup!$C$13+Setup!$G$26),Setup!$C$39:$C$50))+(71*100+7)/10000000)))</f>
        <v/>
      </c>
      <c r="Y76" t="str">
        <f>IF(I76="","",IF(I76&lt;Setup!$C$5-Setup!$C$6,"",IF(IF(ISNUMBER(Roster!$D76),Setup!$C$27&lt;=Roster!$D76,FALSE),"",IF(OR(IF(Setup!$C$15&lt;=Setup!$C$16,AND(MONTH(I76)&gt;=Setup!$C$15,MONTH(I76)&lt;=Setup!$C$16),OR(MONTH(I76)&gt;=Setup!$C$15,MONTH(I76)&lt;=Setup!$C$16)),IF(Setup!$C$15&lt;=Setup!$C$16,AND(MONTH(WORKDAY(I76,-(Setup!$C$13+Setup!$G$27),Setup!$C$39:$C$50))&gt;=Setup!$C$15,MONTH(WORKDAY(I76,-(Setup!$C$13+Setup!$G$27),Setup!$C$39:$C$50))&lt;=Setup!$C$16),OR(MONTH(WORKDAY(I76,-(Setup!$C$13+Setup!$G$27),Setup!$C$39:$C$50))&gt;=Setup!$C$15,MONTH(WORKDAY(I76,-(Setup!$C$13+Setup!$G$27),Setup!$C$39:$C$50))&lt;=Setup!$C$16))),WORKDAY(I76,-(Setup!$C$13+Setup!$G$27+Setup!$C$14),Setup!$C$39:$C$50),WORKDAY(I76,-(Setup!$C$13+Setup!$G$27),Setup!$C$39:$C$50))+(71*100+8)/10000000)))</f>
        <v/>
      </c>
      <c r="Z76" t="str">
        <f>IF(J76="","",IF(J76&lt;Setup!$C$5-Setup!$C$6,"",IF(IF(ISNUMBER(Roster!$D76),Setup!$C$28&lt;=Roster!$D76,FALSE),"",IF(OR(IF(Setup!$C$15&lt;=Setup!$C$16,AND(MONTH(J76)&gt;=Setup!$C$15,MONTH(J76)&lt;=Setup!$C$16),OR(MONTH(J76)&gt;=Setup!$C$15,MONTH(J76)&lt;=Setup!$C$16)),IF(Setup!$C$15&lt;=Setup!$C$16,AND(MONTH(WORKDAY(J76,-(Setup!$C$13+Setup!$G$28),Setup!$C$39:$C$50))&gt;=Setup!$C$15,MONTH(WORKDAY(J76,-(Setup!$C$13+Setup!$G$28),Setup!$C$39:$C$50))&lt;=Setup!$C$16),OR(MONTH(WORKDAY(J76,-(Setup!$C$13+Setup!$G$28),Setup!$C$39:$C$50))&gt;=Setup!$C$15,MONTH(WORKDAY(J76,-(Setup!$C$13+Setup!$G$28),Setup!$C$39:$C$50))&lt;=Setup!$C$16))),WORKDAY(J76,-(Setup!$C$13+Setup!$G$28+Setup!$C$14),Setup!$C$39:$C$50),WORKDAY(J76,-(Setup!$C$13+Setup!$G$28),Setup!$C$39:$C$50))+(71*100+9)/10000000)))</f>
        <v/>
      </c>
      <c r="AA76" t="str">
        <f>IF(K76="","",IF(K76&lt;Setup!$C$5-Setup!$C$6,"",IF(IF(ISNUMBER(Roster!$D76),Setup!$C$29&lt;=Roster!$D76,FALSE),"",IF(OR(IF(Setup!$C$15&lt;=Setup!$C$16,AND(MONTH(K76)&gt;=Setup!$C$15,MONTH(K76)&lt;=Setup!$C$16),OR(MONTH(K76)&gt;=Setup!$C$15,MONTH(K76)&lt;=Setup!$C$16)),IF(Setup!$C$15&lt;=Setup!$C$16,AND(MONTH(WORKDAY(K76,-(Setup!$C$13+Setup!$G$29),Setup!$C$39:$C$50))&gt;=Setup!$C$15,MONTH(WORKDAY(K76,-(Setup!$C$13+Setup!$G$29),Setup!$C$39:$C$50))&lt;=Setup!$C$16),OR(MONTH(WORKDAY(K76,-(Setup!$C$13+Setup!$G$29),Setup!$C$39:$C$50))&gt;=Setup!$C$15,MONTH(WORKDAY(K76,-(Setup!$C$13+Setup!$G$29),Setup!$C$39:$C$50))&lt;=Setup!$C$16))),WORKDAY(K76,-(Setup!$C$13+Setup!$G$29+Setup!$C$14),Setup!$C$39:$C$50),WORKDAY(K76,-(Setup!$C$13+Setup!$G$29),Setup!$C$39:$C$50))+(71*100+10)/10000000)))</f>
        <v/>
      </c>
      <c r="AB76" t="str">
        <f>IF(L76="","",IF(L76&lt;Setup!$C$5-Setup!$C$6,"",IF(IF(ISNUMBER(Roster!$D76),Setup!$C$30&lt;=Roster!$D76,FALSE),"",IF(OR(IF(Setup!$C$15&lt;=Setup!$C$16,AND(MONTH(L76)&gt;=Setup!$C$15,MONTH(L76)&lt;=Setup!$C$16),OR(MONTH(L76)&gt;=Setup!$C$15,MONTH(L76)&lt;=Setup!$C$16)),IF(Setup!$C$15&lt;=Setup!$C$16,AND(MONTH(WORKDAY(L76,-(Setup!$C$13+Setup!$G$30),Setup!$C$39:$C$50))&gt;=Setup!$C$15,MONTH(WORKDAY(L76,-(Setup!$C$13+Setup!$G$30),Setup!$C$39:$C$50))&lt;=Setup!$C$16),OR(MONTH(WORKDAY(L76,-(Setup!$C$13+Setup!$G$30),Setup!$C$39:$C$50))&gt;=Setup!$C$15,MONTH(WORKDAY(L76,-(Setup!$C$13+Setup!$G$30),Setup!$C$39:$C$50))&lt;=Setup!$C$16))),WORKDAY(L76,-(Setup!$C$13+Setup!$G$30+Setup!$C$14),Setup!$C$39:$C$50),WORKDAY(L76,-(Setup!$C$13+Setup!$G$30),Setup!$C$39:$C$50))+(71*100+11)/10000000)))</f>
        <v/>
      </c>
      <c r="AC76" t="str">
        <f>IF(M76="","",IF(M76&lt;Setup!$C$5-Setup!$C$6,"",IF(IF(ISNUMBER(Roster!$D76),Setup!$C$31&lt;=Roster!$D76,FALSE),"",IF(OR(IF(Setup!$C$15&lt;=Setup!$C$16,AND(MONTH(M76)&gt;=Setup!$C$15,MONTH(M76)&lt;=Setup!$C$16),OR(MONTH(M76)&gt;=Setup!$C$15,MONTH(M76)&lt;=Setup!$C$16)),IF(Setup!$C$15&lt;=Setup!$C$16,AND(MONTH(WORKDAY(M76,-(Setup!$C$13+Setup!$G$31),Setup!$C$39:$C$50))&gt;=Setup!$C$15,MONTH(WORKDAY(M76,-(Setup!$C$13+Setup!$G$31),Setup!$C$39:$C$50))&lt;=Setup!$C$16),OR(MONTH(WORKDAY(M76,-(Setup!$C$13+Setup!$G$31),Setup!$C$39:$C$50))&gt;=Setup!$C$15,MONTH(WORKDAY(M76,-(Setup!$C$13+Setup!$G$31),Setup!$C$39:$C$50))&lt;=Setup!$C$16))),WORKDAY(M76,-(Setup!$C$13+Setup!$G$31+Setup!$C$14),Setup!$C$39:$C$50),WORKDAY(M76,-(Setup!$C$13+Setup!$G$31),Setup!$C$39:$C$50))+(71*100+12)/10000000)))</f>
        <v/>
      </c>
      <c r="AD76" t="str">
        <f>IF(N76="","",IF(N76&lt;Setup!$C$5-Setup!$C$6,"",IF(IF(ISNUMBER(Roster!$D76),Setup!$C$32&lt;=Roster!$D76,FALSE),"",IF(OR(IF(Setup!$C$15&lt;=Setup!$C$16,AND(MONTH(N76)&gt;=Setup!$C$15,MONTH(N76)&lt;=Setup!$C$16),OR(MONTH(N76)&gt;=Setup!$C$15,MONTH(N76)&lt;=Setup!$C$16)),IF(Setup!$C$15&lt;=Setup!$C$16,AND(MONTH(WORKDAY(N76,-(Setup!$C$13+Setup!$G$32),Setup!$C$39:$C$50))&gt;=Setup!$C$15,MONTH(WORKDAY(N76,-(Setup!$C$13+Setup!$G$32),Setup!$C$39:$C$50))&lt;=Setup!$C$16),OR(MONTH(WORKDAY(N76,-(Setup!$C$13+Setup!$G$32),Setup!$C$39:$C$50))&gt;=Setup!$C$15,MONTH(WORKDAY(N76,-(Setup!$C$13+Setup!$G$32),Setup!$C$39:$C$50))&lt;=Setup!$C$16))),WORKDAY(N76,-(Setup!$C$13+Setup!$G$32+Setup!$C$14),Setup!$C$39:$C$50),WORKDAY(N76,-(Setup!$C$13+Setup!$G$32),Setup!$C$39:$C$50))+(71*100+13)/10000000)))</f>
        <v/>
      </c>
      <c r="AE76" t="str">
        <f>IF(O76="","",IF(O76&lt;Setup!$C$5-Setup!$C$6,"",IF(IF(ISNUMBER(Roster!$D76),Setup!$C$33&lt;=Roster!$D76,FALSE),"",IF(OR(IF(Setup!$C$15&lt;=Setup!$C$16,AND(MONTH(O76)&gt;=Setup!$C$15,MONTH(O76)&lt;=Setup!$C$16),OR(MONTH(O76)&gt;=Setup!$C$15,MONTH(O76)&lt;=Setup!$C$16)),IF(Setup!$C$15&lt;=Setup!$C$16,AND(MONTH(WORKDAY(O76,-(Setup!$C$13+Setup!$G$33),Setup!$C$39:$C$50))&gt;=Setup!$C$15,MONTH(WORKDAY(O76,-(Setup!$C$13+Setup!$G$33),Setup!$C$39:$C$50))&lt;=Setup!$C$16),OR(MONTH(WORKDAY(O76,-(Setup!$C$13+Setup!$G$33),Setup!$C$39:$C$50))&gt;=Setup!$C$15,MONTH(WORKDAY(O76,-(Setup!$C$13+Setup!$G$33),Setup!$C$39:$C$50))&lt;=Setup!$C$16))),WORKDAY(O76,-(Setup!$C$13+Setup!$G$33+Setup!$C$14),Setup!$C$39:$C$50),WORKDAY(O76,-(Setup!$C$13+Setup!$G$33),Setup!$C$39:$C$50))+(71*100+14)/10000000)))</f>
        <v/>
      </c>
      <c r="AF76" t="str">
        <f>IF(P76="","",IF(P76&lt;Setup!$C$5-Setup!$C$6,"",IF(IF(ISNUMBER(Roster!$D76),Setup!$C$34&lt;=Roster!$D76,FALSE),"",IF(OR(IF(Setup!$C$15&lt;=Setup!$C$16,AND(MONTH(P76)&gt;=Setup!$C$15,MONTH(P76)&lt;=Setup!$C$16),OR(MONTH(P76)&gt;=Setup!$C$15,MONTH(P76)&lt;=Setup!$C$16)),IF(Setup!$C$15&lt;=Setup!$C$16,AND(MONTH(WORKDAY(P76,-(Setup!$C$13+Setup!$G$34),Setup!$C$39:$C$50))&gt;=Setup!$C$15,MONTH(WORKDAY(P76,-(Setup!$C$13+Setup!$G$34),Setup!$C$39:$C$50))&lt;=Setup!$C$16),OR(MONTH(WORKDAY(P76,-(Setup!$C$13+Setup!$G$34),Setup!$C$39:$C$50))&gt;=Setup!$C$15,MONTH(WORKDAY(P76,-(Setup!$C$13+Setup!$G$34),Setup!$C$39:$C$50))&lt;=Setup!$C$16))),WORKDAY(P76,-(Setup!$C$13+Setup!$G$34+Setup!$C$14),Setup!$C$39:$C$50),WORKDAY(P76,-(Setup!$C$13+Setup!$G$34),Setup!$C$39:$C$50))+(71*100+15)/10000000)))</f>
        <v/>
      </c>
      <c r="AH76" t="str">
        <f t="shared" si="9"/>
        <v/>
      </c>
      <c r="AI76" t="str">
        <f t="shared" si="10"/>
        <v/>
      </c>
      <c r="AK76" t="str">
        <f ca="1">IF(71&gt;$AK$2,"",SMALL($R$6:$AF$505,71))</f>
        <v/>
      </c>
      <c r="AL76" t="str">
        <f t="shared" ca="1" si="11"/>
        <v/>
      </c>
      <c r="AM76" t="str">
        <f t="shared" ca="1" si="12"/>
        <v/>
      </c>
      <c r="AN76" t="str">
        <f t="shared" ca="1" si="13"/>
        <v/>
      </c>
      <c r="AP76" t="str">
        <f>IF(ISNUMBER(Roster!$B76),MAX(1,YEAR(Setup!$C$5)-YEAR(Roster!$B76)+IF(EDATE(Roster!$B76,12*(YEAR(Setup!$C$5)-YEAR(Roster!$B76)))&lt;Setup!$C$5,1,0)),"")</f>
        <v/>
      </c>
      <c r="AQ76" s="32" t="str">
        <f>IF(AP76="","",EDATE(Roster!$B76,12*AP76))</f>
        <v/>
      </c>
      <c r="AR76" t="str">
        <f>IF(AQ76="","",IF(AQ76&lt;DATE(YEAR(Setup!$C$5)+1,MONTH(Setup!$C$5),DAY(Setup!$C$5)),AQ76+71/1000,""))</f>
        <v/>
      </c>
      <c r="AS76" t="str">
        <f t="shared" si="14"/>
        <v/>
      </c>
      <c r="AT76" t="str">
        <f>IF(AS76="","",IF(ISNUMBER(Roster!$D76),Roster!$D76&gt;=AP76,FALSE))</f>
        <v/>
      </c>
      <c r="AU76" t="str">
        <f t="shared" si="15"/>
        <v/>
      </c>
      <c r="AV76" t="str">
        <f ca="1">IF(71&gt;$AV$2,"",SMALL($AR$6:$AR$505,71))</f>
        <v/>
      </c>
      <c r="AW76" t="str">
        <f t="shared" ca="1" si="16"/>
        <v/>
      </c>
    </row>
    <row r="77" spans="2:49" x14ac:dyDescent="0.2">
      <c r="B77" s="32" t="str">
        <f>IF(AND(ISNUMBER(Roster!$B77),Setup!$B$20="Yes",ISNUMBER(Setup!$C$20)),EDATE(Roster!$B77,12*Setup!$C$20),"")</f>
        <v/>
      </c>
      <c r="C77" s="32" t="str">
        <f>IF(AND(ISNUMBER(Roster!$B77),Setup!$B$21="Yes",ISNUMBER(Setup!$C$21)),EDATE(Roster!$B77,12*Setup!$C$21),"")</f>
        <v/>
      </c>
      <c r="D77" s="32" t="str">
        <f>IF(AND(ISNUMBER(Roster!$B77),Setup!$B$22="Yes",ISNUMBER(Setup!$C$22)),EDATE(Roster!$B77,12*Setup!$C$22),"")</f>
        <v/>
      </c>
      <c r="E77" s="32" t="str">
        <f>IF(AND(ISNUMBER(Roster!$B77),Setup!$B$23="Yes",ISNUMBER(Setup!$C$23)),EDATE(Roster!$B77,12*Setup!$C$23),"")</f>
        <v/>
      </c>
      <c r="F77" s="32" t="str">
        <f>IF(AND(ISNUMBER(Roster!$B77),Setup!$B$24="Yes",ISNUMBER(Setup!$C$24)),EDATE(Roster!$B77,12*Setup!$C$24),"")</f>
        <v/>
      </c>
      <c r="G77" s="32" t="str">
        <f>IF(AND(ISNUMBER(Roster!$B77),Setup!$B$25="Yes",ISNUMBER(Setup!$C$25)),EDATE(Roster!$B77,12*Setup!$C$25),"")</f>
        <v/>
      </c>
      <c r="H77" s="32" t="str">
        <f>IF(AND(ISNUMBER(Roster!$B77),Setup!$B$26="Yes",ISNUMBER(Setup!$C$26)),EDATE(Roster!$B77,12*Setup!$C$26),"")</f>
        <v/>
      </c>
      <c r="I77" s="32" t="str">
        <f>IF(AND(ISNUMBER(Roster!$B77),Setup!$B$27="Yes",ISNUMBER(Setup!$C$27)),EDATE(Roster!$B77,12*Setup!$C$27),"")</f>
        <v/>
      </c>
      <c r="J77" s="32" t="str">
        <f>IF(AND(ISNUMBER(Roster!$B77),Setup!$B$28="Yes",ISNUMBER(Setup!$C$28)),EDATE(Roster!$B77,12*Setup!$C$28),"")</f>
        <v/>
      </c>
      <c r="K77" s="32" t="str">
        <f>IF(AND(ISNUMBER(Roster!$B77),Setup!$B$29="Yes",ISNUMBER(Setup!$C$29)),EDATE(Roster!$B77,12*Setup!$C$29),"")</f>
        <v/>
      </c>
      <c r="L77" s="32" t="str">
        <f>IF(AND(ISNUMBER(Roster!$B77),Setup!$B$30="Yes",ISNUMBER(Setup!$C$30)),EDATE(Roster!$B77,12*Setup!$C$30),"")</f>
        <v/>
      </c>
      <c r="M77" s="32" t="str">
        <f>IF(AND(ISNUMBER(Roster!$B77),Setup!$B$31="Yes",ISNUMBER(Setup!$C$31)),EDATE(Roster!$B77,12*Setup!$C$31),"")</f>
        <v/>
      </c>
      <c r="N77" s="32" t="str">
        <f>IF(AND(ISNUMBER(Roster!$B77),Setup!$B$32="Yes",ISNUMBER(Setup!$C$32)),EDATE(Roster!$B77,12*Setup!$C$32),"")</f>
        <v/>
      </c>
      <c r="O77" s="32" t="str">
        <f>IF(AND(ISNUMBER(Roster!$B77),Setup!$B$33="Yes",ISNUMBER(Setup!$C$33)),EDATE(Roster!$B77,12*Setup!$C$33),"")</f>
        <v/>
      </c>
      <c r="P77" s="32" t="str">
        <f>IF(AND(ISNUMBER(Roster!$B77),Setup!$B$34="Yes",ISNUMBER(Setup!$C$34)),EDATE(Roster!$B77,12*Setup!$C$34),"")</f>
        <v/>
      </c>
      <c r="R77" t="str">
        <f>IF(B77="","",IF(B77&lt;Setup!$C$5-Setup!$C$6,"",IF(IF(ISNUMBER(Roster!$D77),Setup!$C$20&lt;=Roster!$D77,FALSE),"",IF(OR(IF(Setup!$C$15&lt;=Setup!$C$16,AND(MONTH(B77)&gt;=Setup!$C$15,MONTH(B77)&lt;=Setup!$C$16),OR(MONTH(B77)&gt;=Setup!$C$15,MONTH(B77)&lt;=Setup!$C$16)),IF(Setup!$C$15&lt;=Setup!$C$16,AND(MONTH(WORKDAY(B77,-(Setup!$C$13+Setup!$G$20),Setup!$C$39:$C$50))&gt;=Setup!$C$15,MONTH(WORKDAY(B77,-(Setup!$C$13+Setup!$G$20),Setup!$C$39:$C$50))&lt;=Setup!$C$16),OR(MONTH(WORKDAY(B77,-(Setup!$C$13+Setup!$G$20),Setup!$C$39:$C$50))&gt;=Setup!$C$15,MONTH(WORKDAY(B77,-(Setup!$C$13+Setup!$G$20),Setup!$C$39:$C$50))&lt;=Setup!$C$16))),WORKDAY(B77,-(Setup!$C$13+Setup!$G$20+Setup!$C$14),Setup!$C$39:$C$50),WORKDAY(B77,-(Setup!$C$13+Setup!$G$20),Setup!$C$39:$C$50))+(72*100+1)/10000000)))</f>
        <v/>
      </c>
      <c r="S77" t="str">
        <f>IF(C77="","",IF(C77&lt;Setup!$C$5-Setup!$C$6,"",IF(IF(ISNUMBER(Roster!$D77),Setup!$C$21&lt;=Roster!$D77,FALSE),"",IF(OR(IF(Setup!$C$15&lt;=Setup!$C$16,AND(MONTH(C77)&gt;=Setup!$C$15,MONTH(C77)&lt;=Setup!$C$16),OR(MONTH(C77)&gt;=Setup!$C$15,MONTH(C77)&lt;=Setup!$C$16)),IF(Setup!$C$15&lt;=Setup!$C$16,AND(MONTH(WORKDAY(C77,-(Setup!$C$13+Setup!$G$21),Setup!$C$39:$C$50))&gt;=Setup!$C$15,MONTH(WORKDAY(C77,-(Setup!$C$13+Setup!$G$21),Setup!$C$39:$C$50))&lt;=Setup!$C$16),OR(MONTH(WORKDAY(C77,-(Setup!$C$13+Setup!$G$21),Setup!$C$39:$C$50))&gt;=Setup!$C$15,MONTH(WORKDAY(C77,-(Setup!$C$13+Setup!$G$21),Setup!$C$39:$C$50))&lt;=Setup!$C$16))),WORKDAY(C77,-(Setup!$C$13+Setup!$G$21+Setup!$C$14),Setup!$C$39:$C$50),WORKDAY(C77,-(Setup!$C$13+Setup!$G$21),Setup!$C$39:$C$50))+(72*100+2)/10000000)))</f>
        <v/>
      </c>
      <c r="T77" t="str">
        <f>IF(D77="","",IF(D77&lt;Setup!$C$5-Setup!$C$6,"",IF(IF(ISNUMBER(Roster!$D77),Setup!$C$22&lt;=Roster!$D77,FALSE),"",IF(OR(IF(Setup!$C$15&lt;=Setup!$C$16,AND(MONTH(D77)&gt;=Setup!$C$15,MONTH(D77)&lt;=Setup!$C$16),OR(MONTH(D77)&gt;=Setup!$C$15,MONTH(D77)&lt;=Setup!$C$16)),IF(Setup!$C$15&lt;=Setup!$C$16,AND(MONTH(WORKDAY(D77,-(Setup!$C$13+Setup!$G$22),Setup!$C$39:$C$50))&gt;=Setup!$C$15,MONTH(WORKDAY(D77,-(Setup!$C$13+Setup!$G$22),Setup!$C$39:$C$50))&lt;=Setup!$C$16),OR(MONTH(WORKDAY(D77,-(Setup!$C$13+Setup!$G$22),Setup!$C$39:$C$50))&gt;=Setup!$C$15,MONTH(WORKDAY(D77,-(Setup!$C$13+Setup!$G$22),Setup!$C$39:$C$50))&lt;=Setup!$C$16))),WORKDAY(D77,-(Setup!$C$13+Setup!$G$22+Setup!$C$14),Setup!$C$39:$C$50),WORKDAY(D77,-(Setup!$C$13+Setup!$G$22),Setup!$C$39:$C$50))+(72*100+3)/10000000)))</f>
        <v/>
      </c>
      <c r="U77" t="str">
        <f>IF(E77="","",IF(E77&lt;Setup!$C$5-Setup!$C$6,"",IF(IF(ISNUMBER(Roster!$D77),Setup!$C$23&lt;=Roster!$D77,FALSE),"",IF(OR(IF(Setup!$C$15&lt;=Setup!$C$16,AND(MONTH(E77)&gt;=Setup!$C$15,MONTH(E77)&lt;=Setup!$C$16),OR(MONTH(E77)&gt;=Setup!$C$15,MONTH(E77)&lt;=Setup!$C$16)),IF(Setup!$C$15&lt;=Setup!$C$16,AND(MONTH(WORKDAY(E77,-(Setup!$C$13+Setup!$G$23),Setup!$C$39:$C$50))&gt;=Setup!$C$15,MONTH(WORKDAY(E77,-(Setup!$C$13+Setup!$G$23),Setup!$C$39:$C$50))&lt;=Setup!$C$16),OR(MONTH(WORKDAY(E77,-(Setup!$C$13+Setup!$G$23),Setup!$C$39:$C$50))&gt;=Setup!$C$15,MONTH(WORKDAY(E77,-(Setup!$C$13+Setup!$G$23),Setup!$C$39:$C$50))&lt;=Setup!$C$16))),WORKDAY(E77,-(Setup!$C$13+Setup!$G$23+Setup!$C$14),Setup!$C$39:$C$50),WORKDAY(E77,-(Setup!$C$13+Setup!$G$23),Setup!$C$39:$C$50))+(72*100+4)/10000000)))</f>
        <v/>
      </c>
      <c r="V77" t="str">
        <f>IF(F77="","",IF(F77&lt;Setup!$C$5-Setup!$C$6,"",IF(IF(ISNUMBER(Roster!$D77),Setup!$C$24&lt;=Roster!$D77,FALSE),"",IF(OR(IF(Setup!$C$15&lt;=Setup!$C$16,AND(MONTH(F77)&gt;=Setup!$C$15,MONTH(F77)&lt;=Setup!$C$16),OR(MONTH(F77)&gt;=Setup!$C$15,MONTH(F77)&lt;=Setup!$C$16)),IF(Setup!$C$15&lt;=Setup!$C$16,AND(MONTH(WORKDAY(F77,-(Setup!$C$13+Setup!$G$24),Setup!$C$39:$C$50))&gt;=Setup!$C$15,MONTH(WORKDAY(F77,-(Setup!$C$13+Setup!$G$24),Setup!$C$39:$C$50))&lt;=Setup!$C$16),OR(MONTH(WORKDAY(F77,-(Setup!$C$13+Setup!$G$24),Setup!$C$39:$C$50))&gt;=Setup!$C$15,MONTH(WORKDAY(F77,-(Setup!$C$13+Setup!$G$24),Setup!$C$39:$C$50))&lt;=Setup!$C$16))),WORKDAY(F77,-(Setup!$C$13+Setup!$G$24+Setup!$C$14),Setup!$C$39:$C$50),WORKDAY(F77,-(Setup!$C$13+Setup!$G$24),Setup!$C$39:$C$50))+(72*100+5)/10000000)))</f>
        <v/>
      </c>
      <c r="W77" t="str">
        <f>IF(G77="","",IF(G77&lt;Setup!$C$5-Setup!$C$6,"",IF(IF(ISNUMBER(Roster!$D77),Setup!$C$25&lt;=Roster!$D77,FALSE),"",IF(OR(IF(Setup!$C$15&lt;=Setup!$C$16,AND(MONTH(G77)&gt;=Setup!$C$15,MONTH(G77)&lt;=Setup!$C$16),OR(MONTH(G77)&gt;=Setup!$C$15,MONTH(G77)&lt;=Setup!$C$16)),IF(Setup!$C$15&lt;=Setup!$C$16,AND(MONTH(WORKDAY(G77,-(Setup!$C$13+Setup!$G$25),Setup!$C$39:$C$50))&gt;=Setup!$C$15,MONTH(WORKDAY(G77,-(Setup!$C$13+Setup!$G$25),Setup!$C$39:$C$50))&lt;=Setup!$C$16),OR(MONTH(WORKDAY(G77,-(Setup!$C$13+Setup!$G$25),Setup!$C$39:$C$50))&gt;=Setup!$C$15,MONTH(WORKDAY(G77,-(Setup!$C$13+Setup!$G$25),Setup!$C$39:$C$50))&lt;=Setup!$C$16))),WORKDAY(G77,-(Setup!$C$13+Setup!$G$25+Setup!$C$14),Setup!$C$39:$C$50),WORKDAY(G77,-(Setup!$C$13+Setup!$G$25),Setup!$C$39:$C$50))+(72*100+6)/10000000)))</f>
        <v/>
      </c>
      <c r="X77" t="str">
        <f>IF(H77="","",IF(H77&lt;Setup!$C$5-Setup!$C$6,"",IF(IF(ISNUMBER(Roster!$D77),Setup!$C$26&lt;=Roster!$D77,FALSE),"",IF(OR(IF(Setup!$C$15&lt;=Setup!$C$16,AND(MONTH(H77)&gt;=Setup!$C$15,MONTH(H77)&lt;=Setup!$C$16),OR(MONTH(H77)&gt;=Setup!$C$15,MONTH(H77)&lt;=Setup!$C$16)),IF(Setup!$C$15&lt;=Setup!$C$16,AND(MONTH(WORKDAY(H77,-(Setup!$C$13+Setup!$G$26),Setup!$C$39:$C$50))&gt;=Setup!$C$15,MONTH(WORKDAY(H77,-(Setup!$C$13+Setup!$G$26),Setup!$C$39:$C$50))&lt;=Setup!$C$16),OR(MONTH(WORKDAY(H77,-(Setup!$C$13+Setup!$G$26),Setup!$C$39:$C$50))&gt;=Setup!$C$15,MONTH(WORKDAY(H77,-(Setup!$C$13+Setup!$G$26),Setup!$C$39:$C$50))&lt;=Setup!$C$16))),WORKDAY(H77,-(Setup!$C$13+Setup!$G$26+Setup!$C$14),Setup!$C$39:$C$50),WORKDAY(H77,-(Setup!$C$13+Setup!$G$26),Setup!$C$39:$C$50))+(72*100+7)/10000000)))</f>
        <v/>
      </c>
      <c r="Y77" t="str">
        <f>IF(I77="","",IF(I77&lt;Setup!$C$5-Setup!$C$6,"",IF(IF(ISNUMBER(Roster!$D77),Setup!$C$27&lt;=Roster!$D77,FALSE),"",IF(OR(IF(Setup!$C$15&lt;=Setup!$C$16,AND(MONTH(I77)&gt;=Setup!$C$15,MONTH(I77)&lt;=Setup!$C$16),OR(MONTH(I77)&gt;=Setup!$C$15,MONTH(I77)&lt;=Setup!$C$16)),IF(Setup!$C$15&lt;=Setup!$C$16,AND(MONTH(WORKDAY(I77,-(Setup!$C$13+Setup!$G$27),Setup!$C$39:$C$50))&gt;=Setup!$C$15,MONTH(WORKDAY(I77,-(Setup!$C$13+Setup!$G$27),Setup!$C$39:$C$50))&lt;=Setup!$C$16),OR(MONTH(WORKDAY(I77,-(Setup!$C$13+Setup!$G$27),Setup!$C$39:$C$50))&gt;=Setup!$C$15,MONTH(WORKDAY(I77,-(Setup!$C$13+Setup!$G$27),Setup!$C$39:$C$50))&lt;=Setup!$C$16))),WORKDAY(I77,-(Setup!$C$13+Setup!$G$27+Setup!$C$14),Setup!$C$39:$C$50),WORKDAY(I77,-(Setup!$C$13+Setup!$G$27),Setup!$C$39:$C$50))+(72*100+8)/10000000)))</f>
        <v/>
      </c>
      <c r="Z77" t="str">
        <f>IF(J77="","",IF(J77&lt;Setup!$C$5-Setup!$C$6,"",IF(IF(ISNUMBER(Roster!$D77),Setup!$C$28&lt;=Roster!$D77,FALSE),"",IF(OR(IF(Setup!$C$15&lt;=Setup!$C$16,AND(MONTH(J77)&gt;=Setup!$C$15,MONTH(J77)&lt;=Setup!$C$16),OR(MONTH(J77)&gt;=Setup!$C$15,MONTH(J77)&lt;=Setup!$C$16)),IF(Setup!$C$15&lt;=Setup!$C$16,AND(MONTH(WORKDAY(J77,-(Setup!$C$13+Setup!$G$28),Setup!$C$39:$C$50))&gt;=Setup!$C$15,MONTH(WORKDAY(J77,-(Setup!$C$13+Setup!$G$28),Setup!$C$39:$C$50))&lt;=Setup!$C$16),OR(MONTH(WORKDAY(J77,-(Setup!$C$13+Setup!$G$28),Setup!$C$39:$C$50))&gt;=Setup!$C$15,MONTH(WORKDAY(J77,-(Setup!$C$13+Setup!$G$28),Setup!$C$39:$C$50))&lt;=Setup!$C$16))),WORKDAY(J77,-(Setup!$C$13+Setup!$G$28+Setup!$C$14),Setup!$C$39:$C$50),WORKDAY(J77,-(Setup!$C$13+Setup!$G$28),Setup!$C$39:$C$50))+(72*100+9)/10000000)))</f>
        <v/>
      </c>
      <c r="AA77" t="str">
        <f>IF(K77="","",IF(K77&lt;Setup!$C$5-Setup!$C$6,"",IF(IF(ISNUMBER(Roster!$D77),Setup!$C$29&lt;=Roster!$D77,FALSE),"",IF(OR(IF(Setup!$C$15&lt;=Setup!$C$16,AND(MONTH(K77)&gt;=Setup!$C$15,MONTH(K77)&lt;=Setup!$C$16),OR(MONTH(K77)&gt;=Setup!$C$15,MONTH(K77)&lt;=Setup!$C$16)),IF(Setup!$C$15&lt;=Setup!$C$16,AND(MONTH(WORKDAY(K77,-(Setup!$C$13+Setup!$G$29),Setup!$C$39:$C$50))&gt;=Setup!$C$15,MONTH(WORKDAY(K77,-(Setup!$C$13+Setup!$G$29),Setup!$C$39:$C$50))&lt;=Setup!$C$16),OR(MONTH(WORKDAY(K77,-(Setup!$C$13+Setup!$G$29),Setup!$C$39:$C$50))&gt;=Setup!$C$15,MONTH(WORKDAY(K77,-(Setup!$C$13+Setup!$G$29),Setup!$C$39:$C$50))&lt;=Setup!$C$16))),WORKDAY(K77,-(Setup!$C$13+Setup!$G$29+Setup!$C$14),Setup!$C$39:$C$50),WORKDAY(K77,-(Setup!$C$13+Setup!$G$29),Setup!$C$39:$C$50))+(72*100+10)/10000000)))</f>
        <v/>
      </c>
      <c r="AB77" t="str">
        <f>IF(L77="","",IF(L77&lt;Setup!$C$5-Setup!$C$6,"",IF(IF(ISNUMBER(Roster!$D77),Setup!$C$30&lt;=Roster!$D77,FALSE),"",IF(OR(IF(Setup!$C$15&lt;=Setup!$C$16,AND(MONTH(L77)&gt;=Setup!$C$15,MONTH(L77)&lt;=Setup!$C$16),OR(MONTH(L77)&gt;=Setup!$C$15,MONTH(L77)&lt;=Setup!$C$16)),IF(Setup!$C$15&lt;=Setup!$C$16,AND(MONTH(WORKDAY(L77,-(Setup!$C$13+Setup!$G$30),Setup!$C$39:$C$50))&gt;=Setup!$C$15,MONTH(WORKDAY(L77,-(Setup!$C$13+Setup!$G$30),Setup!$C$39:$C$50))&lt;=Setup!$C$16),OR(MONTH(WORKDAY(L77,-(Setup!$C$13+Setup!$G$30),Setup!$C$39:$C$50))&gt;=Setup!$C$15,MONTH(WORKDAY(L77,-(Setup!$C$13+Setup!$G$30),Setup!$C$39:$C$50))&lt;=Setup!$C$16))),WORKDAY(L77,-(Setup!$C$13+Setup!$G$30+Setup!$C$14),Setup!$C$39:$C$50),WORKDAY(L77,-(Setup!$C$13+Setup!$G$30),Setup!$C$39:$C$50))+(72*100+11)/10000000)))</f>
        <v/>
      </c>
      <c r="AC77" t="str">
        <f>IF(M77="","",IF(M77&lt;Setup!$C$5-Setup!$C$6,"",IF(IF(ISNUMBER(Roster!$D77),Setup!$C$31&lt;=Roster!$D77,FALSE),"",IF(OR(IF(Setup!$C$15&lt;=Setup!$C$16,AND(MONTH(M77)&gt;=Setup!$C$15,MONTH(M77)&lt;=Setup!$C$16),OR(MONTH(M77)&gt;=Setup!$C$15,MONTH(M77)&lt;=Setup!$C$16)),IF(Setup!$C$15&lt;=Setup!$C$16,AND(MONTH(WORKDAY(M77,-(Setup!$C$13+Setup!$G$31),Setup!$C$39:$C$50))&gt;=Setup!$C$15,MONTH(WORKDAY(M77,-(Setup!$C$13+Setup!$G$31),Setup!$C$39:$C$50))&lt;=Setup!$C$16),OR(MONTH(WORKDAY(M77,-(Setup!$C$13+Setup!$G$31),Setup!$C$39:$C$50))&gt;=Setup!$C$15,MONTH(WORKDAY(M77,-(Setup!$C$13+Setup!$G$31),Setup!$C$39:$C$50))&lt;=Setup!$C$16))),WORKDAY(M77,-(Setup!$C$13+Setup!$G$31+Setup!$C$14),Setup!$C$39:$C$50),WORKDAY(M77,-(Setup!$C$13+Setup!$G$31),Setup!$C$39:$C$50))+(72*100+12)/10000000)))</f>
        <v/>
      </c>
      <c r="AD77" t="str">
        <f>IF(N77="","",IF(N77&lt;Setup!$C$5-Setup!$C$6,"",IF(IF(ISNUMBER(Roster!$D77),Setup!$C$32&lt;=Roster!$D77,FALSE),"",IF(OR(IF(Setup!$C$15&lt;=Setup!$C$16,AND(MONTH(N77)&gt;=Setup!$C$15,MONTH(N77)&lt;=Setup!$C$16),OR(MONTH(N77)&gt;=Setup!$C$15,MONTH(N77)&lt;=Setup!$C$16)),IF(Setup!$C$15&lt;=Setup!$C$16,AND(MONTH(WORKDAY(N77,-(Setup!$C$13+Setup!$G$32),Setup!$C$39:$C$50))&gt;=Setup!$C$15,MONTH(WORKDAY(N77,-(Setup!$C$13+Setup!$G$32),Setup!$C$39:$C$50))&lt;=Setup!$C$16),OR(MONTH(WORKDAY(N77,-(Setup!$C$13+Setup!$G$32),Setup!$C$39:$C$50))&gt;=Setup!$C$15,MONTH(WORKDAY(N77,-(Setup!$C$13+Setup!$G$32),Setup!$C$39:$C$50))&lt;=Setup!$C$16))),WORKDAY(N77,-(Setup!$C$13+Setup!$G$32+Setup!$C$14),Setup!$C$39:$C$50),WORKDAY(N77,-(Setup!$C$13+Setup!$G$32),Setup!$C$39:$C$50))+(72*100+13)/10000000)))</f>
        <v/>
      </c>
      <c r="AE77" t="str">
        <f>IF(O77="","",IF(O77&lt;Setup!$C$5-Setup!$C$6,"",IF(IF(ISNUMBER(Roster!$D77),Setup!$C$33&lt;=Roster!$D77,FALSE),"",IF(OR(IF(Setup!$C$15&lt;=Setup!$C$16,AND(MONTH(O77)&gt;=Setup!$C$15,MONTH(O77)&lt;=Setup!$C$16),OR(MONTH(O77)&gt;=Setup!$C$15,MONTH(O77)&lt;=Setup!$C$16)),IF(Setup!$C$15&lt;=Setup!$C$16,AND(MONTH(WORKDAY(O77,-(Setup!$C$13+Setup!$G$33),Setup!$C$39:$C$50))&gt;=Setup!$C$15,MONTH(WORKDAY(O77,-(Setup!$C$13+Setup!$G$33),Setup!$C$39:$C$50))&lt;=Setup!$C$16),OR(MONTH(WORKDAY(O77,-(Setup!$C$13+Setup!$G$33),Setup!$C$39:$C$50))&gt;=Setup!$C$15,MONTH(WORKDAY(O77,-(Setup!$C$13+Setup!$G$33),Setup!$C$39:$C$50))&lt;=Setup!$C$16))),WORKDAY(O77,-(Setup!$C$13+Setup!$G$33+Setup!$C$14),Setup!$C$39:$C$50),WORKDAY(O77,-(Setup!$C$13+Setup!$G$33),Setup!$C$39:$C$50))+(72*100+14)/10000000)))</f>
        <v/>
      </c>
      <c r="AF77" t="str">
        <f>IF(P77="","",IF(P77&lt;Setup!$C$5-Setup!$C$6,"",IF(IF(ISNUMBER(Roster!$D77),Setup!$C$34&lt;=Roster!$D77,FALSE),"",IF(OR(IF(Setup!$C$15&lt;=Setup!$C$16,AND(MONTH(P77)&gt;=Setup!$C$15,MONTH(P77)&lt;=Setup!$C$16),OR(MONTH(P77)&gt;=Setup!$C$15,MONTH(P77)&lt;=Setup!$C$16)),IF(Setup!$C$15&lt;=Setup!$C$16,AND(MONTH(WORKDAY(P77,-(Setup!$C$13+Setup!$G$34),Setup!$C$39:$C$50))&gt;=Setup!$C$15,MONTH(WORKDAY(P77,-(Setup!$C$13+Setup!$G$34),Setup!$C$39:$C$50))&lt;=Setup!$C$16),OR(MONTH(WORKDAY(P77,-(Setup!$C$13+Setup!$G$34),Setup!$C$39:$C$50))&gt;=Setup!$C$15,MONTH(WORKDAY(P77,-(Setup!$C$13+Setup!$G$34),Setup!$C$39:$C$50))&lt;=Setup!$C$16))),WORKDAY(P77,-(Setup!$C$13+Setup!$G$34+Setup!$C$14),Setup!$C$39:$C$50),WORKDAY(P77,-(Setup!$C$13+Setup!$G$34),Setup!$C$39:$C$50))+(72*100+15)/10000000)))</f>
        <v/>
      </c>
      <c r="AH77" t="str">
        <f t="shared" si="9"/>
        <v/>
      </c>
      <c r="AI77" t="str">
        <f t="shared" si="10"/>
        <v/>
      </c>
      <c r="AK77" t="str">
        <f ca="1">IF(72&gt;$AK$2,"",SMALL($R$6:$AF$505,72))</f>
        <v/>
      </c>
      <c r="AL77" t="str">
        <f t="shared" ca="1" si="11"/>
        <v/>
      </c>
      <c r="AM77" t="str">
        <f t="shared" ca="1" si="12"/>
        <v/>
      </c>
      <c r="AN77" t="str">
        <f t="shared" ca="1" si="13"/>
        <v/>
      </c>
      <c r="AP77" t="str">
        <f>IF(ISNUMBER(Roster!$B77),MAX(1,YEAR(Setup!$C$5)-YEAR(Roster!$B77)+IF(EDATE(Roster!$B77,12*(YEAR(Setup!$C$5)-YEAR(Roster!$B77)))&lt;Setup!$C$5,1,0)),"")</f>
        <v/>
      </c>
      <c r="AQ77" s="32" t="str">
        <f>IF(AP77="","",EDATE(Roster!$B77,12*AP77))</f>
        <v/>
      </c>
      <c r="AR77" t="str">
        <f>IF(AQ77="","",IF(AQ77&lt;DATE(YEAR(Setup!$C$5)+1,MONTH(Setup!$C$5),DAY(Setup!$C$5)),AQ77+72/1000,""))</f>
        <v/>
      </c>
      <c r="AS77" t="str">
        <f t="shared" si="14"/>
        <v/>
      </c>
      <c r="AT77" t="str">
        <f>IF(AS77="","",IF(ISNUMBER(Roster!$D77),Roster!$D77&gt;=AP77,FALSE))</f>
        <v/>
      </c>
      <c r="AU77" t="str">
        <f t="shared" si="15"/>
        <v/>
      </c>
      <c r="AV77" t="str">
        <f ca="1">IF(72&gt;$AV$2,"",SMALL($AR$6:$AR$505,72))</f>
        <v/>
      </c>
      <c r="AW77" t="str">
        <f t="shared" ca="1" si="16"/>
        <v/>
      </c>
    </row>
    <row r="78" spans="2:49" x14ac:dyDescent="0.2">
      <c r="B78" s="32" t="str">
        <f>IF(AND(ISNUMBER(Roster!$B78),Setup!$B$20="Yes",ISNUMBER(Setup!$C$20)),EDATE(Roster!$B78,12*Setup!$C$20),"")</f>
        <v/>
      </c>
      <c r="C78" s="32" t="str">
        <f>IF(AND(ISNUMBER(Roster!$B78),Setup!$B$21="Yes",ISNUMBER(Setup!$C$21)),EDATE(Roster!$B78,12*Setup!$C$21),"")</f>
        <v/>
      </c>
      <c r="D78" s="32" t="str">
        <f>IF(AND(ISNUMBER(Roster!$B78),Setup!$B$22="Yes",ISNUMBER(Setup!$C$22)),EDATE(Roster!$B78,12*Setup!$C$22),"")</f>
        <v/>
      </c>
      <c r="E78" s="32" t="str">
        <f>IF(AND(ISNUMBER(Roster!$B78),Setup!$B$23="Yes",ISNUMBER(Setup!$C$23)),EDATE(Roster!$B78,12*Setup!$C$23),"")</f>
        <v/>
      </c>
      <c r="F78" s="32" t="str">
        <f>IF(AND(ISNUMBER(Roster!$B78),Setup!$B$24="Yes",ISNUMBER(Setup!$C$24)),EDATE(Roster!$B78,12*Setup!$C$24),"")</f>
        <v/>
      </c>
      <c r="G78" s="32" t="str">
        <f>IF(AND(ISNUMBER(Roster!$B78),Setup!$B$25="Yes",ISNUMBER(Setup!$C$25)),EDATE(Roster!$B78,12*Setup!$C$25),"")</f>
        <v/>
      </c>
      <c r="H78" s="32" t="str">
        <f>IF(AND(ISNUMBER(Roster!$B78),Setup!$B$26="Yes",ISNUMBER(Setup!$C$26)),EDATE(Roster!$B78,12*Setup!$C$26),"")</f>
        <v/>
      </c>
      <c r="I78" s="32" t="str">
        <f>IF(AND(ISNUMBER(Roster!$B78),Setup!$B$27="Yes",ISNUMBER(Setup!$C$27)),EDATE(Roster!$B78,12*Setup!$C$27),"")</f>
        <v/>
      </c>
      <c r="J78" s="32" t="str">
        <f>IF(AND(ISNUMBER(Roster!$B78),Setup!$B$28="Yes",ISNUMBER(Setup!$C$28)),EDATE(Roster!$B78,12*Setup!$C$28),"")</f>
        <v/>
      </c>
      <c r="K78" s="32" t="str">
        <f>IF(AND(ISNUMBER(Roster!$B78),Setup!$B$29="Yes",ISNUMBER(Setup!$C$29)),EDATE(Roster!$B78,12*Setup!$C$29),"")</f>
        <v/>
      </c>
      <c r="L78" s="32" t="str">
        <f>IF(AND(ISNUMBER(Roster!$B78),Setup!$B$30="Yes",ISNUMBER(Setup!$C$30)),EDATE(Roster!$B78,12*Setup!$C$30),"")</f>
        <v/>
      </c>
      <c r="M78" s="32" t="str">
        <f>IF(AND(ISNUMBER(Roster!$B78),Setup!$B$31="Yes",ISNUMBER(Setup!$C$31)),EDATE(Roster!$B78,12*Setup!$C$31),"")</f>
        <v/>
      </c>
      <c r="N78" s="32" t="str">
        <f>IF(AND(ISNUMBER(Roster!$B78),Setup!$B$32="Yes",ISNUMBER(Setup!$C$32)),EDATE(Roster!$B78,12*Setup!$C$32),"")</f>
        <v/>
      </c>
      <c r="O78" s="32" t="str">
        <f>IF(AND(ISNUMBER(Roster!$B78),Setup!$B$33="Yes",ISNUMBER(Setup!$C$33)),EDATE(Roster!$B78,12*Setup!$C$33),"")</f>
        <v/>
      </c>
      <c r="P78" s="32" t="str">
        <f>IF(AND(ISNUMBER(Roster!$B78),Setup!$B$34="Yes",ISNUMBER(Setup!$C$34)),EDATE(Roster!$B78,12*Setup!$C$34),"")</f>
        <v/>
      </c>
      <c r="R78" t="str">
        <f>IF(B78="","",IF(B78&lt;Setup!$C$5-Setup!$C$6,"",IF(IF(ISNUMBER(Roster!$D78),Setup!$C$20&lt;=Roster!$D78,FALSE),"",IF(OR(IF(Setup!$C$15&lt;=Setup!$C$16,AND(MONTH(B78)&gt;=Setup!$C$15,MONTH(B78)&lt;=Setup!$C$16),OR(MONTH(B78)&gt;=Setup!$C$15,MONTH(B78)&lt;=Setup!$C$16)),IF(Setup!$C$15&lt;=Setup!$C$16,AND(MONTH(WORKDAY(B78,-(Setup!$C$13+Setup!$G$20),Setup!$C$39:$C$50))&gt;=Setup!$C$15,MONTH(WORKDAY(B78,-(Setup!$C$13+Setup!$G$20),Setup!$C$39:$C$50))&lt;=Setup!$C$16),OR(MONTH(WORKDAY(B78,-(Setup!$C$13+Setup!$G$20),Setup!$C$39:$C$50))&gt;=Setup!$C$15,MONTH(WORKDAY(B78,-(Setup!$C$13+Setup!$G$20),Setup!$C$39:$C$50))&lt;=Setup!$C$16))),WORKDAY(B78,-(Setup!$C$13+Setup!$G$20+Setup!$C$14),Setup!$C$39:$C$50),WORKDAY(B78,-(Setup!$C$13+Setup!$G$20),Setup!$C$39:$C$50))+(73*100+1)/10000000)))</f>
        <v/>
      </c>
      <c r="S78" t="str">
        <f>IF(C78="","",IF(C78&lt;Setup!$C$5-Setup!$C$6,"",IF(IF(ISNUMBER(Roster!$D78),Setup!$C$21&lt;=Roster!$D78,FALSE),"",IF(OR(IF(Setup!$C$15&lt;=Setup!$C$16,AND(MONTH(C78)&gt;=Setup!$C$15,MONTH(C78)&lt;=Setup!$C$16),OR(MONTH(C78)&gt;=Setup!$C$15,MONTH(C78)&lt;=Setup!$C$16)),IF(Setup!$C$15&lt;=Setup!$C$16,AND(MONTH(WORKDAY(C78,-(Setup!$C$13+Setup!$G$21),Setup!$C$39:$C$50))&gt;=Setup!$C$15,MONTH(WORKDAY(C78,-(Setup!$C$13+Setup!$G$21),Setup!$C$39:$C$50))&lt;=Setup!$C$16),OR(MONTH(WORKDAY(C78,-(Setup!$C$13+Setup!$G$21),Setup!$C$39:$C$50))&gt;=Setup!$C$15,MONTH(WORKDAY(C78,-(Setup!$C$13+Setup!$G$21),Setup!$C$39:$C$50))&lt;=Setup!$C$16))),WORKDAY(C78,-(Setup!$C$13+Setup!$G$21+Setup!$C$14),Setup!$C$39:$C$50),WORKDAY(C78,-(Setup!$C$13+Setup!$G$21),Setup!$C$39:$C$50))+(73*100+2)/10000000)))</f>
        <v/>
      </c>
      <c r="T78" t="str">
        <f>IF(D78="","",IF(D78&lt;Setup!$C$5-Setup!$C$6,"",IF(IF(ISNUMBER(Roster!$D78),Setup!$C$22&lt;=Roster!$D78,FALSE),"",IF(OR(IF(Setup!$C$15&lt;=Setup!$C$16,AND(MONTH(D78)&gt;=Setup!$C$15,MONTH(D78)&lt;=Setup!$C$16),OR(MONTH(D78)&gt;=Setup!$C$15,MONTH(D78)&lt;=Setup!$C$16)),IF(Setup!$C$15&lt;=Setup!$C$16,AND(MONTH(WORKDAY(D78,-(Setup!$C$13+Setup!$G$22),Setup!$C$39:$C$50))&gt;=Setup!$C$15,MONTH(WORKDAY(D78,-(Setup!$C$13+Setup!$G$22),Setup!$C$39:$C$50))&lt;=Setup!$C$16),OR(MONTH(WORKDAY(D78,-(Setup!$C$13+Setup!$G$22),Setup!$C$39:$C$50))&gt;=Setup!$C$15,MONTH(WORKDAY(D78,-(Setup!$C$13+Setup!$G$22),Setup!$C$39:$C$50))&lt;=Setup!$C$16))),WORKDAY(D78,-(Setup!$C$13+Setup!$G$22+Setup!$C$14),Setup!$C$39:$C$50),WORKDAY(D78,-(Setup!$C$13+Setup!$G$22),Setup!$C$39:$C$50))+(73*100+3)/10000000)))</f>
        <v/>
      </c>
      <c r="U78" t="str">
        <f>IF(E78="","",IF(E78&lt;Setup!$C$5-Setup!$C$6,"",IF(IF(ISNUMBER(Roster!$D78),Setup!$C$23&lt;=Roster!$D78,FALSE),"",IF(OR(IF(Setup!$C$15&lt;=Setup!$C$16,AND(MONTH(E78)&gt;=Setup!$C$15,MONTH(E78)&lt;=Setup!$C$16),OR(MONTH(E78)&gt;=Setup!$C$15,MONTH(E78)&lt;=Setup!$C$16)),IF(Setup!$C$15&lt;=Setup!$C$16,AND(MONTH(WORKDAY(E78,-(Setup!$C$13+Setup!$G$23),Setup!$C$39:$C$50))&gt;=Setup!$C$15,MONTH(WORKDAY(E78,-(Setup!$C$13+Setup!$G$23),Setup!$C$39:$C$50))&lt;=Setup!$C$16),OR(MONTH(WORKDAY(E78,-(Setup!$C$13+Setup!$G$23),Setup!$C$39:$C$50))&gt;=Setup!$C$15,MONTH(WORKDAY(E78,-(Setup!$C$13+Setup!$G$23),Setup!$C$39:$C$50))&lt;=Setup!$C$16))),WORKDAY(E78,-(Setup!$C$13+Setup!$G$23+Setup!$C$14),Setup!$C$39:$C$50),WORKDAY(E78,-(Setup!$C$13+Setup!$G$23),Setup!$C$39:$C$50))+(73*100+4)/10000000)))</f>
        <v/>
      </c>
      <c r="V78" t="str">
        <f>IF(F78="","",IF(F78&lt;Setup!$C$5-Setup!$C$6,"",IF(IF(ISNUMBER(Roster!$D78),Setup!$C$24&lt;=Roster!$D78,FALSE),"",IF(OR(IF(Setup!$C$15&lt;=Setup!$C$16,AND(MONTH(F78)&gt;=Setup!$C$15,MONTH(F78)&lt;=Setup!$C$16),OR(MONTH(F78)&gt;=Setup!$C$15,MONTH(F78)&lt;=Setup!$C$16)),IF(Setup!$C$15&lt;=Setup!$C$16,AND(MONTH(WORKDAY(F78,-(Setup!$C$13+Setup!$G$24),Setup!$C$39:$C$50))&gt;=Setup!$C$15,MONTH(WORKDAY(F78,-(Setup!$C$13+Setup!$G$24),Setup!$C$39:$C$50))&lt;=Setup!$C$16),OR(MONTH(WORKDAY(F78,-(Setup!$C$13+Setup!$G$24),Setup!$C$39:$C$50))&gt;=Setup!$C$15,MONTH(WORKDAY(F78,-(Setup!$C$13+Setup!$G$24),Setup!$C$39:$C$50))&lt;=Setup!$C$16))),WORKDAY(F78,-(Setup!$C$13+Setup!$G$24+Setup!$C$14),Setup!$C$39:$C$50),WORKDAY(F78,-(Setup!$C$13+Setup!$G$24),Setup!$C$39:$C$50))+(73*100+5)/10000000)))</f>
        <v/>
      </c>
      <c r="W78" t="str">
        <f>IF(G78="","",IF(G78&lt;Setup!$C$5-Setup!$C$6,"",IF(IF(ISNUMBER(Roster!$D78),Setup!$C$25&lt;=Roster!$D78,FALSE),"",IF(OR(IF(Setup!$C$15&lt;=Setup!$C$16,AND(MONTH(G78)&gt;=Setup!$C$15,MONTH(G78)&lt;=Setup!$C$16),OR(MONTH(G78)&gt;=Setup!$C$15,MONTH(G78)&lt;=Setup!$C$16)),IF(Setup!$C$15&lt;=Setup!$C$16,AND(MONTH(WORKDAY(G78,-(Setup!$C$13+Setup!$G$25),Setup!$C$39:$C$50))&gt;=Setup!$C$15,MONTH(WORKDAY(G78,-(Setup!$C$13+Setup!$G$25),Setup!$C$39:$C$50))&lt;=Setup!$C$16),OR(MONTH(WORKDAY(G78,-(Setup!$C$13+Setup!$G$25),Setup!$C$39:$C$50))&gt;=Setup!$C$15,MONTH(WORKDAY(G78,-(Setup!$C$13+Setup!$G$25),Setup!$C$39:$C$50))&lt;=Setup!$C$16))),WORKDAY(G78,-(Setup!$C$13+Setup!$G$25+Setup!$C$14),Setup!$C$39:$C$50),WORKDAY(G78,-(Setup!$C$13+Setup!$G$25),Setup!$C$39:$C$50))+(73*100+6)/10000000)))</f>
        <v/>
      </c>
      <c r="X78" t="str">
        <f>IF(H78="","",IF(H78&lt;Setup!$C$5-Setup!$C$6,"",IF(IF(ISNUMBER(Roster!$D78),Setup!$C$26&lt;=Roster!$D78,FALSE),"",IF(OR(IF(Setup!$C$15&lt;=Setup!$C$16,AND(MONTH(H78)&gt;=Setup!$C$15,MONTH(H78)&lt;=Setup!$C$16),OR(MONTH(H78)&gt;=Setup!$C$15,MONTH(H78)&lt;=Setup!$C$16)),IF(Setup!$C$15&lt;=Setup!$C$16,AND(MONTH(WORKDAY(H78,-(Setup!$C$13+Setup!$G$26),Setup!$C$39:$C$50))&gt;=Setup!$C$15,MONTH(WORKDAY(H78,-(Setup!$C$13+Setup!$G$26),Setup!$C$39:$C$50))&lt;=Setup!$C$16),OR(MONTH(WORKDAY(H78,-(Setup!$C$13+Setup!$G$26),Setup!$C$39:$C$50))&gt;=Setup!$C$15,MONTH(WORKDAY(H78,-(Setup!$C$13+Setup!$G$26),Setup!$C$39:$C$50))&lt;=Setup!$C$16))),WORKDAY(H78,-(Setup!$C$13+Setup!$G$26+Setup!$C$14),Setup!$C$39:$C$50),WORKDAY(H78,-(Setup!$C$13+Setup!$G$26),Setup!$C$39:$C$50))+(73*100+7)/10000000)))</f>
        <v/>
      </c>
      <c r="Y78" t="str">
        <f>IF(I78="","",IF(I78&lt;Setup!$C$5-Setup!$C$6,"",IF(IF(ISNUMBER(Roster!$D78),Setup!$C$27&lt;=Roster!$D78,FALSE),"",IF(OR(IF(Setup!$C$15&lt;=Setup!$C$16,AND(MONTH(I78)&gt;=Setup!$C$15,MONTH(I78)&lt;=Setup!$C$16),OR(MONTH(I78)&gt;=Setup!$C$15,MONTH(I78)&lt;=Setup!$C$16)),IF(Setup!$C$15&lt;=Setup!$C$16,AND(MONTH(WORKDAY(I78,-(Setup!$C$13+Setup!$G$27),Setup!$C$39:$C$50))&gt;=Setup!$C$15,MONTH(WORKDAY(I78,-(Setup!$C$13+Setup!$G$27),Setup!$C$39:$C$50))&lt;=Setup!$C$16),OR(MONTH(WORKDAY(I78,-(Setup!$C$13+Setup!$G$27),Setup!$C$39:$C$50))&gt;=Setup!$C$15,MONTH(WORKDAY(I78,-(Setup!$C$13+Setup!$G$27),Setup!$C$39:$C$50))&lt;=Setup!$C$16))),WORKDAY(I78,-(Setup!$C$13+Setup!$G$27+Setup!$C$14),Setup!$C$39:$C$50),WORKDAY(I78,-(Setup!$C$13+Setup!$G$27),Setup!$C$39:$C$50))+(73*100+8)/10000000)))</f>
        <v/>
      </c>
      <c r="Z78" t="str">
        <f>IF(J78="","",IF(J78&lt;Setup!$C$5-Setup!$C$6,"",IF(IF(ISNUMBER(Roster!$D78),Setup!$C$28&lt;=Roster!$D78,FALSE),"",IF(OR(IF(Setup!$C$15&lt;=Setup!$C$16,AND(MONTH(J78)&gt;=Setup!$C$15,MONTH(J78)&lt;=Setup!$C$16),OR(MONTH(J78)&gt;=Setup!$C$15,MONTH(J78)&lt;=Setup!$C$16)),IF(Setup!$C$15&lt;=Setup!$C$16,AND(MONTH(WORKDAY(J78,-(Setup!$C$13+Setup!$G$28),Setup!$C$39:$C$50))&gt;=Setup!$C$15,MONTH(WORKDAY(J78,-(Setup!$C$13+Setup!$G$28),Setup!$C$39:$C$50))&lt;=Setup!$C$16),OR(MONTH(WORKDAY(J78,-(Setup!$C$13+Setup!$G$28),Setup!$C$39:$C$50))&gt;=Setup!$C$15,MONTH(WORKDAY(J78,-(Setup!$C$13+Setup!$G$28),Setup!$C$39:$C$50))&lt;=Setup!$C$16))),WORKDAY(J78,-(Setup!$C$13+Setup!$G$28+Setup!$C$14),Setup!$C$39:$C$50),WORKDAY(J78,-(Setup!$C$13+Setup!$G$28),Setup!$C$39:$C$50))+(73*100+9)/10000000)))</f>
        <v/>
      </c>
      <c r="AA78" t="str">
        <f>IF(K78="","",IF(K78&lt;Setup!$C$5-Setup!$C$6,"",IF(IF(ISNUMBER(Roster!$D78),Setup!$C$29&lt;=Roster!$D78,FALSE),"",IF(OR(IF(Setup!$C$15&lt;=Setup!$C$16,AND(MONTH(K78)&gt;=Setup!$C$15,MONTH(K78)&lt;=Setup!$C$16),OR(MONTH(K78)&gt;=Setup!$C$15,MONTH(K78)&lt;=Setup!$C$16)),IF(Setup!$C$15&lt;=Setup!$C$16,AND(MONTH(WORKDAY(K78,-(Setup!$C$13+Setup!$G$29),Setup!$C$39:$C$50))&gt;=Setup!$C$15,MONTH(WORKDAY(K78,-(Setup!$C$13+Setup!$G$29),Setup!$C$39:$C$50))&lt;=Setup!$C$16),OR(MONTH(WORKDAY(K78,-(Setup!$C$13+Setup!$G$29),Setup!$C$39:$C$50))&gt;=Setup!$C$15,MONTH(WORKDAY(K78,-(Setup!$C$13+Setup!$G$29),Setup!$C$39:$C$50))&lt;=Setup!$C$16))),WORKDAY(K78,-(Setup!$C$13+Setup!$G$29+Setup!$C$14),Setup!$C$39:$C$50),WORKDAY(K78,-(Setup!$C$13+Setup!$G$29),Setup!$C$39:$C$50))+(73*100+10)/10000000)))</f>
        <v/>
      </c>
      <c r="AB78" t="str">
        <f>IF(L78="","",IF(L78&lt;Setup!$C$5-Setup!$C$6,"",IF(IF(ISNUMBER(Roster!$D78),Setup!$C$30&lt;=Roster!$D78,FALSE),"",IF(OR(IF(Setup!$C$15&lt;=Setup!$C$16,AND(MONTH(L78)&gt;=Setup!$C$15,MONTH(L78)&lt;=Setup!$C$16),OR(MONTH(L78)&gt;=Setup!$C$15,MONTH(L78)&lt;=Setup!$C$16)),IF(Setup!$C$15&lt;=Setup!$C$16,AND(MONTH(WORKDAY(L78,-(Setup!$C$13+Setup!$G$30),Setup!$C$39:$C$50))&gt;=Setup!$C$15,MONTH(WORKDAY(L78,-(Setup!$C$13+Setup!$G$30),Setup!$C$39:$C$50))&lt;=Setup!$C$16),OR(MONTH(WORKDAY(L78,-(Setup!$C$13+Setup!$G$30),Setup!$C$39:$C$50))&gt;=Setup!$C$15,MONTH(WORKDAY(L78,-(Setup!$C$13+Setup!$G$30),Setup!$C$39:$C$50))&lt;=Setup!$C$16))),WORKDAY(L78,-(Setup!$C$13+Setup!$G$30+Setup!$C$14),Setup!$C$39:$C$50),WORKDAY(L78,-(Setup!$C$13+Setup!$G$30),Setup!$C$39:$C$50))+(73*100+11)/10000000)))</f>
        <v/>
      </c>
      <c r="AC78" t="str">
        <f>IF(M78="","",IF(M78&lt;Setup!$C$5-Setup!$C$6,"",IF(IF(ISNUMBER(Roster!$D78),Setup!$C$31&lt;=Roster!$D78,FALSE),"",IF(OR(IF(Setup!$C$15&lt;=Setup!$C$16,AND(MONTH(M78)&gt;=Setup!$C$15,MONTH(M78)&lt;=Setup!$C$16),OR(MONTH(M78)&gt;=Setup!$C$15,MONTH(M78)&lt;=Setup!$C$16)),IF(Setup!$C$15&lt;=Setup!$C$16,AND(MONTH(WORKDAY(M78,-(Setup!$C$13+Setup!$G$31),Setup!$C$39:$C$50))&gt;=Setup!$C$15,MONTH(WORKDAY(M78,-(Setup!$C$13+Setup!$G$31),Setup!$C$39:$C$50))&lt;=Setup!$C$16),OR(MONTH(WORKDAY(M78,-(Setup!$C$13+Setup!$G$31),Setup!$C$39:$C$50))&gt;=Setup!$C$15,MONTH(WORKDAY(M78,-(Setup!$C$13+Setup!$G$31),Setup!$C$39:$C$50))&lt;=Setup!$C$16))),WORKDAY(M78,-(Setup!$C$13+Setup!$G$31+Setup!$C$14),Setup!$C$39:$C$50),WORKDAY(M78,-(Setup!$C$13+Setup!$G$31),Setup!$C$39:$C$50))+(73*100+12)/10000000)))</f>
        <v/>
      </c>
      <c r="AD78" t="str">
        <f>IF(N78="","",IF(N78&lt;Setup!$C$5-Setup!$C$6,"",IF(IF(ISNUMBER(Roster!$D78),Setup!$C$32&lt;=Roster!$D78,FALSE),"",IF(OR(IF(Setup!$C$15&lt;=Setup!$C$16,AND(MONTH(N78)&gt;=Setup!$C$15,MONTH(N78)&lt;=Setup!$C$16),OR(MONTH(N78)&gt;=Setup!$C$15,MONTH(N78)&lt;=Setup!$C$16)),IF(Setup!$C$15&lt;=Setup!$C$16,AND(MONTH(WORKDAY(N78,-(Setup!$C$13+Setup!$G$32),Setup!$C$39:$C$50))&gt;=Setup!$C$15,MONTH(WORKDAY(N78,-(Setup!$C$13+Setup!$G$32),Setup!$C$39:$C$50))&lt;=Setup!$C$16),OR(MONTH(WORKDAY(N78,-(Setup!$C$13+Setup!$G$32),Setup!$C$39:$C$50))&gt;=Setup!$C$15,MONTH(WORKDAY(N78,-(Setup!$C$13+Setup!$G$32),Setup!$C$39:$C$50))&lt;=Setup!$C$16))),WORKDAY(N78,-(Setup!$C$13+Setup!$G$32+Setup!$C$14),Setup!$C$39:$C$50),WORKDAY(N78,-(Setup!$C$13+Setup!$G$32),Setup!$C$39:$C$50))+(73*100+13)/10000000)))</f>
        <v/>
      </c>
      <c r="AE78" t="str">
        <f>IF(O78="","",IF(O78&lt;Setup!$C$5-Setup!$C$6,"",IF(IF(ISNUMBER(Roster!$D78),Setup!$C$33&lt;=Roster!$D78,FALSE),"",IF(OR(IF(Setup!$C$15&lt;=Setup!$C$16,AND(MONTH(O78)&gt;=Setup!$C$15,MONTH(O78)&lt;=Setup!$C$16),OR(MONTH(O78)&gt;=Setup!$C$15,MONTH(O78)&lt;=Setup!$C$16)),IF(Setup!$C$15&lt;=Setup!$C$16,AND(MONTH(WORKDAY(O78,-(Setup!$C$13+Setup!$G$33),Setup!$C$39:$C$50))&gt;=Setup!$C$15,MONTH(WORKDAY(O78,-(Setup!$C$13+Setup!$G$33),Setup!$C$39:$C$50))&lt;=Setup!$C$16),OR(MONTH(WORKDAY(O78,-(Setup!$C$13+Setup!$G$33),Setup!$C$39:$C$50))&gt;=Setup!$C$15,MONTH(WORKDAY(O78,-(Setup!$C$13+Setup!$G$33),Setup!$C$39:$C$50))&lt;=Setup!$C$16))),WORKDAY(O78,-(Setup!$C$13+Setup!$G$33+Setup!$C$14),Setup!$C$39:$C$50),WORKDAY(O78,-(Setup!$C$13+Setup!$G$33),Setup!$C$39:$C$50))+(73*100+14)/10000000)))</f>
        <v/>
      </c>
      <c r="AF78" t="str">
        <f>IF(P78="","",IF(P78&lt;Setup!$C$5-Setup!$C$6,"",IF(IF(ISNUMBER(Roster!$D78),Setup!$C$34&lt;=Roster!$D78,FALSE),"",IF(OR(IF(Setup!$C$15&lt;=Setup!$C$16,AND(MONTH(P78)&gt;=Setup!$C$15,MONTH(P78)&lt;=Setup!$C$16),OR(MONTH(P78)&gt;=Setup!$C$15,MONTH(P78)&lt;=Setup!$C$16)),IF(Setup!$C$15&lt;=Setup!$C$16,AND(MONTH(WORKDAY(P78,-(Setup!$C$13+Setup!$G$34),Setup!$C$39:$C$50))&gt;=Setup!$C$15,MONTH(WORKDAY(P78,-(Setup!$C$13+Setup!$G$34),Setup!$C$39:$C$50))&lt;=Setup!$C$16),OR(MONTH(WORKDAY(P78,-(Setup!$C$13+Setup!$G$34),Setup!$C$39:$C$50))&gt;=Setup!$C$15,MONTH(WORKDAY(P78,-(Setup!$C$13+Setup!$G$34),Setup!$C$39:$C$50))&lt;=Setup!$C$16))),WORKDAY(P78,-(Setup!$C$13+Setup!$G$34+Setup!$C$14),Setup!$C$39:$C$50),WORKDAY(P78,-(Setup!$C$13+Setup!$G$34),Setup!$C$39:$C$50))+(73*100+15)/10000000)))</f>
        <v/>
      </c>
      <c r="AH78" t="str">
        <f t="shared" si="9"/>
        <v/>
      </c>
      <c r="AI78" t="str">
        <f t="shared" si="10"/>
        <v/>
      </c>
      <c r="AK78" t="str">
        <f ca="1">IF(73&gt;$AK$2,"",SMALL($R$6:$AF$505,73))</f>
        <v/>
      </c>
      <c r="AL78" t="str">
        <f t="shared" ca="1" si="11"/>
        <v/>
      </c>
      <c r="AM78" t="str">
        <f t="shared" ca="1" si="12"/>
        <v/>
      </c>
      <c r="AN78" t="str">
        <f t="shared" ca="1" si="13"/>
        <v/>
      </c>
      <c r="AP78" t="str">
        <f>IF(ISNUMBER(Roster!$B78),MAX(1,YEAR(Setup!$C$5)-YEAR(Roster!$B78)+IF(EDATE(Roster!$B78,12*(YEAR(Setup!$C$5)-YEAR(Roster!$B78)))&lt;Setup!$C$5,1,0)),"")</f>
        <v/>
      </c>
      <c r="AQ78" s="32" t="str">
        <f>IF(AP78="","",EDATE(Roster!$B78,12*AP78))</f>
        <v/>
      </c>
      <c r="AR78" t="str">
        <f>IF(AQ78="","",IF(AQ78&lt;DATE(YEAR(Setup!$C$5)+1,MONTH(Setup!$C$5),DAY(Setup!$C$5)),AQ78+73/1000,""))</f>
        <v/>
      </c>
      <c r="AS78" t="str">
        <f t="shared" si="14"/>
        <v/>
      </c>
      <c r="AT78" t="str">
        <f>IF(AS78="","",IF(ISNUMBER(Roster!$D78),Roster!$D78&gt;=AP78,FALSE))</f>
        <v/>
      </c>
      <c r="AU78" t="str">
        <f t="shared" si="15"/>
        <v/>
      </c>
      <c r="AV78" t="str">
        <f ca="1">IF(73&gt;$AV$2,"",SMALL($AR$6:$AR$505,73))</f>
        <v/>
      </c>
      <c r="AW78" t="str">
        <f t="shared" ca="1" si="16"/>
        <v/>
      </c>
    </row>
    <row r="79" spans="2:49" x14ac:dyDescent="0.2">
      <c r="B79" s="32" t="str">
        <f>IF(AND(ISNUMBER(Roster!$B79),Setup!$B$20="Yes",ISNUMBER(Setup!$C$20)),EDATE(Roster!$B79,12*Setup!$C$20),"")</f>
        <v/>
      </c>
      <c r="C79" s="32" t="str">
        <f>IF(AND(ISNUMBER(Roster!$B79),Setup!$B$21="Yes",ISNUMBER(Setup!$C$21)),EDATE(Roster!$B79,12*Setup!$C$21),"")</f>
        <v/>
      </c>
      <c r="D79" s="32" t="str">
        <f>IF(AND(ISNUMBER(Roster!$B79),Setup!$B$22="Yes",ISNUMBER(Setup!$C$22)),EDATE(Roster!$B79,12*Setup!$C$22),"")</f>
        <v/>
      </c>
      <c r="E79" s="32" t="str">
        <f>IF(AND(ISNUMBER(Roster!$B79),Setup!$B$23="Yes",ISNUMBER(Setup!$C$23)),EDATE(Roster!$B79,12*Setup!$C$23),"")</f>
        <v/>
      </c>
      <c r="F79" s="32" t="str">
        <f>IF(AND(ISNUMBER(Roster!$B79),Setup!$B$24="Yes",ISNUMBER(Setup!$C$24)),EDATE(Roster!$B79,12*Setup!$C$24),"")</f>
        <v/>
      </c>
      <c r="G79" s="32" t="str">
        <f>IF(AND(ISNUMBER(Roster!$B79),Setup!$B$25="Yes",ISNUMBER(Setup!$C$25)),EDATE(Roster!$B79,12*Setup!$C$25),"")</f>
        <v/>
      </c>
      <c r="H79" s="32" t="str">
        <f>IF(AND(ISNUMBER(Roster!$B79),Setup!$B$26="Yes",ISNUMBER(Setup!$C$26)),EDATE(Roster!$B79,12*Setup!$C$26),"")</f>
        <v/>
      </c>
      <c r="I79" s="32" t="str">
        <f>IF(AND(ISNUMBER(Roster!$B79),Setup!$B$27="Yes",ISNUMBER(Setup!$C$27)),EDATE(Roster!$B79,12*Setup!$C$27),"")</f>
        <v/>
      </c>
      <c r="J79" s="32" t="str">
        <f>IF(AND(ISNUMBER(Roster!$B79),Setup!$B$28="Yes",ISNUMBER(Setup!$C$28)),EDATE(Roster!$B79,12*Setup!$C$28),"")</f>
        <v/>
      </c>
      <c r="K79" s="32" t="str">
        <f>IF(AND(ISNUMBER(Roster!$B79),Setup!$B$29="Yes",ISNUMBER(Setup!$C$29)),EDATE(Roster!$B79,12*Setup!$C$29),"")</f>
        <v/>
      </c>
      <c r="L79" s="32" t="str">
        <f>IF(AND(ISNUMBER(Roster!$B79),Setup!$B$30="Yes",ISNUMBER(Setup!$C$30)),EDATE(Roster!$B79,12*Setup!$C$30),"")</f>
        <v/>
      </c>
      <c r="M79" s="32" t="str">
        <f>IF(AND(ISNUMBER(Roster!$B79),Setup!$B$31="Yes",ISNUMBER(Setup!$C$31)),EDATE(Roster!$B79,12*Setup!$C$31),"")</f>
        <v/>
      </c>
      <c r="N79" s="32" t="str">
        <f>IF(AND(ISNUMBER(Roster!$B79),Setup!$B$32="Yes",ISNUMBER(Setup!$C$32)),EDATE(Roster!$B79,12*Setup!$C$32),"")</f>
        <v/>
      </c>
      <c r="O79" s="32" t="str">
        <f>IF(AND(ISNUMBER(Roster!$B79),Setup!$B$33="Yes",ISNUMBER(Setup!$C$33)),EDATE(Roster!$B79,12*Setup!$C$33),"")</f>
        <v/>
      </c>
      <c r="P79" s="32" t="str">
        <f>IF(AND(ISNUMBER(Roster!$B79),Setup!$B$34="Yes",ISNUMBER(Setup!$C$34)),EDATE(Roster!$B79,12*Setup!$C$34),"")</f>
        <v/>
      </c>
      <c r="R79" t="str">
        <f>IF(B79="","",IF(B79&lt;Setup!$C$5-Setup!$C$6,"",IF(IF(ISNUMBER(Roster!$D79),Setup!$C$20&lt;=Roster!$D79,FALSE),"",IF(OR(IF(Setup!$C$15&lt;=Setup!$C$16,AND(MONTH(B79)&gt;=Setup!$C$15,MONTH(B79)&lt;=Setup!$C$16),OR(MONTH(B79)&gt;=Setup!$C$15,MONTH(B79)&lt;=Setup!$C$16)),IF(Setup!$C$15&lt;=Setup!$C$16,AND(MONTH(WORKDAY(B79,-(Setup!$C$13+Setup!$G$20),Setup!$C$39:$C$50))&gt;=Setup!$C$15,MONTH(WORKDAY(B79,-(Setup!$C$13+Setup!$G$20),Setup!$C$39:$C$50))&lt;=Setup!$C$16),OR(MONTH(WORKDAY(B79,-(Setup!$C$13+Setup!$G$20),Setup!$C$39:$C$50))&gt;=Setup!$C$15,MONTH(WORKDAY(B79,-(Setup!$C$13+Setup!$G$20),Setup!$C$39:$C$50))&lt;=Setup!$C$16))),WORKDAY(B79,-(Setup!$C$13+Setup!$G$20+Setup!$C$14),Setup!$C$39:$C$50),WORKDAY(B79,-(Setup!$C$13+Setup!$G$20),Setup!$C$39:$C$50))+(74*100+1)/10000000)))</f>
        <v/>
      </c>
      <c r="S79" t="str">
        <f>IF(C79="","",IF(C79&lt;Setup!$C$5-Setup!$C$6,"",IF(IF(ISNUMBER(Roster!$D79),Setup!$C$21&lt;=Roster!$D79,FALSE),"",IF(OR(IF(Setup!$C$15&lt;=Setup!$C$16,AND(MONTH(C79)&gt;=Setup!$C$15,MONTH(C79)&lt;=Setup!$C$16),OR(MONTH(C79)&gt;=Setup!$C$15,MONTH(C79)&lt;=Setup!$C$16)),IF(Setup!$C$15&lt;=Setup!$C$16,AND(MONTH(WORKDAY(C79,-(Setup!$C$13+Setup!$G$21),Setup!$C$39:$C$50))&gt;=Setup!$C$15,MONTH(WORKDAY(C79,-(Setup!$C$13+Setup!$G$21),Setup!$C$39:$C$50))&lt;=Setup!$C$16),OR(MONTH(WORKDAY(C79,-(Setup!$C$13+Setup!$G$21),Setup!$C$39:$C$50))&gt;=Setup!$C$15,MONTH(WORKDAY(C79,-(Setup!$C$13+Setup!$G$21),Setup!$C$39:$C$50))&lt;=Setup!$C$16))),WORKDAY(C79,-(Setup!$C$13+Setup!$G$21+Setup!$C$14),Setup!$C$39:$C$50),WORKDAY(C79,-(Setup!$C$13+Setup!$G$21),Setup!$C$39:$C$50))+(74*100+2)/10000000)))</f>
        <v/>
      </c>
      <c r="T79" t="str">
        <f>IF(D79="","",IF(D79&lt;Setup!$C$5-Setup!$C$6,"",IF(IF(ISNUMBER(Roster!$D79),Setup!$C$22&lt;=Roster!$D79,FALSE),"",IF(OR(IF(Setup!$C$15&lt;=Setup!$C$16,AND(MONTH(D79)&gt;=Setup!$C$15,MONTH(D79)&lt;=Setup!$C$16),OR(MONTH(D79)&gt;=Setup!$C$15,MONTH(D79)&lt;=Setup!$C$16)),IF(Setup!$C$15&lt;=Setup!$C$16,AND(MONTH(WORKDAY(D79,-(Setup!$C$13+Setup!$G$22),Setup!$C$39:$C$50))&gt;=Setup!$C$15,MONTH(WORKDAY(D79,-(Setup!$C$13+Setup!$G$22),Setup!$C$39:$C$50))&lt;=Setup!$C$16),OR(MONTH(WORKDAY(D79,-(Setup!$C$13+Setup!$G$22),Setup!$C$39:$C$50))&gt;=Setup!$C$15,MONTH(WORKDAY(D79,-(Setup!$C$13+Setup!$G$22),Setup!$C$39:$C$50))&lt;=Setup!$C$16))),WORKDAY(D79,-(Setup!$C$13+Setup!$G$22+Setup!$C$14),Setup!$C$39:$C$50),WORKDAY(D79,-(Setup!$C$13+Setup!$G$22),Setup!$C$39:$C$50))+(74*100+3)/10000000)))</f>
        <v/>
      </c>
      <c r="U79" t="str">
        <f>IF(E79="","",IF(E79&lt;Setup!$C$5-Setup!$C$6,"",IF(IF(ISNUMBER(Roster!$D79),Setup!$C$23&lt;=Roster!$D79,FALSE),"",IF(OR(IF(Setup!$C$15&lt;=Setup!$C$16,AND(MONTH(E79)&gt;=Setup!$C$15,MONTH(E79)&lt;=Setup!$C$16),OR(MONTH(E79)&gt;=Setup!$C$15,MONTH(E79)&lt;=Setup!$C$16)),IF(Setup!$C$15&lt;=Setup!$C$16,AND(MONTH(WORKDAY(E79,-(Setup!$C$13+Setup!$G$23),Setup!$C$39:$C$50))&gt;=Setup!$C$15,MONTH(WORKDAY(E79,-(Setup!$C$13+Setup!$G$23),Setup!$C$39:$C$50))&lt;=Setup!$C$16),OR(MONTH(WORKDAY(E79,-(Setup!$C$13+Setup!$G$23),Setup!$C$39:$C$50))&gt;=Setup!$C$15,MONTH(WORKDAY(E79,-(Setup!$C$13+Setup!$G$23),Setup!$C$39:$C$50))&lt;=Setup!$C$16))),WORKDAY(E79,-(Setup!$C$13+Setup!$G$23+Setup!$C$14),Setup!$C$39:$C$50),WORKDAY(E79,-(Setup!$C$13+Setup!$G$23),Setup!$C$39:$C$50))+(74*100+4)/10000000)))</f>
        <v/>
      </c>
      <c r="V79" t="str">
        <f>IF(F79="","",IF(F79&lt;Setup!$C$5-Setup!$C$6,"",IF(IF(ISNUMBER(Roster!$D79),Setup!$C$24&lt;=Roster!$D79,FALSE),"",IF(OR(IF(Setup!$C$15&lt;=Setup!$C$16,AND(MONTH(F79)&gt;=Setup!$C$15,MONTH(F79)&lt;=Setup!$C$16),OR(MONTH(F79)&gt;=Setup!$C$15,MONTH(F79)&lt;=Setup!$C$16)),IF(Setup!$C$15&lt;=Setup!$C$16,AND(MONTH(WORKDAY(F79,-(Setup!$C$13+Setup!$G$24),Setup!$C$39:$C$50))&gt;=Setup!$C$15,MONTH(WORKDAY(F79,-(Setup!$C$13+Setup!$G$24),Setup!$C$39:$C$50))&lt;=Setup!$C$16),OR(MONTH(WORKDAY(F79,-(Setup!$C$13+Setup!$G$24),Setup!$C$39:$C$50))&gt;=Setup!$C$15,MONTH(WORKDAY(F79,-(Setup!$C$13+Setup!$G$24),Setup!$C$39:$C$50))&lt;=Setup!$C$16))),WORKDAY(F79,-(Setup!$C$13+Setup!$G$24+Setup!$C$14),Setup!$C$39:$C$50),WORKDAY(F79,-(Setup!$C$13+Setup!$G$24),Setup!$C$39:$C$50))+(74*100+5)/10000000)))</f>
        <v/>
      </c>
      <c r="W79" t="str">
        <f>IF(G79="","",IF(G79&lt;Setup!$C$5-Setup!$C$6,"",IF(IF(ISNUMBER(Roster!$D79),Setup!$C$25&lt;=Roster!$D79,FALSE),"",IF(OR(IF(Setup!$C$15&lt;=Setup!$C$16,AND(MONTH(G79)&gt;=Setup!$C$15,MONTH(G79)&lt;=Setup!$C$16),OR(MONTH(G79)&gt;=Setup!$C$15,MONTH(G79)&lt;=Setup!$C$16)),IF(Setup!$C$15&lt;=Setup!$C$16,AND(MONTH(WORKDAY(G79,-(Setup!$C$13+Setup!$G$25),Setup!$C$39:$C$50))&gt;=Setup!$C$15,MONTH(WORKDAY(G79,-(Setup!$C$13+Setup!$G$25),Setup!$C$39:$C$50))&lt;=Setup!$C$16),OR(MONTH(WORKDAY(G79,-(Setup!$C$13+Setup!$G$25),Setup!$C$39:$C$50))&gt;=Setup!$C$15,MONTH(WORKDAY(G79,-(Setup!$C$13+Setup!$G$25),Setup!$C$39:$C$50))&lt;=Setup!$C$16))),WORKDAY(G79,-(Setup!$C$13+Setup!$G$25+Setup!$C$14),Setup!$C$39:$C$50),WORKDAY(G79,-(Setup!$C$13+Setup!$G$25),Setup!$C$39:$C$50))+(74*100+6)/10000000)))</f>
        <v/>
      </c>
      <c r="X79" t="str">
        <f>IF(H79="","",IF(H79&lt;Setup!$C$5-Setup!$C$6,"",IF(IF(ISNUMBER(Roster!$D79),Setup!$C$26&lt;=Roster!$D79,FALSE),"",IF(OR(IF(Setup!$C$15&lt;=Setup!$C$16,AND(MONTH(H79)&gt;=Setup!$C$15,MONTH(H79)&lt;=Setup!$C$16),OR(MONTH(H79)&gt;=Setup!$C$15,MONTH(H79)&lt;=Setup!$C$16)),IF(Setup!$C$15&lt;=Setup!$C$16,AND(MONTH(WORKDAY(H79,-(Setup!$C$13+Setup!$G$26),Setup!$C$39:$C$50))&gt;=Setup!$C$15,MONTH(WORKDAY(H79,-(Setup!$C$13+Setup!$G$26),Setup!$C$39:$C$50))&lt;=Setup!$C$16),OR(MONTH(WORKDAY(H79,-(Setup!$C$13+Setup!$G$26),Setup!$C$39:$C$50))&gt;=Setup!$C$15,MONTH(WORKDAY(H79,-(Setup!$C$13+Setup!$G$26),Setup!$C$39:$C$50))&lt;=Setup!$C$16))),WORKDAY(H79,-(Setup!$C$13+Setup!$G$26+Setup!$C$14),Setup!$C$39:$C$50),WORKDAY(H79,-(Setup!$C$13+Setup!$G$26),Setup!$C$39:$C$50))+(74*100+7)/10000000)))</f>
        <v/>
      </c>
      <c r="Y79" t="str">
        <f>IF(I79="","",IF(I79&lt;Setup!$C$5-Setup!$C$6,"",IF(IF(ISNUMBER(Roster!$D79),Setup!$C$27&lt;=Roster!$D79,FALSE),"",IF(OR(IF(Setup!$C$15&lt;=Setup!$C$16,AND(MONTH(I79)&gt;=Setup!$C$15,MONTH(I79)&lt;=Setup!$C$16),OR(MONTH(I79)&gt;=Setup!$C$15,MONTH(I79)&lt;=Setup!$C$16)),IF(Setup!$C$15&lt;=Setup!$C$16,AND(MONTH(WORKDAY(I79,-(Setup!$C$13+Setup!$G$27),Setup!$C$39:$C$50))&gt;=Setup!$C$15,MONTH(WORKDAY(I79,-(Setup!$C$13+Setup!$G$27),Setup!$C$39:$C$50))&lt;=Setup!$C$16),OR(MONTH(WORKDAY(I79,-(Setup!$C$13+Setup!$G$27),Setup!$C$39:$C$50))&gt;=Setup!$C$15,MONTH(WORKDAY(I79,-(Setup!$C$13+Setup!$G$27),Setup!$C$39:$C$50))&lt;=Setup!$C$16))),WORKDAY(I79,-(Setup!$C$13+Setup!$G$27+Setup!$C$14),Setup!$C$39:$C$50),WORKDAY(I79,-(Setup!$C$13+Setup!$G$27),Setup!$C$39:$C$50))+(74*100+8)/10000000)))</f>
        <v/>
      </c>
      <c r="Z79" t="str">
        <f>IF(J79="","",IF(J79&lt;Setup!$C$5-Setup!$C$6,"",IF(IF(ISNUMBER(Roster!$D79),Setup!$C$28&lt;=Roster!$D79,FALSE),"",IF(OR(IF(Setup!$C$15&lt;=Setup!$C$16,AND(MONTH(J79)&gt;=Setup!$C$15,MONTH(J79)&lt;=Setup!$C$16),OR(MONTH(J79)&gt;=Setup!$C$15,MONTH(J79)&lt;=Setup!$C$16)),IF(Setup!$C$15&lt;=Setup!$C$16,AND(MONTH(WORKDAY(J79,-(Setup!$C$13+Setup!$G$28),Setup!$C$39:$C$50))&gt;=Setup!$C$15,MONTH(WORKDAY(J79,-(Setup!$C$13+Setup!$G$28),Setup!$C$39:$C$50))&lt;=Setup!$C$16),OR(MONTH(WORKDAY(J79,-(Setup!$C$13+Setup!$G$28),Setup!$C$39:$C$50))&gt;=Setup!$C$15,MONTH(WORKDAY(J79,-(Setup!$C$13+Setup!$G$28),Setup!$C$39:$C$50))&lt;=Setup!$C$16))),WORKDAY(J79,-(Setup!$C$13+Setup!$G$28+Setup!$C$14),Setup!$C$39:$C$50),WORKDAY(J79,-(Setup!$C$13+Setup!$G$28),Setup!$C$39:$C$50))+(74*100+9)/10000000)))</f>
        <v/>
      </c>
      <c r="AA79" t="str">
        <f>IF(K79="","",IF(K79&lt;Setup!$C$5-Setup!$C$6,"",IF(IF(ISNUMBER(Roster!$D79),Setup!$C$29&lt;=Roster!$D79,FALSE),"",IF(OR(IF(Setup!$C$15&lt;=Setup!$C$16,AND(MONTH(K79)&gt;=Setup!$C$15,MONTH(K79)&lt;=Setup!$C$16),OR(MONTH(K79)&gt;=Setup!$C$15,MONTH(K79)&lt;=Setup!$C$16)),IF(Setup!$C$15&lt;=Setup!$C$16,AND(MONTH(WORKDAY(K79,-(Setup!$C$13+Setup!$G$29),Setup!$C$39:$C$50))&gt;=Setup!$C$15,MONTH(WORKDAY(K79,-(Setup!$C$13+Setup!$G$29),Setup!$C$39:$C$50))&lt;=Setup!$C$16),OR(MONTH(WORKDAY(K79,-(Setup!$C$13+Setup!$G$29),Setup!$C$39:$C$50))&gt;=Setup!$C$15,MONTH(WORKDAY(K79,-(Setup!$C$13+Setup!$G$29),Setup!$C$39:$C$50))&lt;=Setup!$C$16))),WORKDAY(K79,-(Setup!$C$13+Setup!$G$29+Setup!$C$14),Setup!$C$39:$C$50),WORKDAY(K79,-(Setup!$C$13+Setup!$G$29),Setup!$C$39:$C$50))+(74*100+10)/10000000)))</f>
        <v/>
      </c>
      <c r="AB79" t="str">
        <f>IF(L79="","",IF(L79&lt;Setup!$C$5-Setup!$C$6,"",IF(IF(ISNUMBER(Roster!$D79),Setup!$C$30&lt;=Roster!$D79,FALSE),"",IF(OR(IF(Setup!$C$15&lt;=Setup!$C$16,AND(MONTH(L79)&gt;=Setup!$C$15,MONTH(L79)&lt;=Setup!$C$16),OR(MONTH(L79)&gt;=Setup!$C$15,MONTH(L79)&lt;=Setup!$C$16)),IF(Setup!$C$15&lt;=Setup!$C$16,AND(MONTH(WORKDAY(L79,-(Setup!$C$13+Setup!$G$30),Setup!$C$39:$C$50))&gt;=Setup!$C$15,MONTH(WORKDAY(L79,-(Setup!$C$13+Setup!$G$30),Setup!$C$39:$C$50))&lt;=Setup!$C$16),OR(MONTH(WORKDAY(L79,-(Setup!$C$13+Setup!$G$30),Setup!$C$39:$C$50))&gt;=Setup!$C$15,MONTH(WORKDAY(L79,-(Setup!$C$13+Setup!$G$30),Setup!$C$39:$C$50))&lt;=Setup!$C$16))),WORKDAY(L79,-(Setup!$C$13+Setup!$G$30+Setup!$C$14),Setup!$C$39:$C$50),WORKDAY(L79,-(Setup!$C$13+Setup!$G$30),Setup!$C$39:$C$50))+(74*100+11)/10000000)))</f>
        <v/>
      </c>
      <c r="AC79" t="str">
        <f>IF(M79="","",IF(M79&lt;Setup!$C$5-Setup!$C$6,"",IF(IF(ISNUMBER(Roster!$D79),Setup!$C$31&lt;=Roster!$D79,FALSE),"",IF(OR(IF(Setup!$C$15&lt;=Setup!$C$16,AND(MONTH(M79)&gt;=Setup!$C$15,MONTH(M79)&lt;=Setup!$C$16),OR(MONTH(M79)&gt;=Setup!$C$15,MONTH(M79)&lt;=Setup!$C$16)),IF(Setup!$C$15&lt;=Setup!$C$16,AND(MONTH(WORKDAY(M79,-(Setup!$C$13+Setup!$G$31),Setup!$C$39:$C$50))&gt;=Setup!$C$15,MONTH(WORKDAY(M79,-(Setup!$C$13+Setup!$G$31),Setup!$C$39:$C$50))&lt;=Setup!$C$16),OR(MONTH(WORKDAY(M79,-(Setup!$C$13+Setup!$G$31),Setup!$C$39:$C$50))&gt;=Setup!$C$15,MONTH(WORKDAY(M79,-(Setup!$C$13+Setup!$G$31),Setup!$C$39:$C$50))&lt;=Setup!$C$16))),WORKDAY(M79,-(Setup!$C$13+Setup!$G$31+Setup!$C$14),Setup!$C$39:$C$50),WORKDAY(M79,-(Setup!$C$13+Setup!$G$31),Setup!$C$39:$C$50))+(74*100+12)/10000000)))</f>
        <v/>
      </c>
      <c r="AD79" t="str">
        <f>IF(N79="","",IF(N79&lt;Setup!$C$5-Setup!$C$6,"",IF(IF(ISNUMBER(Roster!$D79),Setup!$C$32&lt;=Roster!$D79,FALSE),"",IF(OR(IF(Setup!$C$15&lt;=Setup!$C$16,AND(MONTH(N79)&gt;=Setup!$C$15,MONTH(N79)&lt;=Setup!$C$16),OR(MONTH(N79)&gt;=Setup!$C$15,MONTH(N79)&lt;=Setup!$C$16)),IF(Setup!$C$15&lt;=Setup!$C$16,AND(MONTH(WORKDAY(N79,-(Setup!$C$13+Setup!$G$32),Setup!$C$39:$C$50))&gt;=Setup!$C$15,MONTH(WORKDAY(N79,-(Setup!$C$13+Setup!$G$32),Setup!$C$39:$C$50))&lt;=Setup!$C$16),OR(MONTH(WORKDAY(N79,-(Setup!$C$13+Setup!$G$32),Setup!$C$39:$C$50))&gt;=Setup!$C$15,MONTH(WORKDAY(N79,-(Setup!$C$13+Setup!$G$32),Setup!$C$39:$C$50))&lt;=Setup!$C$16))),WORKDAY(N79,-(Setup!$C$13+Setup!$G$32+Setup!$C$14),Setup!$C$39:$C$50),WORKDAY(N79,-(Setup!$C$13+Setup!$G$32),Setup!$C$39:$C$50))+(74*100+13)/10000000)))</f>
        <v/>
      </c>
      <c r="AE79" t="str">
        <f>IF(O79="","",IF(O79&lt;Setup!$C$5-Setup!$C$6,"",IF(IF(ISNUMBER(Roster!$D79),Setup!$C$33&lt;=Roster!$D79,FALSE),"",IF(OR(IF(Setup!$C$15&lt;=Setup!$C$16,AND(MONTH(O79)&gt;=Setup!$C$15,MONTH(O79)&lt;=Setup!$C$16),OR(MONTH(O79)&gt;=Setup!$C$15,MONTH(O79)&lt;=Setup!$C$16)),IF(Setup!$C$15&lt;=Setup!$C$16,AND(MONTH(WORKDAY(O79,-(Setup!$C$13+Setup!$G$33),Setup!$C$39:$C$50))&gt;=Setup!$C$15,MONTH(WORKDAY(O79,-(Setup!$C$13+Setup!$G$33),Setup!$C$39:$C$50))&lt;=Setup!$C$16),OR(MONTH(WORKDAY(O79,-(Setup!$C$13+Setup!$G$33),Setup!$C$39:$C$50))&gt;=Setup!$C$15,MONTH(WORKDAY(O79,-(Setup!$C$13+Setup!$G$33),Setup!$C$39:$C$50))&lt;=Setup!$C$16))),WORKDAY(O79,-(Setup!$C$13+Setup!$G$33+Setup!$C$14),Setup!$C$39:$C$50),WORKDAY(O79,-(Setup!$C$13+Setup!$G$33),Setup!$C$39:$C$50))+(74*100+14)/10000000)))</f>
        <v/>
      </c>
      <c r="AF79" t="str">
        <f>IF(P79="","",IF(P79&lt;Setup!$C$5-Setup!$C$6,"",IF(IF(ISNUMBER(Roster!$D79),Setup!$C$34&lt;=Roster!$D79,FALSE),"",IF(OR(IF(Setup!$C$15&lt;=Setup!$C$16,AND(MONTH(P79)&gt;=Setup!$C$15,MONTH(P79)&lt;=Setup!$C$16),OR(MONTH(P79)&gt;=Setup!$C$15,MONTH(P79)&lt;=Setup!$C$16)),IF(Setup!$C$15&lt;=Setup!$C$16,AND(MONTH(WORKDAY(P79,-(Setup!$C$13+Setup!$G$34),Setup!$C$39:$C$50))&gt;=Setup!$C$15,MONTH(WORKDAY(P79,-(Setup!$C$13+Setup!$G$34),Setup!$C$39:$C$50))&lt;=Setup!$C$16),OR(MONTH(WORKDAY(P79,-(Setup!$C$13+Setup!$G$34),Setup!$C$39:$C$50))&gt;=Setup!$C$15,MONTH(WORKDAY(P79,-(Setup!$C$13+Setup!$G$34),Setup!$C$39:$C$50))&lt;=Setup!$C$16))),WORKDAY(P79,-(Setup!$C$13+Setup!$G$34+Setup!$C$14),Setup!$C$39:$C$50),WORKDAY(P79,-(Setup!$C$13+Setup!$G$34),Setup!$C$39:$C$50))+(74*100+15)/10000000)))</f>
        <v/>
      </c>
      <c r="AH79" t="str">
        <f t="shared" si="9"/>
        <v/>
      </c>
      <c r="AI79" t="str">
        <f t="shared" si="10"/>
        <v/>
      </c>
      <c r="AK79" t="str">
        <f ca="1">IF(74&gt;$AK$2,"",SMALL($R$6:$AF$505,74))</f>
        <v/>
      </c>
      <c r="AL79" t="str">
        <f t="shared" ca="1" si="11"/>
        <v/>
      </c>
      <c r="AM79" t="str">
        <f t="shared" ca="1" si="12"/>
        <v/>
      </c>
      <c r="AN79" t="str">
        <f t="shared" ca="1" si="13"/>
        <v/>
      </c>
      <c r="AP79" t="str">
        <f>IF(ISNUMBER(Roster!$B79),MAX(1,YEAR(Setup!$C$5)-YEAR(Roster!$B79)+IF(EDATE(Roster!$B79,12*(YEAR(Setup!$C$5)-YEAR(Roster!$B79)))&lt;Setup!$C$5,1,0)),"")</f>
        <v/>
      </c>
      <c r="AQ79" s="32" t="str">
        <f>IF(AP79="","",EDATE(Roster!$B79,12*AP79))</f>
        <v/>
      </c>
      <c r="AR79" t="str">
        <f>IF(AQ79="","",IF(AQ79&lt;DATE(YEAR(Setup!$C$5)+1,MONTH(Setup!$C$5),DAY(Setup!$C$5)),AQ79+74/1000,""))</f>
        <v/>
      </c>
      <c r="AS79" t="str">
        <f t="shared" si="14"/>
        <v/>
      </c>
      <c r="AT79" t="str">
        <f>IF(AS79="","",IF(ISNUMBER(Roster!$D79),Roster!$D79&gt;=AP79,FALSE))</f>
        <v/>
      </c>
      <c r="AU79" t="str">
        <f t="shared" si="15"/>
        <v/>
      </c>
      <c r="AV79" t="str">
        <f ca="1">IF(74&gt;$AV$2,"",SMALL($AR$6:$AR$505,74))</f>
        <v/>
      </c>
      <c r="AW79" t="str">
        <f t="shared" ca="1" si="16"/>
        <v/>
      </c>
    </row>
    <row r="80" spans="2:49" x14ac:dyDescent="0.2">
      <c r="B80" s="32" t="str">
        <f>IF(AND(ISNUMBER(Roster!$B80),Setup!$B$20="Yes",ISNUMBER(Setup!$C$20)),EDATE(Roster!$B80,12*Setup!$C$20),"")</f>
        <v/>
      </c>
      <c r="C80" s="32" t="str">
        <f>IF(AND(ISNUMBER(Roster!$B80),Setup!$B$21="Yes",ISNUMBER(Setup!$C$21)),EDATE(Roster!$B80,12*Setup!$C$21),"")</f>
        <v/>
      </c>
      <c r="D80" s="32" t="str">
        <f>IF(AND(ISNUMBER(Roster!$B80),Setup!$B$22="Yes",ISNUMBER(Setup!$C$22)),EDATE(Roster!$B80,12*Setup!$C$22),"")</f>
        <v/>
      </c>
      <c r="E80" s="32" t="str">
        <f>IF(AND(ISNUMBER(Roster!$B80),Setup!$B$23="Yes",ISNUMBER(Setup!$C$23)),EDATE(Roster!$B80,12*Setup!$C$23),"")</f>
        <v/>
      </c>
      <c r="F80" s="32" t="str">
        <f>IF(AND(ISNUMBER(Roster!$B80),Setup!$B$24="Yes",ISNUMBER(Setup!$C$24)),EDATE(Roster!$B80,12*Setup!$C$24),"")</f>
        <v/>
      </c>
      <c r="G80" s="32" t="str">
        <f>IF(AND(ISNUMBER(Roster!$B80),Setup!$B$25="Yes",ISNUMBER(Setup!$C$25)),EDATE(Roster!$B80,12*Setup!$C$25),"")</f>
        <v/>
      </c>
      <c r="H80" s="32" t="str">
        <f>IF(AND(ISNUMBER(Roster!$B80),Setup!$B$26="Yes",ISNUMBER(Setup!$C$26)),EDATE(Roster!$B80,12*Setup!$C$26),"")</f>
        <v/>
      </c>
      <c r="I80" s="32" t="str">
        <f>IF(AND(ISNUMBER(Roster!$B80),Setup!$B$27="Yes",ISNUMBER(Setup!$C$27)),EDATE(Roster!$B80,12*Setup!$C$27),"")</f>
        <v/>
      </c>
      <c r="J80" s="32" t="str">
        <f>IF(AND(ISNUMBER(Roster!$B80),Setup!$B$28="Yes",ISNUMBER(Setup!$C$28)),EDATE(Roster!$B80,12*Setup!$C$28),"")</f>
        <v/>
      </c>
      <c r="K80" s="32" t="str">
        <f>IF(AND(ISNUMBER(Roster!$B80),Setup!$B$29="Yes",ISNUMBER(Setup!$C$29)),EDATE(Roster!$B80,12*Setup!$C$29),"")</f>
        <v/>
      </c>
      <c r="L80" s="32" t="str">
        <f>IF(AND(ISNUMBER(Roster!$B80),Setup!$B$30="Yes",ISNUMBER(Setup!$C$30)),EDATE(Roster!$B80,12*Setup!$C$30),"")</f>
        <v/>
      </c>
      <c r="M80" s="32" t="str">
        <f>IF(AND(ISNUMBER(Roster!$B80),Setup!$B$31="Yes",ISNUMBER(Setup!$C$31)),EDATE(Roster!$B80,12*Setup!$C$31),"")</f>
        <v/>
      </c>
      <c r="N80" s="32" t="str">
        <f>IF(AND(ISNUMBER(Roster!$B80),Setup!$B$32="Yes",ISNUMBER(Setup!$C$32)),EDATE(Roster!$B80,12*Setup!$C$32),"")</f>
        <v/>
      </c>
      <c r="O80" s="32" t="str">
        <f>IF(AND(ISNUMBER(Roster!$B80),Setup!$B$33="Yes",ISNUMBER(Setup!$C$33)),EDATE(Roster!$B80,12*Setup!$C$33),"")</f>
        <v/>
      </c>
      <c r="P80" s="32" t="str">
        <f>IF(AND(ISNUMBER(Roster!$B80),Setup!$B$34="Yes",ISNUMBER(Setup!$C$34)),EDATE(Roster!$B80,12*Setup!$C$34),"")</f>
        <v/>
      </c>
      <c r="R80" t="str">
        <f>IF(B80="","",IF(B80&lt;Setup!$C$5-Setup!$C$6,"",IF(IF(ISNUMBER(Roster!$D80),Setup!$C$20&lt;=Roster!$D80,FALSE),"",IF(OR(IF(Setup!$C$15&lt;=Setup!$C$16,AND(MONTH(B80)&gt;=Setup!$C$15,MONTH(B80)&lt;=Setup!$C$16),OR(MONTH(B80)&gt;=Setup!$C$15,MONTH(B80)&lt;=Setup!$C$16)),IF(Setup!$C$15&lt;=Setup!$C$16,AND(MONTH(WORKDAY(B80,-(Setup!$C$13+Setup!$G$20),Setup!$C$39:$C$50))&gt;=Setup!$C$15,MONTH(WORKDAY(B80,-(Setup!$C$13+Setup!$G$20),Setup!$C$39:$C$50))&lt;=Setup!$C$16),OR(MONTH(WORKDAY(B80,-(Setup!$C$13+Setup!$G$20),Setup!$C$39:$C$50))&gt;=Setup!$C$15,MONTH(WORKDAY(B80,-(Setup!$C$13+Setup!$G$20),Setup!$C$39:$C$50))&lt;=Setup!$C$16))),WORKDAY(B80,-(Setup!$C$13+Setup!$G$20+Setup!$C$14),Setup!$C$39:$C$50),WORKDAY(B80,-(Setup!$C$13+Setup!$G$20),Setup!$C$39:$C$50))+(75*100+1)/10000000)))</f>
        <v/>
      </c>
      <c r="S80" t="str">
        <f>IF(C80="","",IF(C80&lt;Setup!$C$5-Setup!$C$6,"",IF(IF(ISNUMBER(Roster!$D80),Setup!$C$21&lt;=Roster!$D80,FALSE),"",IF(OR(IF(Setup!$C$15&lt;=Setup!$C$16,AND(MONTH(C80)&gt;=Setup!$C$15,MONTH(C80)&lt;=Setup!$C$16),OR(MONTH(C80)&gt;=Setup!$C$15,MONTH(C80)&lt;=Setup!$C$16)),IF(Setup!$C$15&lt;=Setup!$C$16,AND(MONTH(WORKDAY(C80,-(Setup!$C$13+Setup!$G$21),Setup!$C$39:$C$50))&gt;=Setup!$C$15,MONTH(WORKDAY(C80,-(Setup!$C$13+Setup!$G$21),Setup!$C$39:$C$50))&lt;=Setup!$C$16),OR(MONTH(WORKDAY(C80,-(Setup!$C$13+Setup!$G$21),Setup!$C$39:$C$50))&gt;=Setup!$C$15,MONTH(WORKDAY(C80,-(Setup!$C$13+Setup!$G$21),Setup!$C$39:$C$50))&lt;=Setup!$C$16))),WORKDAY(C80,-(Setup!$C$13+Setup!$G$21+Setup!$C$14),Setup!$C$39:$C$50),WORKDAY(C80,-(Setup!$C$13+Setup!$G$21),Setup!$C$39:$C$50))+(75*100+2)/10000000)))</f>
        <v/>
      </c>
      <c r="T80" t="str">
        <f>IF(D80="","",IF(D80&lt;Setup!$C$5-Setup!$C$6,"",IF(IF(ISNUMBER(Roster!$D80),Setup!$C$22&lt;=Roster!$D80,FALSE),"",IF(OR(IF(Setup!$C$15&lt;=Setup!$C$16,AND(MONTH(D80)&gt;=Setup!$C$15,MONTH(D80)&lt;=Setup!$C$16),OR(MONTH(D80)&gt;=Setup!$C$15,MONTH(D80)&lt;=Setup!$C$16)),IF(Setup!$C$15&lt;=Setup!$C$16,AND(MONTH(WORKDAY(D80,-(Setup!$C$13+Setup!$G$22),Setup!$C$39:$C$50))&gt;=Setup!$C$15,MONTH(WORKDAY(D80,-(Setup!$C$13+Setup!$G$22),Setup!$C$39:$C$50))&lt;=Setup!$C$16),OR(MONTH(WORKDAY(D80,-(Setup!$C$13+Setup!$G$22),Setup!$C$39:$C$50))&gt;=Setup!$C$15,MONTH(WORKDAY(D80,-(Setup!$C$13+Setup!$G$22),Setup!$C$39:$C$50))&lt;=Setup!$C$16))),WORKDAY(D80,-(Setup!$C$13+Setup!$G$22+Setup!$C$14),Setup!$C$39:$C$50),WORKDAY(D80,-(Setup!$C$13+Setup!$G$22),Setup!$C$39:$C$50))+(75*100+3)/10000000)))</f>
        <v/>
      </c>
      <c r="U80" t="str">
        <f>IF(E80="","",IF(E80&lt;Setup!$C$5-Setup!$C$6,"",IF(IF(ISNUMBER(Roster!$D80),Setup!$C$23&lt;=Roster!$D80,FALSE),"",IF(OR(IF(Setup!$C$15&lt;=Setup!$C$16,AND(MONTH(E80)&gt;=Setup!$C$15,MONTH(E80)&lt;=Setup!$C$16),OR(MONTH(E80)&gt;=Setup!$C$15,MONTH(E80)&lt;=Setup!$C$16)),IF(Setup!$C$15&lt;=Setup!$C$16,AND(MONTH(WORKDAY(E80,-(Setup!$C$13+Setup!$G$23),Setup!$C$39:$C$50))&gt;=Setup!$C$15,MONTH(WORKDAY(E80,-(Setup!$C$13+Setup!$G$23),Setup!$C$39:$C$50))&lt;=Setup!$C$16),OR(MONTH(WORKDAY(E80,-(Setup!$C$13+Setup!$G$23),Setup!$C$39:$C$50))&gt;=Setup!$C$15,MONTH(WORKDAY(E80,-(Setup!$C$13+Setup!$G$23),Setup!$C$39:$C$50))&lt;=Setup!$C$16))),WORKDAY(E80,-(Setup!$C$13+Setup!$G$23+Setup!$C$14),Setup!$C$39:$C$50),WORKDAY(E80,-(Setup!$C$13+Setup!$G$23),Setup!$C$39:$C$50))+(75*100+4)/10000000)))</f>
        <v/>
      </c>
      <c r="V80" t="str">
        <f>IF(F80="","",IF(F80&lt;Setup!$C$5-Setup!$C$6,"",IF(IF(ISNUMBER(Roster!$D80),Setup!$C$24&lt;=Roster!$D80,FALSE),"",IF(OR(IF(Setup!$C$15&lt;=Setup!$C$16,AND(MONTH(F80)&gt;=Setup!$C$15,MONTH(F80)&lt;=Setup!$C$16),OR(MONTH(F80)&gt;=Setup!$C$15,MONTH(F80)&lt;=Setup!$C$16)),IF(Setup!$C$15&lt;=Setup!$C$16,AND(MONTH(WORKDAY(F80,-(Setup!$C$13+Setup!$G$24),Setup!$C$39:$C$50))&gt;=Setup!$C$15,MONTH(WORKDAY(F80,-(Setup!$C$13+Setup!$G$24),Setup!$C$39:$C$50))&lt;=Setup!$C$16),OR(MONTH(WORKDAY(F80,-(Setup!$C$13+Setup!$G$24),Setup!$C$39:$C$50))&gt;=Setup!$C$15,MONTH(WORKDAY(F80,-(Setup!$C$13+Setup!$G$24),Setup!$C$39:$C$50))&lt;=Setup!$C$16))),WORKDAY(F80,-(Setup!$C$13+Setup!$G$24+Setup!$C$14),Setup!$C$39:$C$50),WORKDAY(F80,-(Setup!$C$13+Setup!$G$24),Setup!$C$39:$C$50))+(75*100+5)/10000000)))</f>
        <v/>
      </c>
      <c r="W80" t="str">
        <f>IF(G80="","",IF(G80&lt;Setup!$C$5-Setup!$C$6,"",IF(IF(ISNUMBER(Roster!$D80),Setup!$C$25&lt;=Roster!$D80,FALSE),"",IF(OR(IF(Setup!$C$15&lt;=Setup!$C$16,AND(MONTH(G80)&gt;=Setup!$C$15,MONTH(G80)&lt;=Setup!$C$16),OR(MONTH(G80)&gt;=Setup!$C$15,MONTH(G80)&lt;=Setup!$C$16)),IF(Setup!$C$15&lt;=Setup!$C$16,AND(MONTH(WORKDAY(G80,-(Setup!$C$13+Setup!$G$25),Setup!$C$39:$C$50))&gt;=Setup!$C$15,MONTH(WORKDAY(G80,-(Setup!$C$13+Setup!$G$25),Setup!$C$39:$C$50))&lt;=Setup!$C$16),OR(MONTH(WORKDAY(G80,-(Setup!$C$13+Setup!$G$25),Setup!$C$39:$C$50))&gt;=Setup!$C$15,MONTH(WORKDAY(G80,-(Setup!$C$13+Setup!$G$25),Setup!$C$39:$C$50))&lt;=Setup!$C$16))),WORKDAY(G80,-(Setup!$C$13+Setup!$G$25+Setup!$C$14),Setup!$C$39:$C$50),WORKDAY(G80,-(Setup!$C$13+Setup!$G$25),Setup!$C$39:$C$50))+(75*100+6)/10000000)))</f>
        <v/>
      </c>
      <c r="X80" t="str">
        <f>IF(H80="","",IF(H80&lt;Setup!$C$5-Setup!$C$6,"",IF(IF(ISNUMBER(Roster!$D80),Setup!$C$26&lt;=Roster!$D80,FALSE),"",IF(OR(IF(Setup!$C$15&lt;=Setup!$C$16,AND(MONTH(H80)&gt;=Setup!$C$15,MONTH(H80)&lt;=Setup!$C$16),OR(MONTH(H80)&gt;=Setup!$C$15,MONTH(H80)&lt;=Setup!$C$16)),IF(Setup!$C$15&lt;=Setup!$C$16,AND(MONTH(WORKDAY(H80,-(Setup!$C$13+Setup!$G$26),Setup!$C$39:$C$50))&gt;=Setup!$C$15,MONTH(WORKDAY(H80,-(Setup!$C$13+Setup!$G$26),Setup!$C$39:$C$50))&lt;=Setup!$C$16),OR(MONTH(WORKDAY(H80,-(Setup!$C$13+Setup!$G$26),Setup!$C$39:$C$50))&gt;=Setup!$C$15,MONTH(WORKDAY(H80,-(Setup!$C$13+Setup!$G$26),Setup!$C$39:$C$50))&lt;=Setup!$C$16))),WORKDAY(H80,-(Setup!$C$13+Setup!$G$26+Setup!$C$14),Setup!$C$39:$C$50),WORKDAY(H80,-(Setup!$C$13+Setup!$G$26),Setup!$C$39:$C$50))+(75*100+7)/10000000)))</f>
        <v/>
      </c>
      <c r="Y80" t="str">
        <f>IF(I80="","",IF(I80&lt;Setup!$C$5-Setup!$C$6,"",IF(IF(ISNUMBER(Roster!$D80),Setup!$C$27&lt;=Roster!$D80,FALSE),"",IF(OR(IF(Setup!$C$15&lt;=Setup!$C$16,AND(MONTH(I80)&gt;=Setup!$C$15,MONTH(I80)&lt;=Setup!$C$16),OR(MONTH(I80)&gt;=Setup!$C$15,MONTH(I80)&lt;=Setup!$C$16)),IF(Setup!$C$15&lt;=Setup!$C$16,AND(MONTH(WORKDAY(I80,-(Setup!$C$13+Setup!$G$27),Setup!$C$39:$C$50))&gt;=Setup!$C$15,MONTH(WORKDAY(I80,-(Setup!$C$13+Setup!$G$27),Setup!$C$39:$C$50))&lt;=Setup!$C$16),OR(MONTH(WORKDAY(I80,-(Setup!$C$13+Setup!$G$27),Setup!$C$39:$C$50))&gt;=Setup!$C$15,MONTH(WORKDAY(I80,-(Setup!$C$13+Setup!$G$27),Setup!$C$39:$C$50))&lt;=Setup!$C$16))),WORKDAY(I80,-(Setup!$C$13+Setup!$G$27+Setup!$C$14),Setup!$C$39:$C$50),WORKDAY(I80,-(Setup!$C$13+Setup!$G$27),Setup!$C$39:$C$50))+(75*100+8)/10000000)))</f>
        <v/>
      </c>
      <c r="Z80" t="str">
        <f>IF(J80="","",IF(J80&lt;Setup!$C$5-Setup!$C$6,"",IF(IF(ISNUMBER(Roster!$D80),Setup!$C$28&lt;=Roster!$D80,FALSE),"",IF(OR(IF(Setup!$C$15&lt;=Setup!$C$16,AND(MONTH(J80)&gt;=Setup!$C$15,MONTH(J80)&lt;=Setup!$C$16),OR(MONTH(J80)&gt;=Setup!$C$15,MONTH(J80)&lt;=Setup!$C$16)),IF(Setup!$C$15&lt;=Setup!$C$16,AND(MONTH(WORKDAY(J80,-(Setup!$C$13+Setup!$G$28),Setup!$C$39:$C$50))&gt;=Setup!$C$15,MONTH(WORKDAY(J80,-(Setup!$C$13+Setup!$G$28),Setup!$C$39:$C$50))&lt;=Setup!$C$16),OR(MONTH(WORKDAY(J80,-(Setup!$C$13+Setup!$G$28),Setup!$C$39:$C$50))&gt;=Setup!$C$15,MONTH(WORKDAY(J80,-(Setup!$C$13+Setup!$G$28),Setup!$C$39:$C$50))&lt;=Setup!$C$16))),WORKDAY(J80,-(Setup!$C$13+Setup!$G$28+Setup!$C$14),Setup!$C$39:$C$50),WORKDAY(J80,-(Setup!$C$13+Setup!$G$28),Setup!$C$39:$C$50))+(75*100+9)/10000000)))</f>
        <v/>
      </c>
      <c r="AA80" t="str">
        <f>IF(K80="","",IF(K80&lt;Setup!$C$5-Setup!$C$6,"",IF(IF(ISNUMBER(Roster!$D80),Setup!$C$29&lt;=Roster!$D80,FALSE),"",IF(OR(IF(Setup!$C$15&lt;=Setup!$C$16,AND(MONTH(K80)&gt;=Setup!$C$15,MONTH(K80)&lt;=Setup!$C$16),OR(MONTH(K80)&gt;=Setup!$C$15,MONTH(K80)&lt;=Setup!$C$16)),IF(Setup!$C$15&lt;=Setup!$C$16,AND(MONTH(WORKDAY(K80,-(Setup!$C$13+Setup!$G$29),Setup!$C$39:$C$50))&gt;=Setup!$C$15,MONTH(WORKDAY(K80,-(Setup!$C$13+Setup!$G$29),Setup!$C$39:$C$50))&lt;=Setup!$C$16),OR(MONTH(WORKDAY(K80,-(Setup!$C$13+Setup!$G$29),Setup!$C$39:$C$50))&gt;=Setup!$C$15,MONTH(WORKDAY(K80,-(Setup!$C$13+Setup!$G$29),Setup!$C$39:$C$50))&lt;=Setup!$C$16))),WORKDAY(K80,-(Setup!$C$13+Setup!$G$29+Setup!$C$14),Setup!$C$39:$C$50),WORKDAY(K80,-(Setup!$C$13+Setup!$G$29),Setup!$C$39:$C$50))+(75*100+10)/10000000)))</f>
        <v/>
      </c>
      <c r="AB80" t="str">
        <f>IF(L80="","",IF(L80&lt;Setup!$C$5-Setup!$C$6,"",IF(IF(ISNUMBER(Roster!$D80),Setup!$C$30&lt;=Roster!$D80,FALSE),"",IF(OR(IF(Setup!$C$15&lt;=Setup!$C$16,AND(MONTH(L80)&gt;=Setup!$C$15,MONTH(L80)&lt;=Setup!$C$16),OR(MONTH(L80)&gt;=Setup!$C$15,MONTH(L80)&lt;=Setup!$C$16)),IF(Setup!$C$15&lt;=Setup!$C$16,AND(MONTH(WORKDAY(L80,-(Setup!$C$13+Setup!$G$30),Setup!$C$39:$C$50))&gt;=Setup!$C$15,MONTH(WORKDAY(L80,-(Setup!$C$13+Setup!$G$30),Setup!$C$39:$C$50))&lt;=Setup!$C$16),OR(MONTH(WORKDAY(L80,-(Setup!$C$13+Setup!$G$30),Setup!$C$39:$C$50))&gt;=Setup!$C$15,MONTH(WORKDAY(L80,-(Setup!$C$13+Setup!$G$30),Setup!$C$39:$C$50))&lt;=Setup!$C$16))),WORKDAY(L80,-(Setup!$C$13+Setup!$G$30+Setup!$C$14),Setup!$C$39:$C$50),WORKDAY(L80,-(Setup!$C$13+Setup!$G$30),Setup!$C$39:$C$50))+(75*100+11)/10000000)))</f>
        <v/>
      </c>
      <c r="AC80" t="str">
        <f>IF(M80="","",IF(M80&lt;Setup!$C$5-Setup!$C$6,"",IF(IF(ISNUMBER(Roster!$D80),Setup!$C$31&lt;=Roster!$D80,FALSE),"",IF(OR(IF(Setup!$C$15&lt;=Setup!$C$16,AND(MONTH(M80)&gt;=Setup!$C$15,MONTH(M80)&lt;=Setup!$C$16),OR(MONTH(M80)&gt;=Setup!$C$15,MONTH(M80)&lt;=Setup!$C$16)),IF(Setup!$C$15&lt;=Setup!$C$16,AND(MONTH(WORKDAY(M80,-(Setup!$C$13+Setup!$G$31),Setup!$C$39:$C$50))&gt;=Setup!$C$15,MONTH(WORKDAY(M80,-(Setup!$C$13+Setup!$G$31),Setup!$C$39:$C$50))&lt;=Setup!$C$16),OR(MONTH(WORKDAY(M80,-(Setup!$C$13+Setup!$G$31),Setup!$C$39:$C$50))&gt;=Setup!$C$15,MONTH(WORKDAY(M80,-(Setup!$C$13+Setup!$G$31),Setup!$C$39:$C$50))&lt;=Setup!$C$16))),WORKDAY(M80,-(Setup!$C$13+Setup!$G$31+Setup!$C$14),Setup!$C$39:$C$50),WORKDAY(M80,-(Setup!$C$13+Setup!$G$31),Setup!$C$39:$C$50))+(75*100+12)/10000000)))</f>
        <v/>
      </c>
      <c r="AD80" t="str">
        <f>IF(N80="","",IF(N80&lt;Setup!$C$5-Setup!$C$6,"",IF(IF(ISNUMBER(Roster!$D80),Setup!$C$32&lt;=Roster!$D80,FALSE),"",IF(OR(IF(Setup!$C$15&lt;=Setup!$C$16,AND(MONTH(N80)&gt;=Setup!$C$15,MONTH(N80)&lt;=Setup!$C$16),OR(MONTH(N80)&gt;=Setup!$C$15,MONTH(N80)&lt;=Setup!$C$16)),IF(Setup!$C$15&lt;=Setup!$C$16,AND(MONTH(WORKDAY(N80,-(Setup!$C$13+Setup!$G$32),Setup!$C$39:$C$50))&gt;=Setup!$C$15,MONTH(WORKDAY(N80,-(Setup!$C$13+Setup!$G$32),Setup!$C$39:$C$50))&lt;=Setup!$C$16),OR(MONTH(WORKDAY(N80,-(Setup!$C$13+Setup!$G$32),Setup!$C$39:$C$50))&gt;=Setup!$C$15,MONTH(WORKDAY(N80,-(Setup!$C$13+Setup!$G$32),Setup!$C$39:$C$50))&lt;=Setup!$C$16))),WORKDAY(N80,-(Setup!$C$13+Setup!$G$32+Setup!$C$14),Setup!$C$39:$C$50),WORKDAY(N80,-(Setup!$C$13+Setup!$G$32),Setup!$C$39:$C$50))+(75*100+13)/10000000)))</f>
        <v/>
      </c>
      <c r="AE80" t="str">
        <f>IF(O80="","",IF(O80&lt;Setup!$C$5-Setup!$C$6,"",IF(IF(ISNUMBER(Roster!$D80),Setup!$C$33&lt;=Roster!$D80,FALSE),"",IF(OR(IF(Setup!$C$15&lt;=Setup!$C$16,AND(MONTH(O80)&gt;=Setup!$C$15,MONTH(O80)&lt;=Setup!$C$16),OR(MONTH(O80)&gt;=Setup!$C$15,MONTH(O80)&lt;=Setup!$C$16)),IF(Setup!$C$15&lt;=Setup!$C$16,AND(MONTH(WORKDAY(O80,-(Setup!$C$13+Setup!$G$33),Setup!$C$39:$C$50))&gt;=Setup!$C$15,MONTH(WORKDAY(O80,-(Setup!$C$13+Setup!$G$33),Setup!$C$39:$C$50))&lt;=Setup!$C$16),OR(MONTH(WORKDAY(O80,-(Setup!$C$13+Setup!$G$33),Setup!$C$39:$C$50))&gt;=Setup!$C$15,MONTH(WORKDAY(O80,-(Setup!$C$13+Setup!$G$33),Setup!$C$39:$C$50))&lt;=Setup!$C$16))),WORKDAY(O80,-(Setup!$C$13+Setup!$G$33+Setup!$C$14),Setup!$C$39:$C$50),WORKDAY(O80,-(Setup!$C$13+Setup!$G$33),Setup!$C$39:$C$50))+(75*100+14)/10000000)))</f>
        <v/>
      </c>
      <c r="AF80" t="str">
        <f>IF(P80="","",IF(P80&lt;Setup!$C$5-Setup!$C$6,"",IF(IF(ISNUMBER(Roster!$D80),Setup!$C$34&lt;=Roster!$D80,FALSE),"",IF(OR(IF(Setup!$C$15&lt;=Setup!$C$16,AND(MONTH(P80)&gt;=Setup!$C$15,MONTH(P80)&lt;=Setup!$C$16),OR(MONTH(P80)&gt;=Setup!$C$15,MONTH(P80)&lt;=Setup!$C$16)),IF(Setup!$C$15&lt;=Setup!$C$16,AND(MONTH(WORKDAY(P80,-(Setup!$C$13+Setup!$G$34),Setup!$C$39:$C$50))&gt;=Setup!$C$15,MONTH(WORKDAY(P80,-(Setup!$C$13+Setup!$G$34),Setup!$C$39:$C$50))&lt;=Setup!$C$16),OR(MONTH(WORKDAY(P80,-(Setup!$C$13+Setup!$G$34),Setup!$C$39:$C$50))&gt;=Setup!$C$15,MONTH(WORKDAY(P80,-(Setup!$C$13+Setup!$G$34),Setup!$C$39:$C$50))&lt;=Setup!$C$16))),WORKDAY(P80,-(Setup!$C$13+Setup!$G$34+Setup!$C$14),Setup!$C$39:$C$50),WORKDAY(P80,-(Setup!$C$13+Setup!$G$34),Setup!$C$39:$C$50))+(75*100+15)/10000000)))</f>
        <v/>
      </c>
      <c r="AH80" t="str">
        <f t="shared" si="9"/>
        <v/>
      </c>
      <c r="AI80" t="str">
        <f t="shared" si="10"/>
        <v/>
      </c>
      <c r="AK80" t="str">
        <f ca="1">IF(75&gt;$AK$2,"",SMALL($R$6:$AF$505,75))</f>
        <v/>
      </c>
      <c r="AL80" t="str">
        <f t="shared" ca="1" si="11"/>
        <v/>
      </c>
      <c r="AM80" t="str">
        <f t="shared" ca="1" si="12"/>
        <v/>
      </c>
      <c r="AN80" t="str">
        <f t="shared" ca="1" si="13"/>
        <v/>
      </c>
      <c r="AP80" t="str">
        <f>IF(ISNUMBER(Roster!$B80),MAX(1,YEAR(Setup!$C$5)-YEAR(Roster!$B80)+IF(EDATE(Roster!$B80,12*(YEAR(Setup!$C$5)-YEAR(Roster!$B80)))&lt;Setup!$C$5,1,0)),"")</f>
        <v/>
      </c>
      <c r="AQ80" s="32" t="str">
        <f>IF(AP80="","",EDATE(Roster!$B80,12*AP80))</f>
        <v/>
      </c>
      <c r="AR80" t="str">
        <f>IF(AQ80="","",IF(AQ80&lt;DATE(YEAR(Setup!$C$5)+1,MONTH(Setup!$C$5),DAY(Setup!$C$5)),AQ80+75/1000,""))</f>
        <v/>
      </c>
      <c r="AS80" t="str">
        <f t="shared" si="14"/>
        <v/>
      </c>
      <c r="AT80" t="str">
        <f>IF(AS80="","",IF(ISNUMBER(Roster!$D80),Roster!$D80&gt;=AP80,FALSE))</f>
        <v/>
      </c>
      <c r="AU80" t="str">
        <f t="shared" si="15"/>
        <v/>
      </c>
      <c r="AV80" t="str">
        <f ca="1">IF(75&gt;$AV$2,"",SMALL($AR$6:$AR$505,75))</f>
        <v/>
      </c>
      <c r="AW80" t="str">
        <f t="shared" ca="1" si="16"/>
        <v/>
      </c>
    </row>
    <row r="81" spans="2:49" x14ac:dyDescent="0.2">
      <c r="B81" s="32" t="str">
        <f>IF(AND(ISNUMBER(Roster!$B81),Setup!$B$20="Yes",ISNUMBER(Setup!$C$20)),EDATE(Roster!$B81,12*Setup!$C$20),"")</f>
        <v/>
      </c>
      <c r="C81" s="32" t="str">
        <f>IF(AND(ISNUMBER(Roster!$B81),Setup!$B$21="Yes",ISNUMBER(Setup!$C$21)),EDATE(Roster!$B81,12*Setup!$C$21),"")</f>
        <v/>
      </c>
      <c r="D81" s="32" t="str">
        <f>IF(AND(ISNUMBER(Roster!$B81),Setup!$B$22="Yes",ISNUMBER(Setup!$C$22)),EDATE(Roster!$B81,12*Setup!$C$22),"")</f>
        <v/>
      </c>
      <c r="E81" s="32" t="str">
        <f>IF(AND(ISNUMBER(Roster!$B81),Setup!$B$23="Yes",ISNUMBER(Setup!$C$23)),EDATE(Roster!$B81,12*Setup!$C$23),"")</f>
        <v/>
      </c>
      <c r="F81" s="32" t="str">
        <f>IF(AND(ISNUMBER(Roster!$B81),Setup!$B$24="Yes",ISNUMBER(Setup!$C$24)),EDATE(Roster!$B81,12*Setup!$C$24),"")</f>
        <v/>
      </c>
      <c r="G81" s="32" t="str">
        <f>IF(AND(ISNUMBER(Roster!$B81),Setup!$B$25="Yes",ISNUMBER(Setup!$C$25)),EDATE(Roster!$B81,12*Setup!$C$25),"")</f>
        <v/>
      </c>
      <c r="H81" s="32" t="str">
        <f>IF(AND(ISNUMBER(Roster!$B81),Setup!$B$26="Yes",ISNUMBER(Setup!$C$26)),EDATE(Roster!$B81,12*Setup!$C$26),"")</f>
        <v/>
      </c>
      <c r="I81" s="32" t="str">
        <f>IF(AND(ISNUMBER(Roster!$B81),Setup!$B$27="Yes",ISNUMBER(Setup!$C$27)),EDATE(Roster!$B81,12*Setup!$C$27),"")</f>
        <v/>
      </c>
      <c r="J81" s="32" t="str">
        <f>IF(AND(ISNUMBER(Roster!$B81),Setup!$B$28="Yes",ISNUMBER(Setup!$C$28)),EDATE(Roster!$B81,12*Setup!$C$28),"")</f>
        <v/>
      </c>
      <c r="K81" s="32" t="str">
        <f>IF(AND(ISNUMBER(Roster!$B81),Setup!$B$29="Yes",ISNUMBER(Setup!$C$29)),EDATE(Roster!$B81,12*Setup!$C$29),"")</f>
        <v/>
      </c>
      <c r="L81" s="32" t="str">
        <f>IF(AND(ISNUMBER(Roster!$B81),Setup!$B$30="Yes",ISNUMBER(Setup!$C$30)),EDATE(Roster!$B81,12*Setup!$C$30),"")</f>
        <v/>
      </c>
      <c r="M81" s="32" t="str">
        <f>IF(AND(ISNUMBER(Roster!$B81),Setup!$B$31="Yes",ISNUMBER(Setup!$C$31)),EDATE(Roster!$B81,12*Setup!$C$31),"")</f>
        <v/>
      </c>
      <c r="N81" s="32" t="str">
        <f>IF(AND(ISNUMBER(Roster!$B81),Setup!$B$32="Yes",ISNUMBER(Setup!$C$32)),EDATE(Roster!$B81,12*Setup!$C$32),"")</f>
        <v/>
      </c>
      <c r="O81" s="32" t="str">
        <f>IF(AND(ISNUMBER(Roster!$B81),Setup!$B$33="Yes",ISNUMBER(Setup!$C$33)),EDATE(Roster!$B81,12*Setup!$C$33),"")</f>
        <v/>
      </c>
      <c r="P81" s="32" t="str">
        <f>IF(AND(ISNUMBER(Roster!$B81),Setup!$B$34="Yes",ISNUMBER(Setup!$C$34)),EDATE(Roster!$B81,12*Setup!$C$34),"")</f>
        <v/>
      </c>
      <c r="R81" t="str">
        <f>IF(B81="","",IF(B81&lt;Setup!$C$5-Setup!$C$6,"",IF(IF(ISNUMBER(Roster!$D81),Setup!$C$20&lt;=Roster!$D81,FALSE),"",IF(OR(IF(Setup!$C$15&lt;=Setup!$C$16,AND(MONTH(B81)&gt;=Setup!$C$15,MONTH(B81)&lt;=Setup!$C$16),OR(MONTH(B81)&gt;=Setup!$C$15,MONTH(B81)&lt;=Setup!$C$16)),IF(Setup!$C$15&lt;=Setup!$C$16,AND(MONTH(WORKDAY(B81,-(Setup!$C$13+Setup!$G$20),Setup!$C$39:$C$50))&gt;=Setup!$C$15,MONTH(WORKDAY(B81,-(Setup!$C$13+Setup!$G$20),Setup!$C$39:$C$50))&lt;=Setup!$C$16),OR(MONTH(WORKDAY(B81,-(Setup!$C$13+Setup!$G$20),Setup!$C$39:$C$50))&gt;=Setup!$C$15,MONTH(WORKDAY(B81,-(Setup!$C$13+Setup!$G$20),Setup!$C$39:$C$50))&lt;=Setup!$C$16))),WORKDAY(B81,-(Setup!$C$13+Setup!$G$20+Setup!$C$14),Setup!$C$39:$C$50),WORKDAY(B81,-(Setup!$C$13+Setup!$G$20),Setup!$C$39:$C$50))+(76*100+1)/10000000)))</f>
        <v/>
      </c>
      <c r="S81" t="str">
        <f>IF(C81="","",IF(C81&lt;Setup!$C$5-Setup!$C$6,"",IF(IF(ISNUMBER(Roster!$D81),Setup!$C$21&lt;=Roster!$D81,FALSE),"",IF(OR(IF(Setup!$C$15&lt;=Setup!$C$16,AND(MONTH(C81)&gt;=Setup!$C$15,MONTH(C81)&lt;=Setup!$C$16),OR(MONTH(C81)&gt;=Setup!$C$15,MONTH(C81)&lt;=Setup!$C$16)),IF(Setup!$C$15&lt;=Setup!$C$16,AND(MONTH(WORKDAY(C81,-(Setup!$C$13+Setup!$G$21),Setup!$C$39:$C$50))&gt;=Setup!$C$15,MONTH(WORKDAY(C81,-(Setup!$C$13+Setup!$G$21),Setup!$C$39:$C$50))&lt;=Setup!$C$16),OR(MONTH(WORKDAY(C81,-(Setup!$C$13+Setup!$G$21),Setup!$C$39:$C$50))&gt;=Setup!$C$15,MONTH(WORKDAY(C81,-(Setup!$C$13+Setup!$G$21),Setup!$C$39:$C$50))&lt;=Setup!$C$16))),WORKDAY(C81,-(Setup!$C$13+Setup!$G$21+Setup!$C$14),Setup!$C$39:$C$50),WORKDAY(C81,-(Setup!$C$13+Setup!$G$21),Setup!$C$39:$C$50))+(76*100+2)/10000000)))</f>
        <v/>
      </c>
      <c r="T81" t="str">
        <f>IF(D81="","",IF(D81&lt;Setup!$C$5-Setup!$C$6,"",IF(IF(ISNUMBER(Roster!$D81),Setup!$C$22&lt;=Roster!$D81,FALSE),"",IF(OR(IF(Setup!$C$15&lt;=Setup!$C$16,AND(MONTH(D81)&gt;=Setup!$C$15,MONTH(D81)&lt;=Setup!$C$16),OR(MONTH(D81)&gt;=Setup!$C$15,MONTH(D81)&lt;=Setup!$C$16)),IF(Setup!$C$15&lt;=Setup!$C$16,AND(MONTH(WORKDAY(D81,-(Setup!$C$13+Setup!$G$22),Setup!$C$39:$C$50))&gt;=Setup!$C$15,MONTH(WORKDAY(D81,-(Setup!$C$13+Setup!$G$22),Setup!$C$39:$C$50))&lt;=Setup!$C$16),OR(MONTH(WORKDAY(D81,-(Setup!$C$13+Setup!$G$22),Setup!$C$39:$C$50))&gt;=Setup!$C$15,MONTH(WORKDAY(D81,-(Setup!$C$13+Setup!$G$22),Setup!$C$39:$C$50))&lt;=Setup!$C$16))),WORKDAY(D81,-(Setup!$C$13+Setup!$G$22+Setup!$C$14),Setup!$C$39:$C$50),WORKDAY(D81,-(Setup!$C$13+Setup!$G$22),Setup!$C$39:$C$50))+(76*100+3)/10000000)))</f>
        <v/>
      </c>
      <c r="U81" t="str">
        <f>IF(E81="","",IF(E81&lt;Setup!$C$5-Setup!$C$6,"",IF(IF(ISNUMBER(Roster!$D81),Setup!$C$23&lt;=Roster!$D81,FALSE),"",IF(OR(IF(Setup!$C$15&lt;=Setup!$C$16,AND(MONTH(E81)&gt;=Setup!$C$15,MONTH(E81)&lt;=Setup!$C$16),OR(MONTH(E81)&gt;=Setup!$C$15,MONTH(E81)&lt;=Setup!$C$16)),IF(Setup!$C$15&lt;=Setup!$C$16,AND(MONTH(WORKDAY(E81,-(Setup!$C$13+Setup!$G$23),Setup!$C$39:$C$50))&gt;=Setup!$C$15,MONTH(WORKDAY(E81,-(Setup!$C$13+Setup!$G$23),Setup!$C$39:$C$50))&lt;=Setup!$C$16),OR(MONTH(WORKDAY(E81,-(Setup!$C$13+Setup!$G$23),Setup!$C$39:$C$50))&gt;=Setup!$C$15,MONTH(WORKDAY(E81,-(Setup!$C$13+Setup!$G$23),Setup!$C$39:$C$50))&lt;=Setup!$C$16))),WORKDAY(E81,-(Setup!$C$13+Setup!$G$23+Setup!$C$14),Setup!$C$39:$C$50),WORKDAY(E81,-(Setup!$C$13+Setup!$G$23),Setup!$C$39:$C$50))+(76*100+4)/10000000)))</f>
        <v/>
      </c>
      <c r="V81" t="str">
        <f>IF(F81="","",IF(F81&lt;Setup!$C$5-Setup!$C$6,"",IF(IF(ISNUMBER(Roster!$D81),Setup!$C$24&lt;=Roster!$D81,FALSE),"",IF(OR(IF(Setup!$C$15&lt;=Setup!$C$16,AND(MONTH(F81)&gt;=Setup!$C$15,MONTH(F81)&lt;=Setup!$C$16),OR(MONTH(F81)&gt;=Setup!$C$15,MONTH(F81)&lt;=Setup!$C$16)),IF(Setup!$C$15&lt;=Setup!$C$16,AND(MONTH(WORKDAY(F81,-(Setup!$C$13+Setup!$G$24),Setup!$C$39:$C$50))&gt;=Setup!$C$15,MONTH(WORKDAY(F81,-(Setup!$C$13+Setup!$G$24),Setup!$C$39:$C$50))&lt;=Setup!$C$16),OR(MONTH(WORKDAY(F81,-(Setup!$C$13+Setup!$G$24),Setup!$C$39:$C$50))&gt;=Setup!$C$15,MONTH(WORKDAY(F81,-(Setup!$C$13+Setup!$G$24),Setup!$C$39:$C$50))&lt;=Setup!$C$16))),WORKDAY(F81,-(Setup!$C$13+Setup!$G$24+Setup!$C$14),Setup!$C$39:$C$50),WORKDAY(F81,-(Setup!$C$13+Setup!$G$24),Setup!$C$39:$C$50))+(76*100+5)/10000000)))</f>
        <v/>
      </c>
      <c r="W81" t="str">
        <f>IF(G81="","",IF(G81&lt;Setup!$C$5-Setup!$C$6,"",IF(IF(ISNUMBER(Roster!$D81),Setup!$C$25&lt;=Roster!$D81,FALSE),"",IF(OR(IF(Setup!$C$15&lt;=Setup!$C$16,AND(MONTH(G81)&gt;=Setup!$C$15,MONTH(G81)&lt;=Setup!$C$16),OR(MONTH(G81)&gt;=Setup!$C$15,MONTH(G81)&lt;=Setup!$C$16)),IF(Setup!$C$15&lt;=Setup!$C$16,AND(MONTH(WORKDAY(G81,-(Setup!$C$13+Setup!$G$25),Setup!$C$39:$C$50))&gt;=Setup!$C$15,MONTH(WORKDAY(G81,-(Setup!$C$13+Setup!$G$25),Setup!$C$39:$C$50))&lt;=Setup!$C$16),OR(MONTH(WORKDAY(G81,-(Setup!$C$13+Setup!$G$25),Setup!$C$39:$C$50))&gt;=Setup!$C$15,MONTH(WORKDAY(G81,-(Setup!$C$13+Setup!$G$25),Setup!$C$39:$C$50))&lt;=Setup!$C$16))),WORKDAY(G81,-(Setup!$C$13+Setup!$G$25+Setup!$C$14),Setup!$C$39:$C$50),WORKDAY(G81,-(Setup!$C$13+Setup!$G$25),Setup!$C$39:$C$50))+(76*100+6)/10000000)))</f>
        <v/>
      </c>
      <c r="X81" t="str">
        <f>IF(H81="","",IF(H81&lt;Setup!$C$5-Setup!$C$6,"",IF(IF(ISNUMBER(Roster!$D81),Setup!$C$26&lt;=Roster!$D81,FALSE),"",IF(OR(IF(Setup!$C$15&lt;=Setup!$C$16,AND(MONTH(H81)&gt;=Setup!$C$15,MONTH(H81)&lt;=Setup!$C$16),OR(MONTH(H81)&gt;=Setup!$C$15,MONTH(H81)&lt;=Setup!$C$16)),IF(Setup!$C$15&lt;=Setup!$C$16,AND(MONTH(WORKDAY(H81,-(Setup!$C$13+Setup!$G$26),Setup!$C$39:$C$50))&gt;=Setup!$C$15,MONTH(WORKDAY(H81,-(Setup!$C$13+Setup!$G$26),Setup!$C$39:$C$50))&lt;=Setup!$C$16),OR(MONTH(WORKDAY(H81,-(Setup!$C$13+Setup!$G$26),Setup!$C$39:$C$50))&gt;=Setup!$C$15,MONTH(WORKDAY(H81,-(Setup!$C$13+Setup!$G$26),Setup!$C$39:$C$50))&lt;=Setup!$C$16))),WORKDAY(H81,-(Setup!$C$13+Setup!$G$26+Setup!$C$14),Setup!$C$39:$C$50),WORKDAY(H81,-(Setup!$C$13+Setup!$G$26),Setup!$C$39:$C$50))+(76*100+7)/10000000)))</f>
        <v/>
      </c>
      <c r="Y81" t="str">
        <f>IF(I81="","",IF(I81&lt;Setup!$C$5-Setup!$C$6,"",IF(IF(ISNUMBER(Roster!$D81),Setup!$C$27&lt;=Roster!$D81,FALSE),"",IF(OR(IF(Setup!$C$15&lt;=Setup!$C$16,AND(MONTH(I81)&gt;=Setup!$C$15,MONTH(I81)&lt;=Setup!$C$16),OR(MONTH(I81)&gt;=Setup!$C$15,MONTH(I81)&lt;=Setup!$C$16)),IF(Setup!$C$15&lt;=Setup!$C$16,AND(MONTH(WORKDAY(I81,-(Setup!$C$13+Setup!$G$27),Setup!$C$39:$C$50))&gt;=Setup!$C$15,MONTH(WORKDAY(I81,-(Setup!$C$13+Setup!$G$27),Setup!$C$39:$C$50))&lt;=Setup!$C$16),OR(MONTH(WORKDAY(I81,-(Setup!$C$13+Setup!$G$27),Setup!$C$39:$C$50))&gt;=Setup!$C$15,MONTH(WORKDAY(I81,-(Setup!$C$13+Setup!$G$27),Setup!$C$39:$C$50))&lt;=Setup!$C$16))),WORKDAY(I81,-(Setup!$C$13+Setup!$G$27+Setup!$C$14),Setup!$C$39:$C$50),WORKDAY(I81,-(Setup!$C$13+Setup!$G$27),Setup!$C$39:$C$50))+(76*100+8)/10000000)))</f>
        <v/>
      </c>
      <c r="Z81" t="str">
        <f>IF(J81="","",IF(J81&lt;Setup!$C$5-Setup!$C$6,"",IF(IF(ISNUMBER(Roster!$D81),Setup!$C$28&lt;=Roster!$D81,FALSE),"",IF(OR(IF(Setup!$C$15&lt;=Setup!$C$16,AND(MONTH(J81)&gt;=Setup!$C$15,MONTH(J81)&lt;=Setup!$C$16),OR(MONTH(J81)&gt;=Setup!$C$15,MONTH(J81)&lt;=Setup!$C$16)),IF(Setup!$C$15&lt;=Setup!$C$16,AND(MONTH(WORKDAY(J81,-(Setup!$C$13+Setup!$G$28),Setup!$C$39:$C$50))&gt;=Setup!$C$15,MONTH(WORKDAY(J81,-(Setup!$C$13+Setup!$G$28),Setup!$C$39:$C$50))&lt;=Setup!$C$16),OR(MONTH(WORKDAY(J81,-(Setup!$C$13+Setup!$G$28),Setup!$C$39:$C$50))&gt;=Setup!$C$15,MONTH(WORKDAY(J81,-(Setup!$C$13+Setup!$G$28),Setup!$C$39:$C$50))&lt;=Setup!$C$16))),WORKDAY(J81,-(Setup!$C$13+Setup!$G$28+Setup!$C$14),Setup!$C$39:$C$50),WORKDAY(J81,-(Setup!$C$13+Setup!$G$28),Setup!$C$39:$C$50))+(76*100+9)/10000000)))</f>
        <v/>
      </c>
      <c r="AA81" t="str">
        <f>IF(K81="","",IF(K81&lt;Setup!$C$5-Setup!$C$6,"",IF(IF(ISNUMBER(Roster!$D81),Setup!$C$29&lt;=Roster!$D81,FALSE),"",IF(OR(IF(Setup!$C$15&lt;=Setup!$C$16,AND(MONTH(K81)&gt;=Setup!$C$15,MONTH(K81)&lt;=Setup!$C$16),OR(MONTH(K81)&gt;=Setup!$C$15,MONTH(K81)&lt;=Setup!$C$16)),IF(Setup!$C$15&lt;=Setup!$C$16,AND(MONTH(WORKDAY(K81,-(Setup!$C$13+Setup!$G$29),Setup!$C$39:$C$50))&gt;=Setup!$C$15,MONTH(WORKDAY(K81,-(Setup!$C$13+Setup!$G$29),Setup!$C$39:$C$50))&lt;=Setup!$C$16),OR(MONTH(WORKDAY(K81,-(Setup!$C$13+Setup!$G$29),Setup!$C$39:$C$50))&gt;=Setup!$C$15,MONTH(WORKDAY(K81,-(Setup!$C$13+Setup!$G$29),Setup!$C$39:$C$50))&lt;=Setup!$C$16))),WORKDAY(K81,-(Setup!$C$13+Setup!$G$29+Setup!$C$14),Setup!$C$39:$C$50),WORKDAY(K81,-(Setup!$C$13+Setup!$G$29),Setup!$C$39:$C$50))+(76*100+10)/10000000)))</f>
        <v/>
      </c>
      <c r="AB81" t="str">
        <f>IF(L81="","",IF(L81&lt;Setup!$C$5-Setup!$C$6,"",IF(IF(ISNUMBER(Roster!$D81),Setup!$C$30&lt;=Roster!$D81,FALSE),"",IF(OR(IF(Setup!$C$15&lt;=Setup!$C$16,AND(MONTH(L81)&gt;=Setup!$C$15,MONTH(L81)&lt;=Setup!$C$16),OR(MONTH(L81)&gt;=Setup!$C$15,MONTH(L81)&lt;=Setup!$C$16)),IF(Setup!$C$15&lt;=Setup!$C$16,AND(MONTH(WORKDAY(L81,-(Setup!$C$13+Setup!$G$30),Setup!$C$39:$C$50))&gt;=Setup!$C$15,MONTH(WORKDAY(L81,-(Setup!$C$13+Setup!$G$30),Setup!$C$39:$C$50))&lt;=Setup!$C$16),OR(MONTH(WORKDAY(L81,-(Setup!$C$13+Setup!$G$30),Setup!$C$39:$C$50))&gt;=Setup!$C$15,MONTH(WORKDAY(L81,-(Setup!$C$13+Setup!$G$30),Setup!$C$39:$C$50))&lt;=Setup!$C$16))),WORKDAY(L81,-(Setup!$C$13+Setup!$G$30+Setup!$C$14),Setup!$C$39:$C$50),WORKDAY(L81,-(Setup!$C$13+Setup!$G$30),Setup!$C$39:$C$50))+(76*100+11)/10000000)))</f>
        <v/>
      </c>
      <c r="AC81" t="str">
        <f>IF(M81="","",IF(M81&lt;Setup!$C$5-Setup!$C$6,"",IF(IF(ISNUMBER(Roster!$D81),Setup!$C$31&lt;=Roster!$D81,FALSE),"",IF(OR(IF(Setup!$C$15&lt;=Setup!$C$16,AND(MONTH(M81)&gt;=Setup!$C$15,MONTH(M81)&lt;=Setup!$C$16),OR(MONTH(M81)&gt;=Setup!$C$15,MONTH(M81)&lt;=Setup!$C$16)),IF(Setup!$C$15&lt;=Setup!$C$16,AND(MONTH(WORKDAY(M81,-(Setup!$C$13+Setup!$G$31),Setup!$C$39:$C$50))&gt;=Setup!$C$15,MONTH(WORKDAY(M81,-(Setup!$C$13+Setup!$G$31),Setup!$C$39:$C$50))&lt;=Setup!$C$16),OR(MONTH(WORKDAY(M81,-(Setup!$C$13+Setup!$G$31),Setup!$C$39:$C$50))&gt;=Setup!$C$15,MONTH(WORKDAY(M81,-(Setup!$C$13+Setup!$G$31),Setup!$C$39:$C$50))&lt;=Setup!$C$16))),WORKDAY(M81,-(Setup!$C$13+Setup!$G$31+Setup!$C$14),Setup!$C$39:$C$50),WORKDAY(M81,-(Setup!$C$13+Setup!$G$31),Setup!$C$39:$C$50))+(76*100+12)/10000000)))</f>
        <v/>
      </c>
      <c r="AD81" t="str">
        <f>IF(N81="","",IF(N81&lt;Setup!$C$5-Setup!$C$6,"",IF(IF(ISNUMBER(Roster!$D81),Setup!$C$32&lt;=Roster!$D81,FALSE),"",IF(OR(IF(Setup!$C$15&lt;=Setup!$C$16,AND(MONTH(N81)&gt;=Setup!$C$15,MONTH(N81)&lt;=Setup!$C$16),OR(MONTH(N81)&gt;=Setup!$C$15,MONTH(N81)&lt;=Setup!$C$16)),IF(Setup!$C$15&lt;=Setup!$C$16,AND(MONTH(WORKDAY(N81,-(Setup!$C$13+Setup!$G$32),Setup!$C$39:$C$50))&gt;=Setup!$C$15,MONTH(WORKDAY(N81,-(Setup!$C$13+Setup!$G$32),Setup!$C$39:$C$50))&lt;=Setup!$C$16),OR(MONTH(WORKDAY(N81,-(Setup!$C$13+Setup!$G$32),Setup!$C$39:$C$50))&gt;=Setup!$C$15,MONTH(WORKDAY(N81,-(Setup!$C$13+Setup!$G$32),Setup!$C$39:$C$50))&lt;=Setup!$C$16))),WORKDAY(N81,-(Setup!$C$13+Setup!$G$32+Setup!$C$14),Setup!$C$39:$C$50),WORKDAY(N81,-(Setup!$C$13+Setup!$G$32),Setup!$C$39:$C$50))+(76*100+13)/10000000)))</f>
        <v/>
      </c>
      <c r="AE81" t="str">
        <f>IF(O81="","",IF(O81&lt;Setup!$C$5-Setup!$C$6,"",IF(IF(ISNUMBER(Roster!$D81),Setup!$C$33&lt;=Roster!$D81,FALSE),"",IF(OR(IF(Setup!$C$15&lt;=Setup!$C$16,AND(MONTH(O81)&gt;=Setup!$C$15,MONTH(O81)&lt;=Setup!$C$16),OR(MONTH(O81)&gt;=Setup!$C$15,MONTH(O81)&lt;=Setup!$C$16)),IF(Setup!$C$15&lt;=Setup!$C$16,AND(MONTH(WORKDAY(O81,-(Setup!$C$13+Setup!$G$33),Setup!$C$39:$C$50))&gt;=Setup!$C$15,MONTH(WORKDAY(O81,-(Setup!$C$13+Setup!$G$33),Setup!$C$39:$C$50))&lt;=Setup!$C$16),OR(MONTH(WORKDAY(O81,-(Setup!$C$13+Setup!$G$33),Setup!$C$39:$C$50))&gt;=Setup!$C$15,MONTH(WORKDAY(O81,-(Setup!$C$13+Setup!$G$33),Setup!$C$39:$C$50))&lt;=Setup!$C$16))),WORKDAY(O81,-(Setup!$C$13+Setup!$G$33+Setup!$C$14),Setup!$C$39:$C$50),WORKDAY(O81,-(Setup!$C$13+Setup!$G$33),Setup!$C$39:$C$50))+(76*100+14)/10000000)))</f>
        <v/>
      </c>
      <c r="AF81" t="str">
        <f>IF(P81="","",IF(P81&lt;Setup!$C$5-Setup!$C$6,"",IF(IF(ISNUMBER(Roster!$D81),Setup!$C$34&lt;=Roster!$D81,FALSE),"",IF(OR(IF(Setup!$C$15&lt;=Setup!$C$16,AND(MONTH(P81)&gt;=Setup!$C$15,MONTH(P81)&lt;=Setup!$C$16),OR(MONTH(P81)&gt;=Setup!$C$15,MONTH(P81)&lt;=Setup!$C$16)),IF(Setup!$C$15&lt;=Setup!$C$16,AND(MONTH(WORKDAY(P81,-(Setup!$C$13+Setup!$G$34),Setup!$C$39:$C$50))&gt;=Setup!$C$15,MONTH(WORKDAY(P81,-(Setup!$C$13+Setup!$G$34),Setup!$C$39:$C$50))&lt;=Setup!$C$16),OR(MONTH(WORKDAY(P81,-(Setup!$C$13+Setup!$G$34),Setup!$C$39:$C$50))&gt;=Setup!$C$15,MONTH(WORKDAY(P81,-(Setup!$C$13+Setup!$G$34),Setup!$C$39:$C$50))&lt;=Setup!$C$16))),WORKDAY(P81,-(Setup!$C$13+Setup!$G$34+Setup!$C$14),Setup!$C$39:$C$50),WORKDAY(P81,-(Setup!$C$13+Setup!$G$34),Setup!$C$39:$C$50))+(76*100+15)/10000000)))</f>
        <v/>
      </c>
      <c r="AH81" t="str">
        <f t="shared" si="9"/>
        <v/>
      </c>
      <c r="AI81" t="str">
        <f t="shared" si="10"/>
        <v/>
      </c>
      <c r="AK81" t="str">
        <f ca="1">IF(76&gt;$AK$2,"",SMALL($R$6:$AF$505,76))</f>
        <v/>
      </c>
      <c r="AL81" t="str">
        <f t="shared" ca="1" si="11"/>
        <v/>
      </c>
      <c r="AM81" t="str">
        <f t="shared" ca="1" si="12"/>
        <v/>
      </c>
      <c r="AN81" t="str">
        <f t="shared" ca="1" si="13"/>
        <v/>
      </c>
      <c r="AP81" t="str">
        <f>IF(ISNUMBER(Roster!$B81),MAX(1,YEAR(Setup!$C$5)-YEAR(Roster!$B81)+IF(EDATE(Roster!$B81,12*(YEAR(Setup!$C$5)-YEAR(Roster!$B81)))&lt;Setup!$C$5,1,0)),"")</f>
        <v/>
      </c>
      <c r="AQ81" s="32" t="str">
        <f>IF(AP81="","",EDATE(Roster!$B81,12*AP81))</f>
        <v/>
      </c>
      <c r="AR81" t="str">
        <f>IF(AQ81="","",IF(AQ81&lt;DATE(YEAR(Setup!$C$5)+1,MONTH(Setup!$C$5),DAY(Setup!$C$5)),AQ81+76/1000,""))</f>
        <v/>
      </c>
      <c r="AS81" t="str">
        <f t="shared" si="14"/>
        <v/>
      </c>
      <c r="AT81" t="str">
        <f>IF(AS81="","",IF(ISNUMBER(Roster!$D81),Roster!$D81&gt;=AP81,FALSE))</f>
        <v/>
      </c>
      <c r="AU81" t="str">
        <f t="shared" si="15"/>
        <v/>
      </c>
      <c r="AV81" t="str">
        <f ca="1">IF(76&gt;$AV$2,"",SMALL($AR$6:$AR$505,76))</f>
        <v/>
      </c>
      <c r="AW81" t="str">
        <f t="shared" ca="1" si="16"/>
        <v/>
      </c>
    </row>
    <row r="82" spans="2:49" x14ac:dyDescent="0.2">
      <c r="B82" s="32" t="str">
        <f>IF(AND(ISNUMBER(Roster!$B82),Setup!$B$20="Yes",ISNUMBER(Setup!$C$20)),EDATE(Roster!$B82,12*Setup!$C$20),"")</f>
        <v/>
      </c>
      <c r="C82" s="32" t="str">
        <f>IF(AND(ISNUMBER(Roster!$B82),Setup!$B$21="Yes",ISNUMBER(Setup!$C$21)),EDATE(Roster!$B82,12*Setup!$C$21),"")</f>
        <v/>
      </c>
      <c r="D82" s="32" t="str">
        <f>IF(AND(ISNUMBER(Roster!$B82),Setup!$B$22="Yes",ISNUMBER(Setup!$C$22)),EDATE(Roster!$B82,12*Setup!$C$22),"")</f>
        <v/>
      </c>
      <c r="E82" s="32" t="str">
        <f>IF(AND(ISNUMBER(Roster!$B82),Setup!$B$23="Yes",ISNUMBER(Setup!$C$23)),EDATE(Roster!$B82,12*Setup!$C$23),"")</f>
        <v/>
      </c>
      <c r="F82" s="32" t="str">
        <f>IF(AND(ISNUMBER(Roster!$B82),Setup!$B$24="Yes",ISNUMBER(Setup!$C$24)),EDATE(Roster!$B82,12*Setup!$C$24),"")</f>
        <v/>
      </c>
      <c r="G82" s="32" t="str">
        <f>IF(AND(ISNUMBER(Roster!$B82),Setup!$B$25="Yes",ISNUMBER(Setup!$C$25)),EDATE(Roster!$B82,12*Setup!$C$25),"")</f>
        <v/>
      </c>
      <c r="H82" s="32" t="str">
        <f>IF(AND(ISNUMBER(Roster!$B82),Setup!$B$26="Yes",ISNUMBER(Setup!$C$26)),EDATE(Roster!$B82,12*Setup!$C$26),"")</f>
        <v/>
      </c>
      <c r="I82" s="32" t="str">
        <f>IF(AND(ISNUMBER(Roster!$B82),Setup!$B$27="Yes",ISNUMBER(Setup!$C$27)),EDATE(Roster!$B82,12*Setup!$C$27),"")</f>
        <v/>
      </c>
      <c r="J82" s="32" t="str">
        <f>IF(AND(ISNUMBER(Roster!$B82),Setup!$B$28="Yes",ISNUMBER(Setup!$C$28)),EDATE(Roster!$B82,12*Setup!$C$28),"")</f>
        <v/>
      </c>
      <c r="K82" s="32" t="str">
        <f>IF(AND(ISNUMBER(Roster!$B82),Setup!$B$29="Yes",ISNUMBER(Setup!$C$29)),EDATE(Roster!$B82,12*Setup!$C$29),"")</f>
        <v/>
      </c>
      <c r="L82" s="32" t="str">
        <f>IF(AND(ISNUMBER(Roster!$B82),Setup!$B$30="Yes",ISNUMBER(Setup!$C$30)),EDATE(Roster!$B82,12*Setup!$C$30),"")</f>
        <v/>
      </c>
      <c r="M82" s="32" t="str">
        <f>IF(AND(ISNUMBER(Roster!$B82),Setup!$B$31="Yes",ISNUMBER(Setup!$C$31)),EDATE(Roster!$B82,12*Setup!$C$31),"")</f>
        <v/>
      </c>
      <c r="N82" s="32" t="str">
        <f>IF(AND(ISNUMBER(Roster!$B82),Setup!$B$32="Yes",ISNUMBER(Setup!$C$32)),EDATE(Roster!$B82,12*Setup!$C$32),"")</f>
        <v/>
      </c>
      <c r="O82" s="32" t="str">
        <f>IF(AND(ISNUMBER(Roster!$B82),Setup!$B$33="Yes",ISNUMBER(Setup!$C$33)),EDATE(Roster!$B82,12*Setup!$C$33),"")</f>
        <v/>
      </c>
      <c r="P82" s="32" t="str">
        <f>IF(AND(ISNUMBER(Roster!$B82),Setup!$B$34="Yes",ISNUMBER(Setup!$C$34)),EDATE(Roster!$B82,12*Setup!$C$34),"")</f>
        <v/>
      </c>
      <c r="R82" t="str">
        <f>IF(B82="","",IF(B82&lt;Setup!$C$5-Setup!$C$6,"",IF(IF(ISNUMBER(Roster!$D82),Setup!$C$20&lt;=Roster!$D82,FALSE),"",IF(OR(IF(Setup!$C$15&lt;=Setup!$C$16,AND(MONTH(B82)&gt;=Setup!$C$15,MONTH(B82)&lt;=Setup!$C$16),OR(MONTH(B82)&gt;=Setup!$C$15,MONTH(B82)&lt;=Setup!$C$16)),IF(Setup!$C$15&lt;=Setup!$C$16,AND(MONTH(WORKDAY(B82,-(Setup!$C$13+Setup!$G$20),Setup!$C$39:$C$50))&gt;=Setup!$C$15,MONTH(WORKDAY(B82,-(Setup!$C$13+Setup!$G$20),Setup!$C$39:$C$50))&lt;=Setup!$C$16),OR(MONTH(WORKDAY(B82,-(Setup!$C$13+Setup!$G$20),Setup!$C$39:$C$50))&gt;=Setup!$C$15,MONTH(WORKDAY(B82,-(Setup!$C$13+Setup!$G$20),Setup!$C$39:$C$50))&lt;=Setup!$C$16))),WORKDAY(B82,-(Setup!$C$13+Setup!$G$20+Setup!$C$14),Setup!$C$39:$C$50),WORKDAY(B82,-(Setup!$C$13+Setup!$G$20),Setup!$C$39:$C$50))+(77*100+1)/10000000)))</f>
        <v/>
      </c>
      <c r="S82" t="str">
        <f>IF(C82="","",IF(C82&lt;Setup!$C$5-Setup!$C$6,"",IF(IF(ISNUMBER(Roster!$D82),Setup!$C$21&lt;=Roster!$D82,FALSE),"",IF(OR(IF(Setup!$C$15&lt;=Setup!$C$16,AND(MONTH(C82)&gt;=Setup!$C$15,MONTH(C82)&lt;=Setup!$C$16),OR(MONTH(C82)&gt;=Setup!$C$15,MONTH(C82)&lt;=Setup!$C$16)),IF(Setup!$C$15&lt;=Setup!$C$16,AND(MONTH(WORKDAY(C82,-(Setup!$C$13+Setup!$G$21),Setup!$C$39:$C$50))&gt;=Setup!$C$15,MONTH(WORKDAY(C82,-(Setup!$C$13+Setup!$G$21),Setup!$C$39:$C$50))&lt;=Setup!$C$16),OR(MONTH(WORKDAY(C82,-(Setup!$C$13+Setup!$G$21),Setup!$C$39:$C$50))&gt;=Setup!$C$15,MONTH(WORKDAY(C82,-(Setup!$C$13+Setup!$G$21),Setup!$C$39:$C$50))&lt;=Setup!$C$16))),WORKDAY(C82,-(Setup!$C$13+Setup!$G$21+Setup!$C$14),Setup!$C$39:$C$50),WORKDAY(C82,-(Setup!$C$13+Setup!$G$21),Setup!$C$39:$C$50))+(77*100+2)/10000000)))</f>
        <v/>
      </c>
      <c r="T82" t="str">
        <f>IF(D82="","",IF(D82&lt;Setup!$C$5-Setup!$C$6,"",IF(IF(ISNUMBER(Roster!$D82),Setup!$C$22&lt;=Roster!$D82,FALSE),"",IF(OR(IF(Setup!$C$15&lt;=Setup!$C$16,AND(MONTH(D82)&gt;=Setup!$C$15,MONTH(D82)&lt;=Setup!$C$16),OR(MONTH(D82)&gt;=Setup!$C$15,MONTH(D82)&lt;=Setup!$C$16)),IF(Setup!$C$15&lt;=Setup!$C$16,AND(MONTH(WORKDAY(D82,-(Setup!$C$13+Setup!$G$22),Setup!$C$39:$C$50))&gt;=Setup!$C$15,MONTH(WORKDAY(D82,-(Setup!$C$13+Setup!$G$22),Setup!$C$39:$C$50))&lt;=Setup!$C$16),OR(MONTH(WORKDAY(D82,-(Setup!$C$13+Setup!$G$22),Setup!$C$39:$C$50))&gt;=Setup!$C$15,MONTH(WORKDAY(D82,-(Setup!$C$13+Setup!$G$22),Setup!$C$39:$C$50))&lt;=Setup!$C$16))),WORKDAY(D82,-(Setup!$C$13+Setup!$G$22+Setup!$C$14),Setup!$C$39:$C$50),WORKDAY(D82,-(Setup!$C$13+Setup!$G$22),Setup!$C$39:$C$50))+(77*100+3)/10000000)))</f>
        <v/>
      </c>
      <c r="U82" t="str">
        <f>IF(E82="","",IF(E82&lt;Setup!$C$5-Setup!$C$6,"",IF(IF(ISNUMBER(Roster!$D82),Setup!$C$23&lt;=Roster!$D82,FALSE),"",IF(OR(IF(Setup!$C$15&lt;=Setup!$C$16,AND(MONTH(E82)&gt;=Setup!$C$15,MONTH(E82)&lt;=Setup!$C$16),OR(MONTH(E82)&gt;=Setup!$C$15,MONTH(E82)&lt;=Setup!$C$16)),IF(Setup!$C$15&lt;=Setup!$C$16,AND(MONTH(WORKDAY(E82,-(Setup!$C$13+Setup!$G$23),Setup!$C$39:$C$50))&gt;=Setup!$C$15,MONTH(WORKDAY(E82,-(Setup!$C$13+Setup!$G$23),Setup!$C$39:$C$50))&lt;=Setup!$C$16),OR(MONTH(WORKDAY(E82,-(Setup!$C$13+Setup!$G$23),Setup!$C$39:$C$50))&gt;=Setup!$C$15,MONTH(WORKDAY(E82,-(Setup!$C$13+Setup!$G$23),Setup!$C$39:$C$50))&lt;=Setup!$C$16))),WORKDAY(E82,-(Setup!$C$13+Setup!$G$23+Setup!$C$14),Setup!$C$39:$C$50),WORKDAY(E82,-(Setup!$C$13+Setup!$G$23),Setup!$C$39:$C$50))+(77*100+4)/10000000)))</f>
        <v/>
      </c>
      <c r="V82" t="str">
        <f>IF(F82="","",IF(F82&lt;Setup!$C$5-Setup!$C$6,"",IF(IF(ISNUMBER(Roster!$D82),Setup!$C$24&lt;=Roster!$D82,FALSE),"",IF(OR(IF(Setup!$C$15&lt;=Setup!$C$16,AND(MONTH(F82)&gt;=Setup!$C$15,MONTH(F82)&lt;=Setup!$C$16),OR(MONTH(F82)&gt;=Setup!$C$15,MONTH(F82)&lt;=Setup!$C$16)),IF(Setup!$C$15&lt;=Setup!$C$16,AND(MONTH(WORKDAY(F82,-(Setup!$C$13+Setup!$G$24),Setup!$C$39:$C$50))&gt;=Setup!$C$15,MONTH(WORKDAY(F82,-(Setup!$C$13+Setup!$G$24),Setup!$C$39:$C$50))&lt;=Setup!$C$16),OR(MONTH(WORKDAY(F82,-(Setup!$C$13+Setup!$G$24),Setup!$C$39:$C$50))&gt;=Setup!$C$15,MONTH(WORKDAY(F82,-(Setup!$C$13+Setup!$G$24),Setup!$C$39:$C$50))&lt;=Setup!$C$16))),WORKDAY(F82,-(Setup!$C$13+Setup!$G$24+Setup!$C$14),Setup!$C$39:$C$50),WORKDAY(F82,-(Setup!$C$13+Setup!$G$24),Setup!$C$39:$C$50))+(77*100+5)/10000000)))</f>
        <v/>
      </c>
      <c r="W82" t="str">
        <f>IF(G82="","",IF(G82&lt;Setup!$C$5-Setup!$C$6,"",IF(IF(ISNUMBER(Roster!$D82),Setup!$C$25&lt;=Roster!$D82,FALSE),"",IF(OR(IF(Setup!$C$15&lt;=Setup!$C$16,AND(MONTH(G82)&gt;=Setup!$C$15,MONTH(G82)&lt;=Setup!$C$16),OR(MONTH(G82)&gt;=Setup!$C$15,MONTH(G82)&lt;=Setup!$C$16)),IF(Setup!$C$15&lt;=Setup!$C$16,AND(MONTH(WORKDAY(G82,-(Setup!$C$13+Setup!$G$25),Setup!$C$39:$C$50))&gt;=Setup!$C$15,MONTH(WORKDAY(G82,-(Setup!$C$13+Setup!$G$25),Setup!$C$39:$C$50))&lt;=Setup!$C$16),OR(MONTH(WORKDAY(G82,-(Setup!$C$13+Setup!$G$25),Setup!$C$39:$C$50))&gt;=Setup!$C$15,MONTH(WORKDAY(G82,-(Setup!$C$13+Setup!$G$25),Setup!$C$39:$C$50))&lt;=Setup!$C$16))),WORKDAY(G82,-(Setup!$C$13+Setup!$G$25+Setup!$C$14),Setup!$C$39:$C$50),WORKDAY(G82,-(Setup!$C$13+Setup!$G$25),Setup!$C$39:$C$50))+(77*100+6)/10000000)))</f>
        <v/>
      </c>
      <c r="X82" t="str">
        <f>IF(H82="","",IF(H82&lt;Setup!$C$5-Setup!$C$6,"",IF(IF(ISNUMBER(Roster!$D82),Setup!$C$26&lt;=Roster!$D82,FALSE),"",IF(OR(IF(Setup!$C$15&lt;=Setup!$C$16,AND(MONTH(H82)&gt;=Setup!$C$15,MONTH(H82)&lt;=Setup!$C$16),OR(MONTH(H82)&gt;=Setup!$C$15,MONTH(H82)&lt;=Setup!$C$16)),IF(Setup!$C$15&lt;=Setup!$C$16,AND(MONTH(WORKDAY(H82,-(Setup!$C$13+Setup!$G$26),Setup!$C$39:$C$50))&gt;=Setup!$C$15,MONTH(WORKDAY(H82,-(Setup!$C$13+Setup!$G$26),Setup!$C$39:$C$50))&lt;=Setup!$C$16),OR(MONTH(WORKDAY(H82,-(Setup!$C$13+Setup!$G$26),Setup!$C$39:$C$50))&gt;=Setup!$C$15,MONTH(WORKDAY(H82,-(Setup!$C$13+Setup!$G$26),Setup!$C$39:$C$50))&lt;=Setup!$C$16))),WORKDAY(H82,-(Setup!$C$13+Setup!$G$26+Setup!$C$14),Setup!$C$39:$C$50),WORKDAY(H82,-(Setup!$C$13+Setup!$G$26),Setup!$C$39:$C$50))+(77*100+7)/10000000)))</f>
        <v/>
      </c>
      <c r="Y82" t="str">
        <f>IF(I82="","",IF(I82&lt;Setup!$C$5-Setup!$C$6,"",IF(IF(ISNUMBER(Roster!$D82),Setup!$C$27&lt;=Roster!$D82,FALSE),"",IF(OR(IF(Setup!$C$15&lt;=Setup!$C$16,AND(MONTH(I82)&gt;=Setup!$C$15,MONTH(I82)&lt;=Setup!$C$16),OR(MONTH(I82)&gt;=Setup!$C$15,MONTH(I82)&lt;=Setup!$C$16)),IF(Setup!$C$15&lt;=Setup!$C$16,AND(MONTH(WORKDAY(I82,-(Setup!$C$13+Setup!$G$27),Setup!$C$39:$C$50))&gt;=Setup!$C$15,MONTH(WORKDAY(I82,-(Setup!$C$13+Setup!$G$27),Setup!$C$39:$C$50))&lt;=Setup!$C$16),OR(MONTH(WORKDAY(I82,-(Setup!$C$13+Setup!$G$27),Setup!$C$39:$C$50))&gt;=Setup!$C$15,MONTH(WORKDAY(I82,-(Setup!$C$13+Setup!$G$27),Setup!$C$39:$C$50))&lt;=Setup!$C$16))),WORKDAY(I82,-(Setup!$C$13+Setup!$G$27+Setup!$C$14),Setup!$C$39:$C$50),WORKDAY(I82,-(Setup!$C$13+Setup!$G$27),Setup!$C$39:$C$50))+(77*100+8)/10000000)))</f>
        <v/>
      </c>
      <c r="Z82" t="str">
        <f>IF(J82="","",IF(J82&lt;Setup!$C$5-Setup!$C$6,"",IF(IF(ISNUMBER(Roster!$D82),Setup!$C$28&lt;=Roster!$D82,FALSE),"",IF(OR(IF(Setup!$C$15&lt;=Setup!$C$16,AND(MONTH(J82)&gt;=Setup!$C$15,MONTH(J82)&lt;=Setup!$C$16),OR(MONTH(J82)&gt;=Setup!$C$15,MONTH(J82)&lt;=Setup!$C$16)),IF(Setup!$C$15&lt;=Setup!$C$16,AND(MONTH(WORKDAY(J82,-(Setup!$C$13+Setup!$G$28),Setup!$C$39:$C$50))&gt;=Setup!$C$15,MONTH(WORKDAY(J82,-(Setup!$C$13+Setup!$G$28),Setup!$C$39:$C$50))&lt;=Setup!$C$16),OR(MONTH(WORKDAY(J82,-(Setup!$C$13+Setup!$G$28),Setup!$C$39:$C$50))&gt;=Setup!$C$15,MONTH(WORKDAY(J82,-(Setup!$C$13+Setup!$G$28),Setup!$C$39:$C$50))&lt;=Setup!$C$16))),WORKDAY(J82,-(Setup!$C$13+Setup!$G$28+Setup!$C$14),Setup!$C$39:$C$50),WORKDAY(J82,-(Setup!$C$13+Setup!$G$28),Setup!$C$39:$C$50))+(77*100+9)/10000000)))</f>
        <v/>
      </c>
      <c r="AA82" t="str">
        <f>IF(K82="","",IF(K82&lt;Setup!$C$5-Setup!$C$6,"",IF(IF(ISNUMBER(Roster!$D82),Setup!$C$29&lt;=Roster!$D82,FALSE),"",IF(OR(IF(Setup!$C$15&lt;=Setup!$C$16,AND(MONTH(K82)&gt;=Setup!$C$15,MONTH(K82)&lt;=Setup!$C$16),OR(MONTH(K82)&gt;=Setup!$C$15,MONTH(K82)&lt;=Setup!$C$16)),IF(Setup!$C$15&lt;=Setup!$C$16,AND(MONTH(WORKDAY(K82,-(Setup!$C$13+Setup!$G$29),Setup!$C$39:$C$50))&gt;=Setup!$C$15,MONTH(WORKDAY(K82,-(Setup!$C$13+Setup!$G$29),Setup!$C$39:$C$50))&lt;=Setup!$C$16),OR(MONTH(WORKDAY(K82,-(Setup!$C$13+Setup!$G$29),Setup!$C$39:$C$50))&gt;=Setup!$C$15,MONTH(WORKDAY(K82,-(Setup!$C$13+Setup!$G$29),Setup!$C$39:$C$50))&lt;=Setup!$C$16))),WORKDAY(K82,-(Setup!$C$13+Setup!$G$29+Setup!$C$14),Setup!$C$39:$C$50),WORKDAY(K82,-(Setup!$C$13+Setup!$G$29),Setup!$C$39:$C$50))+(77*100+10)/10000000)))</f>
        <v/>
      </c>
      <c r="AB82" t="str">
        <f>IF(L82="","",IF(L82&lt;Setup!$C$5-Setup!$C$6,"",IF(IF(ISNUMBER(Roster!$D82),Setup!$C$30&lt;=Roster!$D82,FALSE),"",IF(OR(IF(Setup!$C$15&lt;=Setup!$C$16,AND(MONTH(L82)&gt;=Setup!$C$15,MONTH(L82)&lt;=Setup!$C$16),OR(MONTH(L82)&gt;=Setup!$C$15,MONTH(L82)&lt;=Setup!$C$16)),IF(Setup!$C$15&lt;=Setup!$C$16,AND(MONTH(WORKDAY(L82,-(Setup!$C$13+Setup!$G$30),Setup!$C$39:$C$50))&gt;=Setup!$C$15,MONTH(WORKDAY(L82,-(Setup!$C$13+Setup!$G$30),Setup!$C$39:$C$50))&lt;=Setup!$C$16),OR(MONTH(WORKDAY(L82,-(Setup!$C$13+Setup!$G$30),Setup!$C$39:$C$50))&gt;=Setup!$C$15,MONTH(WORKDAY(L82,-(Setup!$C$13+Setup!$G$30),Setup!$C$39:$C$50))&lt;=Setup!$C$16))),WORKDAY(L82,-(Setup!$C$13+Setup!$G$30+Setup!$C$14),Setup!$C$39:$C$50),WORKDAY(L82,-(Setup!$C$13+Setup!$G$30),Setup!$C$39:$C$50))+(77*100+11)/10000000)))</f>
        <v/>
      </c>
      <c r="AC82" t="str">
        <f>IF(M82="","",IF(M82&lt;Setup!$C$5-Setup!$C$6,"",IF(IF(ISNUMBER(Roster!$D82),Setup!$C$31&lt;=Roster!$D82,FALSE),"",IF(OR(IF(Setup!$C$15&lt;=Setup!$C$16,AND(MONTH(M82)&gt;=Setup!$C$15,MONTH(M82)&lt;=Setup!$C$16),OR(MONTH(M82)&gt;=Setup!$C$15,MONTH(M82)&lt;=Setup!$C$16)),IF(Setup!$C$15&lt;=Setup!$C$16,AND(MONTH(WORKDAY(M82,-(Setup!$C$13+Setup!$G$31),Setup!$C$39:$C$50))&gt;=Setup!$C$15,MONTH(WORKDAY(M82,-(Setup!$C$13+Setup!$G$31),Setup!$C$39:$C$50))&lt;=Setup!$C$16),OR(MONTH(WORKDAY(M82,-(Setup!$C$13+Setup!$G$31),Setup!$C$39:$C$50))&gt;=Setup!$C$15,MONTH(WORKDAY(M82,-(Setup!$C$13+Setup!$G$31),Setup!$C$39:$C$50))&lt;=Setup!$C$16))),WORKDAY(M82,-(Setup!$C$13+Setup!$G$31+Setup!$C$14),Setup!$C$39:$C$50),WORKDAY(M82,-(Setup!$C$13+Setup!$G$31),Setup!$C$39:$C$50))+(77*100+12)/10000000)))</f>
        <v/>
      </c>
      <c r="AD82" t="str">
        <f>IF(N82="","",IF(N82&lt;Setup!$C$5-Setup!$C$6,"",IF(IF(ISNUMBER(Roster!$D82),Setup!$C$32&lt;=Roster!$D82,FALSE),"",IF(OR(IF(Setup!$C$15&lt;=Setup!$C$16,AND(MONTH(N82)&gt;=Setup!$C$15,MONTH(N82)&lt;=Setup!$C$16),OR(MONTH(N82)&gt;=Setup!$C$15,MONTH(N82)&lt;=Setup!$C$16)),IF(Setup!$C$15&lt;=Setup!$C$16,AND(MONTH(WORKDAY(N82,-(Setup!$C$13+Setup!$G$32),Setup!$C$39:$C$50))&gt;=Setup!$C$15,MONTH(WORKDAY(N82,-(Setup!$C$13+Setup!$G$32),Setup!$C$39:$C$50))&lt;=Setup!$C$16),OR(MONTH(WORKDAY(N82,-(Setup!$C$13+Setup!$G$32),Setup!$C$39:$C$50))&gt;=Setup!$C$15,MONTH(WORKDAY(N82,-(Setup!$C$13+Setup!$G$32),Setup!$C$39:$C$50))&lt;=Setup!$C$16))),WORKDAY(N82,-(Setup!$C$13+Setup!$G$32+Setup!$C$14),Setup!$C$39:$C$50),WORKDAY(N82,-(Setup!$C$13+Setup!$G$32),Setup!$C$39:$C$50))+(77*100+13)/10000000)))</f>
        <v/>
      </c>
      <c r="AE82" t="str">
        <f>IF(O82="","",IF(O82&lt;Setup!$C$5-Setup!$C$6,"",IF(IF(ISNUMBER(Roster!$D82),Setup!$C$33&lt;=Roster!$D82,FALSE),"",IF(OR(IF(Setup!$C$15&lt;=Setup!$C$16,AND(MONTH(O82)&gt;=Setup!$C$15,MONTH(O82)&lt;=Setup!$C$16),OR(MONTH(O82)&gt;=Setup!$C$15,MONTH(O82)&lt;=Setup!$C$16)),IF(Setup!$C$15&lt;=Setup!$C$16,AND(MONTH(WORKDAY(O82,-(Setup!$C$13+Setup!$G$33),Setup!$C$39:$C$50))&gt;=Setup!$C$15,MONTH(WORKDAY(O82,-(Setup!$C$13+Setup!$G$33),Setup!$C$39:$C$50))&lt;=Setup!$C$16),OR(MONTH(WORKDAY(O82,-(Setup!$C$13+Setup!$G$33),Setup!$C$39:$C$50))&gt;=Setup!$C$15,MONTH(WORKDAY(O82,-(Setup!$C$13+Setup!$G$33),Setup!$C$39:$C$50))&lt;=Setup!$C$16))),WORKDAY(O82,-(Setup!$C$13+Setup!$G$33+Setup!$C$14),Setup!$C$39:$C$50),WORKDAY(O82,-(Setup!$C$13+Setup!$G$33),Setup!$C$39:$C$50))+(77*100+14)/10000000)))</f>
        <v/>
      </c>
      <c r="AF82" t="str">
        <f>IF(P82="","",IF(P82&lt;Setup!$C$5-Setup!$C$6,"",IF(IF(ISNUMBER(Roster!$D82),Setup!$C$34&lt;=Roster!$D82,FALSE),"",IF(OR(IF(Setup!$C$15&lt;=Setup!$C$16,AND(MONTH(P82)&gt;=Setup!$C$15,MONTH(P82)&lt;=Setup!$C$16),OR(MONTH(P82)&gt;=Setup!$C$15,MONTH(P82)&lt;=Setup!$C$16)),IF(Setup!$C$15&lt;=Setup!$C$16,AND(MONTH(WORKDAY(P82,-(Setup!$C$13+Setup!$G$34),Setup!$C$39:$C$50))&gt;=Setup!$C$15,MONTH(WORKDAY(P82,-(Setup!$C$13+Setup!$G$34),Setup!$C$39:$C$50))&lt;=Setup!$C$16),OR(MONTH(WORKDAY(P82,-(Setup!$C$13+Setup!$G$34),Setup!$C$39:$C$50))&gt;=Setup!$C$15,MONTH(WORKDAY(P82,-(Setup!$C$13+Setup!$G$34),Setup!$C$39:$C$50))&lt;=Setup!$C$16))),WORKDAY(P82,-(Setup!$C$13+Setup!$G$34+Setup!$C$14),Setup!$C$39:$C$50),WORKDAY(P82,-(Setup!$C$13+Setup!$G$34),Setup!$C$39:$C$50))+(77*100+15)/10000000)))</f>
        <v/>
      </c>
      <c r="AH82" t="str">
        <f t="shared" si="9"/>
        <v/>
      </c>
      <c r="AI82" t="str">
        <f t="shared" si="10"/>
        <v/>
      </c>
      <c r="AK82" t="str">
        <f ca="1">IF(77&gt;$AK$2,"",SMALL($R$6:$AF$505,77))</f>
        <v/>
      </c>
      <c r="AL82" t="str">
        <f t="shared" ca="1" si="11"/>
        <v/>
      </c>
      <c r="AM82" t="str">
        <f t="shared" ca="1" si="12"/>
        <v/>
      </c>
      <c r="AN82" t="str">
        <f t="shared" ca="1" si="13"/>
        <v/>
      </c>
      <c r="AP82" t="str">
        <f>IF(ISNUMBER(Roster!$B82),MAX(1,YEAR(Setup!$C$5)-YEAR(Roster!$B82)+IF(EDATE(Roster!$B82,12*(YEAR(Setup!$C$5)-YEAR(Roster!$B82)))&lt;Setup!$C$5,1,0)),"")</f>
        <v/>
      </c>
      <c r="AQ82" s="32" t="str">
        <f>IF(AP82="","",EDATE(Roster!$B82,12*AP82))</f>
        <v/>
      </c>
      <c r="AR82" t="str">
        <f>IF(AQ82="","",IF(AQ82&lt;DATE(YEAR(Setup!$C$5)+1,MONTH(Setup!$C$5),DAY(Setup!$C$5)),AQ82+77/1000,""))</f>
        <v/>
      </c>
      <c r="AS82" t="str">
        <f t="shared" si="14"/>
        <v/>
      </c>
      <c r="AT82" t="str">
        <f>IF(AS82="","",IF(ISNUMBER(Roster!$D82),Roster!$D82&gt;=AP82,FALSE))</f>
        <v/>
      </c>
      <c r="AU82" t="str">
        <f t="shared" si="15"/>
        <v/>
      </c>
      <c r="AV82" t="str">
        <f ca="1">IF(77&gt;$AV$2,"",SMALL($AR$6:$AR$505,77))</f>
        <v/>
      </c>
      <c r="AW82" t="str">
        <f t="shared" ca="1" si="16"/>
        <v/>
      </c>
    </row>
    <row r="83" spans="2:49" x14ac:dyDescent="0.2">
      <c r="B83" s="32" t="str">
        <f>IF(AND(ISNUMBER(Roster!$B83),Setup!$B$20="Yes",ISNUMBER(Setup!$C$20)),EDATE(Roster!$B83,12*Setup!$C$20),"")</f>
        <v/>
      </c>
      <c r="C83" s="32" t="str">
        <f>IF(AND(ISNUMBER(Roster!$B83),Setup!$B$21="Yes",ISNUMBER(Setup!$C$21)),EDATE(Roster!$B83,12*Setup!$C$21),"")</f>
        <v/>
      </c>
      <c r="D83" s="32" t="str">
        <f>IF(AND(ISNUMBER(Roster!$B83),Setup!$B$22="Yes",ISNUMBER(Setup!$C$22)),EDATE(Roster!$B83,12*Setup!$C$22),"")</f>
        <v/>
      </c>
      <c r="E83" s="32" t="str">
        <f>IF(AND(ISNUMBER(Roster!$B83),Setup!$B$23="Yes",ISNUMBER(Setup!$C$23)),EDATE(Roster!$B83,12*Setup!$C$23),"")</f>
        <v/>
      </c>
      <c r="F83" s="32" t="str">
        <f>IF(AND(ISNUMBER(Roster!$B83),Setup!$B$24="Yes",ISNUMBER(Setup!$C$24)),EDATE(Roster!$B83,12*Setup!$C$24),"")</f>
        <v/>
      </c>
      <c r="G83" s="32" t="str">
        <f>IF(AND(ISNUMBER(Roster!$B83),Setup!$B$25="Yes",ISNUMBER(Setup!$C$25)),EDATE(Roster!$B83,12*Setup!$C$25),"")</f>
        <v/>
      </c>
      <c r="H83" s="32" t="str">
        <f>IF(AND(ISNUMBER(Roster!$B83),Setup!$B$26="Yes",ISNUMBER(Setup!$C$26)),EDATE(Roster!$B83,12*Setup!$C$26),"")</f>
        <v/>
      </c>
      <c r="I83" s="32" t="str">
        <f>IF(AND(ISNUMBER(Roster!$B83),Setup!$B$27="Yes",ISNUMBER(Setup!$C$27)),EDATE(Roster!$B83,12*Setup!$C$27),"")</f>
        <v/>
      </c>
      <c r="J83" s="32" t="str">
        <f>IF(AND(ISNUMBER(Roster!$B83),Setup!$B$28="Yes",ISNUMBER(Setup!$C$28)),EDATE(Roster!$B83,12*Setup!$C$28),"")</f>
        <v/>
      </c>
      <c r="K83" s="32" t="str">
        <f>IF(AND(ISNUMBER(Roster!$B83),Setup!$B$29="Yes",ISNUMBER(Setup!$C$29)),EDATE(Roster!$B83,12*Setup!$C$29),"")</f>
        <v/>
      </c>
      <c r="L83" s="32" t="str">
        <f>IF(AND(ISNUMBER(Roster!$B83),Setup!$B$30="Yes",ISNUMBER(Setup!$C$30)),EDATE(Roster!$B83,12*Setup!$C$30),"")</f>
        <v/>
      </c>
      <c r="M83" s="32" t="str">
        <f>IF(AND(ISNUMBER(Roster!$B83),Setup!$B$31="Yes",ISNUMBER(Setup!$C$31)),EDATE(Roster!$B83,12*Setup!$C$31),"")</f>
        <v/>
      </c>
      <c r="N83" s="32" t="str">
        <f>IF(AND(ISNUMBER(Roster!$B83),Setup!$B$32="Yes",ISNUMBER(Setup!$C$32)),EDATE(Roster!$B83,12*Setup!$C$32),"")</f>
        <v/>
      </c>
      <c r="O83" s="32" t="str">
        <f>IF(AND(ISNUMBER(Roster!$B83),Setup!$B$33="Yes",ISNUMBER(Setup!$C$33)),EDATE(Roster!$B83,12*Setup!$C$33),"")</f>
        <v/>
      </c>
      <c r="P83" s="32" t="str">
        <f>IF(AND(ISNUMBER(Roster!$B83),Setup!$B$34="Yes",ISNUMBER(Setup!$C$34)),EDATE(Roster!$B83,12*Setup!$C$34),"")</f>
        <v/>
      </c>
      <c r="R83" t="str">
        <f>IF(B83="","",IF(B83&lt;Setup!$C$5-Setup!$C$6,"",IF(IF(ISNUMBER(Roster!$D83),Setup!$C$20&lt;=Roster!$D83,FALSE),"",IF(OR(IF(Setup!$C$15&lt;=Setup!$C$16,AND(MONTH(B83)&gt;=Setup!$C$15,MONTH(B83)&lt;=Setup!$C$16),OR(MONTH(B83)&gt;=Setup!$C$15,MONTH(B83)&lt;=Setup!$C$16)),IF(Setup!$C$15&lt;=Setup!$C$16,AND(MONTH(WORKDAY(B83,-(Setup!$C$13+Setup!$G$20),Setup!$C$39:$C$50))&gt;=Setup!$C$15,MONTH(WORKDAY(B83,-(Setup!$C$13+Setup!$G$20),Setup!$C$39:$C$50))&lt;=Setup!$C$16),OR(MONTH(WORKDAY(B83,-(Setup!$C$13+Setup!$G$20),Setup!$C$39:$C$50))&gt;=Setup!$C$15,MONTH(WORKDAY(B83,-(Setup!$C$13+Setup!$G$20),Setup!$C$39:$C$50))&lt;=Setup!$C$16))),WORKDAY(B83,-(Setup!$C$13+Setup!$G$20+Setup!$C$14),Setup!$C$39:$C$50),WORKDAY(B83,-(Setup!$C$13+Setup!$G$20),Setup!$C$39:$C$50))+(78*100+1)/10000000)))</f>
        <v/>
      </c>
      <c r="S83" t="str">
        <f>IF(C83="","",IF(C83&lt;Setup!$C$5-Setup!$C$6,"",IF(IF(ISNUMBER(Roster!$D83),Setup!$C$21&lt;=Roster!$D83,FALSE),"",IF(OR(IF(Setup!$C$15&lt;=Setup!$C$16,AND(MONTH(C83)&gt;=Setup!$C$15,MONTH(C83)&lt;=Setup!$C$16),OR(MONTH(C83)&gt;=Setup!$C$15,MONTH(C83)&lt;=Setup!$C$16)),IF(Setup!$C$15&lt;=Setup!$C$16,AND(MONTH(WORKDAY(C83,-(Setup!$C$13+Setup!$G$21),Setup!$C$39:$C$50))&gt;=Setup!$C$15,MONTH(WORKDAY(C83,-(Setup!$C$13+Setup!$G$21),Setup!$C$39:$C$50))&lt;=Setup!$C$16),OR(MONTH(WORKDAY(C83,-(Setup!$C$13+Setup!$G$21),Setup!$C$39:$C$50))&gt;=Setup!$C$15,MONTH(WORKDAY(C83,-(Setup!$C$13+Setup!$G$21),Setup!$C$39:$C$50))&lt;=Setup!$C$16))),WORKDAY(C83,-(Setup!$C$13+Setup!$G$21+Setup!$C$14),Setup!$C$39:$C$50),WORKDAY(C83,-(Setup!$C$13+Setup!$G$21),Setup!$C$39:$C$50))+(78*100+2)/10000000)))</f>
        <v/>
      </c>
      <c r="T83" t="str">
        <f>IF(D83="","",IF(D83&lt;Setup!$C$5-Setup!$C$6,"",IF(IF(ISNUMBER(Roster!$D83),Setup!$C$22&lt;=Roster!$D83,FALSE),"",IF(OR(IF(Setup!$C$15&lt;=Setup!$C$16,AND(MONTH(D83)&gt;=Setup!$C$15,MONTH(D83)&lt;=Setup!$C$16),OR(MONTH(D83)&gt;=Setup!$C$15,MONTH(D83)&lt;=Setup!$C$16)),IF(Setup!$C$15&lt;=Setup!$C$16,AND(MONTH(WORKDAY(D83,-(Setup!$C$13+Setup!$G$22),Setup!$C$39:$C$50))&gt;=Setup!$C$15,MONTH(WORKDAY(D83,-(Setup!$C$13+Setup!$G$22),Setup!$C$39:$C$50))&lt;=Setup!$C$16),OR(MONTH(WORKDAY(D83,-(Setup!$C$13+Setup!$G$22),Setup!$C$39:$C$50))&gt;=Setup!$C$15,MONTH(WORKDAY(D83,-(Setup!$C$13+Setup!$G$22),Setup!$C$39:$C$50))&lt;=Setup!$C$16))),WORKDAY(D83,-(Setup!$C$13+Setup!$G$22+Setup!$C$14),Setup!$C$39:$C$50),WORKDAY(D83,-(Setup!$C$13+Setup!$G$22),Setup!$C$39:$C$50))+(78*100+3)/10000000)))</f>
        <v/>
      </c>
      <c r="U83" t="str">
        <f>IF(E83="","",IF(E83&lt;Setup!$C$5-Setup!$C$6,"",IF(IF(ISNUMBER(Roster!$D83),Setup!$C$23&lt;=Roster!$D83,FALSE),"",IF(OR(IF(Setup!$C$15&lt;=Setup!$C$16,AND(MONTH(E83)&gt;=Setup!$C$15,MONTH(E83)&lt;=Setup!$C$16),OR(MONTH(E83)&gt;=Setup!$C$15,MONTH(E83)&lt;=Setup!$C$16)),IF(Setup!$C$15&lt;=Setup!$C$16,AND(MONTH(WORKDAY(E83,-(Setup!$C$13+Setup!$G$23),Setup!$C$39:$C$50))&gt;=Setup!$C$15,MONTH(WORKDAY(E83,-(Setup!$C$13+Setup!$G$23),Setup!$C$39:$C$50))&lt;=Setup!$C$16),OR(MONTH(WORKDAY(E83,-(Setup!$C$13+Setup!$G$23),Setup!$C$39:$C$50))&gt;=Setup!$C$15,MONTH(WORKDAY(E83,-(Setup!$C$13+Setup!$G$23),Setup!$C$39:$C$50))&lt;=Setup!$C$16))),WORKDAY(E83,-(Setup!$C$13+Setup!$G$23+Setup!$C$14),Setup!$C$39:$C$50),WORKDAY(E83,-(Setup!$C$13+Setup!$G$23),Setup!$C$39:$C$50))+(78*100+4)/10000000)))</f>
        <v/>
      </c>
      <c r="V83" t="str">
        <f>IF(F83="","",IF(F83&lt;Setup!$C$5-Setup!$C$6,"",IF(IF(ISNUMBER(Roster!$D83),Setup!$C$24&lt;=Roster!$D83,FALSE),"",IF(OR(IF(Setup!$C$15&lt;=Setup!$C$16,AND(MONTH(F83)&gt;=Setup!$C$15,MONTH(F83)&lt;=Setup!$C$16),OR(MONTH(F83)&gt;=Setup!$C$15,MONTH(F83)&lt;=Setup!$C$16)),IF(Setup!$C$15&lt;=Setup!$C$16,AND(MONTH(WORKDAY(F83,-(Setup!$C$13+Setup!$G$24),Setup!$C$39:$C$50))&gt;=Setup!$C$15,MONTH(WORKDAY(F83,-(Setup!$C$13+Setup!$G$24),Setup!$C$39:$C$50))&lt;=Setup!$C$16),OR(MONTH(WORKDAY(F83,-(Setup!$C$13+Setup!$G$24),Setup!$C$39:$C$50))&gt;=Setup!$C$15,MONTH(WORKDAY(F83,-(Setup!$C$13+Setup!$G$24),Setup!$C$39:$C$50))&lt;=Setup!$C$16))),WORKDAY(F83,-(Setup!$C$13+Setup!$G$24+Setup!$C$14),Setup!$C$39:$C$50),WORKDAY(F83,-(Setup!$C$13+Setup!$G$24),Setup!$C$39:$C$50))+(78*100+5)/10000000)))</f>
        <v/>
      </c>
      <c r="W83" t="str">
        <f>IF(G83="","",IF(G83&lt;Setup!$C$5-Setup!$C$6,"",IF(IF(ISNUMBER(Roster!$D83),Setup!$C$25&lt;=Roster!$D83,FALSE),"",IF(OR(IF(Setup!$C$15&lt;=Setup!$C$16,AND(MONTH(G83)&gt;=Setup!$C$15,MONTH(G83)&lt;=Setup!$C$16),OR(MONTH(G83)&gt;=Setup!$C$15,MONTH(G83)&lt;=Setup!$C$16)),IF(Setup!$C$15&lt;=Setup!$C$16,AND(MONTH(WORKDAY(G83,-(Setup!$C$13+Setup!$G$25),Setup!$C$39:$C$50))&gt;=Setup!$C$15,MONTH(WORKDAY(G83,-(Setup!$C$13+Setup!$G$25),Setup!$C$39:$C$50))&lt;=Setup!$C$16),OR(MONTH(WORKDAY(G83,-(Setup!$C$13+Setup!$G$25),Setup!$C$39:$C$50))&gt;=Setup!$C$15,MONTH(WORKDAY(G83,-(Setup!$C$13+Setup!$G$25),Setup!$C$39:$C$50))&lt;=Setup!$C$16))),WORKDAY(G83,-(Setup!$C$13+Setup!$G$25+Setup!$C$14),Setup!$C$39:$C$50),WORKDAY(G83,-(Setup!$C$13+Setup!$G$25),Setup!$C$39:$C$50))+(78*100+6)/10000000)))</f>
        <v/>
      </c>
      <c r="X83" t="str">
        <f>IF(H83="","",IF(H83&lt;Setup!$C$5-Setup!$C$6,"",IF(IF(ISNUMBER(Roster!$D83),Setup!$C$26&lt;=Roster!$D83,FALSE),"",IF(OR(IF(Setup!$C$15&lt;=Setup!$C$16,AND(MONTH(H83)&gt;=Setup!$C$15,MONTH(H83)&lt;=Setup!$C$16),OR(MONTH(H83)&gt;=Setup!$C$15,MONTH(H83)&lt;=Setup!$C$16)),IF(Setup!$C$15&lt;=Setup!$C$16,AND(MONTH(WORKDAY(H83,-(Setup!$C$13+Setup!$G$26),Setup!$C$39:$C$50))&gt;=Setup!$C$15,MONTH(WORKDAY(H83,-(Setup!$C$13+Setup!$G$26),Setup!$C$39:$C$50))&lt;=Setup!$C$16),OR(MONTH(WORKDAY(H83,-(Setup!$C$13+Setup!$G$26),Setup!$C$39:$C$50))&gt;=Setup!$C$15,MONTH(WORKDAY(H83,-(Setup!$C$13+Setup!$G$26),Setup!$C$39:$C$50))&lt;=Setup!$C$16))),WORKDAY(H83,-(Setup!$C$13+Setup!$G$26+Setup!$C$14),Setup!$C$39:$C$50),WORKDAY(H83,-(Setup!$C$13+Setup!$G$26),Setup!$C$39:$C$50))+(78*100+7)/10000000)))</f>
        <v/>
      </c>
      <c r="Y83" t="str">
        <f>IF(I83="","",IF(I83&lt;Setup!$C$5-Setup!$C$6,"",IF(IF(ISNUMBER(Roster!$D83),Setup!$C$27&lt;=Roster!$D83,FALSE),"",IF(OR(IF(Setup!$C$15&lt;=Setup!$C$16,AND(MONTH(I83)&gt;=Setup!$C$15,MONTH(I83)&lt;=Setup!$C$16),OR(MONTH(I83)&gt;=Setup!$C$15,MONTH(I83)&lt;=Setup!$C$16)),IF(Setup!$C$15&lt;=Setup!$C$16,AND(MONTH(WORKDAY(I83,-(Setup!$C$13+Setup!$G$27),Setup!$C$39:$C$50))&gt;=Setup!$C$15,MONTH(WORKDAY(I83,-(Setup!$C$13+Setup!$G$27),Setup!$C$39:$C$50))&lt;=Setup!$C$16),OR(MONTH(WORKDAY(I83,-(Setup!$C$13+Setup!$G$27),Setup!$C$39:$C$50))&gt;=Setup!$C$15,MONTH(WORKDAY(I83,-(Setup!$C$13+Setup!$G$27),Setup!$C$39:$C$50))&lt;=Setup!$C$16))),WORKDAY(I83,-(Setup!$C$13+Setup!$G$27+Setup!$C$14),Setup!$C$39:$C$50),WORKDAY(I83,-(Setup!$C$13+Setup!$G$27),Setup!$C$39:$C$50))+(78*100+8)/10000000)))</f>
        <v/>
      </c>
      <c r="Z83" t="str">
        <f>IF(J83="","",IF(J83&lt;Setup!$C$5-Setup!$C$6,"",IF(IF(ISNUMBER(Roster!$D83),Setup!$C$28&lt;=Roster!$D83,FALSE),"",IF(OR(IF(Setup!$C$15&lt;=Setup!$C$16,AND(MONTH(J83)&gt;=Setup!$C$15,MONTH(J83)&lt;=Setup!$C$16),OR(MONTH(J83)&gt;=Setup!$C$15,MONTH(J83)&lt;=Setup!$C$16)),IF(Setup!$C$15&lt;=Setup!$C$16,AND(MONTH(WORKDAY(J83,-(Setup!$C$13+Setup!$G$28),Setup!$C$39:$C$50))&gt;=Setup!$C$15,MONTH(WORKDAY(J83,-(Setup!$C$13+Setup!$G$28),Setup!$C$39:$C$50))&lt;=Setup!$C$16),OR(MONTH(WORKDAY(J83,-(Setup!$C$13+Setup!$G$28),Setup!$C$39:$C$50))&gt;=Setup!$C$15,MONTH(WORKDAY(J83,-(Setup!$C$13+Setup!$G$28),Setup!$C$39:$C$50))&lt;=Setup!$C$16))),WORKDAY(J83,-(Setup!$C$13+Setup!$G$28+Setup!$C$14),Setup!$C$39:$C$50),WORKDAY(J83,-(Setup!$C$13+Setup!$G$28),Setup!$C$39:$C$50))+(78*100+9)/10000000)))</f>
        <v/>
      </c>
      <c r="AA83" t="str">
        <f>IF(K83="","",IF(K83&lt;Setup!$C$5-Setup!$C$6,"",IF(IF(ISNUMBER(Roster!$D83),Setup!$C$29&lt;=Roster!$D83,FALSE),"",IF(OR(IF(Setup!$C$15&lt;=Setup!$C$16,AND(MONTH(K83)&gt;=Setup!$C$15,MONTH(K83)&lt;=Setup!$C$16),OR(MONTH(K83)&gt;=Setup!$C$15,MONTH(K83)&lt;=Setup!$C$16)),IF(Setup!$C$15&lt;=Setup!$C$16,AND(MONTH(WORKDAY(K83,-(Setup!$C$13+Setup!$G$29),Setup!$C$39:$C$50))&gt;=Setup!$C$15,MONTH(WORKDAY(K83,-(Setup!$C$13+Setup!$G$29),Setup!$C$39:$C$50))&lt;=Setup!$C$16),OR(MONTH(WORKDAY(K83,-(Setup!$C$13+Setup!$G$29),Setup!$C$39:$C$50))&gt;=Setup!$C$15,MONTH(WORKDAY(K83,-(Setup!$C$13+Setup!$G$29),Setup!$C$39:$C$50))&lt;=Setup!$C$16))),WORKDAY(K83,-(Setup!$C$13+Setup!$G$29+Setup!$C$14),Setup!$C$39:$C$50),WORKDAY(K83,-(Setup!$C$13+Setup!$G$29),Setup!$C$39:$C$50))+(78*100+10)/10000000)))</f>
        <v/>
      </c>
      <c r="AB83" t="str">
        <f>IF(L83="","",IF(L83&lt;Setup!$C$5-Setup!$C$6,"",IF(IF(ISNUMBER(Roster!$D83),Setup!$C$30&lt;=Roster!$D83,FALSE),"",IF(OR(IF(Setup!$C$15&lt;=Setup!$C$16,AND(MONTH(L83)&gt;=Setup!$C$15,MONTH(L83)&lt;=Setup!$C$16),OR(MONTH(L83)&gt;=Setup!$C$15,MONTH(L83)&lt;=Setup!$C$16)),IF(Setup!$C$15&lt;=Setup!$C$16,AND(MONTH(WORKDAY(L83,-(Setup!$C$13+Setup!$G$30),Setup!$C$39:$C$50))&gt;=Setup!$C$15,MONTH(WORKDAY(L83,-(Setup!$C$13+Setup!$G$30),Setup!$C$39:$C$50))&lt;=Setup!$C$16),OR(MONTH(WORKDAY(L83,-(Setup!$C$13+Setup!$G$30),Setup!$C$39:$C$50))&gt;=Setup!$C$15,MONTH(WORKDAY(L83,-(Setup!$C$13+Setup!$G$30),Setup!$C$39:$C$50))&lt;=Setup!$C$16))),WORKDAY(L83,-(Setup!$C$13+Setup!$G$30+Setup!$C$14),Setup!$C$39:$C$50),WORKDAY(L83,-(Setup!$C$13+Setup!$G$30),Setup!$C$39:$C$50))+(78*100+11)/10000000)))</f>
        <v/>
      </c>
      <c r="AC83" t="str">
        <f>IF(M83="","",IF(M83&lt;Setup!$C$5-Setup!$C$6,"",IF(IF(ISNUMBER(Roster!$D83),Setup!$C$31&lt;=Roster!$D83,FALSE),"",IF(OR(IF(Setup!$C$15&lt;=Setup!$C$16,AND(MONTH(M83)&gt;=Setup!$C$15,MONTH(M83)&lt;=Setup!$C$16),OR(MONTH(M83)&gt;=Setup!$C$15,MONTH(M83)&lt;=Setup!$C$16)),IF(Setup!$C$15&lt;=Setup!$C$16,AND(MONTH(WORKDAY(M83,-(Setup!$C$13+Setup!$G$31),Setup!$C$39:$C$50))&gt;=Setup!$C$15,MONTH(WORKDAY(M83,-(Setup!$C$13+Setup!$G$31),Setup!$C$39:$C$50))&lt;=Setup!$C$16),OR(MONTH(WORKDAY(M83,-(Setup!$C$13+Setup!$G$31),Setup!$C$39:$C$50))&gt;=Setup!$C$15,MONTH(WORKDAY(M83,-(Setup!$C$13+Setup!$G$31),Setup!$C$39:$C$50))&lt;=Setup!$C$16))),WORKDAY(M83,-(Setup!$C$13+Setup!$G$31+Setup!$C$14),Setup!$C$39:$C$50),WORKDAY(M83,-(Setup!$C$13+Setup!$G$31),Setup!$C$39:$C$50))+(78*100+12)/10000000)))</f>
        <v/>
      </c>
      <c r="AD83" t="str">
        <f>IF(N83="","",IF(N83&lt;Setup!$C$5-Setup!$C$6,"",IF(IF(ISNUMBER(Roster!$D83),Setup!$C$32&lt;=Roster!$D83,FALSE),"",IF(OR(IF(Setup!$C$15&lt;=Setup!$C$16,AND(MONTH(N83)&gt;=Setup!$C$15,MONTH(N83)&lt;=Setup!$C$16),OR(MONTH(N83)&gt;=Setup!$C$15,MONTH(N83)&lt;=Setup!$C$16)),IF(Setup!$C$15&lt;=Setup!$C$16,AND(MONTH(WORKDAY(N83,-(Setup!$C$13+Setup!$G$32),Setup!$C$39:$C$50))&gt;=Setup!$C$15,MONTH(WORKDAY(N83,-(Setup!$C$13+Setup!$G$32),Setup!$C$39:$C$50))&lt;=Setup!$C$16),OR(MONTH(WORKDAY(N83,-(Setup!$C$13+Setup!$G$32),Setup!$C$39:$C$50))&gt;=Setup!$C$15,MONTH(WORKDAY(N83,-(Setup!$C$13+Setup!$G$32),Setup!$C$39:$C$50))&lt;=Setup!$C$16))),WORKDAY(N83,-(Setup!$C$13+Setup!$G$32+Setup!$C$14),Setup!$C$39:$C$50),WORKDAY(N83,-(Setup!$C$13+Setup!$G$32),Setup!$C$39:$C$50))+(78*100+13)/10000000)))</f>
        <v/>
      </c>
      <c r="AE83" t="str">
        <f>IF(O83="","",IF(O83&lt;Setup!$C$5-Setup!$C$6,"",IF(IF(ISNUMBER(Roster!$D83),Setup!$C$33&lt;=Roster!$D83,FALSE),"",IF(OR(IF(Setup!$C$15&lt;=Setup!$C$16,AND(MONTH(O83)&gt;=Setup!$C$15,MONTH(O83)&lt;=Setup!$C$16),OR(MONTH(O83)&gt;=Setup!$C$15,MONTH(O83)&lt;=Setup!$C$16)),IF(Setup!$C$15&lt;=Setup!$C$16,AND(MONTH(WORKDAY(O83,-(Setup!$C$13+Setup!$G$33),Setup!$C$39:$C$50))&gt;=Setup!$C$15,MONTH(WORKDAY(O83,-(Setup!$C$13+Setup!$G$33),Setup!$C$39:$C$50))&lt;=Setup!$C$16),OR(MONTH(WORKDAY(O83,-(Setup!$C$13+Setup!$G$33),Setup!$C$39:$C$50))&gt;=Setup!$C$15,MONTH(WORKDAY(O83,-(Setup!$C$13+Setup!$G$33),Setup!$C$39:$C$50))&lt;=Setup!$C$16))),WORKDAY(O83,-(Setup!$C$13+Setup!$G$33+Setup!$C$14),Setup!$C$39:$C$50),WORKDAY(O83,-(Setup!$C$13+Setup!$G$33),Setup!$C$39:$C$50))+(78*100+14)/10000000)))</f>
        <v/>
      </c>
      <c r="AF83" t="str">
        <f>IF(P83="","",IF(P83&lt;Setup!$C$5-Setup!$C$6,"",IF(IF(ISNUMBER(Roster!$D83),Setup!$C$34&lt;=Roster!$D83,FALSE),"",IF(OR(IF(Setup!$C$15&lt;=Setup!$C$16,AND(MONTH(P83)&gt;=Setup!$C$15,MONTH(P83)&lt;=Setup!$C$16),OR(MONTH(P83)&gt;=Setup!$C$15,MONTH(P83)&lt;=Setup!$C$16)),IF(Setup!$C$15&lt;=Setup!$C$16,AND(MONTH(WORKDAY(P83,-(Setup!$C$13+Setup!$G$34),Setup!$C$39:$C$50))&gt;=Setup!$C$15,MONTH(WORKDAY(P83,-(Setup!$C$13+Setup!$G$34),Setup!$C$39:$C$50))&lt;=Setup!$C$16),OR(MONTH(WORKDAY(P83,-(Setup!$C$13+Setup!$G$34),Setup!$C$39:$C$50))&gt;=Setup!$C$15,MONTH(WORKDAY(P83,-(Setup!$C$13+Setup!$G$34),Setup!$C$39:$C$50))&lt;=Setup!$C$16))),WORKDAY(P83,-(Setup!$C$13+Setup!$G$34+Setup!$C$14),Setup!$C$39:$C$50),WORKDAY(P83,-(Setup!$C$13+Setup!$G$34),Setup!$C$39:$C$50))+(78*100+15)/10000000)))</f>
        <v/>
      </c>
      <c r="AH83" t="str">
        <f t="shared" si="9"/>
        <v/>
      </c>
      <c r="AI83" t="str">
        <f t="shared" si="10"/>
        <v/>
      </c>
      <c r="AK83" t="str">
        <f ca="1">IF(78&gt;$AK$2,"",SMALL($R$6:$AF$505,78))</f>
        <v/>
      </c>
      <c r="AL83" t="str">
        <f t="shared" ca="1" si="11"/>
        <v/>
      </c>
      <c r="AM83" t="str">
        <f t="shared" ca="1" si="12"/>
        <v/>
      </c>
      <c r="AN83" t="str">
        <f t="shared" ca="1" si="13"/>
        <v/>
      </c>
      <c r="AP83" t="str">
        <f>IF(ISNUMBER(Roster!$B83),MAX(1,YEAR(Setup!$C$5)-YEAR(Roster!$B83)+IF(EDATE(Roster!$B83,12*(YEAR(Setup!$C$5)-YEAR(Roster!$B83)))&lt;Setup!$C$5,1,0)),"")</f>
        <v/>
      </c>
      <c r="AQ83" s="32" t="str">
        <f>IF(AP83="","",EDATE(Roster!$B83,12*AP83))</f>
        <v/>
      </c>
      <c r="AR83" t="str">
        <f>IF(AQ83="","",IF(AQ83&lt;DATE(YEAR(Setup!$C$5)+1,MONTH(Setup!$C$5),DAY(Setup!$C$5)),AQ83+78/1000,""))</f>
        <v/>
      </c>
      <c r="AS83" t="str">
        <f t="shared" si="14"/>
        <v/>
      </c>
      <c r="AT83" t="str">
        <f>IF(AS83="","",IF(ISNUMBER(Roster!$D83),Roster!$D83&gt;=AP83,FALSE))</f>
        <v/>
      </c>
      <c r="AU83" t="str">
        <f t="shared" si="15"/>
        <v/>
      </c>
      <c r="AV83" t="str">
        <f ca="1">IF(78&gt;$AV$2,"",SMALL($AR$6:$AR$505,78))</f>
        <v/>
      </c>
      <c r="AW83" t="str">
        <f t="shared" ca="1" si="16"/>
        <v/>
      </c>
    </row>
    <row r="84" spans="2:49" x14ac:dyDescent="0.2">
      <c r="B84" s="32" t="str">
        <f>IF(AND(ISNUMBER(Roster!$B84),Setup!$B$20="Yes",ISNUMBER(Setup!$C$20)),EDATE(Roster!$B84,12*Setup!$C$20),"")</f>
        <v/>
      </c>
      <c r="C84" s="32" t="str">
        <f>IF(AND(ISNUMBER(Roster!$B84),Setup!$B$21="Yes",ISNUMBER(Setup!$C$21)),EDATE(Roster!$B84,12*Setup!$C$21),"")</f>
        <v/>
      </c>
      <c r="D84" s="32" t="str">
        <f>IF(AND(ISNUMBER(Roster!$B84),Setup!$B$22="Yes",ISNUMBER(Setup!$C$22)),EDATE(Roster!$B84,12*Setup!$C$22),"")</f>
        <v/>
      </c>
      <c r="E84" s="32" t="str">
        <f>IF(AND(ISNUMBER(Roster!$B84),Setup!$B$23="Yes",ISNUMBER(Setup!$C$23)),EDATE(Roster!$B84,12*Setup!$C$23),"")</f>
        <v/>
      </c>
      <c r="F84" s="32" t="str">
        <f>IF(AND(ISNUMBER(Roster!$B84),Setup!$B$24="Yes",ISNUMBER(Setup!$C$24)),EDATE(Roster!$B84,12*Setup!$C$24),"")</f>
        <v/>
      </c>
      <c r="G84" s="32" t="str">
        <f>IF(AND(ISNUMBER(Roster!$B84),Setup!$B$25="Yes",ISNUMBER(Setup!$C$25)),EDATE(Roster!$B84,12*Setup!$C$25),"")</f>
        <v/>
      </c>
      <c r="H84" s="32" t="str">
        <f>IF(AND(ISNUMBER(Roster!$B84),Setup!$B$26="Yes",ISNUMBER(Setup!$C$26)),EDATE(Roster!$B84,12*Setup!$C$26),"")</f>
        <v/>
      </c>
      <c r="I84" s="32" t="str">
        <f>IF(AND(ISNUMBER(Roster!$B84),Setup!$B$27="Yes",ISNUMBER(Setup!$C$27)),EDATE(Roster!$B84,12*Setup!$C$27),"")</f>
        <v/>
      </c>
      <c r="J84" s="32" t="str">
        <f>IF(AND(ISNUMBER(Roster!$B84),Setup!$B$28="Yes",ISNUMBER(Setup!$C$28)),EDATE(Roster!$B84,12*Setup!$C$28),"")</f>
        <v/>
      </c>
      <c r="K84" s="32" t="str">
        <f>IF(AND(ISNUMBER(Roster!$B84),Setup!$B$29="Yes",ISNUMBER(Setup!$C$29)),EDATE(Roster!$B84,12*Setup!$C$29),"")</f>
        <v/>
      </c>
      <c r="L84" s="32" t="str">
        <f>IF(AND(ISNUMBER(Roster!$B84),Setup!$B$30="Yes",ISNUMBER(Setup!$C$30)),EDATE(Roster!$B84,12*Setup!$C$30),"")</f>
        <v/>
      </c>
      <c r="M84" s="32" t="str">
        <f>IF(AND(ISNUMBER(Roster!$B84),Setup!$B$31="Yes",ISNUMBER(Setup!$C$31)),EDATE(Roster!$B84,12*Setup!$C$31),"")</f>
        <v/>
      </c>
      <c r="N84" s="32" t="str">
        <f>IF(AND(ISNUMBER(Roster!$B84),Setup!$B$32="Yes",ISNUMBER(Setup!$C$32)),EDATE(Roster!$B84,12*Setup!$C$32),"")</f>
        <v/>
      </c>
      <c r="O84" s="32" t="str">
        <f>IF(AND(ISNUMBER(Roster!$B84),Setup!$B$33="Yes",ISNUMBER(Setup!$C$33)),EDATE(Roster!$B84,12*Setup!$C$33),"")</f>
        <v/>
      </c>
      <c r="P84" s="32" t="str">
        <f>IF(AND(ISNUMBER(Roster!$B84),Setup!$B$34="Yes",ISNUMBER(Setup!$C$34)),EDATE(Roster!$B84,12*Setup!$C$34),"")</f>
        <v/>
      </c>
      <c r="R84" t="str">
        <f>IF(B84="","",IF(B84&lt;Setup!$C$5-Setup!$C$6,"",IF(IF(ISNUMBER(Roster!$D84),Setup!$C$20&lt;=Roster!$D84,FALSE),"",IF(OR(IF(Setup!$C$15&lt;=Setup!$C$16,AND(MONTH(B84)&gt;=Setup!$C$15,MONTH(B84)&lt;=Setup!$C$16),OR(MONTH(B84)&gt;=Setup!$C$15,MONTH(B84)&lt;=Setup!$C$16)),IF(Setup!$C$15&lt;=Setup!$C$16,AND(MONTH(WORKDAY(B84,-(Setup!$C$13+Setup!$G$20),Setup!$C$39:$C$50))&gt;=Setup!$C$15,MONTH(WORKDAY(B84,-(Setup!$C$13+Setup!$G$20),Setup!$C$39:$C$50))&lt;=Setup!$C$16),OR(MONTH(WORKDAY(B84,-(Setup!$C$13+Setup!$G$20),Setup!$C$39:$C$50))&gt;=Setup!$C$15,MONTH(WORKDAY(B84,-(Setup!$C$13+Setup!$G$20),Setup!$C$39:$C$50))&lt;=Setup!$C$16))),WORKDAY(B84,-(Setup!$C$13+Setup!$G$20+Setup!$C$14),Setup!$C$39:$C$50),WORKDAY(B84,-(Setup!$C$13+Setup!$G$20),Setup!$C$39:$C$50))+(79*100+1)/10000000)))</f>
        <v/>
      </c>
      <c r="S84" t="str">
        <f>IF(C84="","",IF(C84&lt;Setup!$C$5-Setup!$C$6,"",IF(IF(ISNUMBER(Roster!$D84),Setup!$C$21&lt;=Roster!$D84,FALSE),"",IF(OR(IF(Setup!$C$15&lt;=Setup!$C$16,AND(MONTH(C84)&gt;=Setup!$C$15,MONTH(C84)&lt;=Setup!$C$16),OR(MONTH(C84)&gt;=Setup!$C$15,MONTH(C84)&lt;=Setup!$C$16)),IF(Setup!$C$15&lt;=Setup!$C$16,AND(MONTH(WORKDAY(C84,-(Setup!$C$13+Setup!$G$21),Setup!$C$39:$C$50))&gt;=Setup!$C$15,MONTH(WORKDAY(C84,-(Setup!$C$13+Setup!$G$21),Setup!$C$39:$C$50))&lt;=Setup!$C$16),OR(MONTH(WORKDAY(C84,-(Setup!$C$13+Setup!$G$21),Setup!$C$39:$C$50))&gt;=Setup!$C$15,MONTH(WORKDAY(C84,-(Setup!$C$13+Setup!$G$21),Setup!$C$39:$C$50))&lt;=Setup!$C$16))),WORKDAY(C84,-(Setup!$C$13+Setup!$G$21+Setup!$C$14),Setup!$C$39:$C$50),WORKDAY(C84,-(Setup!$C$13+Setup!$G$21),Setup!$C$39:$C$50))+(79*100+2)/10000000)))</f>
        <v/>
      </c>
      <c r="T84" t="str">
        <f>IF(D84="","",IF(D84&lt;Setup!$C$5-Setup!$C$6,"",IF(IF(ISNUMBER(Roster!$D84),Setup!$C$22&lt;=Roster!$D84,FALSE),"",IF(OR(IF(Setup!$C$15&lt;=Setup!$C$16,AND(MONTH(D84)&gt;=Setup!$C$15,MONTH(D84)&lt;=Setup!$C$16),OR(MONTH(D84)&gt;=Setup!$C$15,MONTH(D84)&lt;=Setup!$C$16)),IF(Setup!$C$15&lt;=Setup!$C$16,AND(MONTH(WORKDAY(D84,-(Setup!$C$13+Setup!$G$22),Setup!$C$39:$C$50))&gt;=Setup!$C$15,MONTH(WORKDAY(D84,-(Setup!$C$13+Setup!$G$22),Setup!$C$39:$C$50))&lt;=Setup!$C$16),OR(MONTH(WORKDAY(D84,-(Setup!$C$13+Setup!$G$22),Setup!$C$39:$C$50))&gt;=Setup!$C$15,MONTH(WORKDAY(D84,-(Setup!$C$13+Setup!$G$22),Setup!$C$39:$C$50))&lt;=Setup!$C$16))),WORKDAY(D84,-(Setup!$C$13+Setup!$G$22+Setup!$C$14),Setup!$C$39:$C$50),WORKDAY(D84,-(Setup!$C$13+Setup!$G$22),Setup!$C$39:$C$50))+(79*100+3)/10000000)))</f>
        <v/>
      </c>
      <c r="U84" t="str">
        <f>IF(E84="","",IF(E84&lt;Setup!$C$5-Setup!$C$6,"",IF(IF(ISNUMBER(Roster!$D84),Setup!$C$23&lt;=Roster!$D84,FALSE),"",IF(OR(IF(Setup!$C$15&lt;=Setup!$C$16,AND(MONTH(E84)&gt;=Setup!$C$15,MONTH(E84)&lt;=Setup!$C$16),OR(MONTH(E84)&gt;=Setup!$C$15,MONTH(E84)&lt;=Setup!$C$16)),IF(Setup!$C$15&lt;=Setup!$C$16,AND(MONTH(WORKDAY(E84,-(Setup!$C$13+Setup!$G$23),Setup!$C$39:$C$50))&gt;=Setup!$C$15,MONTH(WORKDAY(E84,-(Setup!$C$13+Setup!$G$23),Setup!$C$39:$C$50))&lt;=Setup!$C$16),OR(MONTH(WORKDAY(E84,-(Setup!$C$13+Setup!$G$23),Setup!$C$39:$C$50))&gt;=Setup!$C$15,MONTH(WORKDAY(E84,-(Setup!$C$13+Setup!$G$23),Setup!$C$39:$C$50))&lt;=Setup!$C$16))),WORKDAY(E84,-(Setup!$C$13+Setup!$G$23+Setup!$C$14),Setup!$C$39:$C$50),WORKDAY(E84,-(Setup!$C$13+Setup!$G$23),Setup!$C$39:$C$50))+(79*100+4)/10000000)))</f>
        <v/>
      </c>
      <c r="V84" t="str">
        <f>IF(F84="","",IF(F84&lt;Setup!$C$5-Setup!$C$6,"",IF(IF(ISNUMBER(Roster!$D84),Setup!$C$24&lt;=Roster!$D84,FALSE),"",IF(OR(IF(Setup!$C$15&lt;=Setup!$C$16,AND(MONTH(F84)&gt;=Setup!$C$15,MONTH(F84)&lt;=Setup!$C$16),OR(MONTH(F84)&gt;=Setup!$C$15,MONTH(F84)&lt;=Setup!$C$16)),IF(Setup!$C$15&lt;=Setup!$C$16,AND(MONTH(WORKDAY(F84,-(Setup!$C$13+Setup!$G$24),Setup!$C$39:$C$50))&gt;=Setup!$C$15,MONTH(WORKDAY(F84,-(Setup!$C$13+Setup!$G$24),Setup!$C$39:$C$50))&lt;=Setup!$C$16),OR(MONTH(WORKDAY(F84,-(Setup!$C$13+Setup!$G$24),Setup!$C$39:$C$50))&gt;=Setup!$C$15,MONTH(WORKDAY(F84,-(Setup!$C$13+Setup!$G$24),Setup!$C$39:$C$50))&lt;=Setup!$C$16))),WORKDAY(F84,-(Setup!$C$13+Setup!$G$24+Setup!$C$14),Setup!$C$39:$C$50),WORKDAY(F84,-(Setup!$C$13+Setup!$G$24),Setup!$C$39:$C$50))+(79*100+5)/10000000)))</f>
        <v/>
      </c>
      <c r="W84" t="str">
        <f>IF(G84="","",IF(G84&lt;Setup!$C$5-Setup!$C$6,"",IF(IF(ISNUMBER(Roster!$D84),Setup!$C$25&lt;=Roster!$D84,FALSE),"",IF(OR(IF(Setup!$C$15&lt;=Setup!$C$16,AND(MONTH(G84)&gt;=Setup!$C$15,MONTH(G84)&lt;=Setup!$C$16),OR(MONTH(G84)&gt;=Setup!$C$15,MONTH(G84)&lt;=Setup!$C$16)),IF(Setup!$C$15&lt;=Setup!$C$16,AND(MONTH(WORKDAY(G84,-(Setup!$C$13+Setup!$G$25),Setup!$C$39:$C$50))&gt;=Setup!$C$15,MONTH(WORKDAY(G84,-(Setup!$C$13+Setup!$G$25),Setup!$C$39:$C$50))&lt;=Setup!$C$16),OR(MONTH(WORKDAY(G84,-(Setup!$C$13+Setup!$G$25),Setup!$C$39:$C$50))&gt;=Setup!$C$15,MONTH(WORKDAY(G84,-(Setup!$C$13+Setup!$G$25),Setup!$C$39:$C$50))&lt;=Setup!$C$16))),WORKDAY(G84,-(Setup!$C$13+Setup!$G$25+Setup!$C$14),Setup!$C$39:$C$50),WORKDAY(G84,-(Setup!$C$13+Setup!$G$25),Setup!$C$39:$C$50))+(79*100+6)/10000000)))</f>
        <v/>
      </c>
      <c r="X84" t="str">
        <f>IF(H84="","",IF(H84&lt;Setup!$C$5-Setup!$C$6,"",IF(IF(ISNUMBER(Roster!$D84),Setup!$C$26&lt;=Roster!$D84,FALSE),"",IF(OR(IF(Setup!$C$15&lt;=Setup!$C$16,AND(MONTH(H84)&gt;=Setup!$C$15,MONTH(H84)&lt;=Setup!$C$16),OR(MONTH(H84)&gt;=Setup!$C$15,MONTH(H84)&lt;=Setup!$C$16)),IF(Setup!$C$15&lt;=Setup!$C$16,AND(MONTH(WORKDAY(H84,-(Setup!$C$13+Setup!$G$26),Setup!$C$39:$C$50))&gt;=Setup!$C$15,MONTH(WORKDAY(H84,-(Setup!$C$13+Setup!$G$26),Setup!$C$39:$C$50))&lt;=Setup!$C$16),OR(MONTH(WORKDAY(H84,-(Setup!$C$13+Setup!$G$26),Setup!$C$39:$C$50))&gt;=Setup!$C$15,MONTH(WORKDAY(H84,-(Setup!$C$13+Setup!$G$26),Setup!$C$39:$C$50))&lt;=Setup!$C$16))),WORKDAY(H84,-(Setup!$C$13+Setup!$G$26+Setup!$C$14),Setup!$C$39:$C$50),WORKDAY(H84,-(Setup!$C$13+Setup!$G$26),Setup!$C$39:$C$50))+(79*100+7)/10000000)))</f>
        <v/>
      </c>
      <c r="Y84" t="str">
        <f>IF(I84="","",IF(I84&lt;Setup!$C$5-Setup!$C$6,"",IF(IF(ISNUMBER(Roster!$D84),Setup!$C$27&lt;=Roster!$D84,FALSE),"",IF(OR(IF(Setup!$C$15&lt;=Setup!$C$16,AND(MONTH(I84)&gt;=Setup!$C$15,MONTH(I84)&lt;=Setup!$C$16),OR(MONTH(I84)&gt;=Setup!$C$15,MONTH(I84)&lt;=Setup!$C$16)),IF(Setup!$C$15&lt;=Setup!$C$16,AND(MONTH(WORKDAY(I84,-(Setup!$C$13+Setup!$G$27),Setup!$C$39:$C$50))&gt;=Setup!$C$15,MONTH(WORKDAY(I84,-(Setup!$C$13+Setup!$G$27),Setup!$C$39:$C$50))&lt;=Setup!$C$16),OR(MONTH(WORKDAY(I84,-(Setup!$C$13+Setup!$G$27),Setup!$C$39:$C$50))&gt;=Setup!$C$15,MONTH(WORKDAY(I84,-(Setup!$C$13+Setup!$G$27),Setup!$C$39:$C$50))&lt;=Setup!$C$16))),WORKDAY(I84,-(Setup!$C$13+Setup!$G$27+Setup!$C$14),Setup!$C$39:$C$50),WORKDAY(I84,-(Setup!$C$13+Setup!$G$27),Setup!$C$39:$C$50))+(79*100+8)/10000000)))</f>
        <v/>
      </c>
      <c r="Z84" t="str">
        <f>IF(J84="","",IF(J84&lt;Setup!$C$5-Setup!$C$6,"",IF(IF(ISNUMBER(Roster!$D84),Setup!$C$28&lt;=Roster!$D84,FALSE),"",IF(OR(IF(Setup!$C$15&lt;=Setup!$C$16,AND(MONTH(J84)&gt;=Setup!$C$15,MONTH(J84)&lt;=Setup!$C$16),OR(MONTH(J84)&gt;=Setup!$C$15,MONTH(J84)&lt;=Setup!$C$16)),IF(Setup!$C$15&lt;=Setup!$C$16,AND(MONTH(WORKDAY(J84,-(Setup!$C$13+Setup!$G$28),Setup!$C$39:$C$50))&gt;=Setup!$C$15,MONTH(WORKDAY(J84,-(Setup!$C$13+Setup!$G$28),Setup!$C$39:$C$50))&lt;=Setup!$C$16),OR(MONTH(WORKDAY(J84,-(Setup!$C$13+Setup!$G$28),Setup!$C$39:$C$50))&gt;=Setup!$C$15,MONTH(WORKDAY(J84,-(Setup!$C$13+Setup!$G$28),Setup!$C$39:$C$50))&lt;=Setup!$C$16))),WORKDAY(J84,-(Setup!$C$13+Setup!$G$28+Setup!$C$14),Setup!$C$39:$C$50),WORKDAY(J84,-(Setup!$C$13+Setup!$G$28),Setup!$C$39:$C$50))+(79*100+9)/10000000)))</f>
        <v/>
      </c>
      <c r="AA84" t="str">
        <f>IF(K84="","",IF(K84&lt;Setup!$C$5-Setup!$C$6,"",IF(IF(ISNUMBER(Roster!$D84),Setup!$C$29&lt;=Roster!$D84,FALSE),"",IF(OR(IF(Setup!$C$15&lt;=Setup!$C$16,AND(MONTH(K84)&gt;=Setup!$C$15,MONTH(K84)&lt;=Setup!$C$16),OR(MONTH(K84)&gt;=Setup!$C$15,MONTH(K84)&lt;=Setup!$C$16)),IF(Setup!$C$15&lt;=Setup!$C$16,AND(MONTH(WORKDAY(K84,-(Setup!$C$13+Setup!$G$29),Setup!$C$39:$C$50))&gt;=Setup!$C$15,MONTH(WORKDAY(K84,-(Setup!$C$13+Setup!$G$29),Setup!$C$39:$C$50))&lt;=Setup!$C$16),OR(MONTH(WORKDAY(K84,-(Setup!$C$13+Setup!$G$29),Setup!$C$39:$C$50))&gt;=Setup!$C$15,MONTH(WORKDAY(K84,-(Setup!$C$13+Setup!$G$29),Setup!$C$39:$C$50))&lt;=Setup!$C$16))),WORKDAY(K84,-(Setup!$C$13+Setup!$G$29+Setup!$C$14),Setup!$C$39:$C$50),WORKDAY(K84,-(Setup!$C$13+Setup!$G$29),Setup!$C$39:$C$50))+(79*100+10)/10000000)))</f>
        <v/>
      </c>
      <c r="AB84" t="str">
        <f>IF(L84="","",IF(L84&lt;Setup!$C$5-Setup!$C$6,"",IF(IF(ISNUMBER(Roster!$D84),Setup!$C$30&lt;=Roster!$D84,FALSE),"",IF(OR(IF(Setup!$C$15&lt;=Setup!$C$16,AND(MONTH(L84)&gt;=Setup!$C$15,MONTH(L84)&lt;=Setup!$C$16),OR(MONTH(L84)&gt;=Setup!$C$15,MONTH(L84)&lt;=Setup!$C$16)),IF(Setup!$C$15&lt;=Setup!$C$16,AND(MONTH(WORKDAY(L84,-(Setup!$C$13+Setup!$G$30),Setup!$C$39:$C$50))&gt;=Setup!$C$15,MONTH(WORKDAY(L84,-(Setup!$C$13+Setup!$G$30),Setup!$C$39:$C$50))&lt;=Setup!$C$16),OR(MONTH(WORKDAY(L84,-(Setup!$C$13+Setup!$G$30),Setup!$C$39:$C$50))&gt;=Setup!$C$15,MONTH(WORKDAY(L84,-(Setup!$C$13+Setup!$G$30),Setup!$C$39:$C$50))&lt;=Setup!$C$16))),WORKDAY(L84,-(Setup!$C$13+Setup!$G$30+Setup!$C$14),Setup!$C$39:$C$50),WORKDAY(L84,-(Setup!$C$13+Setup!$G$30),Setup!$C$39:$C$50))+(79*100+11)/10000000)))</f>
        <v/>
      </c>
      <c r="AC84" t="str">
        <f>IF(M84="","",IF(M84&lt;Setup!$C$5-Setup!$C$6,"",IF(IF(ISNUMBER(Roster!$D84),Setup!$C$31&lt;=Roster!$D84,FALSE),"",IF(OR(IF(Setup!$C$15&lt;=Setup!$C$16,AND(MONTH(M84)&gt;=Setup!$C$15,MONTH(M84)&lt;=Setup!$C$16),OR(MONTH(M84)&gt;=Setup!$C$15,MONTH(M84)&lt;=Setup!$C$16)),IF(Setup!$C$15&lt;=Setup!$C$16,AND(MONTH(WORKDAY(M84,-(Setup!$C$13+Setup!$G$31),Setup!$C$39:$C$50))&gt;=Setup!$C$15,MONTH(WORKDAY(M84,-(Setup!$C$13+Setup!$G$31),Setup!$C$39:$C$50))&lt;=Setup!$C$16),OR(MONTH(WORKDAY(M84,-(Setup!$C$13+Setup!$G$31),Setup!$C$39:$C$50))&gt;=Setup!$C$15,MONTH(WORKDAY(M84,-(Setup!$C$13+Setup!$G$31),Setup!$C$39:$C$50))&lt;=Setup!$C$16))),WORKDAY(M84,-(Setup!$C$13+Setup!$G$31+Setup!$C$14),Setup!$C$39:$C$50),WORKDAY(M84,-(Setup!$C$13+Setup!$G$31),Setup!$C$39:$C$50))+(79*100+12)/10000000)))</f>
        <v/>
      </c>
      <c r="AD84" t="str">
        <f>IF(N84="","",IF(N84&lt;Setup!$C$5-Setup!$C$6,"",IF(IF(ISNUMBER(Roster!$D84),Setup!$C$32&lt;=Roster!$D84,FALSE),"",IF(OR(IF(Setup!$C$15&lt;=Setup!$C$16,AND(MONTH(N84)&gt;=Setup!$C$15,MONTH(N84)&lt;=Setup!$C$16),OR(MONTH(N84)&gt;=Setup!$C$15,MONTH(N84)&lt;=Setup!$C$16)),IF(Setup!$C$15&lt;=Setup!$C$16,AND(MONTH(WORKDAY(N84,-(Setup!$C$13+Setup!$G$32),Setup!$C$39:$C$50))&gt;=Setup!$C$15,MONTH(WORKDAY(N84,-(Setup!$C$13+Setup!$G$32),Setup!$C$39:$C$50))&lt;=Setup!$C$16),OR(MONTH(WORKDAY(N84,-(Setup!$C$13+Setup!$G$32),Setup!$C$39:$C$50))&gt;=Setup!$C$15,MONTH(WORKDAY(N84,-(Setup!$C$13+Setup!$G$32),Setup!$C$39:$C$50))&lt;=Setup!$C$16))),WORKDAY(N84,-(Setup!$C$13+Setup!$G$32+Setup!$C$14),Setup!$C$39:$C$50),WORKDAY(N84,-(Setup!$C$13+Setup!$G$32),Setup!$C$39:$C$50))+(79*100+13)/10000000)))</f>
        <v/>
      </c>
      <c r="AE84" t="str">
        <f>IF(O84="","",IF(O84&lt;Setup!$C$5-Setup!$C$6,"",IF(IF(ISNUMBER(Roster!$D84),Setup!$C$33&lt;=Roster!$D84,FALSE),"",IF(OR(IF(Setup!$C$15&lt;=Setup!$C$16,AND(MONTH(O84)&gt;=Setup!$C$15,MONTH(O84)&lt;=Setup!$C$16),OR(MONTH(O84)&gt;=Setup!$C$15,MONTH(O84)&lt;=Setup!$C$16)),IF(Setup!$C$15&lt;=Setup!$C$16,AND(MONTH(WORKDAY(O84,-(Setup!$C$13+Setup!$G$33),Setup!$C$39:$C$50))&gt;=Setup!$C$15,MONTH(WORKDAY(O84,-(Setup!$C$13+Setup!$G$33),Setup!$C$39:$C$50))&lt;=Setup!$C$16),OR(MONTH(WORKDAY(O84,-(Setup!$C$13+Setup!$G$33),Setup!$C$39:$C$50))&gt;=Setup!$C$15,MONTH(WORKDAY(O84,-(Setup!$C$13+Setup!$G$33),Setup!$C$39:$C$50))&lt;=Setup!$C$16))),WORKDAY(O84,-(Setup!$C$13+Setup!$G$33+Setup!$C$14),Setup!$C$39:$C$50),WORKDAY(O84,-(Setup!$C$13+Setup!$G$33),Setup!$C$39:$C$50))+(79*100+14)/10000000)))</f>
        <v/>
      </c>
      <c r="AF84" t="str">
        <f>IF(P84="","",IF(P84&lt;Setup!$C$5-Setup!$C$6,"",IF(IF(ISNUMBER(Roster!$D84),Setup!$C$34&lt;=Roster!$D84,FALSE),"",IF(OR(IF(Setup!$C$15&lt;=Setup!$C$16,AND(MONTH(P84)&gt;=Setup!$C$15,MONTH(P84)&lt;=Setup!$C$16),OR(MONTH(P84)&gt;=Setup!$C$15,MONTH(P84)&lt;=Setup!$C$16)),IF(Setup!$C$15&lt;=Setup!$C$16,AND(MONTH(WORKDAY(P84,-(Setup!$C$13+Setup!$G$34),Setup!$C$39:$C$50))&gt;=Setup!$C$15,MONTH(WORKDAY(P84,-(Setup!$C$13+Setup!$G$34),Setup!$C$39:$C$50))&lt;=Setup!$C$16),OR(MONTH(WORKDAY(P84,-(Setup!$C$13+Setup!$G$34),Setup!$C$39:$C$50))&gt;=Setup!$C$15,MONTH(WORKDAY(P84,-(Setup!$C$13+Setup!$G$34),Setup!$C$39:$C$50))&lt;=Setup!$C$16))),WORKDAY(P84,-(Setup!$C$13+Setup!$G$34+Setup!$C$14),Setup!$C$39:$C$50),WORKDAY(P84,-(Setup!$C$13+Setup!$G$34),Setup!$C$39:$C$50))+(79*100+15)/10000000)))</f>
        <v/>
      </c>
      <c r="AH84" t="str">
        <f t="shared" si="9"/>
        <v/>
      </c>
      <c r="AI84" t="str">
        <f t="shared" si="10"/>
        <v/>
      </c>
      <c r="AK84" t="str">
        <f ca="1">IF(79&gt;$AK$2,"",SMALL($R$6:$AF$505,79))</f>
        <v/>
      </c>
      <c r="AL84" t="str">
        <f t="shared" ca="1" si="11"/>
        <v/>
      </c>
      <c r="AM84" t="str">
        <f t="shared" ca="1" si="12"/>
        <v/>
      </c>
      <c r="AN84" t="str">
        <f t="shared" ca="1" si="13"/>
        <v/>
      </c>
      <c r="AP84" t="str">
        <f>IF(ISNUMBER(Roster!$B84),MAX(1,YEAR(Setup!$C$5)-YEAR(Roster!$B84)+IF(EDATE(Roster!$B84,12*(YEAR(Setup!$C$5)-YEAR(Roster!$B84)))&lt;Setup!$C$5,1,0)),"")</f>
        <v/>
      </c>
      <c r="AQ84" s="32" t="str">
        <f>IF(AP84="","",EDATE(Roster!$B84,12*AP84))</f>
        <v/>
      </c>
      <c r="AR84" t="str">
        <f>IF(AQ84="","",IF(AQ84&lt;DATE(YEAR(Setup!$C$5)+1,MONTH(Setup!$C$5),DAY(Setup!$C$5)),AQ84+79/1000,""))</f>
        <v/>
      </c>
      <c r="AS84" t="str">
        <f t="shared" si="14"/>
        <v/>
      </c>
      <c r="AT84" t="str">
        <f>IF(AS84="","",IF(ISNUMBER(Roster!$D84),Roster!$D84&gt;=AP84,FALSE))</f>
        <v/>
      </c>
      <c r="AU84" t="str">
        <f t="shared" si="15"/>
        <v/>
      </c>
      <c r="AV84" t="str">
        <f ca="1">IF(79&gt;$AV$2,"",SMALL($AR$6:$AR$505,79))</f>
        <v/>
      </c>
      <c r="AW84" t="str">
        <f t="shared" ca="1" si="16"/>
        <v/>
      </c>
    </row>
    <row r="85" spans="2:49" x14ac:dyDescent="0.2">
      <c r="B85" s="32" t="str">
        <f>IF(AND(ISNUMBER(Roster!$B85),Setup!$B$20="Yes",ISNUMBER(Setup!$C$20)),EDATE(Roster!$B85,12*Setup!$C$20),"")</f>
        <v/>
      </c>
      <c r="C85" s="32" t="str">
        <f>IF(AND(ISNUMBER(Roster!$B85),Setup!$B$21="Yes",ISNUMBER(Setup!$C$21)),EDATE(Roster!$B85,12*Setup!$C$21),"")</f>
        <v/>
      </c>
      <c r="D85" s="32" t="str">
        <f>IF(AND(ISNUMBER(Roster!$B85),Setup!$B$22="Yes",ISNUMBER(Setup!$C$22)),EDATE(Roster!$B85,12*Setup!$C$22),"")</f>
        <v/>
      </c>
      <c r="E85" s="32" t="str">
        <f>IF(AND(ISNUMBER(Roster!$B85),Setup!$B$23="Yes",ISNUMBER(Setup!$C$23)),EDATE(Roster!$B85,12*Setup!$C$23),"")</f>
        <v/>
      </c>
      <c r="F85" s="32" t="str">
        <f>IF(AND(ISNUMBER(Roster!$B85),Setup!$B$24="Yes",ISNUMBER(Setup!$C$24)),EDATE(Roster!$B85,12*Setup!$C$24),"")</f>
        <v/>
      </c>
      <c r="G85" s="32" t="str">
        <f>IF(AND(ISNUMBER(Roster!$B85),Setup!$B$25="Yes",ISNUMBER(Setup!$C$25)),EDATE(Roster!$B85,12*Setup!$C$25),"")</f>
        <v/>
      </c>
      <c r="H85" s="32" t="str">
        <f>IF(AND(ISNUMBER(Roster!$B85),Setup!$B$26="Yes",ISNUMBER(Setup!$C$26)),EDATE(Roster!$B85,12*Setup!$C$26),"")</f>
        <v/>
      </c>
      <c r="I85" s="32" t="str">
        <f>IF(AND(ISNUMBER(Roster!$B85),Setup!$B$27="Yes",ISNUMBER(Setup!$C$27)),EDATE(Roster!$B85,12*Setup!$C$27),"")</f>
        <v/>
      </c>
      <c r="J85" s="32" t="str">
        <f>IF(AND(ISNUMBER(Roster!$B85),Setup!$B$28="Yes",ISNUMBER(Setup!$C$28)),EDATE(Roster!$B85,12*Setup!$C$28),"")</f>
        <v/>
      </c>
      <c r="K85" s="32" t="str">
        <f>IF(AND(ISNUMBER(Roster!$B85),Setup!$B$29="Yes",ISNUMBER(Setup!$C$29)),EDATE(Roster!$B85,12*Setup!$C$29),"")</f>
        <v/>
      </c>
      <c r="L85" s="32" t="str">
        <f>IF(AND(ISNUMBER(Roster!$B85),Setup!$B$30="Yes",ISNUMBER(Setup!$C$30)),EDATE(Roster!$B85,12*Setup!$C$30),"")</f>
        <v/>
      </c>
      <c r="M85" s="32" t="str">
        <f>IF(AND(ISNUMBER(Roster!$B85),Setup!$B$31="Yes",ISNUMBER(Setup!$C$31)),EDATE(Roster!$B85,12*Setup!$C$31),"")</f>
        <v/>
      </c>
      <c r="N85" s="32" t="str">
        <f>IF(AND(ISNUMBER(Roster!$B85),Setup!$B$32="Yes",ISNUMBER(Setup!$C$32)),EDATE(Roster!$B85,12*Setup!$C$32),"")</f>
        <v/>
      </c>
      <c r="O85" s="32" t="str">
        <f>IF(AND(ISNUMBER(Roster!$B85),Setup!$B$33="Yes",ISNUMBER(Setup!$C$33)),EDATE(Roster!$B85,12*Setup!$C$33),"")</f>
        <v/>
      </c>
      <c r="P85" s="32" t="str">
        <f>IF(AND(ISNUMBER(Roster!$B85),Setup!$B$34="Yes",ISNUMBER(Setup!$C$34)),EDATE(Roster!$B85,12*Setup!$C$34),"")</f>
        <v/>
      </c>
      <c r="R85" t="str">
        <f>IF(B85="","",IF(B85&lt;Setup!$C$5-Setup!$C$6,"",IF(IF(ISNUMBER(Roster!$D85),Setup!$C$20&lt;=Roster!$D85,FALSE),"",IF(OR(IF(Setup!$C$15&lt;=Setup!$C$16,AND(MONTH(B85)&gt;=Setup!$C$15,MONTH(B85)&lt;=Setup!$C$16),OR(MONTH(B85)&gt;=Setup!$C$15,MONTH(B85)&lt;=Setup!$C$16)),IF(Setup!$C$15&lt;=Setup!$C$16,AND(MONTH(WORKDAY(B85,-(Setup!$C$13+Setup!$G$20),Setup!$C$39:$C$50))&gt;=Setup!$C$15,MONTH(WORKDAY(B85,-(Setup!$C$13+Setup!$G$20),Setup!$C$39:$C$50))&lt;=Setup!$C$16),OR(MONTH(WORKDAY(B85,-(Setup!$C$13+Setup!$G$20),Setup!$C$39:$C$50))&gt;=Setup!$C$15,MONTH(WORKDAY(B85,-(Setup!$C$13+Setup!$G$20),Setup!$C$39:$C$50))&lt;=Setup!$C$16))),WORKDAY(B85,-(Setup!$C$13+Setup!$G$20+Setup!$C$14),Setup!$C$39:$C$50),WORKDAY(B85,-(Setup!$C$13+Setup!$G$20),Setup!$C$39:$C$50))+(80*100+1)/10000000)))</f>
        <v/>
      </c>
      <c r="S85" t="str">
        <f>IF(C85="","",IF(C85&lt;Setup!$C$5-Setup!$C$6,"",IF(IF(ISNUMBER(Roster!$D85),Setup!$C$21&lt;=Roster!$D85,FALSE),"",IF(OR(IF(Setup!$C$15&lt;=Setup!$C$16,AND(MONTH(C85)&gt;=Setup!$C$15,MONTH(C85)&lt;=Setup!$C$16),OR(MONTH(C85)&gt;=Setup!$C$15,MONTH(C85)&lt;=Setup!$C$16)),IF(Setup!$C$15&lt;=Setup!$C$16,AND(MONTH(WORKDAY(C85,-(Setup!$C$13+Setup!$G$21),Setup!$C$39:$C$50))&gt;=Setup!$C$15,MONTH(WORKDAY(C85,-(Setup!$C$13+Setup!$G$21),Setup!$C$39:$C$50))&lt;=Setup!$C$16),OR(MONTH(WORKDAY(C85,-(Setup!$C$13+Setup!$G$21),Setup!$C$39:$C$50))&gt;=Setup!$C$15,MONTH(WORKDAY(C85,-(Setup!$C$13+Setup!$G$21),Setup!$C$39:$C$50))&lt;=Setup!$C$16))),WORKDAY(C85,-(Setup!$C$13+Setup!$G$21+Setup!$C$14),Setup!$C$39:$C$50),WORKDAY(C85,-(Setup!$C$13+Setup!$G$21),Setup!$C$39:$C$50))+(80*100+2)/10000000)))</f>
        <v/>
      </c>
      <c r="T85" t="str">
        <f>IF(D85="","",IF(D85&lt;Setup!$C$5-Setup!$C$6,"",IF(IF(ISNUMBER(Roster!$D85),Setup!$C$22&lt;=Roster!$D85,FALSE),"",IF(OR(IF(Setup!$C$15&lt;=Setup!$C$16,AND(MONTH(D85)&gt;=Setup!$C$15,MONTH(D85)&lt;=Setup!$C$16),OR(MONTH(D85)&gt;=Setup!$C$15,MONTH(D85)&lt;=Setup!$C$16)),IF(Setup!$C$15&lt;=Setup!$C$16,AND(MONTH(WORKDAY(D85,-(Setup!$C$13+Setup!$G$22),Setup!$C$39:$C$50))&gt;=Setup!$C$15,MONTH(WORKDAY(D85,-(Setup!$C$13+Setup!$G$22),Setup!$C$39:$C$50))&lt;=Setup!$C$16),OR(MONTH(WORKDAY(D85,-(Setup!$C$13+Setup!$G$22),Setup!$C$39:$C$50))&gt;=Setup!$C$15,MONTH(WORKDAY(D85,-(Setup!$C$13+Setup!$G$22),Setup!$C$39:$C$50))&lt;=Setup!$C$16))),WORKDAY(D85,-(Setup!$C$13+Setup!$G$22+Setup!$C$14),Setup!$C$39:$C$50),WORKDAY(D85,-(Setup!$C$13+Setup!$G$22),Setup!$C$39:$C$50))+(80*100+3)/10000000)))</f>
        <v/>
      </c>
      <c r="U85" t="str">
        <f>IF(E85="","",IF(E85&lt;Setup!$C$5-Setup!$C$6,"",IF(IF(ISNUMBER(Roster!$D85),Setup!$C$23&lt;=Roster!$D85,FALSE),"",IF(OR(IF(Setup!$C$15&lt;=Setup!$C$16,AND(MONTH(E85)&gt;=Setup!$C$15,MONTH(E85)&lt;=Setup!$C$16),OR(MONTH(E85)&gt;=Setup!$C$15,MONTH(E85)&lt;=Setup!$C$16)),IF(Setup!$C$15&lt;=Setup!$C$16,AND(MONTH(WORKDAY(E85,-(Setup!$C$13+Setup!$G$23),Setup!$C$39:$C$50))&gt;=Setup!$C$15,MONTH(WORKDAY(E85,-(Setup!$C$13+Setup!$G$23),Setup!$C$39:$C$50))&lt;=Setup!$C$16),OR(MONTH(WORKDAY(E85,-(Setup!$C$13+Setup!$G$23),Setup!$C$39:$C$50))&gt;=Setup!$C$15,MONTH(WORKDAY(E85,-(Setup!$C$13+Setup!$G$23),Setup!$C$39:$C$50))&lt;=Setup!$C$16))),WORKDAY(E85,-(Setup!$C$13+Setup!$G$23+Setup!$C$14),Setup!$C$39:$C$50),WORKDAY(E85,-(Setup!$C$13+Setup!$G$23),Setup!$C$39:$C$50))+(80*100+4)/10000000)))</f>
        <v/>
      </c>
      <c r="V85" t="str">
        <f>IF(F85="","",IF(F85&lt;Setup!$C$5-Setup!$C$6,"",IF(IF(ISNUMBER(Roster!$D85),Setup!$C$24&lt;=Roster!$D85,FALSE),"",IF(OR(IF(Setup!$C$15&lt;=Setup!$C$16,AND(MONTH(F85)&gt;=Setup!$C$15,MONTH(F85)&lt;=Setup!$C$16),OR(MONTH(F85)&gt;=Setup!$C$15,MONTH(F85)&lt;=Setup!$C$16)),IF(Setup!$C$15&lt;=Setup!$C$16,AND(MONTH(WORKDAY(F85,-(Setup!$C$13+Setup!$G$24),Setup!$C$39:$C$50))&gt;=Setup!$C$15,MONTH(WORKDAY(F85,-(Setup!$C$13+Setup!$G$24),Setup!$C$39:$C$50))&lt;=Setup!$C$16),OR(MONTH(WORKDAY(F85,-(Setup!$C$13+Setup!$G$24),Setup!$C$39:$C$50))&gt;=Setup!$C$15,MONTH(WORKDAY(F85,-(Setup!$C$13+Setup!$G$24),Setup!$C$39:$C$50))&lt;=Setup!$C$16))),WORKDAY(F85,-(Setup!$C$13+Setup!$G$24+Setup!$C$14),Setup!$C$39:$C$50),WORKDAY(F85,-(Setup!$C$13+Setup!$G$24),Setup!$C$39:$C$50))+(80*100+5)/10000000)))</f>
        <v/>
      </c>
      <c r="W85" t="str">
        <f>IF(G85="","",IF(G85&lt;Setup!$C$5-Setup!$C$6,"",IF(IF(ISNUMBER(Roster!$D85),Setup!$C$25&lt;=Roster!$D85,FALSE),"",IF(OR(IF(Setup!$C$15&lt;=Setup!$C$16,AND(MONTH(G85)&gt;=Setup!$C$15,MONTH(G85)&lt;=Setup!$C$16),OR(MONTH(G85)&gt;=Setup!$C$15,MONTH(G85)&lt;=Setup!$C$16)),IF(Setup!$C$15&lt;=Setup!$C$16,AND(MONTH(WORKDAY(G85,-(Setup!$C$13+Setup!$G$25),Setup!$C$39:$C$50))&gt;=Setup!$C$15,MONTH(WORKDAY(G85,-(Setup!$C$13+Setup!$G$25),Setup!$C$39:$C$50))&lt;=Setup!$C$16),OR(MONTH(WORKDAY(G85,-(Setup!$C$13+Setup!$G$25),Setup!$C$39:$C$50))&gt;=Setup!$C$15,MONTH(WORKDAY(G85,-(Setup!$C$13+Setup!$G$25),Setup!$C$39:$C$50))&lt;=Setup!$C$16))),WORKDAY(G85,-(Setup!$C$13+Setup!$G$25+Setup!$C$14),Setup!$C$39:$C$50),WORKDAY(G85,-(Setup!$C$13+Setup!$G$25),Setup!$C$39:$C$50))+(80*100+6)/10000000)))</f>
        <v/>
      </c>
      <c r="X85" t="str">
        <f>IF(H85="","",IF(H85&lt;Setup!$C$5-Setup!$C$6,"",IF(IF(ISNUMBER(Roster!$D85),Setup!$C$26&lt;=Roster!$D85,FALSE),"",IF(OR(IF(Setup!$C$15&lt;=Setup!$C$16,AND(MONTH(H85)&gt;=Setup!$C$15,MONTH(H85)&lt;=Setup!$C$16),OR(MONTH(H85)&gt;=Setup!$C$15,MONTH(H85)&lt;=Setup!$C$16)),IF(Setup!$C$15&lt;=Setup!$C$16,AND(MONTH(WORKDAY(H85,-(Setup!$C$13+Setup!$G$26),Setup!$C$39:$C$50))&gt;=Setup!$C$15,MONTH(WORKDAY(H85,-(Setup!$C$13+Setup!$G$26),Setup!$C$39:$C$50))&lt;=Setup!$C$16),OR(MONTH(WORKDAY(H85,-(Setup!$C$13+Setup!$G$26),Setup!$C$39:$C$50))&gt;=Setup!$C$15,MONTH(WORKDAY(H85,-(Setup!$C$13+Setup!$G$26),Setup!$C$39:$C$50))&lt;=Setup!$C$16))),WORKDAY(H85,-(Setup!$C$13+Setup!$G$26+Setup!$C$14),Setup!$C$39:$C$50),WORKDAY(H85,-(Setup!$C$13+Setup!$G$26),Setup!$C$39:$C$50))+(80*100+7)/10000000)))</f>
        <v/>
      </c>
      <c r="Y85" t="str">
        <f>IF(I85="","",IF(I85&lt;Setup!$C$5-Setup!$C$6,"",IF(IF(ISNUMBER(Roster!$D85),Setup!$C$27&lt;=Roster!$D85,FALSE),"",IF(OR(IF(Setup!$C$15&lt;=Setup!$C$16,AND(MONTH(I85)&gt;=Setup!$C$15,MONTH(I85)&lt;=Setup!$C$16),OR(MONTH(I85)&gt;=Setup!$C$15,MONTH(I85)&lt;=Setup!$C$16)),IF(Setup!$C$15&lt;=Setup!$C$16,AND(MONTH(WORKDAY(I85,-(Setup!$C$13+Setup!$G$27),Setup!$C$39:$C$50))&gt;=Setup!$C$15,MONTH(WORKDAY(I85,-(Setup!$C$13+Setup!$G$27),Setup!$C$39:$C$50))&lt;=Setup!$C$16),OR(MONTH(WORKDAY(I85,-(Setup!$C$13+Setup!$G$27),Setup!$C$39:$C$50))&gt;=Setup!$C$15,MONTH(WORKDAY(I85,-(Setup!$C$13+Setup!$G$27),Setup!$C$39:$C$50))&lt;=Setup!$C$16))),WORKDAY(I85,-(Setup!$C$13+Setup!$G$27+Setup!$C$14),Setup!$C$39:$C$50),WORKDAY(I85,-(Setup!$C$13+Setup!$G$27),Setup!$C$39:$C$50))+(80*100+8)/10000000)))</f>
        <v/>
      </c>
      <c r="Z85" t="str">
        <f>IF(J85="","",IF(J85&lt;Setup!$C$5-Setup!$C$6,"",IF(IF(ISNUMBER(Roster!$D85),Setup!$C$28&lt;=Roster!$D85,FALSE),"",IF(OR(IF(Setup!$C$15&lt;=Setup!$C$16,AND(MONTH(J85)&gt;=Setup!$C$15,MONTH(J85)&lt;=Setup!$C$16),OR(MONTH(J85)&gt;=Setup!$C$15,MONTH(J85)&lt;=Setup!$C$16)),IF(Setup!$C$15&lt;=Setup!$C$16,AND(MONTH(WORKDAY(J85,-(Setup!$C$13+Setup!$G$28),Setup!$C$39:$C$50))&gt;=Setup!$C$15,MONTH(WORKDAY(J85,-(Setup!$C$13+Setup!$G$28),Setup!$C$39:$C$50))&lt;=Setup!$C$16),OR(MONTH(WORKDAY(J85,-(Setup!$C$13+Setup!$G$28),Setup!$C$39:$C$50))&gt;=Setup!$C$15,MONTH(WORKDAY(J85,-(Setup!$C$13+Setup!$G$28),Setup!$C$39:$C$50))&lt;=Setup!$C$16))),WORKDAY(J85,-(Setup!$C$13+Setup!$G$28+Setup!$C$14),Setup!$C$39:$C$50),WORKDAY(J85,-(Setup!$C$13+Setup!$G$28),Setup!$C$39:$C$50))+(80*100+9)/10000000)))</f>
        <v/>
      </c>
      <c r="AA85" t="str">
        <f>IF(K85="","",IF(K85&lt;Setup!$C$5-Setup!$C$6,"",IF(IF(ISNUMBER(Roster!$D85),Setup!$C$29&lt;=Roster!$D85,FALSE),"",IF(OR(IF(Setup!$C$15&lt;=Setup!$C$16,AND(MONTH(K85)&gt;=Setup!$C$15,MONTH(K85)&lt;=Setup!$C$16),OR(MONTH(K85)&gt;=Setup!$C$15,MONTH(K85)&lt;=Setup!$C$16)),IF(Setup!$C$15&lt;=Setup!$C$16,AND(MONTH(WORKDAY(K85,-(Setup!$C$13+Setup!$G$29),Setup!$C$39:$C$50))&gt;=Setup!$C$15,MONTH(WORKDAY(K85,-(Setup!$C$13+Setup!$G$29),Setup!$C$39:$C$50))&lt;=Setup!$C$16),OR(MONTH(WORKDAY(K85,-(Setup!$C$13+Setup!$G$29),Setup!$C$39:$C$50))&gt;=Setup!$C$15,MONTH(WORKDAY(K85,-(Setup!$C$13+Setup!$G$29),Setup!$C$39:$C$50))&lt;=Setup!$C$16))),WORKDAY(K85,-(Setup!$C$13+Setup!$G$29+Setup!$C$14),Setup!$C$39:$C$50),WORKDAY(K85,-(Setup!$C$13+Setup!$G$29),Setup!$C$39:$C$50))+(80*100+10)/10000000)))</f>
        <v/>
      </c>
      <c r="AB85" t="str">
        <f>IF(L85="","",IF(L85&lt;Setup!$C$5-Setup!$C$6,"",IF(IF(ISNUMBER(Roster!$D85),Setup!$C$30&lt;=Roster!$D85,FALSE),"",IF(OR(IF(Setup!$C$15&lt;=Setup!$C$16,AND(MONTH(L85)&gt;=Setup!$C$15,MONTH(L85)&lt;=Setup!$C$16),OR(MONTH(L85)&gt;=Setup!$C$15,MONTH(L85)&lt;=Setup!$C$16)),IF(Setup!$C$15&lt;=Setup!$C$16,AND(MONTH(WORKDAY(L85,-(Setup!$C$13+Setup!$G$30),Setup!$C$39:$C$50))&gt;=Setup!$C$15,MONTH(WORKDAY(L85,-(Setup!$C$13+Setup!$G$30),Setup!$C$39:$C$50))&lt;=Setup!$C$16),OR(MONTH(WORKDAY(L85,-(Setup!$C$13+Setup!$G$30),Setup!$C$39:$C$50))&gt;=Setup!$C$15,MONTH(WORKDAY(L85,-(Setup!$C$13+Setup!$G$30),Setup!$C$39:$C$50))&lt;=Setup!$C$16))),WORKDAY(L85,-(Setup!$C$13+Setup!$G$30+Setup!$C$14),Setup!$C$39:$C$50),WORKDAY(L85,-(Setup!$C$13+Setup!$G$30),Setup!$C$39:$C$50))+(80*100+11)/10000000)))</f>
        <v/>
      </c>
      <c r="AC85" t="str">
        <f>IF(M85="","",IF(M85&lt;Setup!$C$5-Setup!$C$6,"",IF(IF(ISNUMBER(Roster!$D85),Setup!$C$31&lt;=Roster!$D85,FALSE),"",IF(OR(IF(Setup!$C$15&lt;=Setup!$C$16,AND(MONTH(M85)&gt;=Setup!$C$15,MONTH(M85)&lt;=Setup!$C$16),OR(MONTH(M85)&gt;=Setup!$C$15,MONTH(M85)&lt;=Setup!$C$16)),IF(Setup!$C$15&lt;=Setup!$C$16,AND(MONTH(WORKDAY(M85,-(Setup!$C$13+Setup!$G$31),Setup!$C$39:$C$50))&gt;=Setup!$C$15,MONTH(WORKDAY(M85,-(Setup!$C$13+Setup!$G$31),Setup!$C$39:$C$50))&lt;=Setup!$C$16),OR(MONTH(WORKDAY(M85,-(Setup!$C$13+Setup!$G$31),Setup!$C$39:$C$50))&gt;=Setup!$C$15,MONTH(WORKDAY(M85,-(Setup!$C$13+Setup!$G$31),Setup!$C$39:$C$50))&lt;=Setup!$C$16))),WORKDAY(M85,-(Setup!$C$13+Setup!$G$31+Setup!$C$14),Setup!$C$39:$C$50),WORKDAY(M85,-(Setup!$C$13+Setup!$G$31),Setup!$C$39:$C$50))+(80*100+12)/10000000)))</f>
        <v/>
      </c>
      <c r="AD85" t="str">
        <f>IF(N85="","",IF(N85&lt;Setup!$C$5-Setup!$C$6,"",IF(IF(ISNUMBER(Roster!$D85),Setup!$C$32&lt;=Roster!$D85,FALSE),"",IF(OR(IF(Setup!$C$15&lt;=Setup!$C$16,AND(MONTH(N85)&gt;=Setup!$C$15,MONTH(N85)&lt;=Setup!$C$16),OR(MONTH(N85)&gt;=Setup!$C$15,MONTH(N85)&lt;=Setup!$C$16)),IF(Setup!$C$15&lt;=Setup!$C$16,AND(MONTH(WORKDAY(N85,-(Setup!$C$13+Setup!$G$32),Setup!$C$39:$C$50))&gt;=Setup!$C$15,MONTH(WORKDAY(N85,-(Setup!$C$13+Setup!$G$32),Setup!$C$39:$C$50))&lt;=Setup!$C$16),OR(MONTH(WORKDAY(N85,-(Setup!$C$13+Setup!$G$32),Setup!$C$39:$C$50))&gt;=Setup!$C$15,MONTH(WORKDAY(N85,-(Setup!$C$13+Setup!$G$32),Setup!$C$39:$C$50))&lt;=Setup!$C$16))),WORKDAY(N85,-(Setup!$C$13+Setup!$G$32+Setup!$C$14),Setup!$C$39:$C$50),WORKDAY(N85,-(Setup!$C$13+Setup!$G$32),Setup!$C$39:$C$50))+(80*100+13)/10000000)))</f>
        <v/>
      </c>
      <c r="AE85" t="str">
        <f>IF(O85="","",IF(O85&lt;Setup!$C$5-Setup!$C$6,"",IF(IF(ISNUMBER(Roster!$D85),Setup!$C$33&lt;=Roster!$D85,FALSE),"",IF(OR(IF(Setup!$C$15&lt;=Setup!$C$16,AND(MONTH(O85)&gt;=Setup!$C$15,MONTH(O85)&lt;=Setup!$C$16),OR(MONTH(O85)&gt;=Setup!$C$15,MONTH(O85)&lt;=Setup!$C$16)),IF(Setup!$C$15&lt;=Setup!$C$16,AND(MONTH(WORKDAY(O85,-(Setup!$C$13+Setup!$G$33),Setup!$C$39:$C$50))&gt;=Setup!$C$15,MONTH(WORKDAY(O85,-(Setup!$C$13+Setup!$G$33),Setup!$C$39:$C$50))&lt;=Setup!$C$16),OR(MONTH(WORKDAY(O85,-(Setup!$C$13+Setup!$G$33),Setup!$C$39:$C$50))&gt;=Setup!$C$15,MONTH(WORKDAY(O85,-(Setup!$C$13+Setup!$G$33),Setup!$C$39:$C$50))&lt;=Setup!$C$16))),WORKDAY(O85,-(Setup!$C$13+Setup!$G$33+Setup!$C$14),Setup!$C$39:$C$50),WORKDAY(O85,-(Setup!$C$13+Setup!$G$33),Setup!$C$39:$C$50))+(80*100+14)/10000000)))</f>
        <v/>
      </c>
      <c r="AF85" t="str">
        <f>IF(P85="","",IF(P85&lt;Setup!$C$5-Setup!$C$6,"",IF(IF(ISNUMBER(Roster!$D85),Setup!$C$34&lt;=Roster!$D85,FALSE),"",IF(OR(IF(Setup!$C$15&lt;=Setup!$C$16,AND(MONTH(P85)&gt;=Setup!$C$15,MONTH(P85)&lt;=Setup!$C$16),OR(MONTH(P85)&gt;=Setup!$C$15,MONTH(P85)&lt;=Setup!$C$16)),IF(Setup!$C$15&lt;=Setup!$C$16,AND(MONTH(WORKDAY(P85,-(Setup!$C$13+Setup!$G$34),Setup!$C$39:$C$50))&gt;=Setup!$C$15,MONTH(WORKDAY(P85,-(Setup!$C$13+Setup!$G$34),Setup!$C$39:$C$50))&lt;=Setup!$C$16),OR(MONTH(WORKDAY(P85,-(Setup!$C$13+Setup!$G$34),Setup!$C$39:$C$50))&gt;=Setup!$C$15,MONTH(WORKDAY(P85,-(Setup!$C$13+Setup!$G$34),Setup!$C$39:$C$50))&lt;=Setup!$C$16))),WORKDAY(P85,-(Setup!$C$13+Setup!$G$34+Setup!$C$14),Setup!$C$39:$C$50),WORKDAY(P85,-(Setup!$C$13+Setup!$G$34),Setup!$C$39:$C$50))+(80*100+15)/10000000)))</f>
        <v/>
      </c>
      <c r="AH85" t="str">
        <f t="shared" si="9"/>
        <v/>
      </c>
      <c r="AI85" t="str">
        <f t="shared" si="10"/>
        <v/>
      </c>
      <c r="AK85" t="str">
        <f ca="1">IF(80&gt;$AK$2,"",SMALL($R$6:$AF$505,80))</f>
        <v/>
      </c>
      <c r="AL85" t="str">
        <f t="shared" ca="1" si="11"/>
        <v/>
      </c>
      <c r="AM85" t="str">
        <f t="shared" ca="1" si="12"/>
        <v/>
      </c>
      <c r="AN85" t="str">
        <f t="shared" ca="1" si="13"/>
        <v/>
      </c>
      <c r="AP85" t="str">
        <f>IF(ISNUMBER(Roster!$B85),MAX(1,YEAR(Setup!$C$5)-YEAR(Roster!$B85)+IF(EDATE(Roster!$B85,12*(YEAR(Setup!$C$5)-YEAR(Roster!$B85)))&lt;Setup!$C$5,1,0)),"")</f>
        <v/>
      </c>
      <c r="AQ85" s="32" t="str">
        <f>IF(AP85="","",EDATE(Roster!$B85,12*AP85))</f>
        <v/>
      </c>
      <c r="AR85" t="str">
        <f>IF(AQ85="","",IF(AQ85&lt;DATE(YEAR(Setup!$C$5)+1,MONTH(Setup!$C$5),DAY(Setup!$C$5)),AQ85+80/1000,""))</f>
        <v/>
      </c>
      <c r="AS85" t="str">
        <f t="shared" si="14"/>
        <v/>
      </c>
      <c r="AT85" t="str">
        <f>IF(AS85="","",IF(ISNUMBER(Roster!$D85),Roster!$D85&gt;=AP85,FALSE))</f>
        <v/>
      </c>
      <c r="AU85" t="str">
        <f t="shared" si="15"/>
        <v/>
      </c>
      <c r="AV85" t="str">
        <f ca="1">IF(80&gt;$AV$2,"",SMALL($AR$6:$AR$505,80))</f>
        <v/>
      </c>
      <c r="AW85" t="str">
        <f t="shared" ca="1" si="16"/>
        <v/>
      </c>
    </row>
    <row r="86" spans="2:49" x14ac:dyDescent="0.2">
      <c r="B86" s="32" t="str">
        <f>IF(AND(ISNUMBER(Roster!$B86),Setup!$B$20="Yes",ISNUMBER(Setup!$C$20)),EDATE(Roster!$B86,12*Setup!$C$20),"")</f>
        <v/>
      </c>
      <c r="C86" s="32" t="str">
        <f>IF(AND(ISNUMBER(Roster!$B86),Setup!$B$21="Yes",ISNUMBER(Setup!$C$21)),EDATE(Roster!$B86,12*Setup!$C$21),"")</f>
        <v/>
      </c>
      <c r="D86" s="32" t="str">
        <f>IF(AND(ISNUMBER(Roster!$B86),Setup!$B$22="Yes",ISNUMBER(Setup!$C$22)),EDATE(Roster!$B86,12*Setup!$C$22),"")</f>
        <v/>
      </c>
      <c r="E86" s="32" t="str">
        <f>IF(AND(ISNUMBER(Roster!$B86),Setup!$B$23="Yes",ISNUMBER(Setup!$C$23)),EDATE(Roster!$B86,12*Setup!$C$23),"")</f>
        <v/>
      </c>
      <c r="F86" s="32" t="str">
        <f>IF(AND(ISNUMBER(Roster!$B86),Setup!$B$24="Yes",ISNUMBER(Setup!$C$24)),EDATE(Roster!$B86,12*Setup!$C$24),"")</f>
        <v/>
      </c>
      <c r="G86" s="32" t="str">
        <f>IF(AND(ISNUMBER(Roster!$B86),Setup!$B$25="Yes",ISNUMBER(Setup!$C$25)),EDATE(Roster!$B86,12*Setup!$C$25),"")</f>
        <v/>
      </c>
      <c r="H86" s="32" t="str">
        <f>IF(AND(ISNUMBER(Roster!$B86),Setup!$B$26="Yes",ISNUMBER(Setup!$C$26)),EDATE(Roster!$B86,12*Setup!$C$26),"")</f>
        <v/>
      </c>
      <c r="I86" s="32" t="str">
        <f>IF(AND(ISNUMBER(Roster!$B86),Setup!$B$27="Yes",ISNUMBER(Setup!$C$27)),EDATE(Roster!$B86,12*Setup!$C$27),"")</f>
        <v/>
      </c>
      <c r="J86" s="32" t="str">
        <f>IF(AND(ISNUMBER(Roster!$B86),Setup!$B$28="Yes",ISNUMBER(Setup!$C$28)),EDATE(Roster!$B86,12*Setup!$C$28),"")</f>
        <v/>
      </c>
      <c r="K86" s="32" t="str">
        <f>IF(AND(ISNUMBER(Roster!$B86),Setup!$B$29="Yes",ISNUMBER(Setup!$C$29)),EDATE(Roster!$B86,12*Setup!$C$29),"")</f>
        <v/>
      </c>
      <c r="L86" s="32" t="str">
        <f>IF(AND(ISNUMBER(Roster!$B86),Setup!$B$30="Yes",ISNUMBER(Setup!$C$30)),EDATE(Roster!$B86,12*Setup!$C$30),"")</f>
        <v/>
      </c>
      <c r="M86" s="32" t="str">
        <f>IF(AND(ISNUMBER(Roster!$B86),Setup!$B$31="Yes",ISNUMBER(Setup!$C$31)),EDATE(Roster!$B86,12*Setup!$C$31),"")</f>
        <v/>
      </c>
      <c r="N86" s="32" t="str">
        <f>IF(AND(ISNUMBER(Roster!$B86),Setup!$B$32="Yes",ISNUMBER(Setup!$C$32)),EDATE(Roster!$B86,12*Setup!$C$32),"")</f>
        <v/>
      </c>
      <c r="O86" s="32" t="str">
        <f>IF(AND(ISNUMBER(Roster!$B86),Setup!$B$33="Yes",ISNUMBER(Setup!$C$33)),EDATE(Roster!$B86,12*Setup!$C$33),"")</f>
        <v/>
      </c>
      <c r="P86" s="32" t="str">
        <f>IF(AND(ISNUMBER(Roster!$B86),Setup!$B$34="Yes",ISNUMBER(Setup!$C$34)),EDATE(Roster!$B86,12*Setup!$C$34),"")</f>
        <v/>
      </c>
      <c r="R86" t="str">
        <f>IF(B86="","",IF(B86&lt;Setup!$C$5-Setup!$C$6,"",IF(IF(ISNUMBER(Roster!$D86),Setup!$C$20&lt;=Roster!$D86,FALSE),"",IF(OR(IF(Setup!$C$15&lt;=Setup!$C$16,AND(MONTH(B86)&gt;=Setup!$C$15,MONTH(B86)&lt;=Setup!$C$16),OR(MONTH(B86)&gt;=Setup!$C$15,MONTH(B86)&lt;=Setup!$C$16)),IF(Setup!$C$15&lt;=Setup!$C$16,AND(MONTH(WORKDAY(B86,-(Setup!$C$13+Setup!$G$20),Setup!$C$39:$C$50))&gt;=Setup!$C$15,MONTH(WORKDAY(B86,-(Setup!$C$13+Setup!$G$20),Setup!$C$39:$C$50))&lt;=Setup!$C$16),OR(MONTH(WORKDAY(B86,-(Setup!$C$13+Setup!$G$20),Setup!$C$39:$C$50))&gt;=Setup!$C$15,MONTH(WORKDAY(B86,-(Setup!$C$13+Setup!$G$20),Setup!$C$39:$C$50))&lt;=Setup!$C$16))),WORKDAY(B86,-(Setup!$C$13+Setup!$G$20+Setup!$C$14),Setup!$C$39:$C$50),WORKDAY(B86,-(Setup!$C$13+Setup!$G$20),Setup!$C$39:$C$50))+(81*100+1)/10000000)))</f>
        <v/>
      </c>
      <c r="S86" t="str">
        <f>IF(C86="","",IF(C86&lt;Setup!$C$5-Setup!$C$6,"",IF(IF(ISNUMBER(Roster!$D86),Setup!$C$21&lt;=Roster!$D86,FALSE),"",IF(OR(IF(Setup!$C$15&lt;=Setup!$C$16,AND(MONTH(C86)&gt;=Setup!$C$15,MONTH(C86)&lt;=Setup!$C$16),OR(MONTH(C86)&gt;=Setup!$C$15,MONTH(C86)&lt;=Setup!$C$16)),IF(Setup!$C$15&lt;=Setup!$C$16,AND(MONTH(WORKDAY(C86,-(Setup!$C$13+Setup!$G$21),Setup!$C$39:$C$50))&gt;=Setup!$C$15,MONTH(WORKDAY(C86,-(Setup!$C$13+Setup!$G$21),Setup!$C$39:$C$50))&lt;=Setup!$C$16),OR(MONTH(WORKDAY(C86,-(Setup!$C$13+Setup!$G$21),Setup!$C$39:$C$50))&gt;=Setup!$C$15,MONTH(WORKDAY(C86,-(Setup!$C$13+Setup!$G$21),Setup!$C$39:$C$50))&lt;=Setup!$C$16))),WORKDAY(C86,-(Setup!$C$13+Setup!$G$21+Setup!$C$14),Setup!$C$39:$C$50),WORKDAY(C86,-(Setup!$C$13+Setup!$G$21),Setup!$C$39:$C$50))+(81*100+2)/10000000)))</f>
        <v/>
      </c>
      <c r="T86" t="str">
        <f>IF(D86="","",IF(D86&lt;Setup!$C$5-Setup!$C$6,"",IF(IF(ISNUMBER(Roster!$D86),Setup!$C$22&lt;=Roster!$D86,FALSE),"",IF(OR(IF(Setup!$C$15&lt;=Setup!$C$16,AND(MONTH(D86)&gt;=Setup!$C$15,MONTH(D86)&lt;=Setup!$C$16),OR(MONTH(D86)&gt;=Setup!$C$15,MONTH(D86)&lt;=Setup!$C$16)),IF(Setup!$C$15&lt;=Setup!$C$16,AND(MONTH(WORKDAY(D86,-(Setup!$C$13+Setup!$G$22),Setup!$C$39:$C$50))&gt;=Setup!$C$15,MONTH(WORKDAY(D86,-(Setup!$C$13+Setup!$G$22),Setup!$C$39:$C$50))&lt;=Setup!$C$16),OR(MONTH(WORKDAY(D86,-(Setup!$C$13+Setup!$G$22),Setup!$C$39:$C$50))&gt;=Setup!$C$15,MONTH(WORKDAY(D86,-(Setup!$C$13+Setup!$G$22),Setup!$C$39:$C$50))&lt;=Setup!$C$16))),WORKDAY(D86,-(Setup!$C$13+Setup!$G$22+Setup!$C$14),Setup!$C$39:$C$50),WORKDAY(D86,-(Setup!$C$13+Setup!$G$22),Setup!$C$39:$C$50))+(81*100+3)/10000000)))</f>
        <v/>
      </c>
      <c r="U86" t="str">
        <f>IF(E86="","",IF(E86&lt;Setup!$C$5-Setup!$C$6,"",IF(IF(ISNUMBER(Roster!$D86),Setup!$C$23&lt;=Roster!$D86,FALSE),"",IF(OR(IF(Setup!$C$15&lt;=Setup!$C$16,AND(MONTH(E86)&gt;=Setup!$C$15,MONTH(E86)&lt;=Setup!$C$16),OR(MONTH(E86)&gt;=Setup!$C$15,MONTH(E86)&lt;=Setup!$C$16)),IF(Setup!$C$15&lt;=Setup!$C$16,AND(MONTH(WORKDAY(E86,-(Setup!$C$13+Setup!$G$23),Setup!$C$39:$C$50))&gt;=Setup!$C$15,MONTH(WORKDAY(E86,-(Setup!$C$13+Setup!$G$23),Setup!$C$39:$C$50))&lt;=Setup!$C$16),OR(MONTH(WORKDAY(E86,-(Setup!$C$13+Setup!$G$23),Setup!$C$39:$C$50))&gt;=Setup!$C$15,MONTH(WORKDAY(E86,-(Setup!$C$13+Setup!$G$23),Setup!$C$39:$C$50))&lt;=Setup!$C$16))),WORKDAY(E86,-(Setup!$C$13+Setup!$G$23+Setup!$C$14),Setup!$C$39:$C$50),WORKDAY(E86,-(Setup!$C$13+Setup!$G$23),Setup!$C$39:$C$50))+(81*100+4)/10000000)))</f>
        <v/>
      </c>
      <c r="V86" t="str">
        <f>IF(F86="","",IF(F86&lt;Setup!$C$5-Setup!$C$6,"",IF(IF(ISNUMBER(Roster!$D86),Setup!$C$24&lt;=Roster!$D86,FALSE),"",IF(OR(IF(Setup!$C$15&lt;=Setup!$C$16,AND(MONTH(F86)&gt;=Setup!$C$15,MONTH(F86)&lt;=Setup!$C$16),OR(MONTH(F86)&gt;=Setup!$C$15,MONTH(F86)&lt;=Setup!$C$16)),IF(Setup!$C$15&lt;=Setup!$C$16,AND(MONTH(WORKDAY(F86,-(Setup!$C$13+Setup!$G$24),Setup!$C$39:$C$50))&gt;=Setup!$C$15,MONTH(WORKDAY(F86,-(Setup!$C$13+Setup!$G$24),Setup!$C$39:$C$50))&lt;=Setup!$C$16),OR(MONTH(WORKDAY(F86,-(Setup!$C$13+Setup!$G$24),Setup!$C$39:$C$50))&gt;=Setup!$C$15,MONTH(WORKDAY(F86,-(Setup!$C$13+Setup!$G$24),Setup!$C$39:$C$50))&lt;=Setup!$C$16))),WORKDAY(F86,-(Setup!$C$13+Setup!$G$24+Setup!$C$14),Setup!$C$39:$C$50),WORKDAY(F86,-(Setup!$C$13+Setup!$G$24),Setup!$C$39:$C$50))+(81*100+5)/10000000)))</f>
        <v/>
      </c>
      <c r="W86" t="str">
        <f>IF(G86="","",IF(G86&lt;Setup!$C$5-Setup!$C$6,"",IF(IF(ISNUMBER(Roster!$D86),Setup!$C$25&lt;=Roster!$D86,FALSE),"",IF(OR(IF(Setup!$C$15&lt;=Setup!$C$16,AND(MONTH(G86)&gt;=Setup!$C$15,MONTH(G86)&lt;=Setup!$C$16),OR(MONTH(G86)&gt;=Setup!$C$15,MONTH(G86)&lt;=Setup!$C$16)),IF(Setup!$C$15&lt;=Setup!$C$16,AND(MONTH(WORKDAY(G86,-(Setup!$C$13+Setup!$G$25),Setup!$C$39:$C$50))&gt;=Setup!$C$15,MONTH(WORKDAY(G86,-(Setup!$C$13+Setup!$G$25),Setup!$C$39:$C$50))&lt;=Setup!$C$16),OR(MONTH(WORKDAY(G86,-(Setup!$C$13+Setup!$G$25),Setup!$C$39:$C$50))&gt;=Setup!$C$15,MONTH(WORKDAY(G86,-(Setup!$C$13+Setup!$G$25),Setup!$C$39:$C$50))&lt;=Setup!$C$16))),WORKDAY(G86,-(Setup!$C$13+Setup!$G$25+Setup!$C$14),Setup!$C$39:$C$50),WORKDAY(G86,-(Setup!$C$13+Setup!$G$25),Setup!$C$39:$C$50))+(81*100+6)/10000000)))</f>
        <v/>
      </c>
      <c r="X86" t="str">
        <f>IF(H86="","",IF(H86&lt;Setup!$C$5-Setup!$C$6,"",IF(IF(ISNUMBER(Roster!$D86),Setup!$C$26&lt;=Roster!$D86,FALSE),"",IF(OR(IF(Setup!$C$15&lt;=Setup!$C$16,AND(MONTH(H86)&gt;=Setup!$C$15,MONTH(H86)&lt;=Setup!$C$16),OR(MONTH(H86)&gt;=Setup!$C$15,MONTH(H86)&lt;=Setup!$C$16)),IF(Setup!$C$15&lt;=Setup!$C$16,AND(MONTH(WORKDAY(H86,-(Setup!$C$13+Setup!$G$26),Setup!$C$39:$C$50))&gt;=Setup!$C$15,MONTH(WORKDAY(H86,-(Setup!$C$13+Setup!$G$26),Setup!$C$39:$C$50))&lt;=Setup!$C$16),OR(MONTH(WORKDAY(H86,-(Setup!$C$13+Setup!$G$26),Setup!$C$39:$C$50))&gt;=Setup!$C$15,MONTH(WORKDAY(H86,-(Setup!$C$13+Setup!$G$26),Setup!$C$39:$C$50))&lt;=Setup!$C$16))),WORKDAY(H86,-(Setup!$C$13+Setup!$G$26+Setup!$C$14),Setup!$C$39:$C$50),WORKDAY(H86,-(Setup!$C$13+Setup!$G$26),Setup!$C$39:$C$50))+(81*100+7)/10000000)))</f>
        <v/>
      </c>
      <c r="Y86" t="str">
        <f>IF(I86="","",IF(I86&lt;Setup!$C$5-Setup!$C$6,"",IF(IF(ISNUMBER(Roster!$D86),Setup!$C$27&lt;=Roster!$D86,FALSE),"",IF(OR(IF(Setup!$C$15&lt;=Setup!$C$16,AND(MONTH(I86)&gt;=Setup!$C$15,MONTH(I86)&lt;=Setup!$C$16),OR(MONTH(I86)&gt;=Setup!$C$15,MONTH(I86)&lt;=Setup!$C$16)),IF(Setup!$C$15&lt;=Setup!$C$16,AND(MONTH(WORKDAY(I86,-(Setup!$C$13+Setup!$G$27),Setup!$C$39:$C$50))&gt;=Setup!$C$15,MONTH(WORKDAY(I86,-(Setup!$C$13+Setup!$G$27),Setup!$C$39:$C$50))&lt;=Setup!$C$16),OR(MONTH(WORKDAY(I86,-(Setup!$C$13+Setup!$G$27),Setup!$C$39:$C$50))&gt;=Setup!$C$15,MONTH(WORKDAY(I86,-(Setup!$C$13+Setup!$G$27),Setup!$C$39:$C$50))&lt;=Setup!$C$16))),WORKDAY(I86,-(Setup!$C$13+Setup!$G$27+Setup!$C$14),Setup!$C$39:$C$50),WORKDAY(I86,-(Setup!$C$13+Setup!$G$27),Setup!$C$39:$C$50))+(81*100+8)/10000000)))</f>
        <v/>
      </c>
      <c r="Z86" t="str">
        <f>IF(J86="","",IF(J86&lt;Setup!$C$5-Setup!$C$6,"",IF(IF(ISNUMBER(Roster!$D86),Setup!$C$28&lt;=Roster!$D86,FALSE),"",IF(OR(IF(Setup!$C$15&lt;=Setup!$C$16,AND(MONTH(J86)&gt;=Setup!$C$15,MONTH(J86)&lt;=Setup!$C$16),OR(MONTH(J86)&gt;=Setup!$C$15,MONTH(J86)&lt;=Setup!$C$16)),IF(Setup!$C$15&lt;=Setup!$C$16,AND(MONTH(WORKDAY(J86,-(Setup!$C$13+Setup!$G$28),Setup!$C$39:$C$50))&gt;=Setup!$C$15,MONTH(WORKDAY(J86,-(Setup!$C$13+Setup!$G$28),Setup!$C$39:$C$50))&lt;=Setup!$C$16),OR(MONTH(WORKDAY(J86,-(Setup!$C$13+Setup!$G$28),Setup!$C$39:$C$50))&gt;=Setup!$C$15,MONTH(WORKDAY(J86,-(Setup!$C$13+Setup!$G$28),Setup!$C$39:$C$50))&lt;=Setup!$C$16))),WORKDAY(J86,-(Setup!$C$13+Setup!$G$28+Setup!$C$14),Setup!$C$39:$C$50),WORKDAY(J86,-(Setup!$C$13+Setup!$G$28),Setup!$C$39:$C$50))+(81*100+9)/10000000)))</f>
        <v/>
      </c>
      <c r="AA86" t="str">
        <f>IF(K86="","",IF(K86&lt;Setup!$C$5-Setup!$C$6,"",IF(IF(ISNUMBER(Roster!$D86),Setup!$C$29&lt;=Roster!$D86,FALSE),"",IF(OR(IF(Setup!$C$15&lt;=Setup!$C$16,AND(MONTH(K86)&gt;=Setup!$C$15,MONTH(K86)&lt;=Setup!$C$16),OR(MONTH(K86)&gt;=Setup!$C$15,MONTH(K86)&lt;=Setup!$C$16)),IF(Setup!$C$15&lt;=Setup!$C$16,AND(MONTH(WORKDAY(K86,-(Setup!$C$13+Setup!$G$29),Setup!$C$39:$C$50))&gt;=Setup!$C$15,MONTH(WORKDAY(K86,-(Setup!$C$13+Setup!$G$29),Setup!$C$39:$C$50))&lt;=Setup!$C$16),OR(MONTH(WORKDAY(K86,-(Setup!$C$13+Setup!$G$29),Setup!$C$39:$C$50))&gt;=Setup!$C$15,MONTH(WORKDAY(K86,-(Setup!$C$13+Setup!$G$29),Setup!$C$39:$C$50))&lt;=Setup!$C$16))),WORKDAY(K86,-(Setup!$C$13+Setup!$G$29+Setup!$C$14),Setup!$C$39:$C$50),WORKDAY(K86,-(Setup!$C$13+Setup!$G$29),Setup!$C$39:$C$50))+(81*100+10)/10000000)))</f>
        <v/>
      </c>
      <c r="AB86" t="str">
        <f>IF(L86="","",IF(L86&lt;Setup!$C$5-Setup!$C$6,"",IF(IF(ISNUMBER(Roster!$D86),Setup!$C$30&lt;=Roster!$D86,FALSE),"",IF(OR(IF(Setup!$C$15&lt;=Setup!$C$16,AND(MONTH(L86)&gt;=Setup!$C$15,MONTH(L86)&lt;=Setup!$C$16),OR(MONTH(L86)&gt;=Setup!$C$15,MONTH(L86)&lt;=Setup!$C$16)),IF(Setup!$C$15&lt;=Setup!$C$16,AND(MONTH(WORKDAY(L86,-(Setup!$C$13+Setup!$G$30),Setup!$C$39:$C$50))&gt;=Setup!$C$15,MONTH(WORKDAY(L86,-(Setup!$C$13+Setup!$G$30),Setup!$C$39:$C$50))&lt;=Setup!$C$16),OR(MONTH(WORKDAY(L86,-(Setup!$C$13+Setup!$G$30),Setup!$C$39:$C$50))&gt;=Setup!$C$15,MONTH(WORKDAY(L86,-(Setup!$C$13+Setup!$G$30),Setup!$C$39:$C$50))&lt;=Setup!$C$16))),WORKDAY(L86,-(Setup!$C$13+Setup!$G$30+Setup!$C$14),Setup!$C$39:$C$50),WORKDAY(L86,-(Setup!$C$13+Setup!$G$30),Setup!$C$39:$C$50))+(81*100+11)/10000000)))</f>
        <v/>
      </c>
      <c r="AC86" t="str">
        <f>IF(M86="","",IF(M86&lt;Setup!$C$5-Setup!$C$6,"",IF(IF(ISNUMBER(Roster!$D86),Setup!$C$31&lt;=Roster!$D86,FALSE),"",IF(OR(IF(Setup!$C$15&lt;=Setup!$C$16,AND(MONTH(M86)&gt;=Setup!$C$15,MONTH(M86)&lt;=Setup!$C$16),OR(MONTH(M86)&gt;=Setup!$C$15,MONTH(M86)&lt;=Setup!$C$16)),IF(Setup!$C$15&lt;=Setup!$C$16,AND(MONTH(WORKDAY(M86,-(Setup!$C$13+Setup!$G$31),Setup!$C$39:$C$50))&gt;=Setup!$C$15,MONTH(WORKDAY(M86,-(Setup!$C$13+Setup!$G$31),Setup!$C$39:$C$50))&lt;=Setup!$C$16),OR(MONTH(WORKDAY(M86,-(Setup!$C$13+Setup!$G$31),Setup!$C$39:$C$50))&gt;=Setup!$C$15,MONTH(WORKDAY(M86,-(Setup!$C$13+Setup!$G$31),Setup!$C$39:$C$50))&lt;=Setup!$C$16))),WORKDAY(M86,-(Setup!$C$13+Setup!$G$31+Setup!$C$14),Setup!$C$39:$C$50),WORKDAY(M86,-(Setup!$C$13+Setup!$G$31),Setup!$C$39:$C$50))+(81*100+12)/10000000)))</f>
        <v/>
      </c>
      <c r="AD86" t="str">
        <f>IF(N86="","",IF(N86&lt;Setup!$C$5-Setup!$C$6,"",IF(IF(ISNUMBER(Roster!$D86),Setup!$C$32&lt;=Roster!$D86,FALSE),"",IF(OR(IF(Setup!$C$15&lt;=Setup!$C$16,AND(MONTH(N86)&gt;=Setup!$C$15,MONTH(N86)&lt;=Setup!$C$16),OR(MONTH(N86)&gt;=Setup!$C$15,MONTH(N86)&lt;=Setup!$C$16)),IF(Setup!$C$15&lt;=Setup!$C$16,AND(MONTH(WORKDAY(N86,-(Setup!$C$13+Setup!$G$32),Setup!$C$39:$C$50))&gt;=Setup!$C$15,MONTH(WORKDAY(N86,-(Setup!$C$13+Setup!$G$32),Setup!$C$39:$C$50))&lt;=Setup!$C$16),OR(MONTH(WORKDAY(N86,-(Setup!$C$13+Setup!$G$32),Setup!$C$39:$C$50))&gt;=Setup!$C$15,MONTH(WORKDAY(N86,-(Setup!$C$13+Setup!$G$32),Setup!$C$39:$C$50))&lt;=Setup!$C$16))),WORKDAY(N86,-(Setup!$C$13+Setup!$G$32+Setup!$C$14),Setup!$C$39:$C$50),WORKDAY(N86,-(Setup!$C$13+Setup!$G$32),Setup!$C$39:$C$50))+(81*100+13)/10000000)))</f>
        <v/>
      </c>
      <c r="AE86" t="str">
        <f>IF(O86="","",IF(O86&lt;Setup!$C$5-Setup!$C$6,"",IF(IF(ISNUMBER(Roster!$D86),Setup!$C$33&lt;=Roster!$D86,FALSE),"",IF(OR(IF(Setup!$C$15&lt;=Setup!$C$16,AND(MONTH(O86)&gt;=Setup!$C$15,MONTH(O86)&lt;=Setup!$C$16),OR(MONTH(O86)&gt;=Setup!$C$15,MONTH(O86)&lt;=Setup!$C$16)),IF(Setup!$C$15&lt;=Setup!$C$16,AND(MONTH(WORKDAY(O86,-(Setup!$C$13+Setup!$G$33),Setup!$C$39:$C$50))&gt;=Setup!$C$15,MONTH(WORKDAY(O86,-(Setup!$C$13+Setup!$G$33),Setup!$C$39:$C$50))&lt;=Setup!$C$16),OR(MONTH(WORKDAY(O86,-(Setup!$C$13+Setup!$G$33),Setup!$C$39:$C$50))&gt;=Setup!$C$15,MONTH(WORKDAY(O86,-(Setup!$C$13+Setup!$G$33),Setup!$C$39:$C$50))&lt;=Setup!$C$16))),WORKDAY(O86,-(Setup!$C$13+Setup!$G$33+Setup!$C$14),Setup!$C$39:$C$50),WORKDAY(O86,-(Setup!$C$13+Setup!$G$33),Setup!$C$39:$C$50))+(81*100+14)/10000000)))</f>
        <v/>
      </c>
      <c r="AF86" t="str">
        <f>IF(P86="","",IF(P86&lt;Setup!$C$5-Setup!$C$6,"",IF(IF(ISNUMBER(Roster!$D86),Setup!$C$34&lt;=Roster!$D86,FALSE),"",IF(OR(IF(Setup!$C$15&lt;=Setup!$C$16,AND(MONTH(P86)&gt;=Setup!$C$15,MONTH(P86)&lt;=Setup!$C$16),OR(MONTH(P86)&gt;=Setup!$C$15,MONTH(P86)&lt;=Setup!$C$16)),IF(Setup!$C$15&lt;=Setup!$C$16,AND(MONTH(WORKDAY(P86,-(Setup!$C$13+Setup!$G$34),Setup!$C$39:$C$50))&gt;=Setup!$C$15,MONTH(WORKDAY(P86,-(Setup!$C$13+Setup!$G$34),Setup!$C$39:$C$50))&lt;=Setup!$C$16),OR(MONTH(WORKDAY(P86,-(Setup!$C$13+Setup!$G$34),Setup!$C$39:$C$50))&gt;=Setup!$C$15,MONTH(WORKDAY(P86,-(Setup!$C$13+Setup!$G$34),Setup!$C$39:$C$50))&lt;=Setup!$C$16))),WORKDAY(P86,-(Setup!$C$13+Setup!$G$34+Setup!$C$14),Setup!$C$39:$C$50),WORKDAY(P86,-(Setup!$C$13+Setup!$G$34),Setup!$C$39:$C$50))+(81*100+15)/10000000)))</f>
        <v/>
      </c>
      <c r="AH86" t="str">
        <f t="shared" si="9"/>
        <v/>
      </c>
      <c r="AI86" t="str">
        <f t="shared" si="10"/>
        <v/>
      </c>
      <c r="AK86" t="str">
        <f ca="1">IF(81&gt;$AK$2,"",SMALL($R$6:$AF$505,81))</f>
        <v/>
      </c>
      <c r="AL86" t="str">
        <f t="shared" ca="1" si="11"/>
        <v/>
      </c>
      <c r="AM86" t="str">
        <f t="shared" ca="1" si="12"/>
        <v/>
      </c>
      <c r="AN86" t="str">
        <f t="shared" ca="1" si="13"/>
        <v/>
      </c>
      <c r="AP86" t="str">
        <f>IF(ISNUMBER(Roster!$B86),MAX(1,YEAR(Setup!$C$5)-YEAR(Roster!$B86)+IF(EDATE(Roster!$B86,12*(YEAR(Setup!$C$5)-YEAR(Roster!$B86)))&lt;Setup!$C$5,1,0)),"")</f>
        <v/>
      </c>
      <c r="AQ86" s="32" t="str">
        <f>IF(AP86="","",EDATE(Roster!$B86,12*AP86))</f>
        <v/>
      </c>
      <c r="AR86" t="str">
        <f>IF(AQ86="","",IF(AQ86&lt;DATE(YEAR(Setup!$C$5)+1,MONTH(Setup!$C$5),DAY(Setup!$C$5)),AQ86+81/1000,""))</f>
        <v/>
      </c>
      <c r="AS86" t="str">
        <f t="shared" si="14"/>
        <v/>
      </c>
      <c r="AT86" t="str">
        <f>IF(AS86="","",IF(ISNUMBER(Roster!$D86),Roster!$D86&gt;=AP86,FALSE))</f>
        <v/>
      </c>
      <c r="AU86" t="str">
        <f t="shared" si="15"/>
        <v/>
      </c>
      <c r="AV86" t="str">
        <f ca="1">IF(81&gt;$AV$2,"",SMALL($AR$6:$AR$505,81))</f>
        <v/>
      </c>
      <c r="AW86" t="str">
        <f t="shared" ca="1" si="16"/>
        <v/>
      </c>
    </row>
    <row r="87" spans="2:49" x14ac:dyDescent="0.2">
      <c r="B87" s="32" t="str">
        <f>IF(AND(ISNUMBER(Roster!$B87),Setup!$B$20="Yes",ISNUMBER(Setup!$C$20)),EDATE(Roster!$B87,12*Setup!$C$20),"")</f>
        <v/>
      </c>
      <c r="C87" s="32" t="str">
        <f>IF(AND(ISNUMBER(Roster!$B87),Setup!$B$21="Yes",ISNUMBER(Setup!$C$21)),EDATE(Roster!$B87,12*Setup!$C$21),"")</f>
        <v/>
      </c>
      <c r="D87" s="32" t="str">
        <f>IF(AND(ISNUMBER(Roster!$B87),Setup!$B$22="Yes",ISNUMBER(Setup!$C$22)),EDATE(Roster!$B87,12*Setup!$C$22),"")</f>
        <v/>
      </c>
      <c r="E87" s="32" t="str">
        <f>IF(AND(ISNUMBER(Roster!$B87),Setup!$B$23="Yes",ISNUMBER(Setup!$C$23)),EDATE(Roster!$B87,12*Setup!$C$23),"")</f>
        <v/>
      </c>
      <c r="F87" s="32" t="str">
        <f>IF(AND(ISNUMBER(Roster!$B87),Setup!$B$24="Yes",ISNUMBER(Setup!$C$24)),EDATE(Roster!$B87,12*Setup!$C$24),"")</f>
        <v/>
      </c>
      <c r="G87" s="32" t="str">
        <f>IF(AND(ISNUMBER(Roster!$B87),Setup!$B$25="Yes",ISNUMBER(Setup!$C$25)),EDATE(Roster!$B87,12*Setup!$C$25),"")</f>
        <v/>
      </c>
      <c r="H87" s="32" t="str">
        <f>IF(AND(ISNUMBER(Roster!$B87),Setup!$B$26="Yes",ISNUMBER(Setup!$C$26)),EDATE(Roster!$B87,12*Setup!$C$26),"")</f>
        <v/>
      </c>
      <c r="I87" s="32" t="str">
        <f>IF(AND(ISNUMBER(Roster!$B87),Setup!$B$27="Yes",ISNUMBER(Setup!$C$27)),EDATE(Roster!$B87,12*Setup!$C$27),"")</f>
        <v/>
      </c>
      <c r="J87" s="32" t="str">
        <f>IF(AND(ISNUMBER(Roster!$B87),Setup!$B$28="Yes",ISNUMBER(Setup!$C$28)),EDATE(Roster!$B87,12*Setup!$C$28),"")</f>
        <v/>
      </c>
      <c r="K87" s="32" t="str">
        <f>IF(AND(ISNUMBER(Roster!$B87),Setup!$B$29="Yes",ISNUMBER(Setup!$C$29)),EDATE(Roster!$B87,12*Setup!$C$29),"")</f>
        <v/>
      </c>
      <c r="L87" s="32" t="str">
        <f>IF(AND(ISNUMBER(Roster!$B87),Setup!$B$30="Yes",ISNUMBER(Setup!$C$30)),EDATE(Roster!$B87,12*Setup!$C$30),"")</f>
        <v/>
      </c>
      <c r="M87" s="32" t="str">
        <f>IF(AND(ISNUMBER(Roster!$B87),Setup!$B$31="Yes",ISNUMBER(Setup!$C$31)),EDATE(Roster!$B87,12*Setup!$C$31),"")</f>
        <v/>
      </c>
      <c r="N87" s="32" t="str">
        <f>IF(AND(ISNUMBER(Roster!$B87),Setup!$B$32="Yes",ISNUMBER(Setup!$C$32)),EDATE(Roster!$B87,12*Setup!$C$32),"")</f>
        <v/>
      </c>
      <c r="O87" s="32" t="str">
        <f>IF(AND(ISNUMBER(Roster!$B87),Setup!$B$33="Yes",ISNUMBER(Setup!$C$33)),EDATE(Roster!$B87,12*Setup!$C$33),"")</f>
        <v/>
      </c>
      <c r="P87" s="32" t="str">
        <f>IF(AND(ISNUMBER(Roster!$B87),Setup!$B$34="Yes",ISNUMBER(Setup!$C$34)),EDATE(Roster!$B87,12*Setup!$C$34),"")</f>
        <v/>
      </c>
      <c r="R87" t="str">
        <f>IF(B87="","",IF(B87&lt;Setup!$C$5-Setup!$C$6,"",IF(IF(ISNUMBER(Roster!$D87),Setup!$C$20&lt;=Roster!$D87,FALSE),"",IF(OR(IF(Setup!$C$15&lt;=Setup!$C$16,AND(MONTH(B87)&gt;=Setup!$C$15,MONTH(B87)&lt;=Setup!$C$16),OR(MONTH(B87)&gt;=Setup!$C$15,MONTH(B87)&lt;=Setup!$C$16)),IF(Setup!$C$15&lt;=Setup!$C$16,AND(MONTH(WORKDAY(B87,-(Setup!$C$13+Setup!$G$20),Setup!$C$39:$C$50))&gt;=Setup!$C$15,MONTH(WORKDAY(B87,-(Setup!$C$13+Setup!$G$20),Setup!$C$39:$C$50))&lt;=Setup!$C$16),OR(MONTH(WORKDAY(B87,-(Setup!$C$13+Setup!$G$20),Setup!$C$39:$C$50))&gt;=Setup!$C$15,MONTH(WORKDAY(B87,-(Setup!$C$13+Setup!$G$20),Setup!$C$39:$C$50))&lt;=Setup!$C$16))),WORKDAY(B87,-(Setup!$C$13+Setup!$G$20+Setup!$C$14),Setup!$C$39:$C$50),WORKDAY(B87,-(Setup!$C$13+Setup!$G$20),Setup!$C$39:$C$50))+(82*100+1)/10000000)))</f>
        <v/>
      </c>
      <c r="S87" t="str">
        <f>IF(C87="","",IF(C87&lt;Setup!$C$5-Setup!$C$6,"",IF(IF(ISNUMBER(Roster!$D87),Setup!$C$21&lt;=Roster!$D87,FALSE),"",IF(OR(IF(Setup!$C$15&lt;=Setup!$C$16,AND(MONTH(C87)&gt;=Setup!$C$15,MONTH(C87)&lt;=Setup!$C$16),OR(MONTH(C87)&gt;=Setup!$C$15,MONTH(C87)&lt;=Setup!$C$16)),IF(Setup!$C$15&lt;=Setup!$C$16,AND(MONTH(WORKDAY(C87,-(Setup!$C$13+Setup!$G$21),Setup!$C$39:$C$50))&gt;=Setup!$C$15,MONTH(WORKDAY(C87,-(Setup!$C$13+Setup!$G$21),Setup!$C$39:$C$50))&lt;=Setup!$C$16),OR(MONTH(WORKDAY(C87,-(Setup!$C$13+Setup!$G$21),Setup!$C$39:$C$50))&gt;=Setup!$C$15,MONTH(WORKDAY(C87,-(Setup!$C$13+Setup!$G$21),Setup!$C$39:$C$50))&lt;=Setup!$C$16))),WORKDAY(C87,-(Setup!$C$13+Setup!$G$21+Setup!$C$14),Setup!$C$39:$C$50),WORKDAY(C87,-(Setup!$C$13+Setup!$G$21),Setup!$C$39:$C$50))+(82*100+2)/10000000)))</f>
        <v/>
      </c>
      <c r="T87" t="str">
        <f>IF(D87="","",IF(D87&lt;Setup!$C$5-Setup!$C$6,"",IF(IF(ISNUMBER(Roster!$D87),Setup!$C$22&lt;=Roster!$D87,FALSE),"",IF(OR(IF(Setup!$C$15&lt;=Setup!$C$16,AND(MONTH(D87)&gt;=Setup!$C$15,MONTH(D87)&lt;=Setup!$C$16),OR(MONTH(D87)&gt;=Setup!$C$15,MONTH(D87)&lt;=Setup!$C$16)),IF(Setup!$C$15&lt;=Setup!$C$16,AND(MONTH(WORKDAY(D87,-(Setup!$C$13+Setup!$G$22),Setup!$C$39:$C$50))&gt;=Setup!$C$15,MONTH(WORKDAY(D87,-(Setup!$C$13+Setup!$G$22),Setup!$C$39:$C$50))&lt;=Setup!$C$16),OR(MONTH(WORKDAY(D87,-(Setup!$C$13+Setup!$G$22),Setup!$C$39:$C$50))&gt;=Setup!$C$15,MONTH(WORKDAY(D87,-(Setup!$C$13+Setup!$G$22),Setup!$C$39:$C$50))&lt;=Setup!$C$16))),WORKDAY(D87,-(Setup!$C$13+Setup!$G$22+Setup!$C$14),Setup!$C$39:$C$50),WORKDAY(D87,-(Setup!$C$13+Setup!$G$22),Setup!$C$39:$C$50))+(82*100+3)/10000000)))</f>
        <v/>
      </c>
      <c r="U87" t="str">
        <f>IF(E87="","",IF(E87&lt;Setup!$C$5-Setup!$C$6,"",IF(IF(ISNUMBER(Roster!$D87),Setup!$C$23&lt;=Roster!$D87,FALSE),"",IF(OR(IF(Setup!$C$15&lt;=Setup!$C$16,AND(MONTH(E87)&gt;=Setup!$C$15,MONTH(E87)&lt;=Setup!$C$16),OR(MONTH(E87)&gt;=Setup!$C$15,MONTH(E87)&lt;=Setup!$C$16)),IF(Setup!$C$15&lt;=Setup!$C$16,AND(MONTH(WORKDAY(E87,-(Setup!$C$13+Setup!$G$23),Setup!$C$39:$C$50))&gt;=Setup!$C$15,MONTH(WORKDAY(E87,-(Setup!$C$13+Setup!$G$23),Setup!$C$39:$C$50))&lt;=Setup!$C$16),OR(MONTH(WORKDAY(E87,-(Setup!$C$13+Setup!$G$23),Setup!$C$39:$C$50))&gt;=Setup!$C$15,MONTH(WORKDAY(E87,-(Setup!$C$13+Setup!$G$23),Setup!$C$39:$C$50))&lt;=Setup!$C$16))),WORKDAY(E87,-(Setup!$C$13+Setup!$G$23+Setup!$C$14),Setup!$C$39:$C$50),WORKDAY(E87,-(Setup!$C$13+Setup!$G$23),Setup!$C$39:$C$50))+(82*100+4)/10000000)))</f>
        <v/>
      </c>
      <c r="V87" t="str">
        <f>IF(F87="","",IF(F87&lt;Setup!$C$5-Setup!$C$6,"",IF(IF(ISNUMBER(Roster!$D87),Setup!$C$24&lt;=Roster!$D87,FALSE),"",IF(OR(IF(Setup!$C$15&lt;=Setup!$C$16,AND(MONTH(F87)&gt;=Setup!$C$15,MONTH(F87)&lt;=Setup!$C$16),OR(MONTH(F87)&gt;=Setup!$C$15,MONTH(F87)&lt;=Setup!$C$16)),IF(Setup!$C$15&lt;=Setup!$C$16,AND(MONTH(WORKDAY(F87,-(Setup!$C$13+Setup!$G$24),Setup!$C$39:$C$50))&gt;=Setup!$C$15,MONTH(WORKDAY(F87,-(Setup!$C$13+Setup!$G$24),Setup!$C$39:$C$50))&lt;=Setup!$C$16),OR(MONTH(WORKDAY(F87,-(Setup!$C$13+Setup!$G$24),Setup!$C$39:$C$50))&gt;=Setup!$C$15,MONTH(WORKDAY(F87,-(Setup!$C$13+Setup!$G$24),Setup!$C$39:$C$50))&lt;=Setup!$C$16))),WORKDAY(F87,-(Setup!$C$13+Setup!$G$24+Setup!$C$14),Setup!$C$39:$C$50),WORKDAY(F87,-(Setup!$C$13+Setup!$G$24),Setup!$C$39:$C$50))+(82*100+5)/10000000)))</f>
        <v/>
      </c>
      <c r="W87" t="str">
        <f>IF(G87="","",IF(G87&lt;Setup!$C$5-Setup!$C$6,"",IF(IF(ISNUMBER(Roster!$D87),Setup!$C$25&lt;=Roster!$D87,FALSE),"",IF(OR(IF(Setup!$C$15&lt;=Setup!$C$16,AND(MONTH(G87)&gt;=Setup!$C$15,MONTH(G87)&lt;=Setup!$C$16),OR(MONTH(G87)&gt;=Setup!$C$15,MONTH(G87)&lt;=Setup!$C$16)),IF(Setup!$C$15&lt;=Setup!$C$16,AND(MONTH(WORKDAY(G87,-(Setup!$C$13+Setup!$G$25),Setup!$C$39:$C$50))&gt;=Setup!$C$15,MONTH(WORKDAY(G87,-(Setup!$C$13+Setup!$G$25),Setup!$C$39:$C$50))&lt;=Setup!$C$16),OR(MONTH(WORKDAY(G87,-(Setup!$C$13+Setup!$G$25),Setup!$C$39:$C$50))&gt;=Setup!$C$15,MONTH(WORKDAY(G87,-(Setup!$C$13+Setup!$G$25),Setup!$C$39:$C$50))&lt;=Setup!$C$16))),WORKDAY(G87,-(Setup!$C$13+Setup!$G$25+Setup!$C$14),Setup!$C$39:$C$50),WORKDAY(G87,-(Setup!$C$13+Setup!$G$25),Setup!$C$39:$C$50))+(82*100+6)/10000000)))</f>
        <v/>
      </c>
      <c r="X87" t="str">
        <f>IF(H87="","",IF(H87&lt;Setup!$C$5-Setup!$C$6,"",IF(IF(ISNUMBER(Roster!$D87),Setup!$C$26&lt;=Roster!$D87,FALSE),"",IF(OR(IF(Setup!$C$15&lt;=Setup!$C$16,AND(MONTH(H87)&gt;=Setup!$C$15,MONTH(H87)&lt;=Setup!$C$16),OR(MONTH(H87)&gt;=Setup!$C$15,MONTH(H87)&lt;=Setup!$C$16)),IF(Setup!$C$15&lt;=Setup!$C$16,AND(MONTH(WORKDAY(H87,-(Setup!$C$13+Setup!$G$26),Setup!$C$39:$C$50))&gt;=Setup!$C$15,MONTH(WORKDAY(H87,-(Setup!$C$13+Setup!$G$26),Setup!$C$39:$C$50))&lt;=Setup!$C$16),OR(MONTH(WORKDAY(H87,-(Setup!$C$13+Setup!$G$26),Setup!$C$39:$C$50))&gt;=Setup!$C$15,MONTH(WORKDAY(H87,-(Setup!$C$13+Setup!$G$26),Setup!$C$39:$C$50))&lt;=Setup!$C$16))),WORKDAY(H87,-(Setup!$C$13+Setup!$G$26+Setup!$C$14),Setup!$C$39:$C$50),WORKDAY(H87,-(Setup!$C$13+Setup!$G$26),Setup!$C$39:$C$50))+(82*100+7)/10000000)))</f>
        <v/>
      </c>
      <c r="Y87" t="str">
        <f>IF(I87="","",IF(I87&lt;Setup!$C$5-Setup!$C$6,"",IF(IF(ISNUMBER(Roster!$D87),Setup!$C$27&lt;=Roster!$D87,FALSE),"",IF(OR(IF(Setup!$C$15&lt;=Setup!$C$16,AND(MONTH(I87)&gt;=Setup!$C$15,MONTH(I87)&lt;=Setup!$C$16),OR(MONTH(I87)&gt;=Setup!$C$15,MONTH(I87)&lt;=Setup!$C$16)),IF(Setup!$C$15&lt;=Setup!$C$16,AND(MONTH(WORKDAY(I87,-(Setup!$C$13+Setup!$G$27),Setup!$C$39:$C$50))&gt;=Setup!$C$15,MONTH(WORKDAY(I87,-(Setup!$C$13+Setup!$G$27),Setup!$C$39:$C$50))&lt;=Setup!$C$16),OR(MONTH(WORKDAY(I87,-(Setup!$C$13+Setup!$G$27),Setup!$C$39:$C$50))&gt;=Setup!$C$15,MONTH(WORKDAY(I87,-(Setup!$C$13+Setup!$G$27),Setup!$C$39:$C$50))&lt;=Setup!$C$16))),WORKDAY(I87,-(Setup!$C$13+Setup!$G$27+Setup!$C$14),Setup!$C$39:$C$50),WORKDAY(I87,-(Setup!$C$13+Setup!$G$27),Setup!$C$39:$C$50))+(82*100+8)/10000000)))</f>
        <v/>
      </c>
      <c r="Z87" t="str">
        <f>IF(J87="","",IF(J87&lt;Setup!$C$5-Setup!$C$6,"",IF(IF(ISNUMBER(Roster!$D87),Setup!$C$28&lt;=Roster!$D87,FALSE),"",IF(OR(IF(Setup!$C$15&lt;=Setup!$C$16,AND(MONTH(J87)&gt;=Setup!$C$15,MONTH(J87)&lt;=Setup!$C$16),OR(MONTH(J87)&gt;=Setup!$C$15,MONTH(J87)&lt;=Setup!$C$16)),IF(Setup!$C$15&lt;=Setup!$C$16,AND(MONTH(WORKDAY(J87,-(Setup!$C$13+Setup!$G$28),Setup!$C$39:$C$50))&gt;=Setup!$C$15,MONTH(WORKDAY(J87,-(Setup!$C$13+Setup!$G$28),Setup!$C$39:$C$50))&lt;=Setup!$C$16),OR(MONTH(WORKDAY(J87,-(Setup!$C$13+Setup!$G$28),Setup!$C$39:$C$50))&gt;=Setup!$C$15,MONTH(WORKDAY(J87,-(Setup!$C$13+Setup!$G$28),Setup!$C$39:$C$50))&lt;=Setup!$C$16))),WORKDAY(J87,-(Setup!$C$13+Setup!$G$28+Setup!$C$14),Setup!$C$39:$C$50),WORKDAY(J87,-(Setup!$C$13+Setup!$G$28),Setup!$C$39:$C$50))+(82*100+9)/10000000)))</f>
        <v/>
      </c>
      <c r="AA87" t="str">
        <f>IF(K87="","",IF(K87&lt;Setup!$C$5-Setup!$C$6,"",IF(IF(ISNUMBER(Roster!$D87),Setup!$C$29&lt;=Roster!$D87,FALSE),"",IF(OR(IF(Setup!$C$15&lt;=Setup!$C$16,AND(MONTH(K87)&gt;=Setup!$C$15,MONTH(K87)&lt;=Setup!$C$16),OR(MONTH(K87)&gt;=Setup!$C$15,MONTH(K87)&lt;=Setup!$C$16)),IF(Setup!$C$15&lt;=Setup!$C$16,AND(MONTH(WORKDAY(K87,-(Setup!$C$13+Setup!$G$29),Setup!$C$39:$C$50))&gt;=Setup!$C$15,MONTH(WORKDAY(K87,-(Setup!$C$13+Setup!$G$29),Setup!$C$39:$C$50))&lt;=Setup!$C$16),OR(MONTH(WORKDAY(K87,-(Setup!$C$13+Setup!$G$29),Setup!$C$39:$C$50))&gt;=Setup!$C$15,MONTH(WORKDAY(K87,-(Setup!$C$13+Setup!$G$29),Setup!$C$39:$C$50))&lt;=Setup!$C$16))),WORKDAY(K87,-(Setup!$C$13+Setup!$G$29+Setup!$C$14),Setup!$C$39:$C$50),WORKDAY(K87,-(Setup!$C$13+Setup!$G$29),Setup!$C$39:$C$50))+(82*100+10)/10000000)))</f>
        <v/>
      </c>
      <c r="AB87" t="str">
        <f>IF(L87="","",IF(L87&lt;Setup!$C$5-Setup!$C$6,"",IF(IF(ISNUMBER(Roster!$D87),Setup!$C$30&lt;=Roster!$D87,FALSE),"",IF(OR(IF(Setup!$C$15&lt;=Setup!$C$16,AND(MONTH(L87)&gt;=Setup!$C$15,MONTH(L87)&lt;=Setup!$C$16),OR(MONTH(L87)&gt;=Setup!$C$15,MONTH(L87)&lt;=Setup!$C$16)),IF(Setup!$C$15&lt;=Setup!$C$16,AND(MONTH(WORKDAY(L87,-(Setup!$C$13+Setup!$G$30),Setup!$C$39:$C$50))&gt;=Setup!$C$15,MONTH(WORKDAY(L87,-(Setup!$C$13+Setup!$G$30),Setup!$C$39:$C$50))&lt;=Setup!$C$16),OR(MONTH(WORKDAY(L87,-(Setup!$C$13+Setup!$G$30),Setup!$C$39:$C$50))&gt;=Setup!$C$15,MONTH(WORKDAY(L87,-(Setup!$C$13+Setup!$G$30),Setup!$C$39:$C$50))&lt;=Setup!$C$16))),WORKDAY(L87,-(Setup!$C$13+Setup!$G$30+Setup!$C$14),Setup!$C$39:$C$50),WORKDAY(L87,-(Setup!$C$13+Setup!$G$30),Setup!$C$39:$C$50))+(82*100+11)/10000000)))</f>
        <v/>
      </c>
      <c r="AC87" t="str">
        <f>IF(M87="","",IF(M87&lt;Setup!$C$5-Setup!$C$6,"",IF(IF(ISNUMBER(Roster!$D87),Setup!$C$31&lt;=Roster!$D87,FALSE),"",IF(OR(IF(Setup!$C$15&lt;=Setup!$C$16,AND(MONTH(M87)&gt;=Setup!$C$15,MONTH(M87)&lt;=Setup!$C$16),OR(MONTH(M87)&gt;=Setup!$C$15,MONTH(M87)&lt;=Setup!$C$16)),IF(Setup!$C$15&lt;=Setup!$C$16,AND(MONTH(WORKDAY(M87,-(Setup!$C$13+Setup!$G$31),Setup!$C$39:$C$50))&gt;=Setup!$C$15,MONTH(WORKDAY(M87,-(Setup!$C$13+Setup!$G$31),Setup!$C$39:$C$50))&lt;=Setup!$C$16),OR(MONTH(WORKDAY(M87,-(Setup!$C$13+Setup!$G$31),Setup!$C$39:$C$50))&gt;=Setup!$C$15,MONTH(WORKDAY(M87,-(Setup!$C$13+Setup!$G$31),Setup!$C$39:$C$50))&lt;=Setup!$C$16))),WORKDAY(M87,-(Setup!$C$13+Setup!$G$31+Setup!$C$14),Setup!$C$39:$C$50),WORKDAY(M87,-(Setup!$C$13+Setup!$G$31),Setup!$C$39:$C$50))+(82*100+12)/10000000)))</f>
        <v/>
      </c>
      <c r="AD87" t="str">
        <f>IF(N87="","",IF(N87&lt;Setup!$C$5-Setup!$C$6,"",IF(IF(ISNUMBER(Roster!$D87),Setup!$C$32&lt;=Roster!$D87,FALSE),"",IF(OR(IF(Setup!$C$15&lt;=Setup!$C$16,AND(MONTH(N87)&gt;=Setup!$C$15,MONTH(N87)&lt;=Setup!$C$16),OR(MONTH(N87)&gt;=Setup!$C$15,MONTH(N87)&lt;=Setup!$C$16)),IF(Setup!$C$15&lt;=Setup!$C$16,AND(MONTH(WORKDAY(N87,-(Setup!$C$13+Setup!$G$32),Setup!$C$39:$C$50))&gt;=Setup!$C$15,MONTH(WORKDAY(N87,-(Setup!$C$13+Setup!$G$32),Setup!$C$39:$C$50))&lt;=Setup!$C$16),OR(MONTH(WORKDAY(N87,-(Setup!$C$13+Setup!$G$32),Setup!$C$39:$C$50))&gt;=Setup!$C$15,MONTH(WORKDAY(N87,-(Setup!$C$13+Setup!$G$32),Setup!$C$39:$C$50))&lt;=Setup!$C$16))),WORKDAY(N87,-(Setup!$C$13+Setup!$G$32+Setup!$C$14),Setup!$C$39:$C$50),WORKDAY(N87,-(Setup!$C$13+Setup!$G$32),Setup!$C$39:$C$50))+(82*100+13)/10000000)))</f>
        <v/>
      </c>
      <c r="AE87" t="str">
        <f>IF(O87="","",IF(O87&lt;Setup!$C$5-Setup!$C$6,"",IF(IF(ISNUMBER(Roster!$D87),Setup!$C$33&lt;=Roster!$D87,FALSE),"",IF(OR(IF(Setup!$C$15&lt;=Setup!$C$16,AND(MONTH(O87)&gt;=Setup!$C$15,MONTH(O87)&lt;=Setup!$C$16),OR(MONTH(O87)&gt;=Setup!$C$15,MONTH(O87)&lt;=Setup!$C$16)),IF(Setup!$C$15&lt;=Setup!$C$16,AND(MONTH(WORKDAY(O87,-(Setup!$C$13+Setup!$G$33),Setup!$C$39:$C$50))&gt;=Setup!$C$15,MONTH(WORKDAY(O87,-(Setup!$C$13+Setup!$G$33),Setup!$C$39:$C$50))&lt;=Setup!$C$16),OR(MONTH(WORKDAY(O87,-(Setup!$C$13+Setup!$G$33),Setup!$C$39:$C$50))&gt;=Setup!$C$15,MONTH(WORKDAY(O87,-(Setup!$C$13+Setup!$G$33),Setup!$C$39:$C$50))&lt;=Setup!$C$16))),WORKDAY(O87,-(Setup!$C$13+Setup!$G$33+Setup!$C$14),Setup!$C$39:$C$50),WORKDAY(O87,-(Setup!$C$13+Setup!$G$33),Setup!$C$39:$C$50))+(82*100+14)/10000000)))</f>
        <v/>
      </c>
      <c r="AF87" t="str">
        <f>IF(P87="","",IF(P87&lt;Setup!$C$5-Setup!$C$6,"",IF(IF(ISNUMBER(Roster!$D87),Setup!$C$34&lt;=Roster!$D87,FALSE),"",IF(OR(IF(Setup!$C$15&lt;=Setup!$C$16,AND(MONTH(P87)&gt;=Setup!$C$15,MONTH(P87)&lt;=Setup!$C$16),OR(MONTH(P87)&gt;=Setup!$C$15,MONTH(P87)&lt;=Setup!$C$16)),IF(Setup!$C$15&lt;=Setup!$C$16,AND(MONTH(WORKDAY(P87,-(Setup!$C$13+Setup!$G$34),Setup!$C$39:$C$50))&gt;=Setup!$C$15,MONTH(WORKDAY(P87,-(Setup!$C$13+Setup!$G$34),Setup!$C$39:$C$50))&lt;=Setup!$C$16),OR(MONTH(WORKDAY(P87,-(Setup!$C$13+Setup!$G$34),Setup!$C$39:$C$50))&gt;=Setup!$C$15,MONTH(WORKDAY(P87,-(Setup!$C$13+Setup!$G$34),Setup!$C$39:$C$50))&lt;=Setup!$C$16))),WORKDAY(P87,-(Setup!$C$13+Setup!$G$34+Setup!$C$14),Setup!$C$39:$C$50),WORKDAY(P87,-(Setup!$C$13+Setup!$G$34),Setup!$C$39:$C$50))+(82*100+15)/10000000)))</f>
        <v/>
      </c>
      <c r="AH87" t="str">
        <f t="shared" si="9"/>
        <v/>
      </c>
      <c r="AI87" t="str">
        <f t="shared" si="10"/>
        <v/>
      </c>
      <c r="AK87" t="str">
        <f ca="1">IF(82&gt;$AK$2,"",SMALL($R$6:$AF$505,82))</f>
        <v/>
      </c>
      <c r="AL87" t="str">
        <f t="shared" ca="1" si="11"/>
        <v/>
      </c>
      <c r="AM87" t="str">
        <f t="shared" ca="1" si="12"/>
        <v/>
      </c>
      <c r="AN87" t="str">
        <f t="shared" ca="1" si="13"/>
        <v/>
      </c>
      <c r="AP87" t="str">
        <f>IF(ISNUMBER(Roster!$B87),MAX(1,YEAR(Setup!$C$5)-YEAR(Roster!$B87)+IF(EDATE(Roster!$B87,12*(YEAR(Setup!$C$5)-YEAR(Roster!$B87)))&lt;Setup!$C$5,1,0)),"")</f>
        <v/>
      </c>
      <c r="AQ87" s="32" t="str">
        <f>IF(AP87="","",EDATE(Roster!$B87,12*AP87))</f>
        <v/>
      </c>
      <c r="AR87" t="str">
        <f>IF(AQ87="","",IF(AQ87&lt;DATE(YEAR(Setup!$C$5)+1,MONTH(Setup!$C$5),DAY(Setup!$C$5)),AQ87+82/1000,""))</f>
        <v/>
      </c>
      <c r="AS87" t="str">
        <f t="shared" si="14"/>
        <v/>
      </c>
      <c r="AT87" t="str">
        <f>IF(AS87="","",IF(ISNUMBER(Roster!$D87),Roster!$D87&gt;=AP87,FALSE))</f>
        <v/>
      </c>
      <c r="AU87" t="str">
        <f t="shared" si="15"/>
        <v/>
      </c>
      <c r="AV87" t="str">
        <f ca="1">IF(82&gt;$AV$2,"",SMALL($AR$6:$AR$505,82))</f>
        <v/>
      </c>
      <c r="AW87" t="str">
        <f t="shared" ca="1" si="16"/>
        <v/>
      </c>
    </row>
    <row r="88" spans="2:49" x14ac:dyDescent="0.2">
      <c r="B88" s="32" t="str">
        <f>IF(AND(ISNUMBER(Roster!$B88),Setup!$B$20="Yes",ISNUMBER(Setup!$C$20)),EDATE(Roster!$B88,12*Setup!$C$20),"")</f>
        <v/>
      </c>
      <c r="C88" s="32" t="str">
        <f>IF(AND(ISNUMBER(Roster!$B88),Setup!$B$21="Yes",ISNUMBER(Setup!$C$21)),EDATE(Roster!$B88,12*Setup!$C$21),"")</f>
        <v/>
      </c>
      <c r="D88" s="32" t="str">
        <f>IF(AND(ISNUMBER(Roster!$B88),Setup!$B$22="Yes",ISNUMBER(Setup!$C$22)),EDATE(Roster!$B88,12*Setup!$C$22),"")</f>
        <v/>
      </c>
      <c r="E88" s="32" t="str">
        <f>IF(AND(ISNUMBER(Roster!$B88),Setup!$B$23="Yes",ISNUMBER(Setup!$C$23)),EDATE(Roster!$B88,12*Setup!$C$23),"")</f>
        <v/>
      </c>
      <c r="F88" s="32" t="str">
        <f>IF(AND(ISNUMBER(Roster!$B88),Setup!$B$24="Yes",ISNUMBER(Setup!$C$24)),EDATE(Roster!$B88,12*Setup!$C$24),"")</f>
        <v/>
      </c>
      <c r="G88" s="32" t="str">
        <f>IF(AND(ISNUMBER(Roster!$B88),Setup!$B$25="Yes",ISNUMBER(Setup!$C$25)),EDATE(Roster!$B88,12*Setup!$C$25),"")</f>
        <v/>
      </c>
      <c r="H88" s="32" t="str">
        <f>IF(AND(ISNUMBER(Roster!$B88),Setup!$B$26="Yes",ISNUMBER(Setup!$C$26)),EDATE(Roster!$B88,12*Setup!$C$26),"")</f>
        <v/>
      </c>
      <c r="I88" s="32" t="str">
        <f>IF(AND(ISNUMBER(Roster!$B88),Setup!$B$27="Yes",ISNUMBER(Setup!$C$27)),EDATE(Roster!$B88,12*Setup!$C$27),"")</f>
        <v/>
      </c>
      <c r="J88" s="32" t="str">
        <f>IF(AND(ISNUMBER(Roster!$B88),Setup!$B$28="Yes",ISNUMBER(Setup!$C$28)),EDATE(Roster!$B88,12*Setup!$C$28),"")</f>
        <v/>
      </c>
      <c r="K88" s="32" t="str">
        <f>IF(AND(ISNUMBER(Roster!$B88),Setup!$B$29="Yes",ISNUMBER(Setup!$C$29)),EDATE(Roster!$B88,12*Setup!$C$29),"")</f>
        <v/>
      </c>
      <c r="L88" s="32" t="str">
        <f>IF(AND(ISNUMBER(Roster!$B88),Setup!$B$30="Yes",ISNUMBER(Setup!$C$30)),EDATE(Roster!$B88,12*Setup!$C$30),"")</f>
        <v/>
      </c>
      <c r="M88" s="32" t="str">
        <f>IF(AND(ISNUMBER(Roster!$B88),Setup!$B$31="Yes",ISNUMBER(Setup!$C$31)),EDATE(Roster!$B88,12*Setup!$C$31),"")</f>
        <v/>
      </c>
      <c r="N88" s="32" t="str">
        <f>IF(AND(ISNUMBER(Roster!$B88),Setup!$B$32="Yes",ISNUMBER(Setup!$C$32)),EDATE(Roster!$B88,12*Setup!$C$32),"")</f>
        <v/>
      </c>
      <c r="O88" s="32" t="str">
        <f>IF(AND(ISNUMBER(Roster!$B88),Setup!$B$33="Yes",ISNUMBER(Setup!$C$33)),EDATE(Roster!$B88,12*Setup!$C$33),"")</f>
        <v/>
      </c>
      <c r="P88" s="32" t="str">
        <f>IF(AND(ISNUMBER(Roster!$B88),Setup!$B$34="Yes",ISNUMBER(Setup!$C$34)),EDATE(Roster!$B88,12*Setup!$C$34),"")</f>
        <v/>
      </c>
      <c r="R88" t="str">
        <f>IF(B88="","",IF(B88&lt;Setup!$C$5-Setup!$C$6,"",IF(IF(ISNUMBER(Roster!$D88),Setup!$C$20&lt;=Roster!$D88,FALSE),"",IF(OR(IF(Setup!$C$15&lt;=Setup!$C$16,AND(MONTH(B88)&gt;=Setup!$C$15,MONTH(B88)&lt;=Setup!$C$16),OR(MONTH(B88)&gt;=Setup!$C$15,MONTH(B88)&lt;=Setup!$C$16)),IF(Setup!$C$15&lt;=Setup!$C$16,AND(MONTH(WORKDAY(B88,-(Setup!$C$13+Setup!$G$20),Setup!$C$39:$C$50))&gt;=Setup!$C$15,MONTH(WORKDAY(B88,-(Setup!$C$13+Setup!$G$20),Setup!$C$39:$C$50))&lt;=Setup!$C$16),OR(MONTH(WORKDAY(B88,-(Setup!$C$13+Setup!$G$20),Setup!$C$39:$C$50))&gt;=Setup!$C$15,MONTH(WORKDAY(B88,-(Setup!$C$13+Setup!$G$20),Setup!$C$39:$C$50))&lt;=Setup!$C$16))),WORKDAY(B88,-(Setup!$C$13+Setup!$G$20+Setup!$C$14),Setup!$C$39:$C$50),WORKDAY(B88,-(Setup!$C$13+Setup!$G$20),Setup!$C$39:$C$50))+(83*100+1)/10000000)))</f>
        <v/>
      </c>
      <c r="S88" t="str">
        <f>IF(C88="","",IF(C88&lt;Setup!$C$5-Setup!$C$6,"",IF(IF(ISNUMBER(Roster!$D88),Setup!$C$21&lt;=Roster!$D88,FALSE),"",IF(OR(IF(Setup!$C$15&lt;=Setup!$C$16,AND(MONTH(C88)&gt;=Setup!$C$15,MONTH(C88)&lt;=Setup!$C$16),OR(MONTH(C88)&gt;=Setup!$C$15,MONTH(C88)&lt;=Setup!$C$16)),IF(Setup!$C$15&lt;=Setup!$C$16,AND(MONTH(WORKDAY(C88,-(Setup!$C$13+Setup!$G$21),Setup!$C$39:$C$50))&gt;=Setup!$C$15,MONTH(WORKDAY(C88,-(Setup!$C$13+Setup!$G$21),Setup!$C$39:$C$50))&lt;=Setup!$C$16),OR(MONTH(WORKDAY(C88,-(Setup!$C$13+Setup!$G$21),Setup!$C$39:$C$50))&gt;=Setup!$C$15,MONTH(WORKDAY(C88,-(Setup!$C$13+Setup!$G$21),Setup!$C$39:$C$50))&lt;=Setup!$C$16))),WORKDAY(C88,-(Setup!$C$13+Setup!$G$21+Setup!$C$14),Setup!$C$39:$C$50),WORKDAY(C88,-(Setup!$C$13+Setup!$G$21),Setup!$C$39:$C$50))+(83*100+2)/10000000)))</f>
        <v/>
      </c>
      <c r="T88" t="str">
        <f>IF(D88="","",IF(D88&lt;Setup!$C$5-Setup!$C$6,"",IF(IF(ISNUMBER(Roster!$D88),Setup!$C$22&lt;=Roster!$D88,FALSE),"",IF(OR(IF(Setup!$C$15&lt;=Setup!$C$16,AND(MONTH(D88)&gt;=Setup!$C$15,MONTH(D88)&lt;=Setup!$C$16),OR(MONTH(D88)&gt;=Setup!$C$15,MONTH(D88)&lt;=Setup!$C$16)),IF(Setup!$C$15&lt;=Setup!$C$16,AND(MONTH(WORKDAY(D88,-(Setup!$C$13+Setup!$G$22),Setup!$C$39:$C$50))&gt;=Setup!$C$15,MONTH(WORKDAY(D88,-(Setup!$C$13+Setup!$G$22),Setup!$C$39:$C$50))&lt;=Setup!$C$16),OR(MONTH(WORKDAY(D88,-(Setup!$C$13+Setup!$G$22),Setup!$C$39:$C$50))&gt;=Setup!$C$15,MONTH(WORKDAY(D88,-(Setup!$C$13+Setup!$G$22),Setup!$C$39:$C$50))&lt;=Setup!$C$16))),WORKDAY(D88,-(Setup!$C$13+Setup!$G$22+Setup!$C$14),Setup!$C$39:$C$50),WORKDAY(D88,-(Setup!$C$13+Setup!$G$22),Setup!$C$39:$C$50))+(83*100+3)/10000000)))</f>
        <v/>
      </c>
      <c r="U88" t="str">
        <f>IF(E88="","",IF(E88&lt;Setup!$C$5-Setup!$C$6,"",IF(IF(ISNUMBER(Roster!$D88),Setup!$C$23&lt;=Roster!$D88,FALSE),"",IF(OR(IF(Setup!$C$15&lt;=Setup!$C$16,AND(MONTH(E88)&gt;=Setup!$C$15,MONTH(E88)&lt;=Setup!$C$16),OR(MONTH(E88)&gt;=Setup!$C$15,MONTH(E88)&lt;=Setup!$C$16)),IF(Setup!$C$15&lt;=Setup!$C$16,AND(MONTH(WORKDAY(E88,-(Setup!$C$13+Setup!$G$23),Setup!$C$39:$C$50))&gt;=Setup!$C$15,MONTH(WORKDAY(E88,-(Setup!$C$13+Setup!$G$23),Setup!$C$39:$C$50))&lt;=Setup!$C$16),OR(MONTH(WORKDAY(E88,-(Setup!$C$13+Setup!$G$23),Setup!$C$39:$C$50))&gt;=Setup!$C$15,MONTH(WORKDAY(E88,-(Setup!$C$13+Setup!$G$23),Setup!$C$39:$C$50))&lt;=Setup!$C$16))),WORKDAY(E88,-(Setup!$C$13+Setup!$G$23+Setup!$C$14),Setup!$C$39:$C$50),WORKDAY(E88,-(Setup!$C$13+Setup!$G$23),Setup!$C$39:$C$50))+(83*100+4)/10000000)))</f>
        <v/>
      </c>
      <c r="V88" t="str">
        <f>IF(F88="","",IF(F88&lt;Setup!$C$5-Setup!$C$6,"",IF(IF(ISNUMBER(Roster!$D88),Setup!$C$24&lt;=Roster!$D88,FALSE),"",IF(OR(IF(Setup!$C$15&lt;=Setup!$C$16,AND(MONTH(F88)&gt;=Setup!$C$15,MONTH(F88)&lt;=Setup!$C$16),OR(MONTH(F88)&gt;=Setup!$C$15,MONTH(F88)&lt;=Setup!$C$16)),IF(Setup!$C$15&lt;=Setup!$C$16,AND(MONTH(WORKDAY(F88,-(Setup!$C$13+Setup!$G$24),Setup!$C$39:$C$50))&gt;=Setup!$C$15,MONTH(WORKDAY(F88,-(Setup!$C$13+Setup!$G$24),Setup!$C$39:$C$50))&lt;=Setup!$C$16),OR(MONTH(WORKDAY(F88,-(Setup!$C$13+Setup!$G$24),Setup!$C$39:$C$50))&gt;=Setup!$C$15,MONTH(WORKDAY(F88,-(Setup!$C$13+Setup!$G$24),Setup!$C$39:$C$50))&lt;=Setup!$C$16))),WORKDAY(F88,-(Setup!$C$13+Setup!$G$24+Setup!$C$14),Setup!$C$39:$C$50),WORKDAY(F88,-(Setup!$C$13+Setup!$G$24),Setup!$C$39:$C$50))+(83*100+5)/10000000)))</f>
        <v/>
      </c>
      <c r="W88" t="str">
        <f>IF(G88="","",IF(G88&lt;Setup!$C$5-Setup!$C$6,"",IF(IF(ISNUMBER(Roster!$D88),Setup!$C$25&lt;=Roster!$D88,FALSE),"",IF(OR(IF(Setup!$C$15&lt;=Setup!$C$16,AND(MONTH(G88)&gt;=Setup!$C$15,MONTH(G88)&lt;=Setup!$C$16),OR(MONTH(G88)&gt;=Setup!$C$15,MONTH(G88)&lt;=Setup!$C$16)),IF(Setup!$C$15&lt;=Setup!$C$16,AND(MONTH(WORKDAY(G88,-(Setup!$C$13+Setup!$G$25),Setup!$C$39:$C$50))&gt;=Setup!$C$15,MONTH(WORKDAY(G88,-(Setup!$C$13+Setup!$G$25),Setup!$C$39:$C$50))&lt;=Setup!$C$16),OR(MONTH(WORKDAY(G88,-(Setup!$C$13+Setup!$G$25),Setup!$C$39:$C$50))&gt;=Setup!$C$15,MONTH(WORKDAY(G88,-(Setup!$C$13+Setup!$G$25),Setup!$C$39:$C$50))&lt;=Setup!$C$16))),WORKDAY(G88,-(Setup!$C$13+Setup!$G$25+Setup!$C$14),Setup!$C$39:$C$50),WORKDAY(G88,-(Setup!$C$13+Setup!$G$25),Setup!$C$39:$C$50))+(83*100+6)/10000000)))</f>
        <v/>
      </c>
      <c r="X88" t="str">
        <f>IF(H88="","",IF(H88&lt;Setup!$C$5-Setup!$C$6,"",IF(IF(ISNUMBER(Roster!$D88),Setup!$C$26&lt;=Roster!$D88,FALSE),"",IF(OR(IF(Setup!$C$15&lt;=Setup!$C$16,AND(MONTH(H88)&gt;=Setup!$C$15,MONTH(H88)&lt;=Setup!$C$16),OR(MONTH(H88)&gt;=Setup!$C$15,MONTH(H88)&lt;=Setup!$C$16)),IF(Setup!$C$15&lt;=Setup!$C$16,AND(MONTH(WORKDAY(H88,-(Setup!$C$13+Setup!$G$26),Setup!$C$39:$C$50))&gt;=Setup!$C$15,MONTH(WORKDAY(H88,-(Setup!$C$13+Setup!$G$26),Setup!$C$39:$C$50))&lt;=Setup!$C$16),OR(MONTH(WORKDAY(H88,-(Setup!$C$13+Setup!$G$26),Setup!$C$39:$C$50))&gt;=Setup!$C$15,MONTH(WORKDAY(H88,-(Setup!$C$13+Setup!$G$26),Setup!$C$39:$C$50))&lt;=Setup!$C$16))),WORKDAY(H88,-(Setup!$C$13+Setup!$G$26+Setup!$C$14),Setup!$C$39:$C$50),WORKDAY(H88,-(Setup!$C$13+Setup!$G$26),Setup!$C$39:$C$50))+(83*100+7)/10000000)))</f>
        <v/>
      </c>
      <c r="Y88" t="str">
        <f>IF(I88="","",IF(I88&lt;Setup!$C$5-Setup!$C$6,"",IF(IF(ISNUMBER(Roster!$D88),Setup!$C$27&lt;=Roster!$D88,FALSE),"",IF(OR(IF(Setup!$C$15&lt;=Setup!$C$16,AND(MONTH(I88)&gt;=Setup!$C$15,MONTH(I88)&lt;=Setup!$C$16),OR(MONTH(I88)&gt;=Setup!$C$15,MONTH(I88)&lt;=Setup!$C$16)),IF(Setup!$C$15&lt;=Setup!$C$16,AND(MONTH(WORKDAY(I88,-(Setup!$C$13+Setup!$G$27),Setup!$C$39:$C$50))&gt;=Setup!$C$15,MONTH(WORKDAY(I88,-(Setup!$C$13+Setup!$G$27),Setup!$C$39:$C$50))&lt;=Setup!$C$16),OR(MONTH(WORKDAY(I88,-(Setup!$C$13+Setup!$G$27),Setup!$C$39:$C$50))&gt;=Setup!$C$15,MONTH(WORKDAY(I88,-(Setup!$C$13+Setup!$G$27),Setup!$C$39:$C$50))&lt;=Setup!$C$16))),WORKDAY(I88,-(Setup!$C$13+Setup!$G$27+Setup!$C$14),Setup!$C$39:$C$50),WORKDAY(I88,-(Setup!$C$13+Setup!$G$27),Setup!$C$39:$C$50))+(83*100+8)/10000000)))</f>
        <v/>
      </c>
      <c r="Z88" t="str">
        <f>IF(J88="","",IF(J88&lt;Setup!$C$5-Setup!$C$6,"",IF(IF(ISNUMBER(Roster!$D88),Setup!$C$28&lt;=Roster!$D88,FALSE),"",IF(OR(IF(Setup!$C$15&lt;=Setup!$C$16,AND(MONTH(J88)&gt;=Setup!$C$15,MONTH(J88)&lt;=Setup!$C$16),OR(MONTH(J88)&gt;=Setup!$C$15,MONTH(J88)&lt;=Setup!$C$16)),IF(Setup!$C$15&lt;=Setup!$C$16,AND(MONTH(WORKDAY(J88,-(Setup!$C$13+Setup!$G$28),Setup!$C$39:$C$50))&gt;=Setup!$C$15,MONTH(WORKDAY(J88,-(Setup!$C$13+Setup!$G$28),Setup!$C$39:$C$50))&lt;=Setup!$C$16),OR(MONTH(WORKDAY(J88,-(Setup!$C$13+Setup!$G$28),Setup!$C$39:$C$50))&gt;=Setup!$C$15,MONTH(WORKDAY(J88,-(Setup!$C$13+Setup!$G$28),Setup!$C$39:$C$50))&lt;=Setup!$C$16))),WORKDAY(J88,-(Setup!$C$13+Setup!$G$28+Setup!$C$14),Setup!$C$39:$C$50),WORKDAY(J88,-(Setup!$C$13+Setup!$G$28),Setup!$C$39:$C$50))+(83*100+9)/10000000)))</f>
        <v/>
      </c>
      <c r="AA88" t="str">
        <f>IF(K88="","",IF(K88&lt;Setup!$C$5-Setup!$C$6,"",IF(IF(ISNUMBER(Roster!$D88),Setup!$C$29&lt;=Roster!$D88,FALSE),"",IF(OR(IF(Setup!$C$15&lt;=Setup!$C$16,AND(MONTH(K88)&gt;=Setup!$C$15,MONTH(K88)&lt;=Setup!$C$16),OR(MONTH(K88)&gt;=Setup!$C$15,MONTH(K88)&lt;=Setup!$C$16)),IF(Setup!$C$15&lt;=Setup!$C$16,AND(MONTH(WORKDAY(K88,-(Setup!$C$13+Setup!$G$29),Setup!$C$39:$C$50))&gt;=Setup!$C$15,MONTH(WORKDAY(K88,-(Setup!$C$13+Setup!$G$29),Setup!$C$39:$C$50))&lt;=Setup!$C$16),OR(MONTH(WORKDAY(K88,-(Setup!$C$13+Setup!$G$29),Setup!$C$39:$C$50))&gt;=Setup!$C$15,MONTH(WORKDAY(K88,-(Setup!$C$13+Setup!$G$29),Setup!$C$39:$C$50))&lt;=Setup!$C$16))),WORKDAY(K88,-(Setup!$C$13+Setup!$G$29+Setup!$C$14),Setup!$C$39:$C$50),WORKDAY(K88,-(Setup!$C$13+Setup!$G$29),Setup!$C$39:$C$50))+(83*100+10)/10000000)))</f>
        <v/>
      </c>
      <c r="AB88" t="str">
        <f>IF(L88="","",IF(L88&lt;Setup!$C$5-Setup!$C$6,"",IF(IF(ISNUMBER(Roster!$D88),Setup!$C$30&lt;=Roster!$D88,FALSE),"",IF(OR(IF(Setup!$C$15&lt;=Setup!$C$16,AND(MONTH(L88)&gt;=Setup!$C$15,MONTH(L88)&lt;=Setup!$C$16),OR(MONTH(L88)&gt;=Setup!$C$15,MONTH(L88)&lt;=Setup!$C$16)),IF(Setup!$C$15&lt;=Setup!$C$16,AND(MONTH(WORKDAY(L88,-(Setup!$C$13+Setup!$G$30),Setup!$C$39:$C$50))&gt;=Setup!$C$15,MONTH(WORKDAY(L88,-(Setup!$C$13+Setup!$G$30),Setup!$C$39:$C$50))&lt;=Setup!$C$16),OR(MONTH(WORKDAY(L88,-(Setup!$C$13+Setup!$G$30),Setup!$C$39:$C$50))&gt;=Setup!$C$15,MONTH(WORKDAY(L88,-(Setup!$C$13+Setup!$G$30),Setup!$C$39:$C$50))&lt;=Setup!$C$16))),WORKDAY(L88,-(Setup!$C$13+Setup!$G$30+Setup!$C$14),Setup!$C$39:$C$50),WORKDAY(L88,-(Setup!$C$13+Setup!$G$30),Setup!$C$39:$C$50))+(83*100+11)/10000000)))</f>
        <v/>
      </c>
      <c r="AC88" t="str">
        <f>IF(M88="","",IF(M88&lt;Setup!$C$5-Setup!$C$6,"",IF(IF(ISNUMBER(Roster!$D88),Setup!$C$31&lt;=Roster!$D88,FALSE),"",IF(OR(IF(Setup!$C$15&lt;=Setup!$C$16,AND(MONTH(M88)&gt;=Setup!$C$15,MONTH(M88)&lt;=Setup!$C$16),OR(MONTH(M88)&gt;=Setup!$C$15,MONTH(M88)&lt;=Setup!$C$16)),IF(Setup!$C$15&lt;=Setup!$C$16,AND(MONTH(WORKDAY(M88,-(Setup!$C$13+Setup!$G$31),Setup!$C$39:$C$50))&gt;=Setup!$C$15,MONTH(WORKDAY(M88,-(Setup!$C$13+Setup!$G$31),Setup!$C$39:$C$50))&lt;=Setup!$C$16),OR(MONTH(WORKDAY(M88,-(Setup!$C$13+Setup!$G$31),Setup!$C$39:$C$50))&gt;=Setup!$C$15,MONTH(WORKDAY(M88,-(Setup!$C$13+Setup!$G$31),Setup!$C$39:$C$50))&lt;=Setup!$C$16))),WORKDAY(M88,-(Setup!$C$13+Setup!$G$31+Setup!$C$14),Setup!$C$39:$C$50),WORKDAY(M88,-(Setup!$C$13+Setup!$G$31),Setup!$C$39:$C$50))+(83*100+12)/10000000)))</f>
        <v/>
      </c>
      <c r="AD88" t="str">
        <f>IF(N88="","",IF(N88&lt;Setup!$C$5-Setup!$C$6,"",IF(IF(ISNUMBER(Roster!$D88),Setup!$C$32&lt;=Roster!$D88,FALSE),"",IF(OR(IF(Setup!$C$15&lt;=Setup!$C$16,AND(MONTH(N88)&gt;=Setup!$C$15,MONTH(N88)&lt;=Setup!$C$16),OR(MONTH(N88)&gt;=Setup!$C$15,MONTH(N88)&lt;=Setup!$C$16)),IF(Setup!$C$15&lt;=Setup!$C$16,AND(MONTH(WORKDAY(N88,-(Setup!$C$13+Setup!$G$32),Setup!$C$39:$C$50))&gt;=Setup!$C$15,MONTH(WORKDAY(N88,-(Setup!$C$13+Setup!$G$32),Setup!$C$39:$C$50))&lt;=Setup!$C$16),OR(MONTH(WORKDAY(N88,-(Setup!$C$13+Setup!$G$32),Setup!$C$39:$C$50))&gt;=Setup!$C$15,MONTH(WORKDAY(N88,-(Setup!$C$13+Setup!$G$32),Setup!$C$39:$C$50))&lt;=Setup!$C$16))),WORKDAY(N88,-(Setup!$C$13+Setup!$G$32+Setup!$C$14),Setup!$C$39:$C$50),WORKDAY(N88,-(Setup!$C$13+Setup!$G$32),Setup!$C$39:$C$50))+(83*100+13)/10000000)))</f>
        <v/>
      </c>
      <c r="AE88" t="str">
        <f>IF(O88="","",IF(O88&lt;Setup!$C$5-Setup!$C$6,"",IF(IF(ISNUMBER(Roster!$D88),Setup!$C$33&lt;=Roster!$D88,FALSE),"",IF(OR(IF(Setup!$C$15&lt;=Setup!$C$16,AND(MONTH(O88)&gt;=Setup!$C$15,MONTH(O88)&lt;=Setup!$C$16),OR(MONTH(O88)&gt;=Setup!$C$15,MONTH(O88)&lt;=Setup!$C$16)),IF(Setup!$C$15&lt;=Setup!$C$16,AND(MONTH(WORKDAY(O88,-(Setup!$C$13+Setup!$G$33),Setup!$C$39:$C$50))&gt;=Setup!$C$15,MONTH(WORKDAY(O88,-(Setup!$C$13+Setup!$G$33),Setup!$C$39:$C$50))&lt;=Setup!$C$16),OR(MONTH(WORKDAY(O88,-(Setup!$C$13+Setup!$G$33),Setup!$C$39:$C$50))&gt;=Setup!$C$15,MONTH(WORKDAY(O88,-(Setup!$C$13+Setup!$G$33),Setup!$C$39:$C$50))&lt;=Setup!$C$16))),WORKDAY(O88,-(Setup!$C$13+Setup!$G$33+Setup!$C$14),Setup!$C$39:$C$50),WORKDAY(O88,-(Setup!$C$13+Setup!$G$33),Setup!$C$39:$C$50))+(83*100+14)/10000000)))</f>
        <v/>
      </c>
      <c r="AF88" t="str">
        <f>IF(P88="","",IF(P88&lt;Setup!$C$5-Setup!$C$6,"",IF(IF(ISNUMBER(Roster!$D88),Setup!$C$34&lt;=Roster!$D88,FALSE),"",IF(OR(IF(Setup!$C$15&lt;=Setup!$C$16,AND(MONTH(P88)&gt;=Setup!$C$15,MONTH(P88)&lt;=Setup!$C$16),OR(MONTH(P88)&gt;=Setup!$C$15,MONTH(P88)&lt;=Setup!$C$16)),IF(Setup!$C$15&lt;=Setup!$C$16,AND(MONTH(WORKDAY(P88,-(Setup!$C$13+Setup!$G$34),Setup!$C$39:$C$50))&gt;=Setup!$C$15,MONTH(WORKDAY(P88,-(Setup!$C$13+Setup!$G$34),Setup!$C$39:$C$50))&lt;=Setup!$C$16),OR(MONTH(WORKDAY(P88,-(Setup!$C$13+Setup!$G$34),Setup!$C$39:$C$50))&gt;=Setup!$C$15,MONTH(WORKDAY(P88,-(Setup!$C$13+Setup!$G$34),Setup!$C$39:$C$50))&lt;=Setup!$C$16))),WORKDAY(P88,-(Setup!$C$13+Setup!$G$34+Setup!$C$14),Setup!$C$39:$C$50),WORKDAY(P88,-(Setup!$C$13+Setup!$G$34),Setup!$C$39:$C$50))+(83*100+15)/10000000)))</f>
        <v/>
      </c>
      <c r="AH88" t="str">
        <f t="shared" si="9"/>
        <v/>
      </c>
      <c r="AI88" t="str">
        <f t="shared" si="10"/>
        <v/>
      </c>
      <c r="AK88" t="str">
        <f ca="1">IF(83&gt;$AK$2,"",SMALL($R$6:$AF$505,83))</f>
        <v/>
      </c>
      <c r="AL88" t="str">
        <f t="shared" ca="1" si="11"/>
        <v/>
      </c>
      <c r="AM88" t="str">
        <f t="shared" ca="1" si="12"/>
        <v/>
      </c>
      <c r="AN88" t="str">
        <f t="shared" ca="1" si="13"/>
        <v/>
      </c>
      <c r="AP88" t="str">
        <f>IF(ISNUMBER(Roster!$B88),MAX(1,YEAR(Setup!$C$5)-YEAR(Roster!$B88)+IF(EDATE(Roster!$B88,12*(YEAR(Setup!$C$5)-YEAR(Roster!$B88)))&lt;Setup!$C$5,1,0)),"")</f>
        <v/>
      </c>
      <c r="AQ88" s="32" t="str">
        <f>IF(AP88="","",EDATE(Roster!$B88,12*AP88))</f>
        <v/>
      </c>
      <c r="AR88" t="str">
        <f>IF(AQ88="","",IF(AQ88&lt;DATE(YEAR(Setup!$C$5)+1,MONTH(Setup!$C$5),DAY(Setup!$C$5)),AQ88+83/1000,""))</f>
        <v/>
      </c>
      <c r="AS88" t="str">
        <f t="shared" si="14"/>
        <v/>
      </c>
      <c r="AT88" t="str">
        <f>IF(AS88="","",IF(ISNUMBER(Roster!$D88),Roster!$D88&gt;=AP88,FALSE))</f>
        <v/>
      </c>
      <c r="AU88" t="str">
        <f t="shared" si="15"/>
        <v/>
      </c>
      <c r="AV88" t="str">
        <f ca="1">IF(83&gt;$AV$2,"",SMALL($AR$6:$AR$505,83))</f>
        <v/>
      </c>
      <c r="AW88" t="str">
        <f t="shared" ca="1" si="16"/>
        <v/>
      </c>
    </row>
    <row r="89" spans="2:49" x14ac:dyDescent="0.2">
      <c r="B89" s="32" t="str">
        <f>IF(AND(ISNUMBER(Roster!$B89),Setup!$B$20="Yes",ISNUMBER(Setup!$C$20)),EDATE(Roster!$B89,12*Setup!$C$20),"")</f>
        <v/>
      </c>
      <c r="C89" s="32" t="str">
        <f>IF(AND(ISNUMBER(Roster!$B89),Setup!$B$21="Yes",ISNUMBER(Setup!$C$21)),EDATE(Roster!$B89,12*Setup!$C$21),"")</f>
        <v/>
      </c>
      <c r="D89" s="32" t="str">
        <f>IF(AND(ISNUMBER(Roster!$B89),Setup!$B$22="Yes",ISNUMBER(Setup!$C$22)),EDATE(Roster!$B89,12*Setup!$C$22),"")</f>
        <v/>
      </c>
      <c r="E89" s="32" t="str">
        <f>IF(AND(ISNUMBER(Roster!$B89),Setup!$B$23="Yes",ISNUMBER(Setup!$C$23)),EDATE(Roster!$B89,12*Setup!$C$23),"")</f>
        <v/>
      </c>
      <c r="F89" s="32" t="str">
        <f>IF(AND(ISNUMBER(Roster!$B89),Setup!$B$24="Yes",ISNUMBER(Setup!$C$24)),EDATE(Roster!$B89,12*Setup!$C$24),"")</f>
        <v/>
      </c>
      <c r="G89" s="32" t="str">
        <f>IF(AND(ISNUMBER(Roster!$B89),Setup!$B$25="Yes",ISNUMBER(Setup!$C$25)),EDATE(Roster!$B89,12*Setup!$C$25),"")</f>
        <v/>
      </c>
      <c r="H89" s="32" t="str">
        <f>IF(AND(ISNUMBER(Roster!$B89),Setup!$B$26="Yes",ISNUMBER(Setup!$C$26)),EDATE(Roster!$B89,12*Setup!$C$26),"")</f>
        <v/>
      </c>
      <c r="I89" s="32" t="str">
        <f>IF(AND(ISNUMBER(Roster!$B89),Setup!$B$27="Yes",ISNUMBER(Setup!$C$27)),EDATE(Roster!$B89,12*Setup!$C$27),"")</f>
        <v/>
      </c>
      <c r="J89" s="32" t="str">
        <f>IF(AND(ISNUMBER(Roster!$B89),Setup!$B$28="Yes",ISNUMBER(Setup!$C$28)),EDATE(Roster!$B89,12*Setup!$C$28),"")</f>
        <v/>
      </c>
      <c r="K89" s="32" t="str">
        <f>IF(AND(ISNUMBER(Roster!$B89),Setup!$B$29="Yes",ISNUMBER(Setup!$C$29)),EDATE(Roster!$B89,12*Setup!$C$29),"")</f>
        <v/>
      </c>
      <c r="L89" s="32" t="str">
        <f>IF(AND(ISNUMBER(Roster!$B89),Setup!$B$30="Yes",ISNUMBER(Setup!$C$30)),EDATE(Roster!$B89,12*Setup!$C$30),"")</f>
        <v/>
      </c>
      <c r="M89" s="32" t="str">
        <f>IF(AND(ISNUMBER(Roster!$B89),Setup!$B$31="Yes",ISNUMBER(Setup!$C$31)),EDATE(Roster!$B89,12*Setup!$C$31),"")</f>
        <v/>
      </c>
      <c r="N89" s="32" t="str">
        <f>IF(AND(ISNUMBER(Roster!$B89),Setup!$B$32="Yes",ISNUMBER(Setup!$C$32)),EDATE(Roster!$B89,12*Setup!$C$32),"")</f>
        <v/>
      </c>
      <c r="O89" s="32" t="str">
        <f>IF(AND(ISNUMBER(Roster!$B89),Setup!$B$33="Yes",ISNUMBER(Setup!$C$33)),EDATE(Roster!$B89,12*Setup!$C$33),"")</f>
        <v/>
      </c>
      <c r="P89" s="32" t="str">
        <f>IF(AND(ISNUMBER(Roster!$B89),Setup!$B$34="Yes",ISNUMBER(Setup!$C$34)),EDATE(Roster!$B89,12*Setup!$C$34),"")</f>
        <v/>
      </c>
      <c r="R89" t="str">
        <f>IF(B89="","",IF(B89&lt;Setup!$C$5-Setup!$C$6,"",IF(IF(ISNUMBER(Roster!$D89),Setup!$C$20&lt;=Roster!$D89,FALSE),"",IF(OR(IF(Setup!$C$15&lt;=Setup!$C$16,AND(MONTH(B89)&gt;=Setup!$C$15,MONTH(B89)&lt;=Setup!$C$16),OR(MONTH(B89)&gt;=Setup!$C$15,MONTH(B89)&lt;=Setup!$C$16)),IF(Setup!$C$15&lt;=Setup!$C$16,AND(MONTH(WORKDAY(B89,-(Setup!$C$13+Setup!$G$20),Setup!$C$39:$C$50))&gt;=Setup!$C$15,MONTH(WORKDAY(B89,-(Setup!$C$13+Setup!$G$20),Setup!$C$39:$C$50))&lt;=Setup!$C$16),OR(MONTH(WORKDAY(B89,-(Setup!$C$13+Setup!$G$20),Setup!$C$39:$C$50))&gt;=Setup!$C$15,MONTH(WORKDAY(B89,-(Setup!$C$13+Setup!$G$20),Setup!$C$39:$C$50))&lt;=Setup!$C$16))),WORKDAY(B89,-(Setup!$C$13+Setup!$G$20+Setup!$C$14),Setup!$C$39:$C$50),WORKDAY(B89,-(Setup!$C$13+Setup!$G$20),Setup!$C$39:$C$50))+(84*100+1)/10000000)))</f>
        <v/>
      </c>
      <c r="S89" t="str">
        <f>IF(C89="","",IF(C89&lt;Setup!$C$5-Setup!$C$6,"",IF(IF(ISNUMBER(Roster!$D89),Setup!$C$21&lt;=Roster!$D89,FALSE),"",IF(OR(IF(Setup!$C$15&lt;=Setup!$C$16,AND(MONTH(C89)&gt;=Setup!$C$15,MONTH(C89)&lt;=Setup!$C$16),OR(MONTH(C89)&gt;=Setup!$C$15,MONTH(C89)&lt;=Setup!$C$16)),IF(Setup!$C$15&lt;=Setup!$C$16,AND(MONTH(WORKDAY(C89,-(Setup!$C$13+Setup!$G$21),Setup!$C$39:$C$50))&gt;=Setup!$C$15,MONTH(WORKDAY(C89,-(Setup!$C$13+Setup!$G$21),Setup!$C$39:$C$50))&lt;=Setup!$C$16),OR(MONTH(WORKDAY(C89,-(Setup!$C$13+Setup!$G$21),Setup!$C$39:$C$50))&gt;=Setup!$C$15,MONTH(WORKDAY(C89,-(Setup!$C$13+Setup!$G$21),Setup!$C$39:$C$50))&lt;=Setup!$C$16))),WORKDAY(C89,-(Setup!$C$13+Setup!$G$21+Setup!$C$14),Setup!$C$39:$C$50),WORKDAY(C89,-(Setup!$C$13+Setup!$G$21),Setup!$C$39:$C$50))+(84*100+2)/10000000)))</f>
        <v/>
      </c>
      <c r="T89" t="str">
        <f>IF(D89="","",IF(D89&lt;Setup!$C$5-Setup!$C$6,"",IF(IF(ISNUMBER(Roster!$D89),Setup!$C$22&lt;=Roster!$D89,FALSE),"",IF(OR(IF(Setup!$C$15&lt;=Setup!$C$16,AND(MONTH(D89)&gt;=Setup!$C$15,MONTH(D89)&lt;=Setup!$C$16),OR(MONTH(D89)&gt;=Setup!$C$15,MONTH(D89)&lt;=Setup!$C$16)),IF(Setup!$C$15&lt;=Setup!$C$16,AND(MONTH(WORKDAY(D89,-(Setup!$C$13+Setup!$G$22),Setup!$C$39:$C$50))&gt;=Setup!$C$15,MONTH(WORKDAY(D89,-(Setup!$C$13+Setup!$G$22),Setup!$C$39:$C$50))&lt;=Setup!$C$16),OR(MONTH(WORKDAY(D89,-(Setup!$C$13+Setup!$G$22),Setup!$C$39:$C$50))&gt;=Setup!$C$15,MONTH(WORKDAY(D89,-(Setup!$C$13+Setup!$G$22),Setup!$C$39:$C$50))&lt;=Setup!$C$16))),WORKDAY(D89,-(Setup!$C$13+Setup!$G$22+Setup!$C$14),Setup!$C$39:$C$50),WORKDAY(D89,-(Setup!$C$13+Setup!$G$22),Setup!$C$39:$C$50))+(84*100+3)/10000000)))</f>
        <v/>
      </c>
      <c r="U89" t="str">
        <f>IF(E89="","",IF(E89&lt;Setup!$C$5-Setup!$C$6,"",IF(IF(ISNUMBER(Roster!$D89),Setup!$C$23&lt;=Roster!$D89,FALSE),"",IF(OR(IF(Setup!$C$15&lt;=Setup!$C$16,AND(MONTH(E89)&gt;=Setup!$C$15,MONTH(E89)&lt;=Setup!$C$16),OR(MONTH(E89)&gt;=Setup!$C$15,MONTH(E89)&lt;=Setup!$C$16)),IF(Setup!$C$15&lt;=Setup!$C$16,AND(MONTH(WORKDAY(E89,-(Setup!$C$13+Setup!$G$23),Setup!$C$39:$C$50))&gt;=Setup!$C$15,MONTH(WORKDAY(E89,-(Setup!$C$13+Setup!$G$23),Setup!$C$39:$C$50))&lt;=Setup!$C$16),OR(MONTH(WORKDAY(E89,-(Setup!$C$13+Setup!$G$23),Setup!$C$39:$C$50))&gt;=Setup!$C$15,MONTH(WORKDAY(E89,-(Setup!$C$13+Setup!$G$23),Setup!$C$39:$C$50))&lt;=Setup!$C$16))),WORKDAY(E89,-(Setup!$C$13+Setup!$G$23+Setup!$C$14),Setup!$C$39:$C$50),WORKDAY(E89,-(Setup!$C$13+Setup!$G$23),Setup!$C$39:$C$50))+(84*100+4)/10000000)))</f>
        <v/>
      </c>
      <c r="V89" t="str">
        <f>IF(F89="","",IF(F89&lt;Setup!$C$5-Setup!$C$6,"",IF(IF(ISNUMBER(Roster!$D89),Setup!$C$24&lt;=Roster!$D89,FALSE),"",IF(OR(IF(Setup!$C$15&lt;=Setup!$C$16,AND(MONTH(F89)&gt;=Setup!$C$15,MONTH(F89)&lt;=Setup!$C$16),OR(MONTH(F89)&gt;=Setup!$C$15,MONTH(F89)&lt;=Setup!$C$16)),IF(Setup!$C$15&lt;=Setup!$C$16,AND(MONTH(WORKDAY(F89,-(Setup!$C$13+Setup!$G$24),Setup!$C$39:$C$50))&gt;=Setup!$C$15,MONTH(WORKDAY(F89,-(Setup!$C$13+Setup!$G$24),Setup!$C$39:$C$50))&lt;=Setup!$C$16),OR(MONTH(WORKDAY(F89,-(Setup!$C$13+Setup!$G$24),Setup!$C$39:$C$50))&gt;=Setup!$C$15,MONTH(WORKDAY(F89,-(Setup!$C$13+Setup!$G$24),Setup!$C$39:$C$50))&lt;=Setup!$C$16))),WORKDAY(F89,-(Setup!$C$13+Setup!$G$24+Setup!$C$14),Setup!$C$39:$C$50),WORKDAY(F89,-(Setup!$C$13+Setup!$G$24),Setup!$C$39:$C$50))+(84*100+5)/10000000)))</f>
        <v/>
      </c>
      <c r="W89" t="str">
        <f>IF(G89="","",IF(G89&lt;Setup!$C$5-Setup!$C$6,"",IF(IF(ISNUMBER(Roster!$D89),Setup!$C$25&lt;=Roster!$D89,FALSE),"",IF(OR(IF(Setup!$C$15&lt;=Setup!$C$16,AND(MONTH(G89)&gt;=Setup!$C$15,MONTH(G89)&lt;=Setup!$C$16),OR(MONTH(G89)&gt;=Setup!$C$15,MONTH(G89)&lt;=Setup!$C$16)),IF(Setup!$C$15&lt;=Setup!$C$16,AND(MONTH(WORKDAY(G89,-(Setup!$C$13+Setup!$G$25),Setup!$C$39:$C$50))&gt;=Setup!$C$15,MONTH(WORKDAY(G89,-(Setup!$C$13+Setup!$G$25),Setup!$C$39:$C$50))&lt;=Setup!$C$16),OR(MONTH(WORKDAY(G89,-(Setup!$C$13+Setup!$G$25),Setup!$C$39:$C$50))&gt;=Setup!$C$15,MONTH(WORKDAY(G89,-(Setup!$C$13+Setup!$G$25),Setup!$C$39:$C$50))&lt;=Setup!$C$16))),WORKDAY(G89,-(Setup!$C$13+Setup!$G$25+Setup!$C$14),Setup!$C$39:$C$50),WORKDAY(G89,-(Setup!$C$13+Setup!$G$25),Setup!$C$39:$C$50))+(84*100+6)/10000000)))</f>
        <v/>
      </c>
      <c r="X89" t="str">
        <f>IF(H89="","",IF(H89&lt;Setup!$C$5-Setup!$C$6,"",IF(IF(ISNUMBER(Roster!$D89),Setup!$C$26&lt;=Roster!$D89,FALSE),"",IF(OR(IF(Setup!$C$15&lt;=Setup!$C$16,AND(MONTH(H89)&gt;=Setup!$C$15,MONTH(H89)&lt;=Setup!$C$16),OR(MONTH(H89)&gt;=Setup!$C$15,MONTH(H89)&lt;=Setup!$C$16)),IF(Setup!$C$15&lt;=Setup!$C$16,AND(MONTH(WORKDAY(H89,-(Setup!$C$13+Setup!$G$26),Setup!$C$39:$C$50))&gt;=Setup!$C$15,MONTH(WORKDAY(H89,-(Setup!$C$13+Setup!$G$26),Setup!$C$39:$C$50))&lt;=Setup!$C$16),OR(MONTH(WORKDAY(H89,-(Setup!$C$13+Setup!$G$26),Setup!$C$39:$C$50))&gt;=Setup!$C$15,MONTH(WORKDAY(H89,-(Setup!$C$13+Setup!$G$26),Setup!$C$39:$C$50))&lt;=Setup!$C$16))),WORKDAY(H89,-(Setup!$C$13+Setup!$G$26+Setup!$C$14),Setup!$C$39:$C$50),WORKDAY(H89,-(Setup!$C$13+Setup!$G$26),Setup!$C$39:$C$50))+(84*100+7)/10000000)))</f>
        <v/>
      </c>
      <c r="Y89" t="str">
        <f>IF(I89="","",IF(I89&lt;Setup!$C$5-Setup!$C$6,"",IF(IF(ISNUMBER(Roster!$D89),Setup!$C$27&lt;=Roster!$D89,FALSE),"",IF(OR(IF(Setup!$C$15&lt;=Setup!$C$16,AND(MONTH(I89)&gt;=Setup!$C$15,MONTH(I89)&lt;=Setup!$C$16),OR(MONTH(I89)&gt;=Setup!$C$15,MONTH(I89)&lt;=Setup!$C$16)),IF(Setup!$C$15&lt;=Setup!$C$16,AND(MONTH(WORKDAY(I89,-(Setup!$C$13+Setup!$G$27),Setup!$C$39:$C$50))&gt;=Setup!$C$15,MONTH(WORKDAY(I89,-(Setup!$C$13+Setup!$G$27),Setup!$C$39:$C$50))&lt;=Setup!$C$16),OR(MONTH(WORKDAY(I89,-(Setup!$C$13+Setup!$G$27),Setup!$C$39:$C$50))&gt;=Setup!$C$15,MONTH(WORKDAY(I89,-(Setup!$C$13+Setup!$G$27),Setup!$C$39:$C$50))&lt;=Setup!$C$16))),WORKDAY(I89,-(Setup!$C$13+Setup!$G$27+Setup!$C$14),Setup!$C$39:$C$50),WORKDAY(I89,-(Setup!$C$13+Setup!$G$27),Setup!$C$39:$C$50))+(84*100+8)/10000000)))</f>
        <v/>
      </c>
      <c r="Z89" t="str">
        <f>IF(J89="","",IF(J89&lt;Setup!$C$5-Setup!$C$6,"",IF(IF(ISNUMBER(Roster!$D89),Setup!$C$28&lt;=Roster!$D89,FALSE),"",IF(OR(IF(Setup!$C$15&lt;=Setup!$C$16,AND(MONTH(J89)&gt;=Setup!$C$15,MONTH(J89)&lt;=Setup!$C$16),OR(MONTH(J89)&gt;=Setup!$C$15,MONTH(J89)&lt;=Setup!$C$16)),IF(Setup!$C$15&lt;=Setup!$C$16,AND(MONTH(WORKDAY(J89,-(Setup!$C$13+Setup!$G$28),Setup!$C$39:$C$50))&gt;=Setup!$C$15,MONTH(WORKDAY(J89,-(Setup!$C$13+Setup!$G$28),Setup!$C$39:$C$50))&lt;=Setup!$C$16),OR(MONTH(WORKDAY(J89,-(Setup!$C$13+Setup!$G$28),Setup!$C$39:$C$50))&gt;=Setup!$C$15,MONTH(WORKDAY(J89,-(Setup!$C$13+Setup!$G$28),Setup!$C$39:$C$50))&lt;=Setup!$C$16))),WORKDAY(J89,-(Setup!$C$13+Setup!$G$28+Setup!$C$14),Setup!$C$39:$C$50),WORKDAY(J89,-(Setup!$C$13+Setup!$G$28),Setup!$C$39:$C$50))+(84*100+9)/10000000)))</f>
        <v/>
      </c>
      <c r="AA89" t="str">
        <f>IF(K89="","",IF(K89&lt;Setup!$C$5-Setup!$C$6,"",IF(IF(ISNUMBER(Roster!$D89),Setup!$C$29&lt;=Roster!$D89,FALSE),"",IF(OR(IF(Setup!$C$15&lt;=Setup!$C$16,AND(MONTH(K89)&gt;=Setup!$C$15,MONTH(K89)&lt;=Setup!$C$16),OR(MONTH(K89)&gt;=Setup!$C$15,MONTH(K89)&lt;=Setup!$C$16)),IF(Setup!$C$15&lt;=Setup!$C$16,AND(MONTH(WORKDAY(K89,-(Setup!$C$13+Setup!$G$29),Setup!$C$39:$C$50))&gt;=Setup!$C$15,MONTH(WORKDAY(K89,-(Setup!$C$13+Setup!$G$29),Setup!$C$39:$C$50))&lt;=Setup!$C$16),OR(MONTH(WORKDAY(K89,-(Setup!$C$13+Setup!$G$29),Setup!$C$39:$C$50))&gt;=Setup!$C$15,MONTH(WORKDAY(K89,-(Setup!$C$13+Setup!$G$29),Setup!$C$39:$C$50))&lt;=Setup!$C$16))),WORKDAY(K89,-(Setup!$C$13+Setup!$G$29+Setup!$C$14),Setup!$C$39:$C$50),WORKDAY(K89,-(Setup!$C$13+Setup!$G$29),Setup!$C$39:$C$50))+(84*100+10)/10000000)))</f>
        <v/>
      </c>
      <c r="AB89" t="str">
        <f>IF(L89="","",IF(L89&lt;Setup!$C$5-Setup!$C$6,"",IF(IF(ISNUMBER(Roster!$D89),Setup!$C$30&lt;=Roster!$D89,FALSE),"",IF(OR(IF(Setup!$C$15&lt;=Setup!$C$16,AND(MONTH(L89)&gt;=Setup!$C$15,MONTH(L89)&lt;=Setup!$C$16),OR(MONTH(L89)&gt;=Setup!$C$15,MONTH(L89)&lt;=Setup!$C$16)),IF(Setup!$C$15&lt;=Setup!$C$16,AND(MONTH(WORKDAY(L89,-(Setup!$C$13+Setup!$G$30),Setup!$C$39:$C$50))&gt;=Setup!$C$15,MONTH(WORKDAY(L89,-(Setup!$C$13+Setup!$G$30),Setup!$C$39:$C$50))&lt;=Setup!$C$16),OR(MONTH(WORKDAY(L89,-(Setup!$C$13+Setup!$G$30),Setup!$C$39:$C$50))&gt;=Setup!$C$15,MONTH(WORKDAY(L89,-(Setup!$C$13+Setup!$G$30),Setup!$C$39:$C$50))&lt;=Setup!$C$16))),WORKDAY(L89,-(Setup!$C$13+Setup!$G$30+Setup!$C$14),Setup!$C$39:$C$50),WORKDAY(L89,-(Setup!$C$13+Setup!$G$30),Setup!$C$39:$C$50))+(84*100+11)/10000000)))</f>
        <v/>
      </c>
      <c r="AC89" t="str">
        <f>IF(M89="","",IF(M89&lt;Setup!$C$5-Setup!$C$6,"",IF(IF(ISNUMBER(Roster!$D89),Setup!$C$31&lt;=Roster!$D89,FALSE),"",IF(OR(IF(Setup!$C$15&lt;=Setup!$C$16,AND(MONTH(M89)&gt;=Setup!$C$15,MONTH(M89)&lt;=Setup!$C$16),OR(MONTH(M89)&gt;=Setup!$C$15,MONTH(M89)&lt;=Setup!$C$16)),IF(Setup!$C$15&lt;=Setup!$C$16,AND(MONTH(WORKDAY(M89,-(Setup!$C$13+Setup!$G$31),Setup!$C$39:$C$50))&gt;=Setup!$C$15,MONTH(WORKDAY(M89,-(Setup!$C$13+Setup!$G$31),Setup!$C$39:$C$50))&lt;=Setup!$C$16),OR(MONTH(WORKDAY(M89,-(Setup!$C$13+Setup!$G$31),Setup!$C$39:$C$50))&gt;=Setup!$C$15,MONTH(WORKDAY(M89,-(Setup!$C$13+Setup!$G$31),Setup!$C$39:$C$50))&lt;=Setup!$C$16))),WORKDAY(M89,-(Setup!$C$13+Setup!$G$31+Setup!$C$14),Setup!$C$39:$C$50),WORKDAY(M89,-(Setup!$C$13+Setup!$G$31),Setup!$C$39:$C$50))+(84*100+12)/10000000)))</f>
        <v/>
      </c>
      <c r="AD89" t="str">
        <f>IF(N89="","",IF(N89&lt;Setup!$C$5-Setup!$C$6,"",IF(IF(ISNUMBER(Roster!$D89),Setup!$C$32&lt;=Roster!$D89,FALSE),"",IF(OR(IF(Setup!$C$15&lt;=Setup!$C$16,AND(MONTH(N89)&gt;=Setup!$C$15,MONTH(N89)&lt;=Setup!$C$16),OR(MONTH(N89)&gt;=Setup!$C$15,MONTH(N89)&lt;=Setup!$C$16)),IF(Setup!$C$15&lt;=Setup!$C$16,AND(MONTH(WORKDAY(N89,-(Setup!$C$13+Setup!$G$32),Setup!$C$39:$C$50))&gt;=Setup!$C$15,MONTH(WORKDAY(N89,-(Setup!$C$13+Setup!$G$32),Setup!$C$39:$C$50))&lt;=Setup!$C$16),OR(MONTH(WORKDAY(N89,-(Setup!$C$13+Setup!$G$32),Setup!$C$39:$C$50))&gt;=Setup!$C$15,MONTH(WORKDAY(N89,-(Setup!$C$13+Setup!$G$32),Setup!$C$39:$C$50))&lt;=Setup!$C$16))),WORKDAY(N89,-(Setup!$C$13+Setup!$G$32+Setup!$C$14),Setup!$C$39:$C$50),WORKDAY(N89,-(Setup!$C$13+Setup!$G$32),Setup!$C$39:$C$50))+(84*100+13)/10000000)))</f>
        <v/>
      </c>
      <c r="AE89" t="str">
        <f>IF(O89="","",IF(O89&lt;Setup!$C$5-Setup!$C$6,"",IF(IF(ISNUMBER(Roster!$D89),Setup!$C$33&lt;=Roster!$D89,FALSE),"",IF(OR(IF(Setup!$C$15&lt;=Setup!$C$16,AND(MONTH(O89)&gt;=Setup!$C$15,MONTH(O89)&lt;=Setup!$C$16),OR(MONTH(O89)&gt;=Setup!$C$15,MONTH(O89)&lt;=Setup!$C$16)),IF(Setup!$C$15&lt;=Setup!$C$16,AND(MONTH(WORKDAY(O89,-(Setup!$C$13+Setup!$G$33),Setup!$C$39:$C$50))&gt;=Setup!$C$15,MONTH(WORKDAY(O89,-(Setup!$C$13+Setup!$G$33),Setup!$C$39:$C$50))&lt;=Setup!$C$16),OR(MONTH(WORKDAY(O89,-(Setup!$C$13+Setup!$G$33),Setup!$C$39:$C$50))&gt;=Setup!$C$15,MONTH(WORKDAY(O89,-(Setup!$C$13+Setup!$G$33),Setup!$C$39:$C$50))&lt;=Setup!$C$16))),WORKDAY(O89,-(Setup!$C$13+Setup!$G$33+Setup!$C$14),Setup!$C$39:$C$50),WORKDAY(O89,-(Setup!$C$13+Setup!$G$33),Setup!$C$39:$C$50))+(84*100+14)/10000000)))</f>
        <v/>
      </c>
      <c r="AF89" t="str">
        <f>IF(P89="","",IF(P89&lt;Setup!$C$5-Setup!$C$6,"",IF(IF(ISNUMBER(Roster!$D89),Setup!$C$34&lt;=Roster!$D89,FALSE),"",IF(OR(IF(Setup!$C$15&lt;=Setup!$C$16,AND(MONTH(P89)&gt;=Setup!$C$15,MONTH(P89)&lt;=Setup!$C$16),OR(MONTH(P89)&gt;=Setup!$C$15,MONTH(P89)&lt;=Setup!$C$16)),IF(Setup!$C$15&lt;=Setup!$C$16,AND(MONTH(WORKDAY(P89,-(Setup!$C$13+Setup!$G$34),Setup!$C$39:$C$50))&gt;=Setup!$C$15,MONTH(WORKDAY(P89,-(Setup!$C$13+Setup!$G$34),Setup!$C$39:$C$50))&lt;=Setup!$C$16),OR(MONTH(WORKDAY(P89,-(Setup!$C$13+Setup!$G$34),Setup!$C$39:$C$50))&gt;=Setup!$C$15,MONTH(WORKDAY(P89,-(Setup!$C$13+Setup!$G$34),Setup!$C$39:$C$50))&lt;=Setup!$C$16))),WORKDAY(P89,-(Setup!$C$13+Setup!$G$34+Setup!$C$14),Setup!$C$39:$C$50),WORKDAY(P89,-(Setup!$C$13+Setup!$G$34),Setup!$C$39:$C$50))+(84*100+15)/10000000)))</f>
        <v/>
      </c>
      <c r="AH89" t="str">
        <f t="shared" si="9"/>
        <v/>
      </c>
      <c r="AI89" t="str">
        <f t="shared" si="10"/>
        <v/>
      </c>
      <c r="AK89" t="str">
        <f ca="1">IF(84&gt;$AK$2,"",SMALL($R$6:$AF$505,84))</f>
        <v/>
      </c>
      <c r="AL89" t="str">
        <f t="shared" ca="1" si="11"/>
        <v/>
      </c>
      <c r="AM89" t="str">
        <f t="shared" ca="1" si="12"/>
        <v/>
      </c>
      <c r="AN89" t="str">
        <f t="shared" ca="1" si="13"/>
        <v/>
      </c>
      <c r="AP89" t="str">
        <f>IF(ISNUMBER(Roster!$B89),MAX(1,YEAR(Setup!$C$5)-YEAR(Roster!$B89)+IF(EDATE(Roster!$B89,12*(YEAR(Setup!$C$5)-YEAR(Roster!$B89)))&lt;Setup!$C$5,1,0)),"")</f>
        <v/>
      </c>
      <c r="AQ89" s="32" t="str">
        <f>IF(AP89="","",EDATE(Roster!$B89,12*AP89))</f>
        <v/>
      </c>
      <c r="AR89" t="str">
        <f>IF(AQ89="","",IF(AQ89&lt;DATE(YEAR(Setup!$C$5)+1,MONTH(Setup!$C$5),DAY(Setup!$C$5)),AQ89+84/1000,""))</f>
        <v/>
      </c>
      <c r="AS89" t="str">
        <f t="shared" si="14"/>
        <v/>
      </c>
      <c r="AT89" t="str">
        <f>IF(AS89="","",IF(ISNUMBER(Roster!$D89),Roster!$D89&gt;=AP89,FALSE))</f>
        <v/>
      </c>
      <c r="AU89" t="str">
        <f t="shared" si="15"/>
        <v/>
      </c>
      <c r="AV89" t="str">
        <f ca="1">IF(84&gt;$AV$2,"",SMALL($AR$6:$AR$505,84))</f>
        <v/>
      </c>
      <c r="AW89" t="str">
        <f t="shared" ca="1" si="16"/>
        <v/>
      </c>
    </row>
    <row r="90" spans="2:49" x14ac:dyDescent="0.2">
      <c r="B90" s="32" t="str">
        <f>IF(AND(ISNUMBER(Roster!$B90),Setup!$B$20="Yes",ISNUMBER(Setup!$C$20)),EDATE(Roster!$B90,12*Setup!$C$20),"")</f>
        <v/>
      </c>
      <c r="C90" s="32" t="str">
        <f>IF(AND(ISNUMBER(Roster!$B90),Setup!$B$21="Yes",ISNUMBER(Setup!$C$21)),EDATE(Roster!$B90,12*Setup!$C$21),"")</f>
        <v/>
      </c>
      <c r="D90" s="32" t="str">
        <f>IF(AND(ISNUMBER(Roster!$B90),Setup!$B$22="Yes",ISNUMBER(Setup!$C$22)),EDATE(Roster!$B90,12*Setup!$C$22),"")</f>
        <v/>
      </c>
      <c r="E90" s="32" t="str">
        <f>IF(AND(ISNUMBER(Roster!$B90),Setup!$B$23="Yes",ISNUMBER(Setup!$C$23)),EDATE(Roster!$B90,12*Setup!$C$23),"")</f>
        <v/>
      </c>
      <c r="F90" s="32" t="str">
        <f>IF(AND(ISNUMBER(Roster!$B90),Setup!$B$24="Yes",ISNUMBER(Setup!$C$24)),EDATE(Roster!$B90,12*Setup!$C$24),"")</f>
        <v/>
      </c>
      <c r="G90" s="32" t="str">
        <f>IF(AND(ISNUMBER(Roster!$B90),Setup!$B$25="Yes",ISNUMBER(Setup!$C$25)),EDATE(Roster!$B90,12*Setup!$C$25),"")</f>
        <v/>
      </c>
      <c r="H90" s="32" t="str">
        <f>IF(AND(ISNUMBER(Roster!$B90),Setup!$B$26="Yes",ISNUMBER(Setup!$C$26)),EDATE(Roster!$B90,12*Setup!$C$26),"")</f>
        <v/>
      </c>
      <c r="I90" s="32" t="str">
        <f>IF(AND(ISNUMBER(Roster!$B90),Setup!$B$27="Yes",ISNUMBER(Setup!$C$27)),EDATE(Roster!$B90,12*Setup!$C$27),"")</f>
        <v/>
      </c>
      <c r="J90" s="32" t="str">
        <f>IF(AND(ISNUMBER(Roster!$B90),Setup!$B$28="Yes",ISNUMBER(Setup!$C$28)),EDATE(Roster!$B90,12*Setup!$C$28),"")</f>
        <v/>
      </c>
      <c r="K90" s="32" t="str">
        <f>IF(AND(ISNUMBER(Roster!$B90),Setup!$B$29="Yes",ISNUMBER(Setup!$C$29)),EDATE(Roster!$B90,12*Setup!$C$29),"")</f>
        <v/>
      </c>
      <c r="L90" s="32" t="str">
        <f>IF(AND(ISNUMBER(Roster!$B90),Setup!$B$30="Yes",ISNUMBER(Setup!$C$30)),EDATE(Roster!$B90,12*Setup!$C$30),"")</f>
        <v/>
      </c>
      <c r="M90" s="32" t="str">
        <f>IF(AND(ISNUMBER(Roster!$B90),Setup!$B$31="Yes",ISNUMBER(Setup!$C$31)),EDATE(Roster!$B90,12*Setup!$C$31),"")</f>
        <v/>
      </c>
      <c r="N90" s="32" t="str">
        <f>IF(AND(ISNUMBER(Roster!$B90),Setup!$B$32="Yes",ISNUMBER(Setup!$C$32)),EDATE(Roster!$B90,12*Setup!$C$32),"")</f>
        <v/>
      </c>
      <c r="O90" s="32" t="str">
        <f>IF(AND(ISNUMBER(Roster!$B90),Setup!$B$33="Yes",ISNUMBER(Setup!$C$33)),EDATE(Roster!$B90,12*Setup!$C$33),"")</f>
        <v/>
      </c>
      <c r="P90" s="32" t="str">
        <f>IF(AND(ISNUMBER(Roster!$B90),Setup!$B$34="Yes",ISNUMBER(Setup!$C$34)),EDATE(Roster!$B90,12*Setup!$C$34),"")</f>
        <v/>
      </c>
      <c r="R90" t="str">
        <f>IF(B90="","",IF(B90&lt;Setup!$C$5-Setup!$C$6,"",IF(IF(ISNUMBER(Roster!$D90),Setup!$C$20&lt;=Roster!$D90,FALSE),"",IF(OR(IF(Setup!$C$15&lt;=Setup!$C$16,AND(MONTH(B90)&gt;=Setup!$C$15,MONTH(B90)&lt;=Setup!$C$16),OR(MONTH(B90)&gt;=Setup!$C$15,MONTH(B90)&lt;=Setup!$C$16)),IF(Setup!$C$15&lt;=Setup!$C$16,AND(MONTH(WORKDAY(B90,-(Setup!$C$13+Setup!$G$20),Setup!$C$39:$C$50))&gt;=Setup!$C$15,MONTH(WORKDAY(B90,-(Setup!$C$13+Setup!$G$20),Setup!$C$39:$C$50))&lt;=Setup!$C$16),OR(MONTH(WORKDAY(B90,-(Setup!$C$13+Setup!$G$20),Setup!$C$39:$C$50))&gt;=Setup!$C$15,MONTH(WORKDAY(B90,-(Setup!$C$13+Setup!$G$20),Setup!$C$39:$C$50))&lt;=Setup!$C$16))),WORKDAY(B90,-(Setup!$C$13+Setup!$G$20+Setup!$C$14),Setup!$C$39:$C$50),WORKDAY(B90,-(Setup!$C$13+Setup!$G$20),Setup!$C$39:$C$50))+(85*100+1)/10000000)))</f>
        <v/>
      </c>
      <c r="S90" t="str">
        <f>IF(C90="","",IF(C90&lt;Setup!$C$5-Setup!$C$6,"",IF(IF(ISNUMBER(Roster!$D90),Setup!$C$21&lt;=Roster!$D90,FALSE),"",IF(OR(IF(Setup!$C$15&lt;=Setup!$C$16,AND(MONTH(C90)&gt;=Setup!$C$15,MONTH(C90)&lt;=Setup!$C$16),OR(MONTH(C90)&gt;=Setup!$C$15,MONTH(C90)&lt;=Setup!$C$16)),IF(Setup!$C$15&lt;=Setup!$C$16,AND(MONTH(WORKDAY(C90,-(Setup!$C$13+Setup!$G$21),Setup!$C$39:$C$50))&gt;=Setup!$C$15,MONTH(WORKDAY(C90,-(Setup!$C$13+Setup!$G$21),Setup!$C$39:$C$50))&lt;=Setup!$C$16),OR(MONTH(WORKDAY(C90,-(Setup!$C$13+Setup!$G$21),Setup!$C$39:$C$50))&gt;=Setup!$C$15,MONTH(WORKDAY(C90,-(Setup!$C$13+Setup!$G$21),Setup!$C$39:$C$50))&lt;=Setup!$C$16))),WORKDAY(C90,-(Setup!$C$13+Setup!$G$21+Setup!$C$14),Setup!$C$39:$C$50),WORKDAY(C90,-(Setup!$C$13+Setup!$G$21),Setup!$C$39:$C$50))+(85*100+2)/10000000)))</f>
        <v/>
      </c>
      <c r="T90" t="str">
        <f>IF(D90="","",IF(D90&lt;Setup!$C$5-Setup!$C$6,"",IF(IF(ISNUMBER(Roster!$D90),Setup!$C$22&lt;=Roster!$D90,FALSE),"",IF(OR(IF(Setup!$C$15&lt;=Setup!$C$16,AND(MONTH(D90)&gt;=Setup!$C$15,MONTH(D90)&lt;=Setup!$C$16),OR(MONTH(D90)&gt;=Setup!$C$15,MONTH(D90)&lt;=Setup!$C$16)),IF(Setup!$C$15&lt;=Setup!$C$16,AND(MONTH(WORKDAY(D90,-(Setup!$C$13+Setup!$G$22),Setup!$C$39:$C$50))&gt;=Setup!$C$15,MONTH(WORKDAY(D90,-(Setup!$C$13+Setup!$G$22),Setup!$C$39:$C$50))&lt;=Setup!$C$16),OR(MONTH(WORKDAY(D90,-(Setup!$C$13+Setup!$G$22),Setup!$C$39:$C$50))&gt;=Setup!$C$15,MONTH(WORKDAY(D90,-(Setup!$C$13+Setup!$G$22),Setup!$C$39:$C$50))&lt;=Setup!$C$16))),WORKDAY(D90,-(Setup!$C$13+Setup!$G$22+Setup!$C$14),Setup!$C$39:$C$50),WORKDAY(D90,-(Setup!$C$13+Setup!$G$22),Setup!$C$39:$C$50))+(85*100+3)/10000000)))</f>
        <v/>
      </c>
      <c r="U90" t="str">
        <f>IF(E90="","",IF(E90&lt;Setup!$C$5-Setup!$C$6,"",IF(IF(ISNUMBER(Roster!$D90),Setup!$C$23&lt;=Roster!$D90,FALSE),"",IF(OR(IF(Setup!$C$15&lt;=Setup!$C$16,AND(MONTH(E90)&gt;=Setup!$C$15,MONTH(E90)&lt;=Setup!$C$16),OR(MONTH(E90)&gt;=Setup!$C$15,MONTH(E90)&lt;=Setup!$C$16)),IF(Setup!$C$15&lt;=Setup!$C$16,AND(MONTH(WORKDAY(E90,-(Setup!$C$13+Setup!$G$23),Setup!$C$39:$C$50))&gt;=Setup!$C$15,MONTH(WORKDAY(E90,-(Setup!$C$13+Setup!$G$23),Setup!$C$39:$C$50))&lt;=Setup!$C$16),OR(MONTH(WORKDAY(E90,-(Setup!$C$13+Setup!$G$23),Setup!$C$39:$C$50))&gt;=Setup!$C$15,MONTH(WORKDAY(E90,-(Setup!$C$13+Setup!$G$23),Setup!$C$39:$C$50))&lt;=Setup!$C$16))),WORKDAY(E90,-(Setup!$C$13+Setup!$G$23+Setup!$C$14),Setup!$C$39:$C$50),WORKDAY(E90,-(Setup!$C$13+Setup!$G$23),Setup!$C$39:$C$50))+(85*100+4)/10000000)))</f>
        <v/>
      </c>
      <c r="V90" t="str">
        <f>IF(F90="","",IF(F90&lt;Setup!$C$5-Setup!$C$6,"",IF(IF(ISNUMBER(Roster!$D90),Setup!$C$24&lt;=Roster!$D90,FALSE),"",IF(OR(IF(Setup!$C$15&lt;=Setup!$C$16,AND(MONTH(F90)&gt;=Setup!$C$15,MONTH(F90)&lt;=Setup!$C$16),OR(MONTH(F90)&gt;=Setup!$C$15,MONTH(F90)&lt;=Setup!$C$16)),IF(Setup!$C$15&lt;=Setup!$C$16,AND(MONTH(WORKDAY(F90,-(Setup!$C$13+Setup!$G$24),Setup!$C$39:$C$50))&gt;=Setup!$C$15,MONTH(WORKDAY(F90,-(Setup!$C$13+Setup!$G$24),Setup!$C$39:$C$50))&lt;=Setup!$C$16),OR(MONTH(WORKDAY(F90,-(Setup!$C$13+Setup!$G$24),Setup!$C$39:$C$50))&gt;=Setup!$C$15,MONTH(WORKDAY(F90,-(Setup!$C$13+Setup!$G$24),Setup!$C$39:$C$50))&lt;=Setup!$C$16))),WORKDAY(F90,-(Setup!$C$13+Setup!$G$24+Setup!$C$14),Setup!$C$39:$C$50),WORKDAY(F90,-(Setup!$C$13+Setup!$G$24),Setup!$C$39:$C$50))+(85*100+5)/10000000)))</f>
        <v/>
      </c>
      <c r="W90" t="str">
        <f>IF(G90="","",IF(G90&lt;Setup!$C$5-Setup!$C$6,"",IF(IF(ISNUMBER(Roster!$D90),Setup!$C$25&lt;=Roster!$D90,FALSE),"",IF(OR(IF(Setup!$C$15&lt;=Setup!$C$16,AND(MONTH(G90)&gt;=Setup!$C$15,MONTH(G90)&lt;=Setup!$C$16),OR(MONTH(G90)&gt;=Setup!$C$15,MONTH(G90)&lt;=Setup!$C$16)),IF(Setup!$C$15&lt;=Setup!$C$16,AND(MONTH(WORKDAY(G90,-(Setup!$C$13+Setup!$G$25),Setup!$C$39:$C$50))&gt;=Setup!$C$15,MONTH(WORKDAY(G90,-(Setup!$C$13+Setup!$G$25),Setup!$C$39:$C$50))&lt;=Setup!$C$16),OR(MONTH(WORKDAY(G90,-(Setup!$C$13+Setup!$G$25),Setup!$C$39:$C$50))&gt;=Setup!$C$15,MONTH(WORKDAY(G90,-(Setup!$C$13+Setup!$G$25),Setup!$C$39:$C$50))&lt;=Setup!$C$16))),WORKDAY(G90,-(Setup!$C$13+Setup!$G$25+Setup!$C$14),Setup!$C$39:$C$50),WORKDAY(G90,-(Setup!$C$13+Setup!$G$25),Setup!$C$39:$C$50))+(85*100+6)/10000000)))</f>
        <v/>
      </c>
      <c r="X90" t="str">
        <f>IF(H90="","",IF(H90&lt;Setup!$C$5-Setup!$C$6,"",IF(IF(ISNUMBER(Roster!$D90),Setup!$C$26&lt;=Roster!$D90,FALSE),"",IF(OR(IF(Setup!$C$15&lt;=Setup!$C$16,AND(MONTH(H90)&gt;=Setup!$C$15,MONTH(H90)&lt;=Setup!$C$16),OR(MONTH(H90)&gt;=Setup!$C$15,MONTH(H90)&lt;=Setup!$C$16)),IF(Setup!$C$15&lt;=Setup!$C$16,AND(MONTH(WORKDAY(H90,-(Setup!$C$13+Setup!$G$26),Setup!$C$39:$C$50))&gt;=Setup!$C$15,MONTH(WORKDAY(H90,-(Setup!$C$13+Setup!$G$26),Setup!$C$39:$C$50))&lt;=Setup!$C$16),OR(MONTH(WORKDAY(H90,-(Setup!$C$13+Setup!$G$26),Setup!$C$39:$C$50))&gt;=Setup!$C$15,MONTH(WORKDAY(H90,-(Setup!$C$13+Setup!$G$26),Setup!$C$39:$C$50))&lt;=Setup!$C$16))),WORKDAY(H90,-(Setup!$C$13+Setup!$G$26+Setup!$C$14),Setup!$C$39:$C$50),WORKDAY(H90,-(Setup!$C$13+Setup!$G$26),Setup!$C$39:$C$50))+(85*100+7)/10000000)))</f>
        <v/>
      </c>
      <c r="Y90" t="str">
        <f>IF(I90="","",IF(I90&lt;Setup!$C$5-Setup!$C$6,"",IF(IF(ISNUMBER(Roster!$D90),Setup!$C$27&lt;=Roster!$D90,FALSE),"",IF(OR(IF(Setup!$C$15&lt;=Setup!$C$16,AND(MONTH(I90)&gt;=Setup!$C$15,MONTH(I90)&lt;=Setup!$C$16),OR(MONTH(I90)&gt;=Setup!$C$15,MONTH(I90)&lt;=Setup!$C$16)),IF(Setup!$C$15&lt;=Setup!$C$16,AND(MONTH(WORKDAY(I90,-(Setup!$C$13+Setup!$G$27),Setup!$C$39:$C$50))&gt;=Setup!$C$15,MONTH(WORKDAY(I90,-(Setup!$C$13+Setup!$G$27),Setup!$C$39:$C$50))&lt;=Setup!$C$16),OR(MONTH(WORKDAY(I90,-(Setup!$C$13+Setup!$G$27),Setup!$C$39:$C$50))&gt;=Setup!$C$15,MONTH(WORKDAY(I90,-(Setup!$C$13+Setup!$G$27),Setup!$C$39:$C$50))&lt;=Setup!$C$16))),WORKDAY(I90,-(Setup!$C$13+Setup!$G$27+Setup!$C$14),Setup!$C$39:$C$50),WORKDAY(I90,-(Setup!$C$13+Setup!$G$27),Setup!$C$39:$C$50))+(85*100+8)/10000000)))</f>
        <v/>
      </c>
      <c r="Z90" t="str">
        <f>IF(J90="","",IF(J90&lt;Setup!$C$5-Setup!$C$6,"",IF(IF(ISNUMBER(Roster!$D90),Setup!$C$28&lt;=Roster!$D90,FALSE),"",IF(OR(IF(Setup!$C$15&lt;=Setup!$C$16,AND(MONTH(J90)&gt;=Setup!$C$15,MONTH(J90)&lt;=Setup!$C$16),OR(MONTH(J90)&gt;=Setup!$C$15,MONTH(J90)&lt;=Setup!$C$16)),IF(Setup!$C$15&lt;=Setup!$C$16,AND(MONTH(WORKDAY(J90,-(Setup!$C$13+Setup!$G$28),Setup!$C$39:$C$50))&gt;=Setup!$C$15,MONTH(WORKDAY(J90,-(Setup!$C$13+Setup!$G$28),Setup!$C$39:$C$50))&lt;=Setup!$C$16),OR(MONTH(WORKDAY(J90,-(Setup!$C$13+Setup!$G$28),Setup!$C$39:$C$50))&gt;=Setup!$C$15,MONTH(WORKDAY(J90,-(Setup!$C$13+Setup!$G$28),Setup!$C$39:$C$50))&lt;=Setup!$C$16))),WORKDAY(J90,-(Setup!$C$13+Setup!$G$28+Setup!$C$14),Setup!$C$39:$C$50),WORKDAY(J90,-(Setup!$C$13+Setup!$G$28),Setup!$C$39:$C$50))+(85*100+9)/10000000)))</f>
        <v/>
      </c>
      <c r="AA90" t="str">
        <f>IF(K90="","",IF(K90&lt;Setup!$C$5-Setup!$C$6,"",IF(IF(ISNUMBER(Roster!$D90),Setup!$C$29&lt;=Roster!$D90,FALSE),"",IF(OR(IF(Setup!$C$15&lt;=Setup!$C$16,AND(MONTH(K90)&gt;=Setup!$C$15,MONTH(K90)&lt;=Setup!$C$16),OR(MONTH(K90)&gt;=Setup!$C$15,MONTH(K90)&lt;=Setup!$C$16)),IF(Setup!$C$15&lt;=Setup!$C$16,AND(MONTH(WORKDAY(K90,-(Setup!$C$13+Setup!$G$29),Setup!$C$39:$C$50))&gt;=Setup!$C$15,MONTH(WORKDAY(K90,-(Setup!$C$13+Setup!$G$29),Setup!$C$39:$C$50))&lt;=Setup!$C$16),OR(MONTH(WORKDAY(K90,-(Setup!$C$13+Setup!$G$29),Setup!$C$39:$C$50))&gt;=Setup!$C$15,MONTH(WORKDAY(K90,-(Setup!$C$13+Setup!$G$29),Setup!$C$39:$C$50))&lt;=Setup!$C$16))),WORKDAY(K90,-(Setup!$C$13+Setup!$G$29+Setup!$C$14),Setup!$C$39:$C$50),WORKDAY(K90,-(Setup!$C$13+Setup!$G$29),Setup!$C$39:$C$50))+(85*100+10)/10000000)))</f>
        <v/>
      </c>
      <c r="AB90" t="str">
        <f>IF(L90="","",IF(L90&lt;Setup!$C$5-Setup!$C$6,"",IF(IF(ISNUMBER(Roster!$D90),Setup!$C$30&lt;=Roster!$D90,FALSE),"",IF(OR(IF(Setup!$C$15&lt;=Setup!$C$16,AND(MONTH(L90)&gt;=Setup!$C$15,MONTH(L90)&lt;=Setup!$C$16),OR(MONTH(L90)&gt;=Setup!$C$15,MONTH(L90)&lt;=Setup!$C$16)),IF(Setup!$C$15&lt;=Setup!$C$16,AND(MONTH(WORKDAY(L90,-(Setup!$C$13+Setup!$G$30),Setup!$C$39:$C$50))&gt;=Setup!$C$15,MONTH(WORKDAY(L90,-(Setup!$C$13+Setup!$G$30),Setup!$C$39:$C$50))&lt;=Setup!$C$16),OR(MONTH(WORKDAY(L90,-(Setup!$C$13+Setup!$G$30),Setup!$C$39:$C$50))&gt;=Setup!$C$15,MONTH(WORKDAY(L90,-(Setup!$C$13+Setup!$G$30),Setup!$C$39:$C$50))&lt;=Setup!$C$16))),WORKDAY(L90,-(Setup!$C$13+Setup!$G$30+Setup!$C$14),Setup!$C$39:$C$50),WORKDAY(L90,-(Setup!$C$13+Setup!$G$30),Setup!$C$39:$C$50))+(85*100+11)/10000000)))</f>
        <v/>
      </c>
      <c r="AC90" t="str">
        <f>IF(M90="","",IF(M90&lt;Setup!$C$5-Setup!$C$6,"",IF(IF(ISNUMBER(Roster!$D90),Setup!$C$31&lt;=Roster!$D90,FALSE),"",IF(OR(IF(Setup!$C$15&lt;=Setup!$C$16,AND(MONTH(M90)&gt;=Setup!$C$15,MONTH(M90)&lt;=Setup!$C$16),OR(MONTH(M90)&gt;=Setup!$C$15,MONTH(M90)&lt;=Setup!$C$16)),IF(Setup!$C$15&lt;=Setup!$C$16,AND(MONTH(WORKDAY(M90,-(Setup!$C$13+Setup!$G$31),Setup!$C$39:$C$50))&gt;=Setup!$C$15,MONTH(WORKDAY(M90,-(Setup!$C$13+Setup!$G$31),Setup!$C$39:$C$50))&lt;=Setup!$C$16),OR(MONTH(WORKDAY(M90,-(Setup!$C$13+Setup!$G$31),Setup!$C$39:$C$50))&gt;=Setup!$C$15,MONTH(WORKDAY(M90,-(Setup!$C$13+Setup!$G$31),Setup!$C$39:$C$50))&lt;=Setup!$C$16))),WORKDAY(M90,-(Setup!$C$13+Setup!$G$31+Setup!$C$14),Setup!$C$39:$C$50),WORKDAY(M90,-(Setup!$C$13+Setup!$G$31),Setup!$C$39:$C$50))+(85*100+12)/10000000)))</f>
        <v/>
      </c>
      <c r="AD90" t="str">
        <f>IF(N90="","",IF(N90&lt;Setup!$C$5-Setup!$C$6,"",IF(IF(ISNUMBER(Roster!$D90),Setup!$C$32&lt;=Roster!$D90,FALSE),"",IF(OR(IF(Setup!$C$15&lt;=Setup!$C$16,AND(MONTH(N90)&gt;=Setup!$C$15,MONTH(N90)&lt;=Setup!$C$16),OR(MONTH(N90)&gt;=Setup!$C$15,MONTH(N90)&lt;=Setup!$C$16)),IF(Setup!$C$15&lt;=Setup!$C$16,AND(MONTH(WORKDAY(N90,-(Setup!$C$13+Setup!$G$32),Setup!$C$39:$C$50))&gt;=Setup!$C$15,MONTH(WORKDAY(N90,-(Setup!$C$13+Setup!$G$32),Setup!$C$39:$C$50))&lt;=Setup!$C$16),OR(MONTH(WORKDAY(N90,-(Setup!$C$13+Setup!$G$32),Setup!$C$39:$C$50))&gt;=Setup!$C$15,MONTH(WORKDAY(N90,-(Setup!$C$13+Setup!$G$32),Setup!$C$39:$C$50))&lt;=Setup!$C$16))),WORKDAY(N90,-(Setup!$C$13+Setup!$G$32+Setup!$C$14),Setup!$C$39:$C$50),WORKDAY(N90,-(Setup!$C$13+Setup!$G$32),Setup!$C$39:$C$50))+(85*100+13)/10000000)))</f>
        <v/>
      </c>
      <c r="AE90" t="str">
        <f>IF(O90="","",IF(O90&lt;Setup!$C$5-Setup!$C$6,"",IF(IF(ISNUMBER(Roster!$D90),Setup!$C$33&lt;=Roster!$D90,FALSE),"",IF(OR(IF(Setup!$C$15&lt;=Setup!$C$16,AND(MONTH(O90)&gt;=Setup!$C$15,MONTH(O90)&lt;=Setup!$C$16),OR(MONTH(O90)&gt;=Setup!$C$15,MONTH(O90)&lt;=Setup!$C$16)),IF(Setup!$C$15&lt;=Setup!$C$16,AND(MONTH(WORKDAY(O90,-(Setup!$C$13+Setup!$G$33),Setup!$C$39:$C$50))&gt;=Setup!$C$15,MONTH(WORKDAY(O90,-(Setup!$C$13+Setup!$G$33),Setup!$C$39:$C$50))&lt;=Setup!$C$16),OR(MONTH(WORKDAY(O90,-(Setup!$C$13+Setup!$G$33),Setup!$C$39:$C$50))&gt;=Setup!$C$15,MONTH(WORKDAY(O90,-(Setup!$C$13+Setup!$G$33),Setup!$C$39:$C$50))&lt;=Setup!$C$16))),WORKDAY(O90,-(Setup!$C$13+Setup!$G$33+Setup!$C$14),Setup!$C$39:$C$50),WORKDAY(O90,-(Setup!$C$13+Setup!$G$33),Setup!$C$39:$C$50))+(85*100+14)/10000000)))</f>
        <v/>
      </c>
      <c r="AF90" t="str">
        <f>IF(P90="","",IF(P90&lt;Setup!$C$5-Setup!$C$6,"",IF(IF(ISNUMBER(Roster!$D90),Setup!$C$34&lt;=Roster!$D90,FALSE),"",IF(OR(IF(Setup!$C$15&lt;=Setup!$C$16,AND(MONTH(P90)&gt;=Setup!$C$15,MONTH(P90)&lt;=Setup!$C$16),OR(MONTH(P90)&gt;=Setup!$C$15,MONTH(P90)&lt;=Setup!$C$16)),IF(Setup!$C$15&lt;=Setup!$C$16,AND(MONTH(WORKDAY(P90,-(Setup!$C$13+Setup!$G$34),Setup!$C$39:$C$50))&gt;=Setup!$C$15,MONTH(WORKDAY(P90,-(Setup!$C$13+Setup!$G$34),Setup!$C$39:$C$50))&lt;=Setup!$C$16),OR(MONTH(WORKDAY(P90,-(Setup!$C$13+Setup!$G$34),Setup!$C$39:$C$50))&gt;=Setup!$C$15,MONTH(WORKDAY(P90,-(Setup!$C$13+Setup!$G$34),Setup!$C$39:$C$50))&lt;=Setup!$C$16))),WORKDAY(P90,-(Setup!$C$13+Setup!$G$34+Setup!$C$14),Setup!$C$39:$C$50),WORKDAY(P90,-(Setup!$C$13+Setup!$G$34),Setup!$C$39:$C$50))+(85*100+15)/10000000)))</f>
        <v/>
      </c>
      <c r="AH90" t="str">
        <f t="shared" si="9"/>
        <v/>
      </c>
      <c r="AI90" t="str">
        <f t="shared" si="10"/>
        <v/>
      </c>
      <c r="AK90" t="str">
        <f ca="1">IF(85&gt;$AK$2,"",SMALL($R$6:$AF$505,85))</f>
        <v/>
      </c>
      <c r="AL90" t="str">
        <f t="shared" ca="1" si="11"/>
        <v/>
      </c>
      <c r="AM90" t="str">
        <f t="shared" ca="1" si="12"/>
        <v/>
      </c>
      <c r="AN90" t="str">
        <f t="shared" ca="1" si="13"/>
        <v/>
      </c>
      <c r="AP90" t="str">
        <f>IF(ISNUMBER(Roster!$B90),MAX(1,YEAR(Setup!$C$5)-YEAR(Roster!$B90)+IF(EDATE(Roster!$B90,12*(YEAR(Setup!$C$5)-YEAR(Roster!$B90)))&lt;Setup!$C$5,1,0)),"")</f>
        <v/>
      </c>
      <c r="AQ90" s="32" t="str">
        <f>IF(AP90="","",EDATE(Roster!$B90,12*AP90))</f>
        <v/>
      </c>
      <c r="AR90" t="str">
        <f>IF(AQ90="","",IF(AQ90&lt;DATE(YEAR(Setup!$C$5)+1,MONTH(Setup!$C$5),DAY(Setup!$C$5)),AQ90+85/1000,""))</f>
        <v/>
      </c>
      <c r="AS90" t="str">
        <f t="shared" si="14"/>
        <v/>
      </c>
      <c r="AT90" t="str">
        <f>IF(AS90="","",IF(ISNUMBER(Roster!$D90),Roster!$D90&gt;=AP90,FALSE))</f>
        <v/>
      </c>
      <c r="AU90" t="str">
        <f t="shared" si="15"/>
        <v/>
      </c>
      <c r="AV90" t="str">
        <f ca="1">IF(85&gt;$AV$2,"",SMALL($AR$6:$AR$505,85))</f>
        <v/>
      </c>
      <c r="AW90" t="str">
        <f t="shared" ca="1" si="16"/>
        <v/>
      </c>
    </row>
    <row r="91" spans="2:49" x14ac:dyDescent="0.2">
      <c r="B91" s="32" t="str">
        <f>IF(AND(ISNUMBER(Roster!$B91),Setup!$B$20="Yes",ISNUMBER(Setup!$C$20)),EDATE(Roster!$B91,12*Setup!$C$20),"")</f>
        <v/>
      </c>
      <c r="C91" s="32" t="str">
        <f>IF(AND(ISNUMBER(Roster!$B91),Setup!$B$21="Yes",ISNUMBER(Setup!$C$21)),EDATE(Roster!$B91,12*Setup!$C$21),"")</f>
        <v/>
      </c>
      <c r="D91" s="32" t="str">
        <f>IF(AND(ISNUMBER(Roster!$B91),Setup!$B$22="Yes",ISNUMBER(Setup!$C$22)),EDATE(Roster!$B91,12*Setup!$C$22),"")</f>
        <v/>
      </c>
      <c r="E91" s="32" t="str">
        <f>IF(AND(ISNUMBER(Roster!$B91),Setup!$B$23="Yes",ISNUMBER(Setup!$C$23)),EDATE(Roster!$B91,12*Setup!$C$23),"")</f>
        <v/>
      </c>
      <c r="F91" s="32" t="str">
        <f>IF(AND(ISNUMBER(Roster!$B91),Setup!$B$24="Yes",ISNUMBER(Setup!$C$24)),EDATE(Roster!$B91,12*Setup!$C$24),"")</f>
        <v/>
      </c>
      <c r="G91" s="32" t="str">
        <f>IF(AND(ISNUMBER(Roster!$B91),Setup!$B$25="Yes",ISNUMBER(Setup!$C$25)),EDATE(Roster!$B91,12*Setup!$C$25),"")</f>
        <v/>
      </c>
      <c r="H91" s="32" t="str">
        <f>IF(AND(ISNUMBER(Roster!$B91),Setup!$B$26="Yes",ISNUMBER(Setup!$C$26)),EDATE(Roster!$B91,12*Setup!$C$26),"")</f>
        <v/>
      </c>
      <c r="I91" s="32" t="str">
        <f>IF(AND(ISNUMBER(Roster!$B91),Setup!$B$27="Yes",ISNUMBER(Setup!$C$27)),EDATE(Roster!$B91,12*Setup!$C$27),"")</f>
        <v/>
      </c>
      <c r="J91" s="32" t="str">
        <f>IF(AND(ISNUMBER(Roster!$B91),Setup!$B$28="Yes",ISNUMBER(Setup!$C$28)),EDATE(Roster!$B91,12*Setup!$C$28),"")</f>
        <v/>
      </c>
      <c r="K91" s="32" t="str">
        <f>IF(AND(ISNUMBER(Roster!$B91),Setup!$B$29="Yes",ISNUMBER(Setup!$C$29)),EDATE(Roster!$B91,12*Setup!$C$29),"")</f>
        <v/>
      </c>
      <c r="L91" s="32" t="str">
        <f>IF(AND(ISNUMBER(Roster!$B91),Setup!$B$30="Yes",ISNUMBER(Setup!$C$30)),EDATE(Roster!$B91,12*Setup!$C$30),"")</f>
        <v/>
      </c>
      <c r="M91" s="32" t="str">
        <f>IF(AND(ISNUMBER(Roster!$B91),Setup!$B$31="Yes",ISNUMBER(Setup!$C$31)),EDATE(Roster!$B91,12*Setup!$C$31),"")</f>
        <v/>
      </c>
      <c r="N91" s="32" t="str">
        <f>IF(AND(ISNUMBER(Roster!$B91),Setup!$B$32="Yes",ISNUMBER(Setup!$C$32)),EDATE(Roster!$B91,12*Setup!$C$32),"")</f>
        <v/>
      </c>
      <c r="O91" s="32" t="str">
        <f>IF(AND(ISNUMBER(Roster!$B91),Setup!$B$33="Yes",ISNUMBER(Setup!$C$33)),EDATE(Roster!$B91,12*Setup!$C$33),"")</f>
        <v/>
      </c>
      <c r="P91" s="32" t="str">
        <f>IF(AND(ISNUMBER(Roster!$B91),Setup!$B$34="Yes",ISNUMBER(Setup!$C$34)),EDATE(Roster!$B91,12*Setup!$C$34),"")</f>
        <v/>
      </c>
      <c r="R91" t="str">
        <f>IF(B91="","",IF(B91&lt;Setup!$C$5-Setup!$C$6,"",IF(IF(ISNUMBER(Roster!$D91),Setup!$C$20&lt;=Roster!$D91,FALSE),"",IF(OR(IF(Setup!$C$15&lt;=Setup!$C$16,AND(MONTH(B91)&gt;=Setup!$C$15,MONTH(B91)&lt;=Setup!$C$16),OR(MONTH(B91)&gt;=Setup!$C$15,MONTH(B91)&lt;=Setup!$C$16)),IF(Setup!$C$15&lt;=Setup!$C$16,AND(MONTH(WORKDAY(B91,-(Setup!$C$13+Setup!$G$20),Setup!$C$39:$C$50))&gt;=Setup!$C$15,MONTH(WORKDAY(B91,-(Setup!$C$13+Setup!$G$20),Setup!$C$39:$C$50))&lt;=Setup!$C$16),OR(MONTH(WORKDAY(B91,-(Setup!$C$13+Setup!$G$20),Setup!$C$39:$C$50))&gt;=Setup!$C$15,MONTH(WORKDAY(B91,-(Setup!$C$13+Setup!$G$20),Setup!$C$39:$C$50))&lt;=Setup!$C$16))),WORKDAY(B91,-(Setup!$C$13+Setup!$G$20+Setup!$C$14),Setup!$C$39:$C$50),WORKDAY(B91,-(Setup!$C$13+Setup!$G$20),Setup!$C$39:$C$50))+(86*100+1)/10000000)))</f>
        <v/>
      </c>
      <c r="S91" t="str">
        <f>IF(C91="","",IF(C91&lt;Setup!$C$5-Setup!$C$6,"",IF(IF(ISNUMBER(Roster!$D91),Setup!$C$21&lt;=Roster!$D91,FALSE),"",IF(OR(IF(Setup!$C$15&lt;=Setup!$C$16,AND(MONTH(C91)&gt;=Setup!$C$15,MONTH(C91)&lt;=Setup!$C$16),OR(MONTH(C91)&gt;=Setup!$C$15,MONTH(C91)&lt;=Setup!$C$16)),IF(Setup!$C$15&lt;=Setup!$C$16,AND(MONTH(WORKDAY(C91,-(Setup!$C$13+Setup!$G$21),Setup!$C$39:$C$50))&gt;=Setup!$C$15,MONTH(WORKDAY(C91,-(Setup!$C$13+Setup!$G$21),Setup!$C$39:$C$50))&lt;=Setup!$C$16),OR(MONTH(WORKDAY(C91,-(Setup!$C$13+Setup!$G$21),Setup!$C$39:$C$50))&gt;=Setup!$C$15,MONTH(WORKDAY(C91,-(Setup!$C$13+Setup!$G$21),Setup!$C$39:$C$50))&lt;=Setup!$C$16))),WORKDAY(C91,-(Setup!$C$13+Setup!$G$21+Setup!$C$14),Setup!$C$39:$C$50),WORKDAY(C91,-(Setup!$C$13+Setup!$G$21),Setup!$C$39:$C$50))+(86*100+2)/10000000)))</f>
        <v/>
      </c>
      <c r="T91" t="str">
        <f>IF(D91="","",IF(D91&lt;Setup!$C$5-Setup!$C$6,"",IF(IF(ISNUMBER(Roster!$D91),Setup!$C$22&lt;=Roster!$D91,FALSE),"",IF(OR(IF(Setup!$C$15&lt;=Setup!$C$16,AND(MONTH(D91)&gt;=Setup!$C$15,MONTH(D91)&lt;=Setup!$C$16),OR(MONTH(D91)&gt;=Setup!$C$15,MONTH(D91)&lt;=Setup!$C$16)),IF(Setup!$C$15&lt;=Setup!$C$16,AND(MONTH(WORKDAY(D91,-(Setup!$C$13+Setup!$G$22),Setup!$C$39:$C$50))&gt;=Setup!$C$15,MONTH(WORKDAY(D91,-(Setup!$C$13+Setup!$G$22),Setup!$C$39:$C$50))&lt;=Setup!$C$16),OR(MONTH(WORKDAY(D91,-(Setup!$C$13+Setup!$G$22),Setup!$C$39:$C$50))&gt;=Setup!$C$15,MONTH(WORKDAY(D91,-(Setup!$C$13+Setup!$G$22),Setup!$C$39:$C$50))&lt;=Setup!$C$16))),WORKDAY(D91,-(Setup!$C$13+Setup!$G$22+Setup!$C$14),Setup!$C$39:$C$50),WORKDAY(D91,-(Setup!$C$13+Setup!$G$22),Setup!$C$39:$C$50))+(86*100+3)/10000000)))</f>
        <v/>
      </c>
      <c r="U91" t="str">
        <f>IF(E91="","",IF(E91&lt;Setup!$C$5-Setup!$C$6,"",IF(IF(ISNUMBER(Roster!$D91),Setup!$C$23&lt;=Roster!$D91,FALSE),"",IF(OR(IF(Setup!$C$15&lt;=Setup!$C$16,AND(MONTH(E91)&gt;=Setup!$C$15,MONTH(E91)&lt;=Setup!$C$16),OR(MONTH(E91)&gt;=Setup!$C$15,MONTH(E91)&lt;=Setup!$C$16)),IF(Setup!$C$15&lt;=Setup!$C$16,AND(MONTH(WORKDAY(E91,-(Setup!$C$13+Setup!$G$23),Setup!$C$39:$C$50))&gt;=Setup!$C$15,MONTH(WORKDAY(E91,-(Setup!$C$13+Setup!$G$23),Setup!$C$39:$C$50))&lt;=Setup!$C$16),OR(MONTH(WORKDAY(E91,-(Setup!$C$13+Setup!$G$23),Setup!$C$39:$C$50))&gt;=Setup!$C$15,MONTH(WORKDAY(E91,-(Setup!$C$13+Setup!$G$23),Setup!$C$39:$C$50))&lt;=Setup!$C$16))),WORKDAY(E91,-(Setup!$C$13+Setup!$G$23+Setup!$C$14),Setup!$C$39:$C$50),WORKDAY(E91,-(Setup!$C$13+Setup!$G$23),Setup!$C$39:$C$50))+(86*100+4)/10000000)))</f>
        <v/>
      </c>
      <c r="V91" t="str">
        <f>IF(F91="","",IF(F91&lt;Setup!$C$5-Setup!$C$6,"",IF(IF(ISNUMBER(Roster!$D91),Setup!$C$24&lt;=Roster!$D91,FALSE),"",IF(OR(IF(Setup!$C$15&lt;=Setup!$C$16,AND(MONTH(F91)&gt;=Setup!$C$15,MONTH(F91)&lt;=Setup!$C$16),OR(MONTH(F91)&gt;=Setup!$C$15,MONTH(F91)&lt;=Setup!$C$16)),IF(Setup!$C$15&lt;=Setup!$C$16,AND(MONTH(WORKDAY(F91,-(Setup!$C$13+Setup!$G$24),Setup!$C$39:$C$50))&gt;=Setup!$C$15,MONTH(WORKDAY(F91,-(Setup!$C$13+Setup!$G$24),Setup!$C$39:$C$50))&lt;=Setup!$C$16),OR(MONTH(WORKDAY(F91,-(Setup!$C$13+Setup!$G$24),Setup!$C$39:$C$50))&gt;=Setup!$C$15,MONTH(WORKDAY(F91,-(Setup!$C$13+Setup!$G$24),Setup!$C$39:$C$50))&lt;=Setup!$C$16))),WORKDAY(F91,-(Setup!$C$13+Setup!$G$24+Setup!$C$14),Setup!$C$39:$C$50),WORKDAY(F91,-(Setup!$C$13+Setup!$G$24),Setup!$C$39:$C$50))+(86*100+5)/10000000)))</f>
        <v/>
      </c>
      <c r="W91" t="str">
        <f>IF(G91="","",IF(G91&lt;Setup!$C$5-Setup!$C$6,"",IF(IF(ISNUMBER(Roster!$D91),Setup!$C$25&lt;=Roster!$D91,FALSE),"",IF(OR(IF(Setup!$C$15&lt;=Setup!$C$16,AND(MONTH(G91)&gt;=Setup!$C$15,MONTH(G91)&lt;=Setup!$C$16),OR(MONTH(G91)&gt;=Setup!$C$15,MONTH(G91)&lt;=Setup!$C$16)),IF(Setup!$C$15&lt;=Setup!$C$16,AND(MONTH(WORKDAY(G91,-(Setup!$C$13+Setup!$G$25),Setup!$C$39:$C$50))&gt;=Setup!$C$15,MONTH(WORKDAY(G91,-(Setup!$C$13+Setup!$G$25),Setup!$C$39:$C$50))&lt;=Setup!$C$16),OR(MONTH(WORKDAY(G91,-(Setup!$C$13+Setup!$G$25),Setup!$C$39:$C$50))&gt;=Setup!$C$15,MONTH(WORKDAY(G91,-(Setup!$C$13+Setup!$G$25),Setup!$C$39:$C$50))&lt;=Setup!$C$16))),WORKDAY(G91,-(Setup!$C$13+Setup!$G$25+Setup!$C$14),Setup!$C$39:$C$50),WORKDAY(G91,-(Setup!$C$13+Setup!$G$25),Setup!$C$39:$C$50))+(86*100+6)/10000000)))</f>
        <v/>
      </c>
      <c r="X91" t="str">
        <f>IF(H91="","",IF(H91&lt;Setup!$C$5-Setup!$C$6,"",IF(IF(ISNUMBER(Roster!$D91),Setup!$C$26&lt;=Roster!$D91,FALSE),"",IF(OR(IF(Setup!$C$15&lt;=Setup!$C$16,AND(MONTH(H91)&gt;=Setup!$C$15,MONTH(H91)&lt;=Setup!$C$16),OR(MONTH(H91)&gt;=Setup!$C$15,MONTH(H91)&lt;=Setup!$C$16)),IF(Setup!$C$15&lt;=Setup!$C$16,AND(MONTH(WORKDAY(H91,-(Setup!$C$13+Setup!$G$26),Setup!$C$39:$C$50))&gt;=Setup!$C$15,MONTH(WORKDAY(H91,-(Setup!$C$13+Setup!$G$26),Setup!$C$39:$C$50))&lt;=Setup!$C$16),OR(MONTH(WORKDAY(H91,-(Setup!$C$13+Setup!$G$26),Setup!$C$39:$C$50))&gt;=Setup!$C$15,MONTH(WORKDAY(H91,-(Setup!$C$13+Setup!$G$26),Setup!$C$39:$C$50))&lt;=Setup!$C$16))),WORKDAY(H91,-(Setup!$C$13+Setup!$G$26+Setup!$C$14),Setup!$C$39:$C$50),WORKDAY(H91,-(Setup!$C$13+Setup!$G$26),Setup!$C$39:$C$50))+(86*100+7)/10000000)))</f>
        <v/>
      </c>
      <c r="Y91" t="str">
        <f>IF(I91="","",IF(I91&lt;Setup!$C$5-Setup!$C$6,"",IF(IF(ISNUMBER(Roster!$D91),Setup!$C$27&lt;=Roster!$D91,FALSE),"",IF(OR(IF(Setup!$C$15&lt;=Setup!$C$16,AND(MONTH(I91)&gt;=Setup!$C$15,MONTH(I91)&lt;=Setup!$C$16),OR(MONTH(I91)&gt;=Setup!$C$15,MONTH(I91)&lt;=Setup!$C$16)),IF(Setup!$C$15&lt;=Setup!$C$16,AND(MONTH(WORKDAY(I91,-(Setup!$C$13+Setup!$G$27),Setup!$C$39:$C$50))&gt;=Setup!$C$15,MONTH(WORKDAY(I91,-(Setup!$C$13+Setup!$G$27),Setup!$C$39:$C$50))&lt;=Setup!$C$16),OR(MONTH(WORKDAY(I91,-(Setup!$C$13+Setup!$G$27),Setup!$C$39:$C$50))&gt;=Setup!$C$15,MONTH(WORKDAY(I91,-(Setup!$C$13+Setup!$G$27),Setup!$C$39:$C$50))&lt;=Setup!$C$16))),WORKDAY(I91,-(Setup!$C$13+Setup!$G$27+Setup!$C$14),Setup!$C$39:$C$50),WORKDAY(I91,-(Setup!$C$13+Setup!$G$27),Setup!$C$39:$C$50))+(86*100+8)/10000000)))</f>
        <v/>
      </c>
      <c r="Z91" t="str">
        <f>IF(J91="","",IF(J91&lt;Setup!$C$5-Setup!$C$6,"",IF(IF(ISNUMBER(Roster!$D91),Setup!$C$28&lt;=Roster!$D91,FALSE),"",IF(OR(IF(Setup!$C$15&lt;=Setup!$C$16,AND(MONTH(J91)&gt;=Setup!$C$15,MONTH(J91)&lt;=Setup!$C$16),OR(MONTH(J91)&gt;=Setup!$C$15,MONTH(J91)&lt;=Setup!$C$16)),IF(Setup!$C$15&lt;=Setup!$C$16,AND(MONTH(WORKDAY(J91,-(Setup!$C$13+Setup!$G$28),Setup!$C$39:$C$50))&gt;=Setup!$C$15,MONTH(WORKDAY(J91,-(Setup!$C$13+Setup!$G$28),Setup!$C$39:$C$50))&lt;=Setup!$C$16),OR(MONTH(WORKDAY(J91,-(Setup!$C$13+Setup!$G$28),Setup!$C$39:$C$50))&gt;=Setup!$C$15,MONTH(WORKDAY(J91,-(Setup!$C$13+Setup!$G$28),Setup!$C$39:$C$50))&lt;=Setup!$C$16))),WORKDAY(J91,-(Setup!$C$13+Setup!$G$28+Setup!$C$14),Setup!$C$39:$C$50),WORKDAY(J91,-(Setup!$C$13+Setup!$G$28),Setup!$C$39:$C$50))+(86*100+9)/10000000)))</f>
        <v/>
      </c>
      <c r="AA91" t="str">
        <f>IF(K91="","",IF(K91&lt;Setup!$C$5-Setup!$C$6,"",IF(IF(ISNUMBER(Roster!$D91),Setup!$C$29&lt;=Roster!$D91,FALSE),"",IF(OR(IF(Setup!$C$15&lt;=Setup!$C$16,AND(MONTH(K91)&gt;=Setup!$C$15,MONTH(K91)&lt;=Setup!$C$16),OR(MONTH(K91)&gt;=Setup!$C$15,MONTH(K91)&lt;=Setup!$C$16)),IF(Setup!$C$15&lt;=Setup!$C$16,AND(MONTH(WORKDAY(K91,-(Setup!$C$13+Setup!$G$29),Setup!$C$39:$C$50))&gt;=Setup!$C$15,MONTH(WORKDAY(K91,-(Setup!$C$13+Setup!$G$29),Setup!$C$39:$C$50))&lt;=Setup!$C$16),OR(MONTH(WORKDAY(K91,-(Setup!$C$13+Setup!$G$29),Setup!$C$39:$C$50))&gt;=Setup!$C$15,MONTH(WORKDAY(K91,-(Setup!$C$13+Setup!$G$29),Setup!$C$39:$C$50))&lt;=Setup!$C$16))),WORKDAY(K91,-(Setup!$C$13+Setup!$G$29+Setup!$C$14),Setup!$C$39:$C$50),WORKDAY(K91,-(Setup!$C$13+Setup!$G$29),Setup!$C$39:$C$50))+(86*100+10)/10000000)))</f>
        <v/>
      </c>
      <c r="AB91" t="str">
        <f>IF(L91="","",IF(L91&lt;Setup!$C$5-Setup!$C$6,"",IF(IF(ISNUMBER(Roster!$D91),Setup!$C$30&lt;=Roster!$D91,FALSE),"",IF(OR(IF(Setup!$C$15&lt;=Setup!$C$16,AND(MONTH(L91)&gt;=Setup!$C$15,MONTH(L91)&lt;=Setup!$C$16),OR(MONTH(L91)&gt;=Setup!$C$15,MONTH(L91)&lt;=Setup!$C$16)),IF(Setup!$C$15&lt;=Setup!$C$16,AND(MONTH(WORKDAY(L91,-(Setup!$C$13+Setup!$G$30),Setup!$C$39:$C$50))&gt;=Setup!$C$15,MONTH(WORKDAY(L91,-(Setup!$C$13+Setup!$G$30),Setup!$C$39:$C$50))&lt;=Setup!$C$16),OR(MONTH(WORKDAY(L91,-(Setup!$C$13+Setup!$G$30),Setup!$C$39:$C$50))&gt;=Setup!$C$15,MONTH(WORKDAY(L91,-(Setup!$C$13+Setup!$G$30),Setup!$C$39:$C$50))&lt;=Setup!$C$16))),WORKDAY(L91,-(Setup!$C$13+Setup!$G$30+Setup!$C$14),Setup!$C$39:$C$50),WORKDAY(L91,-(Setup!$C$13+Setup!$G$30),Setup!$C$39:$C$50))+(86*100+11)/10000000)))</f>
        <v/>
      </c>
      <c r="AC91" t="str">
        <f>IF(M91="","",IF(M91&lt;Setup!$C$5-Setup!$C$6,"",IF(IF(ISNUMBER(Roster!$D91),Setup!$C$31&lt;=Roster!$D91,FALSE),"",IF(OR(IF(Setup!$C$15&lt;=Setup!$C$16,AND(MONTH(M91)&gt;=Setup!$C$15,MONTH(M91)&lt;=Setup!$C$16),OR(MONTH(M91)&gt;=Setup!$C$15,MONTH(M91)&lt;=Setup!$C$16)),IF(Setup!$C$15&lt;=Setup!$C$16,AND(MONTH(WORKDAY(M91,-(Setup!$C$13+Setup!$G$31),Setup!$C$39:$C$50))&gt;=Setup!$C$15,MONTH(WORKDAY(M91,-(Setup!$C$13+Setup!$G$31),Setup!$C$39:$C$50))&lt;=Setup!$C$16),OR(MONTH(WORKDAY(M91,-(Setup!$C$13+Setup!$G$31),Setup!$C$39:$C$50))&gt;=Setup!$C$15,MONTH(WORKDAY(M91,-(Setup!$C$13+Setup!$G$31),Setup!$C$39:$C$50))&lt;=Setup!$C$16))),WORKDAY(M91,-(Setup!$C$13+Setup!$G$31+Setup!$C$14),Setup!$C$39:$C$50),WORKDAY(M91,-(Setup!$C$13+Setup!$G$31),Setup!$C$39:$C$50))+(86*100+12)/10000000)))</f>
        <v/>
      </c>
      <c r="AD91" t="str">
        <f>IF(N91="","",IF(N91&lt;Setup!$C$5-Setup!$C$6,"",IF(IF(ISNUMBER(Roster!$D91),Setup!$C$32&lt;=Roster!$D91,FALSE),"",IF(OR(IF(Setup!$C$15&lt;=Setup!$C$16,AND(MONTH(N91)&gt;=Setup!$C$15,MONTH(N91)&lt;=Setup!$C$16),OR(MONTH(N91)&gt;=Setup!$C$15,MONTH(N91)&lt;=Setup!$C$16)),IF(Setup!$C$15&lt;=Setup!$C$16,AND(MONTH(WORKDAY(N91,-(Setup!$C$13+Setup!$G$32),Setup!$C$39:$C$50))&gt;=Setup!$C$15,MONTH(WORKDAY(N91,-(Setup!$C$13+Setup!$G$32),Setup!$C$39:$C$50))&lt;=Setup!$C$16),OR(MONTH(WORKDAY(N91,-(Setup!$C$13+Setup!$G$32),Setup!$C$39:$C$50))&gt;=Setup!$C$15,MONTH(WORKDAY(N91,-(Setup!$C$13+Setup!$G$32),Setup!$C$39:$C$50))&lt;=Setup!$C$16))),WORKDAY(N91,-(Setup!$C$13+Setup!$G$32+Setup!$C$14),Setup!$C$39:$C$50),WORKDAY(N91,-(Setup!$C$13+Setup!$G$32),Setup!$C$39:$C$50))+(86*100+13)/10000000)))</f>
        <v/>
      </c>
      <c r="AE91" t="str">
        <f>IF(O91="","",IF(O91&lt;Setup!$C$5-Setup!$C$6,"",IF(IF(ISNUMBER(Roster!$D91),Setup!$C$33&lt;=Roster!$D91,FALSE),"",IF(OR(IF(Setup!$C$15&lt;=Setup!$C$16,AND(MONTH(O91)&gt;=Setup!$C$15,MONTH(O91)&lt;=Setup!$C$16),OR(MONTH(O91)&gt;=Setup!$C$15,MONTH(O91)&lt;=Setup!$C$16)),IF(Setup!$C$15&lt;=Setup!$C$16,AND(MONTH(WORKDAY(O91,-(Setup!$C$13+Setup!$G$33),Setup!$C$39:$C$50))&gt;=Setup!$C$15,MONTH(WORKDAY(O91,-(Setup!$C$13+Setup!$G$33),Setup!$C$39:$C$50))&lt;=Setup!$C$16),OR(MONTH(WORKDAY(O91,-(Setup!$C$13+Setup!$G$33),Setup!$C$39:$C$50))&gt;=Setup!$C$15,MONTH(WORKDAY(O91,-(Setup!$C$13+Setup!$G$33),Setup!$C$39:$C$50))&lt;=Setup!$C$16))),WORKDAY(O91,-(Setup!$C$13+Setup!$G$33+Setup!$C$14),Setup!$C$39:$C$50),WORKDAY(O91,-(Setup!$C$13+Setup!$G$33),Setup!$C$39:$C$50))+(86*100+14)/10000000)))</f>
        <v/>
      </c>
      <c r="AF91" t="str">
        <f>IF(P91="","",IF(P91&lt;Setup!$C$5-Setup!$C$6,"",IF(IF(ISNUMBER(Roster!$D91),Setup!$C$34&lt;=Roster!$D91,FALSE),"",IF(OR(IF(Setup!$C$15&lt;=Setup!$C$16,AND(MONTH(P91)&gt;=Setup!$C$15,MONTH(P91)&lt;=Setup!$C$16),OR(MONTH(P91)&gt;=Setup!$C$15,MONTH(P91)&lt;=Setup!$C$16)),IF(Setup!$C$15&lt;=Setup!$C$16,AND(MONTH(WORKDAY(P91,-(Setup!$C$13+Setup!$G$34),Setup!$C$39:$C$50))&gt;=Setup!$C$15,MONTH(WORKDAY(P91,-(Setup!$C$13+Setup!$G$34),Setup!$C$39:$C$50))&lt;=Setup!$C$16),OR(MONTH(WORKDAY(P91,-(Setup!$C$13+Setup!$G$34),Setup!$C$39:$C$50))&gt;=Setup!$C$15,MONTH(WORKDAY(P91,-(Setup!$C$13+Setup!$G$34),Setup!$C$39:$C$50))&lt;=Setup!$C$16))),WORKDAY(P91,-(Setup!$C$13+Setup!$G$34+Setup!$C$14),Setup!$C$39:$C$50),WORKDAY(P91,-(Setup!$C$13+Setup!$G$34),Setup!$C$39:$C$50))+(86*100+15)/10000000)))</f>
        <v/>
      </c>
      <c r="AH91" t="str">
        <f t="shared" si="9"/>
        <v/>
      </c>
      <c r="AI91" t="str">
        <f t="shared" si="10"/>
        <v/>
      </c>
      <c r="AK91" t="str">
        <f ca="1">IF(86&gt;$AK$2,"",SMALL($R$6:$AF$505,86))</f>
        <v/>
      </c>
      <c r="AL91" t="str">
        <f t="shared" ca="1" si="11"/>
        <v/>
      </c>
      <c r="AM91" t="str">
        <f t="shared" ca="1" si="12"/>
        <v/>
      </c>
      <c r="AN91" t="str">
        <f t="shared" ca="1" si="13"/>
        <v/>
      </c>
      <c r="AP91" t="str">
        <f>IF(ISNUMBER(Roster!$B91),MAX(1,YEAR(Setup!$C$5)-YEAR(Roster!$B91)+IF(EDATE(Roster!$B91,12*(YEAR(Setup!$C$5)-YEAR(Roster!$B91)))&lt;Setup!$C$5,1,0)),"")</f>
        <v/>
      </c>
      <c r="AQ91" s="32" t="str">
        <f>IF(AP91="","",EDATE(Roster!$B91,12*AP91))</f>
        <v/>
      </c>
      <c r="AR91" t="str">
        <f>IF(AQ91="","",IF(AQ91&lt;DATE(YEAR(Setup!$C$5)+1,MONTH(Setup!$C$5),DAY(Setup!$C$5)),AQ91+86/1000,""))</f>
        <v/>
      </c>
      <c r="AS91" t="str">
        <f t="shared" si="14"/>
        <v/>
      </c>
      <c r="AT91" t="str">
        <f>IF(AS91="","",IF(ISNUMBER(Roster!$D91),Roster!$D91&gt;=AP91,FALSE))</f>
        <v/>
      </c>
      <c r="AU91" t="str">
        <f t="shared" si="15"/>
        <v/>
      </c>
      <c r="AV91" t="str">
        <f ca="1">IF(86&gt;$AV$2,"",SMALL($AR$6:$AR$505,86))</f>
        <v/>
      </c>
      <c r="AW91" t="str">
        <f t="shared" ca="1" si="16"/>
        <v/>
      </c>
    </row>
    <row r="92" spans="2:49" x14ac:dyDescent="0.2">
      <c r="B92" s="32" t="str">
        <f>IF(AND(ISNUMBER(Roster!$B92),Setup!$B$20="Yes",ISNUMBER(Setup!$C$20)),EDATE(Roster!$B92,12*Setup!$C$20),"")</f>
        <v/>
      </c>
      <c r="C92" s="32" t="str">
        <f>IF(AND(ISNUMBER(Roster!$B92),Setup!$B$21="Yes",ISNUMBER(Setup!$C$21)),EDATE(Roster!$B92,12*Setup!$C$21),"")</f>
        <v/>
      </c>
      <c r="D92" s="32" t="str">
        <f>IF(AND(ISNUMBER(Roster!$B92),Setup!$B$22="Yes",ISNUMBER(Setup!$C$22)),EDATE(Roster!$B92,12*Setup!$C$22),"")</f>
        <v/>
      </c>
      <c r="E92" s="32" t="str">
        <f>IF(AND(ISNUMBER(Roster!$B92),Setup!$B$23="Yes",ISNUMBER(Setup!$C$23)),EDATE(Roster!$B92,12*Setup!$C$23),"")</f>
        <v/>
      </c>
      <c r="F92" s="32" t="str">
        <f>IF(AND(ISNUMBER(Roster!$B92),Setup!$B$24="Yes",ISNUMBER(Setup!$C$24)),EDATE(Roster!$B92,12*Setup!$C$24),"")</f>
        <v/>
      </c>
      <c r="G92" s="32" t="str">
        <f>IF(AND(ISNUMBER(Roster!$B92),Setup!$B$25="Yes",ISNUMBER(Setup!$C$25)),EDATE(Roster!$B92,12*Setup!$C$25),"")</f>
        <v/>
      </c>
      <c r="H92" s="32" t="str">
        <f>IF(AND(ISNUMBER(Roster!$B92),Setup!$B$26="Yes",ISNUMBER(Setup!$C$26)),EDATE(Roster!$B92,12*Setup!$C$26),"")</f>
        <v/>
      </c>
      <c r="I92" s="32" t="str">
        <f>IF(AND(ISNUMBER(Roster!$B92),Setup!$B$27="Yes",ISNUMBER(Setup!$C$27)),EDATE(Roster!$B92,12*Setup!$C$27),"")</f>
        <v/>
      </c>
      <c r="J92" s="32" t="str">
        <f>IF(AND(ISNUMBER(Roster!$B92),Setup!$B$28="Yes",ISNUMBER(Setup!$C$28)),EDATE(Roster!$B92,12*Setup!$C$28),"")</f>
        <v/>
      </c>
      <c r="K92" s="32" t="str">
        <f>IF(AND(ISNUMBER(Roster!$B92),Setup!$B$29="Yes",ISNUMBER(Setup!$C$29)),EDATE(Roster!$B92,12*Setup!$C$29),"")</f>
        <v/>
      </c>
      <c r="L92" s="32" t="str">
        <f>IF(AND(ISNUMBER(Roster!$B92),Setup!$B$30="Yes",ISNUMBER(Setup!$C$30)),EDATE(Roster!$B92,12*Setup!$C$30),"")</f>
        <v/>
      </c>
      <c r="M92" s="32" t="str">
        <f>IF(AND(ISNUMBER(Roster!$B92),Setup!$B$31="Yes",ISNUMBER(Setup!$C$31)),EDATE(Roster!$B92,12*Setup!$C$31),"")</f>
        <v/>
      </c>
      <c r="N92" s="32" t="str">
        <f>IF(AND(ISNUMBER(Roster!$B92),Setup!$B$32="Yes",ISNUMBER(Setup!$C$32)),EDATE(Roster!$B92,12*Setup!$C$32),"")</f>
        <v/>
      </c>
      <c r="O92" s="32" t="str">
        <f>IF(AND(ISNUMBER(Roster!$B92),Setup!$B$33="Yes",ISNUMBER(Setup!$C$33)),EDATE(Roster!$B92,12*Setup!$C$33),"")</f>
        <v/>
      </c>
      <c r="P92" s="32" t="str">
        <f>IF(AND(ISNUMBER(Roster!$B92),Setup!$B$34="Yes",ISNUMBER(Setup!$C$34)),EDATE(Roster!$B92,12*Setup!$C$34),"")</f>
        <v/>
      </c>
      <c r="R92" t="str">
        <f>IF(B92="","",IF(B92&lt;Setup!$C$5-Setup!$C$6,"",IF(IF(ISNUMBER(Roster!$D92),Setup!$C$20&lt;=Roster!$D92,FALSE),"",IF(OR(IF(Setup!$C$15&lt;=Setup!$C$16,AND(MONTH(B92)&gt;=Setup!$C$15,MONTH(B92)&lt;=Setup!$C$16),OR(MONTH(B92)&gt;=Setup!$C$15,MONTH(B92)&lt;=Setup!$C$16)),IF(Setup!$C$15&lt;=Setup!$C$16,AND(MONTH(WORKDAY(B92,-(Setup!$C$13+Setup!$G$20),Setup!$C$39:$C$50))&gt;=Setup!$C$15,MONTH(WORKDAY(B92,-(Setup!$C$13+Setup!$G$20),Setup!$C$39:$C$50))&lt;=Setup!$C$16),OR(MONTH(WORKDAY(B92,-(Setup!$C$13+Setup!$G$20),Setup!$C$39:$C$50))&gt;=Setup!$C$15,MONTH(WORKDAY(B92,-(Setup!$C$13+Setup!$G$20),Setup!$C$39:$C$50))&lt;=Setup!$C$16))),WORKDAY(B92,-(Setup!$C$13+Setup!$G$20+Setup!$C$14),Setup!$C$39:$C$50),WORKDAY(B92,-(Setup!$C$13+Setup!$G$20),Setup!$C$39:$C$50))+(87*100+1)/10000000)))</f>
        <v/>
      </c>
      <c r="S92" t="str">
        <f>IF(C92="","",IF(C92&lt;Setup!$C$5-Setup!$C$6,"",IF(IF(ISNUMBER(Roster!$D92),Setup!$C$21&lt;=Roster!$D92,FALSE),"",IF(OR(IF(Setup!$C$15&lt;=Setup!$C$16,AND(MONTH(C92)&gt;=Setup!$C$15,MONTH(C92)&lt;=Setup!$C$16),OR(MONTH(C92)&gt;=Setup!$C$15,MONTH(C92)&lt;=Setup!$C$16)),IF(Setup!$C$15&lt;=Setup!$C$16,AND(MONTH(WORKDAY(C92,-(Setup!$C$13+Setup!$G$21),Setup!$C$39:$C$50))&gt;=Setup!$C$15,MONTH(WORKDAY(C92,-(Setup!$C$13+Setup!$G$21),Setup!$C$39:$C$50))&lt;=Setup!$C$16),OR(MONTH(WORKDAY(C92,-(Setup!$C$13+Setup!$G$21),Setup!$C$39:$C$50))&gt;=Setup!$C$15,MONTH(WORKDAY(C92,-(Setup!$C$13+Setup!$G$21),Setup!$C$39:$C$50))&lt;=Setup!$C$16))),WORKDAY(C92,-(Setup!$C$13+Setup!$G$21+Setup!$C$14),Setup!$C$39:$C$50),WORKDAY(C92,-(Setup!$C$13+Setup!$G$21),Setup!$C$39:$C$50))+(87*100+2)/10000000)))</f>
        <v/>
      </c>
      <c r="T92" t="str">
        <f>IF(D92="","",IF(D92&lt;Setup!$C$5-Setup!$C$6,"",IF(IF(ISNUMBER(Roster!$D92),Setup!$C$22&lt;=Roster!$D92,FALSE),"",IF(OR(IF(Setup!$C$15&lt;=Setup!$C$16,AND(MONTH(D92)&gt;=Setup!$C$15,MONTH(D92)&lt;=Setup!$C$16),OR(MONTH(D92)&gt;=Setup!$C$15,MONTH(D92)&lt;=Setup!$C$16)),IF(Setup!$C$15&lt;=Setup!$C$16,AND(MONTH(WORKDAY(D92,-(Setup!$C$13+Setup!$G$22),Setup!$C$39:$C$50))&gt;=Setup!$C$15,MONTH(WORKDAY(D92,-(Setup!$C$13+Setup!$G$22),Setup!$C$39:$C$50))&lt;=Setup!$C$16),OR(MONTH(WORKDAY(D92,-(Setup!$C$13+Setup!$G$22),Setup!$C$39:$C$50))&gt;=Setup!$C$15,MONTH(WORKDAY(D92,-(Setup!$C$13+Setup!$G$22),Setup!$C$39:$C$50))&lt;=Setup!$C$16))),WORKDAY(D92,-(Setup!$C$13+Setup!$G$22+Setup!$C$14),Setup!$C$39:$C$50),WORKDAY(D92,-(Setup!$C$13+Setup!$G$22),Setup!$C$39:$C$50))+(87*100+3)/10000000)))</f>
        <v/>
      </c>
      <c r="U92" t="str">
        <f>IF(E92="","",IF(E92&lt;Setup!$C$5-Setup!$C$6,"",IF(IF(ISNUMBER(Roster!$D92),Setup!$C$23&lt;=Roster!$D92,FALSE),"",IF(OR(IF(Setup!$C$15&lt;=Setup!$C$16,AND(MONTH(E92)&gt;=Setup!$C$15,MONTH(E92)&lt;=Setup!$C$16),OR(MONTH(E92)&gt;=Setup!$C$15,MONTH(E92)&lt;=Setup!$C$16)),IF(Setup!$C$15&lt;=Setup!$C$16,AND(MONTH(WORKDAY(E92,-(Setup!$C$13+Setup!$G$23),Setup!$C$39:$C$50))&gt;=Setup!$C$15,MONTH(WORKDAY(E92,-(Setup!$C$13+Setup!$G$23),Setup!$C$39:$C$50))&lt;=Setup!$C$16),OR(MONTH(WORKDAY(E92,-(Setup!$C$13+Setup!$G$23),Setup!$C$39:$C$50))&gt;=Setup!$C$15,MONTH(WORKDAY(E92,-(Setup!$C$13+Setup!$G$23),Setup!$C$39:$C$50))&lt;=Setup!$C$16))),WORKDAY(E92,-(Setup!$C$13+Setup!$G$23+Setup!$C$14),Setup!$C$39:$C$50),WORKDAY(E92,-(Setup!$C$13+Setup!$G$23),Setup!$C$39:$C$50))+(87*100+4)/10000000)))</f>
        <v/>
      </c>
      <c r="V92" t="str">
        <f>IF(F92="","",IF(F92&lt;Setup!$C$5-Setup!$C$6,"",IF(IF(ISNUMBER(Roster!$D92),Setup!$C$24&lt;=Roster!$D92,FALSE),"",IF(OR(IF(Setup!$C$15&lt;=Setup!$C$16,AND(MONTH(F92)&gt;=Setup!$C$15,MONTH(F92)&lt;=Setup!$C$16),OR(MONTH(F92)&gt;=Setup!$C$15,MONTH(F92)&lt;=Setup!$C$16)),IF(Setup!$C$15&lt;=Setup!$C$16,AND(MONTH(WORKDAY(F92,-(Setup!$C$13+Setup!$G$24),Setup!$C$39:$C$50))&gt;=Setup!$C$15,MONTH(WORKDAY(F92,-(Setup!$C$13+Setup!$G$24),Setup!$C$39:$C$50))&lt;=Setup!$C$16),OR(MONTH(WORKDAY(F92,-(Setup!$C$13+Setup!$G$24),Setup!$C$39:$C$50))&gt;=Setup!$C$15,MONTH(WORKDAY(F92,-(Setup!$C$13+Setup!$G$24),Setup!$C$39:$C$50))&lt;=Setup!$C$16))),WORKDAY(F92,-(Setup!$C$13+Setup!$G$24+Setup!$C$14),Setup!$C$39:$C$50),WORKDAY(F92,-(Setup!$C$13+Setup!$G$24),Setup!$C$39:$C$50))+(87*100+5)/10000000)))</f>
        <v/>
      </c>
      <c r="W92" t="str">
        <f>IF(G92="","",IF(G92&lt;Setup!$C$5-Setup!$C$6,"",IF(IF(ISNUMBER(Roster!$D92),Setup!$C$25&lt;=Roster!$D92,FALSE),"",IF(OR(IF(Setup!$C$15&lt;=Setup!$C$16,AND(MONTH(G92)&gt;=Setup!$C$15,MONTH(G92)&lt;=Setup!$C$16),OR(MONTH(G92)&gt;=Setup!$C$15,MONTH(G92)&lt;=Setup!$C$16)),IF(Setup!$C$15&lt;=Setup!$C$16,AND(MONTH(WORKDAY(G92,-(Setup!$C$13+Setup!$G$25),Setup!$C$39:$C$50))&gt;=Setup!$C$15,MONTH(WORKDAY(G92,-(Setup!$C$13+Setup!$G$25),Setup!$C$39:$C$50))&lt;=Setup!$C$16),OR(MONTH(WORKDAY(G92,-(Setup!$C$13+Setup!$G$25),Setup!$C$39:$C$50))&gt;=Setup!$C$15,MONTH(WORKDAY(G92,-(Setup!$C$13+Setup!$G$25),Setup!$C$39:$C$50))&lt;=Setup!$C$16))),WORKDAY(G92,-(Setup!$C$13+Setup!$G$25+Setup!$C$14),Setup!$C$39:$C$50),WORKDAY(G92,-(Setup!$C$13+Setup!$G$25),Setup!$C$39:$C$50))+(87*100+6)/10000000)))</f>
        <v/>
      </c>
      <c r="X92" t="str">
        <f>IF(H92="","",IF(H92&lt;Setup!$C$5-Setup!$C$6,"",IF(IF(ISNUMBER(Roster!$D92),Setup!$C$26&lt;=Roster!$D92,FALSE),"",IF(OR(IF(Setup!$C$15&lt;=Setup!$C$16,AND(MONTH(H92)&gt;=Setup!$C$15,MONTH(H92)&lt;=Setup!$C$16),OR(MONTH(H92)&gt;=Setup!$C$15,MONTH(H92)&lt;=Setup!$C$16)),IF(Setup!$C$15&lt;=Setup!$C$16,AND(MONTH(WORKDAY(H92,-(Setup!$C$13+Setup!$G$26),Setup!$C$39:$C$50))&gt;=Setup!$C$15,MONTH(WORKDAY(H92,-(Setup!$C$13+Setup!$G$26),Setup!$C$39:$C$50))&lt;=Setup!$C$16),OR(MONTH(WORKDAY(H92,-(Setup!$C$13+Setup!$G$26),Setup!$C$39:$C$50))&gt;=Setup!$C$15,MONTH(WORKDAY(H92,-(Setup!$C$13+Setup!$G$26),Setup!$C$39:$C$50))&lt;=Setup!$C$16))),WORKDAY(H92,-(Setup!$C$13+Setup!$G$26+Setup!$C$14),Setup!$C$39:$C$50),WORKDAY(H92,-(Setup!$C$13+Setup!$G$26),Setup!$C$39:$C$50))+(87*100+7)/10000000)))</f>
        <v/>
      </c>
      <c r="Y92" t="str">
        <f>IF(I92="","",IF(I92&lt;Setup!$C$5-Setup!$C$6,"",IF(IF(ISNUMBER(Roster!$D92),Setup!$C$27&lt;=Roster!$D92,FALSE),"",IF(OR(IF(Setup!$C$15&lt;=Setup!$C$16,AND(MONTH(I92)&gt;=Setup!$C$15,MONTH(I92)&lt;=Setup!$C$16),OR(MONTH(I92)&gt;=Setup!$C$15,MONTH(I92)&lt;=Setup!$C$16)),IF(Setup!$C$15&lt;=Setup!$C$16,AND(MONTH(WORKDAY(I92,-(Setup!$C$13+Setup!$G$27),Setup!$C$39:$C$50))&gt;=Setup!$C$15,MONTH(WORKDAY(I92,-(Setup!$C$13+Setup!$G$27),Setup!$C$39:$C$50))&lt;=Setup!$C$16),OR(MONTH(WORKDAY(I92,-(Setup!$C$13+Setup!$G$27),Setup!$C$39:$C$50))&gt;=Setup!$C$15,MONTH(WORKDAY(I92,-(Setup!$C$13+Setup!$G$27),Setup!$C$39:$C$50))&lt;=Setup!$C$16))),WORKDAY(I92,-(Setup!$C$13+Setup!$G$27+Setup!$C$14),Setup!$C$39:$C$50),WORKDAY(I92,-(Setup!$C$13+Setup!$G$27),Setup!$C$39:$C$50))+(87*100+8)/10000000)))</f>
        <v/>
      </c>
      <c r="Z92" t="str">
        <f>IF(J92="","",IF(J92&lt;Setup!$C$5-Setup!$C$6,"",IF(IF(ISNUMBER(Roster!$D92),Setup!$C$28&lt;=Roster!$D92,FALSE),"",IF(OR(IF(Setup!$C$15&lt;=Setup!$C$16,AND(MONTH(J92)&gt;=Setup!$C$15,MONTH(J92)&lt;=Setup!$C$16),OR(MONTH(J92)&gt;=Setup!$C$15,MONTH(J92)&lt;=Setup!$C$16)),IF(Setup!$C$15&lt;=Setup!$C$16,AND(MONTH(WORKDAY(J92,-(Setup!$C$13+Setup!$G$28),Setup!$C$39:$C$50))&gt;=Setup!$C$15,MONTH(WORKDAY(J92,-(Setup!$C$13+Setup!$G$28),Setup!$C$39:$C$50))&lt;=Setup!$C$16),OR(MONTH(WORKDAY(J92,-(Setup!$C$13+Setup!$G$28),Setup!$C$39:$C$50))&gt;=Setup!$C$15,MONTH(WORKDAY(J92,-(Setup!$C$13+Setup!$G$28),Setup!$C$39:$C$50))&lt;=Setup!$C$16))),WORKDAY(J92,-(Setup!$C$13+Setup!$G$28+Setup!$C$14),Setup!$C$39:$C$50),WORKDAY(J92,-(Setup!$C$13+Setup!$G$28),Setup!$C$39:$C$50))+(87*100+9)/10000000)))</f>
        <v/>
      </c>
      <c r="AA92" t="str">
        <f>IF(K92="","",IF(K92&lt;Setup!$C$5-Setup!$C$6,"",IF(IF(ISNUMBER(Roster!$D92),Setup!$C$29&lt;=Roster!$D92,FALSE),"",IF(OR(IF(Setup!$C$15&lt;=Setup!$C$16,AND(MONTH(K92)&gt;=Setup!$C$15,MONTH(K92)&lt;=Setup!$C$16),OR(MONTH(K92)&gt;=Setup!$C$15,MONTH(K92)&lt;=Setup!$C$16)),IF(Setup!$C$15&lt;=Setup!$C$16,AND(MONTH(WORKDAY(K92,-(Setup!$C$13+Setup!$G$29),Setup!$C$39:$C$50))&gt;=Setup!$C$15,MONTH(WORKDAY(K92,-(Setup!$C$13+Setup!$G$29),Setup!$C$39:$C$50))&lt;=Setup!$C$16),OR(MONTH(WORKDAY(K92,-(Setup!$C$13+Setup!$G$29),Setup!$C$39:$C$50))&gt;=Setup!$C$15,MONTH(WORKDAY(K92,-(Setup!$C$13+Setup!$G$29),Setup!$C$39:$C$50))&lt;=Setup!$C$16))),WORKDAY(K92,-(Setup!$C$13+Setup!$G$29+Setup!$C$14),Setup!$C$39:$C$50),WORKDAY(K92,-(Setup!$C$13+Setup!$G$29),Setup!$C$39:$C$50))+(87*100+10)/10000000)))</f>
        <v/>
      </c>
      <c r="AB92" t="str">
        <f>IF(L92="","",IF(L92&lt;Setup!$C$5-Setup!$C$6,"",IF(IF(ISNUMBER(Roster!$D92),Setup!$C$30&lt;=Roster!$D92,FALSE),"",IF(OR(IF(Setup!$C$15&lt;=Setup!$C$16,AND(MONTH(L92)&gt;=Setup!$C$15,MONTH(L92)&lt;=Setup!$C$16),OR(MONTH(L92)&gt;=Setup!$C$15,MONTH(L92)&lt;=Setup!$C$16)),IF(Setup!$C$15&lt;=Setup!$C$16,AND(MONTH(WORKDAY(L92,-(Setup!$C$13+Setup!$G$30),Setup!$C$39:$C$50))&gt;=Setup!$C$15,MONTH(WORKDAY(L92,-(Setup!$C$13+Setup!$G$30),Setup!$C$39:$C$50))&lt;=Setup!$C$16),OR(MONTH(WORKDAY(L92,-(Setup!$C$13+Setup!$G$30),Setup!$C$39:$C$50))&gt;=Setup!$C$15,MONTH(WORKDAY(L92,-(Setup!$C$13+Setup!$G$30),Setup!$C$39:$C$50))&lt;=Setup!$C$16))),WORKDAY(L92,-(Setup!$C$13+Setup!$G$30+Setup!$C$14),Setup!$C$39:$C$50),WORKDAY(L92,-(Setup!$C$13+Setup!$G$30),Setup!$C$39:$C$50))+(87*100+11)/10000000)))</f>
        <v/>
      </c>
      <c r="AC92" t="str">
        <f>IF(M92="","",IF(M92&lt;Setup!$C$5-Setup!$C$6,"",IF(IF(ISNUMBER(Roster!$D92),Setup!$C$31&lt;=Roster!$D92,FALSE),"",IF(OR(IF(Setup!$C$15&lt;=Setup!$C$16,AND(MONTH(M92)&gt;=Setup!$C$15,MONTH(M92)&lt;=Setup!$C$16),OR(MONTH(M92)&gt;=Setup!$C$15,MONTH(M92)&lt;=Setup!$C$16)),IF(Setup!$C$15&lt;=Setup!$C$16,AND(MONTH(WORKDAY(M92,-(Setup!$C$13+Setup!$G$31),Setup!$C$39:$C$50))&gt;=Setup!$C$15,MONTH(WORKDAY(M92,-(Setup!$C$13+Setup!$G$31),Setup!$C$39:$C$50))&lt;=Setup!$C$16),OR(MONTH(WORKDAY(M92,-(Setup!$C$13+Setup!$G$31),Setup!$C$39:$C$50))&gt;=Setup!$C$15,MONTH(WORKDAY(M92,-(Setup!$C$13+Setup!$G$31),Setup!$C$39:$C$50))&lt;=Setup!$C$16))),WORKDAY(M92,-(Setup!$C$13+Setup!$G$31+Setup!$C$14),Setup!$C$39:$C$50),WORKDAY(M92,-(Setup!$C$13+Setup!$G$31),Setup!$C$39:$C$50))+(87*100+12)/10000000)))</f>
        <v/>
      </c>
      <c r="AD92" t="str">
        <f>IF(N92="","",IF(N92&lt;Setup!$C$5-Setup!$C$6,"",IF(IF(ISNUMBER(Roster!$D92),Setup!$C$32&lt;=Roster!$D92,FALSE),"",IF(OR(IF(Setup!$C$15&lt;=Setup!$C$16,AND(MONTH(N92)&gt;=Setup!$C$15,MONTH(N92)&lt;=Setup!$C$16),OR(MONTH(N92)&gt;=Setup!$C$15,MONTH(N92)&lt;=Setup!$C$16)),IF(Setup!$C$15&lt;=Setup!$C$16,AND(MONTH(WORKDAY(N92,-(Setup!$C$13+Setup!$G$32),Setup!$C$39:$C$50))&gt;=Setup!$C$15,MONTH(WORKDAY(N92,-(Setup!$C$13+Setup!$G$32),Setup!$C$39:$C$50))&lt;=Setup!$C$16),OR(MONTH(WORKDAY(N92,-(Setup!$C$13+Setup!$G$32),Setup!$C$39:$C$50))&gt;=Setup!$C$15,MONTH(WORKDAY(N92,-(Setup!$C$13+Setup!$G$32),Setup!$C$39:$C$50))&lt;=Setup!$C$16))),WORKDAY(N92,-(Setup!$C$13+Setup!$G$32+Setup!$C$14),Setup!$C$39:$C$50),WORKDAY(N92,-(Setup!$C$13+Setup!$G$32),Setup!$C$39:$C$50))+(87*100+13)/10000000)))</f>
        <v/>
      </c>
      <c r="AE92" t="str">
        <f>IF(O92="","",IF(O92&lt;Setup!$C$5-Setup!$C$6,"",IF(IF(ISNUMBER(Roster!$D92),Setup!$C$33&lt;=Roster!$D92,FALSE),"",IF(OR(IF(Setup!$C$15&lt;=Setup!$C$16,AND(MONTH(O92)&gt;=Setup!$C$15,MONTH(O92)&lt;=Setup!$C$16),OR(MONTH(O92)&gt;=Setup!$C$15,MONTH(O92)&lt;=Setup!$C$16)),IF(Setup!$C$15&lt;=Setup!$C$16,AND(MONTH(WORKDAY(O92,-(Setup!$C$13+Setup!$G$33),Setup!$C$39:$C$50))&gt;=Setup!$C$15,MONTH(WORKDAY(O92,-(Setup!$C$13+Setup!$G$33),Setup!$C$39:$C$50))&lt;=Setup!$C$16),OR(MONTH(WORKDAY(O92,-(Setup!$C$13+Setup!$G$33),Setup!$C$39:$C$50))&gt;=Setup!$C$15,MONTH(WORKDAY(O92,-(Setup!$C$13+Setup!$G$33),Setup!$C$39:$C$50))&lt;=Setup!$C$16))),WORKDAY(O92,-(Setup!$C$13+Setup!$G$33+Setup!$C$14),Setup!$C$39:$C$50),WORKDAY(O92,-(Setup!$C$13+Setup!$G$33),Setup!$C$39:$C$50))+(87*100+14)/10000000)))</f>
        <v/>
      </c>
      <c r="AF92" t="str">
        <f>IF(P92="","",IF(P92&lt;Setup!$C$5-Setup!$C$6,"",IF(IF(ISNUMBER(Roster!$D92),Setup!$C$34&lt;=Roster!$D92,FALSE),"",IF(OR(IF(Setup!$C$15&lt;=Setup!$C$16,AND(MONTH(P92)&gt;=Setup!$C$15,MONTH(P92)&lt;=Setup!$C$16),OR(MONTH(P92)&gt;=Setup!$C$15,MONTH(P92)&lt;=Setup!$C$16)),IF(Setup!$C$15&lt;=Setup!$C$16,AND(MONTH(WORKDAY(P92,-(Setup!$C$13+Setup!$G$34),Setup!$C$39:$C$50))&gt;=Setup!$C$15,MONTH(WORKDAY(P92,-(Setup!$C$13+Setup!$G$34),Setup!$C$39:$C$50))&lt;=Setup!$C$16),OR(MONTH(WORKDAY(P92,-(Setup!$C$13+Setup!$G$34),Setup!$C$39:$C$50))&gt;=Setup!$C$15,MONTH(WORKDAY(P92,-(Setup!$C$13+Setup!$G$34),Setup!$C$39:$C$50))&lt;=Setup!$C$16))),WORKDAY(P92,-(Setup!$C$13+Setup!$G$34+Setup!$C$14),Setup!$C$39:$C$50),WORKDAY(P92,-(Setup!$C$13+Setup!$G$34),Setup!$C$39:$C$50))+(87*100+15)/10000000)))</f>
        <v/>
      </c>
      <c r="AH92" t="str">
        <f t="shared" si="9"/>
        <v/>
      </c>
      <c r="AI92" t="str">
        <f t="shared" si="10"/>
        <v/>
      </c>
      <c r="AK92" t="str">
        <f ca="1">IF(87&gt;$AK$2,"",SMALL($R$6:$AF$505,87))</f>
        <v/>
      </c>
      <c r="AL92" t="str">
        <f t="shared" ca="1" si="11"/>
        <v/>
      </c>
      <c r="AM92" t="str">
        <f t="shared" ca="1" si="12"/>
        <v/>
      </c>
      <c r="AN92" t="str">
        <f t="shared" ca="1" si="13"/>
        <v/>
      </c>
      <c r="AP92" t="str">
        <f>IF(ISNUMBER(Roster!$B92),MAX(1,YEAR(Setup!$C$5)-YEAR(Roster!$B92)+IF(EDATE(Roster!$B92,12*(YEAR(Setup!$C$5)-YEAR(Roster!$B92)))&lt;Setup!$C$5,1,0)),"")</f>
        <v/>
      </c>
      <c r="AQ92" s="32" t="str">
        <f>IF(AP92="","",EDATE(Roster!$B92,12*AP92))</f>
        <v/>
      </c>
      <c r="AR92" t="str">
        <f>IF(AQ92="","",IF(AQ92&lt;DATE(YEAR(Setup!$C$5)+1,MONTH(Setup!$C$5),DAY(Setup!$C$5)),AQ92+87/1000,""))</f>
        <v/>
      </c>
      <c r="AS92" t="str">
        <f t="shared" si="14"/>
        <v/>
      </c>
      <c r="AT92" t="str">
        <f>IF(AS92="","",IF(ISNUMBER(Roster!$D92),Roster!$D92&gt;=AP92,FALSE))</f>
        <v/>
      </c>
      <c r="AU92" t="str">
        <f t="shared" si="15"/>
        <v/>
      </c>
      <c r="AV92" t="str">
        <f ca="1">IF(87&gt;$AV$2,"",SMALL($AR$6:$AR$505,87))</f>
        <v/>
      </c>
      <c r="AW92" t="str">
        <f t="shared" ca="1" si="16"/>
        <v/>
      </c>
    </row>
    <row r="93" spans="2:49" x14ac:dyDescent="0.2">
      <c r="B93" s="32" t="str">
        <f>IF(AND(ISNUMBER(Roster!$B93),Setup!$B$20="Yes",ISNUMBER(Setup!$C$20)),EDATE(Roster!$B93,12*Setup!$C$20),"")</f>
        <v/>
      </c>
      <c r="C93" s="32" t="str">
        <f>IF(AND(ISNUMBER(Roster!$B93),Setup!$B$21="Yes",ISNUMBER(Setup!$C$21)),EDATE(Roster!$B93,12*Setup!$C$21),"")</f>
        <v/>
      </c>
      <c r="D93" s="32" t="str">
        <f>IF(AND(ISNUMBER(Roster!$B93),Setup!$B$22="Yes",ISNUMBER(Setup!$C$22)),EDATE(Roster!$B93,12*Setup!$C$22),"")</f>
        <v/>
      </c>
      <c r="E93" s="32" t="str">
        <f>IF(AND(ISNUMBER(Roster!$B93),Setup!$B$23="Yes",ISNUMBER(Setup!$C$23)),EDATE(Roster!$B93,12*Setup!$C$23),"")</f>
        <v/>
      </c>
      <c r="F93" s="32" t="str">
        <f>IF(AND(ISNUMBER(Roster!$B93),Setup!$B$24="Yes",ISNUMBER(Setup!$C$24)),EDATE(Roster!$B93,12*Setup!$C$24),"")</f>
        <v/>
      </c>
      <c r="G93" s="32" t="str">
        <f>IF(AND(ISNUMBER(Roster!$B93),Setup!$B$25="Yes",ISNUMBER(Setup!$C$25)),EDATE(Roster!$B93,12*Setup!$C$25),"")</f>
        <v/>
      </c>
      <c r="H93" s="32" t="str">
        <f>IF(AND(ISNUMBER(Roster!$B93),Setup!$B$26="Yes",ISNUMBER(Setup!$C$26)),EDATE(Roster!$B93,12*Setup!$C$26),"")</f>
        <v/>
      </c>
      <c r="I93" s="32" t="str">
        <f>IF(AND(ISNUMBER(Roster!$B93),Setup!$B$27="Yes",ISNUMBER(Setup!$C$27)),EDATE(Roster!$B93,12*Setup!$C$27),"")</f>
        <v/>
      </c>
      <c r="J93" s="32" t="str">
        <f>IF(AND(ISNUMBER(Roster!$B93),Setup!$B$28="Yes",ISNUMBER(Setup!$C$28)),EDATE(Roster!$B93,12*Setup!$C$28),"")</f>
        <v/>
      </c>
      <c r="K93" s="32" t="str">
        <f>IF(AND(ISNUMBER(Roster!$B93),Setup!$B$29="Yes",ISNUMBER(Setup!$C$29)),EDATE(Roster!$B93,12*Setup!$C$29),"")</f>
        <v/>
      </c>
      <c r="L93" s="32" t="str">
        <f>IF(AND(ISNUMBER(Roster!$B93),Setup!$B$30="Yes",ISNUMBER(Setup!$C$30)),EDATE(Roster!$B93,12*Setup!$C$30),"")</f>
        <v/>
      </c>
      <c r="M93" s="32" t="str">
        <f>IF(AND(ISNUMBER(Roster!$B93),Setup!$B$31="Yes",ISNUMBER(Setup!$C$31)),EDATE(Roster!$B93,12*Setup!$C$31),"")</f>
        <v/>
      </c>
      <c r="N93" s="32" t="str">
        <f>IF(AND(ISNUMBER(Roster!$B93),Setup!$B$32="Yes",ISNUMBER(Setup!$C$32)),EDATE(Roster!$B93,12*Setup!$C$32),"")</f>
        <v/>
      </c>
      <c r="O93" s="32" t="str">
        <f>IF(AND(ISNUMBER(Roster!$B93),Setup!$B$33="Yes",ISNUMBER(Setup!$C$33)),EDATE(Roster!$B93,12*Setup!$C$33),"")</f>
        <v/>
      </c>
      <c r="P93" s="32" t="str">
        <f>IF(AND(ISNUMBER(Roster!$B93),Setup!$B$34="Yes",ISNUMBER(Setup!$C$34)),EDATE(Roster!$B93,12*Setup!$C$34),"")</f>
        <v/>
      </c>
      <c r="R93" t="str">
        <f>IF(B93="","",IF(B93&lt;Setup!$C$5-Setup!$C$6,"",IF(IF(ISNUMBER(Roster!$D93),Setup!$C$20&lt;=Roster!$D93,FALSE),"",IF(OR(IF(Setup!$C$15&lt;=Setup!$C$16,AND(MONTH(B93)&gt;=Setup!$C$15,MONTH(B93)&lt;=Setup!$C$16),OR(MONTH(B93)&gt;=Setup!$C$15,MONTH(B93)&lt;=Setup!$C$16)),IF(Setup!$C$15&lt;=Setup!$C$16,AND(MONTH(WORKDAY(B93,-(Setup!$C$13+Setup!$G$20),Setup!$C$39:$C$50))&gt;=Setup!$C$15,MONTH(WORKDAY(B93,-(Setup!$C$13+Setup!$G$20),Setup!$C$39:$C$50))&lt;=Setup!$C$16),OR(MONTH(WORKDAY(B93,-(Setup!$C$13+Setup!$G$20),Setup!$C$39:$C$50))&gt;=Setup!$C$15,MONTH(WORKDAY(B93,-(Setup!$C$13+Setup!$G$20),Setup!$C$39:$C$50))&lt;=Setup!$C$16))),WORKDAY(B93,-(Setup!$C$13+Setup!$G$20+Setup!$C$14),Setup!$C$39:$C$50),WORKDAY(B93,-(Setup!$C$13+Setup!$G$20),Setup!$C$39:$C$50))+(88*100+1)/10000000)))</f>
        <v/>
      </c>
      <c r="S93" t="str">
        <f>IF(C93="","",IF(C93&lt;Setup!$C$5-Setup!$C$6,"",IF(IF(ISNUMBER(Roster!$D93),Setup!$C$21&lt;=Roster!$D93,FALSE),"",IF(OR(IF(Setup!$C$15&lt;=Setup!$C$16,AND(MONTH(C93)&gt;=Setup!$C$15,MONTH(C93)&lt;=Setup!$C$16),OR(MONTH(C93)&gt;=Setup!$C$15,MONTH(C93)&lt;=Setup!$C$16)),IF(Setup!$C$15&lt;=Setup!$C$16,AND(MONTH(WORKDAY(C93,-(Setup!$C$13+Setup!$G$21),Setup!$C$39:$C$50))&gt;=Setup!$C$15,MONTH(WORKDAY(C93,-(Setup!$C$13+Setup!$G$21),Setup!$C$39:$C$50))&lt;=Setup!$C$16),OR(MONTH(WORKDAY(C93,-(Setup!$C$13+Setup!$G$21),Setup!$C$39:$C$50))&gt;=Setup!$C$15,MONTH(WORKDAY(C93,-(Setup!$C$13+Setup!$G$21),Setup!$C$39:$C$50))&lt;=Setup!$C$16))),WORKDAY(C93,-(Setup!$C$13+Setup!$G$21+Setup!$C$14),Setup!$C$39:$C$50),WORKDAY(C93,-(Setup!$C$13+Setup!$G$21),Setup!$C$39:$C$50))+(88*100+2)/10000000)))</f>
        <v/>
      </c>
      <c r="T93" t="str">
        <f>IF(D93="","",IF(D93&lt;Setup!$C$5-Setup!$C$6,"",IF(IF(ISNUMBER(Roster!$D93),Setup!$C$22&lt;=Roster!$D93,FALSE),"",IF(OR(IF(Setup!$C$15&lt;=Setup!$C$16,AND(MONTH(D93)&gt;=Setup!$C$15,MONTH(D93)&lt;=Setup!$C$16),OR(MONTH(D93)&gt;=Setup!$C$15,MONTH(D93)&lt;=Setup!$C$16)),IF(Setup!$C$15&lt;=Setup!$C$16,AND(MONTH(WORKDAY(D93,-(Setup!$C$13+Setup!$G$22),Setup!$C$39:$C$50))&gt;=Setup!$C$15,MONTH(WORKDAY(D93,-(Setup!$C$13+Setup!$G$22),Setup!$C$39:$C$50))&lt;=Setup!$C$16),OR(MONTH(WORKDAY(D93,-(Setup!$C$13+Setup!$G$22),Setup!$C$39:$C$50))&gt;=Setup!$C$15,MONTH(WORKDAY(D93,-(Setup!$C$13+Setup!$G$22),Setup!$C$39:$C$50))&lt;=Setup!$C$16))),WORKDAY(D93,-(Setup!$C$13+Setup!$G$22+Setup!$C$14),Setup!$C$39:$C$50),WORKDAY(D93,-(Setup!$C$13+Setup!$G$22),Setup!$C$39:$C$50))+(88*100+3)/10000000)))</f>
        <v/>
      </c>
      <c r="U93" t="str">
        <f>IF(E93="","",IF(E93&lt;Setup!$C$5-Setup!$C$6,"",IF(IF(ISNUMBER(Roster!$D93),Setup!$C$23&lt;=Roster!$D93,FALSE),"",IF(OR(IF(Setup!$C$15&lt;=Setup!$C$16,AND(MONTH(E93)&gt;=Setup!$C$15,MONTH(E93)&lt;=Setup!$C$16),OR(MONTH(E93)&gt;=Setup!$C$15,MONTH(E93)&lt;=Setup!$C$16)),IF(Setup!$C$15&lt;=Setup!$C$16,AND(MONTH(WORKDAY(E93,-(Setup!$C$13+Setup!$G$23),Setup!$C$39:$C$50))&gt;=Setup!$C$15,MONTH(WORKDAY(E93,-(Setup!$C$13+Setup!$G$23),Setup!$C$39:$C$50))&lt;=Setup!$C$16),OR(MONTH(WORKDAY(E93,-(Setup!$C$13+Setup!$G$23),Setup!$C$39:$C$50))&gt;=Setup!$C$15,MONTH(WORKDAY(E93,-(Setup!$C$13+Setup!$G$23),Setup!$C$39:$C$50))&lt;=Setup!$C$16))),WORKDAY(E93,-(Setup!$C$13+Setup!$G$23+Setup!$C$14),Setup!$C$39:$C$50),WORKDAY(E93,-(Setup!$C$13+Setup!$G$23),Setup!$C$39:$C$50))+(88*100+4)/10000000)))</f>
        <v/>
      </c>
      <c r="V93" t="str">
        <f>IF(F93="","",IF(F93&lt;Setup!$C$5-Setup!$C$6,"",IF(IF(ISNUMBER(Roster!$D93),Setup!$C$24&lt;=Roster!$D93,FALSE),"",IF(OR(IF(Setup!$C$15&lt;=Setup!$C$16,AND(MONTH(F93)&gt;=Setup!$C$15,MONTH(F93)&lt;=Setup!$C$16),OR(MONTH(F93)&gt;=Setup!$C$15,MONTH(F93)&lt;=Setup!$C$16)),IF(Setup!$C$15&lt;=Setup!$C$16,AND(MONTH(WORKDAY(F93,-(Setup!$C$13+Setup!$G$24),Setup!$C$39:$C$50))&gt;=Setup!$C$15,MONTH(WORKDAY(F93,-(Setup!$C$13+Setup!$G$24),Setup!$C$39:$C$50))&lt;=Setup!$C$16),OR(MONTH(WORKDAY(F93,-(Setup!$C$13+Setup!$G$24),Setup!$C$39:$C$50))&gt;=Setup!$C$15,MONTH(WORKDAY(F93,-(Setup!$C$13+Setup!$G$24),Setup!$C$39:$C$50))&lt;=Setup!$C$16))),WORKDAY(F93,-(Setup!$C$13+Setup!$G$24+Setup!$C$14),Setup!$C$39:$C$50),WORKDAY(F93,-(Setup!$C$13+Setup!$G$24),Setup!$C$39:$C$50))+(88*100+5)/10000000)))</f>
        <v/>
      </c>
      <c r="W93" t="str">
        <f>IF(G93="","",IF(G93&lt;Setup!$C$5-Setup!$C$6,"",IF(IF(ISNUMBER(Roster!$D93),Setup!$C$25&lt;=Roster!$D93,FALSE),"",IF(OR(IF(Setup!$C$15&lt;=Setup!$C$16,AND(MONTH(G93)&gt;=Setup!$C$15,MONTH(G93)&lt;=Setup!$C$16),OR(MONTH(G93)&gt;=Setup!$C$15,MONTH(G93)&lt;=Setup!$C$16)),IF(Setup!$C$15&lt;=Setup!$C$16,AND(MONTH(WORKDAY(G93,-(Setup!$C$13+Setup!$G$25),Setup!$C$39:$C$50))&gt;=Setup!$C$15,MONTH(WORKDAY(G93,-(Setup!$C$13+Setup!$G$25),Setup!$C$39:$C$50))&lt;=Setup!$C$16),OR(MONTH(WORKDAY(G93,-(Setup!$C$13+Setup!$G$25),Setup!$C$39:$C$50))&gt;=Setup!$C$15,MONTH(WORKDAY(G93,-(Setup!$C$13+Setup!$G$25),Setup!$C$39:$C$50))&lt;=Setup!$C$16))),WORKDAY(G93,-(Setup!$C$13+Setup!$G$25+Setup!$C$14),Setup!$C$39:$C$50),WORKDAY(G93,-(Setup!$C$13+Setup!$G$25),Setup!$C$39:$C$50))+(88*100+6)/10000000)))</f>
        <v/>
      </c>
      <c r="X93" t="str">
        <f>IF(H93="","",IF(H93&lt;Setup!$C$5-Setup!$C$6,"",IF(IF(ISNUMBER(Roster!$D93),Setup!$C$26&lt;=Roster!$D93,FALSE),"",IF(OR(IF(Setup!$C$15&lt;=Setup!$C$16,AND(MONTH(H93)&gt;=Setup!$C$15,MONTH(H93)&lt;=Setup!$C$16),OR(MONTH(H93)&gt;=Setup!$C$15,MONTH(H93)&lt;=Setup!$C$16)),IF(Setup!$C$15&lt;=Setup!$C$16,AND(MONTH(WORKDAY(H93,-(Setup!$C$13+Setup!$G$26),Setup!$C$39:$C$50))&gt;=Setup!$C$15,MONTH(WORKDAY(H93,-(Setup!$C$13+Setup!$G$26),Setup!$C$39:$C$50))&lt;=Setup!$C$16),OR(MONTH(WORKDAY(H93,-(Setup!$C$13+Setup!$G$26),Setup!$C$39:$C$50))&gt;=Setup!$C$15,MONTH(WORKDAY(H93,-(Setup!$C$13+Setup!$G$26),Setup!$C$39:$C$50))&lt;=Setup!$C$16))),WORKDAY(H93,-(Setup!$C$13+Setup!$G$26+Setup!$C$14),Setup!$C$39:$C$50),WORKDAY(H93,-(Setup!$C$13+Setup!$G$26),Setup!$C$39:$C$50))+(88*100+7)/10000000)))</f>
        <v/>
      </c>
      <c r="Y93" t="str">
        <f>IF(I93="","",IF(I93&lt;Setup!$C$5-Setup!$C$6,"",IF(IF(ISNUMBER(Roster!$D93),Setup!$C$27&lt;=Roster!$D93,FALSE),"",IF(OR(IF(Setup!$C$15&lt;=Setup!$C$16,AND(MONTH(I93)&gt;=Setup!$C$15,MONTH(I93)&lt;=Setup!$C$16),OR(MONTH(I93)&gt;=Setup!$C$15,MONTH(I93)&lt;=Setup!$C$16)),IF(Setup!$C$15&lt;=Setup!$C$16,AND(MONTH(WORKDAY(I93,-(Setup!$C$13+Setup!$G$27),Setup!$C$39:$C$50))&gt;=Setup!$C$15,MONTH(WORKDAY(I93,-(Setup!$C$13+Setup!$G$27),Setup!$C$39:$C$50))&lt;=Setup!$C$16),OR(MONTH(WORKDAY(I93,-(Setup!$C$13+Setup!$G$27),Setup!$C$39:$C$50))&gt;=Setup!$C$15,MONTH(WORKDAY(I93,-(Setup!$C$13+Setup!$G$27),Setup!$C$39:$C$50))&lt;=Setup!$C$16))),WORKDAY(I93,-(Setup!$C$13+Setup!$G$27+Setup!$C$14),Setup!$C$39:$C$50),WORKDAY(I93,-(Setup!$C$13+Setup!$G$27),Setup!$C$39:$C$50))+(88*100+8)/10000000)))</f>
        <v/>
      </c>
      <c r="Z93" t="str">
        <f>IF(J93="","",IF(J93&lt;Setup!$C$5-Setup!$C$6,"",IF(IF(ISNUMBER(Roster!$D93),Setup!$C$28&lt;=Roster!$D93,FALSE),"",IF(OR(IF(Setup!$C$15&lt;=Setup!$C$16,AND(MONTH(J93)&gt;=Setup!$C$15,MONTH(J93)&lt;=Setup!$C$16),OR(MONTH(J93)&gt;=Setup!$C$15,MONTH(J93)&lt;=Setup!$C$16)),IF(Setup!$C$15&lt;=Setup!$C$16,AND(MONTH(WORKDAY(J93,-(Setup!$C$13+Setup!$G$28),Setup!$C$39:$C$50))&gt;=Setup!$C$15,MONTH(WORKDAY(J93,-(Setup!$C$13+Setup!$G$28),Setup!$C$39:$C$50))&lt;=Setup!$C$16),OR(MONTH(WORKDAY(J93,-(Setup!$C$13+Setup!$G$28),Setup!$C$39:$C$50))&gt;=Setup!$C$15,MONTH(WORKDAY(J93,-(Setup!$C$13+Setup!$G$28),Setup!$C$39:$C$50))&lt;=Setup!$C$16))),WORKDAY(J93,-(Setup!$C$13+Setup!$G$28+Setup!$C$14),Setup!$C$39:$C$50),WORKDAY(J93,-(Setup!$C$13+Setup!$G$28),Setup!$C$39:$C$50))+(88*100+9)/10000000)))</f>
        <v/>
      </c>
      <c r="AA93" t="str">
        <f>IF(K93="","",IF(K93&lt;Setup!$C$5-Setup!$C$6,"",IF(IF(ISNUMBER(Roster!$D93),Setup!$C$29&lt;=Roster!$D93,FALSE),"",IF(OR(IF(Setup!$C$15&lt;=Setup!$C$16,AND(MONTH(K93)&gt;=Setup!$C$15,MONTH(K93)&lt;=Setup!$C$16),OR(MONTH(K93)&gt;=Setup!$C$15,MONTH(K93)&lt;=Setup!$C$16)),IF(Setup!$C$15&lt;=Setup!$C$16,AND(MONTH(WORKDAY(K93,-(Setup!$C$13+Setup!$G$29),Setup!$C$39:$C$50))&gt;=Setup!$C$15,MONTH(WORKDAY(K93,-(Setup!$C$13+Setup!$G$29),Setup!$C$39:$C$50))&lt;=Setup!$C$16),OR(MONTH(WORKDAY(K93,-(Setup!$C$13+Setup!$G$29),Setup!$C$39:$C$50))&gt;=Setup!$C$15,MONTH(WORKDAY(K93,-(Setup!$C$13+Setup!$G$29),Setup!$C$39:$C$50))&lt;=Setup!$C$16))),WORKDAY(K93,-(Setup!$C$13+Setup!$G$29+Setup!$C$14),Setup!$C$39:$C$50),WORKDAY(K93,-(Setup!$C$13+Setup!$G$29),Setup!$C$39:$C$50))+(88*100+10)/10000000)))</f>
        <v/>
      </c>
      <c r="AB93" t="str">
        <f>IF(L93="","",IF(L93&lt;Setup!$C$5-Setup!$C$6,"",IF(IF(ISNUMBER(Roster!$D93),Setup!$C$30&lt;=Roster!$D93,FALSE),"",IF(OR(IF(Setup!$C$15&lt;=Setup!$C$16,AND(MONTH(L93)&gt;=Setup!$C$15,MONTH(L93)&lt;=Setup!$C$16),OR(MONTH(L93)&gt;=Setup!$C$15,MONTH(L93)&lt;=Setup!$C$16)),IF(Setup!$C$15&lt;=Setup!$C$16,AND(MONTH(WORKDAY(L93,-(Setup!$C$13+Setup!$G$30),Setup!$C$39:$C$50))&gt;=Setup!$C$15,MONTH(WORKDAY(L93,-(Setup!$C$13+Setup!$G$30),Setup!$C$39:$C$50))&lt;=Setup!$C$16),OR(MONTH(WORKDAY(L93,-(Setup!$C$13+Setup!$G$30),Setup!$C$39:$C$50))&gt;=Setup!$C$15,MONTH(WORKDAY(L93,-(Setup!$C$13+Setup!$G$30),Setup!$C$39:$C$50))&lt;=Setup!$C$16))),WORKDAY(L93,-(Setup!$C$13+Setup!$G$30+Setup!$C$14),Setup!$C$39:$C$50),WORKDAY(L93,-(Setup!$C$13+Setup!$G$30),Setup!$C$39:$C$50))+(88*100+11)/10000000)))</f>
        <v/>
      </c>
      <c r="AC93" t="str">
        <f>IF(M93="","",IF(M93&lt;Setup!$C$5-Setup!$C$6,"",IF(IF(ISNUMBER(Roster!$D93),Setup!$C$31&lt;=Roster!$D93,FALSE),"",IF(OR(IF(Setup!$C$15&lt;=Setup!$C$16,AND(MONTH(M93)&gt;=Setup!$C$15,MONTH(M93)&lt;=Setup!$C$16),OR(MONTH(M93)&gt;=Setup!$C$15,MONTH(M93)&lt;=Setup!$C$16)),IF(Setup!$C$15&lt;=Setup!$C$16,AND(MONTH(WORKDAY(M93,-(Setup!$C$13+Setup!$G$31),Setup!$C$39:$C$50))&gt;=Setup!$C$15,MONTH(WORKDAY(M93,-(Setup!$C$13+Setup!$G$31),Setup!$C$39:$C$50))&lt;=Setup!$C$16),OR(MONTH(WORKDAY(M93,-(Setup!$C$13+Setup!$G$31),Setup!$C$39:$C$50))&gt;=Setup!$C$15,MONTH(WORKDAY(M93,-(Setup!$C$13+Setup!$G$31),Setup!$C$39:$C$50))&lt;=Setup!$C$16))),WORKDAY(M93,-(Setup!$C$13+Setup!$G$31+Setup!$C$14),Setup!$C$39:$C$50),WORKDAY(M93,-(Setup!$C$13+Setup!$G$31),Setup!$C$39:$C$50))+(88*100+12)/10000000)))</f>
        <v/>
      </c>
      <c r="AD93" t="str">
        <f>IF(N93="","",IF(N93&lt;Setup!$C$5-Setup!$C$6,"",IF(IF(ISNUMBER(Roster!$D93),Setup!$C$32&lt;=Roster!$D93,FALSE),"",IF(OR(IF(Setup!$C$15&lt;=Setup!$C$16,AND(MONTH(N93)&gt;=Setup!$C$15,MONTH(N93)&lt;=Setup!$C$16),OR(MONTH(N93)&gt;=Setup!$C$15,MONTH(N93)&lt;=Setup!$C$16)),IF(Setup!$C$15&lt;=Setup!$C$16,AND(MONTH(WORKDAY(N93,-(Setup!$C$13+Setup!$G$32),Setup!$C$39:$C$50))&gt;=Setup!$C$15,MONTH(WORKDAY(N93,-(Setup!$C$13+Setup!$G$32),Setup!$C$39:$C$50))&lt;=Setup!$C$16),OR(MONTH(WORKDAY(N93,-(Setup!$C$13+Setup!$G$32),Setup!$C$39:$C$50))&gt;=Setup!$C$15,MONTH(WORKDAY(N93,-(Setup!$C$13+Setup!$G$32),Setup!$C$39:$C$50))&lt;=Setup!$C$16))),WORKDAY(N93,-(Setup!$C$13+Setup!$G$32+Setup!$C$14),Setup!$C$39:$C$50),WORKDAY(N93,-(Setup!$C$13+Setup!$G$32),Setup!$C$39:$C$50))+(88*100+13)/10000000)))</f>
        <v/>
      </c>
      <c r="AE93" t="str">
        <f>IF(O93="","",IF(O93&lt;Setup!$C$5-Setup!$C$6,"",IF(IF(ISNUMBER(Roster!$D93),Setup!$C$33&lt;=Roster!$D93,FALSE),"",IF(OR(IF(Setup!$C$15&lt;=Setup!$C$16,AND(MONTH(O93)&gt;=Setup!$C$15,MONTH(O93)&lt;=Setup!$C$16),OR(MONTH(O93)&gt;=Setup!$C$15,MONTH(O93)&lt;=Setup!$C$16)),IF(Setup!$C$15&lt;=Setup!$C$16,AND(MONTH(WORKDAY(O93,-(Setup!$C$13+Setup!$G$33),Setup!$C$39:$C$50))&gt;=Setup!$C$15,MONTH(WORKDAY(O93,-(Setup!$C$13+Setup!$G$33),Setup!$C$39:$C$50))&lt;=Setup!$C$16),OR(MONTH(WORKDAY(O93,-(Setup!$C$13+Setup!$G$33),Setup!$C$39:$C$50))&gt;=Setup!$C$15,MONTH(WORKDAY(O93,-(Setup!$C$13+Setup!$G$33),Setup!$C$39:$C$50))&lt;=Setup!$C$16))),WORKDAY(O93,-(Setup!$C$13+Setup!$G$33+Setup!$C$14),Setup!$C$39:$C$50),WORKDAY(O93,-(Setup!$C$13+Setup!$G$33),Setup!$C$39:$C$50))+(88*100+14)/10000000)))</f>
        <v/>
      </c>
      <c r="AF93" t="str">
        <f>IF(P93="","",IF(P93&lt;Setup!$C$5-Setup!$C$6,"",IF(IF(ISNUMBER(Roster!$D93),Setup!$C$34&lt;=Roster!$D93,FALSE),"",IF(OR(IF(Setup!$C$15&lt;=Setup!$C$16,AND(MONTH(P93)&gt;=Setup!$C$15,MONTH(P93)&lt;=Setup!$C$16),OR(MONTH(P93)&gt;=Setup!$C$15,MONTH(P93)&lt;=Setup!$C$16)),IF(Setup!$C$15&lt;=Setup!$C$16,AND(MONTH(WORKDAY(P93,-(Setup!$C$13+Setup!$G$34),Setup!$C$39:$C$50))&gt;=Setup!$C$15,MONTH(WORKDAY(P93,-(Setup!$C$13+Setup!$G$34),Setup!$C$39:$C$50))&lt;=Setup!$C$16),OR(MONTH(WORKDAY(P93,-(Setup!$C$13+Setup!$G$34),Setup!$C$39:$C$50))&gt;=Setup!$C$15,MONTH(WORKDAY(P93,-(Setup!$C$13+Setup!$G$34),Setup!$C$39:$C$50))&lt;=Setup!$C$16))),WORKDAY(P93,-(Setup!$C$13+Setup!$G$34+Setup!$C$14),Setup!$C$39:$C$50),WORKDAY(P93,-(Setup!$C$13+Setup!$G$34),Setup!$C$39:$C$50))+(88*100+15)/10000000)))</f>
        <v/>
      </c>
      <c r="AH93" t="str">
        <f t="shared" si="9"/>
        <v/>
      </c>
      <c r="AI93" t="str">
        <f t="shared" si="10"/>
        <v/>
      </c>
      <c r="AK93" t="str">
        <f ca="1">IF(88&gt;$AK$2,"",SMALL($R$6:$AF$505,88))</f>
        <v/>
      </c>
      <c r="AL93" t="str">
        <f t="shared" ca="1" si="11"/>
        <v/>
      </c>
      <c r="AM93" t="str">
        <f t="shared" ca="1" si="12"/>
        <v/>
      </c>
      <c r="AN93" t="str">
        <f t="shared" ca="1" si="13"/>
        <v/>
      </c>
      <c r="AP93" t="str">
        <f>IF(ISNUMBER(Roster!$B93),MAX(1,YEAR(Setup!$C$5)-YEAR(Roster!$B93)+IF(EDATE(Roster!$B93,12*(YEAR(Setup!$C$5)-YEAR(Roster!$B93)))&lt;Setup!$C$5,1,0)),"")</f>
        <v/>
      </c>
      <c r="AQ93" s="32" t="str">
        <f>IF(AP93="","",EDATE(Roster!$B93,12*AP93))</f>
        <v/>
      </c>
      <c r="AR93" t="str">
        <f>IF(AQ93="","",IF(AQ93&lt;DATE(YEAR(Setup!$C$5)+1,MONTH(Setup!$C$5),DAY(Setup!$C$5)),AQ93+88/1000,""))</f>
        <v/>
      </c>
      <c r="AS93" t="str">
        <f t="shared" si="14"/>
        <v/>
      </c>
      <c r="AT93" t="str">
        <f>IF(AS93="","",IF(ISNUMBER(Roster!$D93),Roster!$D93&gt;=AP93,FALSE))</f>
        <v/>
      </c>
      <c r="AU93" t="str">
        <f t="shared" si="15"/>
        <v/>
      </c>
      <c r="AV93" t="str">
        <f ca="1">IF(88&gt;$AV$2,"",SMALL($AR$6:$AR$505,88))</f>
        <v/>
      </c>
      <c r="AW93" t="str">
        <f t="shared" ca="1" si="16"/>
        <v/>
      </c>
    </row>
    <row r="94" spans="2:49" x14ac:dyDescent="0.2">
      <c r="B94" s="32" t="str">
        <f>IF(AND(ISNUMBER(Roster!$B94),Setup!$B$20="Yes",ISNUMBER(Setup!$C$20)),EDATE(Roster!$B94,12*Setup!$C$20),"")</f>
        <v/>
      </c>
      <c r="C94" s="32" t="str">
        <f>IF(AND(ISNUMBER(Roster!$B94),Setup!$B$21="Yes",ISNUMBER(Setup!$C$21)),EDATE(Roster!$B94,12*Setup!$C$21),"")</f>
        <v/>
      </c>
      <c r="D94" s="32" t="str">
        <f>IF(AND(ISNUMBER(Roster!$B94),Setup!$B$22="Yes",ISNUMBER(Setup!$C$22)),EDATE(Roster!$B94,12*Setup!$C$22),"")</f>
        <v/>
      </c>
      <c r="E94" s="32" t="str">
        <f>IF(AND(ISNUMBER(Roster!$B94),Setup!$B$23="Yes",ISNUMBER(Setup!$C$23)),EDATE(Roster!$B94,12*Setup!$C$23),"")</f>
        <v/>
      </c>
      <c r="F94" s="32" t="str">
        <f>IF(AND(ISNUMBER(Roster!$B94),Setup!$B$24="Yes",ISNUMBER(Setup!$C$24)),EDATE(Roster!$B94,12*Setup!$C$24),"")</f>
        <v/>
      </c>
      <c r="G94" s="32" t="str">
        <f>IF(AND(ISNUMBER(Roster!$B94),Setup!$B$25="Yes",ISNUMBER(Setup!$C$25)),EDATE(Roster!$B94,12*Setup!$C$25),"")</f>
        <v/>
      </c>
      <c r="H94" s="32" t="str">
        <f>IF(AND(ISNUMBER(Roster!$B94),Setup!$B$26="Yes",ISNUMBER(Setup!$C$26)),EDATE(Roster!$B94,12*Setup!$C$26),"")</f>
        <v/>
      </c>
      <c r="I94" s="32" t="str">
        <f>IF(AND(ISNUMBER(Roster!$B94),Setup!$B$27="Yes",ISNUMBER(Setup!$C$27)),EDATE(Roster!$B94,12*Setup!$C$27),"")</f>
        <v/>
      </c>
      <c r="J94" s="32" t="str">
        <f>IF(AND(ISNUMBER(Roster!$B94),Setup!$B$28="Yes",ISNUMBER(Setup!$C$28)),EDATE(Roster!$B94,12*Setup!$C$28),"")</f>
        <v/>
      </c>
      <c r="K94" s="32" t="str">
        <f>IF(AND(ISNUMBER(Roster!$B94),Setup!$B$29="Yes",ISNUMBER(Setup!$C$29)),EDATE(Roster!$B94,12*Setup!$C$29),"")</f>
        <v/>
      </c>
      <c r="L94" s="32" t="str">
        <f>IF(AND(ISNUMBER(Roster!$B94),Setup!$B$30="Yes",ISNUMBER(Setup!$C$30)),EDATE(Roster!$B94,12*Setup!$C$30),"")</f>
        <v/>
      </c>
      <c r="M94" s="32" t="str">
        <f>IF(AND(ISNUMBER(Roster!$B94),Setup!$B$31="Yes",ISNUMBER(Setup!$C$31)),EDATE(Roster!$B94,12*Setup!$C$31),"")</f>
        <v/>
      </c>
      <c r="N94" s="32" t="str">
        <f>IF(AND(ISNUMBER(Roster!$B94),Setup!$B$32="Yes",ISNUMBER(Setup!$C$32)),EDATE(Roster!$B94,12*Setup!$C$32),"")</f>
        <v/>
      </c>
      <c r="O94" s="32" t="str">
        <f>IF(AND(ISNUMBER(Roster!$B94),Setup!$B$33="Yes",ISNUMBER(Setup!$C$33)),EDATE(Roster!$B94,12*Setup!$C$33),"")</f>
        <v/>
      </c>
      <c r="P94" s="32" t="str">
        <f>IF(AND(ISNUMBER(Roster!$B94),Setup!$B$34="Yes",ISNUMBER(Setup!$C$34)),EDATE(Roster!$B94,12*Setup!$C$34),"")</f>
        <v/>
      </c>
      <c r="R94" t="str">
        <f>IF(B94="","",IF(B94&lt;Setup!$C$5-Setup!$C$6,"",IF(IF(ISNUMBER(Roster!$D94),Setup!$C$20&lt;=Roster!$D94,FALSE),"",IF(OR(IF(Setup!$C$15&lt;=Setup!$C$16,AND(MONTH(B94)&gt;=Setup!$C$15,MONTH(B94)&lt;=Setup!$C$16),OR(MONTH(B94)&gt;=Setup!$C$15,MONTH(B94)&lt;=Setup!$C$16)),IF(Setup!$C$15&lt;=Setup!$C$16,AND(MONTH(WORKDAY(B94,-(Setup!$C$13+Setup!$G$20),Setup!$C$39:$C$50))&gt;=Setup!$C$15,MONTH(WORKDAY(B94,-(Setup!$C$13+Setup!$G$20),Setup!$C$39:$C$50))&lt;=Setup!$C$16),OR(MONTH(WORKDAY(B94,-(Setup!$C$13+Setup!$G$20),Setup!$C$39:$C$50))&gt;=Setup!$C$15,MONTH(WORKDAY(B94,-(Setup!$C$13+Setup!$G$20),Setup!$C$39:$C$50))&lt;=Setup!$C$16))),WORKDAY(B94,-(Setup!$C$13+Setup!$G$20+Setup!$C$14),Setup!$C$39:$C$50),WORKDAY(B94,-(Setup!$C$13+Setup!$G$20),Setup!$C$39:$C$50))+(89*100+1)/10000000)))</f>
        <v/>
      </c>
      <c r="S94" t="str">
        <f>IF(C94="","",IF(C94&lt;Setup!$C$5-Setup!$C$6,"",IF(IF(ISNUMBER(Roster!$D94),Setup!$C$21&lt;=Roster!$D94,FALSE),"",IF(OR(IF(Setup!$C$15&lt;=Setup!$C$16,AND(MONTH(C94)&gt;=Setup!$C$15,MONTH(C94)&lt;=Setup!$C$16),OR(MONTH(C94)&gt;=Setup!$C$15,MONTH(C94)&lt;=Setup!$C$16)),IF(Setup!$C$15&lt;=Setup!$C$16,AND(MONTH(WORKDAY(C94,-(Setup!$C$13+Setup!$G$21),Setup!$C$39:$C$50))&gt;=Setup!$C$15,MONTH(WORKDAY(C94,-(Setup!$C$13+Setup!$G$21),Setup!$C$39:$C$50))&lt;=Setup!$C$16),OR(MONTH(WORKDAY(C94,-(Setup!$C$13+Setup!$G$21),Setup!$C$39:$C$50))&gt;=Setup!$C$15,MONTH(WORKDAY(C94,-(Setup!$C$13+Setup!$G$21),Setup!$C$39:$C$50))&lt;=Setup!$C$16))),WORKDAY(C94,-(Setup!$C$13+Setup!$G$21+Setup!$C$14),Setup!$C$39:$C$50),WORKDAY(C94,-(Setup!$C$13+Setup!$G$21),Setup!$C$39:$C$50))+(89*100+2)/10000000)))</f>
        <v/>
      </c>
      <c r="T94" t="str">
        <f>IF(D94="","",IF(D94&lt;Setup!$C$5-Setup!$C$6,"",IF(IF(ISNUMBER(Roster!$D94),Setup!$C$22&lt;=Roster!$D94,FALSE),"",IF(OR(IF(Setup!$C$15&lt;=Setup!$C$16,AND(MONTH(D94)&gt;=Setup!$C$15,MONTH(D94)&lt;=Setup!$C$16),OR(MONTH(D94)&gt;=Setup!$C$15,MONTH(D94)&lt;=Setup!$C$16)),IF(Setup!$C$15&lt;=Setup!$C$16,AND(MONTH(WORKDAY(D94,-(Setup!$C$13+Setup!$G$22),Setup!$C$39:$C$50))&gt;=Setup!$C$15,MONTH(WORKDAY(D94,-(Setup!$C$13+Setup!$G$22),Setup!$C$39:$C$50))&lt;=Setup!$C$16),OR(MONTH(WORKDAY(D94,-(Setup!$C$13+Setup!$G$22),Setup!$C$39:$C$50))&gt;=Setup!$C$15,MONTH(WORKDAY(D94,-(Setup!$C$13+Setup!$G$22),Setup!$C$39:$C$50))&lt;=Setup!$C$16))),WORKDAY(D94,-(Setup!$C$13+Setup!$G$22+Setup!$C$14),Setup!$C$39:$C$50),WORKDAY(D94,-(Setup!$C$13+Setup!$G$22),Setup!$C$39:$C$50))+(89*100+3)/10000000)))</f>
        <v/>
      </c>
      <c r="U94" t="str">
        <f>IF(E94="","",IF(E94&lt;Setup!$C$5-Setup!$C$6,"",IF(IF(ISNUMBER(Roster!$D94),Setup!$C$23&lt;=Roster!$D94,FALSE),"",IF(OR(IF(Setup!$C$15&lt;=Setup!$C$16,AND(MONTH(E94)&gt;=Setup!$C$15,MONTH(E94)&lt;=Setup!$C$16),OR(MONTH(E94)&gt;=Setup!$C$15,MONTH(E94)&lt;=Setup!$C$16)),IF(Setup!$C$15&lt;=Setup!$C$16,AND(MONTH(WORKDAY(E94,-(Setup!$C$13+Setup!$G$23),Setup!$C$39:$C$50))&gt;=Setup!$C$15,MONTH(WORKDAY(E94,-(Setup!$C$13+Setup!$G$23),Setup!$C$39:$C$50))&lt;=Setup!$C$16),OR(MONTH(WORKDAY(E94,-(Setup!$C$13+Setup!$G$23),Setup!$C$39:$C$50))&gt;=Setup!$C$15,MONTH(WORKDAY(E94,-(Setup!$C$13+Setup!$G$23),Setup!$C$39:$C$50))&lt;=Setup!$C$16))),WORKDAY(E94,-(Setup!$C$13+Setup!$G$23+Setup!$C$14),Setup!$C$39:$C$50),WORKDAY(E94,-(Setup!$C$13+Setup!$G$23),Setup!$C$39:$C$50))+(89*100+4)/10000000)))</f>
        <v/>
      </c>
      <c r="V94" t="str">
        <f>IF(F94="","",IF(F94&lt;Setup!$C$5-Setup!$C$6,"",IF(IF(ISNUMBER(Roster!$D94),Setup!$C$24&lt;=Roster!$D94,FALSE),"",IF(OR(IF(Setup!$C$15&lt;=Setup!$C$16,AND(MONTH(F94)&gt;=Setup!$C$15,MONTH(F94)&lt;=Setup!$C$16),OR(MONTH(F94)&gt;=Setup!$C$15,MONTH(F94)&lt;=Setup!$C$16)),IF(Setup!$C$15&lt;=Setup!$C$16,AND(MONTH(WORKDAY(F94,-(Setup!$C$13+Setup!$G$24),Setup!$C$39:$C$50))&gt;=Setup!$C$15,MONTH(WORKDAY(F94,-(Setup!$C$13+Setup!$G$24),Setup!$C$39:$C$50))&lt;=Setup!$C$16),OR(MONTH(WORKDAY(F94,-(Setup!$C$13+Setup!$G$24),Setup!$C$39:$C$50))&gt;=Setup!$C$15,MONTH(WORKDAY(F94,-(Setup!$C$13+Setup!$G$24),Setup!$C$39:$C$50))&lt;=Setup!$C$16))),WORKDAY(F94,-(Setup!$C$13+Setup!$G$24+Setup!$C$14),Setup!$C$39:$C$50),WORKDAY(F94,-(Setup!$C$13+Setup!$G$24),Setup!$C$39:$C$50))+(89*100+5)/10000000)))</f>
        <v/>
      </c>
      <c r="W94" t="str">
        <f>IF(G94="","",IF(G94&lt;Setup!$C$5-Setup!$C$6,"",IF(IF(ISNUMBER(Roster!$D94),Setup!$C$25&lt;=Roster!$D94,FALSE),"",IF(OR(IF(Setup!$C$15&lt;=Setup!$C$16,AND(MONTH(G94)&gt;=Setup!$C$15,MONTH(G94)&lt;=Setup!$C$16),OR(MONTH(G94)&gt;=Setup!$C$15,MONTH(G94)&lt;=Setup!$C$16)),IF(Setup!$C$15&lt;=Setup!$C$16,AND(MONTH(WORKDAY(G94,-(Setup!$C$13+Setup!$G$25),Setup!$C$39:$C$50))&gt;=Setup!$C$15,MONTH(WORKDAY(G94,-(Setup!$C$13+Setup!$G$25),Setup!$C$39:$C$50))&lt;=Setup!$C$16),OR(MONTH(WORKDAY(G94,-(Setup!$C$13+Setup!$G$25),Setup!$C$39:$C$50))&gt;=Setup!$C$15,MONTH(WORKDAY(G94,-(Setup!$C$13+Setup!$G$25),Setup!$C$39:$C$50))&lt;=Setup!$C$16))),WORKDAY(G94,-(Setup!$C$13+Setup!$G$25+Setup!$C$14),Setup!$C$39:$C$50),WORKDAY(G94,-(Setup!$C$13+Setup!$G$25),Setup!$C$39:$C$50))+(89*100+6)/10000000)))</f>
        <v/>
      </c>
      <c r="X94" t="str">
        <f>IF(H94="","",IF(H94&lt;Setup!$C$5-Setup!$C$6,"",IF(IF(ISNUMBER(Roster!$D94),Setup!$C$26&lt;=Roster!$D94,FALSE),"",IF(OR(IF(Setup!$C$15&lt;=Setup!$C$16,AND(MONTH(H94)&gt;=Setup!$C$15,MONTH(H94)&lt;=Setup!$C$16),OR(MONTH(H94)&gt;=Setup!$C$15,MONTH(H94)&lt;=Setup!$C$16)),IF(Setup!$C$15&lt;=Setup!$C$16,AND(MONTH(WORKDAY(H94,-(Setup!$C$13+Setup!$G$26),Setup!$C$39:$C$50))&gt;=Setup!$C$15,MONTH(WORKDAY(H94,-(Setup!$C$13+Setup!$G$26),Setup!$C$39:$C$50))&lt;=Setup!$C$16),OR(MONTH(WORKDAY(H94,-(Setup!$C$13+Setup!$G$26),Setup!$C$39:$C$50))&gt;=Setup!$C$15,MONTH(WORKDAY(H94,-(Setup!$C$13+Setup!$G$26),Setup!$C$39:$C$50))&lt;=Setup!$C$16))),WORKDAY(H94,-(Setup!$C$13+Setup!$G$26+Setup!$C$14),Setup!$C$39:$C$50),WORKDAY(H94,-(Setup!$C$13+Setup!$G$26),Setup!$C$39:$C$50))+(89*100+7)/10000000)))</f>
        <v/>
      </c>
      <c r="Y94" t="str">
        <f>IF(I94="","",IF(I94&lt;Setup!$C$5-Setup!$C$6,"",IF(IF(ISNUMBER(Roster!$D94),Setup!$C$27&lt;=Roster!$D94,FALSE),"",IF(OR(IF(Setup!$C$15&lt;=Setup!$C$16,AND(MONTH(I94)&gt;=Setup!$C$15,MONTH(I94)&lt;=Setup!$C$16),OR(MONTH(I94)&gt;=Setup!$C$15,MONTH(I94)&lt;=Setup!$C$16)),IF(Setup!$C$15&lt;=Setup!$C$16,AND(MONTH(WORKDAY(I94,-(Setup!$C$13+Setup!$G$27),Setup!$C$39:$C$50))&gt;=Setup!$C$15,MONTH(WORKDAY(I94,-(Setup!$C$13+Setup!$G$27),Setup!$C$39:$C$50))&lt;=Setup!$C$16),OR(MONTH(WORKDAY(I94,-(Setup!$C$13+Setup!$G$27),Setup!$C$39:$C$50))&gt;=Setup!$C$15,MONTH(WORKDAY(I94,-(Setup!$C$13+Setup!$G$27),Setup!$C$39:$C$50))&lt;=Setup!$C$16))),WORKDAY(I94,-(Setup!$C$13+Setup!$G$27+Setup!$C$14),Setup!$C$39:$C$50),WORKDAY(I94,-(Setup!$C$13+Setup!$G$27),Setup!$C$39:$C$50))+(89*100+8)/10000000)))</f>
        <v/>
      </c>
      <c r="Z94" t="str">
        <f>IF(J94="","",IF(J94&lt;Setup!$C$5-Setup!$C$6,"",IF(IF(ISNUMBER(Roster!$D94),Setup!$C$28&lt;=Roster!$D94,FALSE),"",IF(OR(IF(Setup!$C$15&lt;=Setup!$C$16,AND(MONTH(J94)&gt;=Setup!$C$15,MONTH(J94)&lt;=Setup!$C$16),OR(MONTH(J94)&gt;=Setup!$C$15,MONTH(J94)&lt;=Setup!$C$16)),IF(Setup!$C$15&lt;=Setup!$C$16,AND(MONTH(WORKDAY(J94,-(Setup!$C$13+Setup!$G$28),Setup!$C$39:$C$50))&gt;=Setup!$C$15,MONTH(WORKDAY(J94,-(Setup!$C$13+Setup!$G$28),Setup!$C$39:$C$50))&lt;=Setup!$C$16),OR(MONTH(WORKDAY(J94,-(Setup!$C$13+Setup!$G$28),Setup!$C$39:$C$50))&gt;=Setup!$C$15,MONTH(WORKDAY(J94,-(Setup!$C$13+Setup!$G$28),Setup!$C$39:$C$50))&lt;=Setup!$C$16))),WORKDAY(J94,-(Setup!$C$13+Setup!$G$28+Setup!$C$14),Setup!$C$39:$C$50),WORKDAY(J94,-(Setup!$C$13+Setup!$G$28),Setup!$C$39:$C$50))+(89*100+9)/10000000)))</f>
        <v/>
      </c>
      <c r="AA94" t="str">
        <f>IF(K94="","",IF(K94&lt;Setup!$C$5-Setup!$C$6,"",IF(IF(ISNUMBER(Roster!$D94),Setup!$C$29&lt;=Roster!$D94,FALSE),"",IF(OR(IF(Setup!$C$15&lt;=Setup!$C$16,AND(MONTH(K94)&gt;=Setup!$C$15,MONTH(K94)&lt;=Setup!$C$16),OR(MONTH(K94)&gt;=Setup!$C$15,MONTH(K94)&lt;=Setup!$C$16)),IF(Setup!$C$15&lt;=Setup!$C$16,AND(MONTH(WORKDAY(K94,-(Setup!$C$13+Setup!$G$29),Setup!$C$39:$C$50))&gt;=Setup!$C$15,MONTH(WORKDAY(K94,-(Setup!$C$13+Setup!$G$29),Setup!$C$39:$C$50))&lt;=Setup!$C$16),OR(MONTH(WORKDAY(K94,-(Setup!$C$13+Setup!$G$29),Setup!$C$39:$C$50))&gt;=Setup!$C$15,MONTH(WORKDAY(K94,-(Setup!$C$13+Setup!$G$29),Setup!$C$39:$C$50))&lt;=Setup!$C$16))),WORKDAY(K94,-(Setup!$C$13+Setup!$G$29+Setup!$C$14),Setup!$C$39:$C$50),WORKDAY(K94,-(Setup!$C$13+Setup!$G$29),Setup!$C$39:$C$50))+(89*100+10)/10000000)))</f>
        <v/>
      </c>
      <c r="AB94" t="str">
        <f>IF(L94="","",IF(L94&lt;Setup!$C$5-Setup!$C$6,"",IF(IF(ISNUMBER(Roster!$D94),Setup!$C$30&lt;=Roster!$D94,FALSE),"",IF(OR(IF(Setup!$C$15&lt;=Setup!$C$16,AND(MONTH(L94)&gt;=Setup!$C$15,MONTH(L94)&lt;=Setup!$C$16),OR(MONTH(L94)&gt;=Setup!$C$15,MONTH(L94)&lt;=Setup!$C$16)),IF(Setup!$C$15&lt;=Setup!$C$16,AND(MONTH(WORKDAY(L94,-(Setup!$C$13+Setup!$G$30),Setup!$C$39:$C$50))&gt;=Setup!$C$15,MONTH(WORKDAY(L94,-(Setup!$C$13+Setup!$G$30),Setup!$C$39:$C$50))&lt;=Setup!$C$16),OR(MONTH(WORKDAY(L94,-(Setup!$C$13+Setup!$G$30),Setup!$C$39:$C$50))&gt;=Setup!$C$15,MONTH(WORKDAY(L94,-(Setup!$C$13+Setup!$G$30),Setup!$C$39:$C$50))&lt;=Setup!$C$16))),WORKDAY(L94,-(Setup!$C$13+Setup!$G$30+Setup!$C$14),Setup!$C$39:$C$50),WORKDAY(L94,-(Setup!$C$13+Setup!$G$30),Setup!$C$39:$C$50))+(89*100+11)/10000000)))</f>
        <v/>
      </c>
      <c r="AC94" t="str">
        <f>IF(M94="","",IF(M94&lt;Setup!$C$5-Setup!$C$6,"",IF(IF(ISNUMBER(Roster!$D94),Setup!$C$31&lt;=Roster!$D94,FALSE),"",IF(OR(IF(Setup!$C$15&lt;=Setup!$C$16,AND(MONTH(M94)&gt;=Setup!$C$15,MONTH(M94)&lt;=Setup!$C$16),OR(MONTH(M94)&gt;=Setup!$C$15,MONTH(M94)&lt;=Setup!$C$16)),IF(Setup!$C$15&lt;=Setup!$C$16,AND(MONTH(WORKDAY(M94,-(Setup!$C$13+Setup!$G$31),Setup!$C$39:$C$50))&gt;=Setup!$C$15,MONTH(WORKDAY(M94,-(Setup!$C$13+Setup!$G$31),Setup!$C$39:$C$50))&lt;=Setup!$C$16),OR(MONTH(WORKDAY(M94,-(Setup!$C$13+Setup!$G$31),Setup!$C$39:$C$50))&gt;=Setup!$C$15,MONTH(WORKDAY(M94,-(Setup!$C$13+Setup!$G$31),Setup!$C$39:$C$50))&lt;=Setup!$C$16))),WORKDAY(M94,-(Setup!$C$13+Setup!$G$31+Setup!$C$14),Setup!$C$39:$C$50),WORKDAY(M94,-(Setup!$C$13+Setup!$G$31),Setup!$C$39:$C$50))+(89*100+12)/10000000)))</f>
        <v/>
      </c>
      <c r="AD94" t="str">
        <f>IF(N94="","",IF(N94&lt;Setup!$C$5-Setup!$C$6,"",IF(IF(ISNUMBER(Roster!$D94),Setup!$C$32&lt;=Roster!$D94,FALSE),"",IF(OR(IF(Setup!$C$15&lt;=Setup!$C$16,AND(MONTH(N94)&gt;=Setup!$C$15,MONTH(N94)&lt;=Setup!$C$16),OR(MONTH(N94)&gt;=Setup!$C$15,MONTH(N94)&lt;=Setup!$C$16)),IF(Setup!$C$15&lt;=Setup!$C$16,AND(MONTH(WORKDAY(N94,-(Setup!$C$13+Setup!$G$32),Setup!$C$39:$C$50))&gt;=Setup!$C$15,MONTH(WORKDAY(N94,-(Setup!$C$13+Setup!$G$32),Setup!$C$39:$C$50))&lt;=Setup!$C$16),OR(MONTH(WORKDAY(N94,-(Setup!$C$13+Setup!$G$32),Setup!$C$39:$C$50))&gt;=Setup!$C$15,MONTH(WORKDAY(N94,-(Setup!$C$13+Setup!$G$32),Setup!$C$39:$C$50))&lt;=Setup!$C$16))),WORKDAY(N94,-(Setup!$C$13+Setup!$G$32+Setup!$C$14),Setup!$C$39:$C$50),WORKDAY(N94,-(Setup!$C$13+Setup!$G$32),Setup!$C$39:$C$50))+(89*100+13)/10000000)))</f>
        <v/>
      </c>
      <c r="AE94" t="str">
        <f>IF(O94="","",IF(O94&lt;Setup!$C$5-Setup!$C$6,"",IF(IF(ISNUMBER(Roster!$D94),Setup!$C$33&lt;=Roster!$D94,FALSE),"",IF(OR(IF(Setup!$C$15&lt;=Setup!$C$16,AND(MONTH(O94)&gt;=Setup!$C$15,MONTH(O94)&lt;=Setup!$C$16),OR(MONTH(O94)&gt;=Setup!$C$15,MONTH(O94)&lt;=Setup!$C$16)),IF(Setup!$C$15&lt;=Setup!$C$16,AND(MONTH(WORKDAY(O94,-(Setup!$C$13+Setup!$G$33),Setup!$C$39:$C$50))&gt;=Setup!$C$15,MONTH(WORKDAY(O94,-(Setup!$C$13+Setup!$G$33),Setup!$C$39:$C$50))&lt;=Setup!$C$16),OR(MONTH(WORKDAY(O94,-(Setup!$C$13+Setup!$G$33),Setup!$C$39:$C$50))&gt;=Setup!$C$15,MONTH(WORKDAY(O94,-(Setup!$C$13+Setup!$G$33),Setup!$C$39:$C$50))&lt;=Setup!$C$16))),WORKDAY(O94,-(Setup!$C$13+Setup!$G$33+Setup!$C$14),Setup!$C$39:$C$50),WORKDAY(O94,-(Setup!$C$13+Setup!$G$33),Setup!$C$39:$C$50))+(89*100+14)/10000000)))</f>
        <v/>
      </c>
      <c r="AF94" t="str">
        <f>IF(P94="","",IF(P94&lt;Setup!$C$5-Setup!$C$6,"",IF(IF(ISNUMBER(Roster!$D94),Setup!$C$34&lt;=Roster!$D94,FALSE),"",IF(OR(IF(Setup!$C$15&lt;=Setup!$C$16,AND(MONTH(P94)&gt;=Setup!$C$15,MONTH(P94)&lt;=Setup!$C$16),OR(MONTH(P94)&gt;=Setup!$C$15,MONTH(P94)&lt;=Setup!$C$16)),IF(Setup!$C$15&lt;=Setup!$C$16,AND(MONTH(WORKDAY(P94,-(Setup!$C$13+Setup!$G$34),Setup!$C$39:$C$50))&gt;=Setup!$C$15,MONTH(WORKDAY(P94,-(Setup!$C$13+Setup!$G$34),Setup!$C$39:$C$50))&lt;=Setup!$C$16),OR(MONTH(WORKDAY(P94,-(Setup!$C$13+Setup!$G$34),Setup!$C$39:$C$50))&gt;=Setup!$C$15,MONTH(WORKDAY(P94,-(Setup!$C$13+Setup!$G$34),Setup!$C$39:$C$50))&lt;=Setup!$C$16))),WORKDAY(P94,-(Setup!$C$13+Setup!$G$34+Setup!$C$14),Setup!$C$39:$C$50),WORKDAY(P94,-(Setup!$C$13+Setup!$G$34),Setup!$C$39:$C$50))+(89*100+15)/10000000)))</f>
        <v/>
      </c>
      <c r="AH94" t="str">
        <f t="shared" si="9"/>
        <v/>
      </c>
      <c r="AI94" t="str">
        <f t="shared" si="10"/>
        <v/>
      </c>
      <c r="AK94" t="str">
        <f ca="1">IF(89&gt;$AK$2,"",SMALL($R$6:$AF$505,89))</f>
        <v/>
      </c>
      <c r="AL94" t="str">
        <f t="shared" ca="1" si="11"/>
        <v/>
      </c>
      <c r="AM94" t="str">
        <f t="shared" ca="1" si="12"/>
        <v/>
      </c>
      <c r="AN94" t="str">
        <f t="shared" ca="1" si="13"/>
        <v/>
      </c>
      <c r="AP94" t="str">
        <f>IF(ISNUMBER(Roster!$B94),MAX(1,YEAR(Setup!$C$5)-YEAR(Roster!$B94)+IF(EDATE(Roster!$B94,12*(YEAR(Setup!$C$5)-YEAR(Roster!$B94)))&lt;Setup!$C$5,1,0)),"")</f>
        <v/>
      </c>
      <c r="AQ94" s="32" t="str">
        <f>IF(AP94="","",EDATE(Roster!$B94,12*AP94))</f>
        <v/>
      </c>
      <c r="AR94" t="str">
        <f>IF(AQ94="","",IF(AQ94&lt;DATE(YEAR(Setup!$C$5)+1,MONTH(Setup!$C$5),DAY(Setup!$C$5)),AQ94+89/1000,""))</f>
        <v/>
      </c>
      <c r="AS94" t="str">
        <f t="shared" si="14"/>
        <v/>
      </c>
      <c r="AT94" t="str">
        <f>IF(AS94="","",IF(ISNUMBER(Roster!$D94),Roster!$D94&gt;=AP94,FALSE))</f>
        <v/>
      </c>
      <c r="AU94" t="str">
        <f t="shared" si="15"/>
        <v/>
      </c>
      <c r="AV94" t="str">
        <f ca="1">IF(89&gt;$AV$2,"",SMALL($AR$6:$AR$505,89))</f>
        <v/>
      </c>
      <c r="AW94" t="str">
        <f t="shared" ca="1" si="16"/>
        <v/>
      </c>
    </row>
    <row r="95" spans="2:49" x14ac:dyDescent="0.2">
      <c r="B95" s="32" t="str">
        <f>IF(AND(ISNUMBER(Roster!$B95),Setup!$B$20="Yes",ISNUMBER(Setup!$C$20)),EDATE(Roster!$B95,12*Setup!$C$20),"")</f>
        <v/>
      </c>
      <c r="C95" s="32" t="str">
        <f>IF(AND(ISNUMBER(Roster!$B95),Setup!$B$21="Yes",ISNUMBER(Setup!$C$21)),EDATE(Roster!$B95,12*Setup!$C$21),"")</f>
        <v/>
      </c>
      <c r="D95" s="32" t="str">
        <f>IF(AND(ISNUMBER(Roster!$B95),Setup!$B$22="Yes",ISNUMBER(Setup!$C$22)),EDATE(Roster!$B95,12*Setup!$C$22),"")</f>
        <v/>
      </c>
      <c r="E95" s="32" t="str">
        <f>IF(AND(ISNUMBER(Roster!$B95),Setup!$B$23="Yes",ISNUMBER(Setup!$C$23)),EDATE(Roster!$B95,12*Setup!$C$23),"")</f>
        <v/>
      </c>
      <c r="F95" s="32" t="str">
        <f>IF(AND(ISNUMBER(Roster!$B95),Setup!$B$24="Yes",ISNUMBER(Setup!$C$24)),EDATE(Roster!$B95,12*Setup!$C$24),"")</f>
        <v/>
      </c>
      <c r="G95" s="32" t="str">
        <f>IF(AND(ISNUMBER(Roster!$B95),Setup!$B$25="Yes",ISNUMBER(Setup!$C$25)),EDATE(Roster!$B95,12*Setup!$C$25),"")</f>
        <v/>
      </c>
      <c r="H95" s="32" t="str">
        <f>IF(AND(ISNUMBER(Roster!$B95),Setup!$B$26="Yes",ISNUMBER(Setup!$C$26)),EDATE(Roster!$B95,12*Setup!$C$26),"")</f>
        <v/>
      </c>
      <c r="I95" s="32" t="str">
        <f>IF(AND(ISNUMBER(Roster!$B95),Setup!$B$27="Yes",ISNUMBER(Setup!$C$27)),EDATE(Roster!$B95,12*Setup!$C$27),"")</f>
        <v/>
      </c>
      <c r="J95" s="32" t="str">
        <f>IF(AND(ISNUMBER(Roster!$B95),Setup!$B$28="Yes",ISNUMBER(Setup!$C$28)),EDATE(Roster!$B95,12*Setup!$C$28),"")</f>
        <v/>
      </c>
      <c r="K95" s="32" t="str">
        <f>IF(AND(ISNUMBER(Roster!$B95),Setup!$B$29="Yes",ISNUMBER(Setup!$C$29)),EDATE(Roster!$B95,12*Setup!$C$29),"")</f>
        <v/>
      </c>
      <c r="L95" s="32" t="str">
        <f>IF(AND(ISNUMBER(Roster!$B95),Setup!$B$30="Yes",ISNUMBER(Setup!$C$30)),EDATE(Roster!$B95,12*Setup!$C$30),"")</f>
        <v/>
      </c>
      <c r="M95" s="32" t="str">
        <f>IF(AND(ISNUMBER(Roster!$B95),Setup!$B$31="Yes",ISNUMBER(Setup!$C$31)),EDATE(Roster!$B95,12*Setup!$C$31),"")</f>
        <v/>
      </c>
      <c r="N95" s="32" t="str">
        <f>IF(AND(ISNUMBER(Roster!$B95),Setup!$B$32="Yes",ISNUMBER(Setup!$C$32)),EDATE(Roster!$B95,12*Setup!$C$32),"")</f>
        <v/>
      </c>
      <c r="O95" s="32" t="str">
        <f>IF(AND(ISNUMBER(Roster!$B95),Setup!$B$33="Yes",ISNUMBER(Setup!$C$33)),EDATE(Roster!$B95,12*Setup!$C$33),"")</f>
        <v/>
      </c>
      <c r="P95" s="32" t="str">
        <f>IF(AND(ISNUMBER(Roster!$B95),Setup!$B$34="Yes",ISNUMBER(Setup!$C$34)),EDATE(Roster!$B95,12*Setup!$C$34),"")</f>
        <v/>
      </c>
      <c r="R95" t="str">
        <f>IF(B95="","",IF(B95&lt;Setup!$C$5-Setup!$C$6,"",IF(IF(ISNUMBER(Roster!$D95),Setup!$C$20&lt;=Roster!$D95,FALSE),"",IF(OR(IF(Setup!$C$15&lt;=Setup!$C$16,AND(MONTH(B95)&gt;=Setup!$C$15,MONTH(B95)&lt;=Setup!$C$16),OR(MONTH(B95)&gt;=Setup!$C$15,MONTH(B95)&lt;=Setup!$C$16)),IF(Setup!$C$15&lt;=Setup!$C$16,AND(MONTH(WORKDAY(B95,-(Setup!$C$13+Setup!$G$20),Setup!$C$39:$C$50))&gt;=Setup!$C$15,MONTH(WORKDAY(B95,-(Setup!$C$13+Setup!$G$20),Setup!$C$39:$C$50))&lt;=Setup!$C$16),OR(MONTH(WORKDAY(B95,-(Setup!$C$13+Setup!$G$20),Setup!$C$39:$C$50))&gt;=Setup!$C$15,MONTH(WORKDAY(B95,-(Setup!$C$13+Setup!$G$20),Setup!$C$39:$C$50))&lt;=Setup!$C$16))),WORKDAY(B95,-(Setup!$C$13+Setup!$G$20+Setup!$C$14),Setup!$C$39:$C$50),WORKDAY(B95,-(Setup!$C$13+Setup!$G$20),Setup!$C$39:$C$50))+(90*100+1)/10000000)))</f>
        <v/>
      </c>
      <c r="S95" t="str">
        <f>IF(C95="","",IF(C95&lt;Setup!$C$5-Setup!$C$6,"",IF(IF(ISNUMBER(Roster!$D95),Setup!$C$21&lt;=Roster!$D95,FALSE),"",IF(OR(IF(Setup!$C$15&lt;=Setup!$C$16,AND(MONTH(C95)&gt;=Setup!$C$15,MONTH(C95)&lt;=Setup!$C$16),OR(MONTH(C95)&gt;=Setup!$C$15,MONTH(C95)&lt;=Setup!$C$16)),IF(Setup!$C$15&lt;=Setup!$C$16,AND(MONTH(WORKDAY(C95,-(Setup!$C$13+Setup!$G$21),Setup!$C$39:$C$50))&gt;=Setup!$C$15,MONTH(WORKDAY(C95,-(Setup!$C$13+Setup!$G$21),Setup!$C$39:$C$50))&lt;=Setup!$C$16),OR(MONTH(WORKDAY(C95,-(Setup!$C$13+Setup!$G$21),Setup!$C$39:$C$50))&gt;=Setup!$C$15,MONTH(WORKDAY(C95,-(Setup!$C$13+Setup!$G$21),Setup!$C$39:$C$50))&lt;=Setup!$C$16))),WORKDAY(C95,-(Setup!$C$13+Setup!$G$21+Setup!$C$14),Setup!$C$39:$C$50),WORKDAY(C95,-(Setup!$C$13+Setup!$G$21),Setup!$C$39:$C$50))+(90*100+2)/10000000)))</f>
        <v/>
      </c>
      <c r="T95" t="str">
        <f>IF(D95="","",IF(D95&lt;Setup!$C$5-Setup!$C$6,"",IF(IF(ISNUMBER(Roster!$D95),Setup!$C$22&lt;=Roster!$D95,FALSE),"",IF(OR(IF(Setup!$C$15&lt;=Setup!$C$16,AND(MONTH(D95)&gt;=Setup!$C$15,MONTH(D95)&lt;=Setup!$C$16),OR(MONTH(D95)&gt;=Setup!$C$15,MONTH(D95)&lt;=Setup!$C$16)),IF(Setup!$C$15&lt;=Setup!$C$16,AND(MONTH(WORKDAY(D95,-(Setup!$C$13+Setup!$G$22),Setup!$C$39:$C$50))&gt;=Setup!$C$15,MONTH(WORKDAY(D95,-(Setup!$C$13+Setup!$G$22),Setup!$C$39:$C$50))&lt;=Setup!$C$16),OR(MONTH(WORKDAY(D95,-(Setup!$C$13+Setup!$G$22),Setup!$C$39:$C$50))&gt;=Setup!$C$15,MONTH(WORKDAY(D95,-(Setup!$C$13+Setup!$G$22),Setup!$C$39:$C$50))&lt;=Setup!$C$16))),WORKDAY(D95,-(Setup!$C$13+Setup!$G$22+Setup!$C$14),Setup!$C$39:$C$50),WORKDAY(D95,-(Setup!$C$13+Setup!$G$22),Setup!$C$39:$C$50))+(90*100+3)/10000000)))</f>
        <v/>
      </c>
      <c r="U95" t="str">
        <f>IF(E95="","",IF(E95&lt;Setup!$C$5-Setup!$C$6,"",IF(IF(ISNUMBER(Roster!$D95),Setup!$C$23&lt;=Roster!$D95,FALSE),"",IF(OR(IF(Setup!$C$15&lt;=Setup!$C$16,AND(MONTH(E95)&gt;=Setup!$C$15,MONTH(E95)&lt;=Setup!$C$16),OR(MONTH(E95)&gt;=Setup!$C$15,MONTH(E95)&lt;=Setup!$C$16)),IF(Setup!$C$15&lt;=Setup!$C$16,AND(MONTH(WORKDAY(E95,-(Setup!$C$13+Setup!$G$23),Setup!$C$39:$C$50))&gt;=Setup!$C$15,MONTH(WORKDAY(E95,-(Setup!$C$13+Setup!$G$23),Setup!$C$39:$C$50))&lt;=Setup!$C$16),OR(MONTH(WORKDAY(E95,-(Setup!$C$13+Setup!$G$23),Setup!$C$39:$C$50))&gt;=Setup!$C$15,MONTH(WORKDAY(E95,-(Setup!$C$13+Setup!$G$23),Setup!$C$39:$C$50))&lt;=Setup!$C$16))),WORKDAY(E95,-(Setup!$C$13+Setup!$G$23+Setup!$C$14),Setup!$C$39:$C$50),WORKDAY(E95,-(Setup!$C$13+Setup!$G$23),Setup!$C$39:$C$50))+(90*100+4)/10000000)))</f>
        <v/>
      </c>
      <c r="V95" t="str">
        <f>IF(F95="","",IF(F95&lt;Setup!$C$5-Setup!$C$6,"",IF(IF(ISNUMBER(Roster!$D95),Setup!$C$24&lt;=Roster!$D95,FALSE),"",IF(OR(IF(Setup!$C$15&lt;=Setup!$C$16,AND(MONTH(F95)&gt;=Setup!$C$15,MONTH(F95)&lt;=Setup!$C$16),OR(MONTH(F95)&gt;=Setup!$C$15,MONTH(F95)&lt;=Setup!$C$16)),IF(Setup!$C$15&lt;=Setup!$C$16,AND(MONTH(WORKDAY(F95,-(Setup!$C$13+Setup!$G$24),Setup!$C$39:$C$50))&gt;=Setup!$C$15,MONTH(WORKDAY(F95,-(Setup!$C$13+Setup!$G$24),Setup!$C$39:$C$50))&lt;=Setup!$C$16),OR(MONTH(WORKDAY(F95,-(Setup!$C$13+Setup!$G$24),Setup!$C$39:$C$50))&gt;=Setup!$C$15,MONTH(WORKDAY(F95,-(Setup!$C$13+Setup!$G$24),Setup!$C$39:$C$50))&lt;=Setup!$C$16))),WORKDAY(F95,-(Setup!$C$13+Setup!$G$24+Setup!$C$14),Setup!$C$39:$C$50),WORKDAY(F95,-(Setup!$C$13+Setup!$G$24),Setup!$C$39:$C$50))+(90*100+5)/10000000)))</f>
        <v/>
      </c>
      <c r="W95" t="str">
        <f>IF(G95="","",IF(G95&lt;Setup!$C$5-Setup!$C$6,"",IF(IF(ISNUMBER(Roster!$D95),Setup!$C$25&lt;=Roster!$D95,FALSE),"",IF(OR(IF(Setup!$C$15&lt;=Setup!$C$16,AND(MONTH(G95)&gt;=Setup!$C$15,MONTH(G95)&lt;=Setup!$C$16),OR(MONTH(G95)&gt;=Setup!$C$15,MONTH(G95)&lt;=Setup!$C$16)),IF(Setup!$C$15&lt;=Setup!$C$16,AND(MONTH(WORKDAY(G95,-(Setup!$C$13+Setup!$G$25),Setup!$C$39:$C$50))&gt;=Setup!$C$15,MONTH(WORKDAY(G95,-(Setup!$C$13+Setup!$G$25),Setup!$C$39:$C$50))&lt;=Setup!$C$16),OR(MONTH(WORKDAY(G95,-(Setup!$C$13+Setup!$G$25),Setup!$C$39:$C$50))&gt;=Setup!$C$15,MONTH(WORKDAY(G95,-(Setup!$C$13+Setup!$G$25),Setup!$C$39:$C$50))&lt;=Setup!$C$16))),WORKDAY(G95,-(Setup!$C$13+Setup!$G$25+Setup!$C$14),Setup!$C$39:$C$50),WORKDAY(G95,-(Setup!$C$13+Setup!$G$25),Setup!$C$39:$C$50))+(90*100+6)/10000000)))</f>
        <v/>
      </c>
      <c r="X95" t="str">
        <f>IF(H95="","",IF(H95&lt;Setup!$C$5-Setup!$C$6,"",IF(IF(ISNUMBER(Roster!$D95),Setup!$C$26&lt;=Roster!$D95,FALSE),"",IF(OR(IF(Setup!$C$15&lt;=Setup!$C$16,AND(MONTH(H95)&gt;=Setup!$C$15,MONTH(H95)&lt;=Setup!$C$16),OR(MONTH(H95)&gt;=Setup!$C$15,MONTH(H95)&lt;=Setup!$C$16)),IF(Setup!$C$15&lt;=Setup!$C$16,AND(MONTH(WORKDAY(H95,-(Setup!$C$13+Setup!$G$26),Setup!$C$39:$C$50))&gt;=Setup!$C$15,MONTH(WORKDAY(H95,-(Setup!$C$13+Setup!$G$26),Setup!$C$39:$C$50))&lt;=Setup!$C$16),OR(MONTH(WORKDAY(H95,-(Setup!$C$13+Setup!$G$26),Setup!$C$39:$C$50))&gt;=Setup!$C$15,MONTH(WORKDAY(H95,-(Setup!$C$13+Setup!$G$26),Setup!$C$39:$C$50))&lt;=Setup!$C$16))),WORKDAY(H95,-(Setup!$C$13+Setup!$G$26+Setup!$C$14),Setup!$C$39:$C$50),WORKDAY(H95,-(Setup!$C$13+Setup!$G$26),Setup!$C$39:$C$50))+(90*100+7)/10000000)))</f>
        <v/>
      </c>
      <c r="Y95" t="str">
        <f>IF(I95="","",IF(I95&lt;Setup!$C$5-Setup!$C$6,"",IF(IF(ISNUMBER(Roster!$D95),Setup!$C$27&lt;=Roster!$D95,FALSE),"",IF(OR(IF(Setup!$C$15&lt;=Setup!$C$16,AND(MONTH(I95)&gt;=Setup!$C$15,MONTH(I95)&lt;=Setup!$C$16),OR(MONTH(I95)&gt;=Setup!$C$15,MONTH(I95)&lt;=Setup!$C$16)),IF(Setup!$C$15&lt;=Setup!$C$16,AND(MONTH(WORKDAY(I95,-(Setup!$C$13+Setup!$G$27),Setup!$C$39:$C$50))&gt;=Setup!$C$15,MONTH(WORKDAY(I95,-(Setup!$C$13+Setup!$G$27),Setup!$C$39:$C$50))&lt;=Setup!$C$16),OR(MONTH(WORKDAY(I95,-(Setup!$C$13+Setup!$G$27),Setup!$C$39:$C$50))&gt;=Setup!$C$15,MONTH(WORKDAY(I95,-(Setup!$C$13+Setup!$G$27),Setup!$C$39:$C$50))&lt;=Setup!$C$16))),WORKDAY(I95,-(Setup!$C$13+Setup!$G$27+Setup!$C$14),Setup!$C$39:$C$50),WORKDAY(I95,-(Setup!$C$13+Setup!$G$27),Setup!$C$39:$C$50))+(90*100+8)/10000000)))</f>
        <v/>
      </c>
      <c r="Z95" t="str">
        <f>IF(J95="","",IF(J95&lt;Setup!$C$5-Setup!$C$6,"",IF(IF(ISNUMBER(Roster!$D95),Setup!$C$28&lt;=Roster!$D95,FALSE),"",IF(OR(IF(Setup!$C$15&lt;=Setup!$C$16,AND(MONTH(J95)&gt;=Setup!$C$15,MONTH(J95)&lt;=Setup!$C$16),OR(MONTH(J95)&gt;=Setup!$C$15,MONTH(J95)&lt;=Setup!$C$16)),IF(Setup!$C$15&lt;=Setup!$C$16,AND(MONTH(WORKDAY(J95,-(Setup!$C$13+Setup!$G$28),Setup!$C$39:$C$50))&gt;=Setup!$C$15,MONTH(WORKDAY(J95,-(Setup!$C$13+Setup!$G$28),Setup!$C$39:$C$50))&lt;=Setup!$C$16),OR(MONTH(WORKDAY(J95,-(Setup!$C$13+Setup!$G$28),Setup!$C$39:$C$50))&gt;=Setup!$C$15,MONTH(WORKDAY(J95,-(Setup!$C$13+Setup!$G$28),Setup!$C$39:$C$50))&lt;=Setup!$C$16))),WORKDAY(J95,-(Setup!$C$13+Setup!$G$28+Setup!$C$14),Setup!$C$39:$C$50),WORKDAY(J95,-(Setup!$C$13+Setup!$G$28),Setup!$C$39:$C$50))+(90*100+9)/10000000)))</f>
        <v/>
      </c>
      <c r="AA95" t="str">
        <f>IF(K95="","",IF(K95&lt;Setup!$C$5-Setup!$C$6,"",IF(IF(ISNUMBER(Roster!$D95),Setup!$C$29&lt;=Roster!$D95,FALSE),"",IF(OR(IF(Setup!$C$15&lt;=Setup!$C$16,AND(MONTH(K95)&gt;=Setup!$C$15,MONTH(K95)&lt;=Setup!$C$16),OR(MONTH(K95)&gt;=Setup!$C$15,MONTH(K95)&lt;=Setup!$C$16)),IF(Setup!$C$15&lt;=Setup!$C$16,AND(MONTH(WORKDAY(K95,-(Setup!$C$13+Setup!$G$29),Setup!$C$39:$C$50))&gt;=Setup!$C$15,MONTH(WORKDAY(K95,-(Setup!$C$13+Setup!$G$29),Setup!$C$39:$C$50))&lt;=Setup!$C$16),OR(MONTH(WORKDAY(K95,-(Setup!$C$13+Setup!$G$29),Setup!$C$39:$C$50))&gt;=Setup!$C$15,MONTH(WORKDAY(K95,-(Setup!$C$13+Setup!$G$29),Setup!$C$39:$C$50))&lt;=Setup!$C$16))),WORKDAY(K95,-(Setup!$C$13+Setup!$G$29+Setup!$C$14),Setup!$C$39:$C$50),WORKDAY(K95,-(Setup!$C$13+Setup!$G$29),Setup!$C$39:$C$50))+(90*100+10)/10000000)))</f>
        <v/>
      </c>
      <c r="AB95" t="str">
        <f>IF(L95="","",IF(L95&lt;Setup!$C$5-Setup!$C$6,"",IF(IF(ISNUMBER(Roster!$D95),Setup!$C$30&lt;=Roster!$D95,FALSE),"",IF(OR(IF(Setup!$C$15&lt;=Setup!$C$16,AND(MONTH(L95)&gt;=Setup!$C$15,MONTH(L95)&lt;=Setup!$C$16),OR(MONTH(L95)&gt;=Setup!$C$15,MONTH(L95)&lt;=Setup!$C$16)),IF(Setup!$C$15&lt;=Setup!$C$16,AND(MONTH(WORKDAY(L95,-(Setup!$C$13+Setup!$G$30),Setup!$C$39:$C$50))&gt;=Setup!$C$15,MONTH(WORKDAY(L95,-(Setup!$C$13+Setup!$G$30),Setup!$C$39:$C$50))&lt;=Setup!$C$16),OR(MONTH(WORKDAY(L95,-(Setup!$C$13+Setup!$G$30),Setup!$C$39:$C$50))&gt;=Setup!$C$15,MONTH(WORKDAY(L95,-(Setup!$C$13+Setup!$G$30),Setup!$C$39:$C$50))&lt;=Setup!$C$16))),WORKDAY(L95,-(Setup!$C$13+Setup!$G$30+Setup!$C$14),Setup!$C$39:$C$50),WORKDAY(L95,-(Setup!$C$13+Setup!$G$30),Setup!$C$39:$C$50))+(90*100+11)/10000000)))</f>
        <v/>
      </c>
      <c r="AC95" t="str">
        <f>IF(M95="","",IF(M95&lt;Setup!$C$5-Setup!$C$6,"",IF(IF(ISNUMBER(Roster!$D95),Setup!$C$31&lt;=Roster!$D95,FALSE),"",IF(OR(IF(Setup!$C$15&lt;=Setup!$C$16,AND(MONTH(M95)&gt;=Setup!$C$15,MONTH(M95)&lt;=Setup!$C$16),OR(MONTH(M95)&gt;=Setup!$C$15,MONTH(M95)&lt;=Setup!$C$16)),IF(Setup!$C$15&lt;=Setup!$C$16,AND(MONTH(WORKDAY(M95,-(Setup!$C$13+Setup!$G$31),Setup!$C$39:$C$50))&gt;=Setup!$C$15,MONTH(WORKDAY(M95,-(Setup!$C$13+Setup!$G$31),Setup!$C$39:$C$50))&lt;=Setup!$C$16),OR(MONTH(WORKDAY(M95,-(Setup!$C$13+Setup!$G$31),Setup!$C$39:$C$50))&gt;=Setup!$C$15,MONTH(WORKDAY(M95,-(Setup!$C$13+Setup!$G$31),Setup!$C$39:$C$50))&lt;=Setup!$C$16))),WORKDAY(M95,-(Setup!$C$13+Setup!$G$31+Setup!$C$14),Setup!$C$39:$C$50),WORKDAY(M95,-(Setup!$C$13+Setup!$G$31),Setup!$C$39:$C$50))+(90*100+12)/10000000)))</f>
        <v/>
      </c>
      <c r="AD95" t="str">
        <f>IF(N95="","",IF(N95&lt;Setup!$C$5-Setup!$C$6,"",IF(IF(ISNUMBER(Roster!$D95),Setup!$C$32&lt;=Roster!$D95,FALSE),"",IF(OR(IF(Setup!$C$15&lt;=Setup!$C$16,AND(MONTH(N95)&gt;=Setup!$C$15,MONTH(N95)&lt;=Setup!$C$16),OR(MONTH(N95)&gt;=Setup!$C$15,MONTH(N95)&lt;=Setup!$C$16)),IF(Setup!$C$15&lt;=Setup!$C$16,AND(MONTH(WORKDAY(N95,-(Setup!$C$13+Setup!$G$32),Setup!$C$39:$C$50))&gt;=Setup!$C$15,MONTH(WORKDAY(N95,-(Setup!$C$13+Setup!$G$32),Setup!$C$39:$C$50))&lt;=Setup!$C$16),OR(MONTH(WORKDAY(N95,-(Setup!$C$13+Setup!$G$32),Setup!$C$39:$C$50))&gt;=Setup!$C$15,MONTH(WORKDAY(N95,-(Setup!$C$13+Setup!$G$32),Setup!$C$39:$C$50))&lt;=Setup!$C$16))),WORKDAY(N95,-(Setup!$C$13+Setup!$G$32+Setup!$C$14),Setup!$C$39:$C$50),WORKDAY(N95,-(Setup!$C$13+Setup!$G$32),Setup!$C$39:$C$50))+(90*100+13)/10000000)))</f>
        <v/>
      </c>
      <c r="AE95" t="str">
        <f>IF(O95="","",IF(O95&lt;Setup!$C$5-Setup!$C$6,"",IF(IF(ISNUMBER(Roster!$D95),Setup!$C$33&lt;=Roster!$D95,FALSE),"",IF(OR(IF(Setup!$C$15&lt;=Setup!$C$16,AND(MONTH(O95)&gt;=Setup!$C$15,MONTH(O95)&lt;=Setup!$C$16),OR(MONTH(O95)&gt;=Setup!$C$15,MONTH(O95)&lt;=Setup!$C$16)),IF(Setup!$C$15&lt;=Setup!$C$16,AND(MONTH(WORKDAY(O95,-(Setup!$C$13+Setup!$G$33),Setup!$C$39:$C$50))&gt;=Setup!$C$15,MONTH(WORKDAY(O95,-(Setup!$C$13+Setup!$G$33),Setup!$C$39:$C$50))&lt;=Setup!$C$16),OR(MONTH(WORKDAY(O95,-(Setup!$C$13+Setup!$G$33),Setup!$C$39:$C$50))&gt;=Setup!$C$15,MONTH(WORKDAY(O95,-(Setup!$C$13+Setup!$G$33),Setup!$C$39:$C$50))&lt;=Setup!$C$16))),WORKDAY(O95,-(Setup!$C$13+Setup!$G$33+Setup!$C$14),Setup!$C$39:$C$50),WORKDAY(O95,-(Setup!$C$13+Setup!$G$33),Setup!$C$39:$C$50))+(90*100+14)/10000000)))</f>
        <v/>
      </c>
      <c r="AF95" t="str">
        <f>IF(P95="","",IF(P95&lt;Setup!$C$5-Setup!$C$6,"",IF(IF(ISNUMBER(Roster!$D95),Setup!$C$34&lt;=Roster!$D95,FALSE),"",IF(OR(IF(Setup!$C$15&lt;=Setup!$C$16,AND(MONTH(P95)&gt;=Setup!$C$15,MONTH(P95)&lt;=Setup!$C$16),OR(MONTH(P95)&gt;=Setup!$C$15,MONTH(P95)&lt;=Setup!$C$16)),IF(Setup!$C$15&lt;=Setup!$C$16,AND(MONTH(WORKDAY(P95,-(Setup!$C$13+Setup!$G$34),Setup!$C$39:$C$50))&gt;=Setup!$C$15,MONTH(WORKDAY(P95,-(Setup!$C$13+Setup!$G$34),Setup!$C$39:$C$50))&lt;=Setup!$C$16),OR(MONTH(WORKDAY(P95,-(Setup!$C$13+Setup!$G$34),Setup!$C$39:$C$50))&gt;=Setup!$C$15,MONTH(WORKDAY(P95,-(Setup!$C$13+Setup!$G$34),Setup!$C$39:$C$50))&lt;=Setup!$C$16))),WORKDAY(P95,-(Setup!$C$13+Setup!$G$34+Setup!$C$14),Setup!$C$39:$C$50),WORKDAY(P95,-(Setup!$C$13+Setup!$G$34),Setup!$C$39:$C$50))+(90*100+15)/10000000)))</f>
        <v/>
      </c>
      <c r="AH95" t="str">
        <f t="shared" si="9"/>
        <v/>
      </c>
      <c r="AI95" t="str">
        <f t="shared" si="10"/>
        <v/>
      </c>
      <c r="AK95" t="str">
        <f ca="1">IF(90&gt;$AK$2,"",SMALL($R$6:$AF$505,90))</f>
        <v/>
      </c>
      <c r="AL95" t="str">
        <f t="shared" ca="1" si="11"/>
        <v/>
      </c>
      <c r="AM95" t="str">
        <f t="shared" ca="1" si="12"/>
        <v/>
      </c>
      <c r="AN95" t="str">
        <f t="shared" ca="1" si="13"/>
        <v/>
      </c>
      <c r="AP95" t="str">
        <f>IF(ISNUMBER(Roster!$B95),MAX(1,YEAR(Setup!$C$5)-YEAR(Roster!$B95)+IF(EDATE(Roster!$B95,12*(YEAR(Setup!$C$5)-YEAR(Roster!$B95)))&lt;Setup!$C$5,1,0)),"")</f>
        <v/>
      </c>
      <c r="AQ95" s="32" t="str">
        <f>IF(AP95="","",EDATE(Roster!$B95,12*AP95))</f>
        <v/>
      </c>
      <c r="AR95" t="str">
        <f>IF(AQ95="","",IF(AQ95&lt;DATE(YEAR(Setup!$C$5)+1,MONTH(Setup!$C$5),DAY(Setup!$C$5)),AQ95+90/1000,""))</f>
        <v/>
      </c>
      <c r="AS95" t="str">
        <f t="shared" si="14"/>
        <v/>
      </c>
      <c r="AT95" t="str">
        <f>IF(AS95="","",IF(ISNUMBER(Roster!$D95),Roster!$D95&gt;=AP95,FALSE))</f>
        <v/>
      </c>
      <c r="AU95" t="str">
        <f t="shared" si="15"/>
        <v/>
      </c>
      <c r="AV95" t="str">
        <f ca="1">IF(90&gt;$AV$2,"",SMALL($AR$6:$AR$505,90))</f>
        <v/>
      </c>
      <c r="AW95" t="str">
        <f t="shared" ca="1" si="16"/>
        <v/>
      </c>
    </row>
    <row r="96" spans="2:49" x14ac:dyDescent="0.2">
      <c r="B96" s="32" t="str">
        <f>IF(AND(ISNUMBER(Roster!$B96),Setup!$B$20="Yes",ISNUMBER(Setup!$C$20)),EDATE(Roster!$B96,12*Setup!$C$20),"")</f>
        <v/>
      </c>
      <c r="C96" s="32" t="str">
        <f>IF(AND(ISNUMBER(Roster!$B96),Setup!$B$21="Yes",ISNUMBER(Setup!$C$21)),EDATE(Roster!$B96,12*Setup!$C$21),"")</f>
        <v/>
      </c>
      <c r="D96" s="32" t="str">
        <f>IF(AND(ISNUMBER(Roster!$B96),Setup!$B$22="Yes",ISNUMBER(Setup!$C$22)),EDATE(Roster!$B96,12*Setup!$C$22),"")</f>
        <v/>
      </c>
      <c r="E96" s="32" t="str">
        <f>IF(AND(ISNUMBER(Roster!$B96),Setup!$B$23="Yes",ISNUMBER(Setup!$C$23)),EDATE(Roster!$B96,12*Setup!$C$23),"")</f>
        <v/>
      </c>
      <c r="F96" s="32" t="str">
        <f>IF(AND(ISNUMBER(Roster!$B96),Setup!$B$24="Yes",ISNUMBER(Setup!$C$24)),EDATE(Roster!$B96,12*Setup!$C$24),"")</f>
        <v/>
      </c>
      <c r="G96" s="32" t="str">
        <f>IF(AND(ISNUMBER(Roster!$B96),Setup!$B$25="Yes",ISNUMBER(Setup!$C$25)),EDATE(Roster!$B96,12*Setup!$C$25),"")</f>
        <v/>
      </c>
      <c r="H96" s="32" t="str">
        <f>IF(AND(ISNUMBER(Roster!$B96),Setup!$B$26="Yes",ISNUMBER(Setup!$C$26)),EDATE(Roster!$B96,12*Setup!$C$26),"")</f>
        <v/>
      </c>
      <c r="I96" s="32" t="str">
        <f>IF(AND(ISNUMBER(Roster!$B96),Setup!$B$27="Yes",ISNUMBER(Setup!$C$27)),EDATE(Roster!$B96,12*Setup!$C$27),"")</f>
        <v/>
      </c>
      <c r="J96" s="32" t="str">
        <f>IF(AND(ISNUMBER(Roster!$B96),Setup!$B$28="Yes",ISNUMBER(Setup!$C$28)),EDATE(Roster!$B96,12*Setup!$C$28),"")</f>
        <v/>
      </c>
      <c r="K96" s="32" t="str">
        <f>IF(AND(ISNUMBER(Roster!$B96),Setup!$B$29="Yes",ISNUMBER(Setup!$C$29)),EDATE(Roster!$B96,12*Setup!$C$29),"")</f>
        <v/>
      </c>
      <c r="L96" s="32" t="str">
        <f>IF(AND(ISNUMBER(Roster!$B96),Setup!$B$30="Yes",ISNUMBER(Setup!$C$30)),EDATE(Roster!$B96,12*Setup!$C$30),"")</f>
        <v/>
      </c>
      <c r="M96" s="32" t="str">
        <f>IF(AND(ISNUMBER(Roster!$B96),Setup!$B$31="Yes",ISNUMBER(Setup!$C$31)),EDATE(Roster!$B96,12*Setup!$C$31),"")</f>
        <v/>
      </c>
      <c r="N96" s="32" t="str">
        <f>IF(AND(ISNUMBER(Roster!$B96),Setup!$B$32="Yes",ISNUMBER(Setup!$C$32)),EDATE(Roster!$B96,12*Setup!$C$32),"")</f>
        <v/>
      </c>
      <c r="O96" s="32" t="str">
        <f>IF(AND(ISNUMBER(Roster!$B96),Setup!$B$33="Yes",ISNUMBER(Setup!$C$33)),EDATE(Roster!$B96,12*Setup!$C$33),"")</f>
        <v/>
      </c>
      <c r="P96" s="32" t="str">
        <f>IF(AND(ISNUMBER(Roster!$B96),Setup!$B$34="Yes",ISNUMBER(Setup!$C$34)),EDATE(Roster!$B96,12*Setup!$C$34),"")</f>
        <v/>
      </c>
      <c r="R96" t="str">
        <f>IF(B96="","",IF(B96&lt;Setup!$C$5-Setup!$C$6,"",IF(IF(ISNUMBER(Roster!$D96),Setup!$C$20&lt;=Roster!$D96,FALSE),"",IF(OR(IF(Setup!$C$15&lt;=Setup!$C$16,AND(MONTH(B96)&gt;=Setup!$C$15,MONTH(B96)&lt;=Setup!$C$16),OR(MONTH(B96)&gt;=Setup!$C$15,MONTH(B96)&lt;=Setup!$C$16)),IF(Setup!$C$15&lt;=Setup!$C$16,AND(MONTH(WORKDAY(B96,-(Setup!$C$13+Setup!$G$20),Setup!$C$39:$C$50))&gt;=Setup!$C$15,MONTH(WORKDAY(B96,-(Setup!$C$13+Setup!$G$20),Setup!$C$39:$C$50))&lt;=Setup!$C$16),OR(MONTH(WORKDAY(B96,-(Setup!$C$13+Setup!$G$20),Setup!$C$39:$C$50))&gt;=Setup!$C$15,MONTH(WORKDAY(B96,-(Setup!$C$13+Setup!$G$20),Setup!$C$39:$C$50))&lt;=Setup!$C$16))),WORKDAY(B96,-(Setup!$C$13+Setup!$G$20+Setup!$C$14),Setup!$C$39:$C$50),WORKDAY(B96,-(Setup!$C$13+Setup!$G$20),Setup!$C$39:$C$50))+(91*100+1)/10000000)))</f>
        <v/>
      </c>
      <c r="S96" t="str">
        <f>IF(C96="","",IF(C96&lt;Setup!$C$5-Setup!$C$6,"",IF(IF(ISNUMBER(Roster!$D96),Setup!$C$21&lt;=Roster!$D96,FALSE),"",IF(OR(IF(Setup!$C$15&lt;=Setup!$C$16,AND(MONTH(C96)&gt;=Setup!$C$15,MONTH(C96)&lt;=Setup!$C$16),OR(MONTH(C96)&gt;=Setup!$C$15,MONTH(C96)&lt;=Setup!$C$16)),IF(Setup!$C$15&lt;=Setup!$C$16,AND(MONTH(WORKDAY(C96,-(Setup!$C$13+Setup!$G$21),Setup!$C$39:$C$50))&gt;=Setup!$C$15,MONTH(WORKDAY(C96,-(Setup!$C$13+Setup!$G$21),Setup!$C$39:$C$50))&lt;=Setup!$C$16),OR(MONTH(WORKDAY(C96,-(Setup!$C$13+Setup!$G$21),Setup!$C$39:$C$50))&gt;=Setup!$C$15,MONTH(WORKDAY(C96,-(Setup!$C$13+Setup!$G$21),Setup!$C$39:$C$50))&lt;=Setup!$C$16))),WORKDAY(C96,-(Setup!$C$13+Setup!$G$21+Setup!$C$14),Setup!$C$39:$C$50),WORKDAY(C96,-(Setup!$C$13+Setup!$G$21),Setup!$C$39:$C$50))+(91*100+2)/10000000)))</f>
        <v/>
      </c>
      <c r="T96" t="str">
        <f>IF(D96="","",IF(D96&lt;Setup!$C$5-Setup!$C$6,"",IF(IF(ISNUMBER(Roster!$D96),Setup!$C$22&lt;=Roster!$D96,FALSE),"",IF(OR(IF(Setup!$C$15&lt;=Setup!$C$16,AND(MONTH(D96)&gt;=Setup!$C$15,MONTH(D96)&lt;=Setup!$C$16),OR(MONTH(D96)&gt;=Setup!$C$15,MONTH(D96)&lt;=Setup!$C$16)),IF(Setup!$C$15&lt;=Setup!$C$16,AND(MONTH(WORKDAY(D96,-(Setup!$C$13+Setup!$G$22),Setup!$C$39:$C$50))&gt;=Setup!$C$15,MONTH(WORKDAY(D96,-(Setup!$C$13+Setup!$G$22),Setup!$C$39:$C$50))&lt;=Setup!$C$16),OR(MONTH(WORKDAY(D96,-(Setup!$C$13+Setup!$G$22),Setup!$C$39:$C$50))&gt;=Setup!$C$15,MONTH(WORKDAY(D96,-(Setup!$C$13+Setup!$G$22),Setup!$C$39:$C$50))&lt;=Setup!$C$16))),WORKDAY(D96,-(Setup!$C$13+Setup!$G$22+Setup!$C$14),Setup!$C$39:$C$50),WORKDAY(D96,-(Setup!$C$13+Setup!$G$22),Setup!$C$39:$C$50))+(91*100+3)/10000000)))</f>
        <v/>
      </c>
      <c r="U96" t="str">
        <f>IF(E96="","",IF(E96&lt;Setup!$C$5-Setup!$C$6,"",IF(IF(ISNUMBER(Roster!$D96),Setup!$C$23&lt;=Roster!$D96,FALSE),"",IF(OR(IF(Setup!$C$15&lt;=Setup!$C$16,AND(MONTH(E96)&gt;=Setup!$C$15,MONTH(E96)&lt;=Setup!$C$16),OR(MONTH(E96)&gt;=Setup!$C$15,MONTH(E96)&lt;=Setup!$C$16)),IF(Setup!$C$15&lt;=Setup!$C$16,AND(MONTH(WORKDAY(E96,-(Setup!$C$13+Setup!$G$23),Setup!$C$39:$C$50))&gt;=Setup!$C$15,MONTH(WORKDAY(E96,-(Setup!$C$13+Setup!$G$23),Setup!$C$39:$C$50))&lt;=Setup!$C$16),OR(MONTH(WORKDAY(E96,-(Setup!$C$13+Setup!$G$23),Setup!$C$39:$C$50))&gt;=Setup!$C$15,MONTH(WORKDAY(E96,-(Setup!$C$13+Setup!$G$23),Setup!$C$39:$C$50))&lt;=Setup!$C$16))),WORKDAY(E96,-(Setup!$C$13+Setup!$G$23+Setup!$C$14),Setup!$C$39:$C$50),WORKDAY(E96,-(Setup!$C$13+Setup!$G$23),Setup!$C$39:$C$50))+(91*100+4)/10000000)))</f>
        <v/>
      </c>
      <c r="V96" t="str">
        <f>IF(F96="","",IF(F96&lt;Setup!$C$5-Setup!$C$6,"",IF(IF(ISNUMBER(Roster!$D96),Setup!$C$24&lt;=Roster!$D96,FALSE),"",IF(OR(IF(Setup!$C$15&lt;=Setup!$C$16,AND(MONTH(F96)&gt;=Setup!$C$15,MONTH(F96)&lt;=Setup!$C$16),OR(MONTH(F96)&gt;=Setup!$C$15,MONTH(F96)&lt;=Setup!$C$16)),IF(Setup!$C$15&lt;=Setup!$C$16,AND(MONTH(WORKDAY(F96,-(Setup!$C$13+Setup!$G$24),Setup!$C$39:$C$50))&gt;=Setup!$C$15,MONTH(WORKDAY(F96,-(Setup!$C$13+Setup!$G$24),Setup!$C$39:$C$50))&lt;=Setup!$C$16),OR(MONTH(WORKDAY(F96,-(Setup!$C$13+Setup!$G$24),Setup!$C$39:$C$50))&gt;=Setup!$C$15,MONTH(WORKDAY(F96,-(Setup!$C$13+Setup!$G$24),Setup!$C$39:$C$50))&lt;=Setup!$C$16))),WORKDAY(F96,-(Setup!$C$13+Setup!$G$24+Setup!$C$14),Setup!$C$39:$C$50),WORKDAY(F96,-(Setup!$C$13+Setup!$G$24),Setup!$C$39:$C$50))+(91*100+5)/10000000)))</f>
        <v/>
      </c>
      <c r="W96" t="str">
        <f>IF(G96="","",IF(G96&lt;Setup!$C$5-Setup!$C$6,"",IF(IF(ISNUMBER(Roster!$D96),Setup!$C$25&lt;=Roster!$D96,FALSE),"",IF(OR(IF(Setup!$C$15&lt;=Setup!$C$16,AND(MONTH(G96)&gt;=Setup!$C$15,MONTH(G96)&lt;=Setup!$C$16),OR(MONTH(G96)&gt;=Setup!$C$15,MONTH(G96)&lt;=Setup!$C$16)),IF(Setup!$C$15&lt;=Setup!$C$16,AND(MONTH(WORKDAY(G96,-(Setup!$C$13+Setup!$G$25),Setup!$C$39:$C$50))&gt;=Setup!$C$15,MONTH(WORKDAY(G96,-(Setup!$C$13+Setup!$G$25),Setup!$C$39:$C$50))&lt;=Setup!$C$16),OR(MONTH(WORKDAY(G96,-(Setup!$C$13+Setup!$G$25),Setup!$C$39:$C$50))&gt;=Setup!$C$15,MONTH(WORKDAY(G96,-(Setup!$C$13+Setup!$G$25),Setup!$C$39:$C$50))&lt;=Setup!$C$16))),WORKDAY(G96,-(Setup!$C$13+Setup!$G$25+Setup!$C$14),Setup!$C$39:$C$50),WORKDAY(G96,-(Setup!$C$13+Setup!$G$25),Setup!$C$39:$C$50))+(91*100+6)/10000000)))</f>
        <v/>
      </c>
      <c r="X96" t="str">
        <f>IF(H96="","",IF(H96&lt;Setup!$C$5-Setup!$C$6,"",IF(IF(ISNUMBER(Roster!$D96),Setup!$C$26&lt;=Roster!$D96,FALSE),"",IF(OR(IF(Setup!$C$15&lt;=Setup!$C$16,AND(MONTH(H96)&gt;=Setup!$C$15,MONTH(H96)&lt;=Setup!$C$16),OR(MONTH(H96)&gt;=Setup!$C$15,MONTH(H96)&lt;=Setup!$C$16)),IF(Setup!$C$15&lt;=Setup!$C$16,AND(MONTH(WORKDAY(H96,-(Setup!$C$13+Setup!$G$26),Setup!$C$39:$C$50))&gt;=Setup!$C$15,MONTH(WORKDAY(H96,-(Setup!$C$13+Setup!$G$26),Setup!$C$39:$C$50))&lt;=Setup!$C$16),OR(MONTH(WORKDAY(H96,-(Setup!$C$13+Setup!$G$26),Setup!$C$39:$C$50))&gt;=Setup!$C$15,MONTH(WORKDAY(H96,-(Setup!$C$13+Setup!$G$26),Setup!$C$39:$C$50))&lt;=Setup!$C$16))),WORKDAY(H96,-(Setup!$C$13+Setup!$G$26+Setup!$C$14),Setup!$C$39:$C$50),WORKDAY(H96,-(Setup!$C$13+Setup!$G$26),Setup!$C$39:$C$50))+(91*100+7)/10000000)))</f>
        <v/>
      </c>
      <c r="Y96" t="str">
        <f>IF(I96="","",IF(I96&lt;Setup!$C$5-Setup!$C$6,"",IF(IF(ISNUMBER(Roster!$D96),Setup!$C$27&lt;=Roster!$D96,FALSE),"",IF(OR(IF(Setup!$C$15&lt;=Setup!$C$16,AND(MONTH(I96)&gt;=Setup!$C$15,MONTH(I96)&lt;=Setup!$C$16),OR(MONTH(I96)&gt;=Setup!$C$15,MONTH(I96)&lt;=Setup!$C$16)),IF(Setup!$C$15&lt;=Setup!$C$16,AND(MONTH(WORKDAY(I96,-(Setup!$C$13+Setup!$G$27),Setup!$C$39:$C$50))&gt;=Setup!$C$15,MONTH(WORKDAY(I96,-(Setup!$C$13+Setup!$G$27),Setup!$C$39:$C$50))&lt;=Setup!$C$16),OR(MONTH(WORKDAY(I96,-(Setup!$C$13+Setup!$G$27),Setup!$C$39:$C$50))&gt;=Setup!$C$15,MONTH(WORKDAY(I96,-(Setup!$C$13+Setup!$G$27),Setup!$C$39:$C$50))&lt;=Setup!$C$16))),WORKDAY(I96,-(Setup!$C$13+Setup!$G$27+Setup!$C$14),Setup!$C$39:$C$50),WORKDAY(I96,-(Setup!$C$13+Setup!$G$27),Setup!$C$39:$C$50))+(91*100+8)/10000000)))</f>
        <v/>
      </c>
      <c r="Z96" t="str">
        <f>IF(J96="","",IF(J96&lt;Setup!$C$5-Setup!$C$6,"",IF(IF(ISNUMBER(Roster!$D96),Setup!$C$28&lt;=Roster!$D96,FALSE),"",IF(OR(IF(Setup!$C$15&lt;=Setup!$C$16,AND(MONTH(J96)&gt;=Setup!$C$15,MONTH(J96)&lt;=Setup!$C$16),OR(MONTH(J96)&gt;=Setup!$C$15,MONTH(J96)&lt;=Setup!$C$16)),IF(Setup!$C$15&lt;=Setup!$C$16,AND(MONTH(WORKDAY(J96,-(Setup!$C$13+Setup!$G$28),Setup!$C$39:$C$50))&gt;=Setup!$C$15,MONTH(WORKDAY(J96,-(Setup!$C$13+Setup!$G$28),Setup!$C$39:$C$50))&lt;=Setup!$C$16),OR(MONTH(WORKDAY(J96,-(Setup!$C$13+Setup!$G$28),Setup!$C$39:$C$50))&gt;=Setup!$C$15,MONTH(WORKDAY(J96,-(Setup!$C$13+Setup!$G$28),Setup!$C$39:$C$50))&lt;=Setup!$C$16))),WORKDAY(J96,-(Setup!$C$13+Setup!$G$28+Setup!$C$14),Setup!$C$39:$C$50),WORKDAY(J96,-(Setup!$C$13+Setup!$G$28),Setup!$C$39:$C$50))+(91*100+9)/10000000)))</f>
        <v/>
      </c>
      <c r="AA96" t="str">
        <f>IF(K96="","",IF(K96&lt;Setup!$C$5-Setup!$C$6,"",IF(IF(ISNUMBER(Roster!$D96),Setup!$C$29&lt;=Roster!$D96,FALSE),"",IF(OR(IF(Setup!$C$15&lt;=Setup!$C$16,AND(MONTH(K96)&gt;=Setup!$C$15,MONTH(K96)&lt;=Setup!$C$16),OR(MONTH(K96)&gt;=Setup!$C$15,MONTH(K96)&lt;=Setup!$C$16)),IF(Setup!$C$15&lt;=Setup!$C$16,AND(MONTH(WORKDAY(K96,-(Setup!$C$13+Setup!$G$29),Setup!$C$39:$C$50))&gt;=Setup!$C$15,MONTH(WORKDAY(K96,-(Setup!$C$13+Setup!$G$29),Setup!$C$39:$C$50))&lt;=Setup!$C$16),OR(MONTH(WORKDAY(K96,-(Setup!$C$13+Setup!$G$29),Setup!$C$39:$C$50))&gt;=Setup!$C$15,MONTH(WORKDAY(K96,-(Setup!$C$13+Setup!$G$29),Setup!$C$39:$C$50))&lt;=Setup!$C$16))),WORKDAY(K96,-(Setup!$C$13+Setup!$G$29+Setup!$C$14),Setup!$C$39:$C$50),WORKDAY(K96,-(Setup!$C$13+Setup!$G$29),Setup!$C$39:$C$50))+(91*100+10)/10000000)))</f>
        <v/>
      </c>
      <c r="AB96" t="str">
        <f>IF(L96="","",IF(L96&lt;Setup!$C$5-Setup!$C$6,"",IF(IF(ISNUMBER(Roster!$D96),Setup!$C$30&lt;=Roster!$D96,FALSE),"",IF(OR(IF(Setup!$C$15&lt;=Setup!$C$16,AND(MONTH(L96)&gt;=Setup!$C$15,MONTH(L96)&lt;=Setup!$C$16),OR(MONTH(L96)&gt;=Setup!$C$15,MONTH(L96)&lt;=Setup!$C$16)),IF(Setup!$C$15&lt;=Setup!$C$16,AND(MONTH(WORKDAY(L96,-(Setup!$C$13+Setup!$G$30),Setup!$C$39:$C$50))&gt;=Setup!$C$15,MONTH(WORKDAY(L96,-(Setup!$C$13+Setup!$G$30),Setup!$C$39:$C$50))&lt;=Setup!$C$16),OR(MONTH(WORKDAY(L96,-(Setup!$C$13+Setup!$G$30),Setup!$C$39:$C$50))&gt;=Setup!$C$15,MONTH(WORKDAY(L96,-(Setup!$C$13+Setup!$G$30),Setup!$C$39:$C$50))&lt;=Setup!$C$16))),WORKDAY(L96,-(Setup!$C$13+Setup!$G$30+Setup!$C$14),Setup!$C$39:$C$50),WORKDAY(L96,-(Setup!$C$13+Setup!$G$30),Setup!$C$39:$C$50))+(91*100+11)/10000000)))</f>
        <v/>
      </c>
      <c r="AC96" t="str">
        <f>IF(M96="","",IF(M96&lt;Setup!$C$5-Setup!$C$6,"",IF(IF(ISNUMBER(Roster!$D96),Setup!$C$31&lt;=Roster!$D96,FALSE),"",IF(OR(IF(Setup!$C$15&lt;=Setup!$C$16,AND(MONTH(M96)&gt;=Setup!$C$15,MONTH(M96)&lt;=Setup!$C$16),OR(MONTH(M96)&gt;=Setup!$C$15,MONTH(M96)&lt;=Setup!$C$16)),IF(Setup!$C$15&lt;=Setup!$C$16,AND(MONTH(WORKDAY(M96,-(Setup!$C$13+Setup!$G$31),Setup!$C$39:$C$50))&gt;=Setup!$C$15,MONTH(WORKDAY(M96,-(Setup!$C$13+Setup!$G$31),Setup!$C$39:$C$50))&lt;=Setup!$C$16),OR(MONTH(WORKDAY(M96,-(Setup!$C$13+Setup!$G$31),Setup!$C$39:$C$50))&gt;=Setup!$C$15,MONTH(WORKDAY(M96,-(Setup!$C$13+Setup!$G$31),Setup!$C$39:$C$50))&lt;=Setup!$C$16))),WORKDAY(M96,-(Setup!$C$13+Setup!$G$31+Setup!$C$14),Setup!$C$39:$C$50),WORKDAY(M96,-(Setup!$C$13+Setup!$G$31),Setup!$C$39:$C$50))+(91*100+12)/10000000)))</f>
        <v/>
      </c>
      <c r="AD96" t="str">
        <f>IF(N96="","",IF(N96&lt;Setup!$C$5-Setup!$C$6,"",IF(IF(ISNUMBER(Roster!$D96),Setup!$C$32&lt;=Roster!$D96,FALSE),"",IF(OR(IF(Setup!$C$15&lt;=Setup!$C$16,AND(MONTH(N96)&gt;=Setup!$C$15,MONTH(N96)&lt;=Setup!$C$16),OR(MONTH(N96)&gt;=Setup!$C$15,MONTH(N96)&lt;=Setup!$C$16)),IF(Setup!$C$15&lt;=Setup!$C$16,AND(MONTH(WORKDAY(N96,-(Setup!$C$13+Setup!$G$32),Setup!$C$39:$C$50))&gt;=Setup!$C$15,MONTH(WORKDAY(N96,-(Setup!$C$13+Setup!$G$32),Setup!$C$39:$C$50))&lt;=Setup!$C$16),OR(MONTH(WORKDAY(N96,-(Setup!$C$13+Setup!$G$32),Setup!$C$39:$C$50))&gt;=Setup!$C$15,MONTH(WORKDAY(N96,-(Setup!$C$13+Setup!$G$32),Setup!$C$39:$C$50))&lt;=Setup!$C$16))),WORKDAY(N96,-(Setup!$C$13+Setup!$G$32+Setup!$C$14),Setup!$C$39:$C$50),WORKDAY(N96,-(Setup!$C$13+Setup!$G$32),Setup!$C$39:$C$50))+(91*100+13)/10000000)))</f>
        <v/>
      </c>
      <c r="AE96" t="str">
        <f>IF(O96="","",IF(O96&lt;Setup!$C$5-Setup!$C$6,"",IF(IF(ISNUMBER(Roster!$D96),Setup!$C$33&lt;=Roster!$D96,FALSE),"",IF(OR(IF(Setup!$C$15&lt;=Setup!$C$16,AND(MONTH(O96)&gt;=Setup!$C$15,MONTH(O96)&lt;=Setup!$C$16),OR(MONTH(O96)&gt;=Setup!$C$15,MONTH(O96)&lt;=Setup!$C$16)),IF(Setup!$C$15&lt;=Setup!$C$16,AND(MONTH(WORKDAY(O96,-(Setup!$C$13+Setup!$G$33),Setup!$C$39:$C$50))&gt;=Setup!$C$15,MONTH(WORKDAY(O96,-(Setup!$C$13+Setup!$G$33),Setup!$C$39:$C$50))&lt;=Setup!$C$16),OR(MONTH(WORKDAY(O96,-(Setup!$C$13+Setup!$G$33),Setup!$C$39:$C$50))&gt;=Setup!$C$15,MONTH(WORKDAY(O96,-(Setup!$C$13+Setup!$G$33),Setup!$C$39:$C$50))&lt;=Setup!$C$16))),WORKDAY(O96,-(Setup!$C$13+Setup!$G$33+Setup!$C$14),Setup!$C$39:$C$50),WORKDAY(O96,-(Setup!$C$13+Setup!$G$33),Setup!$C$39:$C$50))+(91*100+14)/10000000)))</f>
        <v/>
      </c>
      <c r="AF96" t="str">
        <f>IF(P96="","",IF(P96&lt;Setup!$C$5-Setup!$C$6,"",IF(IF(ISNUMBER(Roster!$D96),Setup!$C$34&lt;=Roster!$D96,FALSE),"",IF(OR(IF(Setup!$C$15&lt;=Setup!$C$16,AND(MONTH(P96)&gt;=Setup!$C$15,MONTH(P96)&lt;=Setup!$C$16),OR(MONTH(P96)&gt;=Setup!$C$15,MONTH(P96)&lt;=Setup!$C$16)),IF(Setup!$C$15&lt;=Setup!$C$16,AND(MONTH(WORKDAY(P96,-(Setup!$C$13+Setup!$G$34),Setup!$C$39:$C$50))&gt;=Setup!$C$15,MONTH(WORKDAY(P96,-(Setup!$C$13+Setup!$G$34),Setup!$C$39:$C$50))&lt;=Setup!$C$16),OR(MONTH(WORKDAY(P96,-(Setup!$C$13+Setup!$G$34),Setup!$C$39:$C$50))&gt;=Setup!$C$15,MONTH(WORKDAY(P96,-(Setup!$C$13+Setup!$G$34),Setup!$C$39:$C$50))&lt;=Setup!$C$16))),WORKDAY(P96,-(Setup!$C$13+Setup!$G$34+Setup!$C$14),Setup!$C$39:$C$50),WORKDAY(P96,-(Setup!$C$13+Setup!$G$34),Setup!$C$39:$C$50))+(91*100+15)/10000000)))</f>
        <v/>
      </c>
      <c r="AH96" t="str">
        <f t="shared" si="9"/>
        <v/>
      </c>
      <c r="AI96" t="str">
        <f t="shared" si="10"/>
        <v/>
      </c>
      <c r="AK96" t="str">
        <f ca="1">IF(91&gt;$AK$2,"",SMALL($R$6:$AF$505,91))</f>
        <v/>
      </c>
      <c r="AL96" t="str">
        <f t="shared" ca="1" si="11"/>
        <v/>
      </c>
      <c r="AM96" t="str">
        <f t="shared" ca="1" si="12"/>
        <v/>
      </c>
      <c r="AN96" t="str">
        <f t="shared" ca="1" si="13"/>
        <v/>
      </c>
      <c r="AP96" t="str">
        <f>IF(ISNUMBER(Roster!$B96),MAX(1,YEAR(Setup!$C$5)-YEAR(Roster!$B96)+IF(EDATE(Roster!$B96,12*(YEAR(Setup!$C$5)-YEAR(Roster!$B96)))&lt;Setup!$C$5,1,0)),"")</f>
        <v/>
      </c>
      <c r="AQ96" s="32" t="str">
        <f>IF(AP96="","",EDATE(Roster!$B96,12*AP96))</f>
        <v/>
      </c>
      <c r="AR96" t="str">
        <f>IF(AQ96="","",IF(AQ96&lt;DATE(YEAR(Setup!$C$5)+1,MONTH(Setup!$C$5),DAY(Setup!$C$5)),AQ96+91/1000,""))</f>
        <v/>
      </c>
      <c r="AS96" t="str">
        <f t="shared" si="14"/>
        <v/>
      </c>
      <c r="AT96" t="str">
        <f>IF(AS96="","",IF(ISNUMBER(Roster!$D96),Roster!$D96&gt;=AP96,FALSE))</f>
        <v/>
      </c>
      <c r="AU96" t="str">
        <f t="shared" si="15"/>
        <v/>
      </c>
      <c r="AV96" t="str">
        <f ca="1">IF(91&gt;$AV$2,"",SMALL($AR$6:$AR$505,91))</f>
        <v/>
      </c>
      <c r="AW96" t="str">
        <f t="shared" ca="1" si="16"/>
        <v/>
      </c>
    </row>
    <row r="97" spans="2:49" x14ac:dyDescent="0.2">
      <c r="B97" s="32" t="str">
        <f>IF(AND(ISNUMBER(Roster!$B97),Setup!$B$20="Yes",ISNUMBER(Setup!$C$20)),EDATE(Roster!$B97,12*Setup!$C$20),"")</f>
        <v/>
      </c>
      <c r="C97" s="32" t="str">
        <f>IF(AND(ISNUMBER(Roster!$B97),Setup!$B$21="Yes",ISNUMBER(Setup!$C$21)),EDATE(Roster!$B97,12*Setup!$C$21),"")</f>
        <v/>
      </c>
      <c r="D97" s="32" t="str">
        <f>IF(AND(ISNUMBER(Roster!$B97),Setup!$B$22="Yes",ISNUMBER(Setup!$C$22)),EDATE(Roster!$B97,12*Setup!$C$22),"")</f>
        <v/>
      </c>
      <c r="E97" s="32" t="str">
        <f>IF(AND(ISNUMBER(Roster!$B97),Setup!$B$23="Yes",ISNUMBER(Setup!$C$23)),EDATE(Roster!$B97,12*Setup!$C$23),"")</f>
        <v/>
      </c>
      <c r="F97" s="32" t="str">
        <f>IF(AND(ISNUMBER(Roster!$B97),Setup!$B$24="Yes",ISNUMBER(Setup!$C$24)),EDATE(Roster!$B97,12*Setup!$C$24),"")</f>
        <v/>
      </c>
      <c r="G97" s="32" t="str">
        <f>IF(AND(ISNUMBER(Roster!$B97),Setup!$B$25="Yes",ISNUMBER(Setup!$C$25)),EDATE(Roster!$B97,12*Setup!$C$25),"")</f>
        <v/>
      </c>
      <c r="H97" s="32" t="str">
        <f>IF(AND(ISNUMBER(Roster!$B97),Setup!$B$26="Yes",ISNUMBER(Setup!$C$26)),EDATE(Roster!$B97,12*Setup!$C$26),"")</f>
        <v/>
      </c>
      <c r="I97" s="32" t="str">
        <f>IF(AND(ISNUMBER(Roster!$B97),Setup!$B$27="Yes",ISNUMBER(Setup!$C$27)),EDATE(Roster!$B97,12*Setup!$C$27),"")</f>
        <v/>
      </c>
      <c r="J97" s="32" t="str">
        <f>IF(AND(ISNUMBER(Roster!$B97),Setup!$B$28="Yes",ISNUMBER(Setup!$C$28)),EDATE(Roster!$B97,12*Setup!$C$28),"")</f>
        <v/>
      </c>
      <c r="K97" s="32" t="str">
        <f>IF(AND(ISNUMBER(Roster!$B97),Setup!$B$29="Yes",ISNUMBER(Setup!$C$29)),EDATE(Roster!$B97,12*Setup!$C$29),"")</f>
        <v/>
      </c>
      <c r="L97" s="32" t="str">
        <f>IF(AND(ISNUMBER(Roster!$B97),Setup!$B$30="Yes",ISNUMBER(Setup!$C$30)),EDATE(Roster!$B97,12*Setup!$C$30),"")</f>
        <v/>
      </c>
      <c r="M97" s="32" t="str">
        <f>IF(AND(ISNUMBER(Roster!$B97),Setup!$B$31="Yes",ISNUMBER(Setup!$C$31)),EDATE(Roster!$B97,12*Setup!$C$31),"")</f>
        <v/>
      </c>
      <c r="N97" s="32" t="str">
        <f>IF(AND(ISNUMBER(Roster!$B97),Setup!$B$32="Yes",ISNUMBER(Setup!$C$32)),EDATE(Roster!$B97,12*Setup!$C$32),"")</f>
        <v/>
      </c>
      <c r="O97" s="32" t="str">
        <f>IF(AND(ISNUMBER(Roster!$B97),Setup!$B$33="Yes",ISNUMBER(Setup!$C$33)),EDATE(Roster!$B97,12*Setup!$C$33),"")</f>
        <v/>
      </c>
      <c r="P97" s="32" t="str">
        <f>IF(AND(ISNUMBER(Roster!$B97),Setup!$B$34="Yes",ISNUMBER(Setup!$C$34)),EDATE(Roster!$B97,12*Setup!$C$34),"")</f>
        <v/>
      </c>
      <c r="R97" t="str">
        <f>IF(B97="","",IF(B97&lt;Setup!$C$5-Setup!$C$6,"",IF(IF(ISNUMBER(Roster!$D97),Setup!$C$20&lt;=Roster!$D97,FALSE),"",IF(OR(IF(Setup!$C$15&lt;=Setup!$C$16,AND(MONTH(B97)&gt;=Setup!$C$15,MONTH(B97)&lt;=Setup!$C$16),OR(MONTH(B97)&gt;=Setup!$C$15,MONTH(B97)&lt;=Setup!$C$16)),IF(Setup!$C$15&lt;=Setup!$C$16,AND(MONTH(WORKDAY(B97,-(Setup!$C$13+Setup!$G$20),Setup!$C$39:$C$50))&gt;=Setup!$C$15,MONTH(WORKDAY(B97,-(Setup!$C$13+Setup!$G$20),Setup!$C$39:$C$50))&lt;=Setup!$C$16),OR(MONTH(WORKDAY(B97,-(Setup!$C$13+Setup!$G$20),Setup!$C$39:$C$50))&gt;=Setup!$C$15,MONTH(WORKDAY(B97,-(Setup!$C$13+Setup!$G$20),Setup!$C$39:$C$50))&lt;=Setup!$C$16))),WORKDAY(B97,-(Setup!$C$13+Setup!$G$20+Setup!$C$14),Setup!$C$39:$C$50),WORKDAY(B97,-(Setup!$C$13+Setup!$G$20),Setup!$C$39:$C$50))+(92*100+1)/10000000)))</f>
        <v/>
      </c>
      <c r="S97" t="str">
        <f>IF(C97="","",IF(C97&lt;Setup!$C$5-Setup!$C$6,"",IF(IF(ISNUMBER(Roster!$D97),Setup!$C$21&lt;=Roster!$D97,FALSE),"",IF(OR(IF(Setup!$C$15&lt;=Setup!$C$16,AND(MONTH(C97)&gt;=Setup!$C$15,MONTH(C97)&lt;=Setup!$C$16),OR(MONTH(C97)&gt;=Setup!$C$15,MONTH(C97)&lt;=Setup!$C$16)),IF(Setup!$C$15&lt;=Setup!$C$16,AND(MONTH(WORKDAY(C97,-(Setup!$C$13+Setup!$G$21),Setup!$C$39:$C$50))&gt;=Setup!$C$15,MONTH(WORKDAY(C97,-(Setup!$C$13+Setup!$G$21),Setup!$C$39:$C$50))&lt;=Setup!$C$16),OR(MONTH(WORKDAY(C97,-(Setup!$C$13+Setup!$G$21),Setup!$C$39:$C$50))&gt;=Setup!$C$15,MONTH(WORKDAY(C97,-(Setup!$C$13+Setup!$G$21),Setup!$C$39:$C$50))&lt;=Setup!$C$16))),WORKDAY(C97,-(Setup!$C$13+Setup!$G$21+Setup!$C$14),Setup!$C$39:$C$50),WORKDAY(C97,-(Setup!$C$13+Setup!$G$21),Setup!$C$39:$C$50))+(92*100+2)/10000000)))</f>
        <v/>
      </c>
      <c r="T97" t="str">
        <f>IF(D97="","",IF(D97&lt;Setup!$C$5-Setup!$C$6,"",IF(IF(ISNUMBER(Roster!$D97),Setup!$C$22&lt;=Roster!$D97,FALSE),"",IF(OR(IF(Setup!$C$15&lt;=Setup!$C$16,AND(MONTH(D97)&gt;=Setup!$C$15,MONTH(D97)&lt;=Setup!$C$16),OR(MONTH(D97)&gt;=Setup!$C$15,MONTH(D97)&lt;=Setup!$C$16)),IF(Setup!$C$15&lt;=Setup!$C$16,AND(MONTH(WORKDAY(D97,-(Setup!$C$13+Setup!$G$22),Setup!$C$39:$C$50))&gt;=Setup!$C$15,MONTH(WORKDAY(D97,-(Setup!$C$13+Setup!$G$22),Setup!$C$39:$C$50))&lt;=Setup!$C$16),OR(MONTH(WORKDAY(D97,-(Setup!$C$13+Setup!$G$22),Setup!$C$39:$C$50))&gt;=Setup!$C$15,MONTH(WORKDAY(D97,-(Setup!$C$13+Setup!$G$22),Setup!$C$39:$C$50))&lt;=Setup!$C$16))),WORKDAY(D97,-(Setup!$C$13+Setup!$G$22+Setup!$C$14),Setup!$C$39:$C$50),WORKDAY(D97,-(Setup!$C$13+Setup!$G$22),Setup!$C$39:$C$50))+(92*100+3)/10000000)))</f>
        <v/>
      </c>
      <c r="U97" t="str">
        <f>IF(E97="","",IF(E97&lt;Setup!$C$5-Setup!$C$6,"",IF(IF(ISNUMBER(Roster!$D97),Setup!$C$23&lt;=Roster!$D97,FALSE),"",IF(OR(IF(Setup!$C$15&lt;=Setup!$C$16,AND(MONTH(E97)&gt;=Setup!$C$15,MONTH(E97)&lt;=Setup!$C$16),OR(MONTH(E97)&gt;=Setup!$C$15,MONTH(E97)&lt;=Setup!$C$16)),IF(Setup!$C$15&lt;=Setup!$C$16,AND(MONTH(WORKDAY(E97,-(Setup!$C$13+Setup!$G$23),Setup!$C$39:$C$50))&gt;=Setup!$C$15,MONTH(WORKDAY(E97,-(Setup!$C$13+Setup!$G$23),Setup!$C$39:$C$50))&lt;=Setup!$C$16),OR(MONTH(WORKDAY(E97,-(Setup!$C$13+Setup!$G$23),Setup!$C$39:$C$50))&gt;=Setup!$C$15,MONTH(WORKDAY(E97,-(Setup!$C$13+Setup!$G$23),Setup!$C$39:$C$50))&lt;=Setup!$C$16))),WORKDAY(E97,-(Setup!$C$13+Setup!$G$23+Setup!$C$14),Setup!$C$39:$C$50),WORKDAY(E97,-(Setup!$C$13+Setup!$G$23),Setup!$C$39:$C$50))+(92*100+4)/10000000)))</f>
        <v/>
      </c>
      <c r="V97" t="str">
        <f>IF(F97="","",IF(F97&lt;Setup!$C$5-Setup!$C$6,"",IF(IF(ISNUMBER(Roster!$D97),Setup!$C$24&lt;=Roster!$D97,FALSE),"",IF(OR(IF(Setup!$C$15&lt;=Setup!$C$16,AND(MONTH(F97)&gt;=Setup!$C$15,MONTH(F97)&lt;=Setup!$C$16),OR(MONTH(F97)&gt;=Setup!$C$15,MONTH(F97)&lt;=Setup!$C$16)),IF(Setup!$C$15&lt;=Setup!$C$16,AND(MONTH(WORKDAY(F97,-(Setup!$C$13+Setup!$G$24),Setup!$C$39:$C$50))&gt;=Setup!$C$15,MONTH(WORKDAY(F97,-(Setup!$C$13+Setup!$G$24),Setup!$C$39:$C$50))&lt;=Setup!$C$16),OR(MONTH(WORKDAY(F97,-(Setup!$C$13+Setup!$G$24),Setup!$C$39:$C$50))&gt;=Setup!$C$15,MONTH(WORKDAY(F97,-(Setup!$C$13+Setup!$G$24),Setup!$C$39:$C$50))&lt;=Setup!$C$16))),WORKDAY(F97,-(Setup!$C$13+Setup!$G$24+Setup!$C$14),Setup!$C$39:$C$50),WORKDAY(F97,-(Setup!$C$13+Setup!$G$24),Setup!$C$39:$C$50))+(92*100+5)/10000000)))</f>
        <v/>
      </c>
      <c r="W97" t="str">
        <f>IF(G97="","",IF(G97&lt;Setup!$C$5-Setup!$C$6,"",IF(IF(ISNUMBER(Roster!$D97),Setup!$C$25&lt;=Roster!$D97,FALSE),"",IF(OR(IF(Setup!$C$15&lt;=Setup!$C$16,AND(MONTH(G97)&gt;=Setup!$C$15,MONTH(G97)&lt;=Setup!$C$16),OR(MONTH(G97)&gt;=Setup!$C$15,MONTH(G97)&lt;=Setup!$C$16)),IF(Setup!$C$15&lt;=Setup!$C$16,AND(MONTH(WORKDAY(G97,-(Setup!$C$13+Setup!$G$25),Setup!$C$39:$C$50))&gt;=Setup!$C$15,MONTH(WORKDAY(G97,-(Setup!$C$13+Setup!$G$25),Setup!$C$39:$C$50))&lt;=Setup!$C$16),OR(MONTH(WORKDAY(G97,-(Setup!$C$13+Setup!$G$25),Setup!$C$39:$C$50))&gt;=Setup!$C$15,MONTH(WORKDAY(G97,-(Setup!$C$13+Setup!$G$25),Setup!$C$39:$C$50))&lt;=Setup!$C$16))),WORKDAY(G97,-(Setup!$C$13+Setup!$G$25+Setup!$C$14),Setup!$C$39:$C$50),WORKDAY(G97,-(Setup!$C$13+Setup!$G$25),Setup!$C$39:$C$50))+(92*100+6)/10000000)))</f>
        <v/>
      </c>
      <c r="X97" t="str">
        <f>IF(H97="","",IF(H97&lt;Setup!$C$5-Setup!$C$6,"",IF(IF(ISNUMBER(Roster!$D97),Setup!$C$26&lt;=Roster!$D97,FALSE),"",IF(OR(IF(Setup!$C$15&lt;=Setup!$C$16,AND(MONTH(H97)&gt;=Setup!$C$15,MONTH(H97)&lt;=Setup!$C$16),OR(MONTH(H97)&gt;=Setup!$C$15,MONTH(H97)&lt;=Setup!$C$16)),IF(Setup!$C$15&lt;=Setup!$C$16,AND(MONTH(WORKDAY(H97,-(Setup!$C$13+Setup!$G$26),Setup!$C$39:$C$50))&gt;=Setup!$C$15,MONTH(WORKDAY(H97,-(Setup!$C$13+Setup!$G$26),Setup!$C$39:$C$50))&lt;=Setup!$C$16),OR(MONTH(WORKDAY(H97,-(Setup!$C$13+Setup!$G$26),Setup!$C$39:$C$50))&gt;=Setup!$C$15,MONTH(WORKDAY(H97,-(Setup!$C$13+Setup!$G$26),Setup!$C$39:$C$50))&lt;=Setup!$C$16))),WORKDAY(H97,-(Setup!$C$13+Setup!$G$26+Setup!$C$14),Setup!$C$39:$C$50),WORKDAY(H97,-(Setup!$C$13+Setup!$G$26),Setup!$C$39:$C$50))+(92*100+7)/10000000)))</f>
        <v/>
      </c>
      <c r="Y97" t="str">
        <f>IF(I97="","",IF(I97&lt;Setup!$C$5-Setup!$C$6,"",IF(IF(ISNUMBER(Roster!$D97),Setup!$C$27&lt;=Roster!$D97,FALSE),"",IF(OR(IF(Setup!$C$15&lt;=Setup!$C$16,AND(MONTH(I97)&gt;=Setup!$C$15,MONTH(I97)&lt;=Setup!$C$16),OR(MONTH(I97)&gt;=Setup!$C$15,MONTH(I97)&lt;=Setup!$C$16)),IF(Setup!$C$15&lt;=Setup!$C$16,AND(MONTH(WORKDAY(I97,-(Setup!$C$13+Setup!$G$27),Setup!$C$39:$C$50))&gt;=Setup!$C$15,MONTH(WORKDAY(I97,-(Setup!$C$13+Setup!$G$27),Setup!$C$39:$C$50))&lt;=Setup!$C$16),OR(MONTH(WORKDAY(I97,-(Setup!$C$13+Setup!$G$27),Setup!$C$39:$C$50))&gt;=Setup!$C$15,MONTH(WORKDAY(I97,-(Setup!$C$13+Setup!$G$27),Setup!$C$39:$C$50))&lt;=Setup!$C$16))),WORKDAY(I97,-(Setup!$C$13+Setup!$G$27+Setup!$C$14),Setup!$C$39:$C$50),WORKDAY(I97,-(Setup!$C$13+Setup!$G$27),Setup!$C$39:$C$50))+(92*100+8)/10000000)))</f>
        <v/>
      </c>
      <c r="Z97" t="str">
        <f>IF(J97="","",IF(J97&lt;Setup!$C$5-Setup!$C$6,"",IF(IF(ISNUMBER(Roster!$D97),Setup!$C$28&lt;=Roster!$D97,FALSE),"",IF(OR(IF(Setup!$C$15&lt;=Setup!$C$16,AND(MONTH(J97)&gt;=Setup!$C$15,MONTH(J97)&lt;=Setup!$C$16),OR(MONTH(J97)&gt;=Setup!$C$15,MONTH(J97)&lt;=Setup!$C$16)),IF(Setup!$C$15&lt;=Setup!$C$16,AND(MONTH(WORKDAY(J97,-(Setup!$C$13+Setup!$G$28),Setup!$C$39:$C$50))&gt;=Setup!$C$15,MONTH(WORKDAY(J97,-(Setup!$C$13+Setup!$G$28),Setup!$C$39:$C$50))&lt;=Setup!$C$16),OR(MONTH(WORKDAY(J97,-(Setup!$C$13+Setup!$G$28),Setup!$C$39:$C$50))&gt;=Setup!$C$15,MONTH(WORKDAY(J97,-(Setup!$C$13+Setup!$G$28),Setup!$C$39:$C$50))&lt;=Setup!$C$16))),WORKDAY(J97,-(Setup!$C$13+Setup!$G$28+Setup!$C$14),Setup!$C$39:$C$50),WORKDAY(J97,-(Setup!$C$13+Setup!$G$28),Setup!$C$39:$C$50))+(92*100+9)/10000000)))</f>
        <v/>
      </c>
      <c r="AA97" t="str">
        <f>IF(K97="","",IF(K97&lt;Setup!$C$5-Setup!$C$6,"",IF(IF(ISNUMBER(Roster!$D97),Setup!$C$29&lt;=Roster!$D97,FALSE),"",IF(OR(IF(Setup!$C$15&lt;=Setup!$C$16,AND(MONTH(K97)&gt;=Setup!$C$15,MONTH(K97)&lt;=Setup!$C$16),OR(MONTH(K97)&gt;=Setup!$C$15,MONTH(K97)&lt;=Setup!$C$16)),IF(Setup!$C$15&lt;=Setup!$C$16,AND(MONTH(WORKDAY(K97,-(Setup!$C$13+Setup!$G$29),Setup!$C$39:$C$50))&gt;=Setup!$C$15,MONTH(WORKDAY(K97,-(Setup!$C$13+Setup!$G$29),Setup!$C$39:$C$50))&lt;=Setup!$C$16),OR(MONTH(WORKDAY(K97,-(Setup!$C$13+Setup!$G$29),Setup!$C$39:$C$50))&gt;=Setup!$C$15,MONTH(WORKDAY(K97,-(Setup!$C$13+Setup!$G$29),Setup!$C$39:$C$50))&lt;=Setup!$C$16))),WORKDAY(K97,-(Setup!$C$13+Setup!$G$29+Setup!$C$14),Setup!$C$39:$C$50),WORKDAY(K97,-(Setup!$C$13+Setup!$G$29),Setup!$C$39:$C$50))+(92*100+10)/10000000)))</f>
        <v/>
      </c>
      <c r="AB97" t="str">
        <f>IF(L97="","",IF(L97&lt;Setup!$C$5-Setup!$C$6,"",IF(IF(ISNUMBER(Roster!$D97),Setup!$C$30&lt;=Roster!$D97,FALSE),"",IF(OR(IF(Setup!$C$15&lt;=Setup!$C$16,AND(MONTH(L97)&gt;=Setup!$C$15,MONTH(L97)&lt;=Setup!$C$16),OR(MONTH(L97)&gt;=Setup!$C$15,MONTH(L97)&lt;=Setup!$C$16)),IF(Setup!$C$15&lt;=Setup!$C$16,AND(MONTH(WORKDAY(L97,-(Setup!$C$13+Setup!$G$30),Setup!$C$39:$C$50))&gt;=Setup!$C$15,MONTH(WORKDAY(L97,-(Setup!$C$13+Setup!$G$30),Setup!$C$39:$C$50))&lt;=Setup!$C$16),OR(MONTH(WORKDAY(L97,-(Setup!$C$13+Setup!$G$30),Setup!$C$39:$C$50))&gt;=Setup!$C$15,MONTH(WORKDAY(L97,-(Setup!$C$13+Setup!$G$30),Setup!$C$39:$C$50))&lt;=Setup!$C$16))),WORKDAY(L97,-(Setup!$C$13+Setup!$G$30+Setup!$C$14),Setup!$C$39:$C$50),WORKDAY(L97,-(Setup!$C$13+Setup!$G$30),Setup!$C$39:$C$50))+(92*100+11)/10000000)))</f>
        <v/>
      </c>
      <c r="AC97" t="str">
        <f>IF(M97="","",IF(M97&lt;Setup!$C$5-Setup!$C$6,"",IF(IF(ISNUMBER(Roster!$D97),Setup!$C$31&lt;=Roster!$D97,FALSE),"",IF(OR(IF(Setup!$C$15&lt;=Setup!$C$16,AND(MONTH(M97)&gt;=Setup!$C$15,MONTH(M97)&lt;=Setup!$C$16),OR(MONTH(M97)&gt;=Setup!$C$15,MONTH(M97)&lt;=Setup!$C$16)),IF(Setup!$C$15&lt;=Setup!$C$16,AND(MONTH(WORKDAY(M97,-(Setup!$C$13+Setup!$G$31),Setup!$C$39:$C$50))&gt;=Setup!$C$15,MONTH(WORKDAY(M97,-(Setup!$C$13+Setup!$G$31),Setup!$C$39:$C$50))&lt;=Setup!$C$16),OR(MONTH(WORKDAY(M97,-(Setup!$C$13+Setup!$G$31),Setup!$C$39:$C$50))&gt;=Setup!$C$15,MONTH(WORKDAY(M97,-(Setup!$C$13+Setup!$G$31),Setup!$C$39:$C$50))&lt;=Setup!$C$16))),WORKDAY(M97,-(Setup!$C$13+Setup!$G$31+Setup!$C$14),Setup!$C$39:$C$50),WORKDAY(M97,-(Setup!$C$13+Setup!$G$31),Setup!$C$39:$C$50))+(92*100+12)/10000000)))</f>
        <v/>
      </c>
      <c r="AD97" t="str">
        <f>IF(N97="","",IF(N97&lt;Setup!$C$5-Setup!$C$6,"",IF(IF(ISNUMBER(Roster!$D97),Setup!$C$32&lt;=Roster!$D97,FALSE),"",IF(OR(IF(Setup!$C$15&lt;=Setup!$C$16,AND(MONTH(N97)&gt;=Setup!$C$15,MONTH(N97)&lt;=Setup!$C$16),OR(MONTH(N97)&gt;=Setup!$C$15,MONTH(N97)&lt;=Setup!$C$16)),IF(Setup!$C$15&lt;=Setup!$C$16,AND(MONTH(WORKDAY(N97,-(Setup!$C$13+Setup!$G$32),Setup!$C$39:$C$50))&gt;=Setup!$C$15,MONTH(WORKDAY(N97,-(Setup!$C$13+Setup!$G$32),Setup!$C$39:$C$50))&lt;=Setup!$C$16),OR(MONTH(WORKDAY(N97,-(Setup!$C$13+Setup!$G$32),Setup!$C$39:$C$50))&gt;=Setup!$C$15,MONTH(WORKDAY(N97,-(Setup!$C$13+Setup!$G$32),Setup!$C$39:$C$50))&lt;=Setup!$C$16))),WORKDAY(N97,-(Setup!$C$13+Setup!$G$32+Setup!$C$14),Setup!$C$39:$C$50),WORKDAY(N97,-(Setup!$C$13+Setup!$G$32),Setup!$C$39:$C$50))+(92*100+13)/10000000)))</f>
        <v/>
      </c>
      <c r="AE97" t="str">
        <f>IF(O97="","",IF(O97&lt;Setup!$C$5-Setup!$C$6,"",IF(IF(ISNUMBER(Roster!$D97),Setup!$C$33&lt;=Roster!$D97,FALSE),"",IF(OR(IF(Setup!$C$15&lt;=Setup!$C$16,AND(MONTH(O97)&gt;=Setup!$C$15,MONTH(O97)&lt;=Setup!$C$16),OR(MONTH(O97)&gt;=Setup!$C$15,MONTH(O97)&lt;=Setup!$C$16)),IF(Setup!$C$15&lt;=Setup!$C$16,AND(MONTH(WORKDAY(O97,-(Setup!$C$13+Setup!$G$33),Setup!$C$39:$C$50))&gt;=Setup!$C$15,MONTH(WORKDAY(O97,-(Setup!$C$13+Setup!$G$33),Setup!$C$39:$C$50))&lt;=Setup!$C$16),OR(MONTH(WORKDAY(O97,-(Setup!$C$13+Setup!$G$33),Setup!$C$39:$C$50))&gt;=Setup!$C$15,MONTH(WORKDAY(O97,-(Setup!$C$13+Setup!$G$33),Setup!$C$39:$C$50))&lt;=Setup!$C$16))),WORKDAY(O97,-(Setup!$C$13+Setup!$G$33+Setup!$C$14),Setup!$C$39:$C$50),WORKDAY(O97,-(Setup!$C$13+Setup!$G$33),Setup!$C$39:$C$50))+(92*100+14)/10000000)))</f>
        <v/>
      </c>
      <c r="AF97" t="str">
        <f>IF(P97="","",IF(P97&lt;Setup!$C$5-Setup!$C$6,"",IF(IF(ISNUMBER(Roster!$D97),Setup!$C$34&lt;=Roster!$D97,FALSE),"",IF(OR(IF(Setup!$C$15&lt;=Setup!$C$16,AND(MONTH(P97)&gt;=Setup!$C$15,MONTH(P97)&lt;=Setup!$C$16),OR(MONTH(P97)&gt;=Setup!$C$15,MONTH(P97)&lt;=Setup!$C$16)),IF(Setup!$C$15&lt;=Setup!$C$16,AND(MONTH(WORKDAY(P97,-(Setup!$C$13+Setup!$G$34),Setup!$C$39:$C$50))&gt;=Setup!$C$15,MONTH(WORKDAY(P97,-(Setup!$C$13+Setup!$G$34),Setup!$C$39:$C$50))&lt;=Setup!$C$16),OR(MONTH(WORKDAY(P97,-(Setup!$C$13+Setup!$G$34),Setup!$C$39:$C$50))&gt;=Setup!$C$15,MONTH(WORKDAY(P97,-(Setup!$C$13+Setup!$G$34),Setup!$C$39:$C$50))&lt;=Setup!$C$16))),WORKDAY(P97,-(Setup!$C$13+Setup!$G$34+Setup!$C$14),Setup!$C$39:$C$50),WORKDAY(P97,-(Setup!$C$13+Setup!$G$34),Setup!$C$39:$C$50))+(92*100+15)/10000000)))</f>
        <v/>
      </c>
      <c r="AH97" t="str">
        <f t="shared" si="9"/>
        <v/>
      </c>
      <c r="AI97" t="str">
        <f t="shared" si="10"/>
        <v/>
      </c>
      <c r="AK97" t="str">
        <f ca="1">IF(92&gt;$AK$2,"",SMALL($R$6:$AF$505,92))</f>
        <v/>
      </c>
      <c r="AL97" t="str">
        <f t="shared" ca="1" si="11"/>
        <v/>
      </c>
      <c r="AM97" t="str">
        <f t="shared" ca="1" si="12"/>
        <v/>
      </c>
      <c r="AN97" t="str">
        <f t="shared" ca="1" si="13"/>
        <v/>
      </c>
      <c r="AP97" t="str">
        <f>IF(ISNUMBER(Roster!$B97),MAX(1,YEAR(Setup!$C$5)-YEAR(Roster!$B97)+IF(EDATE(Roster!$B97,12*(YEAR(Setup!$C$5)-YEAR(Roster!$B97)))&lt;Setup!$C$5,1,0)),"")</f>
        <v/>
      </c>
      <c r="AQ97" s="32" t="str">
        <f>IF(AP97="","",EDATE(Roster!$B97,12*AP97))</f>
        <v/>
      </c>
      <c r="AR97" t="str">
        <f>IF(AQ97="","",IF(AQ97&lt;DATE(YEAR(Setup!$C$5)+1,MONTH(Setup!$C$5),DAY(Setup!$C$5)),AQ97+92/1000,""))</f>
        <v/>
      </c>
      <c r="AS97" t="str">
        <f t="shared" si="14"/>
        <v/>
      </c>
      <c r="AT97" t="str">
        <f>IF(AS97="","",IF(ISNUMBER(Roster!$D97),Roster!$D97&gt;=AP97,FALSE))</f>
        <v/>
      </c>
      <c r="AU97" t="str">
        <f t="shared" si="15"/>
        <v/>
      </c>
      <c r="AV97" t="str">
        <f ca="1">IF(92&gt;$AV$2,"",SMALL($AR$6:$AR$505,92))</f>
        <v/>
      </c>
      <c r="AW97" t="str">
        <f t="shared" ca="1" si="16"/>
        <v/>
      </c>
    </row>
    <row r="98" spans="2:49" x14ac:dyDescent="0.2">
      <c r="B98" s="32" t="str">
        <f>IF(AND(ISNUMBER(Roster!$B98),Setup!$B$20="Yes",ISNUMBER(Setup!$C$20)),EDATE(Roster!$B98,12*Setup!$C$20),"")</f>
        <v/>
      </c>
      <c r="C98" s="32" t="str">
        <f>IF(AND(ISNUMBER(Roster!$B98),Setup!$B$21="Yes",ISNUMBER(Setup!$C$21)),EDATE(Roster!$B98,12*Setup!$C$21),"")</f>
        <v/>
      </c>
      <c r="D98" s="32" t="str">
        <f>IF(AND(ISNUMBER(Roster!$B98),Setup!$B$22="Yes",ISNUMBER(Setup!$C$22)),EDATE(Roster!$B98,12*Setup!$C$22),"")</f>
        <v/>
      </c>
      <c r="E98" s="32" t="str">
        <f>IF(AND(ISNUMBER(Roster!$B98),Setup!$B$23="Yes",ISNUMBER(Setup!$C$23)),EDATE(Roster!$B98,12*Setup!$C$23),"")</f>
        <v/>
      </c>
      <c r="F98" s="32" t="str">
        <f>IF(AND(ISNUMBER(Roster!$B98),Setup!$B$24="Yes",ISNUMBER(Setup!$C$24)),EDATE(Roster!$B98,12*Setup!$C$24),"")</f>
        <v/>
      </c>
      <c r="G98" s="32" t="str">
        <f>IF(AND(ISNUMBER(Roster!$B98),Setup!$B$25="Yes",ISNUMBER(Setup!$C$25)),EDATE(Roster!$B98,12*Setup!$C$25),"")</f>
        <v/>
      </c>
      <c r="H98" s="32" t="str">
        <f>IF(AND(ISNUMBER(Roster!$B98),Setup!$B$26="Yes",ISNUMBER(Setup!$C$26)),EDATE(Roster!$B98,12*Setup!$C$26),"")</f>
        <v/>
      </c>
      <c r="I98" s="32" t="str">
        <f>IF(AND(ISNUMBER(Roster!$B98),Setup!$B$27="Yes",ISNUMBER(Setup!$C$27)),EDATE(Roster!$B98,12*Setup!$C$27),"")</f>
        <v/>
      </c>
      <c r="J98" s="32" t="str">
        <f>IF(AND(ISNUMBER(Roster!$B98),Setup!$B$28="Yes",ISNUMBER(Setup!$C$28)),EDATE(Roster!$B98,12*Setup!$C$28),"")</f>
        <v/>
      </c>
      <c r="K98" s="32" t="str">
        <f>IF(AND(ISNUMBER(Roster!$B98),Setup!$B$29="Yes",ISNUMBER(Setup!$C$29)),EDATE(Roster!$B98,12*Setup!$C$29),"")</f>
        <v/>
      </c>
      <c r="L98" s="32" t="str">
        <f>IF(AND(ISNUMBER(Roster!$B98),Setup!$B$30="Yes",ISNUMBER(Setup!$C$30)),EDATE(Roster!$B98,12*Setup!$C$30),"")</f>
        <v/>
      </c>
      <c r="M98" s="32" t="str">
        <f>IF(AND(ISNUMBER(Roster!$B98),Setup!$B$31="Yes",ISNUMBER(Setup!$C$31)),EDATE(Roster!$B98,12*Setup!$C$31),"")</f>
        <v/>
      </c>
      <c r="N98" s="32" t="str">
        <f>IF(AND(ISNUMBER(Roster!$B98),Setup!$B$32="Yes",ISNUMBER(Setup!$C$32)),EDATE(Roster!$B98,12*Setup!$C$32),"")</f>
        <v/>
      </c>
      <c r="O98" s="32" t="str">
        <f>IF(AND(ISNUMBER(Roster!$B98),Setup!$B$33="Yes",ISNUMBER(Setup!$C$33)),EDATE(Roster!$B98,12*Setup!$C$33),"")</f>
        <v/>
      </c>
      <c r="P98" s="32" t="str">
        <f>IF(AND(ISNUMBER(Roster!$B98),Setup!$B$34="Yes",ISNUMBER(Setup!$C$34)),EDATE(Roster!$B98,12*Setup!$C$34),"")</f>
        <v/>
      </c>
      <c r="R98" t="str">
        <f>IF(B98="","",IF(B98&lt;Setup!$C$5-Setup!$C$6,"",IF(IF(ISNUMBER(Roster!$D98),Setup!$C$20&lt;=Roster!$D98,FALSE),"",IF(OR(IF(Setup!$C$15&lt;=Setup!$C$16,AND(MONTH(B98)&gt;=Setup!$C$15,MONTH(B98)&lt;=Setup!$C$16),OR(MONTH(B98)&gt;=Setup!$C$15,MONTH(B98)&lt;=Setup!$C$16)),IF(Setup!$C$15&lt;=Setup!$C$16,AND(MONTH(WORKDAY(B98,-(Setup!$C$13+Setup!$G$20),Setup!$C$39:$C$50))&gt;=Setup!$C$15,MONTH(WORKDAY(B98,-(Setup!$C$13+Setup!$G$20),Setup!$C$39:$C$50))&lt;=Setup!$C$16),OR(MONTH(WORKDAY(B98,-(Setup!$C$13+Setup!$G$20),Setup!$C$39:$C$50))&gt;=Setup!$C$15,MONTH(WORKDAY(B98,-(Setup!$C$13+Setup!$G$20),Setup!$C$39:$C$50))&lt;=Setup!$C$16))),WORKDAY(B98,-(Setup!$C$13+Setup!$G$20+Setup!$C$14),Setup!$C$39:$C$50),WORKDAY(B98,-(Setup!$C$13+Setup!$G$20),Setup!$C$39:$C$50))+(93*100+1)/10000000)))</f>
        <v/>
      </c>
      <c r="S98" t="str">
        <f>IF(C98="","",IF(C98&lt;Setup!$C$5-Setup!$C$6,"",IF(IF(ISNUMBER(Roster!$D98),Setup!$C$21&lt;=Roster!$D98,FALSE),"",IF(OR(IF(Setup!$C$15&lt;=Setup!$C$16,AND(MONTH(C98)&gt;=Setup!$C$15,MONTH(C98)&lt;=Setup!$C$16),OR(MONTH(C98)&gt;=Setup!$C$15,MONTH(C98)&lt;=Setup!$C$16)),IF(Setup!$C$15&lt;=Setup!$C$16,AND(MONTH(WORKDAY(C98,-(Setup!$C$13+Setup!$G$21),Setup!$C$39:$C$50))&gt;=Setup!$C$15,MONTH(WORKDAY(C98,-(Setup!$C$13+Setup!$G$21),Setup!$C$39:$C$50))&lt;=Setup!$C$16),OR(MONTH(WORKDAY(C98,-(Setup!$C$13+Setup!$G$21),Setup!$C$39:$C$50))&gt;=Setup!$C$15,MONTH(WORKDAY(C98,-(Setup!$C$13+Setup!$G$21),Setup!$C$39:$C$50))&lt;=Setup!$C$16))),WORKDAY(C98,-(Setup!$C$13+Setup!$G$21+Setup!$C$14),Setup!$C$39:$C$50),WORKDAY(C98,-(Setup!$C$13+Setup!$G$21),Setup!$C$39:$C$50))+(93*100+2)/10000000)))</f>
        <v/>
      </c>
      <c r="T98" t="str">
        <f>IF(D98="","",IF(D98&lt;Setup!$C$5-Setup!$C$6,"",IF(IF(ISNUMBER(Roster!$D98),Setup!$C$22&lt;=Roster!$D98,FALSE),"",IF(OR(IF(Setup!$C$15&lt;=Setup!$C$16,AND(MONTH(D98)&gt;=Setup!$C$15,MONTH(D98)&lt;=Setup!$C$16),OR(MONTH(D98)&gt;=Setup!$C$15,MONTH(D98)&lt;=Setup!$C$16)),IF(Setup!$C$15&lt;=Setup!$C$16,AND(MONTH(WORKDAY(D98,-(Setup!$C$13+Setup!$G$22),Setup!$C$39:$C$50))&gt;=Setup!$C$15,MONTH(WORKDAY(D98,-(Setup!$C$13+Setup!$G$22),Setup!$C$39:$C$50))&lt;=Setup!$C$16),OR(MONTH(WORKDAY(D98,-(Setup!$C$13+Setup!$G$22),Setup!$C$39:$C$50))&gt;=Setup!$C$15,MONTH(WORKDAY(D98,-(Setup!$C$13+Setup!$G$22),Setup!$C$39:$C$50))&lt;=Setup!$C$16))),WORKDAY(D98,-(Setup!$C$13+Setup!$G$22+Setup!$C$14),Setup!$C$39:$C$50),WORKDAY(D98,-(Setup!$C$13+Setup!$G$22),Setup!$C$39:$C$50))+(93*100+3)/10000000)))</f>
        <v/>
      </c>
      <c r="U98" t="str">
        <f>IF(E98="","",IF(E98&lt;Setup!$C$5-Setup!$C$6,"",IF(IF(ISNUMBER(Roster!$D98),Setup!$C$23&lt;=Roster!$D98,FALSE),"",IF(OR(IF(Setup!$C$15&lt;=Setup!$C$16,AND(MONTH(E98)&gt;=Setup!$C$15,MONTH(E98)&lt;=Setup!$C$16),OR(MONTH(E98)&gt;=Setup!$C$15,MONTH(E98)&lt;=Setup!$C$16)),IF(Setup!$C$15&lt;=Setup!$C$16,AND(MONTH(WORKDAY(E98,-(Setup!$C$13+Setup!$G$23),Setup!$C$39:$C$50))&gt;=Setup!$C$15,MONTH(WORKDAY(E98,-(Setup!$C$13+Setup!$G$23),Setup!$C$39:$C$50))&lt;=Setup!$C$16),OR(MONTH(WORKDAY(E98,-(Setup!$C$13+Setup!$G$23),Setup!$C$39:$C$50))&gt;=Setup!$C$15,MONTH(WORKDAY(E98,-(Setup!$C$13+Setup!$G$23),Setup!$C$39:$C$50))&lt;=Setup!$C$16))),WORKDAY(E98,-(Setup!$C$13+Setup!$G$23+Setup!$C$14),Setup!$C$39:$C$50),WORKDAY(E98,-(Setup!$C$13+Setup!$G$23),Setup!$C$39:$C$50))+(93*100+4)/10000000)))</f>
        <v/>
      </c>
      <c r="V98" t="str">
        <f>IF(F98="","",IF(F98&lt;Setup!$C$5-Setup!$C$6,"",IF(IF(ISNUMBER(Roster!$D98),Setup!$C$24&lt;=Roster!$D98,FALSE),"",IF(OR(IF(Setup!$C$15&lt;=Setup!$C$16,AND(MONTH(F98)&gt;=Setup!$C$15,MONTH(F98)&lt;=Setup!$C$16),OR(MONTH(F98)&gt;=Setup!$C$15,MONTH(F98)&lt;=Setup!$C$16)),IF(Setup!$C$15&lt;=Setup!$C$16,AND(MONTH(WORKDAY(F98,-(Setup!$C$13+Setup!$G$24),Setup!$C$39:$C$50))&gt;=Setup!$C$15,MONTH(WORKDAY(F98,-(Setup!$C$13+Setup!$G$24),Setup!$C$39:$C$50))&lt;=Setup!$C$16),OR(MONTH(WORKDAY(F98,-(Setup!$C$13+Setup!$G$24),Setup!$C$39:$C$50))&gt;=Setup!$C$15,MONTH(WORKDAY(F98,-(Setup!$C$13+Setup!$G$24),Setup!$C$39:$C$50))&lt;=Setup!$C$16))),WORKDAY(F98,-(Setup!$C$13+Setup!$G$24+Setup!$C$14),Setup!$C$39:$C$50),WORKDAY(F98,-(Setup!$C$13+Setup!$G$24),Setup!$C$39:$C$50))+(93*100+5)/10000000)))</f>
        <v/>
      </c>
      <c r="W98" t="str">
        <f>IF(G98="","",IF(G98&lt;Setup!$C$5-Setup!$C$6,"",IF(IF(ISNUMBER(Roster!$D98),Setup!$C$25&lt;=Roster!$D98,FALSE),"",IF(OR(IF(Setup!$C$15&lt;=Setup!$C$16,AND(MONTH(G98)&gt;=Setup!$C$15,MONTH(G98)&lt;=Setup!$C$16),OR(MONTH(G98)&gt;=Setup!$C$15,MONTH(G98)&lt;=Setup!$C$16)),IF(Setup!$C$15&lt;=Setup!$C$16,AND(MONTH(WORKDAY(G98,-(Setup!$C$13+Setup!$G$25),Setup!$C$39:$C$50))&gt;=Setup!$C$15,MONTH(WORKDAY(G98,-(Setup!$C$13+Setup!$G$25),Setup!$C$39:$C$50))&lt;=Setup!$C$16),OR(MONTH(WORKDAY(G98,-(Setup!$C$13+Setup!$G$25),Setup!$C$39:$C$50))&gt;=Setup!$C$15,MONTH(WORKDAY(G98,-(Setup!$C$13+Setup!$G$25),Setup!$C$39:$C$50))&lt;=Setup!$C$16))),WORKDAY(G98,-(Setup!$C$13+Setup!$G$25+Setup!$C$14),Setup!$C$39:$C$50),WORKDAY(G98,-(Setup!$C$13+Setup!$G$25),Setup!$C$39:$C$50))+(93*100+6)/10000000)))</f>
        <v/>
      </c>
      <c r="X98" t="str">
        <f>IF(H98="","",IF(H98&lt;Setup!$C$5-Setup!$C$6,"",IF(IF(ISNUMBER(Roster!$D98),Setup!$C$26&lt;=Roster!$D98,FALSE),"",IF(OR(IF(Setup!$C$15&lt;=Setup!$C$16,AND(MONTH(H98)&gt;=Setup!$C$15,MONTH(H98)&lt;=Setup!$C$16),OR(MONTH(H98)&gt;=Setup!$C$15,MONTH(H98)&lt;=Setup!$C$16)),IF(Setup!$C$15&lt;=Setup!$C$16,AND(MONTH(WORKDAY(H98,-(Setup!$C$13+Setup!$G$26),Setup!$C$39:$C$50))&gt;=Setup!$C$15,MONTH(WORKDAY(H98,-(Setup!$C$13+Setup!$G$26),Setup!$C$39:$C$50))&lt;=Setup!$C$16),OR(MONTH(WORKDAY(H98,-(Setup!$C$13+Setup!$G$26),Setup!$C$39:$C$50))&gt;=Setup!$C$15,MONTH(WORKDAY(H98,-(Setup!$C$13+Setup!$G$26),Setup!$C$39:$C$50))&lt;=Setup!$C$16))),WORKDAY(H98,-(Setup!$C$13+Setup!$G$26+Setup!$C$14),Setup!$C$39:$C$50),WORKDAY(H98,-(Setup!$C$13+Setup!$G$26),Setup!$C$39:$C$50))+(93*100+7)/10000000)))</f>
        <v/>
      </c>
      <c r="Y98" t="str">
        <f>IF(I98="","",IF(I98&lt;Setup!$C$5-Setup!$C$6,"",IF(IF(ISNUMBER(Roster!$D98),Setup!$C$27&lt;=Roster!$D98,FALSE),"",IF(OR(IF(Setup!$C$15&lt;=Setup!$C$16,AND(MONTH(I98)&gt;=Setup!$C$15,MONTH(I98)&lt;=Setup!$C$16),OR(MONTH(I98)&gt;=Setup!$C$15,MONTH(I98)&lt;=Setup!$C$16)),IF(Setup!$C$15&lt;=Setup!$C$16,AND(MONTH(WORKDAY(I98,-(Setup!$C$13+Setup!$G$27),Setup!$C$39:$C$50))&gt;=Setup!$C$15,MONTH(WORKDAY(I98,-(Setup!$C$13+Setup!$G$27),Setup!$C$39:$C$50))&lt;=Setup!$C$16),OR(MONTH(WORKDAY(I98,-(Setup!$C$13+Setup!$G$27),Setup!$C$39:$C$50))&gt;=Setup!$C$15,MONTH(WORKDAY(I98,-(Setup!$C$13+Setup!$G$27),Setup!$C$39:$C$50))&lt;=Setup!$C$16))),WORKDAY(I98,-(Setup!$C$13+Setup!$G$27+Setup!$C$14),Setup!$C$39:$C$50),WORKDAY(I98,-(Setup!$C$13+Setup!$G$27),Setup!$C$39:$C$50))+(93*100+8)/10000000)))</f>
        <v/>
      </c>
      <c r="Z98" t="str">
        <f>IF(J98="","",IF(J98&lt;Setup!$C$5-Setup!$C$6,"",IF(IF(ISNUMBER(Roster!$D98),Setup!$C$28&lt;=Roster!$D98,FALSE),"",IF(OR(IF(Setup!$C$15&lt;=Setup!$C$16,AND(MONTH(J98)&gt;=Setup!$C$15,MONTH(J98)&lt;=Setup!$C$16),OR(MONTH(J98)&gt;=Setup!$C$15,MONTH(J98)&lt;=Setup!$C$16)),IF(Setup!$C$15&lt;=Setup!$C$16,AND(MONTH(WORKDAY(J98,-(Setup!$C$13+Setup!$G$28),Setup!$C$39:$C$50))&gt;=Setup!$C$15,MONTH(WORKDAY(J98,-(Setup!$C$13+Setup!$G$28),Setup!$C$39:$C$50))&lt;=Setup!$C$16),OR(MONTH(WORKDAY(J98,-(Setup!$C$13+Setup!$G$28),Setup!$C$39:$C$50))&gt;=Setup!$C$15,MONTH(WORKDAY(J98,-(Setup!$C$13+Setup!$G$28),Setup!$C$39:$C$50))&lt;=Setup!$C$16))),WORKDAY(J98,-(Setup!$C$13+Setup!$G$28+Setup!$C$14),Setup!$C$39:$C$50),WORKDAY(J98,-(Setup!$C$13+Setup!$G$28),Setup!$C$39:$C$50))+(93*100+9)/10000000)))</f>
        <v/>
      </c>
      <c r="AA98" t="str">
        <f>IF(K98="","",IF(K98&lt;Setup!$C$5-Setup!$C$6,"",IF(IF(ISNUMBER(Roster!$D98),Setup!$C$29&lt;=Roster!$D98,FALSE),"",IF(OR(IF(Setup!$C$15&lt;=Setup!$C$16,AND(MONTH(K98)&gt;=Setup!$C$15,MONTH(K98)&lt;=Setup!$C$16),OR(MONTH(K98)&gt;=Setup!$C$15,MONTH(K98)&lt;=Setup!$C$16)),IF(Setup!$C$15&lt;=Setup!$C$16,AND(MONTH(WORKDAY(K98,-(Setup!$C$13+Setup!$G$29),Setup!$C$39:$C$50))&gt;=Setup!$C$15,MONTH(WORKDAY(K98,-(Setup!$C$13+Setup!$G$29),Setup!$C$39:$C$50))&lt;=Setup!$C$16),OR(MONTH(WORKDAY(K98,-(Setup!$C$13+Setup!$G$29),Setup!$C$39:$C$50))&gt;=Setup!$C$15,MONTH(WORKDAY(K98,-(Setup!$C$13+Setup!$G$29),Setup!$C$39:$C$50))&lt;=Setup!$C$16))),WORKDAY(K98,-(Setup!$C$13+Setup!$G$29+Setup!$C$14),Setup!$C$39:$C$50),WORKDAY(K98,-(Setup!$C$13+Setup!$G$29),Setup!$C$39:$C$50))+(93*100+10)/10000000)))</f>
        <v/>
      </c>
      <c r="AB98" t="str">
        <f>IF(L98="","",IF(L98&lt;Setup!$C$5-Setup!$C$6,"",IF(IF(ISNUMBER(Roster!$D98),Setup!$C$30&lt;=Roster!$D98,FALSE),"",IF(OR(IF(Setup!$C$15&lt;=Setup!$C$16,AND(MONTH(L98)&gt;=Setup!$C$15,MONTH(L98)&lt;=Setup!$C$16),OR(MONTH(L98)&gt;=Setup!$C$15,MONTH(L98)&lt;=Setup!$C$16)),IF(Setup!$C$15&lt;=Setup!$C$16,AND(MONTH(WORKDAY(L98,-(Setup!$C$13+Setup!$G$30),Setup!$C$39:$C$50))&gt;=Setup!$C$15,MONTH(WORKDAY(L98,-(Setup!$C$13+Setup!$G$30),Setup!$C$39:$C$50))&lt;=Setup!$C$16),OR(MONTH(WORKDAY(L98,-(Setup!$C$13+Setup!$G$30),Setup!$C$39:$C$50))&gt;=Setup!$C$15,MONTH(WORKDAY(L98,-(Setup!$C$13+Setup!$G$30),Setup!$C$39:$C$50))&lt;=Setup!$C$16))),WORKDAY(L98,-(Setup!$C$13+Setup!$G$30+Setup!$C$14),Setup!$C$39:$C$50),WORKDAY(L98,-(Setup!$C$13+Setup!$G$30),Setup!$C$39:$C$50))+(93*100+11)/10000000)))</f>
        <v/>
      </c>
      <c r="AC98" t="str">
        <f>IF(M98="","",IF(M98&lt;Setup!$C$5-Setup!$C$6,"",IF(IF(ISNUMBER(Roster!$D98),Setup!$C$31&lt;=Roster!$D98,FALSE),"",IF(OR(IF(Setup!$C$15&lt;=Setup!$C$16,AND(MONTH(M98)&gt;=Setup!$C$15,MONTH(M98)&lt;=Setup!$C$16),OR(MONTH(M98)&gt;=Setup!$C$15,MONTH(M98)&lt;=Setup!$C$16)),IF(Setup!$C$15&lt;=Setup!$C$16,AND(MONTH(WORKDAY(M98,-(Setup!$C$13+Setup!$G$31),Setup!$C$39:$C$50))&gt;=Setup!$C$15,MONTH(WORKDAY(M98,-(Setup!$C$13+Setup!$G$31),Setup!$C$39:$C$50))&lt;=Setup!$C$16),OR(MONTH(WORKDAY(M98,-(Setup!$C$13+Setup!$G$31),Setup!$C$39:$C$50))&gt;=Setup!$C$15,MONTH(WORKDAY(M98,-(Setup!$C$13+Setup!$G$31),Setup!$C$39:$C$50))&lt;=Setup!$C$16))),WORKDAY(M98,-(Setup!$C$13+Setup!$G$31+Setup!$C$14),Setup!$C$39:$C$50),WORKDAY(M98,-(Setup!$C$13+Setup!$G$31),Setup!$C$39:$C$50))+(93*100+12)/10000000)))</f>
        <v/>
      </c>
      <c r="AD98" t="str">
        <f>IF(N98="","",IF(N98&lt;Setup!$C$5-Setup!$C$6,"",IF(IF(ISNUMBER(Roster!$D98),Setup!$C$32&lt;=Roster!$D98,FALSE),"",IF(OR(IF(Setup!$C$15&lt;=Setup!$C$16,AND(MONTH(N98)&gt;=Setup!$C$15,MONTH(N98)&lt;=Setup!$C$16),OR(MONTH(N98)&gt;=Setup!$C$15,MONTH(N98)&lt;=Setup!$C$16)),IF(Setup!$C$15&lt;=Setup!$C$16,AND(MONTH(WORKDAY(N98,-(Setup!$C$13+Setup!$G$32),Setup!$C$39:$C$50))&gt;=Setup!$C$15,MONTH(WORKDAY(N98,-(Setup!$C$13+Setup!$G$32),Setup!$C$39:$C$50))&lt;=Setup!$C$16),OR(MONTH(WORKDAY(N98,-(Setup!$C$13+Setup!$G$32),Setup!$C$39:$C$50))&gt;=Setup!$C$15,MONTH(WORKDAY(N98,-(Setup!$C$13+Setup!$G$32),Setup!$C$39:$C$50))&lt;=Setup!$C$16))),WORKDAY(N98,-(Setup!$C$13+Setup!$G$32+Setup!$C$14),Setup!$C$39:$C$50),WORKDAY(N98,-(Setup!$C$13+Setup!$G$32),Setup!$C$39:$C$50))+(93*100+13)/10000000)))</f>
        <v/>
      </c>
      <c r="AE98" t="str">
        <f>IF(O98="","",IF(O98&lt;Setup!$C$5-Setup!$C$6,"",IF(IF(ISNUMBER(Roster!$D98),Setup!$C$33&lt;=Roster!$D98,FALSE),"",IF(OR(IF(Setup!$C$15&lt;=Setup!$C$16,AND(MONTH(O98)&gt;=Setup!$C$15,MONTH(O98)&lt;=Setup!$C$16),OR(MONTH(O98)&gt;=Setup!$C$15,MONTH(O98)&lt;=Setup!$C$16)),IF(Setup!$C$15&lt;=Setup!$C$16,AND(MONTH(WORKDAY(O98,-(Setup!$C$13+Setup!$G$33),Setup!$C$39:$C$50))&gt;=Setup!$C$15,MONTH(WORKDAY(O98,-(Setup!$C$13+Setup!$G$33),Setup!$C$39:$C$50))&lt;=Setup!$C$16),OR(MONTH(WORKDAY(O98,-(Setup!$C$13+Setup!$G$33),Setup!$C$39:$C$50))&gt;=Setup!$C$15,MONTH(WORKDAY(O98,-(Setup!$C$13+Setup!$G$33),Setup!$C$39:$C$50))&lt;=Setup!$C$16))),WORKDAY(O98,-(Setup!$C$13+Setup!$G$33+Setup!$C$14),Setup!$C$39:$C$50),WORKDAY(O98,-(Setup!$C$13+Setup!$G$33),Setup!$C$39:$C$50))+(93*100+14)/10000000)))</f>
        <v/>
      </c>
      <c r="AF98" t="str">
        <f>IF(P98="","",IF(P98&lt;Setup!$C$5-Setup!$C$6,"",IF(IF(ISNUMBER(Roster!$D98),Setup!$C$34&lt;=Roster!$D98,FALSE),"",IF(OR(IF(Setup!$C$15&lt;=Setup!$C$16,AND(MONTH(P98)&gt;=Setup!$C$15,MONTH(P98)&lt;=Setup!$C$16),OR(MONTH(P98)&gt;=Setup!$C$15,MONTH(P98)&lt;=Setup!$C$16)),IF(Setup!$C$15&lt;=Setup!$C$16,AND(MONTH(WORKDAY(P98,-(Setup!$C$13+Setup!$G$34),Setup!$C$39:$C$50))&gt;=Setup!$C$15,MONTH(WORKDAY(P98,-(Setup!$C$13+Setup!$G$34),Setup!$C$39:$C$50))&lt;=Setup!$C$16),OR(MONTH(WORKDAY(P98,-(Setup!$C$13+Setup!$G$34),Setup!$C$39:$C$50))&gt;=Setup!$C$15,MONTH(WORKDAY(P98,-(Setup!$C$13+Setup!$G$34),Setup!$C$39:$C$50))&lt;=Setup!$C$16))),WORKDAY(P98,-(Setup!$C$13+Setup!$G$34+Setup!$C$14),Setup!$C$39:$C$50),WORKDAY(P98,-(Setup!$C$13+Setup!$G$34),Setup!$C$39:$C$50))+(93*100+15)/10000000)))</f>
        <v/>
      </c>
      <c r="AH98" t="str">
        <f t="shared" si="9"/>
        <v/>
      </c>
      <c r="AI98" t="str">
        <f t="shared" si="10"/>
        <v/>
      </c>
      <c r="AK98" t="str">
        <f ca="1">IF(93&gt;$AK$2,"",SMALL($R$6:$AF$505,93))</f>
        <v/>
      </c>
      <c r="AL98" t="str">
        <f t="shared" ca="1" si="11"/>
        <v/>
      </c>
      <c r="AM98" t="str">
        <f t="shared" ca="1" si="12"/>
        <v/>
      </c>
      <c r="AN98" t="str">
        <f t="shared" ca="1" si="13"/>
        <v/>
      </c>
      <c r="AP98" t="str">
        <f>IF(ISNUMBER(Roster!$B98),MAX(1,YEAR(Setup!$C$5)-YEAR(Roster!$B98)+IF(EDATE(Roster!$B98,12*(YEAR(Setup!$C$5)-YEAR(Roster!$B98)))&lt;Setup!$C$5,1,0)),"")</f>
        <v/>
      </c>
      <c r="AQ98" s="32" t="str">
        <f>IF(AP98="","",EDATE(Roster!$B98,12*AP98))</f>
        <v/>
      </c>
      <c r="AR98" t="str">
        <f>IF(AQ98="","",IF(AQ98&lt;DATE(YEAR(Setup!$C$5)+1,MONTH(Setup!$C$5),DAY(Setup!$C$5)),AQ98+93/1000,""))</f>
        <v/>
      </c>
      <c r="AS98" t="str">
        <f t="shared" si="14"/>
        <v/>
      </c>
      <c r="AT98" t="str">
        <f>IF(AS98="","",IF(ISNUMBER(Roster!$D98),Roster!$D98&gt;=AP98,FALSE))</f>
        <v/>
      </c>
      <c r="AU98" t="str">
        <f t="shared" si="15"/>
        <v/>
      </c>
      <c r="AV98" t="str">
        <f ca="1">IF(93&gt;$AV$2,"",SMALL($AR$6:$AR$505,93))</f>
        <v/>
      </c>
      <c r="AW98" t="str">
        <f t="shared" ca="1" si="16"/>
        <v/>
      </c>
    </row>
    <row r="99" spans="2:49" x14ac:dyDescent="0.2">
      <c r="B99" s="32" t="str">
        <f>IF(AND(ISNUMBER(Roster!$B99),Setup!$B$20="Yes",ISNUMBER(Setup!$C$20)),EDATE(Roster!$B99,12*Setup!$C$20),"")</f>
        <v/>
      </c>
      <c r="C99" s="32" t="str">
        <f>IF(AND(ISNUMBER(Roster!$B99),Setup!$B$21="Yes",ISNUMBER(Setup!$C$21)),EDATE(Roster!$B99,12*Setup!$C$21),"")</f>
        <v/>
      </c>
      <c r="D99" s="32" t="str">
        <f>IF(AND(ISNUMBER(Roster!$B99),Setup!$B$22="Yes",ISNUMBER(Setup!$C$22)),EDATE(Roster!$B99,12*Setup!$C$22),"")</f>
        <v/>
      </c>
      <c r="E99" s="32" t="str">
        <f>IF(AND(ISNUMBER(Roster!$B99),Setup!$B$23="Yes",ISNUMBER(Setup!$C$23)),EDATE(Roster!$B99,12*Setup!$C$23),"")</f>
        <v/>
      </c>
      <c r="F99" s="32" t="str">
        <f>IF(AND(ISNUMBER(Roster!$B99),Setup!$B$24="Yes",ISNUMBER(Setup!$C$24)),EDATE(Roster!$B99,12*Setup!$C$24),"")</f>
        <v/>
      </c>
      <c r="G99" s="32" t="str">
        <f>IF(AND(ISNUMBER(Roster!$B99),Setup!$B$25="Yes",ISNUMBER(Setup!$C$25)),EDATE(Roster!$B99,12*Setup!$C$25),"")</f>
        <v/>
      </c>
      <c r="H99" s="32" t="str">
        <f>IF(AND(ISNUMBER(Roster!$B99),Setup!$B$26="Yes",ISNUMBER(Setup!$C$26)),EDATE(Roster!$B99,12*Setup!$C$26),"")</f>
        <v/>
      </c>
      <c r="I99" s="32" t="str">
        <f>IF(AND(ISNUMBER(Roster!$B99),Setup!$B$27="Yes",ISNUMBER(Setup!$C$27)),EDATE(Roster!$B99,12*Setup!$C$27),"")</f>
        <v/>
      </c>
      <c r="J99" s="32" t="str">
        <f>IF(AND(ISNUMBER(Roster!$B99),Setup!$B$28="Yes",ISNUMBER(Setup!$C$28)),EDATE(Roster!$B99,12*Setup!$C$28),"")</f>
        <v/>
      </c>
      <c r="K99" s="32" t="str">
        <f>IF(AND(ISNUMBER(Roster!$B99),Setup!$B$29="Yes",ISNUMBER(Setup!$C$29)),EDATE(Roster!$B99,12*Setup!$C$29),"")</f>
        <v/>
      </c>
      <c r="L99" s="32" t="str">
        <f>IF(AND(ISNUMBER(Roster!$B99),Setup!$B$30="Yes",ISNUMBER(Setup!$C$30)),EDATE(Roster!$B99,12*Setup!$C$30),"")</f>
        <v/>
      </c>
      <c r="M99" s="32" t="str">
        <f>IF(AND(ISNUMBER(Roster!$B99),Setup!$B$31="Yes",ISNUMBER(Setup!$C$31)),EDATE(Roster!$B99,12*Setup!$C$31),"")</f>
        <v/>
      </c>
      <c r="N99" s="32" t="str">
        <f>IF(AND(ISNUMBER(Roster!$B99),Setup!$B$32="Yes",ISNUMBER(Setup!$C$32)),EDATE(Roster!$B99,12*Setup!$C$32),"")</f>
        <v/>
      </c>
      <c r="O99" s="32" t="str">
        <f>IF(AND(ISNUMBER(Roster!$B99),Setup!$B$33="Yes",ISNUMBER(Setup!$C$33)),EDATE(Roster!$B99,12*Setup!$C$33),"")</f>
        <v/>
      </c>
      <c r="P99" s="32" t="str">
        <f>IF(AND(ISNUMBER(Roster!$B99),Setup!$B$34="Yes",ISNUMBER(Setup!$C$34)),EDATE(Roster!$B99,12*Setup!$C$34),"")</f>
        <v/>
      </c>
      <c r="R99" t="str">
        <f>IF(B99="","",IF(B99&lt;Setup!$C$5-Setup!$C$6,"",IF(IF(ISNUMBER(Roster!$D99),Setup!$C$20&lt;=Roster!$D99,FALSE),"",IF(OR(IF(Setup!$C$15&lt;=Setup!$C$16,AND(MONTH(B99)&gt;=Setup!$C$15,MONTH(B99)&lt;=Setup!$C$16),OR(MONTH(B99)&gt;=Setup!$C$15,MONTH(B99)&lt;=Setup!$C$16)),IF(Setup!$C$15&lt;=Setup!$C$16,AND(MONTH(WORKDAY(B99,-(Setup!$C$13+Setup!$G$20),Setup!$C$39:$C$50))&gt;=Setup!$C$15,MONTH(WORKDAY(B99,-(Setup!$C$13+Setup!$G$20),Setup!$C$39:$C$50))&lt;=Setup!$C$16),OR(MONTH(WORKDAY(B99,-(Setup!$C$13+Setup!$G$20),Setup!$C$39:$C$50))&gt;=Setup!$C$15,MONTH(WORKDAY(B99,-(Setup!$C$13+Setup!$G$20),Setup!$C$39:$C$50))&lt;=Setup!$C$16))),WORKDAY(B99,-(Setup!$C$13+Setup!$G$20+Setup!$C$14),Setup!$C$39:$C$50),WORKDAY(B99,-(Setup!$C$13+Setup!$G$20),Setup!$C$39:$C$50))+(94*100+1)/10000000)))</f>
        <v/>
      </c>
      <c r="S99" t="str">
        <f>IF(C99="","",IF(C99&lt;Setup!$C$5-Setup!$C$6,"",IF(IF(ISNUMBER(Roster!$D99),Setup!$C$21&lt;=Roster!$D99,FALSE),"",IF(OR(IF(Setup!$C$15&lt;=Setup!$C$16,AND(MONTH(C99)&gt;=Setup!$C$15,MONTH(C99)&lt;=Setup!$C$16),OR(MONTH(C99)&gt;=Setup!$C$15,MONTH(C99)&lt;=Setup!$C$16)),IF(Setup!$C$15&lt;=Setup!$C$16,AND(MONTH(WORKDAY(C99,-(Setup!$C$13+Setup!$G$21),Setup!$C$39:$C$50))&gt;=Setup!$C$15,MONTH(WORKDAY(C99,-(Setup!$C$13+Setup!$G$21),Setup!$C$39:$C$50))&lt;=Setup!$C$16),OR(MONTH(WORKDAY(C99,-(Setup!$C$13+Setup!$G$21),Setup!$C$39:$C$50))&gt;=Setup!$C$15,MONTH(WORKDAY(C99,-(Setup!$C$13+Setup!$G$21),Setup!$C$39:$C$50))&lt;=Setup!$C$16))),WORKDAY(C99,-(Setup!$C$13+Setup!$G$21+Setup!$C$14),Setup!$C$39:$C$50),WORKDAY(C99,-(Setup!$C$13+Setup!$G$21),Setup!$C$39:$C$50))+(94*100+2)/10000000)))</f>
        <v/>
      </c>
      <c r="T99" t="str">
        <f>IF(D99="","",IF(D99&lt;Setup!$C$5-Setup!$C$6,"",IF(IF(ISNUMBER(Roster!$D99),Setup!$C$22&lt;=Roster!$D99,FALSE),"",IF(OR(IF(Setup!$C$15&lt;=Setup!$C$16,AND(MONTH(D99)&gt;=Setup!$C$15,MONTH(D99)&lt;=Setup!$C$16),OR(MONTH(D99)&gt;=Setup!$C$15,MONTH(D99)&lt;=Setup!$C$16)),IF(Setup!$C$15&lt;=Setup!$C$16,AND(MONTH(WORKDAY(D99,-(Setup!$C$13+Setup!$G$22),Setup!$C$39:$C$50))&gt;=Setup!$C$15,MONTH(WORKDAY(D99,-(Setup!$C$13+Setup!$G$22),Setup!$C$39:$C$50))&lt;=Setup!$C$16),OR(MONTH(WORKDAY(D99,-(Setup!$C$13+Setup!$G$22),Setup!$C$39:$C$50))&gt;=Setup!$C$15,MONTH(WORKDAY(D99,-(Setup!$C$13+Setup!$G$22),Setup!$C$39:$C$50))&lt;=Setup!$C$16))),WORKDAY(D99,-(Setup!$C$13+Setup!$G$22+Setup!$C$14),Setup!$C$39:$C$50),WORKDAY(D99,-(Setup!$C$13+Setup!$G$22),Setup!$C$39:$C$50))+(94*100+3)/10000000)))</f>
        <v/>
      </c>
      <c r="U99" t="str">
        <f>IF(E99="","",IF(E99&lt;Setup!$C$5-Setup!$C$6,"",IF(IF(ISNUMBER(Roster!$D99),Setup!$C$23&lt;=Roster!$D99,FALSE),"",IF(OR(IF(Setup!$C$15&lt;=Setup!$C$16,AND(MONTH(E99)&gt;=Setup!$C$15,MONTH(E99)&lt;=Setup!$C$16),OR(MONTH(E99)&gt;=Setup!$C$15,MONTH(E99)&lt;=Setup!$C$16)),IF(Setup!$C$15&lt;=Setup!$C$16,AND(MONTH(WORKDAY(E99,-(Setup!$C$13+Setup!$G$23),Setup!$C$39:$C$50))&gt;=Setup!$C$15,MONTH(WORKDAY(E99,-(Setup!$C$13+Setup!$G$23),Setup!$C$39:$C$50))&lt;=Setup!$C$16),OR(MONTH(WORKDAY(E99,-(Setup!$C$13+Setup!$G$23),Setup!$C$39:$C$50))&gt;=Setup!$C$15,MONTH(WORKDAY(E99,-(Setup!$C$13+Setup!$G$23),Setup!$C$39:$C$50))&lt;=Setup!$C$16))),WORKDAY(E99,-(Setup!$C$13+Setup!$G$23+Setup!$C$14),Setup!$C$39:$C$50),WORKDAY(E99,-(Setup!$C$13+Setup!$G$23),Setup!$C$39:$C$50))+(94*100+4)/10000000)))</f>
        <v/>
      </c>
      <c r="V99" t="str">
        <f>IF(F99="","",IF(F99&lt;Setup!$C$5-Setup!$C$6,"",IF(IF(ISNUMBER(Roster!$D99),Setup!$C$24&lt;=Roster!$D99,FALSE),"",IF(OR(IF(Setup!$C$15&lt;=Setup!$C$16,AND(MONTH(F99)&gt;=Setup!$C$15,MONTH(F99)&lt;=Setup!$C$16),OR(MONTH(F99)&gt;=Setup!$C$15,MONTH(F99)&lt;=Setup!$C$16)),IF(Setup!$C$15&lt;=Setup!$C$16,AND(MONTH(WORKDAY(F99,-(Setup!$C$13+Setup!$G$24),Setup!$C$39:$C$50))&gt;=Setup!$C$15,MONTH(WORKDAY(F99,-(Setup!$C$13+Setup!$G$24),Setup!$C$39:$C$50))&lt;=Setup!$C$16),OR(MONTH(WORKDAY(F99,-(Setup!$C$13+Setup!$G$24),Setup!$C$39:$C$50))&gt;=Setup!$C$15,MONTH(WORKDAY(F99,-(Setup!$C$13+Setup!$G$24),Setup!$C$39:$C$50))&lt;=Setup!$C$16))),WORKDAY(F99,-(Setup!$C$13+Setup!$G$24+Setup!$C$14),Setup!$C$39:$C$50),WORKDAY(F99,-(Setup!$C$13+Setup!$G$24),Setup!$C$39:$C$50))+(94*100+5)/10000000)))</f>
        <v/>
      </c>
      <c r="W99" t="str">
        <f>IF(G99="","",IF(G99&lt;Setup!$C$5-Setup!$C$6,"",IF(IF(ISNUMBER(Roster!$D99),Setup!$C$25&lt;=Roster!$D99,FALSE),"",IF(OR(IF(Setup!$C$15&lt;=Setup!$C$16,AND(MONTH(G99)&gt;=Setup!$C$15,MONTH(G99)&lt;=Setup!$C$16),OR(MONTH(G99)&gt;=Setup!$C$15,MONTH(G99)&lt;=Setup!$C$16)),IF(Setup!$C$15&lt;=Setup!$C$16,AND(MONTH(WORKDAY(G99,-(Setup!$C$13+Setup!$G$25),Setup!$C$39:$C$50))&gt;=Setup!$C$15,MONTH(WORKDAY(G99,-(Setup!$C$13+Setup!$G$25),Setup!$C$39:$C$50))&lt;=Setup!$C$16),OR(MONTH(WORKDAY(G99,-(Setup!$C$13+Setup!$G$25),Setup!$C$39:$C$50))&gt;=Setup!$C$15,MONTH(WORKDAY(G99,-(Setup!$C$13+Setup!$G$25),Setup!$C$39:$C$50))&lt;=Setup!$C$16))),WORKDAY(G99,-(Setup!$C$13+Setup!$G$25+Setup!$C$14),Setup!$C$39:$C$50),WORKDAY(G99,-(Setup!$C$13+Setup!$G$25),Setup!$C$39:$C$50))+(94*100+6)/10000000)))</f>
        <v/>
      </c>
      <c r="X99" t="str">
        <f>IF(H99="","",IF(H99&lt;Setup!$C$5-Setup!$C$6,"",IF(IF(ISNUMBER(Roster!$D99),Setup!$C$26&lt;=Roster!$D99,FALSE),"",IF(OR(IF(Setup!$C$15&lt;=Setup!$C$16,AND(MONTH(H99)&gt;=Setup!$C$15,MONTH(H99)&lt;=Setup!$C$16),OR(MONTH(H99)&gt;=Setup!$C$15,MONTH(H99)&lt;=Setup!$C$16)),IF(Setup!$C$15&lt;=Setup!$C$16,AND(MONTH(WORKDAY(H99,-(Setup!$C$13+Setup!$G$26),Setup!$C$39:$C$50))&gt;=Setup!$C$15,MONTH(WORKDAY(H99,-(Setup!$C$13+Setup!$G$26),Setup!$C$39:$C$50))&lt;=Setup!$C$16),OR(MONTH(WORKDAY(H99,-(Setup!$C$13+Setup!$G$26),Setup!$C$39:$C$50))&gt;=Setup!$C$15,MONTH(WORKDAY(H99,-(Setup!$C$13+Setup!$G$26),Setup!$C$39:$C$50))&lt;=Setup!$C$16))),WORKDAY(H99,-(Setup!$C$13+Setup!$G$26+Setup!$C$14),Setup!$C$39:$C$50),WORKDAY(H99,-(Setup!$C$13+Setup!$G$26),Setup!$C$39:$C$50))+(94*100+7)/10000000)))</f>
        <v/>
      </c>
      <c r="Y99" t="str">
        <f>IF(I99="","",IF(I99&lt;Setup!$C$5-Setup!$C$6,"",IF(IF(ISNUMBER(Roster!$D99),Setup!$C$27&lt;=Roster!$D99,FALSE),"",IF(OR(IF(Setup!$C$15&lt;=Setup!$C$16,AND(MONTH(I99)&gt;=Setup!$C$15,MONTH(I99)&lt;=Setup!$C$16),OR(MONTH(I99)&gt;=Setup!$C$15,MONTH(I99)&lt;=Setup!$C$16)),IF(Setup!$C$15&lt;=Setup!$C$16,AND(MONTH(WORKDAY(I99,-(Setup!$C$13+Setup!$G$27),Setup!$C$39:$C$50))&gt;=Setup!$C$15,MONTH(WORKDAY(I99,-(Setup!$C$13+Setup!$G$27),Setup!$C$39:$C$50))&lt;=Setup!$C$16),OR(MONTH(WORKDAY(I99,-(Setup!$C$13+Setup!$G$27),Setup!$C$39:$C$50))&gt;=Setup!$C$15,MONTH(WORKDAY(I99,-(Setup!$C$13+Setup!$G$27),Setup!$C$39:$C$50))&lt;=Setup!$C$16))),WORKDAY(I99,-(Setup!$C$13+Setup!$G$27+Setup!$C$14),Setup!$C$39:$C$50),WORKDAY(I99,-(Setup!$C$13+Setup!$G$27),Setup!$C$39:$C$50))+(94*100+8)/10000000)))</f>
        <v/>
      </c>
      <c r="Z99" t="str">
        <f>IF(J99="","",IF(J99&lt;Setup!$C$5-Setup!$C$6,"",IF(IF(ISNUMBER(Roster!$D99),Setup!$C$28&lt;=Roster!$D99,FALSE),"",IF(OR(IF(Setup!$C$15&lt;=Setup!$C$16,AND(MONTH(J99)&gt;=Setup!$C$15,MONTH(J99)&lt;=Setup!$C$16),OR(MONTH(J99)&gt;=Setup!$C$15,MONTH(J99)&lt;=Setup!$C$16)),IF(Setup!$C$15&lt;=Setup!$C$16,AND(MONTH(WORKDAY(J99,-(Setup!$C$13+Setup!$G$28),Setup!$C$39:$C$50))&gt;=Setup!$C$15,MONTH(WORKDAY(J99,-(Setup!$C$13+Setup!$G$28),Setup!$C$39:$C$50))&lt;=Setup!$C$16),OR(MONTH(WORKDAY(J99,-(Setup!$C$13+Setup!$G$28),Setup!$C$39:$C$50))&gt;=Setup!$C$15,MONTH(WORKDAY(J99,-(Setup!$C$13+Setup!$G$28),Setup!$C$39:$C$50))&lt;=Setup!$C$16))),WORKDAY(J99,-(Setup!$C$13+Setup!$G$28+Setup!$C$14),Setup!$C$39:$C$50),WORKDAY(J99,-(Setup!$C$13+Setup!$G$28),Setup!$C$39:$C$50))+(94*100+9)/10000000)))</f>
        <v/>
      </c>
      <c r="AA99" t="str">
        <f>IF(K99="","",IF(K99&lt;Setup!$C$5-Setup!$C$6,"",IF(IF(ISNUMBER(Roster!$D99),Setup!$C$29&lt;=Roster!$D99,FALSE),"",IF(OR(IF(Setup!$C$15&lt;=Setup!$C$16,AND(MONTH(K99)&gt;=Setup!$C$15,MONTH(K99)&lt;=Setup!$C$16),OR(MONTH(K99)&gt;=Setup!$C$15,MONTH(K99)&lt;=Setup!$C$16)),IF(Setup!$C$15&lt;=Setup!$C$16,AND(MONTH(WORKDAY(K99,-(Setup!$C$13+Setup!$G$29),Setup!$C$39:$C$50))&gt;=Setup!$C$15,MONTH(WORKDAY(K99,-(Setup!$C$13+Setup!$G$29),Setup!$C$39:$C$50))&lt;=Setup!$C$16),OR(MONTH(WORKDAY(K99,-(Setup!$C$13+Setup!$G$29),Setup!$C$39:$C$50))&gt;=Setup!$C$15,MONTH(WORKDAY(K99,-(Setup!$C$13+Setup!$G$29),Setup!$C$39:$C$50))&lt;=Setup!$C$16))),WORKDAY(K99,-(Setup!$C$13+Setup!$G$29+Setup!$C$14),Setup!$C$39:$C$50),WORKDAY(K99,-(Setup!$C$13+Setup!$G$29),Setup!$C$39:$C$50))+(94*100+10)/10000000)))</f>
        <v/>
      </c>
      <c r="AB99" t="str">
        <f>IF(L99="","",IF(L99&lt;Setup!$C$5-Setup!$C$6,"",IF(IF(ISNUMBER(Roster!$D99),Setup!$C$30&lt;=Roster!$D99,FALSE),"",IF(OR(IF(Setup!$C$15&lt;=Setup!$C$16,AND(MONTH(L99)&gt;=Setup!$C$15,MONTH(L99)&lt;=Setup!$C$16),OR(MONTH(L99)&gt;=Setup!$C$15,MONTH(L99)&lt;=Setup!$C$16)),IF(Setup!$C$15&lt;=Setup!$C$16,AND(MONTH(WORKDAY(L99,-(Setup!$C$13+Setup!$G$30),Setup!$C$39:$C$50))&gt;=Setup!$C$15,MONTH(WORKDAY(L99,-(Setup!$C$13+Setup!$G$30),Setup!$C$39:$C$50))&lt;=Setup!$C$16),OR(MONTH(WORKDAY(L99,-(Setup!$C$13+Setup!$G$30),Setup!$C$39:$C$50))&gt;=Setup!$C$15,MONTH(WORKDAY(L99,-(Setup!$C$13+Setup!$G$30),Setup!$C$39:$C$50))&lt;=Setup!$C$16))),WORKDAY(L99,-(Setup!$C$13+Setup!$G$30+Setup!$C$14),Setup!$C$39:$C$50),WORKDAY(L99,-(Setup!$C$13+Setup!$G$30),Setup!$C$39:$C$50))+(94*100+11)/10000000)))</f>
        <v/>
      </c>
      <c r="AC99" t="str">
        <f>IF(M99="","",IF(M99&lt;Setup!$C$5-Setup!$C$6,"",IF(IF(ISNUMBER(Roster!$D99),Setup!$C$31&lt;=Roster!$D99,FALSE),"",IF(OR(IF(Setup!$C$15&lt;=Setup!$C$16,AND(MONTH(M99)&gt;=Setup!$C$15,MONTH(M99)&lt;=Setup!$C$16),OR(MONTH(M99)&gt;=Setup!$C$15,MONTH(M99)&lt;=Setup!$C$16)),IF(Setup!$C$15&lt;=Setup!$C$16,AND(MONTH(WORKDAY(M99,-(Setup!$C$13+Setup!$G$31),Setup!$C$39:$C$50))&gt;=Setup!$C$15,MONTH(WORKDAY(M99,-(Setup!$C$13+Setup!$G$31),Setup!$C$39:$C$50))&lt;=Setup!$C$16),OR(MONTH(WORKDAY(M99,-(Setup!$C$13+Setup!$G$31),Setup!$C$39:$C$50))&gt;=Setup!$C$15,MONTH(WORKDAY(M99,-(Setup!$C$13+Setup!$G$31),Setup!$C$39:$C$50))&lt;=Setup!$C$16))),WORKDAY(M99,-(Setup!$C$13+Setup!$G$31+Setup!$C$14),Setup!$C$39:$C$50),WORKDAY(M99,-(Setup!$C$13+Setup!$G$31),Setup!$C$39:$C$50))+(94*100+12)/10000000)))</f>
        <v/>
      </c>
      <c r="AD99" t="str">
        <f>IF(N99="","",IF(N99&lt;Setup!$C$5-Setup!$C$6,"",IF(IF(ISNUMBER(Roster!$D99),Setup!$C$32&lt;=Roster!$D99,FALSE),"",IF(OR(IF(Setup!$C$15&lt;=Setup!$C$16,AND(MONTH(N99)&gt;=Setup!$C$15,MONTH(N99)&lt;=Setup!$C$16),OR(MONTH(N99)&gt;=Setup!$C$15,MONTH(N99)&lt;=Setup!$C$16)),IF(Setup!$C$15&lt;=Setup!$C$16,AND(MONTH(WORKDAY(N99,-(Setup!$C$13+Setup!$G$32),Setup!$C$39:$C$50))&gt;=Setup!$C$15,MONTH(WORKDAY(N99,-(Setup!$C$13+Setup!$G$32),Setup!$C$39:$C$50))&lt;=Setup!$C$16),OR(MONTH(WORKDAY(N99,-(Setup!$C$13+Setup!$G$32),Setup!$C$39:$C$50))&gt;=Setup!$C$15,MONTH(WORKDAY(N99,-(Setup!$C$13+Setup!$G$32),Setup!$C$39:$C$50))&lt;=Setup!$C$16))),WORKDAY(N99,-(Setup!$C$13+Setup!$G$32+Setup!$C$14),Setup!$C$39:$C$50),WORKDAY(N99,-(Setup!$C$13+Setup!$G$32),Setup!$C$39:$C$50))+(94*100+13)/10000000)))</f>
        <v/>
      </c>
      <c r="AE99" t="str">
        <f>IF(O99="","",IF(O99&lt;Setup!$C$5-Setup!$C$6,"",IF(IF(ISNUMBER(Roster!$D99),Setup!$C$33&lt;=Roster!$D99,FALSE),"",IF(OR(IF(Setup!$C$15&lt;=Setup!$C$16,AND(MONTH(O99)&gt;=Setup!$C$15,MONTH(O99)&lt;=Setup!$C$16),OR(MONTH(O99)&gt;=Setup!$C$15,MONTH(O99)&lt;=Setup!$C$16)),IF(Setup!$C$15&lt;=Setup!$C$16,AND(MONTH(WORKDAY(O99,-(Setup!$C$13+Setup!$G$33),Setup!$C$39:$C$50))&gt;=Setup!$C$15,MONTH(WORKDAY(O99,-(Setup!$C$13+Setup!$G$33),Setup!$C$39:$C$50))&lt;=Setup!$C$16),OR(MONTH(WORKDAY(O99,-(Setup!$C$13+Setup!$G$33),Setup!$C$39:$C$50))&gt;=Setup!$C$15,MONTH(WORKDAY(O99,-(Setup!$C$13+Setup!$G$33),Setup!$C$39:$C$50))&lt;=Setup!$C$16))),WORKDAY(O99,-(Setup!$C$13+Setup!$G$33+Setup!$C$14),Setup!$C$39:$C$50),WORKDAY(O99,-(Setup!$C$13+Setup!$G$33),Setup!$C$39:$C$50))+(94*100+14)/10000000)))</f>
        <v/>
      </c>
      <c r="AF99" t="str">
        <f>IF(P99="","",IF(P99&lt;Setup!$C$5-Setup!$C$6,"",IF(IF(ISNUMBER(Roster!$D99),Setup!$C$34&lt;=Roster!$D99,FALSE),"",IF(OR(IF(Setup!$C$15&lt;=Setup!$C$16,AND(MONTH(P99)&gt;=Setup!$C$15,MONTH(P99)&lt;=Setup!$C$16),OR(MONTH(P99)&gt;=Setup!$C$15,MONTH(P99)&lt;=Setup!$C$16)),IF(Setup!$C$15&lt;=Setup!$C$16,AND(MONTH(WORKDAY(P99,-(Setup!$C$13+Setup!$G$34),Setup!$C$39:$C$50))&gt;=Setup!$C$15,MONTH(WORKDAY(P99,-(Setup!$C$13+Setup!$G$34),Setup!$C$39:$C$50))&lt;=Setup!$C$16),OR(MONTH(WORKDAY(P99,-(Setup!$C$13+Setup!$G$34),Setup!$C$39:$C$50))&gt;=Setup!$C$15,MONTH(WORKDAY(P99,-(Setup!$C$13+Setup!$G$34),Setup!$C$39:$C$50))&lt;=Setup!$C$16))),WORKDAY(P99,-(Setup!$C$13+Setup!$G$34+Setup!$C$14),Setup!$C$39:$C$50),WORKDAY(P99,-(Setup!$C$13+Setup!$G$34),Setup!$C$39:$C$50))+(94*100+15)/10000000)))</f>
        <v/>
      </c>
      <c r="AH99" t="str">
        <f t="shared" si="9"/>
        <v/>
      </c>
      <c r="AI99" t="str">
        <f t="shared" si="10"/>
        <v/>
      </c>
      <c r="AK99" t="str">
        <f ca="1">IF(94&gt;$AK$2,"",SMALL($R$6:$AF$505,94))</f>
        <v/>
      </c>
      <c r="AL99" t="str">
        <f t="shared" ca="1" si="11"/>
        <v/>
      </c>
      <c r="AM99" t="str">
        <f t="shared" ca="1" si="12"/>
        <v/>
      </c>
      <c r="AN99" t="str">
        <f t="shared" ca="1" si="13"/>
        <v/>
      </c>
      <c r="AP99" t="str">
        <f>IF(ISNUMBER(Roster!$B99),MAX(1,YEAR(Setup!$C$5)-YEAR(Roster!$B99)+IF(EDATE(Roster!$B99,12*(YEAR(Setup!$C$5)-YEAR(Roster!$B99)))&lt;Setup!$C$5,1,0)),"")</f>
        <v/>
      </c>
      <c r="AQ99" s="32" t="str">
        <f>IF(AP99="","",EDATE(Roster!$B99,12*AP99))</f>
        <v/>
      </c>
      <c r="AR99" t="str">
        <f>IF(AQ99="","",IF(AQ99&lt;DATE(YEAR(Setup!$C$5)+1,MONTH(Setup!$C$5),DAY(Setup!$C$5)),AQ99+94/1000,""))</f>
        <v/>
      </c>
      <c r="AS99" t="str">
        <f t="shared" si="14"/>
        <v/>
      </c>
      <c r="AT99" t="str">
        <f>IF(AS99="","",IF(ISNUMBER(Roster!$D99),Roster!$D99&gt;=AP99,FALSE))</f>
        <v/>
      </c>
      <c r="AU99" t="str">
        <f t="shared" si="15"/>
        <v/>
      </c>
      <c r="AV99" t="str">
        <f ca="1">IF(94&gt;$AV$2,"",SMALL($AR$6:$AR$505,94))</f>
        <v/>
      </c>
      <c r="AW99" t="str">
        <f t="shared" ca="1" si="16"/>
        <v/>
      </c>
    </row>
    <row r="100" spans="2:49" x14ac:dyDescent="0.2">
      <c r="B100" s="32" t="str">
        <f>IF(AND(ISNUMBER(Roster!$B100),Setup!$B$20="Yes",ISNUMBER(Setup!$C$20)),EDATE(Roster!$B100,12*Setup!$C$20),"")</f>
        <v/>
      </c>
      <c r="C100" s="32" t="str">
        <f>IF(AND(ISNUMBER(Roster!$B100),Setup!$B$21="Yes",ISNUMBER(Setup!$C$21)),EDATE(Roster!$B100,12*Setup!$C$21),"")</f>
        <v/>
      </c>
      <c r="D100" s="32" t="str">
        <f>IF(AND(ISNUMBER(Roster!$B100),Setup!$B$22="Yes",ISNUMBER(Setup!$C$22)),EDATE(Roster!$B100,12*Setup!$C$22),"")</f>
        <v/>
      </c>
      <c r="E100" s="32" t="str">
        <f>IF(AND(ISNUMBER(Roster!$B100),Setup!$B$23="Yes",ISNUMBER(Setup!$C$23)),EDATE(Roster!$B100,12*Setup!$C$23),"")</f>
        <v/>
      </c>
      <c r="F100" s="32" t="str">
        <f>IF(AND(ISNUMBER(Roster!$B100),Setup!$B$24="Yes",ISNUMBER(Setup!$C$24)),EDATE(Roster!$B100,12*Setup!$C$24),"")</f>
        <v/>
      </c>
      <c r="G100" s="32" t="str">
        <f>IF(AND(ISNUMBER(Roster!$B100),Setup!$B$25="Yes",ISNUMBER(Setup!$C$25)),EDATE(Roster!$B100,12*Setup!$C$25),"")</f>
        <v/>
      </c>
      <c r="H100" s="32" t="str">
        <f>IF(AND(ISNUMBER(Roster!$B100),Setup!$B$26="Yes",ISNUMBER(Setup!$C$26)),EDATE(Roster!$B100,12*Setup!$C$26),"")</f>
        <v/>
      </c>
      <c r="I100" s="32" t="str">
        <f>IF(AND(ISNUMBER(Roster!$B100),Setup!$B$27="Yes",ISNUMBER(Setup!$C$27)),EDATE(Roster!$B100,12*Setup!$C$27),"")</f>
        <v/>
      </c>
      <c r="J100" s="32" t="str">
        <f>IF(AND(ISNUMBER(Roster!$B100),Setup!$B$28="Yes",ISNUMBER(Setup!$C$28)),EDATE(Roster!$B100,12*Setup!$C$28),"")</f>
        <v/>
      </c>
      <c r="K100" s="32" t="str">
        <f>IF(AND(ISNUMBER(Roster!$B100),Setup!$B$29="Yes",ISNUMBER(Setup!$C$29)),EDATE(Roster!$B100,12*Setup!$C$29),"")</f>
        <v/>
      </c>
      <c r="L100" s="32" t="str">
        <f>IF(AND(ISNUMBER(Roster!$B100),Setup!$B$30="Yes",ISNUMBER(Setup!$C$30)),EDATE(Roster!$B100,12*Setup!$C$30),"")</f>
        <v/>
      </c>
      <c r="M100" s="32" t="str">
        <f>IF(AND(ISNUMBER(Roster!$B100),Setup!$B$31="Yes",ISNUMBER(Setup!$C$31)),EDATE(Roster!$B100,12*Setup!$C$31),"")</f>
        <v/>
      </c>
      <c r="N100" s="32" t="str">
        <f>IF(AND(ISNUMBER(Roster!$B100),Setup!$B$32="Yes",ISNUMBER(Setup!$C$32)),EDATE(Roster!$B100,12*Setup!$C$32),"")</f>
        <v/>
      </c>
      <c r="O100" s="32" t="str">
        <f>IF(AND(ISNUMBER(Roster!$B100),Setup!$B$33="Yes",ISNUMBER(Setup!$C$33)),EDATE(Roster!$B100,12*Setup!$C$33),"")</f>
        <v/>
      </c>
      <c r="P100" s="32" t="str">
        <f>IF(AND(ISNUMBER(Roster!$B100),Setup!$B$34="Yes",ISNUMBER(Setup!$C$34)),EDATE(Roster!$B100,12*Setup!$C$34),"")</f>
        <v/>
      </c>
      <c r="R100" t="str">
        <f>IF(B100="","",IF(B100&lt;Setup!$C$5-Setup!$C$6,"",IF(IF(ISNUMBER(Roster!$D100),Setup!$C$20&lt;=Roster!$D100,FALSE),"",IF(OR(IF(Setup!$C$15&lt;=Setup!$C$16,AND(MONTH(B100)&gt;=Setup!$C$15,MONTH(B100)&lt;=Setup!$C$16),OR(MONTH(B100)&gt;=Setup!$C$15,MONTH(B100)&lt;=Setup!$C$16)),IF(Setup!$C$15&lt;=Setup!$C$16,AND(MONTH(WORKDAY(B100,-(Setup!$C$13+Setup!$G$20),Setup!$C$39:$C$50))&gt;=Setup!$C$15,MONTH(WORKDAY(B100,-(Setup!$C$13+Setup!$G$20),Setup!$C$39:$C$50))&lt;=Setup!$C$16),OR(MONTH(WORKDAY(B100,-(Setup!$C$13+Setup!$G$20),Setup!$C$39:$C$50))&gt;=Setup!$C$15,MONTH(WORKDAY(B100,-(Setup!$C$13+Setup!$G$20),Setup!$C$39:$C$50))&lt;=Setup!$C$16))),WORKDAY(B100,-(Setup!$C$13+Setup!$G$20+Setup!$C$14),Setup!$C$39:$C$50),WORKDAY(B100,-(Setup!$C$13+Setup!$G$20),Setup!$C$39:$C$50))+(95*100+1)/10000000)))</f>
        <v/>
      </c>
      <c r="S100" t="str">
        <f>IF(C100="","",IF(C100&lt;Setup!$C$5-Setup!$C$6,"",IF(IF(ISNUMBER(Roster!$D100),Setup!$C$21&lt;=Roster!$D100,FALSE),"",IF(OR(IF(Setup!$C$15&lt;=Setup!$C$16,AND(MONTH(C100)&gt;=Setup!$C$15,MONTH(C100)&lt;=Setup!$C$16),OR(MONTH(C100)&gt;=Setup!$C$15,MONTH(C100)&lt;=Setup!$C$16)),IF(Setup!$C$15&lt;=Setup!$C$16,AND(MONTH(WORKDAY(C100,-(Setup!$C$13+Setup!$G$21),Setup!$C$39:$C$50))&gt;=Setup!$C$15,MONTH(WORKDAY(C100,-(Setup!$C$13+Setup!$G$21),Setup!$C$39:$C$50))&lt;=Setup!$C$16),OR(MONTH(WORKDAY(C100,-(Setup!$C$13+Setup!$G$21),Setup!$C$39:$C$50))&gt;=Setup!$C$15,MONTH(WORKDAY(C100,-(Setup!$C$13+Setup!$G$21),Setup!$C$39:$C$50))&lt;=Setup!$C$16))),WORKDAY(C100,-(Setup!$C$13+Setup!$G$21+Setup!$C$14),Setup!$C$39:$C$50),WORKDAY(C100,-(Setup!$C$13+Setup!$G$21),Setup!$C$39:$C$50))+(95*100+2)/10000000)))</f>
        <v/>
      </c>
      <c r="T100" t="str">
        <f>IF(D100="","",IF(D100&lt;Setup!$C$5-Setup!$C$6,"",IF(IF(ISNUMBER(Roster!$D100),Setup!$C$22&lt;=Roster!$D100,FALSE),"",IF(OR(IF(Setup!$C$15&lt;=Setup!$C$16,AND(MONTH(D100)&gt;=Setup!$C$15,MONTH(D100)&lt;=Setup!$C$16),OR(MONTH(D100)&gt;=Setup!$C$15,MONTH(D100)&lt;=Setup!$C$16)),IF(Setup!$C$15&lt;=Setup!$C$16,AND(MONTH(WORKDAY(D100,-(Setup!$C$13+Setup!$G$22),Setup!$C$39:$C$50))&gt;=Setup!$C$15,MONTH(WORKDAY(D100,-(Setup!$C$13+Setup!$G$22),Setup!$C$39:$C$50))&lt;=Setup!$C$16),OR(MONTH(WORKDAY(D100,-(Setup!$C$13+Setup!$G$22),Setup!$C$39:$C$50))&gt;=Setup!$C$15,MONTH(WORKDAY(D100,-(Setup!$C$13+Setup!$G$22),Setup!$C$39:$C$50))&lt;=Setup!$C$16))),WORKDAY(D100,-(Setup!$C$13+Setup!$G$22+Setup!$C$14),Setup!$C$39:$C$50),WORKDAY(D100,-(Setup!$C$13+Setup!$G$22),Setup!$C$39:$C$50))+(95*100+3)/10000000)))</f>
        <v/>
      </c>
      <c r="U100" t="str">
        <f>IF(E100="","",IF(E100&lt;Setup!$C$5-Setup!$C$6,"",IF(IF(ISNUMBER(Roster!$D100),Setup!$C$23&lt;=Roster!$D100,FALSE),"",IF(OR(IF(Setup!$C$15&lt;=Setup!$C$16,AND(MONTH(E100)&gt;=Setup!$C$15,MONTH(E100)&lt;=Setup!$C$16),OR(MONTH(E100)&gt;=Setup!$C$15,MONTH(E100)&lt;=Setup!$C$16)),IF(Setup!$C$15&lt;=Setup!$C$16,AND(MONTH(WORKDAY(E100,-(Setup!$C$13+Setup!$G$23),Setup!$C$39:$C$50))&gt;=Setup!$C$15,MONTH(WORKDAY(E100,-(Setup!$C$13+Setup!$G$23),Setup!$C$39:$C$50))&lt;=Setup!$C$16),OR(MONTH(WORKDAY(E100,-(Setup!$C$13+Setup!$G$23),Setup!$C$39:$C$50))&gt;=Setup!$C$15,MONTH(WORKDAY(E100,-(Setup!$C$13+Setup!$G$23),Setup!$C$39:$C$50))&lt;=Setup!$C$16))),WORKDAY(E100,-(Setup!$C$13+Setup!$G$23+Setup!$C$14),Setup!$C$39:$C$50),WORKDAY(E100,-(Setup!$C$13+Setup!$G$23),Setup!$C$39:$C$50))+(95*100+4)/10000000)))</f>
        <v/>
      </c>
      <c r="V100" t="str">
        <f>IF(F100="","",IF(F100&lt;Setup!$C$5-Setup!$C$6,"",IF(IF(ISNUMBER(Roster!$D100),Setup!$C$24&lt;=Roster!$D100,FALSE),"",IF(OR(IF(Setup!$C$15&lt;=Setup!$C$16,AND(MONTH(F100)&gt;=Setup!$C$15,MONTH(F100)&lt;=Setup!$C$16),OR(MONTH(F100)&gt;=Setup!$C$15,MONTH(F100)&lt;=Setup!$C$16)),IF(Setup!$C$15&lt;=Setup!$C$16,AND(MONTH(WORKDAY(F100,-(Setup!$C$13+Setup!$G$24),Setup!$C$39:$C$50))&gt;=Setup!$C$15,MONTH(WORKDAY(F100,-(Setup!$C$13+Setup!$G$24),Setup!$C$39:$C$50))&lt;=Setup!$C$16),OR(MONTH(WORKDAY(F100,-(Setup!$C$13+Setup!$G$24),Setup!$C$39:$C$50))&gt;=Setup!$C$15,MONTH(WORKDAY(F100,-(Setup!$C$13+Setup!$G$24),Setup!$C$39:$C$50))&lt;=Setup!$C$16))),WORKDAY(F100,-(Setup!$C$13+Setup!$G$24+Setup!$C$14),Setup!$C$39:$C$50),WORKDAY(F100,-(Setup!$C$13+Setup!$G$24),Setup!$C$39:$C$50))+(95*100+5)/10000000)))</f>
        <v/>
      </c>
      <c r="W100" t="str">
        <f>IF(G100="","",IF(G100&lt;Setup!$C$5-Setup!$C$6,"",IF(IF(ISNUMBER(Roster!$D100),Setup!$C$25&lt;=Roster!$D100,FALSE),"",IF(OR(IF(Setup!$C$15&lt;=Setup!$C$16,AND(MONTH(G100)&gt;=Setup!$C$15,MONTH(G100)&lt;=Setup!$C$16),OR(MONTH(G100)&gt;=Setup!$C$15,MONTH(G100)&lt;=Setup!$C$16)),IF(Setup!$C$15&lt;=Setup!$C$16,AND(MONTH(WORKDAY(G100,-(Setup!$C$13+Setup!$G$25),Setup!$C$39:$C$50))&gt;=Setup!$C$15,MONTH(WORKDAY(G100,-(Setup!$C$13+Setup!$G$25),Setup!$C$39:$C$50))&lt;=Setup!$C$16),OR(MONTH(WORKDAY(G100,-(Setup!$C$13+Setup!$G$25),Setup!$C$39:$C$50))&gt;=Setup!$C$15,MONTH(WORKDAY(G100,-(Setup!$C$13+Setup!$G$25),Setup!$C$39:$C$50))&lt;=Setup!$C$16))),WORKDAY(G100,-(Setup!$C$13+Setup!$G$25+Setup!$C$14),Setup!$C$39:$C$50),WORKDAY(G100,-(Setup!$C$13+Setup!$G$25),Setup!$C$39:$C$50))+(95*100+6)/10000000)))</f>
        <v/>
      </c>
      <c r="X100" t="str">
        <f>IF(H100="","",IF(H100&lt;Setup!$C$5-Setup!$C$6,"",IF(IF(ISNUMBER(Roster!$D100),Setup!$C$26&lt;=Roster!$D100,FALSE),"",IF(OR(IF(Setup!$C$15&lt;=Setup!$C$16,AND(MONTH(H100)&gt;=Setup!$C$15,MONTH(H100)&lt;=Setup!$C$16),OR(MONTH(H100)&gt;=Setup!$C$15,MONTH(H100)&lt;=Setup!$C$16)),IF(Setup!$C$15&lt;=Setup!$C$16,AND(MONTH(WORKDAY(H100,-(Setup!$C$13+Setup!$G$26),Setup!$C$39:$C$50))&gt;=Setup!$C$15,MONTH(WORKDAY(H100,-(Setup!$C$13+Setup!$G$26),Setup!$C$39:$C$50))&lt;=Setup!$C$16),OR(MONTH(WORKDAY(H100,-(Setup!$C$13+Setup!$G$26),Setup!$C$39:$C$50))&gt;=Setup!$C$15,MONTH(WORKDAY(H100,-(Setup!$C$13+Setup!$G$26),Setup!$C$39:$C$50))&lt;=Setup!$C$16))),WORKDAY(H100,-(Setup!$C$13+Setup!$G$26+Setup!$C$14),Setup!$C$39:$C$50),WORKDAY(H100,-(Setup!$C$13+Setup!$G$26),Setup!$C$39:$C$50))+(95*100+7)/10000000)))</f>
        <v/>
      </c>
      <c r="Y100" t="str">
        <f>IF(I100="","",IF(I100&lt;Setup!$C$5-Setup!$C$6,"",IF(IF(ISNUMBER(Roster!$D100),Setup!$C$27&lt;=Roster!$D100,FALSE),"",IF(OR(IF(Setup!$C$15&lt;=Setup!$C$16,AND(MONTH(I100)&gt;=Setup!$C$15,MONTH(I100)&lt;=Setup!$C$16),OR(MONTH(I100)&gt;=Setup!$C$15,MONTH(I100)&lt;=Setup!$C$16)),IF(Setup!$C$15&lt;=Setup!$C$16,AND(MONTH(WORKDAY(I100,-(Setup!$C$13+Setup!$G$27),Setup!$C$39:$C$50))&gt;=Setup!$C$15,MONTH(WORKDAY(I100,-(Setup!$C$13+Setup!$G$27),Setup!$C$39:$C$50))&lt;=Setup!$C$16),OR(MONTH(WORKDAY(I100,-(Setup!$C$13+Setup!$G$27),Setup!$C$39:$C$50))&gt;=Setup!$C$15,MONTH(WORKDAY(I100,-(Setup!$C$13+Setup!$G$27),Setup!$C$39:$C$50))&lt;=Setup!$C$16))),WORKDAY(I100,-(Setup!$C$13+Setup!$G$27+Setup!$C$14),Setup!$C$39:$C$50),WORKDAY(I100,-(Setup!$C$13+Setup!$G$27),Setup!$C$39:$C$50))+(95*100+8)/10000000)))</f>
        <v/>
      </c>
      <c r="Z100" t="str">
        <f>IF(J100="","",IF(J100&lt;Setup!$C$5-Setup!$C$6,"",IF(IF(ISNUMBER(Roster!$D100),Setup!$C$28&lt;=Roster!$D100,FALSE),"",IF(OR(IF(Setup!$C$15&lt;=Setup!$C$16,AND(MONTH(J100)&gt;=Setup!$C$15,MONTH(J100)&lt;=Setup!$C$16),OR(MONTH(J100)&gt;=Setup!$C$15,MONTH(J100)&lt;=Setup!$C$16)),IF(Setup!$C$15&lt;=Setup!$C$16,AND(MONTH(WORKDAY(J100,-(Setup!$C$13+Setup!$G$28),Setup!$C$39:$C$50))&gt;=Setup!$C$15,MONTH(WORKDAY(J100,-(Setup!$C$13+Setup!$G$28),Setup!$C$39:$C$50))&lt;=Setup!$C$16),OR(MONTH(WORKDAY(J100,-(Setup!$C$13+Setup!$G$28),Setup!$C$39:$C$50))&gt;=Setup!$C$15,MONTH(WORKDAY(J100,-(Setup!$C$13+Setup!$G$28),Setup!$C$39:$C$50))&lt;=Setup!$C$16))),WORKDAY(J100,-(Setup!$C$13+Setup!$G$28+Setup!$C$14),Setup!$C$39:$C$50),WORKDAY(J100,-(Setup!$C$13+Setup!$G$28),Setup!$C$39:$C$50))+(95*100+9)/10000000)))</f>
        <v/>
      </c>
      <c r="AA100" t="str">
        <f>IF(K100="","",IF(K100&lt;Setup!$C$5-Setup!$C$6,"",IF(IF(ISNUMBER(Roster!$D100),Setup!$C$29&lt;=Roster!$D100,FALSE),"",IF(OR(IF(Setup!$C$15&lt;=Setup!$C$16,AND(MONTH(K100)&gt;=Setup!$C$15,MONTH(K100)&lt;=Setup!$C$16),OR(MONTH(K100)&gt;=Setup!$C$15,MONTH(K100)&lt;=Setup!$C$16)),IF(Setup!$C$15&lt;=Setup!$C$16,AND(MONTH(WORKDAY(K100,-(Setup!$C$13+Setup!$G$29),Setup!$C$39:$C$50))&gt;=Setup!$C$15,MONTH(WORKDAY(K100,-(Setup!$C$13+Setup!$G$29),Setup!$C$39:$C$50))&lt;=Setup!$C$16),OR(MONTH(WORKDAY(K100,-(Setup!$C$13+Setup!$G$29),Setup!$C$39:$C$50))&gt;=Setup!$C$15,MONTH(WORKDAY(K100,-(Setup!$C$13+Setup!$G$29),Setup!$C$39:$C$50))&lt;=Setup!$C$16))),WORKDAY(K100,-(Setup!$C$13+Setup!$G$29+Setup!$C$14),Setup!$C$39:$C$50),WORKDAY(K100,-(Setup!$C$13+Setup!$G$29),Setup!$C$39:$C$50))+(95*100+10)/10000000)))</f>
        <v/>
      </c>
      <c r="AB100" t="str">
        <f>IF(L100="","",IF(L100&lt;Setup!$C$5-Setup!$C$6,"",IF(IF(ISNUMBER(Roster!$D100),Setup!$C$30&lt;=Roster!$D100,FALSE),"",IF(OR(IF(Setup!$C$15&lt;=Setup!$C$16,AND(MONTH(L100)&gt;=Setup!$C$15,MONTH(L100)&lt;=Setup!$C$16),OR(MONTH(L100)&gt;=Setup!$C$15,MONTH(L100)&lt;=Setup!$C$16)),IF(Setup!$C$15&lt;=Setup!$C$16,AND(MONTH(WORKDAY(L100,-(Setup!$C$13+Setup!$G$30),Setup!$C$39:$C$50))&gt;=Setup!$C$15,MONTH(WORKDAY(L100,-(Setup!$C$13+Setup!$G$30),Setup!$C$39:$C$50))&lt;=Setup!$C$16),OR(MONTH(WORKDAY(L100,-(Setup!$C$13+Setup!$G$30),Setup!$C$39:$C$50))&gt;=Setup!$C$15,MONTH(WORKDAY(L100,-(Setup!$C$13+Setup!$G$30),Setup!$C$39:$C$50))&lt;=Setup!$C$16))),WORKDAY(L100,-(Setup!$C$13+Setup!$G$30+Setup!$C$14),Setup!$C$39:$C$50),WORKDAY(L100,-(Setup!$C$13+Setup!$G$30),Setup!$C$39:$C$50))+(95*100+11)/10000000)))</f>
        <v/>
      </c>
      <c r="AC100" t="str">
        <f>IF(M100="","",IF(M100&lt;Setup!$C$5-Setup!$C$6,"",IF(IF(ISNUMBER(Roster!$D100),Setup!$C$31&lt;=Roster!$D100,FALSE),"",IF(OR(IF(Setup!$C$15&lt;=Setup!$C$16,AND(MONTH(M100)&gt;=Setup!$C$15,MONTH(M100)&lt;=Setup!$C$16),OR(MONTH(M100)&gt;=Setup!$C$15,MONTH(M100)&lt;=Setup!$C$16)),IF(Setup!$C$15&lt;=Setup!$C$16,AND(MONTH(WORKDAY(M100,-(Setup!$C$13+Setup!$G$31),Setup!$C$39:$C$50))&gt;=Setup!$C$15,MONTH(WORKDAY(M100,-(Setup!$C$13+Setup!$G$31),Setup!$C$39:$C$50))&lt;=Setup!$C$16),OR(MONTH(WORKDAY(M100,-(Setup!$C$13+Setup!$G$31),Setup!$C$39:$C$50))&gt;=Setup!$C$15,MONTH(WORKDAY(M100,-(Setup!$C$13+Setup!$G$31),Setup!$C$39:$C$50))&lt;=Setup!$C$16))),WORKDAY(M100,-(Setup!$C$13+Setup!$G$31+Setup!$C$14),Setup!$C$39:$C$50),WORKDAY(M100,-(Setup!$C$13+Setup!$G$31),Setup!$C$39:$C$50))+(95*100+12)/10000000)))</f>
        <v/>
      </c>
      <c r="AD100" t="str">
        <f>IF(N100="","",IF(N100&lt;Setup!$C$5-Setup!$C$6,"",IF(IF(ISNUMBER(Roster!$D100),Setup!$C$32&lt;=Roster!$D100,FALSE),"",IF(OR(IF(Setup!$C$15&lt;=Setup!$C$16,AND(MONTH(N100)&gt;=Setup!$C$15,MONTH(N100)&lt;=Setup!$C$16),OR(MONTH(N100)&gt;=Setup!$C$15,MONTH(N100)&lt;=Setup!$C$16)),IF(Setup!$C$15&lt;=Setup!$C$16,AND(MONTH(WORKDAY(N100,-(Setup!$C$13+Setup!$G$32),Setup!$C$39:$C$50))&gt;=Setup!$C$15,MONTH(WORKDAY(N100,-(Setup!$C$13+Setup!$G$32),Setup!$C$39:$C$50))&lt;=Setup!$C$16),OR(MONTH(WORKDAY(N100,-(Setup!$C$13+Setup!$G$32),Setup!$C$39:$C$50))&gt;=Setup!$C$15,MONTH(WORKDAY(N100,-(Setup!$C$13+Setup!$G$32),Setup!$C$39:$C$50))&lt;=Setup!$C$16))),WORKDAY(N100,-(Setup!$C$13+Setup!$G$32+Setup!$C$14),Setup!$C$39:$C$50),WORKDAY(N100,-(Setup!$C$13+Setup!$G$32),Setup!$C$39:$C$50))+(95*100+13)/10000000)))</f>
        <v/>
      </c>
      <c r="AE100" t="str">
        <f>IF(O100="","",IF(O100&lt;Setup!$C$5-Setup!$C$6,"",IF(IF(ISNUMBER(Roster!$D100),Setup!$C$33&lt;=Roster!$D100,FALSE),"",IF(OR(IF(Setup!$C$15&lt;=Setup!$C$16,AND(MONTH(O100)&gt;=Setup!$C$15,MONTH(O100)&lt;=Setup!$C$16),OR(MONTH(O100)&gt;=Setup!$C$15,MONTH(O100)&lt;=Setup!$C$16)),IF(Setup!$C$15&lt;=Setup!$C$16,AND(MONTH(WORKDAY(O100,-(Setup!$C$13+Setup!$G$33),Setup!$C$39:$C$50))&gt;=Setup!$C$15,MONTH(WORKDAY(O100,-(Setup!$C$13+Setup!$G$33),Setup!$C$39:$C$50))&lt;=Setup!$C$16),OR(MONTH(WORKDAY(O100,-(Setup!$C$13+Setup!$G$33),Setup!$C$39:$C$50))&gt;=Setup!$C$15,MONTH(WORKDAY(O100,-(Setup!$C$13+Setup!$G$33),Setup!$C$39:$C$50))&lt;=Setup!$C$16))),WORKDAY(O100,-(Setup!$C$13+Setup!$G$33+Setup!$C$14),Setup!$C$39:$C$50),WORKDAY(O100,-(Setup!$C$13+Setup!$G$33),Setup!$C$39:$C$50))+(95*100+14)/10000000)))</f>
        <v/>
      </c>
      <c r="AF100" t="str">
        <f>IF(P100="","",IF(P100&lt;Setup!$C$5-Setup!$C$6,"",IF(IF(ISNUMBER(Roster!$D100),Setup!$C$34&lt;=Roster!$D100,FALSE),"",IF(OR(IF(Setup!$C$15&lt;=Setup!$C$16,AND(MONTH(P100)&gt;=Setup!$C$15,MONTH(P100)&lt;=Setup!$C$16),OR(MONTH(P100)&gt;=Setup!$C$15,MONTH(P100)&lt;=Setup!$C$16)),IF(Setup!$C$15&lt;=Setup!$C$16,AND(MONTH(WORKDAY(P100,-(Setup!$C$13+Setup!$G$34),Setup!$C$39:$C$50))&gt;=Setup!$C$15,MONTH(WORKDAY(P100,-(Setup!$C$13+Setup!$G$34),Setup!$C$39:$C$50))&lt;=Setup!$C$16),OR(MONTH(WORKDAY(P100,-(Setup!$C$13+Setup!$G$34),Setup!$C$39:$C$50))&gt;=Setup!$C$15,MONTH(WORKDAY(P100,-(Setup!$C$13+Setup!$G$34),Setup!$C$39:$C$50))&lt;=Setup!$C$16))),WORKDAY(P100,-(Setup!$C$13+Setup!$G$34+Setup!$C$14),Setup!$C$39:$C$50),WORKDAY(P100,-(Setup!$C$13+Setup!$G$34),Setup!$C$39:$C$50))+(95*100+15)/10000000)))</f>
        <v/>
      </c>
      <c r="AH100" t="str">
        <f t="shared" si="9"/>
        <v/>
      </c>
      <c r="AI100" t="str">
        <f t="shared" si="10"/>
        <v/>
      </c>
      <c r="AK100" t="str">
        <f ca="1">IF(95&gt;$AK$2,"",SMALL($R$6:$AF$505,95))</f>
        <v/>
      </c>
      <c r="AL100" t="str">
        <f t="shared" ca="1" si="11"/>
        <v/>
      </c>
      <c r="AM100" t="str">
        <f t="shared" ca="1" si="12"/>
        <v/>
      </c>
      <c r="AN100" t="str">
        <f t="shared" ca="1" si="13"/>
        <v/>
      </c>
      <c r="AP100" t="str">
        <f>IF(ISNUMBER(Roster!$B100),MAX(1,YEAR(Setup!$C$5)-YEAR(Roster!$B100)+IF(EDATE(Roster!$B100,12*(YEAR(Setup!$C$5)-YEAR(Roster!$B100)))&lt;Setup!$C$5,1,0)),"")</f>
        <v/>
      </c>
      <c r="AQ100" s="32" t="str">
        <f>IF(AP100="","",EDATE(Roster!$B100,12*AP100))</f>
        <v/>
      </c>
      <c r="AR100" t="str">
        <f>IF(AQ100="","",IF(AQ100&lt;DATE(YEAR(Setup!$C$5)+1,MONTH(Setup!$C$5),DAY(Setup!$C$5)),AQ100+95/1000,""))</f>
        <v/>
      </c>
      <c r="AS100" t="str">
        <f t="shared" si="14"/>
        <v/>
      </c>
      <c r="AT100" t="str">
        <f>IF(AS100="","",IF(ISNUMBER(Roster!$D100),Roster!$D100&gt;=AP100,FALSE))</f>
        <v/>
      </c>
      <c r="AU100" t="str">
        <f t="shared" si="15"/>
        <v/>
      </c>
      <c r="AV100" t="str">
        <f ca="1">IF(95&gt;$AV$2,"",SMALL($AR$6:$AR$505,95))</f>
        <v/>
      </c>
      <c r="AW100" t="str">
        <f t="shared" ca="1" si="16"/>
        <v/>
      </c>
    </row>
    <row r="101" spans="2:49" x14ac:dyDescent="0.2">
      <c r="B101" s="32" t="str">
        <f>IF(AND(ISNUMBER(Roster!$B101),Setup!$B$20="Yes",ISNUMBER(Setup!$C$20)),EDATE(Roster!$B101,12*Setup!$C$20),"")</f>
        <v/>
      </c>
      <c r="C101" s="32" t="str">
        <f>IF(AND(ISNUMBER(Roster!$B101),Setup!$B$21="Yes",ISNUMBER(Setup!$C$21)),EDATE(Roster!$B101,12*Setup!$C$21),"")</f>
        <v/>
      </c>
      <c r="D101" s="32" t="str">
        <f>IF(AND(ISNUMBER(Roster!$B101),Setup!$B$22="Yes",ISNUMBER(Setup!$C$22)),EDATE(Roster!$B101,12*Setup!$C$22),"")</f>
        <v/>
      </c>
      <c r="E101" s="32" t="str">
        <f>IF(AND(ISNUMBER(Roster!$B101),Setup!$B$23="Yes",ISNUMBER(Setup!$C$23)),EDATE(Roster!$B101,12*Setup!$C$23),"")</f>
        <v/>
      </c>
      <c r="F101" s="32" t="str">
        <f>IF(AND(ISNUMBER(Roster!$B101),Setup!$B$24="Yes",ISNUMBER(Setup!$C$24)),EDATE(Roster!$B101,12*Setup!$C$24),"")</f>
        <v/>
      </c>
      <c r="G101" s="32" t="str">
        <f>IF(AND(ISNUMBER(Roster!$B101),Setup!$B$25="Yes",ISNUMBER(Setup!$C$25)),EDATE(Roster!$B101,12*Setup!$C$25),"")</f>
        <v/>
      </c>
      <c r="H101" s="32" t="str">
        <f>IF(AND(ISNUMBER(Roster!$B101),Setup!$B$26="Yes",ISNUMBER(Setup!$C$26)),EDATE(Roster!$B101,12*Setup!$C$26),"")</f>
        <v/>
      </c>
      <c r="I101" s="32" t="str">
        <f>IF(AND(ISNUMBER(Roster!$B101),Setup!$B$27="Yes",ISNUMBER(Setup!$C$27)),EDATE(Roster!$B101,12*Setup!$C$27),"")</f>
        <v/>
      </c>
      <c r="J101" s="32" t="str">
        <f>IF(AND(ISNUMBER(Roster!$B101),Setup!$B$28="Yes",ISNUMBER(Setup!$C$28)),EDATE(Roster!$B101,12*Setup!$C$28),"")</f>
        <v/>
      </c>
      <c r="K101" s="32" t="str">
        <f>IF(AND(ISNUMBER(Roster!$B101),Setup!$B$29="Yes",ISNUMBER(Setup!$C$29)),EDATE(Roster!$B101,12*Setup!$C$29),"")</f>
        <v/>
      </c>
      <c r="L101" s="32" t="str">
        <f>IF(AND(ISNUMBER(Roster!$B101),Setup!$B$30="Yes",ISNUMBER(Setup!$C$30)),EDATE(Roster!$B101,12*Setup!$C$30),"")</f>
        <v/>
      </c>
      <c r="M101" s="32" t="str">
        <f>IF(AND(ISNUMBER(Roster!$B101),Setup!$B$31="Yes",ISNUMBER(Setup!$C$31)),EDATE(Roster!$B101,12*Setup!$C$31),"")</f>
        <v/>
      </c>
      <c r="N101" s="32" t="str">
        <f>IF(AND(ISNUMBER(Roster!$B101),Setup!$B$32="Yes",ISNUMBER(Setup!$C$32)),EDATE(Roster!$B101,12*Setup!$C$32),"")</f>
        <v/>
      </c>
      <c r="O101" s="32" t="str">
        <f>IF(AND(ISNUMBER(Roster!$B101),Setup!$B$33="Yes",ISNUMBER(Setup!$C$33)),EDATE(Roster!$B101,12*Setup!$C$33),"")</f>
        <v/>
      </c>
      <c r="P101" s="32" t="str">
        <f>IF(AND(ISNUMBER(Roster!$B101),Setup!$B$34="Yes",ISNUMBER(Setup!$C$34)),EDATE(Roster!$B101,12*Setup!$C$34),"")</f>
        <v/>
      </c>
      <c r="R101" t="str">
        <f>IF(B101="","",IF(B101&lt;Setup!$C$5-Setup!$C$6,"",IF(IF(ISNUMBER(Roster!$D101),Setup!$C$20&lt;=Roster!$D101,FALSE),"",IF(OR(IF(Setup!$C$15&lt;=Setup!$C$16,AND(MONTH(B101)&gt;=Setup!$C$15,MONTH(B101)&lt;=Setup!$C$16),OR(MONTH(B101)&gt;=Setup!$C$15,MONTH(B101)&lt;=Setup!$C$16)),IF(Setup!$C$15&lt;=Setup!$C$16,AND(MONTH(WORKDAY(B101,-(Setup!$C$13+Setup!$G$20),Setup!$C$39:$C$50))&gt;=Setup!$C$15,MONTH(WORKDAY(B101,-(Setup!$C$13+Setup!$G$20),Setup!$C$39:$C$50))&lt;=Setup!$C$16),OR(MONTH(WORKDAY(B101,-(Setup!$C$13+Setup!$G$20),Setup!$C$39:$C$50))&gt;=Setup!$C$15,MONTH(WORKDAY(B101,-(Setup!$C$13+Setup!$G$20),Setup!$C$39:$C$50))&lt;=Setup!$C$16))),WORKDAY(B101,-(Setup!$C$13+Setup!$G$20+Setup!$C$14),Setup!$C$39:$C$50),WORKDAY(B101,-(Setup!$C$13+Setup!$G$20),Setup!$C$39:$C$50))+(96*100+1)/10000000)))</f>
        <v/>
      </c>
      <c r="S101" t="str">
        <f>IF(C101="","",IF(C101&lt;Setup!$C$5-Setup!$C$6,"",IF(IF(ISNUMBER(Roster!$D101),Setup!$C$21&lt;=Roster!$D101,FALSE),"",IF(OR(IF(Setup!$C$15&lt;=Setup!$C$16,AND(MONTH(C101)&gt;=Setup!$C$15,MONTH(C101)&lt;=Setup!$C$16),OR(MONTH(C101)&gt;=Setup!$C$15,MONTH(C101)&lt;=Setup!$C$16)),IF(Setup!$C$15&lt;=Setup!$C$16,AND(MONTH(WORKDAY(C101,-(Setup!$C$13+Setup!$G$21),Setup!$C$39:$C$50))&gt;=Setup!$C$15,MONTH(WORKDAY(C101,-(Setup!$C$13+Setup!$G$21),Setup!$C$39:$C$50))&lt;=Setup!$C$16),OR(MONTH(WORKDAY(C101,-(Setup!$C$13+Setup!$G$21),Setup!$C$39:$C$50))&gt;=Setup!$C$15,MONTH(WORKDAY(C101,-(Setup!$C$13+Setup!$G$21),Setup!$C$39:$C$50))&lt;=Setup!$C$16))),WORKDAY(C101,-(Setup!$C$13+Setup!$G$21+Setup!$C$14),Setup!$C$39:$C$50),WORKDAY(C101,-(Setup!$C$13+Setup!$G$21),Setup!$C$39:$C$50))+(96*100+2)/10000000)))</f>
        <v/>
      </c>
      <c r="T101" t="str">
        <f>IF(D101="","",IF(D101&lt;Setup!$C$5-Setup!$C$6,"",IF(IF(ISNUMBER(Roster!$D101),Setup!$C$22&lt;=Roster!$D101,FALSE),"",IF(OR(IF(Setup!$C$15&lt;=Setup!$C$16,AND(MONTH(D101)&gt;=Setup!$C$15,MONTH(D101)&lt;=Setup!$C$16),OR(MONTH(D101)&gt;=Setup!$C$15,MONTH(D101)&lt;=Setup!$C$16)),IF(Setup!$C$15&lt;=Setup!$C$16,AND(MONTH(WORKDAY(D101,-(Setup!$C$13+Setup!$G$22),Setup!$C$39:$C$50))&gt;=Setup!$C$15,MONTH(WORKDAY(D101,-(Setup!$C$13+Setup!$G$22),Setup!$C$39:$C$50))&lt;=Setup!$C$16),OR(MONTH(WORKDAY(D101,-(Setup!$C$13+Setup!$G$22),Setup!$C$39:$C$50))&gt;=Setup!$C$15,MONTH(WORKDAY(D101,-(Setup!$C$13+Setup!$G$22),Setup!$C$39:$C$50))&lt;=Setup!$C$16))),WORKDAY(D101,-(Setup!$C$13+Setup!$G$22+Setup!$C$14),Setup!$C$39:$C$50),WORKDAY(D101,-(Setup!$C$13+Setup!$G$22),Setup!$C$39:$C$50))+(96*100+3)/10000000)))</f>
        <v/>
      </c>
      <c r="U101" t="str">
        <f>IF(E101="","",IF(E101&lt;Setup!$C$5-Setup!$C$6,"",IF(IF(ISNUMBER(Roster!$D101),Setup!$C$23&lt;=Roster!$D101,FALSE),"",IF(OR(IF(Setup!$C$15&lt;=Setup!$C$16,AND(MONTH(E101)&gt;=Setup!$C$15,MONTH(E101)&lt;=Setup!$C$16),OR(MONTH(E101)&gt;=Setup!$C$15,MONTH(E101)&lt;=Setup!$C$16)),IF(Setup!$C$15&lt;=Setup!$C$16,AND(MONTH(WORKDAY(E101,-(Setup!$C$13+Setup!$G$23),Setup!$C$39:$C$50))&gt;=Setup!$C$15,MONTH(WORKDAY(E101,-(Setup!$C$13+Setup!$G$23),Setup!$C$39:$C$50))&lt;=Setup!$C$16),OR(MONTH(WORKDAY(E101,-(Setup!$C$13+Setup!$G$23),Setup!$C$39:$C$50))&gt;=Setup!$C$15,MONTH(WORKDAY(E101,-(Setup!$C$13+Setup!$G$23),Setup!$C$39:$C$50))&lt;=Setup!$C$16))),WORKDAY(E101,-(Setup!$C$13+Setup!$G$23+Setup!$C$14),Setup!$C$39:$C$50),WORKDAY(E101,-(Setup!$C$13+Setup!$G$23),Setup!$C$39:$C$50))+(96*100+4)/10000000)))</f>
        <v/>
      </c>
      <c r="V101" t="str">
        <f>IF(F101="","",IF(F101&lt;Setup!$C$5-Setup!$C$6,"",IF(IF(ISNUMBER(Roster!$D101),Setup!$C$24&lt;=Roster!$D101,FALSE),"",IF(OR(IF(Setup!$C$15&lt;=Setup!$C$16,AND(MONTH(F101)&gt;=Setup!$C$15,MONTH(F101)&lt;=Setup!$C$16),OR(MONTH(F101)&gt;=Setup!$C$15,MONTH(F101)&lt;=Setup!$C$16)),IF(Setup!$C$15&lt;=Setup!$C$16,AND(MONTH(WORKDAY(F101,-(Setup!$C$13+Setup!$G$24),Setup!$C$39:$C$50))&gt;=Setup!$C$15,MONTH(WORKDAY(F101,-(Setup!$C$13+Setup!$G$24),Setup!$C$39:$C$50))&lt;=Setup!$C$16),OR(MONTH(WORKDAY(F101,-(Setup!$C$13+Setup!$G$24),Setup!$C$39:$C$50))&gt;=Setup!$C$15,MONTH(WORKDAY(F101,-(Setup!$C$13+Setup!$G$24),Setup!$C$39:$C$50))&lt;=Setup!$C$16))),WORKDAY(F101,-(Setup!$C$13+Setup!$G$24+Setup!$C$14),Setup!$C$39:$C$50),WORKDAY(F101,-(Setup!$C$13+Setup!$G$24),Setup!$C$39:$C$50))+(96*100+5)/10000000)))</f>
        <v/>
      </c>
      <c r="W101" t="str">
        <f>IF(G101="","",IF(G101&lt;Setup!$C$5-Setup!$C$6,"",IF(IF(ISNUMBER(Roster!$D101),Setup!$C$25&lt;=Roster!$D101,FALSE),"",IF(OR(IF(Setup!$C$15&lt;=Setup!$C$16,AND(MONTH(G101)&gt;=Setup!$C$15,MONTH(G101)&lt;=Setup!$C$16),OR(MONTH(G101)&gt;=Setup!$C$15,MONTH(G101)&lt;=Setup!$C$16)),IF(Setup!$C$15&lt;=Setup!$C$16,AND(MONTH(WORKDAY(G101,-(Setup!$C$13+Setup!$G$25),Setup!$C$39:$C$50))&gt;=Setup!$C$15,MONTH(WORKDAY(G101,-(Setup!$C$13+Setup!$G$25),Setup!$C$39:$C$50))&lt;=Setup!$C$16),OR(MONTH(WORKDAY(G101,-(Setup!$C$13+Setup!$G$25),Setup!$C$39:$C$50))&gt;=Setup!$C$15,MONTH(WORKDAY(G101,-(Setup!$C$13+Setup!$G$25),Setup!$C$39:$C$50))&lt;=Setup!$C$16))),WORKDAY(G101,-(Setup!$C$13+Setup!$G$25+Setup!$C$14),Setup!$C$39:$C$50),WORKDAY(G101,-(Setup!$C$13+Setup!$G$25),Setup!$C$39:$C$50))+(96*100+6)/10000000)))</f>
        <v/>
      </c>
      <c r="X101" t="str">
        <f>IF(H101="","",IF(H101&lt;Setup!$C$5-Setup!$C$6,"",IF(IF(ISNUMBER(Roster!$D101),Setup!$C$26&lt;=Roster!$D101,FALSE),"",IF(OR(IF(Setup!$C$15&lt;=Setup!$C$16,AND(MONTH(H101)&gt;=Setup!$C$15,MONTH(H101)&lt;=Setup!$C$16),OR(MONTH(H101)&gt;=Setup!$C$15,MONTH(H101)&lt;=Setup!$C$16)),IF(Setup!$C$15&lt;=Setup!$C$16,AND(MONTH(WORKDAY(H101,-(Setup!$C$13+Setup!$G$26),Setup!$C$39:$C$50))&gt;=Setup!$C$15,MONTH(WORKDAY(H101,-(Setup!$C$13+Setup!$G$26),Setup!$C$39:$C$50))&lt;=Setup!$C$16),OR(MONTH(WORKDAY(H101,-(Setup!$C$13+Setup!$G$26),Setup!$C$39:$C$50))&gt;=Setup!$C$15,MONTH(WORKDAY(H101,-(Setup!$C$13+Setup!$G$26),Setup!$C$39:$C$50))&lt;=Setup!$C$16))),WORKDAY(H101,-(Setup!$C$13+Setup!$G$26+Setup!$C$14),Setup!$C$39:$C$50),WORKDAY(H101,-(Setup!$C$13+Setup!$G$26),Setup!$C$39:$C$50))+(96*100+7)/10000000)))</f>
        <v/>
      </c>
      <c r="Y101" t="str">
        <f>IF(I101="","",IF(I101&lt;Setup!$C$5-Setup!$C$6,"",IF(IF(ISNUMBER(Roster!$D101),Setup!$C$27&lt;=Roster!$D101,FALSE),"",IF(OR(IF(Setup!$C$15&lt;=Setup!$C$16,AND(MONTH(I101)&gt;=Setup!$C$15,MONTH(I101)&lt;=Setup!$C$16),OR(MONTH(I101)&gt;=Setup!$C$15,MONTH(I101)&lt;=Setup!$C$16)),IF(Setup!$C$15&lt;=Setup!$C$16,AND(MONTH(WORKDAY(I101,-(Setup!$C$13+Setup!$G$27),Setup!$C$39:$C$50))&gt;=Setup!$C$15,MONTH(WORKDAY(I101,-(Setup!$C$13+Setup!$G$27),Setup!$C$39:$C$50))&lt;=Setup!$C$16),OR(MONTH(WORKDAY(I101,-(Setup!$C$13+Setup!$G$27),Setup!$C$39:$C$50))&gt;=Setup!$C$15,MONTH(WORKDAY(I101,-(Setup!$C$13+Setup!$G$27),Setup!$C$39:$C$50))&lt;=Setup!$C$16))),WORKDAY(I101,-(Setup!$C$13+Setup!$G$27+Setup!$C$14),Setup!$C$39:$C$50),WORKDAY(I101,-(Setup!$C$13+Setup!$G$27),Setup!$C$39:$C$50))+(96*100+8)/10000000)))</f>
        <v/>
      </c>
      <c r="Z101" t="str">
        <f>IF(J101="","",IF(J101&lt;Setup!$C$5-Setup!$C$6,"",IF(IF(ISNUMBER(Roster!$D101),Setup!$C$28&lt;=Roster!$D101,FALSE),"",IF(OR(IF(Setup!$C$15&lt;=Setup!$C$16,AND(MONTH(J101)&gt;=Setup!$C$15,MONTH(J101)&lt;=Setup!$C$16),OR(MONTH(J101)&gt;=Setup!$C$15,MONTH(J101)&lt;=Setup!$C$16)),IF(Setup!$C$15&lt;=Setup!$C$16,AND(MONTH(WORKDAY(J101,-(Setup!$C$13+Setup!$G$28),Setup!$C$39:$C$50))&gt;=Setup!$C$15,MONTH(WORKDAY(J101,-(Setup!$C$13+Setup!$G$28),Setup!$C$39:$C$50))&lt;=Setup!$C$16),OR(MONTH(WORKDAY(J101,-(Setup!$C$13+Setup!$G$28),Setup!$C$39:$C$50))&gt;=Setup!$C$15,MONTH(WORKDAY(J101,-(Setup!$C$13+Setup!$G$28),Setup!$C$39:$C$50))&lt;=Setup!$C$16))),WORKDAY(J101,-(Setup!$C$13+Setup!$G$28+Setup!$C$14),Setup!$C$39:$C$50),WORKDAY(J101,-(Setup!$C$13+Setup!$G$28),Setup!$C$39:$C$50))+(96*100+9)/10000000)))</f>
        <v/>
      </c>
      <c r="AA101" t="str">
        <f>IF(K101="","",IF(K101&lt;Setup!$C$5-Setup!$C$6,"",IF(IF(ISNUMBER(Roster!$D101),Setup!$C$29&lt;=Roster!$D101,FALSE),"",IF(OR(IF(Setup!$C$15&lt;=Setup!$C$16,AND(MONTH(K101)&gt;=Setup!$C$15,MONTH(K101)&lt;=Setup!$C$16),OR(MONTH(K101)&gt;=Setup!$C$15,MONTH(K101)&lt;=Setup!$C$16)),IF(Setup!$C$15&lt;=Setup!$C$16,AND(MONTH(WORKDAY(K101,-(Setup!$C$13+Setup!$G$29),Setup!$C$39:$C$50))&gt;=Setup!$C$15,MONTH(WORKDAY(K101,-(Setup!$C$13+Setup!$G$29),Setup!$C$39:$C$50))&lt;=Setup!$C$16),OR(MONTH(WORKDAY(K101,-(Setup!$C$13+Setup!$G$29),Setup!$C$39:$C$50))&gt;=Setup!$C$15,MONTH(WORKDAY(K101,-(Setup!$C$13+Setup!$G$29),Setup!$C$39:$C$50))&lt;=Setup!$C$16))),WORKDAY(K101,-(Setup!$C$13+Setup!$G$29+Setup!$C$14),Setup!$C$39:$C$50),WORKDAY(K101,-(Setup!$C$13+Setup!$G$29),Setup!$C$39:$C$50))+(96*100+10)/10000000)))</f>
        <v/>
      </c>
      <c r="AB101" t="str">
        <f>IF(L101="","",IF(L101&lt;Setup!$C$5-Setup!$C$6,"",IF(IF(ISNUMBER(Roster!$D101),Setup!$C$30&lt;=Roster!$D101,FALSE),"",IF(OR(IF(Setup!$C$15&lt;=Setup!$C$16,AND(MONTH(L101)&gt;=Setup!$C$15,MONTH(L101)&lt;=Setup!$C$16),OR(MONTH(L101)&gt;=Setup!$C$15,MONTH(L101)&lt;=Setup!$C$16)),IF(Setup!$C$15&lt;=Setup!$C$16,AND(MONTH(WORKDAY(L101,-(Setup!$C$13+Setup!$G$30),Setup!$C$39:$C$50))&gt;=Setup!$C$15,MONTH(WORKDAY(L101,-(Setup!$C$13+Setup!$G$30),Setup!$C$39:$C$50))&lt;=Setup!$C$16),OR(MONTH(WORKDAY(L101,-(Setup!$C$13+Setup!$G$30),Setup!$C$39:$C$50))&gt;=Setup!$C$15,MONTH(WORKDAY(L101,-(Setup!$C$13+Setup!$G$30),Setup!$C$39:$C$50))&lt;=Setup!$C$16))),WORKDAY(L101,-(Setup!$C$13+Setup!$G$30+Setup!$C$14),Setup!$C$39:$C$50),WORKDAY(L101,-(Setup!$C$13+Setup!$G$30),Setup!$C$39:$C$50))+(96*100+11)/10000000)))</f>
        <v/>
      </c>
      <c r="AC101" t="str">
        <f>IF(M101="","",IF(M101&lt;Setup!$C$5-Setup!$C$6,"",IF(IF(ISNUMBER(Roster!$D101),Setup!$C$31&lt;=Roster!$D101,FALSE),"",IF(OR(IF(Setup!$C$15&lt;=Setup!$C$16,AND(MONTH(M101)&gt;=Setup!$C$15,MONTH(M101)&lt;=Setup!$C$16),OR(MONTH(M101)&gt;=Setup!$C$15,MONTH(M101)&lt;=Setup!$C$16)),IF(Setup!$C$15&lt;=Setup!$C$16,AND(MONTH(WORKDAY(M101,-(Setup!$C$13+Setup!$G$31),Setup!$C$39:$C$50))&gt;=Setup!$C$15,MONTH(WORKDAY(M101,-(Setup!$C$13+Setup!$G$31),Setup!$C$39:$C$50))&lt;=Setup!$C$16),OR(MONTH(WORKDAY(M101,-(Setup!$C$13+Setup!$G$31),Setup!$C$39:$C$50))&gt;=Setup!$C$15,MONTH(WORKDAY(M101,-(Setup!$C$13+Setup!$G$31),Setup!$C$39:$C$50))&lt;=Setup!$C$16))),WORKDAY(M101,-(Setup!$C$13+Setup!$G$31+Setup!$C$14),Setup!$C$39:$C$50),WORKDAY(M101,-(Setup!$C$13+Setup!$G$31),Setup!$C$39:$C$50))+(96*100+12)/10000000)))</f>
        <v/>
      </c>
      <c r="AD101" t="str">
        <f>IF(N101="","",IF(N101&lt;Setup!$C$5-Setup!$C$6,"",IF(IF(ISNUMBER(Roster!$D101),Setup!$C$32&lt;=Roster!$D101,FALSE),"",IF(OR(IF(Setup!$C$15&lt;=Setup!$C$16,AND(MONTH(N101)&gt;=Setup!$C$15,MONTH(N101)&lt;=Setup!$C$16),OR(MONTH(N101)&gt;=Setup!$C$15,MONTH(N101)&lt;=Setup!$C$16)),IF(Setup!$C$15&lt;=Setup!$C$16,AND(MONTH(WORKDAY(N101,-(Setup!$C$13+Setup!$G$32),Setup!$C$39:$C$50))&gt;=Setup!$C$15,MONTH(WORKDAY(N101,-(Setup!$C$13+Setup!$G$32),Setup!$C$39:$C$50))&lt;=Setup!$C$16),OR(MONTH(WORKDAY(N101,-(Setup!$C$13+Setup!$G$32),Setup!$C$39:$C$50))&gt;=Setup!$C$15,MONTH(WORKDAY(N101,-(Setup!$C$13+Setup!$G$32),Setup!$C$39:$C$50))&lt;=Setup!$C$16))),WORKDAY(N101,-(Setup!$C$13+Setup!$G$32+Setup!$C$14),Setup!$C$39:$C$50),WORKDAY(N101,-(Setup!$C$13+Setup!$G$32),Setup!$C$39:$C$50))+(96*100+13)/10000000)))</f>
        <v/>
      </c>
      <c r="AE101" t="str">
        <f>IF(O101="","",IF(O101&lt;Setup!$C$5-Setup!$C$6,"",IF(IF(ISNUMBER(Roster!$D101),Setup!$C$33&lt;=Roster!$D101,FALSE),"",IF(OR(IF(Setup!$C$15&lt;=Setup!$C$16,AND(MONTH(O101)&gt;=Setup!$C$15,MONTH(O101)&lt;=Setup!$C$16),OR(MONTH(O101)&gt;=Setup!$C$15,MONTH(O101)&lt;=Setup!$C$16)),IF(Setup!$C$15&lt;=Setup!$C$16,AND(MONTH(WORKDAY(O101,-(Setup!$C$13+Setup!$G$33),Setup!$C$39:$C$50))&gt;=Setup!$C$15,MONTH(WORKDAY(O101,-(Setup!$C$13+Setup!$G$33),Setup!$C$39:$C$50))&lt;=Setup!$C$16),OR(MONTH(WORKDAY(O101,-(Setup!$C$13+Setup!$G$33),Setup!$C$39:$C$50))&gt;=Setup!$C$15,MONTH(WORKDAY(O101,-(Setup!$C$13+Setup!$G$33),Setup!$C$39:$C$50))&lt;=Setup!$C$16))),WORKDAY(O101,-(Setup!$C$13+Setup!$G$33+Setup!$C$14),Setup!$C$39:$C$50),WORKDAY(O101,-(Setup!$C$13+Setup!$G$33),Setup!$C$39:$C$50))+(96*100+14)/10000000)))</f>
        <v/>
      </c>
      <c r="AF101" t="str">
        <f>IF(P101="","",IF(P101&lt;Setup!$C$5-Setup!$C$6,"",IF(IF(ISNUMBER(Roster!$D101),Setup!$C$34&lt;=Roster!$D101,FALSE),"",IF(OR(IF(Setup!$C$15&lt;=Setup!$C$16,AND(MONTH(P101)&gt;=Setup!$C$15,MONTH(P101)&lt;=Setup!$C$16),OR(MONTH(P101)&gt;=Setup!$C$15,MONTH(P101)&lt;=Setup!$C$16)),IF(Setup!$C$15&lt;=Setup!$C$16,AND(MONTH(WORKDAY(P101,-(Setup!$C$13+Setup!$G$34),Setup!$C$39:$C$50))&gt;=Setup!$C$15,MONTH(WORKDAY(P101,-(Setup!$C$13+Setup!$G$34),Setup!$C$39:$C$50))&lt;=Setup!$C$16),OR(MONTH(WORKDAY(P101,-(Setup!$C$13+Setup!$G$34),Setup!$C$39:$C$50))&gt;=Setup!$C$15,MONTH(WORKDAY(P101,-(Setup!$C$13+Setup!$G$34),Setup!$C$39:$C$50))&lt;=Setup!$C$16))),WORKDAY(P101,-(Setup!$C$13+Setup!$G$34+Setup!$C$14),Setup!$C$39:$C$50),WORKDAY(P101,-(Setup!$C$13+Setup!$G$34),Setup!$C$39:$C$50))+(96*100+15)/10000000)))</f>
        <v/>
      </c>
      <c r="AH101" t="str">
        <f t="shared" si="9"/>
        <v/>
      </c>
      <c r="AI101" t="str">
        <f t="shared" si="10"/>
        <v/>
      </c>
      <c r="AK101" t="str">
        <f ca="1">IF(96&gt;$AK$2,"",SMALL($R$6:$AF$505,96))</f>
        <v/>
      </c>
      <c r="AL101" t="str">
        <f t="shared" ca="1" si="11"/>
        <v/>
      </c>
      <c r="AM101" t="str">
        <f t="shared" ca="1" si="12"/>
        <v/>
      </c>
      <c r="AN101" t="str">
        <f t="shared" ca="1" si="13"/>
        <v/>
      </c>
      <c r="AP101" t="str">
        <f>IF(ISNUMBER(Roster!$B101),MAX(1,YEAR(Setup!$C$5)-YEAR(Roster!$B101)+IF(EDATE(Roster!$B101,12*(YEAR(Setup!$C$5)-YEAR(Roster!$B101)))&lt;Setup!$C$5,1,0)),"")</f>
        <v/>
      </c>
      <c r="AQ101" s="32" t="str">
        <f>IF(AP101="","",EDATE(Roster!$B101,12*AP101))</f>
        <v/>
      </c>
      <c r="AR101" t="str">
        <f>IF(AQ101="","",IF(AQ101&lt;DATE(YEAR(Setup!$C$5)+1,MONTH(Setup!$C$5),DAY(Setup!$C$5)),AQ101+96/1000,""))</f>
        <v/>
      </c>
      <c r="AS101" t="str">
        <f t="shared" si="14"/>
        <v/>
      </c>
      <c r="AT101" t="str">
        <f>IF(AS101="","",IF(ISNUMBER(Roster!$D101),Roster!$D101&gt;=AP101,FALSE))</f>
        <v/>
      </c>
      <c r="AU101" t="str">
        <f t="shared" si="15"/>
        <v/>
      </c>
      <c r="AV101" t="str">
        <f ca="1">IF(96&gt;$AV$2,"",SMALL($AR$6:$AR$505,96))</f>
        <v/>
      </c>
      <c r="AW101" t="str">
        <f t="shared" ca="1" si="16"/>
        <v/>
      </c>
    </row>
    <row r="102" spans="2:49" x14ac:dyDescent="0.2">
      <c r="B102" s="32" t="str">
        <f>IF(AND(ISNUMBER(Roster!$B102),Setup!$B$20="Yes",ISNUMBER(Setup!$C$20)),EDATE(Roster!$B102,12*Setup!$C$20),"")</f>
        <v/>
      </c>
      <c r="C102" s="32" t="str">
        <f>IF(AND(ISNUMBER(Roster!$B102),Setup!$B$21="Yes",ISNUMBER(Setup!$C$21)),EDATE(Roster!$B102,12*Setup!$C$21),"")</f>
        <v/>
      </c>
      <c r="D102" s="32" t="str">
        <f>IF(AND(ISNUMBER(Roster!$B102),Setup!$B$22="Yes",ISNUMBER(Setup!$C$22)),EDATE(Roster!$B102,12*Setup!$C$22),"")</f>
        <v/>
      </c>
      <c r="E102" s="32" t="str">
        <f>IF(AND(ISNUMBER(Roster!$B102),Setup!$B$23="Yes",ISNUMBER(Setup!$C$23)),EDATE(Roster!$B102,12*Setup!$C$23),"")</f>
        <v/>
      </c>
      <c r="F102" s="32" t="str">
        <f>IF(AND(ISNUMBER(Roster!$B102),Setup!$B$24="Yes",ISNUMBER(Setup!$C$24)),EDATE(Roster!$B102,12*Setup!$C$24),"")</f>
        <v/>
      </c>
      <c r="G102" s="32" t="str">
        <f>IF(AND(ISNUMBER(Roster!$B102),Setup!$B$25="Yes",ISNUMBER(Setup!$C$25)),EDATE(Roster!$B102,12*Setup!$C$25),"")</f>
        <v/>
      </c>
      <c r="H102" s="32" t="str">
        <f>IF(AND(ISNUMBER(Roster!$B102),Setup!$B$26="Yes",ISNUMBER(Setup!$C$26)),EDATE(Roster!$B102,12*Setup!$C$26),"")</f>
        <v/>
      </c>
      <c r="I102" s="32" t="str">
        <f>IF(AND(ISNUMBER(Roster!$B102),Setup!$B$27="Yes",ISNUMBER(Setup!$C$27)),EDATE(Roster!$B102,12*Setup!$C$27),"")</f>
        <v/>
      </c>
      <c r="J102" s="32" t="str">
        <f>IF(AND(ISNUMBER(Roster!$B102),Setup!$B$28="Yes",ISNUMBER(Setup!$C$28)),EDATE(Roster!$B102,12*Setup!$C$28),"")</f>
        <v/>
      </c>
      <c r="K102" s="32" t="str">
        <f>IF(AND(ISNUMBER(Roster!$B102),Setup!$B$29="Yes",ISNUMBER(Setup!$C$29)),EDATE(Roster!$B102,12*Setup!$C$29),"")</f>
        <v/>
      </c>
      <c r="L102" s="32" t="str">
        <f>IF(AND(ISNUMBER(Roster!$B102),Setup!$B$30="Yes",ISNUMBER(Setup!$C$30)),EDATE(Roster!$B102,12*Setup!$C$30),"")</f>
        <v/>
      </c>
      <c r="M102" s="32" t="str">
        <f>IF(AND(ISNUMBER(Roster!$B102),Setup!$B$31="Yes",ISNUMBER(Setup!$C$31)),EDATE(Roster!$B102,12*Setup!$C$31),"")</f>
        <v/>
      </c>
      <c r="N102" s="32" t="str">
        <f>IF(AND(ISNUMBER(Roster!$B102),Setup!$B$32="Yes",ISNUMBER(Setup!$C$32)),EDATE(Roster!$B102,12*Setup!$C$32),"")</f>
        <v/>
      </c>
      <c r="O102" s="32" t="str">
        <f>IF(AND(ISNUMBER(Roster!$B102),Setup!$B$33="Yes",ISNUMBER(Setup!$C$33)),EDATE(Roster!$B102,12*Setup!$C$33),"")</f>
        <v/>
      </c>
      <c r="P102" s="32" t="str">
        <f>IF(AND(ISNUMBER(Roster!$B102),Setup!$B$34="Yes",ISNUMBER(Setup!$C$34)),EDATE(Roster!$B102,12*Setup!$C$34),"")</f>
        <v/>
      </c>
      <c r="R102" t="str">
        <f>IF(B102="","",IF(B102&lt;Setup!$C$5-Setup!$C$6,"",IF(IF(ISNUMBER(Roster!$D102),Setup!$C$20&lt;=Roster!$D102,FALSE),"",IF(OR(IF(Setup!$C$15&lt;=Setup!$C$16,AND(MONTH(B102)&gt;=Setup!$C$15,MONTH(B102)&lt;=Setup!$C$16),OR(MONTH(B102)&gt;=Setup!$C$15,MONTH(B102)&lt;=Setup!$C$16)),IF(Setup!$C$15&lt;=Setup!$C$16,AND(MONTH(WORKDAY(B102,-(Setup!$C$13+Setup!$G$20),Setup!$C$39:$C$50))&gt;=Setup!$C$15,MONTH(WORKDAY(B102,-(Setup!$C$13+Setup!$G$20),Setup!$C$39:$C$50))&lt;=Setup!$C$16),OR(MONTH(WORKDAY(B102,-(Setup!$C$13+Setup!$G$20),Setup!$C$39:$C$50))&gt;=Setup!$C$15,MONTH(WORKDAY(B102,-(Setup!$C$13+Setup!$G$20),Setup!$C$39:$C$50))&lt;=Setup!$C$16))),WORKDAY(B102,-(Setup!$C$13+Setup!$G$20+Setup!$C$14),Setup!$C$39:$C$50),WORKDAY(B102,-(Setup!$C$13+Setup!$G$20),Setup!$C$39:$C$50))+(97*100+1)/10000000)))</f>
        <v/>
      </c>
      <c r="S102" t="str">
        <f>IF(C102="","",IF(C102&lt;Setup!$C$5-Setup!$C$6,"",IF(IF(ISNUMBER(Roster!$D102),Setup!$C$21&lt;=Roster!$D102,FALSE),"",IF(OR(IF(Setup!$C$15&lt;=Setup!$C$16,AND(MONTH(C102)&gt;=Setup!$C$15,MONTH(C102)&lt;=Setup!$C$16),OR(MONTH(C102)&gt;=Setup!$C$15,MONTH(C102)&lt;=Setup!$C$16)),IF(Setup!$C$15&lt;=Setup!$C$16,AND(MONTH(WORKDAY(C102,-(Setup!$C$13+Setup!$G$21),Setup!$C$39:$C$50))&gt;=Setup!$C$15,MONTH(WORKDAY(C102,-(Setup!$C$13+Setup!$G$21),Setup!$C$39:$C$50))&lt;=Setup!$C$16),OR(MONTH(WORKDAY(C102,-(Setup!$C$13+Setup!$G$21),Setup!$C$39:$C$50))&gt;=Setup!$C$15,MONTH(WORKDAY(C102,-(Setup!$C$13+Setup!$G$21),Setup!$C$39:$C$50))&lt;=Setup!$C$16))),WORKDAY(C102,-(Setup!$C$13+Setup!$G$21+Setup!$C$14),Setup!$C$39:$C$50),WORKDAY(C102,-(Setup!$C$13+Setup!$G$21),Setup!$C$39:$C$50))+(97*100+2)/10000000)))</f>
        <v/>
      </c>
      <c r="T102" t="str">
        <f>IF(D102="","",IF(D102&lt;Setup!$C$5-Setup!$C$6,"",IF(IF(ISNUMBER(Roster!$D102),Setup!$C$22&lt;=Roster!$D102,FALSE),"",IF(OR(IF(Setup!$C$15&lt;=Setup!$C$16,AND(MONTH(D102)&gt;=Setup!$C$15,MONTH(D102)&lt;=Setup!$C$16),OR(MONTH(D102)&gt;=Setup!$C$15,MONTH(D102)&lt;=Setup!$C$16)),IF(Setup!$C$15&lt;=Setup!$C$16,AND(MONTH(WORKDAY(D102,-(Setup!$C$13+Setup!$G$22),Setup!$C$39:$C$50))&gt;=Setup!$C$15,MONTH(WORKDAY(D102,-(Setup!$C$13+Setup!$G$22),Setup!$C$39:$C$50))&lt;=Setup!$C$16),OR(MONTH(WORKDAY(D102,-(Setup!$C$13+Setup!$G$22),Setup!$C$39:$C$50))&gt;=Setup!$C$15,MONTH(WORKDAY(D102,-(Setup!$C$13+Setup!$G$22),Setup!$C$39:$C$50))&lt;=Setup!$C$16))),WORKDAY(D102,-(Setup!$C$13+Setup!$G$22+Setup!$C$14),Setup!$C$39:$C$50),WORKDAY(D102,-(Setup!$C$13+Setup!$G$22),Setup!$C$39:$C$50))+(97*100+3)/10000000)))</f>
        <v/>
      </c>
      <c r="U102" t="str">
        <f>IF(E102="","",IF(E102&lt;Setup!$C$5-Setup!$C$6,"",IF(IF(ISNUMBER(Roster!$D102),Setup!$C$23&lt;=Roster!$D102,FALSE),"",IF(OR(IF(Setup!$C$15&lt;=Setup!$C$16,AND(MONTH(E102)&gt;=Setup!$C$15,MONTH(E102)&lt;=Setup!$C$16),OR(MONTH(E102)&gt;=Setup!$C$15,MONTH(E102)&lt;=Setup!$C$16)),IF(Setup!$C$15&lt;=Setup!$C$16,AND(MONTH(WORKDAY(E102,-(Setup!$C$13+Setup!$G$23),Setup!$C$39:$C$50))&gt;=Setup!$C$15,MONTH(WORKDAY(E102,-(Setup!$C$13+Setup!$G$23),Setup!$C$39:$C$50))&lt;=Setup!$C$16),OR(MONTH(WORKDAY(E102,-(Setup!$C$13+Setup!$G$23),Setup!$C$39:$C$50))&gt;=Setup!$C$15,MONTH(WORKDAY(E102,-(Setup!$C$13+Setup!$G$23),Setup!$C$39:$C$50))&lt;=Setup!$C$16))),WORKDAY(E102,-(Setup!$C$13+Setup!$G$23+Setup!$C$14),Setup!$C$39:$C$50),WORKDAY(E102,-(Setup!$C$13+Setup!$G$23),Setup!$C$39:$C$50))+(97*100+4)/10000000)))</f>
        <v/>
      </c>
      <c r="V102" t="str">
        <f>IF(F102="","",IF(F102&lt;Setup!$C$5-Setup!$C$6,"",IF(IF(ISNUMBER(Roster!$D102),Setup!$C$24&lt;=Roster!$D102,FALSE),"",IF(OR(IF(Setup!$C$15&lt;=Setup!$C$16,AND(MONTH(F102)&gt;=Setup!$C$15,MONTH(F102)&lt;=Setup!$C$16),OR(MONTH(F102)&gt;=Setup!$C$15,MONTH(F102)&lt;=Setup!$C$16)),IF(Setup!$C$15&lt;=Setup!$C$16,AND(MONTH(WORKDAY(F102,-(Setup!$C$13+Setup!$G$24),Setup!$C$39:$C$50))&gt;=Setup!$C$15,MONTH(WORKDAY(F102,-(Setup!$C$13+Setup!$G$24),Setup!$C$39:$C$50))&lt;=Setup!$C$16),OR(MONTH(WORKDAY(F102,-(Setup!$C$13+Setup!$G$24),Setup!$C$39:$C$50))&gt;=Setup!$C$15,MONTH(WORKDAY(F102,-(Setup!$C$13+Setup!$G$24),Setup!$C$39:$C$50))&lt;=Setup!$C$16))),WORKDAY(F102,-(Setup!$C$13+Setup!$G$24+Setup!$C$14),Setup!$C$39:$C$50),WORKDAY(F102,-(Setup!$C$13+Setup!$G$24),Setup!$C$39:$C$50))+(97*100+5)/10000000)))</f>
        <v/>
      </c>
      <c r="W102" t="str">
        <f>IF(G102="","",IF(G102&lt;Setup!$C$5-Setup!$C$6,"",IF(IF(ISNUMBER(Roster!$D102),Setup!$C$25&lt;=Roster!$D102,FALSE),"",IF(OR(IF(Setup!$C$15&lt;=Setup!$C$16,AND(MONTH(G102)&gt;=Setup!$C$15,MONTH(G102)&lt;=Setup!$C$16),OR(MONTH(G102)&gt;=Setup!$C$15,MONTH(G102)&lt;=Setup!$C$16)),IF(Setup!$C$15&lt;=Setup!$C$16,AND(MONTH(WORKDAY(G102,-(Setup!$C$13+Setup!$G$25),Setup!$C$39:$C$50))&gt;=Setup!$C$15,MONTH(WORKDAY(G102,-(Setup!$C$13+Setup!$G$25),Setup!$C$39:$C$50))&lt;=Setup!$C$16),OR(MONTH(WORKDAY(G102,-(Setup!$C$13+Setup!$G$25),Setup!$C$39:$C$50))&gt;=Setup!$C$15,MONTH(WORKDAY(G102,-(Setup!$C$13+Setup!$G$25),Setup!$C$39:$C$50))&lt;=Setup!$C$16))),WORKDAY(G102,-(Setup!$C$13+Setup!$G$25+Setup!$C$14),Setup!$C$39:$C$50),WORKDAY(G102,-(Setup!$C$13+Setup!$G$25),Setup!$C$39:$C$50))+(97*100+6)/10000000)))</f>
        <v/>
      </c>
      <c r="X102" t="str">
        <f>IF(H102="","",IF(H102&lt;Setup!$C$5-Setup!$C$6,"",IF(IF(ISNUMBER(Roster!$D102),Setup!$C$26&lt;=Roster!$D102,FALSE),"",IF(OR(IF(Setup!$C$15&lt;=Setup!$C$16,AND(MONTH(H102)&gt;=Setup!$C$15,MONTH(H102)&lt;=Setup!$C$16),OR(MONTH(H102)&gt;=Setup!$C$15,MONTH(H102)&lt;=Setup!$C$16)),IF(Setup!$C$15&lt;=Setup!$C$16,AND(MONTH(WORKDAY(H102,-(Setup!$C$13+Setup!$G$26),Setup!$C$39:$C$50))&gt;=Setup!$C$15,MONTH(WORKDAY(H102,-(Setup!$C$13+Setup!$G$26),Setup!$C$39:$C$50))&lt;=Setup!$C$16),OR(MONTH(WORKDAY(H102,-(Setup!$C$13+Setup!$G$26),Setup!$C$39:$C$50))&gt;=Setup!$C$15,MONTH(WORKDAY(H102,-(Setup!$C$13+Setup!$G$26),Setup!$C$39:$C$50))&lt;=Setup!$C$16))),WORKDAY(H102,-(Setup!$C$13+Setup!$G$26+Setup!$C$14),Setup!$C$39:$C$50),WORKDAY(H102,-(Setup!$C$13+Setup!$G$26),Setup!$C$39:$C$50))+(97*100+7)/10000000)))</f>
        <v/>
      </c>
      <c r="Y102" t="str">
        <f>IF(I102="","",IF(I102&lt;Setup!$C$5-Setup!$C$6,"",IF(IF(ISNUMBER(Roster!$D102),Setup!$C$27&lt;=Roster!$D102,FALSE),"",IF(OR(IF(Setup!$C$15&lt;=Setup!$C$16,AND(MONTH(I102)&gt;=Setup!$C$15,MONTH(I102)&lt;=Setup!$C$16),OR(MONTH(I102)&gt;=Setup!$C$15,MONTH(I102)&lt;=Setup!$C$16)),IF(Setup!$C$15&lt;=Setup!$C$16,AND(MONTH(WORKDAY(I102,-(Setup!$C$13+Setup!$G$27),Setup!$C$39:$C$50))&gt;=Setup!$C$15,MONTH(WORKDAY(I102,-(Setup!$C$13+Setup!$G$27),Setup!$C$39:$C$50))&lt;=Setup!$C$16),OR(MONTH(WORKDAY(I102,-(Setup!$C$13+Setup!$G$27),Setup!$C$39:$C$50))&gt;=Setup!$C$15,MONTH(WORKDAY(I102,-(Setup!$C$13+Setup!$G$27),Setup!$C$39:$C$50))&lt;=Setup!$C$16))),WORKDAY(I102,-(Setup!$C$13+Setup!$G$27+Setup!$C$14),Setup!$C$39:$C$50),WORKDAY(I102,-(Setup!$C$13+Setup!$G$27),Setup!$C$39:$C$50))+(97*100+8)/10000000)))</f>
        <v/>
      </c>
      <c r="Z102" t="str">
        <f>IF(J102="","",IF(J102&lt;Setup!$C$5-Setup!$C$6,"",IF(IF(ISNUMBER(Roster!$D102),Setup!$C$28&lt;=Roster!$D102,FALSE),"",IF(OR(IF(Setup!$C$15&lt;=Setup!$C$16,AND(MONTH(J102)&gt;=Setup!$C$15,MONTH(J102)&lt;=Setup!$C$16),OR(MONTH(J102)&gt;=Setup!$C$15,MONTH(J102)&lt;=Setup!$C$16)),IF(Setup!$C$15&lt;=Setup!$C$16,AND(MONTH(WORKDAY(J102,-(Setup!$C$13+Setup!$G$28),Setup!$C$39:$C$50))&gt;=Setup!$C$15,MONTH(WORKDAY(J102,-(Setup!$C$13+Setup!$G$28),Setup!$C$39:$C$50))&lt;=Setup!$C$16),OR(MONTH(WORKDAY(J102,-(Setup!$C$13+Setup!$G$28),Setup!$C$39:$C$50))&gt;=Setup!$C$15,MONTH(WORKDAY(J102,-(Setup!$C$13+Setup!$G$28),Setup!$C$39:$C$50))&lt;=Setup!$C$16))),WORKDAY(J102,-(Setup!$C$13+Setup!$G$28+Setup!$C$14),Setup!$C$39:$C$50),WORKDAY(J102,-(Setup!$C$13+Setup!$G$28),Setup!$C$39:$C$50))+(97*100+9)/10000000)))</f>
        <v/>
      </c>
      <c r="AA102" t="str">
        <f>IF(K102="","",IF(K102&lt;Setup!$C$5-Setup!$C$6,"",IF(IF(ISNUMBER(Roster!$D102),Setup!$C$29&lt;=Roster!$D102,FALSE),"",IF(OR(IF(Setup!$C$15&lt;=Setup!$C$16,AND(MONTH(K102)&gt;=Setup!$C$15,MONTH(K102)&lt;=Setup!$C$16),OR(MONTH(K102)&gt;=Setup!$C$15,MONTH(K102)&lt;=Setup!$C$16)),IF(Setup!$C$15&lt;=Setup!$C$16,AND(MONTH(WORKDAY(K102,-(Setup!$C$13+Setup!$G$29),Setup!$C$39:$C$50))&gt;=Setup!$C$15,MONTH(WORKDAY(K102,-(Setup!$C$13+Setup!$G$29),Setup!$C$39:$C$50))&lt;=Setup!$C$16),OR(MONTH(WORKDAY(K102,-(Setup!$C$13+Setup!$G$29),Setup!$C$39:$C$50))&gt;=Setup!$C$15,MONTH(WORKDAY(K102,-(Setup!$C$13+Setup!$G$29),Setup!$C$39:$C$50))&lt;=Setup!$C$16))),WORKDAY(K102,-(Setup!$C$13+Setup!$G$29+Setup!$C$14),Setup!$C$39:$C$50),WORKDAY(K102,-(Setup!$C$13+Setup!$G$29),Setup!$C$39:$C$50))+(97*100+10)/10000000)))</f>
        <v/>
      </c>
      <c r="AB102" t="str">
        <f>IF(L102="","",IF(L102&lt;Setup!$C$5-Setup!$C$6,"",IF(IF(ISNUMBER(Roster!$D102),Setup!$C$30&lt;=Roster!$D102,FALSE),"",IF(OR(IF(Setup!$C$15&lt;=Setup!$C$16,AND(MONTH(L102)&gt;=Setup!$C$15,MONTH(L102)&lt;=Setup!$C$16),OR(MONTH(L102)&gt;=Setup!$C$15,MONTH(L102)&lt;=Setup!$C$16)),IF(Setup!$C$15&lt;=Setup!$C$16,AND(MONTH(WORKDAY(L102,-(Setup!$C$13+Setup!$G$30),Setup!$C$39:$C$50))&gt;=Setup!$C$15,MONTH(WORKDAY(L102,-(Setup!$C$13+Setup!$G$30),Setup!$C$39:$C$50))&lt;=Setup!$C$16),OR(MONTH(WORKDAY(L102,-(Setup!$C$13+Setup!$G$30),Setup!$C$39:$C$50))&gt;=Setup!$C$15,MONTH(WORKDAY(L102,-(Setup!$C$13+Setup!$G$30),Setup!$C$39:$C$50))&lt;=Setup!$C$16))),WORKDAY(L102,-(Setup!$C$13+Setup!$G$30+Setup!$C$14),Setup!$C$39:$C$50),WORKDAY(L102,-(Setup!$C$13+Setup!$G$30),Setup!$C$39:$C$50))+(97*100+11)/10000000)))</f>
        <v/>
      </c>
      <c r="AC102" t="str">
        <f>IF(M102="","",IF(M102&lt;Setup!$C$5-Setup!$C$6,"",IF(IF(ISNUMBER(Roster!$D102),Setup!$C$31&lt;=Roster!$D102,FALSE),"",IF(OR(IF(Setup!$C$15&lt;=Setup!$C$16,AND(MONTH(M102)&gt;=Setup!$C$15,MONTH(M102)&lt;=Setup!$C$16),OR(MONTH(M102)&gt;=Setup!$C$15,MONTH(M102)&lt;=Setup!$C$16)),IF(Setup!$C$15&lt;=Setup!$C$16,AND(MONTH(WORKDAY(M102,-(Setup!$C$13+Setup!$G$31),Setup!$C$39:$C$50))&gt;=Setup!$C$15,MONTH(WORKDAY(M102,-(Setup!$C$13+Setup!$G$31),Setup!$C$39:$C$50))&lt;=Setup!$C$16),OR(MONTH(WORKDAY(M102,-(Setup!$C$13+Setup!$G$31),Setup!$C$39:$C$50))&gt;=Setup!$C$15,MONTH(WORKDAY(M102,-(Setup!$C$13+Setup!$G$31),Setup!$C$39:$C$50))&lt;=Setup!$C$16))),WORKDAY(M102,-(Setup!$C$13+Setup!$G$31+Setup!$C$14),Setup!$C$39:$C$50),WORKDAY(M102,-(Setup!$C$13+Setup!$G$31),Setup!$C$39:$C$50))+(97*100+12)/10000000)))</f>
        <v/>
      </c>
      <c r="AD102" t="str">
        <f>IF(N102="","",IF(N102&lt;Setup!$C$5-Setup!$C$6,"",IF(IF(ISNUMBER(Roster!$D102),Setup!$C$32&lt;=Roster!$D102,FALSE),"",IF(OR(IF(Setup!$C$15&lt;=Setup!$C$16,AND(MONTH(N102)&gt;=Setup!$C$15,MONTH(N102)&lt;=Setup!$C$16),OR(MONTH(N102)&gt;=Setup!$C$15,MONTH(N102)&lt;=Setup!$C$16)),IF(Setup!$C$15&lt;=Setup!$C$16,AND(MONTH(WORKDAY(N102,-(Setup!$C$13+Setup!$G$32),Setup!$C$39:$C$50))&gt;=Setup!$C$15,MONTH(WORKDAY(N102,-(Setup!$C$13+Setup!$G$32),Setup!$C$39:$C$50))&lt;=Setup!$C$16),OR(MONTH(WORKDAY(N102,-(Setup!$C$13+Setup!$G$32),Setup!$C$39:$C$50))&gt;=Setup!$C$15,MONTH(WORKDAY(N102,-(Setup!$C$13+Setup!$G$32),Setup!$C$39:$C$50))&lt;=Setup!$C$16))),WORKDAY(N102,-(Setup!$C$13+Setup!$G$32+Setup!$C$14),Setup!$C$39:$C$50),WORKDAY(N102,-(Setup!$C$13+Setup!$G$32),Setup!$C$39:$C$50))+(97*100+13)/10000000)))</f>
        <v/>
      </c>
      <c r="AE102" t="str">
        <f>IF(O102="","",IF(O102&lt;Setup!$C$5-Setup!$C$6,"",IF(IF(ISNUMBER(Roster!$D102),Setup!$C$33&lt;=Roster!$D102,FALSE),"",IF(OR(IF(Setup!$C$15&lt;=Setup!$C$16,AND(MONTH(O102)&gt;=Setup!$C$15,MONTH(O102)&lt;=Setup!$C$16),OR(MONTH(O102)&gt;=Setup!$C$15,MONTH(O102)&lt;=Setup!$C$16)),IF(Setup!$C$15&lt;=Setup!$C$16,AND(MONTH(WORKDAY(O102,-(Setup!$C$13+Setup!$G$33),Setup!$C$39:$C$50))&gt;=Setup!$C$15,MONTH(WORKDAY(O102,-(Setup!$C$13+Setup!$G$33),Setup!$C$39:$C$50))&lt;=Setup!$C$16),OR(MONTH(WORKDAY(O102,-(Setup!$C$13+Setup!$G$33),Setup!$C$39:$C$50))&gt;=Setup!$C$15,MONTH(WORKDAY(O102,-(Setup!$C$13+Setup!$G$33),Setup!$C$39:$C$50))&lt;=Setup!$C$16))),WORKDAY(O102,-(Setup!$C$13+Setup!$G$33+Setup!$C$14),Setup!$C$39:$C$50),WORKDAY(O102,-(Setup!$C$13+Setup!$G$33),Setup!$C$39:$C$50))+(97*100+14)/10000000)))</f>
        <v/>
      </c>
      <c r="AF102" t="str">
        <f>IF(P102="","",IF(P102&lt;Setup!$C$5-Setup!$C$6,"",IF(IF(ISNUMBER(Roster!$D102),Setup!$C$34&lt;=Roster!$D102,FALSE),"",IF(OR(IF(Setup!$C$15&lt;=Setup!$C$16,AND(MONTH(P102)&gt;=Setup!$C$15,MONTH(P102)&lt;=Setup!$C$16),OR(MONTH(P102)&gt;=Setup!$C$15,MONTH(P102)&lt;=Setup!$C$16)),IF(Setup!$C$15&lt;=Setup!$C$16,AND(MONTH(WORKDAY(P102,-(Setup!$C$13+Setup!$G$34),Setup!$C$39:$C$50))&gt;=Setup!$C$15,MONTH(WORKDAY(P102,-(Setup!$C$13+Setup!$G$34),Setup!$C$39:$C$50))&lt;=Setup!$C$16),OR(MONTH(WORKDAY(P102,-(Setup!$C$13+Setup!$G$34),Setup!$C$39:$C$50))&gt;=Setup!$C$15,MONTH(WORKDAY(P102,-(Setup!$C$13+Setup!$G$34),Setup!$C$39:$C$50))&lt;=Setup!$C$16))),WORKDAY(P102,-(Setup!$C$13+Setup!$G$34+Setup!$C$14),Setup!$C$39:$C$50),WORKDAY(P102,-(Setup!$C$13+Setup!$G$34),Setup!$C$39:$C$50))+(97*100+15)/10000000)))</f>
        <v/>
      </c>
      <c r="AH102" t="str">
        <f t="shared" si="9"/>
        <v/>
      </c>
      <c r="AI102" t="str">
        <f t="shared" si="10"/>
        <v/>
      </c>
      <c r="AK102" t="str">
        <f ca="1">IF(97&gt;$AK$2,"",SMALL($R$6:$AF$505,97))</f>
        <v/>
      </c>
      <c r="AL102" t="str">
        <f t="shared" ca="1" si="11"/>
        <v/>
      </c>
      <c r="AM102" t="str">
        <f t="shared" ca="1" si="12"/>
        <v/>
      </c>
      <c r="AN102" t="str">
        <f t="shared" ca="1" si="13"/>
        <v/>
      </c>
      <c r="AP102" t="str">
        <f>IF(ISNUMBER(Roster!$B102),MAX(1,YEAR(Setup!$C$5)-YEAR(Roster!$B102)+IF(EDATE(Roster!$B102,12*(YEAR(Setup!$C$5)-YEAR(Roster!$B102)))&lt;Setup!$C$5,1,0)),"")</f>
        <v/>
      </c>
      <c r="AQ102" s="32" t="str">
        <f>IF(AP102="","",EDATE(Roster!$B102,12*AP102))</f>
        <v/>
      </c>
      <c r="AR102" t="str">
        <f>IF(AQ102="","",IF(AQ102&lt;DATE(YEAR(Setup!$C$5)+1,MONTH(Setup!$C$5),DAY(Setup!$C$5)),AQ102+97/1000,""))</f>
        <v/>
      </c>
      <c r="AS102" t="str">
        <f t="shared" si="14"/>
        <v/>
      </c>
      <c r="AT102" t="str">
        <f>IF(AS102="","",IF(ISNUMBER(Roster!$D102),Roster!$D102&gt;=AP102,FALSE))</f>
        <v/>
      </c>
      <c r="AU102" t="str">
        <f t="shared" si="15"/>
        <v/>
      </c>
      <c r="AV102" t="str">
        <f ca="1">IF(97&gt;$AV$2,"",SMALL($AR$6:$AR$505,97))</f>
        <v/>
      </c>
      <c r="AW102" t="str">
        <f t="shared" ca="1" si="16"/>
        <v/>
      </c>
    </row>
    <row r="103" spans="2:49" x14ac:dyDescent="0.2">
      <c r="B103" s="32" t="str">
        <f>IF(AND(ISNUMBER(Roster!$B103),Setup!$B$20="Yes",ISNUMBER(Setup!$C$20)),EDATE(Roster!$B103,12*Setup!$C$20),"")</f>
        <v/>
      </c>
      <c r="C103" s="32" t="str">
        <f>IF(AND(ISNUMBER(Roster!$B103),Setup!$B$21="Yes",ISNUMBER(Setup!$C$21)),EDATE(Roster!$B103,12*Setup!$C$21),"")</f>
        <v/>
      </c>
      <c r="D103" s="32" t="str">
        <f>IF(AND(ISNUMBER(Roster!$B103),Setup!$B$22="Yes",ISNUMBER(Setup!$C$22)),EDATE(Roster!$B103,12*Setup!$C$22),"")</f>
        <v/>
      </c>
      <c r="E103" s="32" t="str">
        <f>IF(AND(ISNUMBER(Roster!$B103),Setup!$B$23="Yes",ISNUMBER(Setup!$C$23)),EDATE(Roster!$B103,12*Setup!$C$23),"")</f>
        <v/>
      </c>
      <c r="F103" s="32" t="str">
        <f>IF(AND(ISNUMBER(Roster!$B103),Setup!$B$24="Yes",ISNUMBER(Setup!$C$24)),EDATE(Roster!$B103,12*Setup!$C$24),"")</f>
        <v/>
      </c>
      <c r="G103" s="32" t="str">
        <f>IF(AND(ISNUMBER(Roster!$B103),Setup!$B$25="Yes",ISNUMBER(Setup!$C$25)),EDATE(Roster!$B103,12*Setup!$C$25),"")</f>
        <v/>
      </c>
      <c r="H103" s="32" t="str">
        <f>IF(AND(ISNUMBER(Roster!$B103),Setup!$B$26="Yes",ISNUMBER(Setup!$C$26)),EDATE(Roster!$B103,12*Setup!$C$26),"")</f>
        <v/>
      </c>
      <c r="I103" s="32" t="str">
        <f>IF(AND(ISNUMBER(Roster!$B103),Setup!$B$27="Yes",ISNUMBER(Setup!$C$27)),EDATE(Roster!$B103,12*Setup!$C$27),"")</f>
        <v/>
      </c>
      <c r="J103" s="32" t="str">
        <f>IF(AND(ISNUMBER(Roster!$B103),Setup!$B$28="Yes",ISNUMBER(Setup!$C$28)),EDATE(Roster!$B103,12*Setup!$C$28),"")</f>
        <v/>
      </c>
      <c r="K103" s="32" t="str">
        <f>IF(AND(ISNUMBER(Roster!$B103),Setup!$B$29="Yes",ISNUMBER(Setup!$C$29)),EDATE(Roster!$B103,12*Setup!$C$29),"")</f>
        <v/>
      </c>
      <c r="L103" s="32" t="str">
        <f>IF(AND(ISNUMBER(Roster!$B103),Setup!$B$30="Yes",ISNUMBER(Setup!$C$30)),EDATE(Roster!$B103,12*Setup!$C$30),"")</f>
        <v/>
      </c>
      <c r="M103" s="32" t="str">
        <f>IF(AND(ISNUMBER(Roster!$B103),Setup!$B$31="Yes",ISNUMBER(Setup!$C$31)),EDATE(Roster!$B103,12*Setup!$C$31),"")</f>
        <v/>
      </c>
      <c r="N103" s="32" t="str">
        <f>IF(AND(ISNUMBER(Roster!$B103),Setup!$B$32="Yes",ISNUMBER(Setup!$C$32)),EDATE(Roster!$B103,12*Setup!$C$32),"")</f>
        <v/>
      </c>
      <c r="O103" s="32" t="str">
        <f>IF(AND(ISNUMBER(Roster!$B103),Setup!$B$33="Yes",ISNUMBER(Setup!$C$33)),EDATE(Roster!$B103,12*Setup!$C$33),"")</f>
        <v/>
      </c>
      <c r="P103" s="32" t="str">
        <f>IF(AND(ISNUMBER(Roster!$B103),Setup!$B$34="Yes",ISNUMBER(Setup!$C$34)),EDATE(Roster!$B103,12*Setup!$C$34),"")</f>
        <v/>
      </c>
      <c r="R103" t="str">
        <f>IF(B103="","",IF(B103&lt;Setup!$C$5-Setup!$C$6,"",IF(IF(ISNUMBER(Roster!$D103),Setup!$C$20&lt;=Roster!$D103,FALSE),"",IF(OR(IF(Setup!$C$15&lt;=Setup!$C$16,AND(MONTH(B103)&gt;=Setup!$C$15,MONTH(B103)&lt;=Setup!$C$16),OR(MONTH(B103)&gt;=Setup!$C$15,MONTH(B103)&lt;=Setup!$C$16)),IF(Setup!$C$15&lt;=Setup!$C$16,AND(MONTH(WORKDAY(B103,-(Setup!$C$13+Setup!$G$20),Setup!$C$39:$C$50))&gt;=Setup!$C$15,MONTH(WORKDAY(B103,-(Setup!$C$13+Setup!$G$20),Setup!$C$39:$C$50))&lt;=Setup!$C$16),OR(MONTH(WORKDAY(B103,-(Setup!$C$13+Setup!$G$20),Setup!$C$39:$C$50))&gt;=Setup!$C$15,MONTH(WORKDAY(B103,-(Setup!$C$13+Setup!$G$20),Setup!$C$39:$C$50))&lt;=Setup!$C$16))),WORKDAY(B103,-(Setup!$C$13+Setup!$G$20+Setup!$C$14),Setup!$C$39:$C$50),WORKDAY(B103,-(Setup!$C$13+Setup!$G$20),Setup!$C$39:$C$50))+(98*100+1)/10000000)))</f>
        <v/>
      </c>
      <c r="S103" t="str">
        <f>IF(C103="","",IF(C103&lt;Setup!$C$5-Setup!$C$6,"",IF(IF(ISNUMBER(Roster!$D103),Setup!$C$21&lt;=Roster!$D103,FALSE),"",IF(OR(IF(Setup!$C$15&lt;=Setup!$C$16,AND(MONTH(C103)&gt;=Setup!$C$15,MONTH(C103)&lt;=Setup!$C$16),OR(MONTH(C103)&gt;=Setup!$C$15,MONTH(C103)&lt;=Setup!$C$16)),IF(Setup!$C$15&lt;=Setup!$C$16,AND(MONTH(WORKDAY(C103,-(Setup!$C$13+Setup!$G$21),Setup!$C$39:$C$50))&gt;=Setup!$C$15,MONTH(WORKDAY(C103,-(Setup!$C$13+Setup!$G$21),Setup!$C$39:$C$50))&lt;=Setup!$C$16),OR(MONTH(WORKDAY(C103,-(Setup!$C$13+Setup!$G$21),Setup!$C$39:$C$50))&gt;=Setup!$C$15,MONTH(WORKDAY(C103,-(Setup!$C$13+Setup!$G$21),Setup!$C$39:$C$50))&lt;=Setup!$C$16))),WORKDAY(C103,-(Setup!$C$13+Setup!$G$21+Setup!$C$14),Setup!$C$39:$C$50),WORKDAY(C103,-(Setup!$C$13+Setup!$G$21),Setup!$C$39:$C$50))+(98*100+2)/10000000)))</f>
        <v/>
      </c>
      <c r="T103" t="str">
        <f>IF(D103="","",IF(D103&lt;Setup!$C$5-Setup!$C$6,"",IF(IF(ISNUMBER(Roster!$D103),Setup!$C$22&lt;=Roster!$D103,FALSE),"",IF(OR(IF(Setup!$C$15&lt;=Setup!$C$16,AND(MONTH(D103)&gt;=Setup!$C$15,MONTH(D103)&lt;=Setup!$C$16),OR(MONTH(D103)&gt;=Setup!$C$15,MONTH(D103)&lt;=Setup!$C$16)),IF(Setup!$C$15&lt;=Setup!$C$16,AND(MONTH(WORKDAY(D103,-(Setup!$C$13+Setup!$G$22),Setup!$C$39:$C$50))&gt;=Setup!$C$15,MONTH(WORKDAY(D103,-(Setup!$C$13+Setup!$G$22),Setup!$C$39:$C$50))&lt;=Setup!$C$16),OR(MONTH(WORKDAY(D103,-(Setup!$C$13+Setup!$G$22),Setup!$C$39:$C$50))&gt;=Setup!$C$15,MONTH(WORKDAY(D103,-(Setup!$C$13+Setup!$G$22),Setup!$C$39:$C$50))&lt;=Setup!$C$16))),WORKDAY(D103,-(Setup!$C$13+Setup!$G$22+Setup!$C$14),Setup!$C$39:$C$50),WORKDAY(D103,-(Setup!$C$13+Setup!$G$22),Setup!$C$39:$C$50))+(98*100+3)/10000000)))</f>
        <v/>
      </c>
      <c r="U103" t="str">
        <f>IF(E103="","",IF(E103&lt;Setup!$C$5-Setup!$C$6,"",IF(IF(ISNUMBER(Roster!$D103),Setup!$C$23&lt;=Roster!$D103,FALSE),"",IF(OR(IF(Setup!$C$15&lt;=Setup!$C$16,AND(MONTH(E103)&gt;=Setup!$C$15,MONTH(E103)&lt;=Setup!$C$16),OR(MONTH(E103)&gt;=Setup!$C$15,MONTH(E103)&lt;=Setup!$C$16)),IF(Setup!$C$15&lt;=Setup!$C$16,AND(MONTH(WORKDAY(E103,-(Setup!$C$13+Setup!$G$23),Setup!$C$39:$C$50))&gt;=Setup!$C$15,MONTH(WORKDAY(E103,-(Setup!$C$13+Setup!$G$23),Setup!$C$39:$C$50))&lt;=Setup!$C$16),OR(MONTH(WORKDAY(E103,-(Setup!$C$13+Setup!$G$23),Setup!$C$39:$C$50))&gt;=Setup!$C$15,MONTH(WORKDAY(E103,-(Setup!$C$13+Setup!$G$23),Setup!$C$39:$C$50))&lt;=Setup!$C$16))),WORKDAY(E103,-(Setup!$C$13+Setup!$G$23+Setup!$C$14),Setup!$C$39:$C$50),WORKDAY(E103,-(Setup!$C$13+Setup!$G$23),Setup!$C$39:$C$50))+(98*100+4)/10000000)))</f>
        <v/>
      </c>
      <c r="V103" t="str">
        <f>IF(F103="","",IF(F103&lt;Setup!$C$5-Setup!$C$6,"",IF(IF(ISNUMBER(Roster!$D103),Setup!$C$24&lt;=Roster!$D103,FALSE),"",IF(OR(IF(Setup!$C$15&lt;=Setup!$C$16,AND(MONTH(F103)&gt;=Setup!$C$15,MONTH(F103)&lt;=Setup!$C$16),OR(MONTH(F103)&gt;=Setup!$C$15,MONTH(F103)&lt;=Setup!$C$16)),IF(Setup!$C$15&lt;=Setup!$C$16,AND(MONTH(WORKDAY(F103,-(Setup!$C$13+Setup!$G$24),Setup!$C$39:$C$50))&gt;=Setup!$C$15,MONTH(WORKDAY(F103,-(Setup!$C$13+Setup!$G$24),Setup!$C$39:$C$50))&lt;=Setup!$C$16),OR(MONTH(WORKDAY(F103,-(Setup!$C$13+Setup!$G$24),Setup!$C$39:$C$50))&gt;=Setup!$C$15,MONTH(WORKDAY(F103,-(Setup!$C$13+Setup!$G$24),Setup!$C$39:$C$50))&lt;=Setup!$C$16))),WORKDAY(F103,-(Setup!$C$13+Setup!$G$24+Setup!$C$14),Setup!$C$39:$C$50),WORKDAY(F103,-(Setup!$C$13+Setup!$G$24),Setup!$C$39:$C$50))+(98*100+5)/10000000)))</f>
        <v/>
      </c>
      <c r="W103" t="str">
        <f>IF(G103="","",IF(G103&lt;Setup!$C$5-Setup!$C$6,"",IF(IF(ISNUMBER(Roster!$D103),Setup!$C$25&lt;=Roster!$D103,FALSE),"",IF(OR(IF(Setup!$C$15&lt;=Setup!$C$16,AND(MONTH(G103)&gt;=Setup!$C$15,MONTH(G103)&lt;=Setup!$C$16),OR(MONTH(G103)&gt;=Setup!$C$15,MONTH(G103)&lt;=Setup!$C$16)),IF(Setup!$C$15&lt;=Setup!$C$16,AND(MONTH(WORKDAY(G103,-(Setup!$C$13+Setup!$G$25),Setup!$C$39:$C$50))&gt;=Setup!$C$15,MONTH(WORKDAY(G103,-(Setup!$C$13+Setup!$G$25),Setup!$C$39:$C$50))&lt;=Setup!$C$16),OR(MONTH(WORKDAY(G103,-(Setup!$C$13+Setup!$G$25),Setup!$C$39:$C$50))&gt;=Setup!$C$15,MONTH(WORKDAY(G103,-(Setup!$C$13+Setup!$G$25),Setup!$C$39:$C$50))&lt;=Setup!$C$16))),WORKDAY(G103,-(Setup!$C$13+Setup!$G$25+Setup!$C$14),Setup!$C$39:$C$50),WORKDAY(G103,-(Setup!$C$13+Setup!$G$25),Setup!$C$39:$C$50))+(98*100+6)/10000000)))</f>
        <v/>
      </c>
      <c r="X103" t="str">
        <f>IF(H103="","",IF(H103&lt;Setup!$C$5-Setup!$C$6,"",IF(IF(ISNUMBER(Roster!$D103),Setup!$C$26&lt;=Roster!$D103,FALSE),"",IF(OR(IF(Setup!$C$15&lt;=Setup!$C$16,AND(MONTH(H103)&gt;=Setup!$C$15,MONTH(H103)&lt;=Setup!$C$16),OR(MONTH(H103)&gt;=Setup!$C$15,MONTH(H103)&lt;=Setup!$C$16)),IF(Setup!$C$15&lt;=Setup!$C$16,AND(MONTH(WORKDAY(H103,-(Setup!$C$13+Setup!$G$26),Setup!$C$39:$C$50))&gt;=Setup!$C$15,MONTH(WORKDAY(H103,-(Setup!$C$13+Setup!$G$26),Setup!$C$39:$C$50))&lt;=Setup!$C$16),OR(MONTH(WORKDAY(H103,-(Setup!$C$13+Setup!$G$26),Setup!$C$39:$C$50))&gt;=Setup!$C$15,MONTH(WORKDAY(H103,-(Setup!$C$13+Setup!$G$26),Setup!$C$39:$C$50))&lt;=Setup!$C$16))),WORKDAY(H103,-(Setup!$C$13+Setup!$G$26+Setup!$C$14),Setup!$C$39:$C$50),WORKDAY(H103,-(Setup!$C$13+Setup!$G$26),Setup!$C$39:$C$50))+(98*100+7)/10000000)))</f>
        <v/>
      </c>
      <c r="Y103" t="str">
        <f>IF(I103="","",IF(I103&lt;Setup!$C$5-Setup!$C$6,"",IF(IF(ISNUMBER(Roster!$D103),Setup!$C$27&lt;=Roster!$D103,FALSE),"",IF(OR(IF(Setup!$C$15&lt;=Setup!$C$16,AND(MONTH(I103)&gt;=Setup!$C$15,MONTH(I103)&lt;=Setup!$C$16),OR(MONTH(I103)&gt;=Setup!$C$15,MONTH(I103)&lt;=Setup!$C$16)),IF(Setup!$C$15&lt;=Setup!$C$16,AND(MONTH(WORKDAY(I103,-(Setup!$C$13+Setup!$G$27),Setup!$C$39:$C$50))&gt;=Setup!$C$15,MONTH(WORKDAY(I103,-(Setup!$C$13+Setup!$G$27),Setup!$C$39:$C$50))&lt;=Setup!$C$16),OR(MONTH(WORKDAY(I103,-(Setup!$C$13+Setup!$G$27),Setup!$C$39:$C$50))&gt;=Setup!$C$15,MONTH(WORKDAY(I103,-(Setup!$C$13+Setup!$G$27),Setup!$C$39:$C$50))&lt;=Setup!$C$16))),WORKDAY(I103,-(Setup!$C$13+Setup!$G$27+Setup!$C$14),Setup!$C$39:$C$50),WORKDAY(I103,-(Setup!$C$13+Setup!$G$27),Setup!$C$39:$C$50))+(98*100+8)/10000000)))</f>
        <v/>
      </c>
      <c r="Z103" t="str">
        <f>IF(J103="","",IF(J103&lt;Setup!$C$5-Setup!$C$6,"",IF(IF(ISNUMBER(Roster!$D103),Setup!$C$28&lt;=Roster!$D103,FALSE),"",IF(OR(IF(Setup!$C$15&lt;=Setup!$C$16,AND(MONTH(J103)&gt;=Setup!$C$15,MONTH(J103)&lt;=Setup!$C$16),OR(MONTH(J103)&gt;=Setup!$C$15,MONTH(J103)&lt;=Setup!$C$16)),IF(Setup!$C$15&lt;=Setup!$C$16,AND(MONTH(WORKDAY(J103,-(Setup!$C$13+Setup!$G$28),Setup!$C$39:$C$50))&gt;=Setup!$C$15,MONTH(WORKDAY(J103,-(Setup!$C$13+Setup!$G$28),Setup!$C$39:$C$50))&lt;=Setup!$C$16),OR(MONTH(WORKDAY(J103,-(Setup!$C$13+Setup!$G$28),Setup!$C$39:$C$50))&gt;=Setup!$C$15,MONTH(WORKDAY(J103,-(Setup!$C$13+Setup!$G$28),Setup!$C$39:$C$50))&lt;=Setup!$C$16))),WORKDAY(J103,-(Setup!$C$13+Setup!$G$28+Setup!$C$14),Setup!$C$39:$C$50),WORKDAY(J103,-(Setup!$C$13+Setup!$G$28),Setup!$C$39:$C$50))+(98*100+9)/10000000)))</f>
        <v/>
      </c>
      <c r="AA103" t="str">
        <f>IF(K103="","",IF(K103&lt;Setup!$C$5-Setup!$C$6,"",IF(IF(ISNUMBER(Roster!$D103),Setup!$C$29&lt;=Roster!$D103,FALSE),"",IF(OR(IF(Setup!$C$15&lt;=Setup!$C$16,AND(MONTH(K103)&gt;=Setup!$C$15,MONTH(K103)&lt;=Setup!$C$16),OR(MONTH(K103)&gt;=Setup!$C$15,MONTH(K103)&lt;=Setup!$C$16)),IF(Setup!$C$15&lt;=Setup!$C$16,AND(MONTH(WORKDAY(K103,-(Setup!$C$13+Setup!$G$29),Setup!$C$39:$C$50))&gt;=Setup!$C$15,MONTH(WORKDAY(K103,-(Setup!$C$13+Setup!$G$29),Setup!$C$39:$C$50))&lt;=Setup!$C$16),OR(MONTH(WORKDAY(K103,-(Setup!$C$13+Setup!$G$29),Setup!$C$39:$C$50))&gt;=Setup!$C$15,MONTH(WORKDAY(K103,-(Setup!$C$13+Setup!$G$29),Setup!$C$39:$C$50))&lt;=Setup!$C$16))),WORKDAY(K103,-(Setup!$C$13+Setup!$G$29+Setup!$C$14),Setup!$C$39:$C$50),WORKDAY(K103,-(Setup!$C$13+Setup!$G$29),Setup!$C$39:$C$50))+(98*100+10)/10000000)))</f>
        <v/>
      </c>
      <c r="AB103" t="str">
        <f>IF(L103="","",IF(L103&lt;Setup!$C$5-Setup!$C$6,"",IF(IF(ISNUMBER(Roster!$D103),Setup!$C$30&lt;=Roster!$D103,FALSE),"",IF(OR(IF(Setup!$C$15&lt;=Setup!$C$16,AND(MONTH(L103)&gt;=Setup!$C$15,MONTH(L103)&lt;=Setup!$C$16),OR(MONTH(L103)&gt;=Setup!$C$15,MONTH(L103)&lt;=Setup!$C$16)),IF(Setup!$C$15&lt;=Setup!$C$16,AND(MONTH(WORKDAY(L103,-(Setup!$C$13+Setup!$G$30),Setup!$C$39:$C$50))&gt;=Setup!$C$15,MONTH(WORKDAY(L103,-(Setup!$C$13+Setup!$G$30),Setup!$C$39:$C$50))&lt;=Setup!$C$16),OR(MONTH(WORKDAY(L103,-(Setup!$C$13+Setup!$G$30),Setup!$C$39:$C$50))&gt;=Setup!$C$15,MONTH(WORKDAY(L103,-(Setup!$C$13+Setup!$G$30),Setup!$C$39:$C$50))&lt;=Setup!$C$16))),WORKDAY(L103,-(Setup!$C$13+Setup!$G$30+Setup!$C$14),Setup!$C$39:$C$50),WORKDAY(L103,-(Setup!$C$13+Setup!$G$30),Setup!$C$39:$C$50))+(98*100+11)/10000000)))</f>
        <v/>
      </c>
      <c r="AC103" t="str">
        <f>IF(M103="","",IF(M103&lt;Setup!$C$5-Setup!$C$6,"",IF(IF(ISNUMBER(Roster!$D103),Setup!$C$31&lt;=Roster!$D103,FALSE),"",IF(OR(IF(Setup!$C$15&lt;=Setup!$C$16,AND(MONTH(M103)&gt;=Setup!$C$15,MONTH(M103)&lt;=Setup!$C$16),OR(MONTH(M103)&gt;=Setup!$C$15,MONTH(M103)&lt;=Setup!$C$16)),IF(Setup!$C$15&lt;=Setup!$C$16,AND(MONTH(WORKDAY(M103,-(Setup!$C$13+Setup!$G$31),Setup!$C$39:$C$50))&gt;=Setup!$C$15,MONTH(WORKDAY(M103,-(Setup!$C$13+Setup!$G$31),Setup!$C$39:$C$50))&lt;=Setup!$C$16),OR(MONTH(WORKDAY(M103,-(Setup!$C$13+Setup!$G$31),Setup!$C$39:$C$50))&gt;=Setup!$C$15,MONTH(WORKDAY(M103,-(Setup!$C$13+Setup!$G$31),Setup!$C$39:$C$50))&lt;=Setup!$C$16))),WORKDAY(M103,-(Setup!$C$13+Setup!$G$31+Setup!$C$14),Setup!$C$39:$C$50),WORKDAY(M103,-(Setup!$C$13+Setup!$G$31),Setup!$C$39:$C$50))+(98*100+12)/10000000)))</f>
        <v/>
      </c>
      <c r="AD103" t="str">
        <f>IF(N103="","",IF(N103&lt;Setup!$C$5-Setup!$C$6,"",IF(IF(ISNUMBER(Roster!$D103),Setup!$C$32&lt;=Roster!$D103,FALSE),"",IF(OR(IF(Setup!$C$15&lt;=Setup!$C$16,AND(MONTH(N103)&gt;=Setup!$C$15,MONTH(N103)&lt;=Setup!$C$16),OR(MONTH(N103)&gt;=Setup!$C$15,MONTH(N103)&lt;=Setup!$C$16)),IF(Setup!$C$15&lt;=Setup!$C$16,AND(MONTH(WORKDAY(N103,-(Setup!$C$13+Setup!$G$32),Setup!$C$39:$C$50))&gt;=Setup!$C$15,MONTH(WORKDAY(N103,-(Setup!$C$13+Setup!$G$32),Setup!$C$39:$C$50))&lt;=Setup!$C$16),OR(MONTH(WORKDAY(N103,-(Setup!$C$13+Setup!$G$32),Setup!$C$39:$C$50))&gt;=Setup!$C$15,MONTH(WORKDAY(N103,-(Setup!$C$13+Setup!$G$32),Setup!$C$39:$C$50))&lt;=Setup!$C$16))),WORKDAY(N103,-(Setup!$C$13+Setup!$G$32+Setup!$C$14),Setup!$C$39:$C$50),WORKDAY(N103,-(Setup!$C$13+Setup!$G$32),Setup!$C$39:$C$50))+(98*100+13)/10000000)))</f>
        <v/>
      </c>
      <c r="AE103" t="str">
        <f>IF(O103="","",IF(O103&lt;Setup!$C$5-Setup!$C$6,"",IF(IF(ISNUMBER(Roster!$D103),Setup!$C$33&lt;=Roster!$D103,FALSE),"",IF(OR(IF(Setup!$C$15&lt;=Setup!$C$16,AND(MONTH(O103)&gt;=Setup!$C$15,MONTH(O103)&lt;=Setup!$C$16),OR(MONTH(O103)&gt;=Setup!$C$15,MONTH(O103)&lt;=Setup!$C$16)),IF(Setup!$C$15&lt;=Setup!$C$16,AND(MONTH(WORKDAY(O103,-(Setup!$C$13+Setup!$G$33),Setup!$C$39:$C$50))&gt;=Setup!$C$15,MONTH(WORKDAY(O103,-(Setup!$C$13+Setup!$G$33),Setup!$C$39:$C$50))&lt;=Setup!$C$16),OR(MONTH(WORKDAY(O103,-(Setup!$C$13+Setup!$G$33),Setup!$C$39:$C$50))&gt;=Setup!$C$15,MONTH(WORKDAY(O103,-(Setup!$C$13+Setup!$G$33),Setup!$C$39:$C$50))&lt;=Setup!$C$16))),WORKDAY(O103,-(Setup!$C$13+Setup!$G$33+Setup!$C$14),Setup!$C$39:$C$50),WORKDAY(O103,-(Setup!$C$13+Setup!$G$33),Setup!$C$39:$C$50))+(98*100+14)/10000000)))</f>
        <v/>
      </c>
      <c r="AF103" t="str">
        <f>IF(P103="","",IF(P103&lt;Setup!$C$5-Setup!$C$6,"",IF(IF(ISNUMBER(Roster!$D103),Setup!$C$34&lt;=Roster!$D103,FALSE),"",IF(OR(IF(Setup!$C$15&lt;=Setup!$C$16,AND(MONTH(P103)&gt;=Setup!$C$15,MONTH(P103)&lt;=Setup!$C$16),OR(MONTH(P103)&gt;=Setup!$C$15,MONTH(P103)&lt;=Setup!$C$16)),IF(Setup!$C$15&lt;=Setup!$C$16,AND(MONTH(WORKDAY(P103,-(Setup!$C$13+Setup!$G$34),Setup!$C$39:$C$50))&gt;=Setup!$C$15,MONTH(WORKDAY(P103,-(Setup!$C$13+Setup!$G$34),Setup!$C$39:$C$50))&lt;=Setup!$C$16),OR(MONTH(WORKDAY(P103,-(Setup!$C$13+Setup!$G$34),Setup!$C$39:$C$50))&gt;=Setup!$C$15,MONTH(WORKDAY(P103,-(Setup!$C$13+Setup!$G$34),Setup!$C$39:$C$50))&lt;=Setup!$C$16))),WORKDAY(P103,-(Setup!$C$13+Setup!$G$34+Setup!$C$14),Setup!$C$39:$C$50),WORKDAY(P103,-(Setup!$C$13+Setup!$G$34),Setup!$C$39:$C$50))+(98*100+15)/10000000)))</f>
        <v/>
      </c>
      <c r="AH103" t="str">
        <f t="shared" si="9"/>
        <v/>
      </c>
      <c r="AI103" t="str">
        <f t="shared" si="10"/>
        <v/>
      </c>
      <c r="AK103" t="str">
        <f ca="1">IF(98&gt;$AK$2,"",SMALL($R$6:$AF$505,98))</f>
        <v/>
      </c>
      <c r="AL103" t="str">
        <f t="shared" ca="1" si="11"/>
        <v/>
      </c>
      <c r="AM103" t="str">
        <f t="shared" ca="1" si="12"/>
        <v/>
      </c>
      <c r="AN103" t="str">
        <f t="shared" ca="1" si="13"/>
        <v/>
      </c>
      <c r="AP103" t="str">
        <f>IF(ISNUMBER(Roster!$B103),MAX(1,YEAR(Setup!$C$5)-YEAR(Roster!$B103)+IF(EDATE(Roster!$B103,12*(YEAR(Setup!$C$5)-YEAR(Roster!$B103)))&lt;Setup!$C$5,1,0)),"")</f>
        <v/>
      </c>
      <c r="AQ103" s="32" t="str">
        <f>IF(AP103="","",EDATE(Roster!$B103,12*AP103))</f>
        <v/>
      </c>
      <c r="AR103" t="str">
        <f>IF(AQ103="","",IF(AQ103&lt;DATE(YEAR(Setup!$C$5)+1,MONTH(Setup!$C$5),DAY(Setup!$C$5)),AQ103+98/1000,""))</f>
        <v/>
      </c>
      <c r="AS103" t="str">
        <f t="shared" si="14"/>
        <v/>
      </c>
      <c r="AT103" t="str">
        <f>IF(AS103="","",IF(ISNUMBER(Roster!$D103),Roster!$D103&gt;=AP103,FALSE))</f>
        <v/>
      </c>
      <c r="AU103" t="str">
        <f t="shared" si="15"/>
        <v/>
      </c>
      <c r="AV103" t="str">
        <f ca="1">IF(98&gt;$AV$2,"",SMALL($AR$6:$AR$505,98))</f>
        <v/>
      </c>
      <c r="AW103" t="str">
        <f t="shared" ca="1" si="16"/>
        <v/>
      </c>
    </row>
    <row r="104" spans="2:49" x14ac:dyDescent="0.2">
      <c r="B104" s="32" t="str">
        <f>IF(AND(ISNUMBER(Roster!$B104),Setup!$B$20="Yes",ISNUMBER(Setup!$C$20)),EDATE(Roster!$B104,12*Setup!$C$20),"")</f>
        <v/>
      </c>
      <c r="C104" s="32" t="str">
        <f>IF(AND(ISNUMBER(Roster!$B104),Setup!$B$21="Yes",ISNUMBER(Setup!$C$21)),EDATE(Roster!$B104,12*Setup!$C$21),"")</f>
        <v/>
      </c>
      <c r="D104" s="32" t="str">
        <f>IF(AND(ISNUMBER(Roster!$B104),Setup!$B$22="Yes",ISNUMBER(Setup!$C$22)),EDATE(Roster!$B104,12*Setup!$C$22),"")</f>
        <v/>
      </c>
      <c r="E104" s="32" t="str">
        <f>IF(AND(ISNUMBER(Roster!$B104),Setup!$B$23="Yes",ISNUMBER(Setup!$C$23)),EDATE(Roster!$B104,12*Setup!$C$23),"")</f>
        <v/>
      </c>
      <c r="F104" s="32" t="str">
        <f>IF(AND(ISNUMBER(Roster!$B104),Setup!$B$24="Yes",ISNUMBER(Setup!$C$24)),EDATE(Roster!$B104,12*Setup!$C$24),"")</f>
        <v/>
      </c>
      <c r="G104" s="32" t="str">
        <f>IF(AND(ISNUMBER(Roster!$B104),Setup!$B$25="Yes",ISNUMBER(Setup!$C$25)),EDATE(Roster!$B104,12*Setup!$C$25),"")</f>
        <v/>
      </c>
      <c r="H104" s="32" t="str">
        <f>IF(AND(ISNUMBER(Roster!$B104),Setup!$B$26="Yes",ISNUMBER(Setup!$C$26)),EDATE(Roster!$B104,12*Setup!$C$26),"")</f>
        <v/>
      </c>
      <c r="I104" s="32" t="str">
        <f>IF(AND(ISNUMBER(Roster!$B104),Setup!$B$27="Yes",ISNUMBER(Setup!$C$27)),EDATE(Roster!$B104,12*Setup!$C$27),"")</f>
        <v/>
      </c>
      <c r="J104" s="32" t="str">
        <f>IF(AND(ISNUMBER(Roster!$B104),Setup!$B$28="Yes",ISNUMBER(Setup!$C$28)),EDATE(Roster!$B104,12*Setup!$C$28),"")</f>
        <v/>
      </c>
      <c r="K104" s="32" t="str">
        <f>IF(AND(ISNUMBER(Roster!$B104),Setup!$B$29="Yes",ISNUMBER(Setup!$C$29)),EDATE(Roster!$B104,12*Setup!$C$29),"")</f>
        <v/>
      </c>
      <c r="L104" s="32" t="str">
        <f>IF(AND(ISNUMBER(Roster!$B104),Setup!$B$30="Yes",ISNUMBER(Setup!$C$30)),EDATE(Roster!$B104,12*Setup!$C$30),"")</f>
        <v/>
      </c>
      <c r="M104" s="32" t="str">
        <f>IF(AND(ISNUMBER(Roster!$B104),Setup!$B$31="Yes",ISNUMBER(Setup!$C$31)),EDATE(Roster!$B104,12*Setup!$C$31),"")</f>
        <v/>
      </c>
      <c r="N104" s="32" t="str">
        <f>IF(AND(ISNUMBER(Roster!$B104),Setup!$B$32="Yes",ISNUMBER(Setup!$C$32)),EDATE(Roster!$B104,12*Setup!$C$32),"")</f>
        <v/>
      </c>
      <c r="O104" s="32" t="str">
        <f>IF(AND(ISNUMBER(Roster!$B104),Setup!$B$33="Yes",ISNUMBER(Setup!$C$33)),EDATE(Roster!$B104,12*Setup!$C$33),"")</f>
        <v/>
      </c>
      <c r="P104" s="32" t="str">
        <f>IF(AND(ISNUMBER(Roster!$B104),Setup!$B$34="Yes",ISNUMBER(Setup!$C$34)),EDATE(Roster!$B104,12*Setup!$C$34),"")</f>
        <v/>
      </c>
      <c r="R104" t="str">
        <f>IF(B104="","",IF(B104&lt;Setup!$C$5-Setup!$C$6,"",IF(IF(ISNUMBER(Roster!$D104),Setup!$C$20&lt;=Roster!$D104,FALSE),"",IF(OR(IF(Setup!$C$15&lt;=Setup!$C$16,AND(MONTH(B104)&gt;=Setup!$C$15,MONTH(B104)&lt;=Setup!$C$16),OR(MONTH(B104)&gt;=Setup!$C$15,MONTH(B104)&lt;=Setup!$C$16)),IF(Setup!$C$15&lt;=Setup!$C$16,AND(MONTH(WORKDAY(B104,-(Setup!$C$13+Setup!$G$20),Setup!$C$39:$C$50))&gt;=Setup!$C$15,MONTH(WORKDAY(B104,-(Setup!$C$13+Setup!$G$20),Setup!$C$39:$C$50))&lt;=Setup!$C$16),OR(MONTH(WORKDAY(B104,-(Setup!$C$13+Setup!$G$20),Setup!$C$39:$C$50))&gt;=Setup!$C$15,MONTH(WORKDAY(B104,-(Setup!$C$13+Setup!$G$20),Setup!$C$39:$C$50))&lt;=Setup!$C$16))),WORKDAY(B104,-(Setup!$C$13+Setup!$G$20+Setup!$C$14),Setup!$C$39:$C$50),WORKDAY(B104,-(Setup!$C$13+Setup!$G$20),Setup!$C$39:$C$50))+(99*100+1)/10000000)))</f>
        <v/>
      </c>
      <c r="S104" t="str">
        <f>IF(C104="","",IF(C104&lt;Setup!$C$5-Setup!$C$6,"",IF(IF(ISNUMBER(Roster!$D104),Setup!$C$21&lt;=Roster!$D104,FALSE),"",IF(OR(IF(Setup!$C$15&lt;=Setup!$C$16,AND(MONTH(C104)&gt;=Setup!$C$15,MONTH(C104)&lt;=Setup!$C$16),OR(MONTH(C104)&gt;=Setup!$C$15,MONTH(C104)&lt;=Setup!$C$16)),IF(Setup!$C$15&lt;=Setup!$C$16,AND(MONTH(WORKDAY(C104,-(Setup!$C$13+Setup!$G$21),Setup!$C$39:$C$50))&gt;=Setup!$C$15,MONTH(WORKDAY(C104,-(Setup!$C$13+Setup!$G$21),Setup!$C$39:$C$50))&lt;=Setup!$C$16),OR(MONTH(WORKDAY(C104,-(Setup!$C$13+Setup!$G$21),Setup!$C$39:$C$50))&gt;=Setup!$C$15,MONTH(WORKDAY(C104,-(Setup!$C$13+Setup!$G$21),Setup!$C$39:$C$50))&lt;=Setup!$C$16))),WORKDAY(C104,-(Setup!$C$13+Setup!$G$21+Setup!$C$14),Setup!$C$39:$C$50),WORKDAY(C104,-(Setup!$C$13+Setup!$G$21),Setup!$C$39:$C$50))+(99*100+2)/10000000)))</f>
        <v/>
      </c>
      <c r="T104" t="str">
        <f>IF(D104="","",IF(D104&lt;Setup!$C$5-Setup!$C$6,"",IF(IF(ISNUMBER(Roster!$D104),Setup!$C$22&lt;=Roster!$D104,FALSE),"",IF(OR(IF(Setup!$C$15&lt;=Setup!$C$16,AND(MONTH(D104)&gt;=Setup!$C$15,MONTH(D104)&lt;=Setup!$C$16),OR(MONTH(D104)&gt;=Setup!$C$15,MONTH(D104)&lt;=Setup!$C$16)),IF(Setup!$C$15&lt;=Setup!$C$16,AND(MONTH(WORKDAY(D104,-(Setup!$C$13+Setup!$G$22),Setup!$C$39:$C$50))&gt;=Setup!$C$15,MONTH(WORKDAY(D104,-(Setup!$C$13+Setup!$G$22),Setup!$C$39:$C$50))&lt;=Setup!$C$16),OR(MONTH(WORKDAY(D104,-(Setup!$C$13+Setup!$G$22),Setup!$C$39:$C$50))&gt;=Setup!$C$15,MONTH(WORKDAY(D104,-(Setup!$C$13+Setup!$G$22),Setup!$C$39:$C$50))&lt;=Setup!$C$16))),WORKDAY(D104,-(Setup!$C$13+Setup!$G$22+Setup!$C$14),Setup!$C$39:$C$50),WORKDAY(D104,-(Setup!$C$13+Setup!$G$22),Setup!$C$39:$C$50))+(99*100+3)/10000000)))</f>
        <v/>
      </c>
      <c r="U104" t="str">
        <f>IF(E104="","",IF(E104&lt;Setup!$C$5-Setup!$C$6,"",IF(IF(ISNUMBER(Roster!$D104),Setup!$C$23&lt;=Roster!$D104,FALSE),"",IF(OR(IF(Setup!$C$15&lt;=Setup!$C$16,AND(MONTH(E104)&gt;=Setup!$C$15,MONTH(E104)&lt;=Setup!$C$16),OR(MONTH(E104)&gt;=Setup!$C$15,MONTH(E104)&lt;=Setup!$C$16)),IF(Setup!$C$15&lt;=Setup!$C$16,AND(MONTH(WORKDAY(E104,-(Setup!$C$13+Setup!$G$23),Setup!$C$39:$C$50))&gt;=Setup!$C$15,MONTH(WORKDAY(E104,-(Setup!$C$13+Setup!$G$23),Setup!$C$39:$C$50))&lt;=Setup!$C$16),OR(MONTH(WORKDAY(E104,-(Setup!$C$13+Setup!$G$23),Setup!$C$39:$C$50))&gt;=Setup!$C$15,MONTH(WORKDAY(E104,-(Setup!$C$13+Setup!$G$23),Setup!$C$39:$C$50))&lt;=Setup!$C$16))),WORKDAY(E104,-(Setup!$C$13+Setup!$G$23+Setup!$C$14),Setup!$C$39:$C$50),WORKDAY(E104,-(Setup!$C$13+Setup!$G$23),Setup!$C$39:$C$50))+(99*100+4)/10000000)))</f>
        <v/>
      </c>
      <c r="V104" t="str">
        <f>IF(F104="","",IF(F104&lt;Setup!$C$5-Setup!$C$6,"",IF(IF(ISNUMBER(Roster!$D104),Setup!$C$24&lt;=Roster!$D104,FALSE),"",IF(OR(IF(Setup!$C$15&lt;=Setup!$C$16,AND(MONTH(F104)&gt;=Setup!$C$15,MONTH(F104)&lt;=Setup!$C$16),OR(MONTH(F104)&gt;=Setup!$C$15,MONTH(F104)&lt;=Setup!$C$16)),IF(Setup!$C$15&lt;=Setup!$C$16,AND(MONTH(WORKDAY(F104,-(Setup!$C$13+Setup!$G$24),Setup!$C$39:$C$50))&gt;=Setup!$C$15,MONTH(WORKDAY(F104,-(Setup!$C$13+Setup!$G$24),Setup!$C$39:$C$50))&lt;=Setup!$C$16),OR(MONTH(WORKDAY(F104,-(Setup!$C$13+Setup!$G$24),Setup!$C$39:$C$50))&gt;=Setup!$C$15,MONTH(WORKDAY(F104,-(Setup!$C$13+Setup!$G$24),Setup!$C$39:$C$50))&lt;=Setup!$C$16))),WORKDAY(F104,-(Setup!$C$13+Setup!$G$24+Setup!$C$14),Setup!$C$39:$C$50),WORKDAY(F104,-(Setup!$C$13+Setup!$G$24),Setup!$C$39:$C$50))+(99*100+5)/10000000)))</f>
        <v/>
      </c>
      <c r="W104" t="str">
        <f>IF(G104="","",IF(G104&lt;Setup!$C$5-Setup!$C$6,"",IF(IF(ISNUMBER(Roster!$D104),Setup!$C$25&lt;=Roster!$D104,FALSE),"",IF(OR(IF(Setup!$C$15&lt;=Setup!$C$16,AND(MONTH(G104)&gt;=Setup!$C$15,MONTH(G104)&lt;=Setup!$C$16),OR(MONTH(G104)&gt;=Setup!$C$15,MONTH(G104)&lt;=Setup!$C$16)),IF(Setup!$C$15&lt;=Setup!$C$16,AND(MONTH(WORKDAY(G104,-(Setup!$C$13+Setup!$G$25),Setup!$C$39:$C$50))&gt;=Setup!$C$15,MONTH(WORKDAY(G104,-(Setup!$C$13+Setup!$G$25),Setup!$C$39:$C$50))&lt;=Setup!$C$16),OR(MONTH(WORKDAY(G104,-(Setup!$C$13+Setup!$G$25),Setup!$C$39:$C$50))&gt;=Setup!$C$15,MONTH(WORKDAY(G104,-(Setup!$C$13+Setup!$G$25),Setup!$C$39:$C$50))&lt;=Setup!$C$16))),WORKDAY(G104,-(Setup!$C$13+Setup!$G$25+Setup!$C$14),Setup!$C$39:$C$50),WORKDAY(G104,-(Setup!$C$13+Setup!$G$25),Setup!$C$39:$C$50))+(99*100+6)/10000000)))</f>
        <v/>
      </c>
      <c r="X104" t="str">
        <f>IF(H104="","",IF(H104&lt;Setup!$C$5-Setup!$C$6,"",IF(IF(ISNUMBER(Roster!$D104),Setup!$C$26&lt;=Roster!$D104,FALSE),"",IF(OR(IF(Setup!$C$15&lt;=Setup!$C$16,AND(MONTH(H104)&gt;=Setup!$C$15,MONTH(H104)&lt;=Setup!$C$16),OR(MONTH(H104)&gt;=Setup!$C$15,MONTH(H104)&lt;=Setup!$C$16)),IF(Setup!$C$15&lt;=Setup!$C$16,AND(MONTH(WORKDAY(H104,-(Setup!$C$13+Setup!$G$26),Setup!$C$39:$C$50))&gt;=Setup!$C$15,MONTH(WORKDAY(H104,-(Setup!$C$13+Setup!$G$26),Setup!$C$39:$C$50))&lt;=Setup!$C$16),OR(MONTH(WORKDAY(H104,-(Setup!$C$13+Setup!$G$26),Setup!$C$39:$C$50))&gt;=Setup!$C$15,MONTH(WORKDAY(H104,-(Setup!$C$13+Setup!$G$26),Setup!$C$39:$C$50))&lt;=Setup!$C$16))),WORKDAY(H104,-(Setup!$C$13+Setup!$G$26+Setup!$C$14),Setup!$C$39:$C$50),WORKDAY(H104,-(Setup!$C$13+Setup!$G$26),Setup!$C$39:$C$50))+(99*100+7)/10000000)))</f>
        <v/>
      </c>
      <c r="Y104" t="str">
        <f>IF(I104="","",IF(I104&lt;Setup!$C$5-Setup!$C$6,"",IF(IF(ISNUMBER(Roster!$D104),Setup!$C$27&lt;=Roster!$D104,FALSE),"",IF(OR(IF(Setup!$C$15&lt;=Setup!$C$16,AND(MONTH(I104)&gt;=Setup!$C$15,MONTH(I104)&lt;=Setup!$C$16),OR(MONTH(I104)&gt;=Setup!$C$15,MONTH(I104)&lt;=Setup!$C$16)),IF(Setup!$C$15&lt;=Setup!$C$16,AND(MONTH(WORKDAY(I104,-(Setup!$C$13+Setup!$G$27),Setup!$C$39:$C$50))&gt;=Setup!$C$15,MONTH(WORKDAY(I104,-(Setup!$C$13+Setup!$G$27),Setup!$C$39:$C$50))&lt;=Setup!$C$16),OR(MONTH(WORKDAY(I104,-(Setup!$C$13+Setup!$G$27),Setup!$C$39:$C$50))&gt;=Setup!$C$15,MONTH(WORKDAY(I104,-(Setup!$C$13+Setup!$G$27),Setup!$C$39:$C$50))&lt;=Setup!$C$16))),WORKDAY(I104,-(Setup!$C$13+Setup!$G$27+Setup!$C$14),Setup!$C$39:$C$50),WORKDAY(I104,-(Setup!$C$13+Setup!$G$27),Setup!$C$39:$C$50))+(99*100+8)/10000000)))</f>
        <v/>
      </c>
      <c r="Z104" t="str">
        <f>IF(J104="","",IF(J104&lt;Setup!$C$5-Setup!$C$6,"",IF(IF(ISNUMBER(Roster!$D104),Setup!$C$28&lt;=Roster!$D104,FALSE),"",IF(OR(IF(Setup!$C$15&lt;=Setup!$C$16,AND(MONTH(J104)&gt;=Setup!$C$15,MONTH(J104)&lt;=Setup!$C$16),OR(MONTH(J104)&gt;=Setup!$C$15,MONTH(J104)&lt;=Setup!$C$16)),IF(Setup!$C$15&lt;=Setup!$C$16,AND(MONTH(WORKDAY(J104,-(Setup!$C$13+Setup!$G$28),Setup!$C$39:$C$50))&gt;=Setup!$C$15,MONTH(WORKDAY(J104,-(Setup!$C$13+Setup!$G$28),Setup!$C$39:$C$50))&lt;=Setup!$C$16),OR(MONTH(WORKDAY(J104,-(Setup!$C$13+Setup!$G$28),Setup!$C$39:$C$50))&gt;=Setup!$C$15,MONTH(WORKDAY(J104,-(Setup!$C$13+Setup!$G$28),Setup!$C$39:$C$50))&lt;=Setup!$C$16))),WORKDAY(J104,-(Setup!$C$13+Setup!$G$28+Setup!$C$14),Setup!$C$39:$C$50),WORKDAY(J104,-(Setup!$C$13+Setup!$G$28),Setup!$C$39:$C$50))+(99*100+9)/10000000)))</f>
        <v/>
      </c>
      <c r="AA104" t="str">
        <f>IF(K104="","",IF(K104&lt;Setup!$C$5-Setup!$C$6,"",IF(IF(ISNUMBER(Roster!$D104),Setup!$C$29&lt;=Roster!$D104,FALSE),"",IF(OR(IF(Setup!$C$15&lt;=Setup!$C$16,AND(MONTH(K104)&gt;=Setup!$C$15,MONTH(K104)&lt;=Setup!$C$16),OR(MONTH(K104)&gt;=Setup!$C$15,MONTH(K104)&lt;=Setup!$C$16)),IF(Setup!$C$15&lt;=Setup!$C$16,AND(MONTH(WORKDAY(K104,-(Setup!$C$13+Setup!$G$29),Setup!$C$39:$C$50))&gt;=Setup!$C$15,MONTH(WORKDAY(K104,-(Setup!$C$13+Setup!$G$29),Setup!$C$39:$C$50))&lt;=Setup!$C$16),OR(MONTH(WORKDAY(K104,-(Setup!$C$13+Setup!$G$29),Setup!$C$39:$C$50))&gt;=Setup!$C$15,MONTH(WORKDAY(K104,-(Setup!$C$13+Setup!$G$29),Setup!$C$39:$C$50))&lt;=Setup!$C$16))),WORKDAY(K104,-(Setup!$C$13+Setup!$G$29+Setup!$C$14),Setup!$C$39:$C$50),WORKDAY(K104,-(Setup!$C$13+Setup!$G$29),Setup!$C$39:$C$50))+(99*100+10)/10000000)))</f>
        <v/>
      </c>
      <c r="AB104" t="str">
        <f>IF(L104="","",IF(L104&lt;Setup!$C$5-Setup!$C$6,"",IF(IF(ISNUMBER(Roster!$D104),Setup!$C$30&lt;=Roster!$D104,FALSE),"",IF(OR(IF(Setup!$C$15&lt;=Setup!$C$16,AND(MONTH(L104)&gt;=Setup!$C$15,MONTH(L104)&lt;=Setup!$C$16),OR(MONTH(L104)&gt;=Setup!$C$15,MONTH(L104)&lt;=Setup!$C$16)),IF(Setup!$C$15&lt;=Setup!$C$16,AND(MONTH(WORKDAY(L104,-(Setup!$C$13+Setup!$G$30),Setup!$C$39:$C$50))&gt;=Setup!$C$15,MONTH(WORKDAY(L104,-(Setup!$C$13+Setup!$G$30),Setup!$C$39:$C$50))&lt;=Setup!$C$16),OR(MONTH(WORKDAY(L104,-(Setup!$C$13+Setup!$G$30),Setup!$C$39:$C$50))&gt;=Setup!$C$15,MONTH(WORKDAY(L104,-(Setup!$C$13+Setup!$G$30),Setup!$C$39:$C$50))&lt;=Setup!$C$16))),WORKDAY(L104,-(Setup!$C$13+Setup!$G$30+Setup!$C$14),Setup!$C$39:$C$50),WORKDAY(L104,-(Setup!$C$13+Setup!$G$30),Setup!$C$39:$C$50))+(99*100+11)/10000000)))</f>
        <v/>
      </c>
      <c r="AC104" t="str">
        <f>IF(M104="","",IF(M104&lt;Setup!$C$5-Setup!$C$6,"",IF(IF(ISNUMBER(Roster!$D104),Setup!$C$31&lt;=Roster!$D104,FALSE),"",IF(OR(IF(Setup!$C$15&lt;=Setup!$C$16,AND(MONTH(M104)&gt;=Setup!$C$15,MONTH(M104)&lt;=Setup!$C$16),OR(MONTH(M104)&gt;=Setup!$C$15,MONTH(M104)&lt;=Setup!$C$16)),IF(Setup!$C$15&lt;=Setup!$C$16,AND(MONTH(WORKDAY(M104,-(Setup!$C$13+Setup!$G$31),Setup!$C$39:$C$50))&gt;=Setup!$C$15,MONTH(WORKDAY(M104,-(Setup!$C$13+Setup!$G$31),Setup!$C$39:$C$50))&lt;=Setup!$C$16),OR(MONTH(WORKDAY(M104,-(Setup!$C$13+Setup!$G$31),Setup!$C$39:$C$50))&gt;=Setup!$C$15,MONTH(WORKDAY(M104,-(Setup!$C$13+Setup!$G$31),Setup!$C$39:$C$50))&lt;=Setup!$C$16))),WORKDAY(M104,-(Setup!$C$13+Setup!$G$31+Setup!$C$14),Setup!$C$39:$C$50),WORKDAY(M104,-(Setup!$C$13+Setup!$G$31),Setup!$C$39:$C$50))+(99*100+12)/10000000)))</f>
        <v/>
      </c>
      <c r="AD104" t="str">
        <f>IF(N104="","",IF(N104&lt;Setup!$C$5-Setup!$C$6,"",IF(IF(ISNUMBER(Roster!$D104),Setup!$C$32&lt;=Roster!$D104,FALSE),"",IF(OR(IF(Setup!$C$15&lt;=Setup!$C$16,AND(MONTH(N104)&gt;=Setup!$C$15,MONTH(N104)&lt;=Setup!$C$16),OR(MONTH(N104)&gt;=Setup!$C$15,MONTH(N104)&lt;=Setup!$C$16)),IF(Setup!$C$15&lt;=Setup!$C$16,AND(MONTH(WORKDAY(N104,-(Setup!$C$13+Setup!$G$32),Setup!$C$39:$C$50))&gt;=Setup!$C$15,MONTH(WORKDAY(N104,-(Setup!$C$13+Setup!$G$32),Setup!$C$39:$C$50))&lt;=Setup!$C$16),OR(MONTH(WORKDAY(N104,-(Setup!$C$13+Setup!$G$32),Setup!$C$39:$C$50))&gt;=Setup!$C$15,MONTH(WORKDAY(N104,-(Setup!$C$13+Setup!$G$32),Setup!$C$39:$C$50))&lt;=Setup!$C$16))),WORKDAY(N104,-(Setup!$C$13+Setup!$G$32+Setup!$C$14),Setup!$C$39:$C$50),WORKDAY(N104,-(Setup!$C$13+Setup!$G$32),Setup!$C$39:$C$50))+(99*100+13)/10000000)))</f>
        <v/>
      </c>
      <c r="AE104" t="str">
        <f>IF(O104="","",IF(O104&lt;Setup!$C$5-Setup!$C$6,"",IF(IF(ISNUMBER(Roster!$D104),Setup!$C$33&lt;=Roster!$D104,FALSE),"",IF(OR(IF(Setup!$C$15&lt;=Setup!$C$16,AND(MONTH(O104)&gt;=Setup!$C$15,MONTH(O104)&lt;=Setup!$C$16),OR(MONTH(O104)&gt;=Setup!$C$15,MONTH(O104)&lt;=Setup!$C$16)),IF(Setup!$C$15&lt;=Setup!$C$16,AND(MONTH(WORKDAY(O104,-(Setup!$C$13+Setup!$G$33),Setup!$C$39:$C$50))&gt;=Setup!$C$15,MONTH(WORKDAY(O104,-(Setup!$C$13+Setup!$G$33),Setup!$C$39:$C$50))&lt;=Setup!$C$16),OR(MONTH(WORKDAY(O104,-(Setup!$C$13+Setup!$G$33),Setup!$C$39:$C$50))&gt;=Setup!$C$15,MONTH(WORKDAY(O104,-(Setup!$C$13+Setup!$G$33),Setup!$C$39:$C$50))&lt;=Setup!$C$16))),WORKDAY(O104,-(Setup!$C$13+Setup!$G$33+Setup!$C$14),Setup!$C$39:$C$50),WORKDAY(O104,-(Setup!$C$13+Setup!$G$33),Setup!$C$39:$C$50))+(99*100+14)/10000000)))</f>
        <v/>
      </c>
      <c r="AF104" t="str">
        <f>IF(P104="","",IF(P104&lt;Setup!$C$5-Setup!$C$6,"",IF(IF(ISNUMBER(Roster!$D104),Setup!$C$34&lt;=Roster!$D104,FALSE),"",IF(OR(IF(Setup!$C$15&lt;=Setup!$C$16,AND(MONTH(P104)&gt;=Setup!$C$15,MONTH(P104)&lt;=Setup!$C$16),OR(MONTH(P104)&gt;=Setup!$C$15,MONTH(P104)&lt;=Setup!$C$16)),IF(Setup!$C$15&lt;=Setup!$C$16,AND(MONTH(WORKDAY(P104,-(Setup!$C$13+Setup!$G$34),Setup!$C$39:$C$50))&gt;=Setup!$C$15,MONTH(WORKDAY(P104,-(Setup!$C$13+Setup!$G$34),Setup!$C$39:$C$50))&lt;=Setup!$C$16),OR(MONTH(WORKDAY(P104,-(Setup!$C$13+Setup!$G$34),Setup!$C$39:$C$50))&gt;=Setup!$C$15,MONTH(WORKDAY(P104,-(Setup!$C$13+Setup!$G$34),Setup!$C$39:$C$50))&lt;=Setup!$C$16))),WORKDAY(P104,-(Setup!$C$13+Setup!$G$34+Setup!$C$14),Setup!$C$39:$C$50),WORKDAY(P104,-(Setup!$C$13+Setup!$G$34),Setup!$C$39:$C$50))+(99*100+15)/10000000)))</f>
        <v/>
      </c>
      <c r="AH104" t="str">
        <f t="shared" si="9"/>
        <v/>
      </c>
      <c r="AI104" t="str">
        <f t="shared" si="10"/>
        <v/>
      </c>
      <c r="AK104" t="str">
        <f ca="1">IF(99&gt;$AK$2,"",SMALL($R$6:$AF$505,99))</f>
        <v/>
      </c>
      <c r="AL104" t="str">
        <f t="shared" ca="1" si="11"/>
        <v/>
      </c>
      <c r="AM104" t="str">
        <f t="shared" ca="1" si="12"/>
        <v/>
      </c>
      <c r="AN104" t="str">
        <f t="shared" ca="1" si="13"/>
        <v/>
      </c>
      <c r="AP104" t="str">
        <f>IF(ISNUMBER(Roster!$B104),MAX(1,YEAR(Setup!$C$5)-YEAR(Roster!$B104)+IF(EDATE(Roster!$B104,12*(YEAR(Setup!$C$5)-YEAR(Roster!$B104)))&lt;Setup!$C$5,1,0)),"")</f>
        <v/>
      </c>
      <c r="AQ104" s="32" t="str">
        <f>IF(AP104="","",EDATE(Roster!$B104,12*AP104))</f>
        <v/>
      </c>
      <c r="AR104" t="str">
        <f>IF(AQ104="","",IF(AQ104&lt;DATE(YEAR(Setup!$C$5)+1,MONTH(Setup!$C$5),DAY(Setup!$C$5)),AQ104+99/1000,""))</f>
        <v/>
      </c>
      <c r="AS104" t="str">
        <f t="shared" si="14"/>
        <v/>
      </c>
      <c r="AT104" t="str">
        <f>IF(AS104="","",IF(ISNUMBER(Roster!$D104),Roster!$D104&gt;=AP104,FALSE))</f>
        <v/>
      </c>
      <c r="AU104" t="str">
        <f t="shared" si="15"/>
        <v/>
      </c>
      <c r="AV104" t="str">
        <f ca="1">IF(99&gt;$AV$2,"",SMALL($AR$6:$AR$505,99))</f>
        <v/>
      </c>
      <c r="AW104" t="str">
        <f t="shared" ca="1" si="16"/>
        <v/>
      </c>
    </row>
    <row r="105" spans="2:49" x14ac:dyDescent="0.2">
      <c r="B105" s="32" t="str">
        <f>IF(AND(ISNUMBER(Roster!$B105),Setup!$B$20="Yes",ISNUMBER(Setup!$C$20)),EDATE(Roster!$B105,12*Setup!$C$20),"")</f>
        <v/>
      </c>
      <c r="C105" s="32" t="str">
        <f>IF(AND(ISNUMBER(Roster!$B105),Setup!$B$21="Yes",ISNUMBER(Setup!$C$21)),EDATE(Roster!$B105,12*Setup!$C$21),"")</f>
        <v/>
      </c>
      <c r="D105" s="32" t="str">
        <f>IF(AND(ISNUMBER(Roster!$B105),Setup!$B$22="Yes",ISNUMBER(Setup!$C$22)),EDATE(Roster!$B105,12*Setup!$C$22),"")</f>
        <v/>
      </c>
      <c r="E105" s="32" t="str">
        <f>IF(AND(ISNUMBER(Roster!$B105),Setup!$B$23="Yes",ISNUMBER(Setup!$C$23)),EDATE(Roster!$B105,12*Setup!$C$23),"")</f>
        <v/>
      </c>
      <c r="F105" s="32" t="str">
        <f>IF(AND(ISNUMBER(Roster!$B105),Setup!$B$24="Yes",ISNUMBER(Setup!$C$24)),EDATE(Roster!$B105,12*Setup!$C$24),"")</f>
        <v/>
      </c>
      <c r="G105" s="32" t="str">
        <f>IF(AND(ISNUMBER(Roster!$B105),Setup!$B$25="Yes",ISNUMBER(Setup!$C$25)),EDATE(Roster!$B105,12*Setup!$C$25),"")</f>
        <v/>
      </c>
      <c r="H105" s="32" t="str">
        <f>IF(AND(ISNUMBER(Roster!$B105),Setup!$B$26="Yes",ISNUMBER(Setup!$C$26)),EDATE(Roster!$B105,12*Setup!$C$26),"")</f>
        <v/>
      </c>
      <c r="I105" s="32" t="str">
        <f>IF(AND(ISNUMBER(Roster!$B105),Setup!$B$27="Yes",ISNUMBER(Setup!$C$27)),EDATE(Roster!$B105,12*Setup!$C$27),"")</f>
        <v/>
      </c>
      <c r="J105" s="32" t="str">
        <f>IF(AND(ISNUMBER(Roster!$B105),Setup!$B$28="Yes",ISNUMBER(Setup!$C$28)),EDATE(Roster!$B105,12*Setup!$C$28),"")</f>
        <v/>
      </c>
      <c r="K105" s="32" t="str">
        <f>IF(AND(ISNUMBER(Roster!$B105),Setup!$B$29="Yes",ISNUMBER(Setup!$C$29)),EDATE(Roster!$B105,12*Setup!$C$29),"")</f>
        <v/>
      </c>
      <c r="L105" s="32" t="str">
        <f>IF(AND(ISNUMBER(Roster!$B105),Setup!$B$30="Yes",ISNUMBER(Setup!$C$30)),EDATE(Roster!$B105,12*Setup!$C$30),"")</f>
        <v/>
      </c>
      <c r="M105" s="32" t="str">
        <f>IF(AND(ISNUMBER(Roster!$B105),Setup!$B$31="Yes",ISNUMBER(Setup!$C$31)),EDATE(Roster!$B105,12*Setup!$C$31),"")</f>
        <v/>
      </c>
      <c r="N105" s="32" t="str">
        <f>IF(AND(ISNUMBER(Roster!$B105),Setup!$B$32="Yes",ISNUMBER(Setup!$C$32)),EDATE(Roster!$B105,12*Setup!$C$32),"")</f>
        <v/>
      </c>
      <c r="O105" s="32" t="str">
        <f>IF(AND(ISNUMBER(Roster!$B105),Setup!$B$33="Yes",ISNUMBER(Setup!$C$33)),EDATE(Roster!$B105,12*Setup!$C$33),"")</f>
        <v/>
      </c>
      <c r="P105" s="32" t="str">
        <f>IF(AND(ISNUMBER(Roster!$B105),Setup!$B$34="Yes",ISNUMBER(Setup!$C$34)),EDATE(Roster!$B105,12*Setup!$C$34),"")</f>
        <v/>
      </c>
      <c r="R105" t="str">
        <f>IF(B105="","",IF(B105&lt;Setup!$C$5-Setup!$C$6,"",IF(IF(ISNUMBER(Roster!$D105),Setup!$C$20&lt;=Roster!$D105,FALSE),"",IF(OR(IF(Setup!$C$15&lt;=Setup!$C$16,AND(MONTH(B105)&gt;=Setup!$C$15,MONTH(B105)&lt;=Setup!$C$16),OR(MONTH(B105)&gt;=Setup!$C$15,MONTH(B105)&lt;=Setup!$C$16)),IF(Setup!$C$15&lt;=Setup!$C$16,AND(MONTH(WORKDAY(B105,-(Setup!$C$13+Setup!$G$20),Setup!$C$39:$C$50))&gt;=Setup!$C$15,MONTH(WORKDAY(B105,-(Setup!$C$13+Setup!$G$20),Setup!$C$39:$C$50))&lt;=Setup!$C$16),OR(MONTH(WORKDAY(B105,-(Setup!$C$13+Setup!$G$20),Setup!$C$39:$C$50))&gt;=Setup!$C$15,MONTH(WORKDAY(B105,-(Setup!$C$13+Setup!$G$20),Setup!$C$39:$C$50))&lt;=Setup!$C$16))),WORKDAY(B105,-(Setup!$C$13+Setup!$G$20+Setup!$C$14),Setup!$C$39:$C$50),WORKDAY(B105,-(Setup!$C$13+Setup!$G$20),Setup!$C$39:$C$50))+(100*100+1)/10000000)))</f>
        <v/>
      </c>
      <c r="S105" t="str">
        <f>IF(C105="","",IF(C105&lt;Setup!$C$5-Setup!$C$6,"",IF(IF(ISNUMBER(Roster!$D105),Setup!$C$21&lt;=Roster!$D105,FALSE),"",IF(OR(IF(Setup!$C$15&lt;=Setup!$C$16,AND(MONTH(C105)&gt;=Setup!$C$15,MONTH(C105)&lt;=Setup!$C$16),OR(MONTH(C105)&gt;=Setup!$C$15,MONTH(C105)&lt;=Setup!$C$16)),IF(Setup!$C$15&lt;=Setup!$C$16,AND(MONTH(WORKDAY(C105,-(Setup!$C$13+Setup!$G$21),Setup!$C$39:$C$50))&gt;=Setup!$C$15,MONTH(WORKDAY(C105,-(Setup!$C$13+Setup!$G$21),Setup!$C$39:$C$50))&lt;=Setup!$C$16),OR(MONTH(WORKDAY(C105,-(Setup!$C$13+Setup!$G$21),Setup!$C$39:$C$50))&gt;=Setup!$C$15,MONTH(WORKDAY(C105,-(Setup!$C$13+Setup!$G$21),Setup!$C$39:$C$50))&lt;=Setup!$C$16))),WORKDAY(C105,-(Setup!$C$13+Setup!$G$21+Setup!$C$14),Setup!$C$39:$C$50),WORKDAY(C105,-(Setup!$C$13+Setup!$G$21),Setup!$C$39:$C$50))+(100*100+2)/10000000)))</f>
        <v/>
      </c>
      <c r="T105" t="str">
        <f>IF(D105="","",IF(D105&lt;Setup!$C$5-Setup!$C$6,"",IF(IF(ISNUMBER(Roster!$D105),Setup!$C$22&lt;=Roster!$D105,FALSE),"",IF(OR(IF(Setup!$C$15&lt;=Setup!$C$16,AND(MONTH(D105)&gt;=Setup!$C$15,MONTH(D105)&lt;=Setup!$C$16),OR(MONTH(D105)&gt;=Setup!$C$15,MONTH(D105)&lt;=Setup!$C$16)),IF(Setup!$C$15&lt;=Setup!$C$16,AND(MONTH(WORKDAY(D105,-(Setup!$C$13+Setup!$G$22),Setup!$C$39:$C$50))&gt;=Setup!$C$15,MONTH(WORKDAY(D105,-(Setup!$C$13+Setup!$G$22),Setup!$C$39:$C$50))&lt;=Setup!$C$16),OR(MONTH(WORKDAY(D105,-(Setup!$C$13+Setup!$G$22),Setup!$C$39:$C$50))&gt;=Setup!$C$15,MONTH(WORKDAY(D105,-(Setup!$C$13+Setup!$G$22),Setup!$C$39:$C$50))&lt;=Setup!$C$16))),WORKDAY(D105,-(Setup!$C$13+Setup!$G$22+Setup!$C$14),Setup!$C$39:$C$50),WORKDAY(D105,-(Setup!$C$13+Setup!$G$22),Setup!$C$39:$C$50))+(100*100+3)/10000000)))</f>
        <v/>
      </c>
      <c r="U105" t="str">
        <f>IF(E105="","",IF(E105&lt;Setup!$C$5-Setup!$C$6,"",IF(IF(ISNUMBER(Roster!$D105),Setup!$C$23&lt;=Roster!$D105,FALSE),"",IF(OR(IF(Setup!$C$15&lt;=Setup!$C$16,AND(MONTH(E105)&gt;=Setup!$C$15,MONTH(E105)&lt;=Setup!$C$16),OR(MONTH(E105)&gt;=Setup!$C$15,MONTH(E105)&lt;=Setup!$C$16)),IF(Setup!$C$15&lt;=Setup!$C$16,AND(MONTH(WORKDAY(E105,-(Setup!$C$13+Setup!$G$23),Setup!$C$39:$C$50))&gt;=Setup!$C$15,MONTH(WORKDAY(E105,-(Setup!$C$13+Setup!$G$23),Setup!$C$39:$C$50))&lt;=Setup!$C$16),OR(MONTH(WORKDAY(E105,-(Setup!$C$13+Setup!$G$23),Setup!$C$39:$C$50))&gt;=Setup!$C$15,MONTH(WORKDAY(E105,-(Setup!$C$13+Setup!$G$23),Setup!$C$39:$C$50))&lt;=Setup!$C$16))),WORKDAY(E105,-(Setup!$C$13+Setup!$G$23+Setup!$C$14),Setup!$C$39:$C$50),WORKDAY(E105,-(Setup!$C$13+Setup!$G$23),Setup!$C$39:$C$50))+(100*100+4)/10000000)))</f>
        <v/>
      </c>
      <c r="V105" t="str">
        <f>IF(F105="","",IF(F105&lt;Setup!$C$5-Setup!$C$6,"",IF(IF(ISNUMBER(Roster!$D105),Setup!$C$24&lt;=Roster!$D105,FALSE),"",IF(OR(IF(Setup!$C$15&lt;=Setup!$C$16,AND(MONTH(F105)&gt;=Setup!$C$15,MONTH(F105)&lt;=Setup!$C$16),OR(MONTH(F105)&gt;=Setup!$C$15,MONTH(F105)&lt;=Setup!$C$16)),IF(Setup!$C$15&lt;=Setup!$C$16,AND(MONTH(WORKDAY(F105,-(Setup!$C$13+Setup!$G$24),Setup!$C$39:$C$50))&gt;=Setup!$C$15,MONTH(WORKDAY(F105,-(Setup!$C$13+Setup!$G$24),Setup!$C$39:$C$50))&lt;=Setup!$C$16),OR(MONTH(WORKDAY(F105,-(Setup!$C$13+Setup!$G$24),Setup!$C$39:$C$50))&gt;=Setup!$C$15,MONTH(WORKDAY(F105,-(Setup!$C$13+Setup!$G$24),Setup!$C$39:$C$50))&lt;=Setup!$C$16))),WORKDAY(F105,-(Setup!$C$13+Setup!$G$24+Setup!$C$14),Setup!$C$39:$C$50),WORKDAY(F105,-(Setup!$C$13+Setup!$G$24),Setup!$C$39:$C$50))+(100*100+5)/10000000)))</f>
        <v/>
      </c>
      <c r="W105" t="str">
        <f>IF(G105="","",IF(G105&lt;Setup!$C$5-Setup!$C$6,"",IF(IF(ISNUMBER(Roster!$D105),Setup!$C$25&lt;=Roster!$D105,FALSE),"",IF(OR(IF(Setup!$C$15&lt;=Setup!$C$16,AND(MONTH(G105)&gt;=Setup!$C$15,MONTH(G105)&lt;=Setup!$C$16),OR(MONTH(G105)&gt;=Setup!$C$15,MONTH(G105)&lt;=Setup!$C$16)),IF(Setup!$C$15&lt;=Setup!$C$16,AND(MONTH(WORKDAY(G105,-(Setup!$C$13+Setup!$G$25),Setup!$C$39:$C$50))&gt;=Setup!$C$15,MONTH(WORKDAY(G105,-(Setup!$C$13+Setup!$G$25),Setup!$C$39:$C$50))&lt;=Setup!$C$16),OR(MONTH(WORKDAY(G105,-(Setup!$C$13+Setup!$G$25),Setup!$C$39:$C$50))&gt;=Setup!$C$15,MONTH(WORKDAY(G105,-(Setup!$C$13+Setup!$G$25),Setup!$C$39:$C$50))&lt;=Setup!$C$16))),WORKDAY(G105,-(Setup!$C$13+Setup!$G$25+Setup!$C$14),Setup!$C$39:$C$50),WORKDAY(G105,-(Setup!$C$13+Setup!$G$25),Setup!$C$39:$C$50))+(100*100+6)/10000000)))</f>
        <v/>
      </c>
      <c r="X105" t="str">
        <f>IF(H105="","",IF(H105&lt;Setup!$C$5-Setup!$C$6,"",IF(IF(ISNUMBER(Roster!$D105),Setup!$C$26&lt;=Roster!$D105,FALSE),"",IF(OR(IF(Setup!$C$15&lt;=Setup!$C$16,AND(MONTH(H105)&gt;=Setup!$C$15,MONTH(H105)&lt;=Setup!$C$16),OR(MONTH(H105)&gt;=Setup!$C$15,MONTH(H105)&lt;=Setup!$C$16)),IF(Setup!$C$15&lt;=Setup!$C$16,AND(MONTH(WORKDAY(H105,-(Setup!$C$13+Setup!$G$26),Setup!$C$39:$C$50))&gt;=Setup!$C$15,MONTH(WORKDAY(H105,-(Setup!$C$13+Setup!$G$26),Setup!$C$39:$C$50))&lt;=Setup!$C$16),OR(MONTH(WORKDAY(H105,-(Setup!$C$13+Setup!$G$26),Setup!$C$39:$C$50))&gt;=Setup!$C$15,MONTH(WORKDAY(H105,-(Setup!$C$13+Setup!$G$26),Setup!$C$39:$C$50))&lt;=Setup!$C$16))),WORKDAY(H105,-(Setup!$C$13+Setup!$G$26+Setup!$C$14),Setup!$C$39:$C$50),WORKDAY(H105,-(Setup!$C$13+Setup!$G$26),Setup!$C$39:$C$50))+(100*100+7)/10000000)))</f>
        <v/>
      </c>
      <c r="Y105" t="str">
        <f>IF(I105="","",IF(I105&lt;Setup!$C$5-Setup!$C$6,"",IF(IF(ISNUMBER(Roster!$D105),Setup!$C$27&lt;=Roster!$D105,FALSE),"",IF(OR(IF(Setup!$C$15&lt;=Setup!$C$16,AND(MONTH(I105)&gt;=Setup!$C$15,MONTH(I105)&lt;=Setup!$C$16),OR(MONTH(I105)&gt;=Setup!$C$15,MONTH(I105)&lt;=Setup!$C$16)),IF(Setup!$C$15&lt;=Setup!$C$16,AND(MONTH(WORKDAY(I105,-(Setup!$C$13+Setup!$G$27),Setup!$C$39:$C$50))&gt;=Setup!$C$15,MONTH(WORKDAY(I105,-(Setup!$C$13+Setup!$G$27),Setup!$C$39:$C$50))&lt;=Setup!$C$16),OR(MONTH(WORKDAY(I105,-(Setup!$C$13+Setup!$G$27),Setup!$C$39:$C$50))&gt;=Setup!$C$15,MONTH(WORKDAY(I105,-(Setup!$C$13+Setup!$G$27),Setup!$C$39:$C$50))&lt;=Setup!$C$16))),WORKDAY(I105,-(Setup!$C$13+Setup!$G$27+Setup!$C$14),Setup!$C$39:$C$50),WORKDAY(I105,-(Setup!$C$13+Setup!$G$27),Setup!$C$39:$C$50))+(100*100+8)/10000000)))</f>
        <v/>
      </c>
      <c r="Z105" t="str">
        <f>IF(J105="","",IF(J105&lt;Setup!$C$5-Setup!$C$6,"",IF(IF(ISNUMBER(Roster!$D105),Setup!$C$28&lt;=Roster!$D105,FALSE),"",IF(OR(IF(Setup!$C$15&lt;=Setup!$C$16,AND(MONTH(J105)&gt;=Setup!$C$15,MONTH(J105)&lt;=Setup!$C$16),OR(MONTH(J105)&gt;=Setup!$C$15,MONTH(J105)&lt;=Setup!$C$16)),IF(Setup!$C$15&lt;=Setup!$C$16,AND(MONTH(WORKDAY(J105,-(Setup!$C$13+Setup!$G$28),Setup!$C$39:$C$50))&gt;=Setup!$C$15,MONTH(WORKDAY(J105,-(Setup!$C$13+Setup!$G$28),Setup!$C$39:$C$50))&lt;=Setup!$C$16),OR(MONTH(WORKDAY(J105,-(Setup!$C$13+Setup!$G$28),Setup!$C$39:$C$50))&gt;=Setup!$C$15,MONTH(WORKDAY(J105,-(Setup!$C$13+Setup!$G$28),Setup!$C$39:$C$50))&lt;=Setup!$C$16))),WORKDAY(J105,-(Setup!$C$13+Setup!$G$28+Setup!$C$14),Setup!$C$39:$C$50),WORKDAY(J105,-(Setup!$C$13+Setup!$G$28),Setup!$C$39:$C$50))+(100*100+9)/10000000)))</f>
        <v/>
      </c>
      <c r="AA105" t="str">
        <f>IF(K105="","",IF(K105&lt;Setup!$C$5-Setup!$C$6,"",IF(IF(ISNUMBER(Roster!$D105),Setup!$C$29&lt;=Roster!$D105,FALSE),"",IF(OR(IF(Setup!$C$15&lt;=Setup!$C$16,AND(MONTH(K105)&gt;=Setup!$C$15,MONTH(K105)&lt;=Setup!$C$16),OR(MONTH(K105)&gt;=Setup!$C$15,MONTH(K105)&lt;=Setup!$C$16)),IF(Setup!$C$15&lt;=Setup!$C$16,AND(MONTH(WORKDAY(K105,-(Setup!$C$13+Setup!$G$29),Setup!$C$39:$C$50))&gt;=Setup!$C$15,MONTH(WORKDAY(K105,-(Setup!$C$13+Setup!$G$29),Setup!$C$39:$C$50))&lt;=Setup!$C$16),OR(MONTH(WORKDAY(K105,-(Setup!$C$13+Setup!$G$29),Setup!$C$39:$C$50))&gt;=Setup!$C$15,MONTH(WORKDAY(K105,-(Setup!$C$13+Setup!$G$29),Setup!$C$39:$C$50))&lt;=Setup!$C$16))),WORKDAY(K105,-(Setup!$C$13+Setup!$G$29+Setup!$C$14),Setup!$C$39:$C$50),WORKDAY(K105,-(Setup!$C$13+Setup!$G$29),Setup!$C$39:$C$50))+(100*100+10)/10000000)))</f>
        <v/>
      </c>
      <c r="AB105" t="str">
        <f>IF(L105="","",IF(L105&lt;Setup!$C$5-Setup!$C$6,"",IF(IF(ISNUMBER(Roster!$D105),Setup!$C$30&lt;=Roster!$D105,FALSE),"",IF(OR(IF(Setup!$C$15&lt;=Setup!$C$16,AND(MONTH(L105)&gt;=Setup!$C$15,MONTH(L105)&lt;=Setup!$C$16),OR(MONTH(L105)&gt;=Setup!$C$15,MONTH(L105)&lt;=Setup!$C$16)),IF(Setup!$C$15&lt;=Setup!$C$16,AND(MONTH(WORKDAY(L105,-(Setup!$C$13+Setup!$G$30),Setup!$C$39:$C$50))&gt;=Setup!$C$15,MONTH(WORKDAY(L105,-(Setup!$C$13+Setup!$G$30),Setup!$C$39:$C$50))&lt;=Setup!$C$16),OR(MONTH(WORKDAY(L105,-(Setup!$C$13+Setup!$G$30),Setup!$C$39:$C$50))&gt;=Setup!$C$15,MONTH(WORKDAY(L105,-(Setup!$C$13+Setup!$G$30),Setup!$C$39:$C$50))&lt;=Setup!$C$16))),WORKDAY(L105,-(Setup!$C$13+Setup!$G$30+Setup!$C$14),Setup!$C$39:$C$50),WORKDAY(L105,-(Setup!$C$13+Setup!$G$30),Setup!$C$39:$C$50))+(100*100+11)/10000000)))</f>
        <v/>
      </c>
      <c r="AC105" t="str">
        <f>IF(M105="","",IF(M105&lt;Setup!$C$5-Setup!$C$6,"",IF(IF(ISNUMBER(Roster!$D105),Setup!$C$31&lt;=Roster!$D105,FALSE),"",IF(OR(IF(Setup!$C$15&lt;=Setup!$C$16,AND(MONTH(M105)&gt;=Setup!$C$15,MONTH(M105)&lt;=Setup!$C$16),OR(MONTH(M105)&gt;=Setup!$C$15,MONTH(M105)&lt;=Setup!$C$16)),IF(Setup!$C$15&lt;=Setup!$C$16,AND(MONTH(WORKDAY(M105,-(Setup!$C$13+Setup!$G$31),Setup!$C$39:$C$50))&gt;=Setup!$C$15,MONTH(WORKDAY(M105,-(Setup!$C$13+Setup!$G$31),Setup!$C$39:$C$50))&lt;=Setup!$C$16),OR(MONTH(WORKDAY(M105,-(Setup!$C$13+Setup!$G$31),Setup!$C$39:$C$50))&gt;=Setup!$C$15,MONTH(WORKDAY(M105,-(Setup!$C$13+Setup!$G$31),Setup!$C$39:$C$50))&lt;=Setup!$C$16))),WORKDAY(M105,-(Setup!$C$13+Setup!$G$31+Setup!$C$14),Setup!$C$39:$C$50),WORKDAY(M105,-(Setup!$C$13+Setup!$G$31),Setup!$C$39:$C$50))+(100*100+12)/10000000)))</f>
        <v/>
      </c>
      <c r="AD105" t="str">
        <f>IF(N105="","",IF(N105&lt;Setup!$C$5-Setup!$C$6,"",IF(IF(ISNUMBER(Roster!$D105),Setup!$C$32&lt;=Roster!$D105,FALSE),"",IF(OR(IF(Setup!$C$15&lt;=Setup!$C$16,AND(MONTH(N105)&gt;=Setup!$C$15,MONTH(N105)&lt;=Setup!$C$16),OR(MONTH(N105)&gt;=Setup!$C$15,MONTH(N105)&lt;=Setup!$C$16)),IF(Setup!$C$15&lt;=Setup!$C$16,AND(MONTH(WORKDAY(N105,-(Setup!$C$13+Setup!$G$32),Setup!$C$39:$C$50))&gt;=Setup!$C$15,MONTH(WORKDAY(N105,-(Setup!$C$13+Setup!$G$32),Setup!$C$39:$C$50))&lt;=Setup!$C$16),OR(MONTH(WORKDAY(N105,-(Setup!$C$13+Setup!$G$32),Setup!$C$39:$C$50))&gt;=Setup!$C$15,MONTH(WORKDAY(N105,-(Setup!$C$13+Setup!$G$32),Setup!$C$39:$C$50))&lt;=Setup!$C$16))),WORKDAY(N105,-(Setup!$C$13+Setup!$G$32+Setup!$C$14),Setup!$C$39:$C$50),WORKDAY(N105,-(Setup!$C$13+Setup!$G$32),Setup!$C$39:$C$50))+(100*100+13)/10000000)))</f>
        <v/>
      </c>
      <c r="AE105" t="str">
        <f>IF(O105="","",IF(O105&lt;Setup!$C$5-Setup!$C$6,"",IF(IF(ISNUMBER(Roster!$D105),Setup!$C$33&lt;=Roster!$D105,FALSE),"",IF(OR(IF(Setup!$C$15&lt;=Setup!$C$16,AND(MONTH(O105)&gt;=Setup!$C$15,MONTH(O105)&lt;=Setup!$C$16),OR(MONTH(O105)&gt;=Setup!$C$15,MONTH(O105)&lt;=Setup!$C$16)),IF(Setup!$C$15&lt;=Setup!$C$16,AND(MONTH(WORKDAY(O105,-(Setup!$C$13+Setup!$G$33),Setup!$C$39:$C$50))&gt;=Setup!$C$15,MONTH(WORKDAY(O105,-(Setup!$C$13+Setup!$G$33),Setup!$C$39:$C$50))&lt;=Setup!$C$16),OR(MONTH(WORKDAY(O105,-(Setup!$C$13+Setup!$G$33),Setup!$C$39:$C$50))&gt;=Setup!$C$15,MONTH(WORKDAY(O105,-(Setup!$C$13+Setup!$G$33),Setup!$C$39:$C$50))&lt;=Setup!$C$16))),WORKDAY(O105,-(Setup!$C$13+Setup!$G$33+Setup!$C$14),Setup!$C$39:$C$50),WORKDAY(O105,-(Setup!$C$13+Setup!$G$33),Setup!$C$39:$C$50))+(100*100+14)/10000000)))</f>
        <v/>
      </c>
      <c r="AF105" t="str">
        <f>IF(P105="","",IF(P105&lt;Setup!$C$5-Setup!$C$6,"",IF(IF(ISNUMBER(Roster!$D105),Setup!$C$34&lt;=Roster!$D105,FALSE),"",IF(OR(IF(Setup!$C$15&lt;=Setup!$C$16,AND(MONTH(P105)&gt;=Setup!$C$15,MONTH(P105)&lt;=Setup!$C$16),OR(MONTH(P105)&gt;=Setup!$C$15,MONTH(P105)&lt;=Setup!$C$16)),IF(Setup!$C$15&lt;=Setup!$C$16,AND(MONTH(WORKDAY(P105,-(Setup!$C$13+Setup!$G$34),Setup!$C$39:$C$50))&gt;=Setup!$C$15,MONTH(WORKDAY(P105,-(Setup!$C$13+Setup!$G$34),Setup!$C$39:$C$50))&lt;=Setup!$C$16),OR(MONTH(WORKDAY(P105,-(Setup!$C$13+Setup!$G$34),Setup!$C$39:$C$50))&gt;=Setup!$C$15,MONTH(WORKDAY(P105,-(Setup!$C$13+Setup!$G$34),Setup!$C$39:$C$50))&lt;=Setup!$C$16))),WORKDAY(P105,-(Setup!$C$13+Setup!$G$34+Setup!$C$14),Setup!$C$39:$C$50),WORKDAY(P105,-(Setup!$C$13+Setup!$G$34),Setup!$C$39:$C$50))+(100*100+15)/10000000)))</f>
        <v/>
      </c>
      <c r="AH105" t="str">
        <f t="shared" si="9"/>
        <v/>
      </c>
      <c r="AI105" t="str">
        <f t="shared" si="10"/>
        <v/>
      </c>
      <c r="AK105" t="str">
        <f ca="1">IF(100&gt;$AK$2,"",SMALL($R$6:$AF$505,100))</f>
        <v/>
      </c>
      <c r="AL105" t="str">
        <f t="shared" ca="1" si="11"/>
        <v/>
      </c>
      <c r="AM105" t="str">
        <f t="shared" ca="1" si="12"/>
        <v/>
      </c>
      <c r="AN105" t="str">
        <f t="shared" ca="1" si="13"/>
        <v/>
      </c>
      <c r="AP105" t="str">
        <f>IF(ISNUMBER(Roster!$B105),MAX(1,YEAR(Setup!$C$5)-YEAR(Roster!$B105)+IF(EDATE(Roster!$B105,12*(YEAR(Setup!$C$5)-YEAR(Roster!$B105)))&lt;Setup!$C$5,1,0)),"")</f>
        <v/>
      </c>
      <c r="AQ105" s="32" t="str">
        <f>IF(AP105="","",EDATE(Roster!$B105,12*AP105))</f>
        <v/>
      </c>
      <c r="AR105" t="str">
        <f>IF(AQ105="","",IF(AQ105&lt;DATE(YEAR(Setup!$C$5)+1,MONTH(Setup!$C$5),DAY(Setup!$C$5)),AQ105+100/1000,""))</f>
        <v/>
      </c>
      <c r="AS105" t="str">
        <f t="shared" si="14"/>
        <v/>
      </c>
      <c r="AT105" t="str">
        <f>IF(AS105="","",IF(ISNUMBER(Roster!$D105),Roster!$D105&gt;=AP105,FALSE))</f>
        <v/>
      </c>
      <c r="AU105" t="str">
        <f t="shared" si="15"/>
        <v/>
      </c>
      <c r="AV105" t="str">
        <f ca="1">IF(100&gt;$AV$2,"",SMALL($AR$6:$AR$505,100))</f>
        <v/>
      </c>
      <c r="AW105" t="str">
        <f t="shared" ca="1" si="16"/>
        <v/>
      </c>
    </row>
    <row r="106" spans="2:49" x14ac:dyDescent="0.2">
      <c r="B106" s="32" t="str">
        <f>IF(AND(ISNUMBER(Roster!$B106),Setup!$B$20="Yes",ISNUMBER(Setup!$C$20)),EDATE(Roster!$B106,12*Setup!$C$20),"")</f>
        <v/>
      </c>
      <c r="C106" s="32" t="str">
        <f>IF(AND(ISNUMBER(Roster!$B106),Setup!$B$21="Yes",ISNUMBER(Setup!$C$21)),EDATE(Roster!$B106,12*Setup!$C$21),"")</f>
        <v/>
      </c>
      <c r="D106" s="32" t="str">
        <f>IF(AND(ISNUMBER(Roster!$B106),Setup!$B$22="Yes",ISNUMBER(Setup!$C$22)),EDATE(Roster!$B106,12*Setup!$C$22),"")</f>
        <v/>
      </c>
      <c r="E106" s="32" t="str">
        <f>IF(AND(ISNUMBER(Roster!$B106),Setup!$B$23="Yes",ISNUMBER(Setup!$C$23)),EDATE(Roster!$B106,12*Setup!$C$23),"")</f>
        <v/>
      </c>
      <c r="F106" s="32" t="str">
        <f>IF(AND(ISNUMBER(Roster!$B106),Setup!$B$24="Yes",ISNUMBER(Setup!$C$24)),EDATE(Roster!$B106,12*Setup!$C$24),"")</f>
        <v/>
      </c>
      <c r="G106" s="32" t="str">
        <f>IF(AND(ISNUMBER(Roster!$B106),Setup!$B$25="Yes",ISNUMBER(Setup!$C$25)),EDATE(Roster!$B106,12*Setup!$C$25),"")</f>
        <v/>
      </c>
      <c r="H106" s="32" t="str">
        <f>IF(AND(ISNUMBER(Roster!$B106),Setup!$B$26="Yes",ISNUMBER(Setup!$C$26)),EDATE(Roster!$B106,12*Setup!$C$26),"")</f>
        <v/>
      </c>
      <c r="I106" s="32" t="str">
        <f>IF(AND(ISNUMBER(Roster!$B106),Setup!$B$27="Yes",ISNUMBER(Setup!$C$27)),EDATE(Roster!$B106,12*Setup!$C$27),"")</f>
        <v/>
      </c>
      <c r="J106" s="32" t="str">
        <f>IF(AND(ISNUMBER(Roster!$B106),Setup!$B$28="Yes",ISNUMBER(Setup!$C$28)),EDATE(Roster!$B106,12*Setup!$C$28),"")</f>
        <v/>
      </c>
      <c r="K106" s="32" t="str">
        <f>IF(AND(ISNUMBER(Roster!$B106),Setup!$B$29="Yes",ISNUMBER(Setup!$C$29)),EDATE(Roster!$B106,12*Setup!$C$29),"")</f>
        <v/>
      </c>
      <c r="L106" s="32" t="str">
        <f>IF(AND(ISNUMBER(Roster!$B106),Setup!$B$30="Yes",ISNUMBER(Setup!$C$30)),EDATE(Roster!$B106,12*Setup!$C$30),"")</f>
        <v/>
      </c>
      <c r="M106" s="32" t="str">
        <f>IF(AND(ISNUMBER(Roster!$B106),Setup!$B$31="Yes",ISNUMBER(Setup!$C$31)),EDATE(Roster!$B106,12*Setup!$C$31),"")</f>
        <v/>
      </c>
      <c r="N106" s="32" t="str">
        <f>IF(AND(ISNUMBER(Roster!$B106),Setup!$B$32="Yes",ISNUMBER(Setup!$C$32)),EDATE(Roster!$B106,12*Setup!$C$32),"")</f>
        <v/>
      </c>
      <c r="O106" s="32" t="str">
        <f>IF(AND(ISNUMBER(Roster!$B106),Setup!$B$33="Yes",ISNUMBER(Setup!$C$33)),EDATE(Roster!$B106,12*Setup!$C$33),"")</f>
        <v/>
      </c>
      <c r="P106" s="32" t="str">
        <f>IF(AND(ISNUMBER(Roster!$B106),Setup!$B$34="Yes",ISNUMBER(Setup!$C$34)),EDATE(Roster!$B106,12*Setup!$C$34),"")</f>
        <v/>
      </c>
      <c r="R106" t="str">
        <f>IF(B106="","",IF(B106&lt;Setup!$C$5-Setup!$C$6,"",IF(IF(ISNUMBER(Roster!$D106),Setup!$C$20&lt;=Roster!$D106,FALSE),"",IF(OR(IF(Setup!$C$15&lt;=Setup!$C$16,AND(MONTH(B106)&gt;=Setup!$C$15,MONTH(B106)&lt;=Setup!$C$16),OR(MONTH(B106)&gt;=Setup!$C$15,MONTH(B106)&lt;=Setup!$C$16)),IF(Setup!$C$15&lt;=Setup!$C$16,AND(MONTH(WORKDAY(B106,-(Setup!$C$13+Setup!$G$20),Setup!$C$39:$C$50))&gt;=Setup!$C$15,MONTH(WORKDAY(B106,-(Setup!$C$13+Setup!$G$20),Setup!$C$39:$C$50))&lt;=Setup!$C$16),OR(MONTH(WORKDAY(B106,-(Setup!$C$13+Setup!$G$20),Setup!$C$39:$C$50))&gt;=Setup!$C$15,MONTH(WORKDAY(B106,-(Setup!$C$13+Setup!$G$20),Setup!$C$39:$C$50))&lt;=Setup!$C$16))),WORKDAY(B106,-(Setup!$C$13+Setup!$G$20+Setup!$C$14),Setup!$C$39:$C$50),WORKDAY(B106,-(Setup!$C$13+Setup!$G$20),Setup!$C$39:$C$50))+(101*100+1)/10000000)))</f>
        <v/>
      </c>
      <c r="S106" t="str">
        <f>IF(C106="","",IF(C106&lt;Setup!$C$5-Setup!$C$6,"",IF(IF(ISNUMBER(Roster!$D106),Setup!$C$21&lt;=Roster!$D106,FALSE),"",IF(OR(IF(Setup!$C$15&lt;=Setup!$C$16,AND(MONTH(C106)&gt;=Setup!$C$15,MONTH(C106)&lt;=Setup!$C$16),OR(MONTH(C106)&gt;=Setup!$C$15,MONTH(C106)&lt;=Setup!$C$16)),IF(Setup!$C$15&lt;=Setup!$C$16,AND(MONTH(WORKDAY(C106,-(Setup!$C$13+Setup!$G$21),Setup!$C$39:$C$50))&gt;=Setup!$C$15,MONTH(WORKDAY(C106,-(Setup!$C$13+Setup!$G$21),Setup!$C$39:$C$50))&lt;=Setup!$C$16),OR(MONTH(WORKDAY(C106,-(Setup!$C$13+Setup!$G$21),Setup!$C$39:$C$50))&gt;=Setup!$C$15,MONTH(WORKDAY(C106,-(Setup!$C$13+Setup!$G$21),Setup!$C$39:$C$50))&lt;=Setup!$C$16))),WORKDAY(C106,-(Setup!$C$13+Setup!$G$21+Setup!$C$14),Setup!$C$39:$C$50),WORKDAY(C106,-(Setup!$C$13+Setup!$G$21),Setup!$C$39:$C$50))+(101*100+2)/10000000)))</f>
        <v/>
      </c>
      <c r="T106" t="str">
        <f>IF(D106="","",IF(D106&lt;Setup!$C$5-Setup!$C$6,"",IF(IF(ISNUMBER(Roster!$D106),Setup!$C$22&lt;=Roster!$D106,FALSE),"",IF(OR(IF(Setup!$C$15&lt;=Setup!$C$16,AND(MONTH(D106)&gt;=Setup!$C$15,MONTH(D106)&lt;=Setup!$C$16),OR(MONTH(D106)&gt;=Setup!$C$15,MONTH(D106)&lt;=Setup!$C$16)),IF(Setup!$C$15&lt;=Setup!$C$16,AND(MONTH(WORKDAY(D106,-(Setup!$C$13+Setup!$G$22),Setup!$C$39:$C$50))&gt;=Setup!$C$15,MONTH(WORKDAY(D106,-(Setup!$C$13+Setup!$G$22),Setup!$C$39:$C$50))&lt;=Setup!$C$16),OR(MONTH(WORKDAY(D106,-(Setup!$C$13+Setup!$G$22),Setup!$C$39:$C$50))&gt;=Setup!$C$15,MONTH(WORKDAY(D106,-(Setup!$C$13+Setup!$G$22),Setup!$C$39:$C$50))&lt;=Setup!$C$16))),WORKDAY(D106,-(Setup!$C$13+Setup!$G$22+Setup!$C$14),Setup!$C$39:$C$50),WORKDAY(D106,-(Setup!$C$13+Setup!$G$22),Setup!$C$39:$C$50))+(101*100+3)/10000000)))</f>
        <v/>
      </c>
      <c r="U106" t="str">
        <f>IF(E106="","",IF(E106&lt;Setup!$C$5-Setup!$C$6,"",IF(IF(ISNUMBER(Roster!$D106),Setup!$C$23&lt;=Roster!$D106,FALSE),"",IF(OR(IF(Setup!$C$15&lt;=Setup!$C$16,AND(MONTH(E106)&gt;=Setup!$C$15,MONTH(E106)&lt;=Setup!$C$16),OR(MONTH(E106)&gt;=Setup!$C$15,MONTH(E106)&lt;=Setup!$C$16)),IF(Setup!$C$15&lt;=Setup!$C$16,AND(MONTH(WORKDAY(E106,-(Setup!$C$13+Setup!$G$23),Setup!$C$39:$C$50))&gt;=Setup!$C$15,MONTH(WORKDAY(E106,-(Setup!$C$13+Setup!$G$23),Setup!$C$39:$C$50))&lt;=Setup!$C$16),OR(MONTH(WORKDAY(E106,-(Setup!$C$13+Setup!$G$23),Setup!$C$39:$C$50))&gt;=Setup!$C$15,MONTH(WORKDAY(E106,-(Setup!$C$13+Setup!$G$23),Setup!$C$39:$C$50))&lt;=Setup!$C$16))),WORKDAY(E106,-(Setup!$C$13+Setup!$G$23+Setup!$C$14),Setup!$C$39:$C$50),WORKDAY(E106,-(Setup!$C$13+Setup!$G$23),Setup!$C$39:$C$50))+(101*100+4)/10000000)))</f>
        <v/>
      </c>
      <c r="V106" t="str">
        <f>IF(F106="","",IF(F106&lt;Setup!$C$5-Setup!$C$6,"",IF(IF(ISNUMBER(Roster!$D106),Setup!$C$24&lt;=Roster!$D106,FALSE),"",IF(OR(IF(Setup!$C$15&lt;=Setup!$C$16,AND(MONTH(F106)&gt;=Setup!$C$15,MONTH(F106)&lt;=Setup!$C$16),OR(MONTH(F106)&gt;=Setup!$C$15,MONTH(F106)&lt;=Setup!$C$16)),IF(Setup!$C$15&lt;=Setup!$C$16,AND(MONTH(WORKDAY(F106,-(Setup!$C$13+Setup!$G$24),Setup!$C$39:$C$50))&gt;=Setup!$C$15,MONTH(WORKDAY(F106,-(Setup!$C$13+Setup!$G$24),Setup!$C$39:$C$50))&lt;=Setup!$C$16),OR(MONTH(WORKDAY(F106,-(Setup!$C$13+Setup!$G$24),Setup!$C$39:$C$50))&gt;=Setup!$C$15,MONTH(WORKDAY(F106,-(Setup!$C$13+Setup!$G$24),Setup!$C$39:$C$50))&lt;=Setup!$C$16))),WORKDAY(F106,-(Setup!$C$13+Setup!$G$24+Setup!$C$14),Setup!$C$39:$C$50),WORKDAY(F106,-(Setup!$C$13+Setup!$G$24),Setup!$C$39:$C$50))+(101*100+5)/10000000)))</f>
        <v/>
      </c>
      <c r="W106" t="str">
        <f>IF(G106="","",IF(G106&lt;Setup!$C$5-Setup!$C$6,"",IF(IF(ISNUMBER(Roster!$D106),Setup!$C$25&lt;=Roster!$D106,FALSE),"",IF(OR(IF(Setup!$C$15&lt;=Setup!$C$16,AND(MONTH(G106)&gt;=Setup!$C$15,MONTH(G106)&lt;=Setup!$C$16),OR(MONTH(G106)&gt;=Setup!$C$15,MONTH(G106)&lt;=Setup!$C$16)),IF(Setup!$C$15&lt;=Setup!$C$16,AND(MONTH(WORKDAY(G106,-(Setup!$C$13+Setup!$G$25),Setup!$C$39:$C$50))&gt;=Setup!$C$15,MONTH(WORKDAY(G106,-(Setup!$C$13+Setup!$G$25),Setup!$C$39:$C$50))&lt;=Setup!$C$16),OR(MONTH(WORKDAY(G106,-(Setup!$C$13+Setup!$G$25),Setup!$C$39:$C$50))&gt;=Setup!$C$15,MONTH(WORKDAY(G106,-(Setup!$C$13+Setup!$G$25),Setup!$C$39:$C$50))&lt;=Setup!$C$16))),WORKDAY(G106,-(Setup!$C$13+Setup!$G$25+Setup!$C$14),Setup!$C$39:$C$50),WORKDAY(G106,-(Setup!$C$13+Setup!$G$25),Setup!$C$39:$C$50))+(101*100+6)/10000000)))</f>
        <v/>
      </c>
      <c r="X106" t="str">
        <f>IF(H106="","",IF(H106&lt;Setup!$C$5-Setup!$C$6,"",IF(IF(ISNUMBER(Roster!$D106),Setup!$C$26&lt;=Roster!$D106,FALSE),"",IF(OR(IF(Setup!$C$15&lt;=Setup!$C$16,AND(MONTH(H106)&gt;=Setup!$C$15,MONTH(H106)&lt;=Setup!$C$16),OR(MONTH(H106)&gt;=Setup!$C$15,MONTH(H106)&lt;=Setup!$C$16)),IF(Setup!$C$15&lt;=Setup!$C$16,AND(MONTH(WORKDAY(H106,-(Setup!$C$13+Setup!$G$26),Setup!$C$39:$C$50))&gt;=Setup!$C$15,MONTH(WORKDAY(H106,-(Setup!$C$13+Setup!$G$26),Setup!$C$39:$C$50))&lt;=Setup!$C$16),OR(MONTH(WORKDAY(H106,-(Setup!$C$13+Setup!$G$26),Setup!$C$39:$C$50))&gt;=Setup!$C$15,MONTH(WORKDAY(H106,-(Setup!$C$13+Setup!$G$26),Setup!$C$39:$C$50))&lt;=Setup!$C$16))),WORKDAY(H106,-(Setup!$C$13+Setup!$G$26+Setup!$C$14),Setup!$C$39:$C$50),WORKDAY(H106,-(Setup!$C$13+Setup!$G$26),Setup!$C$39:$C$50))+(101*100+7)/10000000)))</f>
        <v/>
      </c>
      <c r="Y106" t="str">
        <f>IF(I106="","",IF(I106&lt;Setup!$C$5-Setup!$C$6,"",IF(IF(ISNUMBER(Roster!$D106),Setup!$C$27&lt;=Roster!$D106,FALSE),"",IF(OR(IF(Setup!$C$15&lt;=Setup!$C$16,AND(MONTH(I106)&gt;=Setup!$C$15,MONTH(I106)&lt;=Setup!$C$16),OR(MONTH(I106)&gt;=Setup!$C$15,MONTH(I106)&lt;=Setup!$C$16)),IF(Setup!$C$15&lt;=Setup!$C$16,AND(MONTH(WORKDAY(I106,-(Setup!$C$13+Setup!$G$27),Setup!$C$39:$C$50))&gt;=Setup!$C$15,MONTH(WORKDAY(I106,-(Setup!$C$13+Setup!$G$27),Setup!$C$39:$C$50))&lt;=Setup!$C$16),OR(MONTH(WORKDAY(I106,-(Setup!$C$13+Setup!$G$27),Setup!$C$39:$C$50))&gt;=Setup!$C$15,MONTH(WORKDAY(I106,-(Setup!$C$13+Setup!$G$27),Setup!$C$39:$C$50))&lt;=Setup!$C$16))),WORKDAY(I106,-(Setup!$C$13+Setup!$G$27+Setup!$C$14),Setup!$C$39:$C$50),WORKDAY(I106,-(Setup!$C$13+Setup!$G$27),Setup!$C$39:$C$50))+(101*100+8)/10000000)))</f>
        <v/>
      </c>
      <c r="Z106" t="str">
        <f>IF(J106="","",IF(J106&lt;Setup!$C$5-Setup!$C$6,"",IF(IF(ISNUMBER(Roster!$D106),Setup!$C$28&lt;=Roster!$D106,FALSE),"",IF(OR(IF(Setup!$C$15&lt;=Setup!$C$16,AND(MONTH(J106)&gt;=Setup!$C$15,MONTH(J106)&lt;=Setup!$C$16),OR(MONTH(J106)&gt;=Setup!$C$15,MONTH(J106)&lt;=Setup!$C$16)),IF(Setup!$C$15&lt;=Setup!$C$16,AND(MONTH(WORKDAY(J106,-(Setup!$C$13+Setup!$G$28),Setup!$C$39:$C$50))&gt;=Setup!$C$15,MONTH(WORKDAY(J106,-(Setup!$C$13+Setup!$G$28),Setup!$C$39:$C$50))&lt;=Setup!$C$16),OR(MONTH(WORKDAY(J106,-(Setup!$C$13+Setup!$G$28),Setup!$C$39:$C$50))&gt;=Setup!$C$15,MONTH(WORKDAY(J106,-(Setup!$C$13+Setup!$G$28),Setup!$C$39:$C$50))&lt;=Setup!$C$16))),WORKDAY(J106,-(Setup!$C$13+Setup!$G$28+Setup!$C$14),Setup!$C$39:$C$50),WORKDAY(J106,-(Setup!$C$13+Setup!$G$28),Setup!$C$39:$C$50))+(101*100+9)/10000000)))</f>
        <v/>
      </c>
      <c r="AA106" t="str">
        <f>IF(K106="","",IF(K106&lt;Setup!$C$5-Setup!$C$6,"",IF(IF(ISNUMBER(Roster!$D106),Setup!$C$29&lt;=Roster!$D106,FALSE),"",IF(OR(IF(Setup!$C$15&lt;=Setup!$C$16,AND(MONTH(K106)&gt;=Setup!$C$15,MONTH(K106)&lt;=Setup!$C$16),OR(MONTH(K106)&gt;=Setup!$C$15,MONTH(K106)&lt;=Setup!$C$16)),IF(Setup!$C$15&lt;=Setup!$C$16,AND(MONTH(WORKDAY(K106,-(Setup!$C$13+Setup!$G$29),Setup!$C$39:$C$50))&gt;=Setup!$C$15,MONTH(WORKDAY(K106,-(Setup!$C$13+Setup!$G$29),Setup!$C$39:$C$50))&lt;=Setup!$C$16),OR(MONTH(WORKDAY(K106,-(Setup!$C$13+Setup!$G$29),Setup!$C$39:$C$50))&gt;=Setup!$C$15,MONTH(WORKDAY(K106,-(Setup!$C$13+Setup!$G$29),Setup!$C$39:$C$50))&lt;=Setup!$C$16))),WORKDAY(K106,-(Setup!$C$13+Setup!$G$29+Setup!$C$14),Setup!$C$39:$C$50),WORKDAY(K106,-(Setup!$C$13+Setup!$G$29),Setup!$C$39:$C$50))+(101*100+10)/10000000)))</f>
        <v/>
      </c>
      <c r="AB106" t="str">
        <f>IF(L106="","",IF(L106&lt;Setup!$C$5-Setup!$C$6,"",IF(IF(ISNUMBER(Roster!$D106),Setup!$C$30&lt;=Roster!$D106,FALSE),"",IF(OR(IF(Setup!$C$15&lt;=Setup!$C$16,AND(MONTH(L106)&gt;=Setup!$C$15,MONTH(L106)&lt;=Setup!$C$16),OR(MONTH(L106)&gt;=Setup!$C$15,MONTH(L106)&lt;=Setup!$C$16)),IF(Setup!$C$15&lt;=Setup!$C$16,AND(MONTH(WORKDAY(L106,-(Setup!$C$13+Setup!$G$30),Setup!$C$39:$C$50))&gt;=Setup!$C$15,MONTH(WORKDAY(L106,-(Setup!$C$13+Setup!$G$30),Setup!$C$39:$C$50))&lt;=Setup!$C$16),OR(MONTH(WORKDAY(L106,-(Setup!$C$13+Setup!$G$30),Setup!$C$39:$C$50))&gt;=Setup!$C$15,MONTH(WORKDAY(L106,-(Setup!$C$13+Setup!$G$30),Setup!$C$39:$C$50))&lt;=Setup!$C$16))),WORKDAY(L106,-(Setup!$C$13+Setup!$G$30+Setup!$C$14),Setup!$C$39:$C$50),WORKDAY(L106,-(Setup!$C$13+Setup!$G$30),Setup!$C$39:$C$50))+(101*100+11)/10000000)))</f>
        <v/>
      </c>
      <c r="AC106" t="str">
        <f>IF(M106="","",IF(M106&lt;Setup!$C$5-Setup!$C$6,"",IF(IF(ISNUMBER(Roster!$D106),Setup!$C$31&lt;=Roster!$D106,FALSE),"",IF(OR(IF(Setup!$C$15&lt;=Setup!$C$16,AND(MONTH(M106)&gt;=Setup!$C$15,MONTH(M106)&lt;=Setup!$C$16),OR(MONTH(M106)&gt;=Setup!$C$15,MONTH(M106)&lt;=Setup!$C$16)),IF(Setup!$C$15&lt;=Setup!$C$16,AND(MONTH(WORKDAY(M106,-(Setup!$C$13+Setup!$G$31),Setup!$C$39:$C$50))&gt;=Setup!$C$15,MONTH(WORKDAY(M106,-(Setup!$C$13+Setup!$G$31),Setup!$C$39:$C$50))&lt;=Setup!$C$16),OR(MONTH(WORKDAY(M106,-(Setup!$C$13+Setup!$G$31),Setup!$C$39:$C$50))&gt;=Setup!$C$15,MONTH(WORKDAY(M106,-(Setup!$C$13+Setup!$G$31),Setup!$C$39:$C$50))&lt;=Setup!$C$16))),WORKDAY(M106,-(Setup!$C$13+Setup!$G$31+Setup!$C$14),Setup!$C$39:$C$50),WORKDAY(M106,-(Setup!$C$13+Setup!$G$31),Setup!$C$39:$C$50))+(101*100+12)/10000000)))</f>
        <v/>
      </c>
      <c r="AD106" t="str">
        <f>IF(N106="","",IF(N106&lt;Setup!$C$5-Setup!$C$6,"",IF(IF(ISNUMBER(Roster!$D106),Setup!$C$32&lt;=Roster!$D106,FALSE),"",IF(OR(IF(Setup!$C$15&lt;=Setup!$C$16,AND(MONTH(N106)&gt;=Setup!$C$15,MONTH(N106)&lt;=Setup!$C$16),OR(MONTH(N106)&gt;=Setup!$C$15,MONTH(N106)&lt;=Setup!$C$16)),IF(Setup!$C$15&lt;=Setup!$C$16,AND(MONTH(WORKDAY(N106,-(Setup!$C$13+Setup!$G$32),Setup!$C$39:$C$50))&gt;=Setup!$C$15,MONTH(WORKDAY(N106,-(Setup!$C$13+Setup!$G$32),Setup!$C$39:$C$50))&lt;=Setup!$C$16),OR(MONTH(WORKDAY(N106,-(Setup!$C$13+Setup!$G$32),Setup!$C$39:$C$50))&gt;=Setup!$C$15,MONTH(WORKDAY(N106,-(Setup!$C$13+Setup!$G$32),Setup!$C$39:$C$50))&lt;=Setup!$C$16))),WORKDAY(N106,-(Setup!$C$13+Setup!$G$32+Setup!$C$14),Setup!$C$39:$C$50),WORKDAY(N106,-(Setup!$C$13+Setup!$G$32),Setup!$C$39:$C$50))+(101*100+13)/10000000)))</f>
        <v/>
      </c>
      <c r="AE106" t="str">
        <f>IF(O106="","",IF(O106&lt;Setup!$C$5-Setup!$C$6,"",IF(IF(ISNUMBER(Roster!$D106),Setup!$C$33&lt;=Roster!$D106,FALSE),"",IF(OR(IF(Setup!$C$15&lt;=Setup!$C$16,AND(MONTH(O106)&gt;=Setup!$C$15,MONTH(O106)&lt;=Setup!$C$16),OR(MONTH(O106)&gt;=Setup!$C$15,MONTH(O106)&lt;=Setup!$C$16)),IF(Setup!$C$15&lt;=Setup!$C$16,AND(MONTH(WORKDAY(O106,-(Setup!$C$13+Setup!$G$33),Setup!$C$39:$C$50))&gt;=Setup!$C$15,MONTH(WORKDAY(O106,-(Setup!$C$13+Setup!$G$33),Setup!$C$39:$C$50))&lt;=Setup!$C$16),OR(MONTH(WORKDAY(O106,-(Setup!$C$13+Setup!$G$33),Setup!$C$39:$C$50))&gt;=Setup!$C$15,MONTH(WORKDAY(O106,-(Setup!$C$13+Setup!$G$33),Setup!$C$39:$C$50))&lt;=Setup!$C$16))),WORKDAY(O106,-(Setup!$C$13+Setup!$G$33+Setup!$C$14),Setup!$C$39:$C$50),WORKDAY(O106,-(Setup!$C$13+Setup!$G$33),Setup!$C$39:$C$50))+(101*100+14)/10000000)))</f>
        <v/>
      </c>
      <c r="AF106" t="str">
        <f>IF(P106="","",IF(P106&lt;Setup!$C$5-Setup!$C$6,"",IF(IF(ISNUMBER(Roster!$D106),Setup!$C$34&lt;=Roster!$D106,FALSE),"",IF(OR(IF(Setup!$C$15&lt;=Setup!$C$16,AND(MONTH(P106)&gt;=Setup!$C$15,MONTH(P106)&lt;=Setup!$C$16),OR(MONTH(P106)&gt;=Setup!$C$15,MONTH(P106)&lt;=Setup!$C$16)),IF(Setup!$C$15&lt;=Setup!$C$16,AND(MONTH(WORKDAY(P106,-(Setup!$C$13+Setup!$G$34),Setup!$C$39:$C$50))&gt;=Setup!$C$15,MONTH(WORKDAY(P106,-(Setup!$C$13+Setup!$G$34),Setup!$C$39:$C$50))&lt;=Setup!$C$16),OR(MONTH(WORKDAY(P106,-(Setup!$C$13+Setup!$G$34),Setup!$C$39:$C$50))&gt;=Setup!$C$15,MONTH(WORKDAY(P106,-(Setup!$C$13+Setup!$G$34),Setup!$C$39:$C$50))&lt;=Setup!$C$16))),WORKDAY(P106,-(Setup!$C$13+Setup!$G$34+Setup!$C$14),Setup!$C$39:$C$50),WORKDAY(P106,-(Setup!$C$13+Setup!$G$34),Setup!$C$39:$C$50))+(101*100+15)/10000000)))</f>
        <v/>
      </c>
      <c r="AH106" t="str">
        <f t="shared" si="9"/>
        <v/>
      </c>
      <c r="AI106" t="str">
        <f t="shared" si="10"/>
        <v/>
      </c>
      <c r="AK106" t="str">
        <f ca="1">IF(101&gt;$AK$2,"",SMALL($R$6:$AF$505,101))</f>
        <v/>
      </c>
      <c r="AL106" t="str">
        <f t="shared" ca="1" si="11"/>
        <v/>
      </c>
      <c r="AM106" t="str">
        <f t="shared" ca="1" si="12"/>
        <v/>
      </c>
      <c r="AN106" t="str">
        <f t="shared" ca="1" si="13"/>
        <v/>
      </c>
      <c r="AP106" t="str">
        <f>IF(ISNUMBER(Roster!$B106),MAX(1,YEAR(Setup!$C$5)-YEAR(Roster!$B106)+IF(EDATE(Roster!$B106,12*(YEAR(Setup!$C$5)-YEAR(Roster!$B106)))&lt;Setup!$C$5,1,0)),"")</f>
        <v/>
      </c>
      <c r="AQ106" s="32" t="str">
        <f>IF(AP106="","",EDATE(Roster!$B106,12*AP106))</f>
        <v/>
      </c>
      <c r="AR106" t="str">
        <f>IF(AQ106="","",IF(AQ106&lt;DATE(YEAR(Setup!$C$5)+1,MONTH(Setup!$C$5),DAY(Setup!$C$5)),AQ106+101/1000,""))</f>
        <v/>
      </c>
      <c r="AS106" t="str">
        <f t="shared" si="14"/>
        <v/>
      </c>
      <c r="AT106" t="str">
        <f>IF(AS106="","",IF(ISNUMBER(Roster!$D106),Roster!$D106&gt;=AP106,FALSE))</f>
        <v/>
      </c>
      <c r="AU106" t="str">
        <f t="shared" si="15"/>
        <v/>
      </c>
      <c r="AV106" t="str">
        <f ca="1">IF(101&gt;$AV$2,"",SMALL($AR$6:$AR$505,101))</f>
        <v/>
      </c>
      <c r="AW106" t="str">
        <f t="shared" ca="1" si="16"/>
        <v/>
      </c>
    </row>
    <row r="107" spans="2:49" x14ac:dyDescent="0.2">
      <c r="B107" s="32" t="str">
        <f>IF(AND(ISNUMBER(Roster!$B107),Setup!$B$20="Yes",ISNUMBER(Setup!$C$20)),EDATE(Roster!$B107,12*Setup!$C$20),"")</f>
        <v/>
      </c>
      <c r="C107" s="32" t="str">
        <f>IF(AND(ISNUMBER(Roster!$B107),Setup!$B$21="Yes",ISNUMBER(Setup!$C$21)),EDATE(Roster!$B107,12*Setup!$C$21),"")</f>
        <v/>
      </c>
      <c r="D107" s="32" t="str">
        <f>IF(AND(ISNUMBER(Roster!$B107),Setup!$B$22="Yes",ISNUMBER(Setup!$C$22)),EDATE(Roster!$B107,12*Setup!$C$22),"")</f>
        <v/>
      </c>
      <c r="E107" s="32" t="str">
        <f>IF(AND(ISNUMBER(Roster!$B107),Setup!$B$23="Yes",ISNUMBER(Setup!$C$23)),EDATE(Roster!$B107,12*Setup!$C$23),"")</f>
        <v/>
      </c>
      <c r="F107" s="32" t="str">
        <f>IF(AND(ISNUMBER(Roster!$B107),Setup!$B$24="Yes",ISNUMBER(Setup!$C$24)),EDATE(Roster!$B107,12*Setup!$C$24),"")</f>
        <v/>
      </c>
      <c r="G107" s="32" t="str">
        <f>IF(AND(ISNUMBER(Roster!$B107),Setup!$B$25="Yes",ISNUMBER(Setup!$C$25)),EDATE(Roster!$B107,12*Setup!$C$25),"")</f>
        <v/>
      </c>
      <c r="H107" s="32" t="str">
        <f>IF(AND(ISNUMBER(Roster!$B107),Setup!$B$26="Yes",ISNUMBER(Setup!$C$26)),EDATE(Roster!$B107,12*Setup!$C$26),"")</f>
        <v/>
      </c>
      <c r="I107" s="32" t="str">
        <f>IF(AND(ISNUMBER(Roster!$B107),Setup!$B$27="Yes",ISNUMBER(Setup!$C$27)),EDATE(Roster!$B107,12*Setup!$C$27),"")</f>
        <v/>
      </c>
      <c r="J107" s="32" t="str">
        <f>IF(AND(ISNUMBER(Roster!$B107),Setup!$B$28="Yes",ISNUMBER(Setup!$C$28)),EDATE(Roster!$B107,12*Setup!$C$28),"")</f>
        <v/>
      </c>
      <c r="K107" s="32" t="str">
        <f>IF(AND(ISNUMBER(Roster!$B107),Setup!$B$29="Yes",ISNUMBER(Setup!$C$29)),EDATE(Roster!$B107,12*Setup!$C$29),"")</f>
        <v/>
      </c>
      <c r="L107" s="32" t="str">
        <f>IF(AND(ISNUMBER(Roster!$B107),Setup!$B$30="Yes",ISNUMBER(Setup!$C$30)),EDATE(Roster!$B107,12*Setup!$C$30),"")</f>
        <v/>
      </c>
      <c r="M107" s="32" t="str">
        <f>IF(AND(ISNUMBER(Roster!$B107),Setup!$B$31="Yes",ISNUMBER(Setup!$C$31)),EDATE(Roster!$B107,12*Setup!$C$31),"")</f>
        <v/>
      </c>
      <c r="N107" s="32" t="str">
        <f>IF(AND(ISNUMBER(Roster!$B107),Setup!$B$32="Yes",ISNUMBER(Setup!$C$32)),EDATE(Roster!$B107,12*Setup!$C$32),"")</f>
        <v/>
      </c>
      <c r="O107" s="32" t="str">
        <f>IF(AND(ISNUMBER(Roster!$B107),Setup!$B$33="Yes",ISNUMBER(Setup!$C$33)),EDATE(Roster!$B107,12*Setup!$C$33),"")</f>
        <v/>
      </c>
      <c r="P107" s="32" t="str">
        <f>IF(AND(ISNUMBER(Roster!$B107),Setup!$B$34="Yes",ISNUMBER(Setup!$C$34)),EDATE(Roster!$B107,12*Setup!$C$34),"")</f>
        <v/>
      </c>
      <c r="R107" t="str">
        <f>IF(B107="","",IF(B107&lt;Setup!$C$5-Setup!$C$6,"",IF(IF(ISNUMBER(Roster!$D107),Setup!$C$20&lt;=Roster!$D107,FALSE),"",IF(OR(IF(Setup!$C$15&lt;=Setup!$C$16,AND(MONTH(B107)&gt;=Setup!$C$15,MONTH(B107)&lt;=Setup!$C$16),OR(MONTH(B107)&gt;=Setup!$C$15,MONTH(B107)&lt;=Setup!$C$16)),IF(Setup!$C$15&lt;=Setup!$C$16,AND(MONTH(WORKDAY(B107,-(Setup!$C$13+Setup!$G$20),Setup!$C$39:$C$50))&gt;=Setup!$C$15,MONTH(WORKDAY(B107,-(Setup!$C$13+Setup!$G$20),Setup!$C$39:$C$50))&lt;=Setup!$C$16),OR(MONTH(WORKDAY(B107,-(Setup!$C$13+Setup!$G$20),Setup!$C$39:$C$50))&gt;=Setup!$C$15,MONTH(WORKDAY(B107,-(Setup!$C$13+Setup!$G$20),Setup!$C$39:$C$50))&lt;=Setup!$C$16))),WORKDAY(B107,-(Setup!$C$13+Setup!$G$20+Setup!$C$14),Setup!$C$39:$C$50),WORKDAY(B107,-(Setup!$C$13+Setup!$G$20),Setup!$C$39:$C$50))+(102*100+1)/10000000)))</f>
        <v/>
      </c>
      <c r="S107" t="str">
        <f>IF(C107="","",IF(C107&lt;Setup!$C$5-Setup!$C$6,"",IF(IF(ISNUMBER(Roster!$D107),Setup!$C$21&lt;=Roster!$D107,FALSE),"",IF(OR(IF(Setup!$C$15&lt;=Setup!$C$16,AND(MONTH(C107)&gt;=Setup!$C$15,MONTH(C107)&lt;=Setup!$C$16),OR(MONTH(C107)&gt;=Setup!$C$15,MONTH(C107)&lt;=Setup!$C$16)),IF(Setup!$C$15&lt;=Setup!$C$16,AND(MONTH(WORKDAY(C107,-(Setup!$C$13+Setup!$G$21),Setup!$C$39:$C$50))&gt;=Setup!$C$15,MONTH(WORKDAY(C107,-(Setup!$C$13+Setup!$G$21),Setup!$C$39:$C$50))&lt;=Setup!$C$16),OR(MONTH(WORKDAY(C107,-(Setup!$C$13+Setup!$G$21),Setup!$C$39:$C$50))&gt;=Setup!$C$15,MONTH(WORKDAY(C107,-(Setup!$C$13+Setup!$G$21),Setup!$C$39:$C$50))&lt;=Setup!$C$16))),WORKDAY(C107,-(Setup!$C$13+Setup!$G$21+Setup!$C$14),Setup!$C$39:$C$50),WORKDAY(C107,-(Setup!$C$13+Setup!$G$21),Setup!$C$39:$C$50))+(102*100+2)/10000000)))</f>
        <v/>
      </c>
      <c r="T107" t="str">
        <f>IF(D107="","",IF(D107&lt;Setup!$C$5-Setup!$C$6,"",IF(IF(ISNUMBER(Roster!$D107),Setup!$C$22&lt;=Roster!$D107,FALSE),"",IF(OR(IF(Setup!$C$15&lt;=Setup!$C$16,AND(MONTH(D107)&gt;=Setup!$C$15,MONTH(D107)&lt;=Setup!$C$16),OR(MONTH(D107)&gt;=Setup!$C$15,MONTH(D107)&lt;=Setup!$C$16)),IF(Setup!$C$15&lt;=Setup!$C$16,AND(MONTH(WORKDAY(D107,-(Setup!$C$13+Setup!$G$22),Setup!$C$39:$C$50))&gt;=Setup!$C$15,MONTH(WORKDAY(D107,-(Setup!$C$13+Setup!$G$22),Setup!$C$39:$C$50))&lt;=Setup!$C$16),OR(MONTH(WORKDAY(D107,-(Setup!$C$13+Setup!$G$22),Setup!$C$39:$C$50))&gt;=Setup!$C$15,MONTH(WORKDAY(D107,-(Setup!$C$13+Setup!$G$22),Setup!$C$39:$C$50))&lt;=Setup!$C$16))),WORKDAY(D107,-(Setup!$C$13+Setup!$G$22+Setup!$C$14),Setup!$C$39:$C$50),WORKDAY(D107,-(Setup!$C$13+Setup!$G$22),Setup!$C$39:$C$50))+(102*100+3)/10000000)))</f>
        <v/>
      </c>
      <c r="U107" t="str">
        <f>IF(E107="","",IF(E107&lt;Setup!$C$5-Setup!$C$6,"",IF(IF(ISNUMBER(Roster!$D107),Setup!$C$23&lt;=Roster!$D107,FALSE),"",IF(OR(IF(Setup!$C$15&lt;=Setup!$C$16,AND(MONTH(E107)&gt;=Setup!$C$15,MONTH(E107)&lt;=Setup!$C$16),OR(MONTH(E107)&gt;=Setup!$C$15,MONTH(E107)&lt;=Setup!$C$16)),IF(Setup!$C$15&lt;=Setup!$C$16,AND(MONTH(WORKDAY(E107,-(Setup!$C$13+Setup!$G$23),Setup!$C$39:$C$50))&gt;=Setup!$C$15,MONTH(WORKDAY(E107,-(Setup!$C$13+Setup!$G$23),Setup!$C$39:$C$50))&lt;=Setup!$C$16),OR(MONTH(WORKDAY(E107,-(Setup!$C$13+Setup!$G$23),Setup!$C$39:$C$50))&gt;=Setup!$C$15,MONTH(WORKDAY(E107,-(Setup!$C$13+Setup!$G$23),Setup!$C$39:$C$50))&lt;=Setup!$C$16))),WORKDAY(E107,-(Setup!$C$13+Setup!$G$23+Setup!$C$14),Setup!$C$39:$C$50),WORKDAY(E107,-(Setup!$C$13+Setup!$G$23),Setup!$C$39:$C$50))+(102*100+4)/10000000)))</f>
        <v/>
      </c>
      <c r="V107" t="str">
        <f>IF(F107="","",IF(F107&lt;Setup!$C$5-Setup!$C$6,"",IF(IF(ISNUMBER(Roster!$D107),Setup!$C$24&lt;=Roster!$D107,FALSE),"",IF(OR(IF(Setup!$C$15&lt;=Setup!$C$16,AND(MONTH(F107)&gt;=Setup!$C$15,MONTH(F107)&lt;=Setup!$C$16),OR(MONTH(F107)&gt;=Setup!$C$15,MONTH(F107)&lt;=Setup!$C$16)),IF(Setup!$C$15&lt;=Setup!$C$16,AND(MONTH(WORKDAY(F107,-(Setup!$C$13+Setup!$G$24),Setup!$C$39:$C$50))&gt;=Setup!$C$15,MONTH(WORKDAY(F107,-(Setup!$C$13+Setup!$G$24),Setup!$C$39:$C$50))&lt;=Setup!$C$16),OR(MONTH(WORKDAY(F107,-(Setup!$C$13+Setup!$G$24),Setup!$C$39:$C$50))&gt;=Setup!$C$15,MONTH(WORKDAY(F107,-(Setup!$C$13+Setup!$G$24),Setup!$C$39:$C$50))&lt;=Setup!$C$16))),WORKDAY(F107,-(Setup!$C$13+Setup!$G$24+Setup!$C$14),Setup!$C$39:$C$50),WORKDAY(F107,-(Setup!$C$13+Setup!$G$24),Setup!$C$39:$C$50))+(102*100+5)/10000000)))</f>
        <v/>
      </c>
      <c r="W107" t="str">
        <f>IF(G107="","",IF(G107&lt;Setup!$C$5-Setup!$C$6,"",IF(IF(ISNUMBER(Roster!$D107),Setup!$C$25&lt;=Roster!$D107,FALSE),"",IF(OR(IF(Setup!$C$15&lt;=Setup!$C$16,AND(MONTH(G107)&gt;=Setup!$C$15,MONTH(G107)&lt;=Setup!$C$16),OR(MONTH(G107)&gt;=Setup!$C$15,MONTH(G107)&lt;=Setup!$C$16)),IF(Setup!$C$15&lt;=Setup!$C$16,AND(MONTH(WORKDAY(G107,-(Setup!$C$13+Setup!$G$25),Setup!$C$39:$C$50))&gt;=Setup!$C$15,MONTH(WORKDAY(G107,-(Setup!$C$13+Setup!$G$25),Setup!$C$39:$C$50))&lt;=Setup!$C$16),OR(MONTH(WORKDAY(G107,-(Setup!$C$13+Setup!$G$25),Setup!$C$39:$C$50))&gt;=Setup!$C$15,MONTH(WORKDAY(G107,-(Setup!$C$13+Setup!$G$25),Setup!$C$39:$C$50))&lt;=Setup!$C$16))),WORKDAY(G107,-(Setup!$C$13+Setup!$G$25+Setup!$C$14),Setup!$C$39:$C$50),WORKDAY(G107,-(Setup!$C$13+Setup!$G$25),Setup!$C$39:$C$50))+(102*100+6)/10000000)))</f>
        <v/>
      </c>
      <c r="X107" t="str">
        <f>IF(H107="","",IF(H107&lt;Setup!$C$5-Setup!$C$6,"",IF(IF(ISNUMBER(Roster!$D107),Setup!$C$26&lt;=Roster!$D107,FALSE),"",IF(OR(IF(Setup!$C$15&lt;=Setup!$C$16,AND(MONTH(H107)&gt;=Setup!$C$15,MONTH(H107)&lt;=Setup!$C$16),OR(MONTH(H107)&gt;=Setup!$C$15,MONTH(H107)&lt;=Setup!$C$16)),IF(Setup!$C$15&lt;=Setup!$C$16,AND(MONTH(WORKDAY(H107,-(Setup!$C$13+Setup!$G$26),Setup!$C$39:$C$50))&gt;=Setup!$C$15,MONTH(WORKDAY(H107,-(Setup!$C$13+Setup!$G$26),Setup!$C$39:$C$50))&lt;=Setup!$C$16),OR(MONTH(WORKDAY(H107,-(Setup!$C$13+Setup!$G$26),Setup!$C$39:$C$50))&gt;=Setup!$C$15,MONTH(WORKDAY(H107,-(Setup!$C$13+Setup!$G$26),Setup!$C$39:$C$50))&lt;=Setup!$C$16))),WORKDAY(H107,-(Setup!$C$13+Setup!$G$26+Setup!$C$14),Setup!$C$39:$C$50),WORKDAY(H107,-(Setup!$C$13+Setup!$G$26),Setup!$C$39:$C$50))+(102*100+7)/10000000)))</f>
        <v/>
      </c>
      <c r="Y107" t="str">
        <f>IF(I107="","",IF(I107&lt;Setup!$C$5-Setup!$C$6,"",IF(IF(ISNUMBER(Roster!$D107),Setup!$C$27&lt;=Roster!$D107,FALSE),"",IF(OR(IF(Setup!$C$15&lt;=Setup!$C$16,AND(MONTH(I107)&gt;=Setup!$C$15,MONTH(I107)&lt;=Setup!$C$16),OR(MONTH(I107)&gt;=Setup!$C$15,MONTH(I107)&lt;=Setup!$C$16)),IF(Setup!$C$15&lt;=Setup!$C$16,AND(MONTH(WORKDAY(I107,-(Setup!$C$13+Setup!$G$27),Setup!$C$39:$C$50))&gt;=Setup!$C$15,MONTH(WORKDAY(I107,-(Setup!$C$13+Setup!$G$27),Setup!$C$39:$C$50))&lt;=Setup!$C$16),OR(MONTH(WORKDAY(I107,-(Setup!$C$13+Setup!$G$27),Setup!$C$39:$C$50))&gt;=Setup!$C$15,MONTH(WORKDAY(I107,-(Setup!$C$13+Setup!$G$27),Setup!$C$39:$C$50))&lt;=Setup!$C$16))),WORKDAY(I107,-(Setup!$C$13+Setup!$G$27+Setup!$C$14),Setup!$C$39:$C$50),WORKDAY(I107,-(Setup!$C$13+Setup!$G$27),Setup!$C$39:$C$50))+(102*100+8)/10000000)))</f>
        <v/>
      </c>
      <c r="Z107" t="str">
        <f>IF(J107="","",IF(J107&lt;Setup!$C$5-Setup!$C$6,"",IF(IF(ISNUMBER(Roster!$D107),Setup!$C$28&lt;=Roster!$D107,FALSE),"",IF(OR(IF(Setup!$C$15&lt;=Setup!$C$16,AND(MONTH(J107)&gt;=Setup!$C$15,MONTH(J107)&lt;=Setup!$C$16),OR(MONTH(J107)&gt;=Setup!$C$15,MONTH(J107)&lt;=Setup!$C$16)),IF(Setup!$C$15&lt;=Setup!$C$16,AND(MONTH(WORKDAY(J107,-(Setup!$C$13+Setup!$G$28),Setup!$C$39:$C$50))&gt;=Setup!$C$15,MONTH(WORKDAY(J107,-(Setup!$C$13+Setup!$G$28),Setup!$C$39:$C$50))&lt;=Setup!$C$16),OR(MONTH(WORKDAY(J107,-(Setup!$C$13+Setup!$G$28),Setup!$C$39:$C$50))&gt;=Setup!$C$15,MONTH(WORKDAY(J107,-(Setup!$C$13+Setup!$G$28),Setup!$C$39:$C$50))&lt;=Setup!$C$16))),WORKDAY(J107,-(Setup!$C$13+Setup!$G$28+Setup!$C$14),Setup!$C$39:$C$50),WORKDAY(J107,-(Setup!$C$13+Setup!$G$28),Setup!$C$39:$C$50))+(102*100+9)/10000000)))</f>
        <v/>
      </c>
      <c r="AA107" t="str">
        <f>IF(K107="","",IF(K107&lt;Setup!$C$5-Setup!$C$6,"",IF(IF(ISNUMBER(Roster!$D107),Setup!$C$29&lt;=Roster!$D107,FALSE),"",IF(OR(IF(Setup!$C$15&lt;=Setup!$C$16,AND(MONTH(K107)&gt;=Setup!$C$15,MONTH(K107)&lt;=Setup!$C$16),OR(MONTH(K107)&gt;=Setup!$C$15,MONTH(K107)&lt;=Setup!$C$16)),IF(Setup!$C$15&lt;=Setup!$C$16,AND(MONTH(WORKDAY(K107,-(Setup!$C$13+Setup!$G$29),Setup!$C$39:$C$50))&gt;=Setup!$C$15,MONTH(WORKDAY(K107,-(Setup!$C$13+Setup!$G$29),Setup!$C$39:$C$50))&lt;=Setup!$C$16),OR(MONTH(WORKDAY(K107,-(Setup!$C$13+Setup!$G$29),Setup!$C$39:$C$50))&gt;=Setup!$C$15,MONTH(WORKDAY(K107,-(Setup!$C$13+Setup!$G$29),Setup!$C$39:$C$50))&lt;=Setup!$C$16))),WORKDAY(K107,-(Setup!$C$13+Setup!$G$29+Setup!$C$14),Setup!$C$39:$C$50),WORKDAY(K107,-(Setup!$C$13+Setup!$G$29),Setup!$C$39:$C$50))+(102*100+10)/10000000)))</f>
        <v/>
      </c>
      <c r="AB107" t="str">
        <f>IF(L107="","",IF(L107&lt;Setup!$C$5-Setup!$C$6,"",IF(IF(ISNUMBER(Roster!$D107),Setup!$C$30&lt;=Roster!$D107,FALSE),"",IF(OR(IF(Setup!$C$15&lt;=Setup!$C$16,AND(MONTH(L107)&gt;=Setup!$C$15,MONTH(L107)&lt;=Setup!$C$16),OR(MONTH(L107)&gt;=Setup!$C$15,MONTH(L107)&lt;=Setup!$C$16)),IF(Setup!$C$15&lt;=Setup!$C$16,AND(MONTH(WORKDAY(L107,-(Setup!$C$13+Setup!$G$30),Setup!$C$39:$C$50))&gt;=Setup!$C$15,MONTH(WORKDAY(L107,-(Setup!$C$13+Setup!$G$30),Setup!$C$39:$C$50))&lt;=Setup!$C$16),OR(MONTH(WORKDAY(L107,-(Setup!$C$13+Setup!$G$30),Setup!$C$39:$C$50))&gt;=Setup!$C$15,MONTH(WORKDAY(L107,-(Setup!$C$13+Setup!$G$30),Setup!$C$39:$C$50))&lt;=Setup!$C$16))),WORKDAY(L107,-(Setup!$C$13+Setup!$G$30+Setup!$C$14),Setup!$C$39:$C$50),WORKDAY(L107,-(Setup!$C$13+Setup!$G$30),Setup!$C$39:$C$50))+(102*100+11)/10000000)))</f>
        <v/>
      </c>
      <c r="AC107" t="str">
        <f>IF(M107="","",IF(M107&lt;Setup!$C$5-Setup!$C$6,"",IF(IF(ISNUMBER(Roster!$D107),Setup!$C$31&lt;=Roster!$D107,FALSE),"",IF(OR(IF(Setup!$C$15&lt;=Setup!$C$16,AND(MONTH(M107)&gt;=Setup!$C$15,MONTH(M107)&lt;=Setup!$C$16),OR(MONTH(M107)&gt;=Setup!$C$15,MONTH(M107)&lt;=Setup!$C$16)),IF(Setup!$C$15&lt;=Setup!$C$16,AND(MONTH(WORKDAY(M107,-(Setup!$C$13+Setup!$G$31),Setup!$C$39:$C$50))&gt;=Setup!$C$15,MONTH(WORKDAY(M107,-(Setup!$C$13+Setup!$G$31),Setup!$C$39:$C$50))&lt;=Setup!$C$16),OR(MONTH(WORKDAY(M107,-(Setup!$C$13+Setup!$G$31),Setup!$C$39:$C$50))&gt;=Setup!$C$15,MONTH(WORKDAY(M107,-(Setup!$C$13+Setup!$G$31),Setup!$C$39:$C$50))&lt;=Setup!$C$16))),WORKDAY(M107,-(Setup!$C$13+Setup!$G$31+Setup!$C$14),Setup!$C$39:$C$50),WORKDAY(M107,-(Setup!$C$13+Setup!$G$31),Setup!$C$39:$C$50))+(102*100+12)/10000000)))</f>
        <v/>
      </c>
      <c r="AD107" t="str">
        <f>IF(N107="","",IF(N107&lt;Setup!$C$5-Setup!$C$6,"",IF(IF(ISNUMBER(Roster!$D107),Setup!$C$32&lt;=Roster!$D107,FALSE),"",IF(OR(IF(Setup!$C$15&lt;=Setup!$C$16,AND(MONTH(N107)&gt;=Setup!$C$15,MONTH(N107)&lt;=Setup!$C$16),OR(MONTH(N107)&gt;=Setup!$C$15,MONTH(N107)&lt;=Setup!$C$16)),IF(Setup!$C$15&lt;=Setup!$C$16,AND(MONTH(WORKDAY(N107,-(Setup!$C$13+Setup!$G$32),Setup!$C$39:$C$50))&gt;=Setup!$C$15,MONTH(WORKDAY(N107,-(Setup!$C$13+Setup!$G$32),Setup!$C$39:$C$50))&lt;=Setup!$C$16),OR(MONTH(WORKDAY(N107,-(Setup!$C$13+Setup!$G$32),Setup!$C$39:$C$50))&gt;=Setup!$C$15,MONTH(WORKDAY(N107,-(Setup!$C$13+Setup!$G$32),Setup!$C$39:$C$50))&lt;=Setup!$C$16))),WORKDAY(N107,-(Setup!$C$13+Setup!$G$32+Setup!$C$14),Setup!$C$39:$C$50),WORKDAY(N107,-(Setup!$C$13+Setup!$G$32),Setup!$C$39:$C$50))+(102*100+13)/10000000)))</f>
        <v/>
      </c>
      <c r="AE107" t="str">
        <f>IF(O107="","",IF(O107&lt;Setup!$C$5-Setup!$C$6,"",IF(IF(ISNUMBER(Roster!$D107),Setup!$C$33&lt;=Roster!$D107,FALSE),"",IF(OR(IF(Setup!$C$15&lt;=Setup!$C$16,AND(MONTH(O107)&gt;=Setup!$C$15,MONTH(O107)&lt;=Setup!$C$16),OR(MONTH(O107)&gt;=Setup!$C$15,MONTH(O107)&lt;=Setup!$C$16)),IF(Setup!$C$15&lt;=Setup!$C$16,AND(MONTH(WORKDAY(O107,-(Setup!$C$13+Setup!$G$33),Setup!$C$39:$C$50))&gt;=Setup!$C$15,MONTH(WORKDAY(O107,-(Setup!$C$13+Setup!$G$33),Setup!$C$39:$C$50))&lt;=Setup!$C$16),OR(MONTH(WORKDAY(O107,-(Setup!$C$13+Setup!$G$33),Setup!$C$39:$C$50))&gt;=Setup!$C$15,MONTH(WORKDAY(O107,-(Setup!$C$13+Setup!$G$33),Setup!$C$39:$C$50))&lt;=Setup!$C$16))),WORKDAY(O107,-(Setup!$C$13+Setup!$G$33+Setup!$C$14),Setup!$C$39:$C$50),WORKDAY(O107,-(Setup!$C$13+Setup!$G$33),Setup!$C$39:$C$50))+(102*100+14)/10000000)))</f>
        <v/>
      </c>
      <c r="AF107" t="str">
        <f>IF(P107="","",IF(P107&lt;Setup!$C$5-Setup!$C$6,"",IF(IF(ISNUMBER(Roster!$D107),Setup!$C$34&lt;=Roster!$D107,FALSE),"",IF(OR(IF(Setup!$C$15&lt;=Setup!$C$16,AND(MONTH(P107)&gt;=Setup!$C$15,MONTH(P107)&lt;=Setup!$C$16),OR(MONTH(P107)&gt;=Setup!$C$15,MONTH(P107)&lt;=Setup!$C$16)),IF(Setup!$C$15&lt;=Setup!$C$16,AND(MONTH(WORKDAY(P107,-(Setup!$C$13+Setup!$G$34),Setup!$C$39:$C$50))&gt;=Setup!$C$15,MONTH(WORKDAY(P107,-(Setup!$C$13+Setup!$G$34),Setup!$C$39:$C$50))&lt;=Setup!$C$16),OR(MONTH(WORKDAY(P107,-(Setup!$C$13+Setup!$G$34),Setup!$C$39:$C$50))&gt;=Setup!$C$15,MONTH(WORKDAY(P107,-(Setup!$C$13+Setup!$G$34),Setup!$C$39:$C$50))&lt;=Setup!$C$16))),WORKDAY(P107,-(Setup!$C$13+Setup!$G$34+Setup!$C$14),Setup!$C$39:$C$50),WORKDAY(P107,-(Setup!$C$13+Setup!$G$34),Setup!$C$39:$C$50))+(102*100+15)/10000000)))</f>
        <v/>
      </c>
      <c r="AH107" t="str">
        <f t="shared" si="9"/>
        <v/>
      </c>
      <c r="AI107" t="str">
        <f t="shared" si="10"/>
        <v/>
      </c>
      <c r="AK107" t="str">
        <f ca="1">IF(102&gt;$AK$2,"",SMALL($R$6:$AF$505,102))</f>
        <v/>
      </c>
      <c r="AL107" t="str">
        <f t="shared" ca="1" si="11"/>
        <v/>
      </c>
      <c r="AM107" t="str">
        <f t="shared" ca="1" si="12"/>
        <v/>
      </c>
      <c r="AN107" t="str">
        <f t="shared" ca="1" si="13"/>
        <v/>
      </c>
      <c r="AP107" t="str">
        <f>IF(ISNUMBER(Roster!$B107),MAX(1,YEAR(Setup!$C$5)-YEAR(Roster!$B107)+IF(EDATE(Roster!$B107,12*(YEAR(Setup!$C$5)-YEAR(Roster!$B107)))&lt;Setup!$C$5,1,0)),"")</f>
        <v/>
      </c>
      <c r="AQ107" s="32" t="str">
        <f>IF(AP107="","",EDATE(Roster!$B107,12*AP107))</f>
        <v/>
      </c>
      <c r="AR107" t="str">
        <f>IF(AQ107="","",IF(AQ107&lt;DATE(YEAR(Setup!$C$5)+1,MONTH(Setup!$C$5),DAY(Setup!$C$5)),AQ107+102/1000,""))</f>
        <v/>
      </c>
      <c r="AS107" t="str">
        <f t="shared" si="14"/>
        <v/>
      </c>
      <c r="AT107" t="str">
        <f>IF(AS107="","",IF(ISNUMBER(Roster!$D107),Roster!$D107&gt;=AP107,FALSE))</f>
        <v/>
      </c>
      <c r="AU107" t="str">
        <f t="shared" si="15"/>
        <v/>
      </c>
      <c r="AV107" t="str">
        <f ca="1">IF(102&gt;$AV$2,"",SMALL($AR$6:$AR$505,102))</f>
        <v/>
      </c>
      <c r="AW107" t="str">
        <f t="shared" ca="1" si="16"/>
        <v/>
      </c>
    </row>
    <row r="108" spans="2:49" x14ac:dyDescent="0.2">
      <c r="B108" s="32" t="str">
        <f>IF(AND(ISNUMBER(Roster!$B108),Setup!$B$20="Yes",ISNUMBER(Setup!$C$20)),EDATE(Roster!$B108,12*Setup!$C$20),"")</f>
        <v/>
      </c>
      <c r="C108" s="32" t="str">
        <f>IF(AND(ISNUMBER(Roster!$B108),Setup!$B$21="Yes",ISNUMBER(Setup!$C$21)),EDATE(Roster!$B108,12*Setup!$C$21),"")</f>
        <v/>
      </c>
      <c r="D108" s="32" t="str">
        <f>IF(AND(ISNUMBER(Roster!$B108),Setup!$B$22="Yes",ISNUMBER(Setup!$C$22)),EDATE(Roster!$B108,12*Setup!$C$22),"")</f>
        <v/>
      </c>
      <c r="E108" s="32" t="str">
        <f>IF(AND(ISNUMBER(Roster!$B108),Setup!$B$23="Yes",ISNUMBER(Setup!$C$23)),EDATE(Roster!$B108,12*Setup!$C$23),"")</f>
        <v/>
      </c>
      <c r="F108" s="32" t="str">
        <f>IF(AND(ISNUMBER(Roster!$B108),Setup!$B$24="Yes",ISNUMBER(Setup!$C$24)),EDATE(Roster!$B108,12*Setup!$C$24),"")</f>
        <v/>
      </c>
      <c r="G108" s="32" t="str">
        <f>IF(AND(ISNUMBER(Roster!$B108),Setup!$B$25="Yes",ISNUMBER(Setup!$C$25)),EDATE(Roster!$B108,12*Setup!$C$25),"")</f>
        <v/>
      </c>
      <c r="H108" s="32" t="str">
        <f>IF(AND(ISNUMBER(Roster!$B108),Setup!$B$26="Yes",ISNUMBER(Setup!$C$26)),EDATE(Roster!$B108,12*Setup!$C$26),"")</f>
        <v/>
      </c>
      <c r="I108" s="32" t="str">
        <f>IF(AND(ISNUMBER(Roster!$B108),Setup!$B$27="Yes",ISNUMBER(Setup!$C$27)),EDATE(Roster!$B108,12*Setup!$C$27),"")</f>
        <v/>
      </c>
      <c r="J108" s="32" t="str">
        <f>IF(AND(ISNUMBER(Roster!$B108),Setup!$B$28="Yes",ISNUMBER(Setup!$C$28)),EDATE(Roster!$B108,12*Setup!$C$28),"")</f>
        <v/>
      </c>
      <c r="K108" s="32" t="str">
        <f>IF(AND(ISNUMBER(Roster!$B108),Setup!$B$29="Yes",ISNUMBER(Setup!$C$29)),EDATE(Roster!$B108,12*Setup!$C$29),"")</f>
        <v/>
      </c>
      <c r="L108" s="32" t="str">
        <f>IF(AND(ISNUMBER(Roster!$B108),Setup!$B$30="Yes",ISNUMBER(Setup!$C$30)),EDATE(Roster!$B108,12*Setup!$C$30),"")</f>
        <v/>
      </c>
      <c r="M108" s="32" t="str">
        <f>IF(AND(ISNUMBER(Roster!$B108),Setup!$B$31="Yes",ISNUMBER(Setup!$C$31)),EDATE(Roster!$B108,12*Setup!$C$31),"")</f>
        <v/>
      </c>
      <c r="N108" s="32" t="str">
        <f>IF(AND(ISNUMBER(Roster!$B108),Setup!$B$32="Yes",ISNUMBER(Setup!$C$32)),EDATE(Roster!$B108,12*Setup!$C$32),"")</f>
        <v/>
      </c>
      <c r="O108" s="32" t="str">
        <f>IF(AND(ISNUMBER(Roster!$B108),Setup!$B$33="Yes",ISNUMBER(Setup!$C$33)),EDATE(Roster!$B108,12*Setup!$C$33),"")</f>
        <v/>
      </c>
      <c r="P108" s="32" t="str">
        <f>IF(AND(ISNUMBER(Roster!$B108),Setup!$B$34="Yes",ISNUMBER(Setup!$C$34)),EDATE(Roster!$B108,12*Setup!$C$34),"")</f>
        <v/>
      </c>
      <c r="R108" t="str">
        <f>IF(B108="","",IF(B108&lt;Setup!$C$5-Setup!$C$6,"",IF(IF(ISNUMBER(Roster!$D108),Setup!$C$20&lt;=Roster!$D108,FALSE),"",IF(OR(IF(Setup!$C$15&lt;=Setup!$C$16,AND(MONTH(B108)&gt;=Setup!$C$15,MONTH(B108)&lt;=Setup!$C$16),OR(MONTH(B108)&gt;=Setup!$C$15,MONTH(B108)&lt;=Setup!$C$16)),IF(Setup!$C$15&lt;=Setup!$C$16,AND(MONTH(WORKDAY(B108,-(Setup!$C$13+Setup!$G$20),Setup!$C$39:$C$50))&gt;=Setup!$C$15,MONTH(WORKDAY(B108,-(Setup!$C$13+Setup!$G$20),Setup!$C$39:$C$50))&lt;=Setup!$C$16),OR(MONTH(WORKDAY(B108,-(Setup!$C$13+Setup!$G$20),Setup!$C$39:$C$50))&gt;=Setup!$C$15,MONTH(WORKDAY(B108,-(Setup!$C$13+Setup!$G$20),Setup!$C$39:$C$50))&lt;=Setup!$C$16))),WORKDAY(B108,-(Setup!$C$13+Setup!$G$20+Setup!$C$14),Setup!$C$39:$C$50),WORKDAY(B108,-(Setup!$C$13+Setup!$G$20),Setup!$C$39:$C$50))+(103*100+1)/10000000)))</f>
        <v/>
      </c>
      <c r="S108" t="str">
        <f>IF(C108="","",IF(C108&lt;Setup!$C$5-Setup!$C$6,"",IF(IF(ISNUMBER(Roster!$D108),Setup!$C$21&lt;=Roster!$D108,FALSE),"",IF(OR(IF(Setup!$C$15&lt;=Setup!$C$16,AND(MONTH(C108)&gt;=Setup!$C$15,MONTH(C108)&lt;=Setup!$C$16),OR(MONTH(C108)&gt;=Setup!$C$15,MONTH(C108)&lt;=Setup!$C$16)),IF(Setup!$C$15&lt;=Setup!$C$16,AND(MONTH(WORKDAY(C108,-(Setup!$C$13+Setup!$G$21),Setup!$C$39:$C$50))&gt;=Setup!$C$15,MONTH(WORKDAY(C108,-(Setup!$C$13+Setup!$G$21),Setup!$C$39:$C$50))&lt;=Setup!$C$16),OR(MONTH(WORKDAY(C108,-(Setup!$C$13+Setup!$G$21),Setup!$C$39:$C$50))&gt;=Setup!$C$15,MONTH(WORKDAY(C108,-(Setup!$C$13+Setup!$G$21),Setup!$C$39:$C$50))&lt;=Setup!$C$16))),WORKDAY(C108,-(Setup!$C$13+Setup!$G$21+Setup!$C$14),Setup!$C$39:$C$50),WORKDAY(C108,-(Setup!$C$13+Setup!$G$21),Setup!$C$39:$C$50))+(103*100+2)/10000000)))</f>
        <v/>
      </c>
      <c r="T108" t="str">
        <f>IF(D108="","",IF(D108&lt;Setup!$C$5-Setup!$C$6,"",IF(IF(ISNUMBER(Roster!$D108),Setup!$C$22&lt;=Roster!$D108,FALSE),"",IF(OR(IF(Setup!$C$15&lt;=Setup!$C$16,AND(MONTH(D108)&gt;=Setup!$C$15,MONTH(D108)&lt;=Setup!$C$16),OR(MONTH(D108)&gt;=Setup!$C$15,MONTH(D108)&lt;=Setup!$C$16)),IF(Setup!$C$15&lt;=Setup!$C$16,AND(MONTH(WORKDAY(D108,-(Setup!$C$13+Setup!$G$22),Setup!$C$39:$C$50))&gt;=Setup!$C$15,MONTH(WORKDAY(D108,-(Setup!$C$13+Setup!$G$22),Setup!$C$39:$C$50))&lt;=Setup!$C$16),OR(MONTH(WORKDAY(D108,-(Setup!$C$13+Setup!$G$22),Setup!$C$39:$C$50))&gt;=Setup!$C$15,MONTH(WORKDAY(D108,-(Setup!$C$13+Setup!$G$22),Setup!$C$39:$C$50))&lt;=Setup!$C$16))),WORKDAY(D108,-(Setup!$C$13+Setup!$G$22+Setup!$C$14),Setup!$C$39:$C$50),WORKDAY(D108,-(Setup!$C$13+Setup!$G$22),Setup!$C$39:$C$50))+(103*100+3)/10000000)))</f>
        <v/>
      </c>
      <c r="U108" t="str">
        <f>IF(E108="","",IF(E108&lt;Setup!$C$5-Setup!$C$6,"",IF(IF(ISNUMBER(Roster!$D108),Setup!$C$23&lt;=Roster!$D108,FALSE),"",IF(OR(IF(Setup!$C$15&lt;=Setup!$C$16,AND(MONTH(E108)&gt;=Setup!$C$15,MONTH(E108)&lt;=Setup!$C$16),OR(MONTH(E108)&gt;=Setup!$C$15,MONTH(E108)&lt;=Setup!$C$16)),IF(Setup!$C$15&lt;=Setup!$C$16,AND(MONTH(WORKDAY(E108,-(Setup!$C$13+Setup!$G$23),Setup!$C$39:$C$50))&gt;=Setup!$C$15,MONTH(WORKDAY(E108,-(Setup!$C$13+Setup!$G$23),Setup!$C$39:$C$50))&lt;=Setup!$C$16),OR(MONTH(WORKDAY(E108,-(Setup!$C$13+Setup!$G$23),Setup!$C$39:$C$50))&gt;=Setup!$C$15,MONTH(WORKDAY(E108,-(Setup!$C$13+Setup!$G$23),Setup!$C$39:$C$50))&lt;=Setup!$C$16))),WORKDAY(E108,-(Setup!$C$13+Setup!$G$23+Setup!$C$14),Setup!$C$39:$C$50),WORKDAY(E108,-(Setup!$C$13+Setup!$G$23),Setup!$C$39:$C$50))+(103*100+4)/10000000)))</f>
        <v/>
      </c>
      <c r="V108" t="str">
        <f>IF(F108="","",IF(F108&lt;Setup!$C$5-Setup!$C$6,"",IF(IF(ISNUMBER(Roster!$D108),Setup!$C$24&lt;=Roster!$D108,FALSE),"",IF(OR(IF(Setup!$C$15&lt;=Setup!$C$16,AND(MONTH(F108)&gt;=Setup!$C$15,MONTH(F108)&lt;=Setup!$C$16),OR(MONTH(F108)&gt;=Setup!$C$15,MONTH(F108)&lt;=Setup!$C$16)),IF(Setup!$C$15&lt;=Setup!$C$16,AND(MONTH(WORKDAY(F108,-(Setup!$C$13+Setup!$G$24),Setup!$C$39:$C$50))&gt;=Setup!$C$15,MONTH(WORKDAY(F108,-(Setup!$C$13+Setup!$G$24),Setup!$C$39:$C$50))&lt;=Setup!$C$16),OR(MONTH(WORKDAY(F108,-(Setup!$C$13+Setup!$G$24),Setup!$C$39:$C$50))&gt;=Setup!$C$15,MONTH(WORKDAY(F108,-(Setup!$C$13+Setup!$G$24),Setup!$C$39:$C$50))&lt;=Setup!$C$16))),WORKDAY(F108,-(Setup!$C$13+Setup!$G$24+Setup!$C$14),Setup!$C$39:$C$50),WORKDAY(F108,-(Setup!$C$13+Setup!$G$24),Setup!$C$39:$C$50))+(103*100+5)/10000000)))</f>
        <v/>
      </c>
      <c r="W108" t="str">
        <f>IF(G108="","",IF(G108&lt;Setup!$C$5-Setup!$C$6,"",IF(IF(ISNUMBER(Roster!$D108),Setup!$C$25&lt;=Roster!$D108,FALSE),"",IF(OR(IF(Setup!$C$15&lt;=Setup!$C$16,AND(MONTH(G108)&gt;=Setup!$C$15,MONTH(G108)&lt;=Setup!$C$16),OR(MONTH(G108)&gt;=Setup!$C$15,MONTH(G108)&lt;=Setup!$C$16)),IF(Setup!$C$15&lt;=Setup!$C$16,AND(MONTH(WORKDAY(G108,-(Setup!$C$13+Setup!$G$25),Setup!$C$39:$C$50))&gt;=Setup!$C$15,MONTH(WORKDAY(G108,-(Setup!$C$13+Setup!$G$25),Setup!$C$39:$C$50))&lt;=Setup!$C$16),OR(MONTH(WORKDAY(G108,-(Setup!$C$13+Setup!$G$25),Setup!$C$39:$C$50))&gt;=Setup!$C$15,MONTH(WORKDAY(G108,-(Setup!$C$13+Setup!$G$25),Setup!$C$39:$C$50))&lt;=Setup!$C$16))),WORKDAY(G108,-(Setup!$C$13+Setup!$G$25+Setup!$C$14),Setup!$C$39:$C$50),WORKDAY(G108,-(Setup!$C$13+Setup!$G$25),Setup!$C$39:$C$50))+(103*100+6)/10000000)))</f>
        <v/>
      </c>
      <c r="X108" t="str">
        <f>IF(H108="","",IF(H108&lt;Setup!$C$5-Setup!$C$6,"",IF(IF(ISNUMBER(Roster!$D108),Setup!$C$26&lt;=Roster!$D108,FALSE),"",IF(OR(IF(Setup!$C$15&lt;=Setup!$C$16,AND(MONTH(H108)&gt;=Setup!$C$15,MONTH(H108)&lt;=Setup!$C$16),OR(MONTH(H108)&gt;=Setup!$C$15,MONTH(H108)&lt;=Setup!$C$16)),IF(Setup!$C$15&lt;=Setup!$C$16,AND(MONTH(WORKDAY(H108,-(Setup!$C$13+Setup!$G$26),Setup!$C$39:$C$50))&gt;=Setup!$C$15,MONTH(WORKDAY(H108,-(Setup!$C$13+Setup!$G$26),Setup!$C$39:$C$50))&lt;=Setup!$C$16),OR(MONTH(WORKDAY(H108,-(Setup!$C$13+Setup!$G$26),Setup!$C$39:$C$50))&gt;=Setup!$C$15,MONTH(WORKDAY(H108,-(Setup!$C$13+Setup!$G$26),Setup!$C$39:$C$50))&lt;=Setup!$C$16))),WORKDAY(H108,-(Setup!$C$13+Setup!$G$26+Setup!$C$14),Setup!$C$39:$C$50),WORKDAY(H108,-(Setup!$C$13+Setup!$G$26),Setup!$C$39:$C$50))+(103*100+7)/10000000)))</f>
        <v/>
      </c>
      <c r="Y108" t="str">
        <f>IF(I108="","",IF(I108&lt;Setup!$C$5-Setup!$C$6,"",IF(IF(ISNUMBER(Roster!$D108),Setup!$C$27&lt;=Roster!$D108,FALSE),"",IF(OR(IF(Setup!$C$15&lt;=Setup!$C$16,AND(MONTH(I108)&gt;=Setup!$C$15,MONTH(I108)&lt;=Setup!$C$16),OR(MONTH(I108)&gt;=Setup!$C$15,MONTH(I108)&lt;=Setup!$C$16)),IF(Setup!$C$15&lt;=Setup!$C$16,AND(MONTH(WORKDAY(I108,-(Setup!$C$13+Setup!$G$27),Setup!$C$39:$C$50))&gt;=Setup!$C$15,MONTH(WORKDAY(I108,-(Setup!$C$13+Setup!$G$27),Setup!$C$39:$C$50))&lt;=Setup!$C$16),OR(MONTH(WORKDAY(I108,-(Setup!$C$13+Setup!$G$27),Setup!$C$39:$C$50))&gt;=Setup!$C$15,MONTH(WORKDAY(I108,-(Setup!$C$13+Setup!$G$27),Setup!$C$39:$C$50))&lt;=Setup!$C$16))),WORKDAY(I108,-(Setup!$C$13+Setup!$G$27+Setup!$C$14),Setup!$C$39:$C$50),WORKDAY(I108,-(Setup!$C$13+Setup!$G$27),Setup!$C$39:$C$50))+(103*100+8)/10000000)))</f>
        <v/>
      </c>
      <c r="Z108" t="str">
        <f>IF(J108="","",IF(J108&lt;Setup!$C$5-Setup!$C$6,"",IF(IF(ISNUMBER(Roster!$D108),Setup!$C$28&lt;=Roster!$D108,FALSE),"",IF(OR(IF(Setup!$C$15&lt;=Setup!$C$16,AND(MONTH(J108)&gt;=Setup!$C$15,MONTH(J108)&lt;=Setup!$C$16),OR(MONTH(J108)&gt;=Setup!$C$15,MONTH(J108)&lt;=Setup!$C$16)),IF(Setup!$C$15&lt;=Setup!$C$16,AND(MONTH(WORKDAY(J108,-(Setup!$C$13+Setup!$G$28),Setup!$C$39:$C$50))&gt;=Setup!$C$15,MONTH(WORKDAY(J108,-(Setup!$C$13+Setup!$G$28),Setup!$C$39:$C$50))&lt;=Setup!$C$16),OR(MONTH(WORKDAY(J108,-(Setup!$C$13+Setup!$G$28),Setup!$C$39:$C$50))&gt;=Setup!$C$15,MONTH(WORKDAY(J108,-(Setup!$C$13+Setup!$G$28),Setup!$C$39:$C$50))&lt;=Setup!$C$16))),WORKDAY(J108,-(Setup!$C$13+Setup!$G$28+Setup!$C$14),Setup!$C$39:$C$50),WORKDAY(J108,-(Setup!$C$13+Setup!$G$28),Setup!$C$39:$C$50))+(103*100+9)/10000000)))</f>
        <v/>
      </c>
      <c r="AA108" t="str">
        <f>IF(K108="","",IF(K108&lt;Setup!$C$5-Setup!$C$6,"",IF(IF(ISNUMBER(Roster!$D108),Setup!$C$29&lt;=Roster!$D108,FALSE),"",IF(OR(IF(Setup!$C$15&lt;=Setup!$C$16,AND(MONTH(K108)&gt;=Setup!$C$15,MONTH(K108)&lt;=Setup!$C$16),OR(MONTH(K108)&gt;=Setup!$C$15,MONTH(K108)&lt;=Setup!$C$16)),IF(Setup!$C$15&lt;=Setup!$C$16,AND(MONTH(WORKDAY(K108,-(Setup!$C$13+Setup!$G$29),Setup!$C$39:$C$50))&gt;=Setup!$C$15,MONTH(WORKDAY(K108,-(Setup!$C$13+Setup!$G$29),Setup!$C$39:$C$50))&lt;=Setup!$C$16),OR(MONTH(WORKDAY(K108,-(Setup!$C$13+Setup!$G$29),Setup!$C$39:$C$50))&gt;=Setup!$C$15,MONTH(WORKDAY(K108,-(Setup!$C$13+Setup!$G$29),Setup!$C$39:$C$50))&lt;=Setup!$C$16))),WORKDAY(K108,-(Setup!$C$13+Setup!$G$29+Setup!$C$14),Setup!$C$39:$C$50),WORKDAY(K108,-(Setup!$C$13+Setup!$G$29),Setup!$C$39:$C$50))+(103*100+10)/10000000)))</f>
        <v/>
      </c>
      <c r="AB108" t="str">
        <f>IF(L108="","",IF(L108&lt;Setup!$C$5-Setup!$C$6,"",IF(IF(ISNUMBER(Roster!$D108),Setup!$C$30&lt;=Roster!$D108,FALSE),"",IF(OR(IF(Setup!$C$15&lt;=Setup!$C$16,AND(MONTH(L108)&gt;=Setup!$C$15,MONTH(L108)&lt;=Setup!$C$16),OR(MONTH(L108)&gt;=Setup!$C$15,MONTH(L108)&lt;=Setup!$C$16)),IF(Setup!$C$15&lt;=Setup!$C$16,AND(MONTH(WORKDAY(L108,-(Setup!$C$13+Setup!$G$30),Setup!$C$39:$C$50))&gt;=Setup!$C$15,MONTH(WORKDAY(L108,-(Setup!$C$13+Setup!$G$30),Setup!$C$39:$C$50))&lt;=Setup!$C$16),OR(MONTH(WORKDAY(L108,-(Setup!$C$13+Setup!$G$30),Setup!$C$39:$C$50))&gt;=Setup!$C$15,MONTH(WORKDAY(L108,-(Setup!$C$13+Setup!$G$30),Setup!$C$39:$C$50))&lt;=Setup!$C$16))),WORKDAY(L108,-(Setup!$C$13+Setup!$G$30+Setup!$C$14),Setup!$C$39:$C$50),WORKDAY(L108,-(Setup!$C$13+Setup!$G$30),Setup!$C$39:$C$50))+(103*100+11)/10000000)))</f>
        <v/>
      </c>
      <c r="AC108" t="str">
        <f>IF(M108="","",IF(M108&lt;Setup!$C$5-Setup!$C$6,"",IF(IF(ISNUMBER(Roster!$D108),Setup!$C$31&lt;=Roster!$D108,FALSE),"",IF(OR(IF(Setup!$C$15&lt;=Setup!$C$16,AND(MONTH(M108)&gt;=Setup!$C$15,MONTH(M108)&lt;=Setup!$C$16),OR(MONTH(M108)&gt;=Setup!$C$15,MONTH(M108)&lt;=Setup!$C$16)),IF(Setup!$C$15&lt;=Setup!$C$16,AND(MONTH(WORKDAY(M108,-(Setup!$C$13+Setup!$G$31),Setup!$C$39:$C$50))&gt;=Setup!$C$15,MONTH(WORKDAY(M108,-(Setup!$C$13+Setup!$G$31),Setup!$C$39:$C$50))&lt;=Setup!$C$16),OR(MONTH(WORKDAY(M108,-(Setup!$C$13+Setup!$G$31),Setup!$C$39:$C$50))&gt;=Setup!$C$15,MONTH(WORKDAY(M108,-(Setup!$C$13+Setup!$G$31),Setup!$C$39:$C$50))&lt;=Setup!$C$16))),WORKDAY(M108,-(Setup!$C$13+Setup!$G$31+Setup!$C$14),Setup!$C$39:$C$50),WORKDAY(M108,-(Setup!$C$13+Setup!$G$31),Setup!$C$39:$C$50))+(103*100+12)/10000000)))</f>
        <v/>
      </c>
      <c r="AD108" t="str">
        <f>IF(N108="","",IF(N108&lt;Setup!$C$5-Setup!$C$6,"",IF(IF(ISNUMBER(Roster!$D108),Setup!$C$32&lt;=Roster!$D108,FALSE),"",IF(OR(IF(Setup!$C$15&lt;=Setup!$C$16,AND(MONTH(N108)&gt;=Setup!$C$15,MONTH(N108)&lt;=Setup!$C$16),OR(MONTH(N108)&gt;=Setup!$C$15,MONTH(N108)&lt;=Setup!$C$16)),IF(Setup!$C$15&lt;=Setup!$C$16,AND(MONTH(WORKDAY(N108,-(Setup!$C$13+Setup!$G$32),Setup!$C$39:$C$50))&gt;=Setup!$C$15,MONTH(WORKDAY(N108,-(Setup!$C$13+Setup!$G$32),Setup!$C$39:$C$50))&lt;=Setup!$C$16),OR(MONTH(WORKDAY(N108,-(Setup!$C$13+Setup!$G$32),Setup!$C$39:$C$50))&gt;=Setup!$C$15,MONTH(WORKDAY(N108,-(Setup!$C$13+Setup!$G$32),Setup!$C$39:$C$50))&lt;=Setup!$C$16))),WORKDAY(N108,-(Setup!$C$13+Setup!$G$32+Setup!$C$14),Setup!$C$39:$C$50),WORKDAY(N108,-(Setup!$C$13+Setup!$G$32),Setup!$C$39:$C$50))+(103*100+13)/10000000)))</f>
        <v/>
      </c>
      <c r="AE108" t="str">
        <f>IF(O108="","",IF(O108&lt;Setup!$C$5-Setup!$C$6,"",IF(IF(ISNUMBER(Roster!$D108),Setup!$C$33&lt;=Roster!$D108,FALSE),"",IF(OR(IF(Setup!$C$15&lt;=Setup!$C$16,AND(MONTH(O108)&gt;=Setup!$C$15,MONTH(O108)&lt;=Setup!$C$16),OR(MONTH(O108)&gt;=Setup!$C$15,MONTH(O108)&lt;=Setup!$C$16)),IF(Setup!$C$15&lt;=Setup!$C$16,AND(MONTH(WORKDAY(O108,-(Setup!$C$13+Setup!$G$33),Setup!$C$39:$C$50))&gt;=Setup!$C$15,MONTH(WORKDAY(O108,-(Setup!$C$13+Setup!$G$33),Setup!$C$39:$C$50))&lt;=Setup!$C$16),OR(MONTH(WORKDAY(O108,-(Setup!$C$13+Setup!$G$33),Setup!$C$39:$C$50))&gt;=Setup!$C$15,MONTH(WORKDAY(O108,-(Setup!$C$13+Setup!$G$33),Setup!$C$39:$C$50))&lt;=Setup!$C$16))),WORKDAY(O108,-(Setup!$C$13+Setup!$G$33+Setup!$C$14),Setup!$C$39:$C$50),WORKDAY(O108,-(Setup!$C$13+Setup!$G$33),Setup!$C$39:$C$50))+(103*100+14)/10000000)))</f>
        <v/>
      </c>
      <c r="AF108" t="str">
        <f>IF(P108="","",IF(P108&lt;Setup!$C$5-Setup!$C$6,"",IF(IF(ISNUMBER(Roster!$D108),Setup!$C$34&lt;=Roster!$D108,FALSE),"",IF(OR(IF(Setup!$C$15&lt;=Setup!$C$16,AND(MONTH(P108)&gt;=Setup!$C$15,MONTH(P108)&lt;=Setup!$C$16),OR(MONTH(P108)&gt;=Setup!$C$15,MONTH(P108)&lt;=Setup!$C$16)),IF(Setup!$C$15&lt;=Setup!$C$16,AND(MONTH(WORKDAY(P108,-(Setup!$C$13+Setup!$G$34),Setup!$C$39:$C$50))&gt;=Setup!$C$15,MONTH(WORKDAY(P108,-(Setup!$C$13+Setup!$G$34),Setup!$C$39:$C$50))&lt;=Setup!$C$16),OR(MONTH(WORKDAY(P108,-(Setup!$C$13+Setup!$G$34),Setup!$C$39:$C$50))&gt;=Setup!$C$15,MONTH(WORKDAY(P108,-(Setup!$C$13+Setup!$G$34),Setup!$C$39:$C$50))&lt;=Setup!$C$16))),WORKDAY(P108,-(Setup!$C$13+Setup!$G$34+Setup!$C$14),Setup!$C$39:$C$50),WORKDAY(P108,-(Setup!$C$13+Setup!$G$34),Setup!$C$39:$C$50))+(103*100+15)/10000000)))</f>
        <v/>
      </c>
      <c r="AH108" t="str">
        <f t="shared" si="9"/>
        <v/>
      </c>
      <c r="AI108" t="str">
        <f t="shared" si="10"/>
        <v/>
      </c>
      <c r="AK108" t="str">
        <f ca="1">IF(103&gt;$AK$2,"",SMALL($R$6:$AF$505,103))</f>
        <v/>
      </c>
      <c r="AL108" t="str">
        <f t="shared" ca="1" si="11"/>
        <v/>
      </c>
      <c r="AM108" t="str">
        <f t="shared" ca="1" si="12"/>
        <v/>
      </c>
      <c r="AN108" t="str">
        <f t="shared" ca="1" si="13"/>
        <v/>
      </c>
      <c r="AP108" t="str">
        <f>IF(ISNUMBER(Roster!$B108),MAX(1,YEAR(Setup!$C$5)-YEAR(Roster!$B108)+IF(EDATE(Roster!$B108,12*(YEAR(Setup!$C$5)-YEAR(Roster!$B108)))&lt;Setup!$C$5,1,0)),"")</f>
        <v/>
      </c>
      <c r="AQ108" s="32" t="str">
        <f>IF(AP108="","",EDATE(Roster!$B108,12*AP108))</f>
        <v/>
      </c>
      <c r="AR108" t="str">
        <f>IF(AQ108="","",IF(AQ108&lt;DATE(YEAR(Setup!$C$5)+1,MONTH(Setup!$C$5),DAY(Setup!$C$5)),AQ108+103/1000,""))</f>
        <v/>
      </c>
      <c r="AS108" t="str">
        <f t="shared" si="14"/>
        <v/>
      </c>
      <c r="AT108" t="str">
        <f>IF(AS108="","",IF(ISNUMBER(Roster!$D108),Roster!$D108&gt;=AP108,FALSE))</f>
        <v/>
      </c>
      <c r="AU108" t="str">
        <f t="shared" si="15"/>
        <v/>
      </c>
      <c r="AV108" t="str">
        <f ca="1">IF(103&gt;$AV$2,"",SMALL($AR$6:$AR$505,103))</f>
        <v/>
      </c>
      <c r="AW108" t="str">
        <f t="shared" ca="1" si="16"/>
        <v/>
      </c>
    </row>
    <row r="109" spans="2:49" x14ac:dyDescent="0.2">
      <c r="B109" s="32" t="str">
        <f>IF(AND(ISNUMBER(Roster!$B109),Setup!$B$20="Yes",ISNUMBER(Setup!$C$20)),EDATE(Roster!$B109,12*Setup!$C$20),"")</f>
        <v/>
      </c>
      <c r="C109" s="32" t="str">
        <f>IF(AND(ISNUMBER(Roster!$B109),Setup!$B$21="Yes",ISNUMBER(Setup!$C$21)),EDATE(Roster!$B109,12*Setup!$C$21),"")</f>
        <v/>
      </c>
      <c r="D109" s="32" t="str">
        <f>IF(AND(ISNUMBER(Roster!$B109),Setup!$B$22="Yes",ISNUMBER(Setup!$C$22)),EDATE(Roster!$B109,12*Setup!$C$22),"")</f>
        <v/>
      </c>
      <c r="E109" s="32" t="str">
        <f>IF(AND(ISNUMBER(Roster!$B109),Setup!$B$23="Yes",ISNUMBER(Setup!$C$23)),EDATE(Roster!$B109,12*Setup!$C$23),"")</f>
        <v/>
      </c>
      <c r="F109" s="32" t="str">
        <f>IF(AND(ISNUMBER(Roster!$B109),Setup!$B$24="Yes",ISNUMBER(Setup!$C$24)),EDATE(Roster!$B109,12*Setup!$C$24),"")</f>
        <v/>
      </c>
      <c r="G109" s="32" t="str">
        <f>IF(AND(ISNUMBER(Roster!$B109),Setup!$B$25="Yes",ISNUMBER(Setup!$C$25)),EDATE(Roster!$B109,12*Setup!$C$25),"")</f>
        <v/>
      </c>
      <c r="H109" s="32" t="str">
        <f>IF(AND(ISNUMBER(Roster!$B109),Setup!$B$26="Yes",ISNUMBER(Setup!$C$26)),EDATE(Roster!$B109,12*Setup!$C$26),"")</f>
        <v/>
      </c>
      <c r="I109" s="32" t="str">
        <f>IF(AND(ISNUMBER(Roster!$B109),Setup!$B$27="Yes",ISNUMBER(Setup!$C$27)),EDATE(Roster!$B109,12*Setup!$C$27),"")</f>
        <v/>
      </c>
      <c r="J109" s="32" t="str">
        <f>IF(AND(ISNUMBER(Roster!$B109),Setup!$B$28="Yes",ISNUMBER(Setup!$C$28)),EDATE(Roster!$B109,12*Setup!$C$28),"")</f>
        <v/>
      </c>
      <c r="K109" s="32" t="str">
        <f>IF(AND(ISNUMBER(Roster!$B109),Setup!$B$29="Yes",ISNUMBER(Setup!$C$29)),EDATE(Roster!$B109,12*Setup!$C$29),"")</f>
        <v/>
      </c>
      <c r="L109" s="32" t="str">
        <f>IF(AND(ISNUMBER(Roster!$B109),Setup!$B$30="Yes",ISNUMBER(Setup!$C$30)),EDATE(Roster!$B109,12*Setup!$C$30),"")</f>
        <v/>
      </c>
      <c r="M109" s="32" t="str">
        <f>IF(AND(ISNUMBER(Roster!$B109),Setup!$B$31="Yes",ISNUMBER(Setup!$C$31)),EDATE(Roster!$B109,12*Setup!$C$31),"")</f>
        <v/>
      </c>
      <c r="N109" s="32" t="str">
        <f>IF(AND(ISNUMBER(Roster!$B109),Setup!$B$32="Yes",ISNUMBER(Setup!$C$32)),EDATE(Roster!$B109,12*Setup!$C$32),"")</f>
        <v/>
      </c>
      <c r="O109" s="32" t="str">
        <f>IF(AND(ISNUMBER(Roster!$B109),Setup!$B$33="Yes",ISNUMBER(Setup!$C$33)),EDATE(Roster!$B109,12*Setup!$C$33),"")</f>
        <v/>
      </c>
      <c r="P109" s="32" t="str">
        <f>IF(AND(ISNUMBER(Roster!$B109),Setup!$B$34="Yes",ISNUMBER(Setup!$C$34)),EDATE(Roster!$B109,12*Setup!$C$34),"")</f>
        <v/>
      </c>
      <c r="R109" t="str">
        <f>IF(B109="","",IF(B109&lt;Setup!$C$5-Setup!$C$6,"",IF(IF(ISNUMBER(Roster!$D109),Setup!$C$20&lt;=Roster!$D109,FALSE),"",IF(OR(IF(Setup!$C$15&lt;=Setup!$C$16,AND(MONTH(B109)&gt;=Setup!$C$15,MONTH(B109)&lt;=Setup!$C$16),OR(MONTH(B109)&gt;=Setup!$C$15,MONTH(B109)&lt;=Setup!$C$16)),IF(Setup!$C$15&lt;=Setup!$C$16,AND(MONTH(WORKDAY(B109,-(Setup!$C$13+Setup!$G$20),Setup!$C$39:$C$50))&gt;=Setup!$C$15,MONTH(WORKDAY(B109,-(Setup!$C$13+Setup!$G$20),Setup!$C$39:$C$50))&lt;=Setup!$C$16),OR(MONTH(WORKDAY(B109,-(Setup!$C$13+Setup!$G$20),Setup!$C$39:$C$50))&gt;=Setup!$C$15,MONTH(WORKDAY(B109,-(Setup!$C$13+Setup!$G$20),Setup!$C$39:$C$50))&lt;=Setup!$C$16))),WORKDAY(B109,-(Setup!$C$13+Setup!$G$20+Setup!$C$14),Setup!$C$39:$C$50),WORKDAY(B109,-(Setup!$C$13+Setup!$G$20),Setup!$C$39:$C$50))+(104*100+1)/10000000)))</f>
        <v/>
      </c>
      <c r="S109" t="str">
        <f>IF(C109="","",IF(C109&lt;Setup!$C$5-Setup!$C$6,"",IF(IF(ISNUMBER(Roster!$D109),Setup!$C$21&lt;=Roster!$D109,FALSE),"",IF(OR(IF(Setup!$C$15&lt;=Setup!$C$16,AND(MONTH(C109)&gt;=Setup!$C$15,MONTH(C109)&lt;=Setup!$C$16),OR(MONTH(C109)&gt;=Setup!$C$15,MONTH(C109)&lt;=Setup!$C$16)),IF(Setup!$C$15&lt;=Setup!$C$16,AND(MONTH(WORKDAY(C109,-(Setup!$C$13+Setup!$G$21),Setup!$C$39:$C$50))&gt;=Setup!$C$15,MONTH(WORKDAY(C109,-(Setup!$C$13+Setup!$G$21),Setup!$C$39:$C$50))&lt;=Setup!$C$16),OR(MONTH(WORKDAY(C109,-(Setup!$C$13+Setup!$G$21),Setup!$C$39:$C$50))&gt;=Setup!$C$15,MONTH(WORKDAY(C109,-(Setup!$C$13+Setup!$G$21),Setup!$C$39:$C$50))&lt;=Setup!$C$16))),WORKDAY(C109,-(Setup!$C$13+Setup!$G$21+Setup!$C$14),Setup!$C$39:$C$50),WORKDAY(C109,-(Setup!$C$13+Setup!$G$21),Setup!$C$39:$C$50))+(104*100+2)/10000000)))</f>
        <v/>
      </c>
      <c r="T109" t="str">
        <f>IF(D109="","",IF(D109&lt;Setup!$C$5-Setup!$C$6,"",IF(IF(ISNUMBER(Roster!$D109),Setup!$C$22&lt;=Roster!$D109,FALSE),"",IF(OR(IF(Setup!$C$15&lt;=Setup!$C$16,AND(MONTH(D109)&gt;=Setup!$C$15,MONTH(D109)&lt;=Setup!$C$16),OR(MONTH(D109)&gt;=Setup!$C$15,MONTH(D109)&lt;=Setup!$C$16)),IF(Setup!$C$15&lt;=Setup!$C$16,AND(MONTH(WORKDAY(D109,-(Setup!$C$13+Setup!$G$22),Setup!$C$39:$C$50))&gt;=Setup!$C$15,MONTH(WORKDAY(D109,-(Setup!$C$13+Setup!$G$22),Setup!$C$39:$C$50))&lt;=Setup!$C$16),OR(MONTH(WORKDAY(D109,-(Setup!$C$13+Setup!$G$22),Setup!$C$39:$C$50))&gt;=Setup!$C$15,MONTH(WORKDAY(D109,-(Setup!$C$13+Setup!$G$22),Setup!$C$39:$C$50))&lt;=Setup!$C$16))),WORKDAY(D109,-(Setup!$C$13+Setup!$G$22+Setup!$C$14),Setup!$C$39:$C$50),WORKDAY(D109,-(Setup!$C$13+Setup!$G$22),Setup!$C$39:$C$50))+(104*100+3)/10000000)))</f>
        <v/>
      </c>
      <c r="U109" t="str">
        <f>IF(E109="","",IF(E109&lt;Setup!$C$5-Setup!$C$6,"",IF(IF(ISNUMBER(Roster!$D109),Setup!$C$23&lt;=Roster!$D109,FALSE),"",IF(OR(IF(Setup!$C$15&lt;=Setup!$C$16,AND(MONTH(E109)&gt;=Setup!$C$15,MONTH(E109)&lt;=Setup!$C$16),OR(MONTH(E109)&gt;=Setup!$C$15,MONTH(E109)&lt;=Setup!$C$16)),IF(Setup!$C$15&lt;=Setup!$C$16,AND(MONTH(WORKDAY(E109,-(Setup!$C$13+Setup!$G$23),Setup!$C$39:$C$50))&gt;=Setup!$C$15,MONTH(WORKDAY(E109,-(Setup!$C$13+Setup!$G$23),Setup!$C$39:$C$50))&lt;=Setup!$C$16),OR(MONTH(WORKDAY(E109,-(Setup!$C$13+Setup!$G$23),Setup!$C$39:$C$50))&gt;=Setup!$C$15,MONTH(WORKDAY(E109,-(Setup!$C$13+Setup!$G$23),Setup!$C$39:$C$50))&lt;=Setup!$C$16))),WORKDAY(E109,-(Setup!$C$13+Setup!$G$23+Setup!$C$14),Setup!$C$39:$C$50),WORKDAY(E109,-(Setup!$C$13+Setup!$G$23),Setup!$C$39:$C$50))+(104*100+4)/10000000)))</f>
        <v/>
      </c>
      <c r="V109" t="str">
        <f>IF(F109="","",IF(F109&lt;Setup!$C$5-Setup!$C$6,"",IF(IF(ISNUMBER(Roster!$D109),Setup!$C$24&lt;=Roster!$D109,FALSE),"",IF(OR(IF(Setup!$C$15&lt;=Setup!$C$16,AND(MONTH(F109)&gt;=Setup!$C$15,MONTH(F109)&lt;=Setup!$C$16),OR(MONTH(F109)&gt;=Setup!$C$15,MONTH(F109)&lt;=Setup!$C$16)),IF(Setup!$C$15&lt;=Setup!$C$16,AND(MONTH(WORKDAY(F109,-(Setup!$C$13+Setup!$G$24),Setup!$C$39:$C$50))&gt;=Setup!$C$15,MONTH(WORKDAY(F109,-(Setup!$C$13+Setup!$G$24),Setup!$C$39:$C$50))&lt;=Setup!$C$16),OR(MONTH(WORKDAY(F109,-(Setup!$C$13+Setup!$G$24),Setup!$C$39:$C$50))&gt;=Setup!$C$15,MONTH(WORKDAY(F109,-(Setup!$C$13+Setup!$G$24),Setup!$C$39:$C$50))&lt;=Setup!$C$16))),WORKDAY(F109,-(Setup!$C$13+Setup!$G$24+Setup!$C$14),Setup!$C$39:$C$50),WORKDAY(F109,-(Setup!$C$13+Setup!$G$24),Setup!$C$39:$C$50))+(104*100+5)/10000000)))</f>
        <v/>
      </c>
      <c r="W109" t="str">
        <f>IF(G109="","",IF(G109&lt;Setup!$C$5-Setup!$C$6,"",IF(IF(ISNUMBER(Roster!$D109),Setup!$C$25&lt;=Roster!$D109,FALSE),"",IF(OR(IF(Setup!$C$15&lt;=Setup!$C$16,AND(MONTH(G109)&gt;=Setup!$C$15,MONTH(G109)&lt;=Setup!$C$16),OR(MONTH(G109)&gt;=Setup!$C$15,MONTH(G109)&lt;=Setup!$C$16)),IF(Setup!$C$15&lt;=Setup!$C$16,AND(MONTH(WORKDAY(G109,-(Setup!$C$13+Setup!$G$25),Setup!$C$39:$C$50))&gt;=Setup!$C$15,MONTH(WORKDAY(G109,-(Setup!$C$13+Setup!$G$25),Setup!$C$39:$C$50))&lt;=Setup!$C$16),OR(MONTH(WORKDAY(G109,-(Setup!$C$13+Setup!$G$25),Setup!$C$39:$C$50))&gt;=Setup!$C$15,MONTH(WORKDAY(G109,-(Setup!$C$13+Setup!$G$25),Setup!$C$39:$C$50))&lt;=Setup!$C$16))),WORKDAY(G109,-(Setup!$C$13+Setup!$G$25+Setup!$C$14),Setup!$C$39:$C$50),WORKDAY(G109,-(Setup!$C$13+Setup!$G$25),Setup!$C$39:$C$50))+(104*100+6)/10000000)))</f>
        <v/>
      </c>
      <c r="X109" t="str">
        <f>IF(H109="","",IF(H109&lt;Setup!$C$5-Setup!$C$6,"",IF(IF(ISNUMBER(Roster!$D109),Setup!$C$26&lt;=Roster!$D109,FALSE),"",IF(OR(IF(Setup!$C$15&lt;=Setup!$C$16,AND(MONTH(H109)&gt;=Setup!$C$15,MONTH(H109)&lt;=Setup!$C$16),OR(MONTH(H109)&gt;=Setup!$C$15,MONTH(H109)&lt;=Setup!$C$16)),IF(Setup!$C$15&lt;=Setup!$C$16,AND(MONTH(WORKDAY(H109,-(Setup!$C$13+Setup!$G$26),Setup!$C$39:$C$50))&gt;=Setup!$C$15,MONTH(WORKDAY(H109,-(Setup!$C$13+Setup!$G$26),Setup!$C$39:$C$50))&lt;=Setup!$C$16),OR(MONTH(WORKDAY(H109,-(Setup!$C$13+Setup!$G$26),Setup!$C$39:$C$50))&gt;=Setup!$C$15,MONTH(WORKDAY(H109,-(Setup!$C$13+Setup!$G$26),Setup!$C$39:$C$50))&lt;=Setup!$C$16))),WORKDAY(H109,-(Setup!$C$13+Setup!$G$26+Setup!$C$14),Setup!$C$39:$C$50),WORKDAY(H109,-(Setup!$C$13+Setup!$G$26),Setup!$C$39:$C$50))+(104*100+7)/10000000)))</f>
        <v/>
      </c>
      <c r="Y109" t="str">
        <f>IF(I109="","",IF(I109&lt;Setup!$C$5-Setup!$C$6,"",IF(IF(ISNUMBER(Roster!$D109),Setup!$C$27&lt;=Roster!$D109,FALSE),"",IF(OR(IF(Setup!$C$15&lt;=Setup!$C$16,AND(MONTH(I109)&gt;=Setup!$C$15,MONTH(I109)&lt;=Setup!$C$16),OR(MONTH(I109)&gt;=Setup!$C$15,MONTH(I109)&lt;=Setup!$C$16)),IF(Setup!$C$15&lt;=Setup!$C$16,AND(MONTH(WORKDAY(I109,-(Setup!$C$13+Setup!$G$27),Setup!$C$39:$C$50))&gt;=Setup!$C$15,MONTH(WORKDAY(I109,-(Setup!$C$13+Setup!$G$27),Setup!$C$39:$C$50))&lt;=Setup!$C$16),OR(MONTH(WORKDAY(I109,-(Setup!$C$13+Setup!$G$27),Setup!$C$39:$C$50))&gt;=Setup!$C$15,MONTH(WORKDAY(I109,-(Setup!$C$13+Setup!$G$27),Setup!$C$39:$C$50))&lt;=Setup!$C$16))),WORKDAY(I109,-(Setup!$C$13+Setup!$G$27+Setup!$C$14),Setup!$C$39:$C$50),WORKDAY(I109,-(Setup!$C$13+Setup!$G$27),Setup!$C$39:$C$50))+(104*100+8)/10000000)))</f>
        <v/>
      </c>
      <c r="Z109" t="str">
        <f>IF(J109="","",IF(J109&lt;Setup!$C$5-Setup!$C$6,"",IF(IF(ISNUMBER(Roster!$D109),Setup!$C$28&lt;=Roster!$D109,FALSE),"",IF(OR(IF(Setup!$C$15&lt;=Setup!$C$16,AND(MONTH(J109)&gt;=Setup!$C$15,MONTH(J109)&lt;=Setup!$C$16),OR(MONTH(J109)&gt;=Setup!$C$15,MONTH(J109)&lt;=Setup!$C$16)),IF(Setup!$C$15&lt;=Setup!$C$16,AND(MONTH(WORKDAY(J109,-(Setup!$C$13+Setup!$G$28),Setup!$C$39:$C$50))&gt;=Setup!$C$15,MONTH(WORKDAY(J109,-(Setup!$C$13+Setup!$G$28),Setup!$C$39:$C$50))&lt;=Setup!$C$16),OR(MONTH(WORKDAY(J109,-(Setup!$C$13+Setup!$G$28),Setup!$C$39:$C$50))&gt;=Setup!$C$15,MONTH(WORKDAY(J109,-(Setup!$C$13+Setup!$G$28),Setup!$C$39:$C$50))&lt;=Setup!$C$16))),WORKDAY(J109,-(Setup!$C$13+Setup!$G$28+Setup!$C$14),Setup!$C$39:$C$50),WORKDAY(J109,-(Setup!$C$13+Setup!$G$28),Setup!$C$39:$C$50))+(104*100+9)/10000000)))</f>
        <v/>
      </c>
      <c r="AA109" t="str">
        <f>IF(K109="","",IF(K109&lt;Setup!$C$5-Setup!$C$6,"",IF(IF(ISNUMBER(Roster!$D109),Setup!$C$29&lt;=Roster!$D109,FALSE),"",IF(OR(IF(Setup!$C$15&lt;=Setup!$C$16,AND(MONTH(K109)&gt;=Setup!$C$15,MONTH(K109)&lt;=Setup!$C$16),OR(MONTH(K109)&gt;=Setup!$C$15,MONTH(K109)&lt;=Setup!$C$16)),IF(Setup!$C$15&lt;=Setup!$C$16,AND(MONTH(WORKDAY(K109,-(Setup!$C$13+Setup!$G$29),Setup!$C$39:$C$50))&gt;=Setup!$C$15,MONTH(WORKDAY(K109,-(Setup!$C$13+Setup!$G$29),Setup!$C$39:$C$50))&lt;=Setup!$C$16),OR(MONTH(WORKDAY(K109,-(Setup!$C$13+Setup!$G$29),Setup!$C$39:$C$50))&gt;=Setup!$C$15,MONTH(WORKDAY(K109,-(Setup!$C$13+Setup!$G$29),Setup!$C$39:$C$50))&lt;=Setup!$C$16))),WORKDAY(K109,-(Setup!$C$13+Setup!$G$29+Setup!$C$14),Setup!$C$39:$C$50),WORKDAY(K109,-(Setup!$C$13+Setup!$G$29),Setup!$C$39:$C$50))+(104*100+10)/10000000)))</f>
        <v/>
      </c>
      <c r="AB109" t="str">
        <f>IF(L109="","",IF(L109&lt;Setup!$C$5-Setup!$C$6,"",IF(IF(ISNUMBER(Roster!$D109),Setup!$C$30&lt;=Roster!$D109,FALSE),"",IF(OR(IF(Setup!$C$15&lt;=Setup!$C$16,AND(MONTH(L109)&gt;=Setup!$C$15,MONTH(L109)&lt;=Setup!$C$16),OR(MONTH(L109)&gt;=Setup!$C$15,MONTH(L109)&lt;=Setup!$C$16)),IF(Setup!$C$15&lt;=Setup!$C$16,AND(MONTH(WORKDAY(L109,-(Setup!$C$13+Setup!$G$30),Setup!$C$39:$C$50))&gt;=Setup!$C$15,MONTH(WORKDAY(L109,-(Setup!$C$13+Setup!$G$30),Setup!$C$39:$C$50))&lt;=Setup!$C$16),OR(MONTH(WORKDAY(L109,-(Setup!$C$13+Setup!$G$30),Setup!$C$39:$C$50))&gt;=Setup!$C$15,MONTH(WORKDAY(L109,-(Setup!$C$13+Setup!$G$30),Setup!$C$39:$C$50))&lt;=Setup!$C$16))),WORKDAY(L109,-(Setup!$C$13+Setup!$G$30+Setup!$C$14),Setup!$C$39:$C$50),WORKDAY(L109,-(Setup!$C$13+Setup!$G$30),Setup!$C$39:$C$50))+(104*100+11)/10000000)))</f>
        <v/>
      </c>
      <c r="AC109" t="str">
        <f>IF(M109="","",IF(M109&lt;Setup!$C$5-Setup!$C$6,"",IF(IF(ISNUMBER(Roster!$D109),Setup!$C$31&lt;=Roster!$D109,FALSE),"",IF(OR(IF(Setup!$C$15&lt;=Setup!$C$16,AND(MONTH(M109)&gt;=Setup!$C$15,MONTH(M109)&lt;=Setup!$C$16),OR(MONTH(M109)&gt;=Setup!$C$15,MONTH(M109)&lt;=Setup!$C$16)),IF(Setup!$C$15&lt;=Setup!$C$16,AND(MONTH(WORKDAY(M109,-(Setup!$C$13+Setup!$G$31),Setup!$C$39:$C$50))&gt;=Setup!$C$15,MONTH(WORKDAY(M109,-(Setup!$C$13+Setup!$G$31),Setup!$C$39:$C$50))&lt;=Setup!$C$16),OR(MONTH(WORKDAY(M109,-(Setup!$C$13+Setup!$G$31),Setup!$C$39:$C$50))&gt;=Setup!$C$15,MONTH(WORKDAY(M109,-(Setup!$C$13+Setup!$G$31),Setup!$C$39:$C$50))&lt;=Setup!$C$16))),WORKDAY(M109,-(Setup!$C$13+Setup!$G$31+Setup!$C$14),Setup!$C$39:$C$50),WORKDAY(M109,-(Setup!$C$13+Setup!$G$31),Setup!$C$39:$C$50))+(104*100+12)/10000000)))</f>
        <v/>
      </c>
      <c r="AD109" t="str">
        <f>IF(N109="","",IF(N109&lt;Setup!$C$5-Setup!$C$6,"",IF(IF(ISNUMBER(Roster!$D109),Setup!$C$32&lt;=Roster!$D109,FALSE),"",IF(OR(IF(Setup!$C$15&lt;=Setup!$C$16,AND(MONTH(N109)&gt;=Setup!$C$15,MONTH(N109)&lt;=Setup!$C$16),OR(MONTH(N109)&gt;=Setup!$C$15,MONTH(N109)&lt;=Setup!$C$16)),IF(Setup!$C$15&lt;=Setup!$C$16,AND(MONTH(WORKDAY(N109,-(Setup!$C$13+Setup!$G$32),Setup!$C$39:$C$50))&gt;=Setup!$C$15,MONTH(WORKDAY(N109,-(Setup!$C$13+Setup!$G$32),Setup!$C$39:$C$50))&lt;=Setup!$C$16),OR(MONTH(WORKDAY(N109,-(Setup!$C$13+Setup!$G$32),Setup!$C$39:$C$50))&gt;=Setup!$C$15,MONTH(WORKDAY(N109,-(Setup!$C$13+Setup!$G$32),Setup!$C$39:$C$50))&lt;=Setup!$C$16))),WORKDAY(N109,-(Setup!$C$13+Setup!$G$32+Setup!$C$14),Setup!$C$39:$C$50),WORKDAY(N109,-(Setup!$C$13+Setup!$G$32),Setup!$C$39:$C$50))+(104*100+13)/10000000)))</f>
        <v/>
      </c>
      <c r="AE109" t="str">
        <f>IF(O109="","",IF(O109&lt;Setup!$C$5-Setup!$C$6,"",IF(IF(ISNUMBER(Roster!$D109),Setup!$C$33&lt;=Roster!$D109,FALSE),"",IF(OR(IF(Setup!$C$15&lt;=Setup!$C$16,AND(MONTH(O109)&gt;=Setup!$C$15,MONTH(O109)&lt;=Setup!$C$16),OR(MONTH(O109)&gt;=Setup!$C$15,MONTH(O109)&lt;=Setup!$C$16)),IF(Setup!$C$15&lt;=Setup!$C$16,AND(MONTH(WORKDAY(O109,-(Setup!$C$13+Setup!$G$33),Setup!$C$39:$C$50))&gt;=Setup!$C$15,MONTH(WORKDAY(O109,-(Setup!$C$13+Setup!$G$33),Setup!$C$39:$C$50))&lt;=Setup!$C$16),OR(MONTH(WORKDAY(O109,-(Setup!$C$13+Setup!$G$33),Setup!$C$39:$C$50))&gt;=Setup!$C$15,MONTH(WORKDAY(O109,-(Setup!$C$13+Setup!$G$33),Setup!$C$39:$C$50))&lt;=Setup!$C$16))),WORKDAY(O109,-(Setup!$C$13+Setup!$G$33+Setup!$C$14),Setup!$C$39:$C$50),WORKDAY(O109,-(Setup!$C$13+Setup!$G$33),Setup!$C$39:$C$50))+(104*100+14)/10000000)))</f>
        <v/>
      </c>
      <c r="AF109" t="str">
        <f>IF(P109="","",IF(P109&lt;Setup!$C$5-Setup!$C$6,"",IF(IF(ISNUMBER(Roster!$D109),Setup!$C$34&lt;=Roster!$D109,FALSE),"",IF(OR(IF(Setup!$C$15&lt;=Setup!$C$16,AND(MONTH(P109)&gt;=Setup!$C$15,MONTH(P109)&lt;=Setup!$C$16),OR(MONTH(P109)&gt;=Setup!$C$15,MONTH(P109)&lt;=Setup!$C$16)),IF(Setup!$C$15&lt;=Setup!$C$16,AND(MONTH(WORKDAY(P109,-(Setup!$C$13+Setup!$G$34),Setup!$C$39:$C$50))&gt;=Setup!$C$15,MONTH(WORKDAY(P109,-(Setup!$C$13+Setup!$G$34),Setup!$C$39:$C$50))&lt;=Setup!$C$16),OR(MONTH(WORKDAY(P109,-(Setup!$C$13+Setup!$G$34),Setup!$C$39:$C$50))&gt;=Setup!$C$15,MONTH(WORKDAY(P109,-(Setup!$C$13+Setup!$G$34),Setup!$C$39:$C$50))&lt;=Setup!$C$16))),WORKDAY(P109,-(Setup!$C$13+Setup!$G$34+Setup!$C$14),Setup!$C$39:$C$50),WORKDAY(P109,-(Setup!$C$13+Setup!$G$34),Setup!$C$39:$C$50))+(104*100+15)/10000000)))</f>
        <v/>
      </c>
      <c r="AH109" t="str">
        <f t="shared" si="9"/>
        <v/>
      </c>
      <c r="AI109" t="str">
        <f t="shared" si="10"/>
        <v/>
      </c>
      <c r="AK109" t="str">
        <f ca="1">IF(104&gt;$AK$2,"",SMALL($R$6:$AF$505,104))</f>
        <v/>
      </c>
      <c r="AL109" t="str">
        <f t="shared" ca="1" si="11"/>
        <v/>
      </c>
      <c r="AM109" t="str">
        <f t="shared" ca="1" si="12"/>
        <v/>
      </c>
      <c r="AN109" t="str">
        <f t="shared" ca="1" si="13"/>
        <v/>
      </c>
      <c r="AP109" t="str">
        <f>IF(ISNUMBER(Roster!$B109),MAX(1,YEAR(Setup!$C$5)-YEAR(Roster!$B109)+IF(EDATE(Roster!$B109,12*(YEAR(Setup!$C$5)-YEAR(Roster!$B109)))&lt;Setup!$C$5,1,0)),"")</f>
        <v/>
      </c>
      <c r="AQ109" s="32" t="str">
        <f>IF(AP109="","",EDATE(Roster!$B109,12*AP109))</f>
        <v/>
      </c>
      <c r="AR109" t="str">
        <f>IF(AQ109="","",IF(AQ109&lt;DATE(YEAR(Setup!$C$5)+1,MONTH(Setup!$C$5),DAY(Setup!$C$5)),AQ109+104/1000,""))</f>
        <v/>
      </c>
      <c r="AS109" t="str">
        <f t="shared" si="14"/>
        <v/>
      </c>
      <c r="AT109" t="str">
        <f>IF(AS109="","",IF(ISNUMBER(Roster!$D109),Roster!$D109&gt;=AP109,FALSE))</f>
        <v/>
      </c>
      <c r="AU109" t="str">
        <f t="shared" si="15"/>
        <v/>
      </c>
      <c r="AV109" t="str">
        <f ca="1">IF(104&gt;$AV$2,"",SMALL($AR$6:$AR$505,104))</f>
        <v/>
      </c>
      <c r="AW109" t="str">
        <f t="shared" ca="1" si="16"/>
        <v/>
      </c>
    </row>
    <row r="110" spans="2:49" x14ac:dyDescent="0.2">
      <c r="B110" s="32" t="str">
        <f>IF(AND(ISNUMBER(Roster!$B110),Setup!$B$20="Yes",ISNUMBER(Setup!$C$20)),EDATE(Roster!$B110,12*Setup!$C$20),"")</f>
        <v/>
      </c>
      <c r="C110" s="32" t="str">
        <f>IF(AND(ISNUMBER(Roster!$B110),Setup!$B$21="Yes",ISNUMBER(Setup!$C$21)),EDATE(Roster!$B110,12*Setup!$C$21),"")</f>
        <v/>
      </c>
      <c r="D110" s="32" t="str">
        <f>IF(AND(ISNUMBER(Roster!$B110),Setup!$B$22="Yes",ISNUMBER(Setup!$C$22)),EDATE(Roster!$B110,12*Setup!$C$22),"")</f>
        <v/>
      </c>
      <c r="E110" s="32" t="str">
        <f>IF(AND(ISNUMBER(Roster!$B110),Setup!$B$23="Yes",ISNUMBER(Setup!$C$23)),EDATE(Roster!$B110,12*Setup!$C$23),"")</f>
        <v/>
      </c>
      <c r="F110" s="32" t="str">
        <f>IF(AND(ISNUMBER(Roster!$B110),Setup!$B$24="Yes",ISNUMBER(Setup!$C$24)),EDATE(Roster!$B110,12*Setup!$C$24),"")</f>
        <v/>
      </c>
      <c r="G110" s="32" t="str">
        <f>IF(AND(ISNUMBER(Roster!$B110),Setup!$B$25="Yes",ISNUMBER(Setup!$C$25)),EDATE(Roster!$B110,12*Setup!$C$25),"")</f>
        <v/>
      </c>
      <c r="H110" s="32" t="str">
        <f>IF(AND(ISNUMBER(Roster!$B110),Setup!$B$26="Yes",ISNUMBER(Setup!$C$26)),EDATE(Roster!$B110,12*Setup!$C$26),"")</f>
        <v/>
      </c>
      <c r="I110" s="32" t="str">
        <f>IF(AND(ISNUMBER(Roster!$B110),Setup!$B$27="Yes",ISNUMBER(Setup!$C$27)),EDATE(Roster!$B110,12*Setup!$C$27),"")</f>
        <v/>
      </c>
      <c r="J110" s="32" t="str">
        <f>IF(AND(ISNUMBER(Roster!$B110),Setup!$B$28="Yes",ISNUMBER(Setup!$C$28)),EDATE(Roster!$B110,12*Setup!$C$28),"")</f>
        <v/>
      </c>
      <c r="K110" s="32" t="str">
        <f>IF(AND(ISNUMBER(Roster!$B110),Setup!$B$29="Yes",ISNUMBER(Setup!$C$29)),EDATE(Roster!$B110,12*Setup!$C$29),"")</f>
        <v/>
      </c>
      <c r="L110" s="32" t="str">
        <f>IF(AND(ISNUMBER(Roster!$B110),Setup!$B$30="Yes",ISNUMBER(Setup!$C$30)),EDATE(Roster!$B110,12*Setup!$C$30),"")</f>
        <v/>
      </c>
      <c r="M110" s="32" t="str">
        <f>IF(AND(ISNUMBER(Roster!$B110),Setup!$B$31="Yes",ISNUMBER(Setup!$C$31)),EDATE(Roster!$B110,12*Setup!$C$31),"")</f>
        <v/>
      </c>
      <c r="N110" s="32" t="str">
        <f>IF(AND(ISNUMBER(Roster!$B110),Setup!$B$32="Yes",ISNUMBER(Setup!$C$32)),EDATE(Roster!$B110,12*Setup!$C$32),"")</f>
        <v/>
      </c>
      <c r="O110" s="32" t="str">
        <f>IF(AND(ISNUMBER(Roster!$B110),Setup!$B$33="Yes",ISNUMBER(Setup!$C$33)),EDATE(Roster!$B110,12*Setup!$C$33),"")</f>
        <v/>
      </c>
      <c r="P110" s="32" t="str">
        <f>IF(AND(ISNUMBER(Roster!$B110),Setup!$B$34="Yes",ISNUMBER(Setup!$C$34)),EDATE(Roster!$B110,12*Setup!$C$34),"")</f>
        <v/>
      </c>
      <c r="R110" t="str">
        <f>IF(B110="","",IF(B110&lt;Setup!$C$5-Setup!$C$6,"",IF(IF(ISNUMBER(Roster!$D110),Setup!$C$20&lt;=Roster!$D110,FALSE),"",IF(OR(IF(Setup!$C$15&lt;=Setup!$C$16,AND(MONTH(B110)&gt;=Setup!$C$15,MONTH(B110)&lt;=Setup!$C$16),OR(MONTH(B110)&gt;=Setup!$C$15,MONTH(B110)&lt;=Setup!$C$16)),IF(Setup!$C$15&lt;=Setup!$C$16,AND(MONTH(WORKDAY(B110,-(Setup!$C$13+Setup!$G$20),Setup!$C$39:$C$50))&gt;=Setup!$C$15,MONTH(WORKDAY(B110,-(Setup!$C$13+Setup!$G$20),Setup!$C$39:$C$50))&lt;=Setup!$C$16),OR(MONTH(WORKDAY(B110,-(Setup!$C$13+Setup!$G$20),Setup!$C$39:$C$50))&gt;=Setup!$C$15,MONTH(WORKDAY(B110,-(Setup!$C$13+Setup!$G$20),Setup!$C$39:$C$50))&lt;=Setup!$C$16))),WORKDAY(B110,-(Setup!$C$13+Setup!$G$20+Setup!$C$14),Setup!$C$39:$C$50),WORKDAY(B110,-(Setup!$C$13+Setup!$G$20),Setup!$C$39:$C$50))+(105*100+1)/10000000)))</f>
        <v/>
      </c>
      <c r="S110" t="str">
        <f>IF(C110="","",IF(C110&lt;Setup!$C$5-Setup!$C$6,"",IF(IF(ISNUMBER(Roster!$D110),Setup!$C$21&lt;=Roster!$D110,FALSE),"",IF(OR(IF(Setup!$C$15&lt;=Setup!$C$16,AND(MONTH(C110)&gt;=Setup!$C$15,MONTH(C110)&lt;=Setup!$C$16),OR(MONTH(C110)&gt;=Setup!$C$15,MONTH(C110)&lt;=Setup!$C$16)),IF(Setup!$C$15&lt;=Setup!$C$16,AND(MONTH(WORKDAY(C110,-(Setup!$C$13+Setup!$G$21),Setup!$C$39:$C$50))&gt;=Setup!$C$15,MONTH(WORKDAY(C110,-(Setup!$C$13+Setup!$G$21),Setup!$C$39:$C$50))&lt;=Setup!$C$16),OR(MONTH(WORKDAY(C110,-(Setup!$C$13+Setup!$G$21),Setup!$C$39:$C$50))&gt;=Setup!$C$15,MONTH(WORKDAY(C110,-(Setup!$C$13+Setup!$G$21),Setup!$C$39:$C$50))&lt;=Setup!$C$16))),WORKDAY(C110,-(Setup!$C$13+Setup!$G$21+Setup!$C$14),Setup!$C$39:$C$50),WORKDAY(C110,-(Setup!$C$13+Setup!$G$21),Setup!$C$39:$C$50))+(105*100+2)/10000000)))</f>
        <v/>
      </c>
      <c r="T110" t="str">
        <f>IF(D110="","",IF(D110&lt;Setup!$C$5-Setup!$C$6,"",IF(IF(ISNUMBER(Roster!$D110),Setup!$C$22&lt;=Roster!$D110,FALSE),"",IF(OR(IF(Setup!$C$15&lt;=Setup!$C$16,AND(MONTH(D110)&gt;=Setup!$C$15,MONTH(D110)&lt;=Setup!$C$16),OR(MONTH(D110)&gt;=Setup!$C$15,MONTH(D110)&lt;=Setup!$C$16)),IF(Setup!$C$15&lt;=Setup!$C$16,AND(MONTH(WORKDAY(D110,-(Setup!$C$13+Setup!$G$22),Setup!$C$39:$C$50))&gt;=Setup!$C$15,MONTH(WORKDAY(D110,-(Setup!$C$13+Setup!$G$22),Setup!$C$39:$C$50))&lt;=Setup!$C$16),OR(MONTH(WORKDAY(D110,-(Setup!$C$13+Setup!$G$22),Setup!$C$39:$C$50))&gt;=Setup!$C$15,MONTH(WORKDAY(D110,-(Setup!$C$13+Setup!$G$22),Setup!$C$39:$C$50))&lt;=Setup!$C$16))),WORKDAY(D110,-(Setup!$C$13+Setup!$G$22+Setup!$C$14),Setup!$C$39:$C$50),WORKDAY(D110,-(Setup!$C$13+Setup!$G$22),Setup!$C$39:$C$50))+(105*100+3)/10000000)))</f>
        <v/>
      </c>
      <c r="U110" t="str">
        <f>IF(E110="","",IF(E110&lt;Setup!$C$5-Setup!$C$6,"",IF(IF(ISNUMBER(Roster!$D110),Setup!$C$23&lt;=Roster!$D110,FALSE),"",IF(OR(IF(Setup!$C$15&lt;=Setup!$C$16,AND(MONTH(E110)&gt;=Setup!$C$15,MONTH(E110)&lt;=Setup!$C$16),OR(MONTH(E110)&gt;=Setup!$C$15,MONTH(E110)&lt;=Setup!$C$16)),IF(Setup!$C$15&lt;=Setup!$C$16,AND(MONTH(WORKDAY(E110,-(Setup!$C$13+Setup!$G$23),Setup!$C$39:$C$50))&gt;=Setup!$C$15,MONTH(WORKDAY(E110,-(Setup!$C$13+Setup!$G$23),Setup!$C$39:$C$50))&lt;=Setup!$C$16),OR(MONTH(WORKDAY(E110,-(Setup!$C$13+Setup!$G$23),Setup!$C$39:$C$50))&gt;=Setup!$C$15,MONTH(WORKDAY(E110,-(Setup!$C$13+Setup!$G$23),Setup!$C$39:$C$50))&lt;=Setup!$C$16))),WORKDAY(E110,-(Setup!$C$13+Setup!$G$23+Setup!$C$14),Setup!$C$39:$C$50),WORKDAY(E110,-(Setup!$C$13+Setup!$G$23),Setup!$C$39:$C$50))+(105*100+4)/10000000)))</f>
        <v/>
      </c>
      <c r="V110" t="str">
        <f>IF(F110="","",IF(F110&lt;Setup!$C$5-Setup!$C$6,"",IF(IF(ISNUMBER(Roster!$D110),Setup!$C$24&lt;=Roster!$D110,FALSE),"",IF(OR(IF(Setup!$C$15&lt;=Setup!$C$16,AND(MONTH(F110)&gt;=Setup!$C$15,MONTH(F110)&lt;=Setup!$C$16),OR(MONTH(F110)&gt;=Setup!$C$15,MONTH(F110)&lt;=Setup!$C$16)),IF(Setup!$C$15&lt;=Setup!$C$16,AND(MONTH(WORKDAY(F110,-(Setup!$C$13+Setup!$G$24),Setup!$C$39:$C$50))&gt;=Setup!$C$15,MONTH(WORKDAY(F110,-(Setup!$C$13+Setup!$G$24),Setup!$C$39:$C$50))&lt;=Setup!$C$16),OR(MONTH(WORKDAY(F110,-(Setup!$C$13+Setup!$G$24),Setup!$C$39:$C$50))&gt;=Setup!$C$15,MONTH(WORKDAY(F110,-(Setup!$C$13+Setup!$G$24),Setup!$C$39:$C$50))&lt;=Setup!$C$16))),WORKDAY(F110,-(Setup!$C$13+Setup!$G$24+Setup!$C$14),Setup!$C$39:$C$50),WORKDAY(F110,-(Setup!$C$13+Setup!$G$24),Setup!$C$39:$C$50))+(105*100+5)/10000000)))</f>
        <v/>
      </c>
      <c r="W110" t="str">
        <f>IF(G110="","",IF(G110&lt;Setup!$C$5-Setup!$C$6,"",IF(IF(ISNUMBER(Roster!$D110),Setup!$C$25&lt;=Roster!$D110,FALSE),"",IF(OR(IF(Setup!$C$15&lt;=Setup!$C$16,AND(MONTH(G110)&gt;=Setup!$C$15,MONTH(G110)&lt;=Setup!$C$16),OR(MONTH(G110)&gt;=Setup!$C$15,MONTH(G110)&lt;=Setup!$C$16)),IF(Setup!$C$15&lt;=Setup!$C$16,AND(MONTH(WORKDAY(G110,-(Setup!$C$13+Setup!$G$25),Setup!$C$39:$C$50))&gt;=Setup!$C$15,MONTH(WORKDAY(G110,-(Setup!$C$13+Setup!$G$25),Setup!$C$39:$C$50))&lt;=Setup!$C$16),OR(MONTH(WORKDAY(G110,-(Setup!$C$13+Setup!$G$25),Setup!$C$39:$C$50))&gt;=Setup!$C$15,MONTH(WORKDAY(G110,-(Setup!$C$13+Setup!$G$25),Setup!$C$39:$C$50))&lt;=Setup!$C$16))),WORKDAY(G110,-(Setup!$C$13+Setup!$G$25+Setup!$C$14),Setup!$C$39:$C$50),WORKDAY(G110,-(Setup!$C$13+Setup!$G$25),Setup!$C$39:$C$50))+(105*100+6)/10000000)))</f>
        <v/>
      </c>
      <c r="X110" t="str">
        <f>IF(H110="","",IF(H110&lt;Setup!$C$5-Setup!$C$6,"",IF(IF(ISNUMBER(Roster!$D110),Setup!$C$26&lt;=Roster!$D110,FALSE),"",IF(OR(IF(Setup!$C$15&lt;=Setup!$C$16,AND(MONTH(H110)&gt;=Setup!$C$15,MONTH(H110)&lt;=Setup!$C$16),OR(MONTH(H110)&gt;=Setup!$C$15,MONTH(H110)&lt;=Setup!$C$16)),IF(Setup!$C$15&lt;=Setup!$C$16,AND(MONTH(WORKDAY(H110,-(Setup!$C$13+Setup!$G$26),Setup!$C$39:$C$50))&gt;=Setup!$C$15,MONTH(WORKDAY(H110,-(Setup!$C$13+Setup!$G$26),Setup!$C$39:$C$50))&lt;=Setup!$C$16),OR(MONTH(WORKDAY(H110,-(Setup!$C$13+Setup!$G$26),Setup!$C$39:$C$50))&gt;=Setup!$C$15,MONTH(WORKDAY(H110,-(Setup!$C$13+Setup!$G$26),Setup!$C$39:$C$50))&lt;=Setup!$C$16))),WORKDAY(H110,-(Setup!$C$13+Setup!$G$26+Setup!$C$14),Setup!$C$39:$C$50),WORKDAY(H110,-(Setup!$C$13+Setup!$G$26),Setup!$C$39:$C$50))+(105*100+7)/10000000)))</f>
        <v/>
      </c>
      <c r="Y110" t="str">
        <f>IF(I110="","",IF(I110&lt;Setup!$C$5-Setup!$C$6,"",IF(IF(ISNUMBER(Roster!$D110),Setup!$C$27&lt;=Roster!$D110,FALSE),"",IF(OR(IF(Setup!$C$15&lt;=Setup!$C$16,AND(MONTH(I110)&gt;=Setup!$C$15,MONTH(I110)&lt;=Setup!$C$16),OR(MONTH(I110)&gt;=Setup!$C$15,MONTH(I110)&lt;=Setup!$C$16)),IF(Setup!$C$15&lt;=Setup!$C$16,AND(MONTH(WORKDAY(I110,-(Setup!$C$13+Setup!$G$27),Setup!$C$39:$C$50))&gt;=Setup!$C$15,MONTH(WORKDAY(I110,-(Setup!$C$13+Setup!$G$27),Setup!$C$39:$C$50))&lt;=Setup!$C$16),OR(MONTH(WORKDAY(I110,-(Setup!$C$13+Setup!$G$27),Setup!$C$39:$C$50))&gt;=Setup!$C$15,MONTH(WORKDAY(I110,-(Setup!$C$13+Setup!$G$27),Setup!$C$39:$C$50))&lt;=Setup!$C$16))),WORKDAY(I110,-(Setup!$C$13+Setup!$G$27+Setup!$C$14),Setup!$C$39:$C$50),WORKDAY(I110,-(Setup!$C$13+Setup!$G$27),Setup!$C$39:$C$50))+(105*100+8)/10000000)))</f>
        <v/>
      </c>
      <c r="Z110" t="str">
        <f>IF(J110="","",IF(J110&lt;Setup!$C$5-Setup!$C$6,"",IF(IF(ISNUMBER(Roster!$D110),Setup!$C$28&lt;=Roster!$D110,FALSE),"",IF(OR(IF(Setup!$C$15&lt;=Setup!$C$16,AND(MONTH(J110)&gt;=Setup!$C$15,MONTH(J110)&lt;=Setup!$C$16),OR(MONTH(J110)&gt;=Setup!$C$15,MONTH(J110)&lt;=Setup!$C$16)),IF(Setup!$C$15&lt;=Setup!$C$16,AND(MONTH(WORKDAY(J110,-(Setup!$C$13+Setup!$G$28),Setup!$C$39:$C$50))&gt;=Setup!$C$15,MONTH(WORKDAY(J110,-(Setup!$C$13+Setup!$G$28),Setup!$C$39:$C$50))&lt;=Setup!$C$16),OR(MONTH(WORKDAY(J110,-(Setup!$C$13+Setup!$G$28),Setup!$C$39:$C$50))&gt;=Setup!$C$15,MONTH(WORKDAY(J110,-(Setup!$C$13+Setup!$G$28),Setup!$C$39:$C$50))&lt;=Setup!$C$16))),WORKDAY(J110,-(Setup!$C$13+Setup!$G$28+Setup!$C$14),Setup!$C$39:$C$50),WORKDAY(J110,-(Setup!$C$13+Setup!$G$28),Setup!$C$39:$C$50))+(105*100+9)/10000000)))</f>
        <v/>
      </c>
      <c r="AA110" t="str">
        <f>IF(K110="","",IF(K110&lt;Setup!$C$5-Setup!$C$6,"",IF(IF(ISNUMBER(Roster!$D110),Setup!$C$29&lt;=Roster!$D110,FALSE),"",IF(OR(IF(Setup!$C$15&lt;=Setup!$C$16,AND(MONTH(K110)&gt;=Setup!$C$15,MONTH(K110)&lt;=Setup!$C$16),OR(MONTH(K110)&gt;=Setup!$C$15,MONTH(K110)&lt;=Setup!$C$16)),IF(Setup!$C$15&lt;=Setup!$C$16,AND(MONTH(WORKDAY(K110,-(Setup!$C$13+Setup!$G$29),Setup!$C$39:$C$50))&gt;=Setup!$C$15,MONTH(WORKDAY(K110,-(Setup!$C$13+Setup!$G$29),Setup!$C$39:$C$50))&lt;=Setup!$C$16),OR(MONTH(WORKDAY(K110,-(Setup!$C$13+Setup!$G$29),Setup!$C$39:$C$50))&gt;=Setup!$C$15,MONTH(WORKDAY(K110,-(Setup!$C$13+Setup!$G$29),Setup!$C$39:$C$50))&lt;=Setup!$C$16))),WORKDAY(K110,-(Setup!$C$13+Setup!$G$29+Setup!$C$14),Setup!$C$39:$C$50),WORKDAY(K110,-(Setup!$C$13+Setup!$G$29),Setup!$C$39:$C$50))+(105*100+10)/10000000)))</f>
        <v/>
      </c>
      <c r="AB110" t="str">
        <f>IF(L110="","",IF(L110&lt;Setup!$C$5-Setup!$C$6,"",IF(IF(ISNUMBER(Roster!$D110),Setup!$C$30&lt;=Roster!$D110,FALSE),"",IF(OR(IF(Setup!$C$15&lt;=Setup!$C$16,AND(MONTH(L110)&gt;=Setup!$C$15,MONTH(L110)&lt;=Setup!$C$16),OR(MONTH(L110)&gt;=Setup!$C$15,MONTH(L110)&lt;=Setup!$C$16)),IF(Setup!$C$15&lt;=Setup!$C$16,AND(MONTH(WORKDAY(L110,-(Setup!$C$13+Setup!$G$30),Setup!$C$39:$C$50))&gt;=Setup!$C$15,MONTH(WORKDAY(L110,-(Setup!$C$13+Setup!$G$30),Setup!$C$39:$C$50))&lt;=Setup!$C$16),OR(MONTH(WORKDAY(L110,-(Setup!$C$13+Setup!$G$30),Setup!$C$39:$C$50))&gt;=Setup!$C$15,MONTH(WORKDAY(L110,-(Setup!$C$13+Setup!$G$30),Setup!$C$39:$C$50))&lt;=Setup!$C$16))),WORKDAY(L110,-(Setup!$C$13+Setup!$G$30+Setup!$C$14),Setup!$C$39:$C$50),WORKDAY(L110,-(Setup!$C$13+Setup!$G$30),Setup!$C$39:$C$50))+(105*100+11)/10000000)))</f>
        <v/>
      </c>
      <c r="AC110" t="str">
        <f>IF(M110="","",IF(M110&lt;Setup!$C$5-Setup!$C$6,"",IF(IF(ISNUMBER(Roster!$D110),Setup!$C$31&lt;=Roster!$D110,FALSE),"",IF(OR(IF(Setup!$C$15&lt;=Setup!$C$16,AND(MONTH(M110)&gt;=Setup!$C$15,MONTH(M110)&lt;=Setup!$C$16),OR(MONTH(M110)&gt;=Setup!$C$15,MONTH(M110)&lt;=Setup!$C$16)),IF(Setup!$C$15&lt;=Setup!$C$16,AND(MONTH(WORKDAY(M110,-(Setup!$C$13+Setup!$G$31),Setup!$C$39:$C$50))&gt;=Setup!$C$15,MONTH(WORKDAY(M110,-(Setup!$C$13+Setup!$G$31),Setup!$C$39:$C$50))&lt;=Setup!$C$16),OR(MONTH(WORKDAY(M110,-(Setup!$C$13+Setup!$G$31),Setup!$C$39:$C$50))&gt;=Setup!$C$15,MONTH(WORKDAY(M110,-(Setup!$C$13+Setup!$G$31),Setup!$C$39:$C$50))&lt;=Setup!$C$16))),WORKDAY(M110,-(Setup!$C$13+Setup!$G$31+Setup!$C$14),Setup!$C$39:$C$50),WORKDAY(M110,-(Setup!$C$13+Setup!$G$31),Setup!$C$39:$C$50))+(105*100+12)/10000000)))</f>
        <v/>
      </c>
      <c r="AD110" t="str">
        <f>IF(N110="","",IF(N110&lt;Setup!$C$5-Setup!$C$6,"",IF(IF(ISNUMBER(Roster!$D110),Setup!$C$32&lt;=Roster!$D110,FALSE),"",IF(OR(IF(Setup!$C$15&lt;=Setup!$C$16,AND(MONTH(N110)&gt;=Setup!$C$15,MONTH(N110)&lt;=Setup!$C$16),OR(MONTH(N110)&gt;=Setup!$C$15,MONTH(N110)&lt;=Setup!$C$16)),IF(Setup!$C$15&lt;=Setup!$C$16,AND(MONTH(WORKDAY(N110,-(Setup!$C$13+Setup!$G$32),Setup!$C$39:$C$50))&gt;=Setup!$C$15,MONTH(WORKDAY(N110,-(Setup!$C$13+Setup!$G$32),Setup!$C$39:$C$50))&lt;=Setup!$C$16),OR(MONTH(WORKDAY(N110,-(Setup!$C$13+Setup!$G$32),Setup!$C$39:$C$50))&gt;=Setup!$C$15,MONTH(WORKDAY(N110,-(Setup!$C$13+Setup!$G$32),Setup!$C$39:$C$50))&lt;=Setup!$C$16))),WORKDAY(N110,-(Setup!$C$13+Setup!$G$32+Setup!$C$14),Setup!$C$39:$C$50),WORKDAY(N110,-(Setup!$C$13+Setup!$G$32),Setup!$C$39:$C$50))+(105*100+13)/10000000)))</f>
        <v/>
      </c>
      <c r="AE110" t="str">
        <f>IF(O110="","",IF(O110&lt;Setup!$C$5-Setup!$C$6,"",IF(IF(ISNUMBER(Roster!$D110),Setup!$C$33&lt;=Roster!$D110,FALSE),"",IF(OR(IF(Setup!$C$15&lt;=Setup!$C$16,AND(MONTH(O110)&gt;=Setup!$C$15,MONTH(O110)&lt;=Setup!$C$16),OR(MONTH(O110)&gt;=Setup!$C$15,MONTH(O110)&lt;=Setup!$C$16)),IF(Setup!$C$15&lt;=Setup!$C$16,AND(MONTH(WORKDAY(O110,-(Setup!$C$13+Setup!$G$33),Setup!$C$39:$C$50))&gt;=Setup!$C$15,MONTH(WORKDAY(O110,-(Setup!$C$13+Setup!$G$33),Setup!$C$39:$C$50))&lt;=Setup!$C$16),OR(MONTH(WORKDAY(O110,-(Setup!$C$13+Setup!$G$33),Setup!$C$39:$C$50))&gt;=Setup!$C$15,MONTH(WORKDAY(O110,-(Setup!$C$13+Setup!$G$33),Setup!$C$39:$C$50))&lt;=Setup!$C$16))),WORKDAY(O110,-(Setup!$C$13+Setup!$G$33+Setup!$C$14),Setup!$C$39:$C$50),WORKDAY(O110,-(Setup!$C$13+Setup!$G$33),Setup!$C$39:$C$50))+(105*100+14)/10000000)))</f>
        <v/>
      </c>
      <c r="AF110" t="str">
        <f>IF(P110="","",IF(P110&lt;Setup!$C$5-Setup!$C$6,"",IF(IF(ISNUMBER(Roster!$D110),Setup!$C$34&lt;=Roster!$D110,FALSE),"",IF(OR(IF(Setup!$C$15&lt;=Setup!$C$16,AND(MONTH(P110)&gt;=Setup!$C$15,MONTH(P110)&lt;=Setup!$C$16),OR(MONTH(P110)&gt;=Setup!$C$15,MONTH(P110)&lt;=Setup!$C$16)),IF(Setup!$C$15&lt;=Setup!$C$16,AND(MONTH(WORKDAY(P110,-(Setup!$C$13+Setup!$G$34),Setup!$C$39:$C$50))&gt;=Setup!$C$15,MONTH(WORKDAY(P110,-(Setup!$C$13+Setup!$G$34),Setup!$C$39:$C$50))&lt;=Setup!$C$16),OR(MONTH(WORKDAY(P110,-(Setup!$C$13+Setup!$G$34),Setup!$C$39:$C$50))&gt;=Setup!$C$15,MONTH(WORKDAY(P110,-(Setup!$C$13+Setup!$G$34),Setup!$C$39:$C$50))&lt;=Setup!$C$16))),WORKDAY(P110,-(Setup!$C$13+Setup!$G$34+Setup!$C$14),Setup!$C$39:$C$50),WORKDAY(P110,-(Setup!$C$13+Setup!$G$34),Setup!$C$39:$C$50))+(105*100+15)/10000000)))</f>
        <v/>
      </c>
      <c r="AH110" t="str">
        <f t="shared" si="9"/>
        <v/>
      </c>
      <c r="AI110" t="str">
        <f t="shared" si="10"/>
        <v/>
      </c>
      <c r="AK110" t="str">
        <f ca="1">IF(105&gt;$AK$2,"",SMALL($R$6:$AF$505,105))</f>
        <v/>
      </c>
      <c r="AL110" t="str">
        <f t="shared" ca="1" si="11"/>
        <v/>
      </c>
      <c r="AM110" t="str">
        <f t="shared" ca="1" si="12"/>
        <v/>
      </c>
      <c r="AN110" t="str">
        <f t="shared" ca="1" si="13"/>
        <v/>
      </c>
      <c r="AP110" t="str">
        <f>IF(ISNUMBER(Roster!$B110),MAX(1,YEAR(Setup!$C$5)-YEAR(Roster!$B110)+IF(EDATE(Roster!$B110,12*(YEAR(Setup!$C$5)-YEAR(Roster!$B110)))&lt;Setup!$C$5,1,0)),"")</f>
        <v/>
      </c>
      <c r="AQ110" s="32" t="str">
        <f>IF(AP110="","",EDATE(Roster!$B110,12*AP110))</f>
        <v/>
      </c>
      <c r="AR110" t="str">
        <f>IF(AQ110="","",IF(AQ110&lt;DATE(YEAR(Setup!$C$5)+1,MONTH(Setup!$C$5),DAY(Setup!$C$5)),AQ110+105/1000,""))</f>
        <v/>
      </c>
      <c r="AS110" t="str">
        <f t="shared" si="14"/>
        <v/>
      </c>
      <c r="AT110" t="str">
        <f>IF(AS110="","",IF(ISNUMBER(Roster!$D110),Roster!$D110&gt;=AP110,FALSE))</f>
        <v/>
      </c>
      <c r="AU110" t="str">
        <f t="shared" si="15"/>
        <v/>
      </c>
      <c r="AV110" t="str">
        <f ca="1">IF(105&gt;$AV$2,"",SMALL($AR$6:$AR$505,105))</f>
        <v/>
      </c>
      <c r="AW110" t="str">
        <f t="shared" ca="1" si="16"/>
        <v/>
      </c>
    </row>
    <row r="111" spans="2:49" x14ac:dyDescent="0.2">
      <c r="B111" s="32" t="str">
        <f>IF(AND(ISNUMBER(Roster!$B111),Setup!$B$20="Yes",ISNUMBER(Setup!$C$20)),EDATE(Roster!$B111,12*Setup!$C$20),"")</f>
        <v/>
      </c>
      <c r="C111" s="32" t="str">
        <f>IF(AND(ISNUMBER(Roster!$B111),Setup!$B$21="Yes",ISNUMBER(Setup!$C$21)),EDATE(Roster!$B111,12*Setup!$C$21),"")</f>
        <v/>
      </c>
      <c r="D111" s="32" t="str">
        <f>IF(AND(ISNUMBER(Roster!$B111),Setup!$B$22="Yes",ISNUMBER(Setup!$C$22)),EDATE(Roster!$B111,12*Setup!$C$22),"")</f>
        <v/>
      </c>
      <c r="E111" s="32" t="str">
        <f>IF(AND(ISNUMBER(Roster!$B111),Setup!$B$23="Yes",ISNUMBER(Setup!$C$23)),EDATE(Roster!$B111,12*Setup!$C$23),"")</f>
        <v/>
      </c>
      <c r="F111" s="32" t="str">
        <f>IF(AND(ISNUMBER(Roster!$B111),Setup!$B$24="Yes",ISNUMBER(Setup!$C$24)),EDATE(Roster!$B111,12*Setup!$C$24),"")</f>
        <v/>
      </c>
      <c r="G111" s="32" t="str">
        <f>IF(AND(ISNUMBER(Roster!$B111),Setup!$B$25="Yes",ISNUMBER(Setup!$C$25)),EDATE(Roster!$B111,12*Setup!$C$25),"")</f>
        <v/>
      </c>
      <c r="H111" s="32" t="str">
        <f>IF(AND(ISNUMBER(Roster!$B111),Setup!$B$26="Yes",ISNUMBER(Setup!$C$26)),EDATE(Roster!$B111,12*Setup!$C$26),"")</f>
        <v/>
      </c>
      <c r="I111" s="32" t="str">
        <f>IF(AND(ISNUMBER(Roster!$B111),Setup!$B$27="Yes",ISNUMBER(Setup!$C$27)),EDATE(Roster!$B111,12*Setup!$C$27),"")</f>
        <v/>
      </c>
      <c r="J111" s="32" t="str">
        <f>IF(AND(ISNUMBER(Roster!$B111),Setup!$B$28="Yes",ISNUMBER(Setup!$C$28)),EDATE(Roster!$B111,12*Setup!$C$28),"")</f>
        <v/>
      </c>
      <c r="K111" s="32" t="str">
        <f>IF(AND(ISNUMBER(Roster!$B111),Setup!$B$29="Yes",ISNUMBER(Setup!$C$29)),EDATE(Roster!$B111,12*Setup!$C$29),"")</f>
        <v/>
      </c>
      <c r="L111" s="32" t="str">
        <f>IF(AND(ISNUMBER(Roster!$B111),Setup!$B$30="Yes",ISNUMBER(Setup!$C$30)),EDATE(Roster!$B111,12*Setup!$C$30),"")</f>
        <v/>
      </c>
      <c r="M111" s="32" t="str">
        <f>IF(AND(ISNUMBER(Roster!$B111),Setup!$B$31="Yes",ISNUMBER(Setup!$C$31)),EDATE(Roster!$B111,12*Setup!$C$31),"")</f>
        <v/>
      </c>
      <c r="N111" s="32" t="str">
        <f>IF(AND(ISNUMBER(Roster!$B111),Setup!$B$32="Yes",ISNUMBER(Setup!$C$32)),EDATE(Roster!$B111,12*Setup!$C$32),"")</f>
        <v/>
      </c>
      <c r="O111" s="32" t="str">
        <f>IF(AND(ISNUMBER(Roster!$B111),Setup!$B$33="Yes",ISNUMBER(Setup!$C$33)),EDATE(Roster!$B111,12*Setup!$C$33),"")</f>
        <v/>
      </c>
      <c r="P111" s="32" t="str">
        <f>IF(AND(ISNUMBER(Roster!$B111),Setup!$B$34="Yes",ISNUMBER(Setup!$C$34)),EDATE(Roster!$B111,12*Setup!$C$34),"")</f>
        <v/>
      </c>
      <c r="R111" t="str">
        <f>IF(B111="","",IF(B111&lt;Setup!$C$5-Setup!$C$6,"",IF(IF(ISNUMBER(Roster!$D111),Setup!$C$20&lt;=Roster!$D111,FALSE),"",IF(OR(IF(Setup!$C$15&lt;=Setup!$C$16,AND(MONTH(B111)&gt;=Setup!$C$15,MONTH(B111)&lt;=Setup!$C$16),OR(MONTH(B111)&gt;=Setup!$C$15,MONTH(B111)&lt;=Setup!$C$16)),IF(Setup!$C$15&lt;=Setup!$C$16,AND(MONTH(WORKDAY(B111,-(Setup!$C$13+Setup!$G$20),Setup!$C$39:$C$50))&gt;=Setup!$C$15,MONTH(WORKDAY(B111,-(Setup!$C$13+Setup!$G$20),Setup!$C$39:$C$50))&lt;=Setup!$C$16),OR(MONTH(WORKDAY(B111,-(Setup!$C$13+Setup!$G$20),Setup!$C$39:$C$50))&gt;=Setup!$C$15,MONTH(WORKDAY(B111,-(Setup!$C$13+Setup!$G$20),Setup!$C$39:$C$50))&lt;=Setup!$C$16))),WORKDAY(B111,-(Setup!$C$13+Setup!$G$20+Setup!$C$14),Setup!$C$39:$C$50),WORKDAY(B111,-(Setup!$C$13+Setup!$G$20),Setup!$C$39:$C$50))+(106*100+1)/10000000)))</f>
        <v/>
      </c>
      <c r="S111" t="str">
        <f>IF(C111="","",IF(C111&lt;Setup!$C$5-Setup!$C$6,"",IF(IF(ISNUMBER(Roster!$D111),Setup!$C$21&lt;=Roster!$D111,FALSE),"",IF(OR(IF(Setup!$C$15&lt;=Setup!$C$16,AND(MONTH(C111)&gt;=Setup!$C$15,MONTH(C111)&lt;=Setup!$C$16),OR(MONTH(C111)&gt;=Setup!$C$15,MONTH(C111)&lt;=Setup!$C$16)),IF(Setup!$C$15&lt;=Setup!$C$16,AND(MONTH(WORKDAY(C111,-(Setup!$C$13+Setup!$G$21),Setup!$C$39:$C$50))&gt;=Setup!$C$15,MONTH(WORKDAY(C111,-(Setup!$C$13+Setup!$G$21),Setup!$C$39:$C$50))&lt;=Setup!$C$16),OR(MONTH(WORKDAY(C111,-(Setup!$C$13+Setup!$G$21),Setup!$C$39:$C$50))&gt;=Setup!$C$15,MONTH(WORKDAY(C111,-(Setup!$C$13+Setup!$G$21),Setup!$C$39:$C$50))&lt;=Setup!$C$16))),WORKDAY(C111,-(Setup!$C$13+Setup!$G$21+Setup!$C$14),Setup!$C$39:$C$50),WORKDAY(C111,-(Setup!$C$13+Setup!$G$21),Setup!$C$39:$C$50))+(106*100+2)/10000000)))</f>
        <v/>
      </c>
      <c r="T111" t="str">
        <f>IF(D111="","",IF(D111&lt;Setup!$C$5-Setup!$C$6,"",IF(IF(ISNUMBER(Roster!$D111),Setup!$C$22&lt;=Roster!$D111,FALSE),"",IF(OR(IF(Setup!$C$15&lt;=Setup!$C$16,AND(MONTH(D111)&gt;=Setup!$C$15,MONTH(D111)&lt;=Setup!$C$16),OR(MONTH(D111)&gt;=Setup!$C$15,MONTH(D111)&lt;=Setup!$C$16)),IF(Setup!$C$15&lt;=Setup!$C$16,AND(MONTH(WORKDAY(D111,-(Setup!$C$13+Setup!$G$22),Setup!$C$39:$C$50))&gt;=Setup!$C$15,MONTH(WORKDAY(D111,-(Setup!$C$13+Setup!$G$22),Setup!$C$39:$C$50))&lt;=Setup!$C$16),OR(MONTH(WORKDAY(D111,-(Setup!$C$13+Setup!$G$22),Setup!$C$39:$C$50))&gt;=Setup!$C$15,MONTH(WORKDAY(D111,-(Setup!$C$13+Setup!$G$22),Setup!$C$39:$C$50))&lt;=Setup!$C$16))),WORKDAY(D111,-(Setup!$C$13+Setup!$G$22+Setup!$C$14),Setup!$C$39:$C$50),WORKDAY(D111,-(Setup!$C$13+Setup!$G$22),Setup!$C$39:$C$50))+(106*100+3)/10000000)))</f>
        <v/>
      </c>
      <c r="U111" t="str">
        <f>IF(E111="","",IF(E111&lt;Setup!$C$5-Setup!$C$6,"",IF(IF(ISNUMBER(Roster!$D111),Setup!$C$23&lt;=Roster!$D111,FALSE),"",IF(OR(IF(Setup!$C$15&lt;=Setup!$C$16,AND(MONTH(E111)&gt;=Setup!$C$15,MONTH(E111)&lt;=Setup!$C$16),OR(MONTH(E111)&gt;=Setup!$C$15,MONTH(E111)&lt;=Setup!$C$16)),IF(Setup!$C$15&lt;=Setup!$C$16,AND(MONTH(WORKDAY(E111,-(Setup!$C$13+Setup!$G$23),Setup!$C$39:$C$50))&gt;=Setup!$C$15,MONTH(WORKDAY(E111,-(Setup!$C$13+Setup!$G$23),Setup!$C$39:$C$50))&lt;=Setup!$C$16),OR(MONTH(WORKDAY(E111,-(Setup!$C$13+Setup!$G$23),Setup!$C$39:$C$50))&gt;=Setup!$C$15,MONTH(WORKDAY(E111,-(Setup!$C$13+Setup!$G$23),Setup!$C$39:$C$50))&lt;=Setup!$C$16))),WORKDAY(E111,-(Setup!$C$13+Setup!$G$23+Setup!$C$14),Setup!$C$39:$C$50),WORKDAY(E111,-(Setup!$C$13+Setup!$G$23),Setup!$C$39:$C$50))+(106*100+4)/10000000)))</f>
        <v/>
      </c>
      <c r="V111" t="str">
        <f>IF(F111="","",IF(F111&lt;Setup!$C$5-Setup!$C$6,"",IF(IF(ISNUMBER(Roster!$D111),Setup!$C$24&lt;=Roster!$D111,FALSE),"",IF(OR(IF(Setup!$C$15&lt;=Setup!$C$16,AND(MONTH(F111)&gt;=Setup!$C$15,MONTH(F111)&lt;=Setup!$C$16),OR(MONTH(F111)&gt;=Setup!$C$15,MONTH(F111)&lt;=Setup!$C$16)),IF(Setup!$C$15&lt;=Setup!$C$16,AND(MONTH(WORKDAY(F111,-(Setup!$C$13+Setup!$G$24),Setup!$C$39:$C$50))&gt;=Setup!$C$15,MONTH(WORKDAY(F111,-(Setup!$C$13+Setup!$G$24),Setup!$C$39:$C$50))&lt;=Setup!$C$16),OR(MONTH(WORKDAY(F111,-(Setup!$C$13+Setup!$G$24),Setup!$C$39:$C$50))&gt;=Setup!$C$15,MONTH(WORKDAY(F111,-(Setup!$C$13+Setup!$G$24),Setup!$C$39:$C$50))&lt;=Setup!$C$16))),WORKDAY(F111,-(Setup!$C$13+Setup!$G$24+Setup!$C$14),Setup!$C$39:$C$50),WORKDAY(F111,-(Setup!$C$13+Setup!$G$24),Setup!$C$39:$C$50))+(106*100+5)/10000000)))</f>
        <v/>
      </c>
      <c r="W111" t="str">
        <f>IF(G111="","",IF(G111&lt;Setup!$C$5-Setup!$C$6,"",IF(IF(ISNUMBER(Roster!$D111),Setup!$C$25&lt;=Roster!$D111,FALSE),"",IF(OR(IF(Setup!$C$15&lt;=Setup!$C$16,AND(MONTH(G111)&gt;=Setup!$C$15,MONTH(G111)&lt;=Setup!$C$16),OR(MONTH(G111)&gt;=Setup!$C$15,MONTH(G111)&lt;=Setup!$C$16)),IF(Setup!$C$15&lt;=Setup!$C$16,AND(MONTH(WORKDAY(G111,-(Setup!$C$13+Setup!$G$25),Setup!$C$39:$C$50))&gt;=Setup!$C$15,MONTH(WORKDAY(G111,-(Setup!$C$13+Setup!$G$25),Setup!$C$39:$C$50))&lt;=Setup!$C$16),OR(MONTH(WORKDAY(G111,-(Setup!$C$13+Setup!$G$25),Setup!$C$39:$C$50))&gt;=Setup!$C$15,MONTH(WORKDAY(G111,-(Setup!$C$13+Setup!$G$25),Setup!$C$39:$C$50))&lt;=Setup!$C$16))),WORKDAY(G111,-(Setup!$C$13+Setup!$G$25+Setup!$C$14),Setup!$C$39:$C$50),WORKDAY(G111,-(Setup!$C$13+Setup!$G$25),Setup!$C$39:$C$50))+(106*100+6)/10000000)))</f>
        <v/>
      </c>
      <c r="X111" t="str">
        <f>IF(H111="","",IF(H111&lt;Setup!$C$5-Setup!$C$6,"",IF(IF(ISNUMBER(Roster!$D111),Setup!$C$26&lt;=Roster!$D111,FALSE),"",IF(OR(IF(Setup!$C$15&lt;=Setup!$C$16,AND(MONTH(H111)&gt;=Setup!$C$15,MONTH(H111)&lt;=Setup!$C$16),OR(MONTH(H111)&gt;=Setup!$C$15,MONTH(H111)&lt;=Setup!$C$16)),IF(Setup!$C$15&lt;=Setup!$C$16,AND(MONTH(WORKDAY(H111,-(Setup!$C$13+Setup!$G$26),Setup!$C$39:$C$50))&gt;=Setup!$C$15,MONTH(WORKDAY(H111,-(Setup!$C$13+Setup!$G$26),Setup!$C$39:$C$50))&lt;=Setup!$C$16),OR(MONTH(WORKDAY(H111,-(Setup!$C$13+Setup!$G$26),Setup!$C$39:$C$50))&gt;=Setup!$C$15,MONTH(WORKDAY(H111,-(Setup!$C$13+Setup!$G$26),Setup!$C$39:$C$50))&lt;=Setup!$C$16))),WORKDAY(H111,-(Setup!$C$13+Setup!$G$26+Setup!$C$14),Setup!$C$39:$C$50),WORKDAY(H111,-(Setup!$C$13+Setup!$G$26),Setup!$C$39:$C$50))+(106*100+7)/10000000)))</f>
        <v/>
      </c>
      <c r="Y111" t="str">
        <f>IF(I111="","",IF(I111&lt;Setup!$C$5-Setup!$C$6,"",IF(IF(ISNUMBER(Roster!$D111),Setup!$C$27&lt;=Roster!$D111,FALSE),"",IF(OR(IF(Setup!$C$15&lt;=Setup!$C$16,AND(MONTH(I111)&gt;=Setup!$C$15,MONTH(I111)&lt;=Setup!$C$16),OR(MONTH(I111)&gt;=Setup!$C$15,MONTH(I111)&lt;=Setup!$C$16)),IF(Setup!$C$15&lt;=Setup!$C$16,AND(MONTH(WORKDAY(I111,-(Setup!$C$13+Setup!$G$27),Setup!$C$39:$C$50))&gt;=Setup!$C$15,MONTH(WORKDAY(I111,-(Setup!$C$13+Setup!$G$27),Setup!$C$39:$C$50))&lt;=Setup!$C$16),OR(MONTH(WORKDAY(I111,-(Setup!$C$13+Setup!$G$27),Setup!$C$39:$C$50))&gt;=Setup!$C$15,MONTH(WORKDAY(I111,-(Setup!$C$13+Setup!$G$27),Setup!$C$39:$C$50))&lt;=Setup!$C$16))),WORKDAY(I111,-(Setup!$C$13+Setup!$G$27+Setup!$C$14),Setup!$C$39:$C$50),WORKDAY(I111,-(Setup!$C$13+Setup!$G$27),Setup!$C$39:$C$50))+(106*100+8)/10000000)))</f>
        <v/>
      </c>
      <c r="Z111" t="str">
        <f>IF(J111="","",IF(J111&lt;Setup!$C$5-Setup!$C$6,"",IF(IF(ISNUMBER(Roster!$D111),Setup!$C$28&lt;=Roster!$D111,FALSE),"",IF(OR(IF(Setup!$C$15&lt;=Setup!$C$16,AND(MONTH(J111)&gt;=Setup!$C$15,MONTH(J111)&lt;=Setup!$C$16),OR(MONTH(J111)&gt;=Setup!$C$15,MONTH(J111)&lt;=Setup!$C$16)),IF(Setup!$C$15&lt;=Setup!$C$16,AND(MONTH(WORKDAY(J111,-(Setup!$C$13+Setup!$G$28),Setup!$C$39:$C$50))&gt;=Setup!$C$15,MONTH(WORKDAY(J111,-(Setup!$C$13+Setup!$G$28),Setup!$C$39:$C$50))&lt;=Setup!$C$16),OR(MONTH(WORKDAY(J111,-(Setup!$C$13+Setup!$G$28),Setup!$C$39:$C$50))&gt;=Setup!$C$15,MONTH(WORKDAY(J111,-(Setup!$C$13+Setup!$G$28),Setup!$C$39:$C$50))&lt;=Setup!$C$16))),WORKDAY(J111,-(Setup!$C$13+Setup!$G$28+Setup!$C$14),Setup!$C$39:$C$50),WORKDAY(J111,-(Setup!$C$13+Setup!$G$28),Setup!$C$39:$C$50))+(106*100+9)/10000000)))</f>
        <v/>
      </c>
      <c r="AA111" t="str">
        <f>IF(K111="","",IF(K111&lt;Setup!$C$5-Setup!$C$6,"",IF(IF(ISNUMBER(Roster!$D111),Setup!$C$29&lt;=Roster!$D111,FALSE),"",IF(OR(IF(Setup!$C$15&lt;=Setup!$C$16,AND(MONTH(K111)&gt;=Setup!$C$15,MONTH(K111)&lt;=Setup!$C$16),OR(MONTH(K111)&gt;=Setup!$C$15,MONTH(K111)&lt;=Setup!$C$16)),IF(Setup!$C$15&lt;=Setup!$C$16,AND(MONTH(WORKDAY(K111,-(Setup!$C$13+Setup!$G$29),Setup!$C$39:$C$50))&gt;=Setup!$C$15,MONTH(WORKDAY(K111,-(Setup!$C$13+Setup!$G$29),Setup!$C$39:$C$50))&lt;=Setup!$C$16),OR(MONTH(WORKDAY(K111,-(Setup!$C$13+Setup!$G$29),Setup!$C$39:$C$50))&gt;=Setup!$C$15,MONTH(WORKDAY(K111,-(Setup!$C$13+Setup!$G$29),Setup!$C$39:$C$50))&lt;=Setup!$C$16))),WORKDAY(K111,-(Setup!$C$13+Setup!$G$29+Setup!$C$14),Setup!$C$39:$C$50),WORKDAY(K111,-(Setup!$C$13+Setup!$G$29),Setup!$C$39:$C$50))+(106*100+10)/10000000)))</f>
        <v/>
      </c>
      <c r="AB111" t="str">
        <f>IF(L111="","",IF(L111&lt;Setup!$C$5-Setup!$C$6,"",IF(IF(ISNUMBER(Roster!$D111),Setup!$C$30&lt;=Roster!$D111,FALSE),"",IF(OR(IF(Setup!$C$15&lt;=Setup!$C$16,AND(MONTH(L111)&gt;=Setup!$C$15,MONTH(L111)&lt;=Setup!$C$16),OR(MONTH(L111)&gt;=Setup!$C$15,MONTH(L111)&lt;=Setup!$C$16)),IF(Setup!$C$15&lt;=Setup!$C$16,AND(MONTH(WORKDAY(L111,-(Setup!$C$13+Setup!$G$30),Setup!$C$39:$C$50))&gt;=Setup!$C$15,MONTH(WORKDAY(L111,-(Setup!$C$13+Setup!$G$30),Setup!$C$39:$C$50))&lt;=Setup!$C$16),OR(MONTH(WORKDAY(L111,-(Setup!$C$13+Setup!$G$30),Setup!$C$39:$C$50))&gt;=Setup!$C$15,MONTH(WORKDAY(L111,-(Setup!$C$13+Setup!$G$30),Setup!$C$39:$C$50))&lt;=Setup!$C$16))),WORKDAY(L111,-(Setup!$C$13+Setup!$G$30+Setup!$C$14),Setup!$C$39:$C$50),WORKDAY(L111,-(Setup!$C$13+Setup!$G$30),Setup!$C$39:$C$50))+(106*100+11)/10000000)))</f>
        <v/>
      </c>
      <c r="AC111" t="str">
        <f>IF(M111="","",IF(M111&lt;Setup!$C$5-Setup!$C$6,"",IF(IF(ISNUMBER(Roster!$D111),Setup!$C$31&lt;=Roster!$D111,FALSE),"",IF(OR(IF(Setup!$C$15&lt;=Setup!$C$16,AND(MONTH(M111)&gt;=Setup!$C$15,MONTH(M111)&lt;=Setup!$C$16),OR(MONTH(M111)&gt;=Setup!$C$15,MONTH(M111)&lt;=Setup!$C$16)),IF(Setup!$C$15&lt;=Setup!$C$16,AND(MONTH(WORKDAY(M111,-(Setup!$C$13+Setup!$G$31),Setup!$C$39:$C$50))&gt;=Setup!$C$15,MONTH(WORKDAY(M111,-(Setup!$C$13+Setup!$G$31),Setup!$C$39:$C$50))&lt;=Setup!$C$16),OR(MONTH(WORKDAY(M111,-(Setup!$C$13+Setup!$G$31),Setup!$C$39:$C$50))&gt;=Setup!$C$15,MONTH(WORKDAY(M111,-(Setup!$C$13+Setup!$G$31),Setup!$C$39:$C$50))&lt;=Setup!$C$16))),WORKDAY(M111,-(Setup!$C$13+Setup!$G$31+Setup!$C$14),Setup!$C$39:$C$50),WORKDAY(M111,-(Setup!$C$13+Setup!$G$31),Setup!$C$39:$C$50))+(106*100+12)/10000000)))</f>
        <v/>
      </c>
      <c r="AD111" t="str">
        <f>IF(N111="","",IF(N111&lt;Setup!$C$5-Setup!$C$6,"",IF(IF(ISNUMBER(Roster!$D111),Setup!$C$32&lt;=Roster!$D111,FALSE),"",IF(OR(IF(Setup!$C$15&lt;=Setup!$C$16,AND(MONTH(N111)&gt;=Setup!$C$15,MONTH(N111)&lt;=Setup!$C$16),OR(MONTH(N111)&gt;=Setup!$C$15,MONTH(N111)&lt;=Setup!$C$16)),IF(Setup!$C$15&lt;=Setup!$C$16,AND(MONTH(WORKDAY(N111,-(Setup!$C$13+Setup!$G$32),Setup!$C$39:$C$50))&gt;=Setup!$C$15,MONTH(WORKDAY(N111,-(Setup!$C$13+Setup!$G$32),Setup!$C$39:$C$50))&lt;=Setup!$C$16),OR(MONTH(WORKDAY(N111,-(Setup!$C$13+Setup!$G$32),Setup!$C$39:$C$50))&gt;=Setup!$C$15,MONTH(WORKDAY(N111,-(Setup!$C$13+Setup!$G$32),Setup!$C$39:$C$50))&lt;=Setup!$C$16))),WORKDAY(N111,-(Setup!$C$13+Setup!$G$32+Setup!$C$14),Setup!$C$39:$C$50),WORKDAY(N111,-(Setup!$C$13+Setup!$G$32),Setup!$C$39:$C$50))+(106*100+13)/10000000)))</f>
        <v/>
      </c>
      <c r="AE111" t="str">
        <f>IF(O111="","",IF(O111&lt;Setup!$C$5-Setup!$C$6,"",IF(IF(ISNUMBER(Roster!$D111),Setup!$C$33&lt;=Roster!$D111,FALSE),"",IF(OR(IF(Setup!$C$15&lt;=Setup!$C$16,AND(MONTH(O111)&gt;=Setup!$C$15,MONTH(O111)&lt;=Setup!$C$16),OR(MONTH(O111)&gt;=Setup!$C$15,MONTH(O111)&lt;=Setup!$C$16)),IF(Setup!$C$15&lt;=Setup!$C$16,AND(MONTH(WORKDAY(O111,-(Setup!$C$13+Setup!$G$33),Setup!$C$39:$C$50))&gt;=Setup!$C$15,MONTH(WORKDAY(O111,-(Setup!$C$13+Setup!$G$33),Setup!$C$39:$C$50))&lt;=Setup!$C$16),OR(MONTH(WORKDAY(O111,-(Setup!$C$13+Setup!$G$33),Setup!$C$39:$C$50))&gt;=Setup!$C$15,MONTH(WORKDAY(O111,-(Setup!$C$13+Setup!$G$33),Setup!$C$39:$C$50))&lt;=Setup!$C$16))),WORKDAY(O111,-(Setup!$C$13+Setup!$G$33+Setup!$C$14),Setup!$C$39:$C$50),WORKDAY(O111,-(Setup!$C$13+Setup!$G$33),Setup!$C$39:$C$50))+(106*100+14)/10000000)))</f>
        <v/>
      </c>
      <c r="AF111" t="str">
        <f>IF(P111="","",IF(P111&lt;Setup!$C$5-Setup!$C$6,"",IF(IF(ISNUMBER(Roster!$D111),Setup!$C$34&lt;=Roster!$D111,FALSE),"",IF(OR(IF(Setup!$C$15&lt;=Setup!$C$16,AND(MONTH(P111)&gt;=Setup!$C$15,MONTH(P111)&lt;=Setup!$C$16),OR(MONTH(P111)&gt;=Setup!$C$15,MONTH(P111)&lt;=Setup!$C$16)),IF(Setup!$C$15&lt;=Setup!$C$16,AND(MONTH(WORKDAY(P111,-(Setup!$C$13+Setup!$G$34),Setup!$C$39:$C$50))&gt;=Setup!$C$15,MONTH(WORKDAY(P111,-(Setup!$C$13+Setup!$G$34),Setup!$C$39:$C$50))&lt;=Setup!$C$16),OR(MONTH(WORKDAY(P111,-(Setup!$C$13+Setup!$G$34),Setup!$C$39:$C$50))&gt;=Setup!$C$15,MONTH(WORKDAY(P111,-(Setup!$C$13+Setup!$G$34),Setup!$C$39:$C$50))&lt;=Setup!$C$16))),WORKDAY(P111,-(Setup!$C$13+Setup!$G$34+Setup!$C$14),Setup!$C$39:$C$50),WORKDAY(P111,-(Setup!$C$13+Setup!$G$34),Setup!$C$39:$C$50))+(106*100+15)/10000000)))</f>
        <v/>
      </c>
      <c r="AH111" t="str">
        <f t="shared" si="9"/>
        <v/>
      </c>
      <c r="AI111" t="str">
        <f t="shared" si="10"/>
        <v/>
      </c>
      <c r="AK111" t="str">
        <f ca="1">IF(106&gt;$AK$2,"",SMALL($R$6:$AF$505,106))</f>
        <v/>
      </c>
      <c r="AL111" t="str">
        <f t="shared" ca="1" si="11"/>
        <v/>
      </c>
      <c r="AM111" t="str">
        <f t="shared" ca="1" si="12"/>
        <v/>
      </c>
      <c r="AN111" t="str">
        <f t="shared" ca="1" si="13"/>
        <v/>
      </c>
      <c r="AP111" t="str">
        <f>IF(ISNUMBER(Roster!$B111),MAX(1,YEAR(Setup!$C$5)-YEAR(Roster!$B111)+IF(EDATE(Roster!$B111,12*(YEAR(Setup!$C$5)-YEAR(Roster!$B111)))&lt;Setup!$C$5,1,0)),"")</f>
        <v/>
      </c>
      <c r="AQ111" s="32" t="str">
        <f>IF(AP111="","",EDATE(Roster!$B111,12*AP111))</f>
        <v/>
      </c>
      <c r="AR111" t="str">
        <f>IF(AQ111="","",IF(AQ111&lt;DATE(YEAR(Setup!$C$5)+1,MONTH(Setup!$C$5),DAY(Setup!$C$5)),AQ111+106/1000,""))</f>
        <v/>
      </c>
      <c r="AS111" t="str">
        <f t="shared" si="14"/>
        <v/>
      </c>
      <c r="AT111" t="str">
        <f>IF(AS111="","",IF(ISNUMBER(Roster!$D111),Roster!$D111&gt;=AP111,FALSE))</f>
        <v/>
      </c>
      <c r="AU111" t="str">
        <f t="shared" si="15"/>
        <v/>
      </c>
      <c r="AV111" t="str">
        <f ca="1">IF(106&gt;$AV$2,"",SMALL($AR$6:$AR$505,106))</f>
        <v/>
      </c>
      <c r="AW111" t="str">
        <f t="shared" ca="1" si="16"/>
        <v/>
      </c>
    </row>
    <row r="112" spans="2:49" x14ac:dyDescent="0.2">
      <c r="B112" s="32" t="str">
        <f>IF(AND(ISNUMBER(Roster!$B112),Setup!$B$20="Yes",ISNUMBER(Setup!$C$20)),EDATE(Roster!$B112,12*Setup!$C$20),"")</f>
        <v/>
      </c>
      <c r="C112" s="32" t="str">
        <f>IF(AND(ISNUMBER(Roster!$B112),Setup!$B$21="Yes",ISNUMBER(Setup!$C$21)),EDATE(Roster!$B112,12*Setup!$C$21),"")</f>
        <v/>
      </c>
      <c r="D112" s="32" t="str">
        <f>IF(AND(ISNUMBER(Roster!$B112),Setup!$B$22="Yes",ISNUMBER(Setup!$C$22)),EDATE(Roster!$B112,12*Setup!$C$22),"")</f>
        <v/>
      </c>
      <c r="E112" s="32" t="str">
        <f>IF(AND(ISNUMBER(Roster!$B112),Setup!$B$23="Yes",ISNUMBER(Setup!$C$23)),EDATE(Roster!$B112,12*Setup!$C$23),"")</f>
        <v/>
      </c>
      <c r="F112" s="32" t="str">
        <f>IF(AND(ISNUMBER(Roster!$B112),Setup!$B$24="Yes",ISNUMBER(Setup!$C$24)),EDATE(Roster!$B112,12*Setup!$C$24),"")</f>
        <v/>
      </c>
      <c r="G112" s="32" t="str">
        <f>IF(AND(ISNUMBER(Roster!$B112),Setup!$B$25="Yes",ISNUMBER(Setup!$C$25)),EDATE(Roster!$B112,12*Setup!$C$25),"")</f>
        <v/>
      </c>
      <c r="H112" s="32" t="str">
        <f>IF(AND(ISNUMBER(Roster!$B112),Setup!$B$26="Yes",ISNUMBER(Setup!$C$26)),EDATE(Roster!$B112,12*Setup!$C$26),"")</f>
        <v/>
      </c>
      <c r="I112" s="32" t="str">
        <f>IF(AND(ISNUMBER(Roster!$B112),Setup!$B$27="Yes",ISNUMBER(Setup!$C$27)),EDATE(Roster!$B112,12*Setup!$C$27),"")</f>
        <v/>
      </c>
      <c r="J112" s="32" t="str">
        <f>IF(AND(ISNUMBER(Roster!$B112),Setup!$B$28="Yes",ISNUMBER(Setup!$C$28)),EDATE(Roster!$B112,12*Setup!$C$28),"")</f>
        <v/>
      </c>
      <c r="K112" s="32" t="str">
        <f>IF(AND(ISNUMBER(Roster!$B112),Setup!$B$29="Yes",ISNUMBER(Setup!$C$29)),EDATE(Roster!$B112,12*Setup!$C$29),"")</f>
        <v/>
      </c>
      <c r="L112" s="32" t="str">
        <f>IF(AND(ISNUMBER(Roster!$B112),Setup!$B$30="Yes",ISNUMBER(Setup!$C$30)),EDATE(Roster!$B112,12*Setup!$C$30),"")</f>
        <v/>
      </c>
      <c r="M112" s="32" t="str">
        <f>IF(AND(ISNUMBER(Roster!$B112),Setup!$B$31="Yes",ISNUMBER(Setup!$C$31)),EDATE(Roster!$B112,12*Setup!$C$31),"")</f>
        <v/>
      </c>
      <c r="N112" s="32" t="str">
        <f>IF(AND(ISNUMBER(Roster!$B112),Setup!$B$32="Yes",ISNUMBER(Setup!$C$32)),EDATE(Roster!$B112,12*Setup!$C$32),"")</f>
        <v/>
      </c>
      <c r="O112" s="32" t="str">
        <f>IF(AND(ISNUMBER(Roster!$B112),Setup!$B$33="Yes",ISNUMBER(Setup!$C$33)),EDATE(Roster!$B112,12*Setup!$C$33),"")</f>
        <v/>
      </c>
      <c r="P112" s="32" t="str">
        <f>IF(AND(ISNUMBER(Roster!$B112),Setup!$B$34="Yes",ISNUMBER(Setup!$C$34)),EDATE(Roster!$B112,12*Setup!$C$34),"")</f>
        <v/>
      </c>
      <c r="R112" t="str">
        <f>IF(B112="","",IF(B112&lt;Setup!$C$5-Setup!$C$6,"",IF(IF(ISNUMBER(Roster!$D112),Setup!$C$20&lt;=Roster!$D112,FALSE),"",IF(OR(IF(Setup!$C$15&lt;=Setup!$C$16,AND(MONTH(B112)&gt;=Setup!$C$15,MONTH(B112)&lt;=Setup!$C$16),OR(MONTH(B112)&gt;=Setup!$C$15,MONTH(B112)&lt;=Setup!$C$16)),IF(Setup!$C$15&lt;=Setup!$C$16,AND(MONTH(WORKDAY(B112,-(Setup!$C$13+Setup!$G$20),Setup!$C$39:$C$50))&gt;=Setup!$C$15,MONTH(WORKDAY(B112,-(Setup!$C$13+Setup!$G$20),Setup!$C$39:$C$50))&lt;=Setup!$C$16),OR(MONTH(WORKDAY(B112,-(Setup!$C$13+Setup!$G$20),Setup!$C$39:$C$50))&gt;=Setup!$C$15,MONTH(WORKDAY(B112,-(Setup!$C$13+Setup!$G$20),Setup!$C$39:$C$50))&lt;=Setup!$C$16))),WORKDAY(B112,-(Setup!$C$13+Setup!$G$20+Setup!$C$14),Setup!$C$39:$C$50),WORKDAY(B112,-(Setup!$C$13+Setup!$G$20),Setup!$C$39:$C$50))+(107*100+1)/10000000)))</f>
        <v/>
      </c>
      <c r="S112" t="str">
        <f>IF(C112="","",IF(C112&lt;Setup!$C$5-Setup!$C$6,"",IF(IF(ISNUMBER(Roster!$D112),Setup!$C$21&lt;=Roster!$D112,FALSE),"",IF(OR(IF(Setup!$C$15&lt;=Setup!$C$16,AND(MONTH(C112)&gt;=Setup!$C$15,MONTH(C112)&lt;=Setup!$C$16),OR(MONTH(C112)&gt;=Setup!$C$15,MONTH(C112)&lt;=Setup!$C$16)),IF(Setup!$C$15&lt;=Setup!$C$16,AND(MONTH(WORKDAY(C112,-(Setup!$C$13+Setup!$G$21),Setup!$C$39:$C$50))&gt;=Setup!$C$15,MONTH(WORKDAY(C112,-(Setup!$C$13+Setup!$G$21),Setup!$C$39:$C$50))&lt;=Setup!$C$16),OR(MONTH(WORKDAY(C112,-(Setup!$C$13+Setup!$G$21),Setup!$C$39:$C$50))&gt;=Setup!$C$15,MONTH(WORKDAY(C112,-(Setup!$C$13+Setup!$G$21),Setup!$C$39:$C$50))&lt;=Setup!$C$16))),WORKDAY(C112,-(Setup!$C$13+Setup!$G$21+Setup!$C$14),Setup!$C$39:$C$50),WORKDAY(C112,-(Setup!$C$13+Setup!$G$21),Setup!$C$39:$C$50))+(107*100+2)/10000000)))</f>
        <v/>
      </c>
      <c r="T112" t="str">
        <f>IF(D112="","",IF(D112&lt;Setup!$C$5-Setup!$C$6,"",IF(IF(ISNUMBER(Roster!$D112),Setup!$C$22&lt;=Roster!$D112,FALSE),"",IF(OR(IF(Setup!$C$15&lt;=Setup!$C$16,AND(MONTH(D112)&gt;=Setup!$C$15,MONTH(D112)&lt;=Setup!$C$16),OR(MONTH(D112)&gt;=Setup!$C$15,MONTH(D112)&lt;=Setup!$C$16)),IF(Setup!$C$15&lt;=Setup!$C$16,AND(MONTH(WORKDAY(D112,-(Setup!$C$13+Setup!$G$22),Setup!$C$39:$C$50))&gt;=Setup!$C$15,MONTH(WORKDAY(D112,-(Setup!$C$13+Setup!$G$22),Setup!$C$39:$C$50))&lt;=Setup!$C$16),OR(MONTH(WORKDAY(D112,-(Setup!$C$13+Setup!$G$22),Setup!$C$39:$C$50))&gt;=Setup!$C$15,MONTH(WORKDAY(D112,-(Setup!$C$13+Setup!$G$22),Setup!$C$39:$C$50))&lt;=Setup!$C$16))),WORKDAY(D112,-(Setup!$C$13+Setup!$G$22+Setup!$C$14),Setup!$C$39:$C$50),WORKDAY(D112,-(Setup!$C$13+Setup!$G$22),Setup!$C$39:$C$50))+(107*100+3)/10000000)))</f>
        <v/>
      </c>
      <c r="U112" t="str">
        <f>IF(E112="","",IF(E112&lt;Setup!$C$5-Setup!$C$6,"",IF(IF(ISNUMBER(Roster!$D112),Setup!$C$23&lt;=Roster!$D112,FALSE),"",IF(OR(IF(Setup!$C$15&lt;=Setup!$C$16,AND(MONTH(E112)&gt;=Setup!$C$15,MONTH(E112)&lt;=Setup!$C$16),OR(MONTH(E112)&gt;=Setup!$C$15,MONTH(E112)&lt;=Setup!$C$16)),IF(Setup!$C$15&lt;=Setup!$C$16,AND(MONTH(WORKDAY(E112,-(Setup!$C$13+Setup!$G$23),Setup!$C$39:$C$50))&gt;=Setup!$C$15,MONTH(WORKDAY(E112,-(Setup!$C$13+Setup!$G$23),Setup!$C$39:$C$50))&lt;=Setup!$C$16),OR(MONTH(WORKDAY(E112,-(Setup!$C$13+Setup!$G$23),Setup!$C$39:$C$50))&gt;=Setup!$C$15,MONTH(WORKDAY(E112,-(Setup!$C$13+Setup!$G$23),Setup!$C$39:$C$50))&lt;=Setup!$C$16))),WORKDAY(E112,-(Setup!$C$13+Setup!$G$23+Setup!$C$14),Setup!$C$39:$C$50),WORKDAY(E112,-(Setup!$C$13+Setup!$G$23),Setup!$C$39:$C$50))+(107*100+4)/10000000)))</f>
        <v/>
      </c>
      <c r="V112" t="str">
        <f>IF(F112="","",IF(F112&lt;Setup!$C$5-Setup!$C$6,"",IF(IF(ISNUMBER(Roster!$D112),Setup!$C$24&lt;=Roster!$D112,FALSE),"",IF(OR(IF(Setup!$C$15&lt;=Setup!$C$16,AND(MONTH(F112)&gt;=Setup!$C$15,MONTH(F112)&lt;=Setup!$C$16),OR(MONTH(F112)&gt;=Setup!$C$15,MONTH(F112)&lt;=Setup!$C$16)),IF(Setup!$C$15&lt;=Setup!$C$16,AND(MONTH(WORKDAY(F112,-(Setup!$C$13+Setup!$G$24),Setup!$C$39:$C$50))&gt;=Setup!$C$15,MONTH(WORKDAY(F112,-(Setup!$C$13+Setup!$G$24),Setup!$C$39:$C$50))&lt;=Setup!$C$16),OR(MONTH(WORKDAY(F112,-(Setup!$C$13+Setup!$G$24),Setup!$C$39:$C$50))&gt;=Setup!$C$15,MONTH(WORKDAY(F112,-(Setup!$C$13+Setup!$G$24),Setup!$C$39:$C$50))&lt;=Setup!$C$16))),WORKDAY(F112,-(Setup!$C$13+Setup!$G$24+Setup!$C$14),Setup!$C$39:$C$50),WORKDAY(F112,-(Setup!$C$13+Setup!$G$24),Setup!$C$39:$C$50))+(107*100+5)/10000000)))</f>
        <v/>
      </c>
      <c r="W112" t="str">
        <f>IF(G112="","",IF(G112&lt;Setup!$C$5-Setup!$C$6,"",IF(IF(ISNUMBER(Roster!$D112),Setup!$C$25&lt;=Roster!$D112,FALSE),"",IF(OR(IF(Setup!$C$15&lt;=Setup!$C$16,AND(MONTH(G112)&gt;=Setup!$C$15,MONTH(G112)&lt;=Setup!$C$16),OR(MONTH(G112)&gt;=Setup!$C$15,MONTH(G112)&lt;=Setup!$C$16)),IF(Setup!$C$15&lt;=Setup!$C$16,AND(MONTH(WORKDAY(G112,-(Setup!$C$13+Setup!$G$25),Setup!$C$39:$C$50))&gt;=Setup!$C$15,MONTH(WORKDAY(G112,-(Setup!$C$13+Setup!$G$25),Setup!$C$39:$C$50))&lt;=Setup!$C$16),OR(MONTH(WORKDAY(G112,-(Setup!$C$13+Setup!$G$25),Setup!$C$39:$C$50))&gt;=Setup!$C$15,MONTH(WORKDAY(G112,-(Setup!$C$13+Setup!$G$25),Setup!$C$39:$C$50))&lt;=Setup!$C$16))),WORKDAY(G112,-(Setup!$C$13+Setup!$G$25+Setup!$C$14),Setup!$C$39:$C$50),WORKDAY(G112,-(Setup!$C$13+Setup!$G$25),Setup!$C$39:$C$50))+(107*100+6)/10000000)))</f>
        <v/>
      </c>
      <c r="X112" t="str">
        <f>IF(H112="","",IF(H112&lt;Setup!$C$5-Setup!$C$6,"",IF(IF(ISNUMBER(Roster!$D112),Setup!$C$26&lt;=Roster!$D112,FALSE),"",IF(OR(IF(Setup!$C$15&lt;=Setup!$C$16,AND(MONTH(H112)&gt;=Setup!$C$15,MONTH(H112)&lt;=Setup!$C$16),OR(MONTH(H112)&gt;=Setup!$C$15,MONTH(H112)&lt;=Setup!$C$16)),IF(Setup!$C$15&lt;=Setup!$C$16,AND(MONTH(WORKDAY(H112,-(Setup!$C$13+Setup!$G$26),Setup!$C$39:$C$50))&gt;=Setup!$C$15,MONTH(WORKDAY(H112,-(Setup!$C$13+Setup!$G$26),Setup!$C$39:$C$50))&lt;=Setup!$C$16),OR(MONTH(WORKDAY(H112,-(Setup!$C$13+Setup!$G$26),Setup!$C$39:$C$50))&gt;=Setup!$C$15,MONTH(WORKDAY(H112,-(Setup!$C$13+Setup!$G$26),Setup!$C$39:$C$50))&lt;=Setup!$C$16))),WORKDAY(H112,-(Setup!$C$13+Setup!$G$26+Setup!$C$14),Setup!$C$39:$C$50),WORKDAY(H112,-(Setup!$C$13+Setup!$G$26),Setup!$C$39:$C$50))+(107*100+7)/10000000)))</f>
        <v/>
      </c>
      <c r="Y112" t="str">
        <f>IF(I112="","",IF(I112&lt;Setup!$C$5-Setup!$C$6,"",IF(IF(ISNUMBER(Roster!$D112),Setup!$C$27&lt;=Roster!$D112,FALSE),"",IF(OR(IF(Setup!$C$15&lt;=Setup!$C$16,AND(MONTH(I112)&gt;=Setup!$C$15,MONTH(I112)&lt;=Setup!$C$16),OR(MONTH(I112)&gt;=Setup!$C$15,MONTH(I112)&lt;=Setup!$C$16)),IF(Setup!$C$15&lt;=Setup!$C$16,AND(MONTH(WORKDAY(I112,-(Setup!$C$13+Setup!$G$27),Setup!$C$39:$C$50))&gt;=Setup!$C$15,MONTH(WORKDAY(I112,-(Setup!$C$13+Setup!$G$27),Setup!$C$39:$C$50))&lt;=Setup!$C$16),OR(MONTH(WORKDAY(I112,-(Setup!$C$13+Setup!$G$27),Setup!$C$39:$C$50))&gt;=Setup!$C$15,MONTH(WORKDAY(I112,-(Setup!$C$13+Setup!$G$27),Setup!$C$39:$C$50))&lt;=Setup!$C$16))),WORKDAY(I112,-(Setup!$C$13+Setup!$G$27+Setup!$C$14),Setup!$C$39:$C$50),WORKDAY(I112,-(Setup!$C$13+Setup!$G$27),Setup!$C$39:$C$50))+(107*100+8)/10000000)))</f>
        <v/>
      </c>
      <c r="Z112" t="str">
        <f>IF(J112="","",IF(J112&lt;Setup!$C$5-Setup!$C$6,"",IF(IF(ISNUMBER(Roster!$D112),Setup!$C$28&lt;=Roster!$D112,FALSE),"",IF(OR(IF(Setup!$C$15&lt;=Setup!$C$16,AND(MONTH(J112)&gt;=Setup!$C$15,MONTH(J112)&lt;=Setup!$C$16),OR(MONTH(J112)&gt;=Setup!$C$15,MONTH(J112)&lt;=Setup!$C$16)),IF(Setup!$C$15&lt;=Setup!$C$16,AND(MONTH(WORKDAY(J112,-(Setup!$C$13+Setup!$G$28),Setup!$C$39:$C$50))&gt;=Setup!$C$15,MONTH(WORKDAY(J112,-(Setup!$C$13+Setup!$G$28),Setup!$C$39:$C$50))&lt;=Setup!$C$16),OR(MONTH(WORKDAY(J112,-(Setup!$C$13+Setup!$G$28),Setup!$C$39:$C$50))&gt;=Setup!$C$15,MONTH(WORKDAY(J112,-(Setup!$C$13+Setup!$G$28),Setup!$C$39:$C$50))&lt;=Setup!$C$16))),WORKDAY(J112,-(Setup!$C$13+Setup!$G$28+Setup!$C$14),Setup!$C$39:$C$50),WORKDAY(J112,-(Setup!$C$13+Setup!$G$28),Setup!$C$39:$C$50))+(107*100+9)/10000000)))</f>
        <v/>
      </c>
      <c r="AA112" t="str">
        <f>IF(K112="","",IF(K112&lt;Setup!$C$5-Setup!$C$6,"",IF(IF(ISNUMBER(Roster!$D112),Setup!$C$29&lt;=Roster!$D112,FALSE),"",IF(OR(IF(Setup!$C$15&lt;=Setup!$C$16,AND(MONTH(K112)&gt;=Setup!$C$15,MONTH(K112)&lt;=Setup!$C$16),OR(MONTH(K112)&gt;=Setup!$C$15,MONTH(K112)&lt;=Setup!$C$16)),IF(Setup!$C$15&lt;=Setup!$C$16,AND(MONTH(WORKDAY(K112,-(Setup!$C$13+Setup!$G$29),Setup!$C$39:$C$50))&gt;=Setup!$C$15,MONTH(WORKDAY(K112,-(Setup!$C$13+Setup!$G$29),Setup!$C$39:$C$50))&lt;=Setup!$C$16),OR(MONTH(WORKDAY(K112,-(Setup!$C$13+Setup!$G$29),Setup!$C$39:$C$50))&gt;=Setup!$C$15,MONTH(WORKDAY(K112,-(Setup!$C$13+Setup!$G$29),Setup!$C$39:$C$50))&lt;=Setup!$C$16))),WORKDAY(K112,-(Setup!$C$13+Setup!$G$29+Setup!$C$14),Setup!$C$39:$C$50),WORKDAY(K112,-(Setup!$C$13+Setup!$G$29),Setup!$C$39:$C$50))+(107*100+10)/10000000)))</f>
        <v/>
      </c>
      <c r="AB112" t="str">
        <f>IF(L112="","",IF(L112&lt;Setup!$C$5-Setup!$C$6,"",IF(IF(ISNUMBER(Roster!$D112),Setup!$C$30&lt;=Roster!$D112,FALSE),"",IF(OR(IF(Setup!$C$15&lt;=Setup!$C$16,AND(MONTH(L112)&gt;=Setup!$C$15,MONTH(L112)&lt;=Setup!$C$16),OR(MONTH(L112)&gt;=Setup!$C$15,MONTH(L112)&lt;=Setup!$C$16)),IF(Setup!$C$15&lt;=Setup!$C$16,AND(MONTH(WORKDAY(L112,-(Setup!$C$13+Setup!$G$30),Setup!$C$39:$C$50))&gt;=Setup!$C$15,MONTH(WORKDAY(L112,-(Setup!$C$13+Setup!$G$30),Setup!$C$39:$C$50))&lt;=Setup!$C$16),OR(MONTH(WORKDAY(L112,-(Setup!$C$13+Setup!$G$30),Setup!$C$39:$C$50))&gt;=Setup!$C$15,MONTH(WORKDAY(L112,-(Setup!$C$13+Setup!$G$30),Setup!$C$39:$C$50))&lt;=Setup!$C$16))),WORKDAY(L112,-(Setup!$C$13+Setup!$G$30+Setup!$C$14),Setup!$C$39:$C$50),WORKDAY(L112,-(Setup!$C$13+Setup!$G$30),Setup!$C$39:$C$50))+(107*100+11)/10000000)))</f>
        <v/>
      </c>
      <c r="AC112" t="str">
        <f>IF(M112="","",IF(M112&lt;Setup!$C$5-Setup!$C$6,"",IF(IF(ISNUMBER(Roster!$D112),Setup!$C$31&lt;=Roster!$D112,FALSE),"",IF(OR(IF(Setup!$C$15&lt;=Setup!$C$16,AND(MONTH(M112)&gt;=Setup!$C$15,MONTH(M112)&lt;=Setup!$C$16),OR(MONTH(M112)&gt;=Setup!$C$15,MONTH(M112)&lt;=Setup!$C$16)),IF(Setup!$C$15&lt;=Setup!$C$16,AND(MONTH(WORKDAY(M112,-(Setup!$C$13+Setup!$G$31),Setup!$C$39:$C$50))&gt;=Setup!$C$15,MONTH(WORKDAY(M112,-(Setup!$C$13+Setup!$G$31),Setup!$C$39:$C$50))&lt;=Setup!$C$16),OR(MONTH(WORKDAY(M112,-(Setup!$C$13+Setup!$G$31),Setup!$C$39:$C$50))&gt;=Setup!$C$15,MONTH(WORKDAY(M112,-(Setup!$C$13+Setup!$G$31),Setup!$C$39:$C$50))&lt;=Setup!$C$16))),WORKDAY(M112,-(Setup!$C$13+Setup!$G$31+Setup!$C$14),Setup!$C$39:$C$50),WORKDAY(M112,-(Setup!$C$13+Setup!$G$31),Setup!$C$39:$C$50))+(107*100+12)/10000000)))</f>
        <v/>
      </c>
      <c r="AD112" t="str">
        <f>IF(N112="","",IF(N112&lt;Setup!$C$5-Setup!$C$6,"",IF(IF(ISNUMBER(Roster!$D112),Setup!$C$32&lt;=Roster!$D112,FALSE),"",IF(OR(IF(Setup!$C$15&lt;=Setup!$C$16,AND(MONTH(N112)&gt;=Setup!$C$15,MONTH(N112)&lt;=Setup!$C$16),OR(MONTH(N112)&gt;=Setup!$C$15,MONTH(N112)&lt;=Setup!$C$16)),IF(Setup!$C$15&lt;=Setup!$C$16,AND(MONTH(WORKDAY(N112,-(Setup!$C$13+Setup!$G$32),Setup!$C$39:$C$50))&gt;=Setup!$C$15,MONTH(WORKDAY(N112,-(Setup!$C$13+Setup!$G$32),Setup!$C$39:$C$50))&lt;=Setup!$C$16),OR(MONTH(WORKDAY(N112,-(Setup!$C$13+Setup!$G$32),Setup!$C$39:$C$50))&gt;=Setup!$C$15,MONTH(WORKDAY(N112,-(Setup!$C$13+Setup!$G$32),Setup!$C$39:$C$50))&lt;=Setup!$C$16))),WORKDAY(N112,-(Setup!$C$13+Setup!$G$32+Setup!$C$14),Setup!$C$39:$C$50),WORKDAY(N112,-(Setup!$C$13+Setup!$G$32),Setup!$C$39:$C$50))+(107*100+13)/10000000)))</f>
        <v/>
      </c>
      <c r="AE112" t="str">
        <f>IF(O112="","",IF(O112&lt;Setup!$C$5-Setup!$C$6,"",IF(IF(ISNUMBER(Roster!$D112),Setup!$C$33&lt;=Roster!$D112,FALSE),"",IF(OR(IF(Setup!$C$15&lt;=Setup!$C$16,AND(MONTH(O112)&gt;=Setup!$C$15,MONTH(O112)&lt;=Setup!$C$16),OR(MONTH(O112)&gt;=Setup!$C$15,MONTH(O112)&lt;=Setup!$C$16)),IF(Setup!$C$15&lt;=Setup!$C$16,AND(MONTH(WORKDAY(O112,-(Setup!$C$13+Setup!$G$33),Setup!$C$39:$C$50))&gt;=Setup!$C$15,MONTH(WORKDAY(O112,-(Setup!$C$13+Setup!$G$33),Setup!$C$39:$C$50))&lt;=Setup!$C$16),OR(MONTH(WORKDAY(O112,-(Setup!$C$13+Setup!$G$33),Setup!$C$39:$C$50))&gt;=Setup!$C$15,MONTH(WORKDAY(O112,-(Setup!$C$13+Setup!$G$33),Setup!$C$39:$C$50))&lt;=Setup!$C$16))),WORKDAY(O112,-(Setup!$C$13+Setup!$G$33+Setup!$C$14),Setup!$C$39:$C$50),WORKDAY(O112,-(Setup!$C$13+Setup!$G$33),Setup!$C$39:$C$50))+(107*100+14)/10000000)))</f>
        <v/>
      </c>
      <c r="AF112" t="str">
        <f>IF(P112="","",IF(P112&lt;Setup!$C$5-Setup!$C$6,"",IF(IF(ISNUMBER(Roster!$D112),Setup!$C$34&lt;=Roster!$D112,FALSE),"",IF(OR(IF(Setup!$C$15&lt;=Setup!$C$16,AND(MONTH(P112)&gt;=Setup!$C$15,MONTH(P112)&lt;=Setup!$C$16),OR(MONTH(P112)&gt;=Setup!$C$15,MONTH(P112)&lt;=Setup!$C$16)),IF(Setup!$C$15&lt;=Setup!$C$16,AND(MONTH(WORKDAY(P112,-(Setup!$C$13+Setup!$G$34),Setup!$C$39:$C$50))&gt;=Setup!$C$15,MONTH(WORKDAY(P112,-(Setup!$C$13+Setup!$G$34),Setup!$C$39:$C$50))&lt;=Setup!$C$16),OR(MONTH(WORKDAY(P112,-(Setup!$C$13+Setup!$G$34),Setup!$C$39:$C$50))&gt;=Setup!$C$15,MONTH(WORKDAY(P112,-(Setup!$C$13+Setup!$G$34),Setup!$C$39:$C$50))&lt;=Setup!$C$16))),WORKDAY(P112,-(Setup!$C$13+Setup!$G$34+Setup!$C$14),Setup!$C$39:$C$50),WORKDAY(P112,-(Setup!$C$13+Setup!$G$34),Setup!$C$39:$C$50))+(107*100+15)/10000000)))</f>
        <v/>
      </c>
      <c r="AH112" t="str">
        <f t="shared" si="9"/>
        <v/>
      </c>
      <c r="AI112" t="str">
        <f t="shared" si="10"/>
        <v/>
      </c>
      <c r="AK112" t="str">
        <f ca="1">IF(107&gt;$AK$2,"",SMALL($R$6:$AF$505,107))</f>
        <v/>
      </c>
      <c r="AL112" t="str">
        <f t="shared" ca="1" si="11"/>
        <v/>
      </c>
      <c r="AM112" t="str">
        <f t="shared" ca="1" si="12"/>
        <v/>
      </c>
      <c r="AN112" t="str">
        <f t="shared" ca="1" si="13"/>
        <v/>
      </c>
      <c r="AP112" t="str">
        <f>IF(ISNUMBER(Roster!$B112),MAX(1,YEAR(Setup!$C$5)-YEAR(Roster!$B112)+IF(EDATE(Roster!$B112,12*(YEAR(Setup!$C$5)-YEAR(Roster!$B112)))&lt;Setup!$C$5,1,0)),"")</f>
        <v/>
      </c>
      <c r="AQ112" s="32" t="str">
        <f>IF(AP112="","",EDATE(Roster!$B112,12*AP112))</f>
        <v/>
      </c>
      <c r="AR112" t="str">
        <f>IF(AQ112="","",IF(AQ112&lt;DATE(YEAR(Setup!$C$5)+1,MONTH(Setup!$C$5),DAY(Setup!$C$5)),AQ112+107/1000,""))</f>
        <v/>
      </c>
      <c r="AS112" t="str">
        <f t="shared" si="14"/>
        <v/>
      </c>
      <c r="AT112" t="str">
        <f>IF(AS112="","",IF(ISNUMBER(Roster!$D112),Roster!$D112&gt;=AP112,FALSE))</f>
        <v/>
      </c>
      <c r="AU112" t="str">
        <f t="shared" si="15"/>
        <v/>
      </c>
      <c r="AV112" t="str">
        <f ca="1">IF(107&gt;$AV$2,"",SMALL($AR$6:$AR$505,107))</f>
        <v/>
      </c>
      <c r="AW112" t="str">
        <f t="shared" ca="1" si="16"/>
        <v/>
      </c>
    </row>
    <row r="113" spans="2:49" x14ac:dyDescent="0.2">
      <c r="B113" s="32" t="str">
        <f>IF(AND(ISNUMBER(Roster!$B113),Setup!$B$20="Yes",ISNUMBER(Setup!$C$20)),EDATE(Roster!$B113,12*Setup!$C$20),"")</f>
        <v/>
      </c>
      <c r="C113" s="32" t="str">
        <f>IF(AND(ISNUMBER(Roster!$B113),Setup!$B$21="Yes",ISNUMBER(Setup!$C$21)),EDATE(Roster!$B113,12*Setup!$C$21),"")</f>
        <v/>
      </c>
      <c r="D113" s="32" t="str">
        <f>IF(AND(ISNUMBER(Roster!$B113),Setup!$B$22="Yes",ISNUMBER(Setup!$C$22)),EDATE(Roster!$B113,12*Setup!$C$22),"")</f>
        <v/>
      </c>
      <c r="E113" s="32" t="str">
        <f>IF(AND(ISNUMBER(Roster!$B113),Setup!$B$23="Yes",ISNUMBER(Setup!$C$23)),EDATE(Roster!$B113,12*Setup!$C$23),"")</f>
        <v/>
      </c>
      <c r="F113" s="32" t="str">
        <f>IF(AND(ISNUMBER(Roster!$B113),Setup!$B$24="Yes",ISNUMBER(Setup!$C$24)),EDATE(Roster!$B113,12*Setup!$C$24),"")</f>
        <v/>
      </c>
      <c r="G113" s="32" t="str">
        <f>IF(AND(ISNUMBER(Roster!$B113),Setup!$B$25="Yes",ISNUMBER(Setup!$C$25)),EDATE(Roster!$B113,12*Setup!$C$25),"")</f>
        <v/>
      </c>
      <c r="H113" s="32" t="str">
        <f>IF(AND(ISNUMBER(Roster!$B113),Setup!$B$26="Yes",ISNUMBER(Setup!$C$26)),EDATE(Roster!$B113,12*Setup!$C$26),"")</f>
        <v/>
      </c>
      <c r="I113" s="32" t="str">
        <f>IF(AND(ISNUMBER(Roster!$B113),Setup!$B$27="Yes",ISNUMBER(Setup!$C$27)),EDATE(Roster!$B113,12*Setup!$C$27),"")</f>
        <v/>
      </c>
      <c r="J113" s="32" t="str">
        <f>IF(AND(ISNUMBER(Roster!$B113),Setup!$B$28="Yes",ISNUMBER(Setup!$C$28)),EDATE(Roster!$B113,12*Setup!$C$28),"")</f>
        <v/>
      </c>
      <c r="K113" s="32" t="str">
        <f>IF(AND(ISNUMBER(Roster!$B113),Setup!$B$29="Yes",ISNUMBER(Setup!$C$29)),EDATE(Roster!$B113,12*Setup!$C$29),"")</f>
        <v/>
      </c>
      <c r="L113" s="32" t="str">
        <f>IF(AND(ISNUMBER(Roster!$B113),Setup!$B$30="Yes",ISNUMBER(Setup!$C$30)),EDATE(Roster!$B113,12*Setup!$C$30),"")</f>
        <v/>
      </c>
      <c r="M113" s="32" t="str">
        <f>IF(AND(ISNUMBER(Roster!$B113),Setup!$B$31="Yes",ISNUMBER(Setup!$C$31)),EDATE(Roster!$B113,12*Setup!$C$31),"")</f>
        <v/>
      </c>
      <c r="N113" s="32" t="str">
        <f>IF(AND(ISNUMBER(Roster!$B113),Setup!$B$32="Yes",ISNUMBER(Setup!$C$32)),EDATE(Roster!$B113,12*Setup!$C$32),"")</f>
        <v/>
      </c>
      <c r="O113" s="32" t="str">
        <f>IF(AND(ISNUMBER(Roster!$B113),Setup!$B$33="Yes",ISNUMBER(Setup!$C$33)),EDATE(Roster!$B113,12*Setup!$C$33),"")</f>
        <v/>
      </c>
      <c r="P113" s="32" t="str">
        <f>IF(AND(ISNUMBER(Roster!$B113),Setup!$B$34="Yes",ISNUMBER(Setup!$C$34)),EDATE(Roster!$B113,12*Setup!$C$34),"")</f>
        <v/>
      </c>
      <c r="R113" t="str">
        <f>IF(B113="","",IF(B113&lt;Setup!$C$5-Setup!$C$6,"",IF(IF(ISNUMBER(Roster!$D113),Setup!$C$20&lt;=Roster!$D113,FALSE),"",IF(OR(IF(Setup!$C$15&lt;=Setup!$C$16,AND(MONTH(B113)&gt;=Setup!$C$15,MONTH(B113)&lt;=Setup!$C$16),OR(MONTH(B113)&gt;=Setup!$C$15,MONTH(B113)&lt;=Setup!$C$16)),IF(Setup!$C$15&lt;=Setup!$C$16,AND(MONTH(WORKDAY(B113,-(Setup!$C$13+Setup!$G$20),Setup!$C$39:$C$50))&gt;=Setup!$C$15,MONTH(WORKDAY(B113,-(Setup!$C$13+Setup!$G$20),Setup!$C$39:$C$50))&lt;=Setup!$C$16),OR(MONTH(WORKDAY(B113,-(Setup!$C$13+Setup!$G$20),Setup!$C$39:$C$50))&gt;=Setup!$C$15,MONTH(WORKDAY(B113,-(Setup!$C$13+Setup!$G$20),Setup!$C$39:$C$50))&lt;=Setup!$C$16))),WORKDAY(B113,-(Setup!$C$13+Setup!$G$20+Setup!$C$14),Setup!$C$39:$C$50),WORKDAY(B113,-(Setup!$C$13+Setup!$G$20),Setup!$C$39:$C$50))+(108*100+1)/10000000)))</f>
        <v/>
      </c>
      <c r="S113" t="str">
        <f>IF(C113="","",IF(C113&lt;Setup!$C$5-Setup!$C$6,"",IF(IF(ISNUMBER(Roster!$D113),Setup!$C$21&lt;=Roster!$D113,FALSE),"",IF(OR(IF(Setup!$C$15&lt;=Setup!$C$16,AND(MONTH(C113)&gt;=Setup!$C$15,MONTH(C113)&lt;=Setup!$C$16),OR(MONTH(C113)&gt;=Setup!$C$15,MONTH(C113)&lt;=Setup!$C$16)),IF(Setup!$C$15&lt;=Setup!$C$16,AND(MONTH(WORKDAY(C113,-(Setup!$C$13+Setup!$G$21),Setup!$C$39:$C$50))&gt;=Setup!$C$15,MONTH(WORKDAY(C113,-(Setup!$C$13+Setup!$G$21),Setup!$C$39:$C$50))&lt;=Setup!$C$16),OR(MONTH(WORKDAY(C113,-(Setup!$C$13+Setup!$G$21),Setup!$C$39:$C$50))&gt;=Setup!$C$15,MONTH(WORKDAY(C113,-(Setup!$C$13+Setup!$G$21),Setup!$C$39:$C$50))&lt;=Setup!$C$16))),WORKDAY(C113,-(Setup!$C$13+Setup!$G$21+Setup!$C$14),Setup!$C$39:$C$50),WORKDAY(C113,-(Setup!$C$13+Setup!$G$21),Setup!$C$39:$C$50))+(108*100+2)/10000000)))</f>
        <v/>
      </c>
      <c r="T113" t="str">
        <f>IF(D113="","",IF(D113&lt;Setup!$C$5-Setup!$C$6,"",IF(IF(ISNUMBER(Roster!$D113),Setup!$C$22&lt;=Roster!$D113,FALSE),"",IF(OR(IF(Setup!$C$15&lt;=Setup!$C$16,AND(MONTH(D113)&gt;=Setup!$C$15,MONTH(D113)&lt;=Setup!$C$16),OR(MONTH(D113)&gt;=Setup!$C$15,MONTH(D113)&lt;=Setup!$C$16)),IF(Setup!$C$15&lt;=Setup!$C$16,AND(MONTH(WORKDAY(D113,-(Setup!$C$13+Setup!$G$22),Setup!$C$39:$C$50))&gt;=Setup!$C$15,MONTH(WORKDAY(D113,-(Setup!$C$13+Setup!$G$22),Setup!$C$39:$C$50))&lt;=Setup!$C$16),OR(MONTH(WORKDAY(D113,-(Setup!$C$13+Setup!$G$22),Setup!$C$39:$C$50))&gt;=Setup!$C$15,MONTH(WORKDAY(D113,-(Setup!$C$13+Setup!$G$22),Setup!$C$39:$C$50))&lt;=Setup!$C$16))),WORKDAY(D113,-(Setup!$C$13+Setup!$G$22+Setup!$C$14),Setup!$C$39:$C$50),WORKDAY(D113,-(Setup!$C$13+Setup!$G$22),Setup!$C$39:$C$50))+(108*100+3)/10000000)))</f>
        <v/>
      </c>
      <c r="U113" t="str">
        <f>IF(E113="","",IF(E113&lt;Setup!$C$5-Setup!$C$6,"",IF(IF(ISNUMBER(Roster!$D113),Setup!$C$23&lt;=Roster!$D113,FALSE),"",IF(OR(IF(Setup!$C$15&lt;=Setup!$C$16,AND(MONTH(E113)&gt;=Setup!$C$15,MONTH(E113)&lt;=Setup!$C$16),OR(MONTH(E113)&gt;=Setup!$C$15,MONTH(E113)&lt;=Setup!$C$16)),IF(Setup!$C$15&lt;=Setup!$C$16,AND(MONTH(WORKDAY(E113,-(Setup!$C$13+Setup!$G$23),Setup!$C$39:$C$50))&gt;=Setup!$C$15,MONTH(WORKDAY(E113,-(Setup!$C$13+Setup!$G$23),Setup!$C$39:$C$50))&lt;=Setup!$C$16),OR(MONTH(WORKDAY(E113,-(Setup!$C$13+Setup!$G$23),Setup!$C$39:$C$50))&gt;=Setup!$C$15,MONTH(WORKDAY(E113,-(Setup!$C$13+Setup!$G$23),Setup!$C$39:$C$50))&lt;=Setup!$C$16))),WORKDAY(E113,-(Setup!$C$13+Setup!$G$23+Setup!$C$14),Setup!$C$39:$C$50),WORKDAY(E113,-(Setup!$C$13+Setup!$G$23),Setup!$C$39:$C$50))+(108*100+4)/10000000)))</f>
        <v/>
      </c>
      <c r="V113" t="str">
        <f>IF(F113="","",IF(F113&lt;Setup!$C$5-Setup!$C$6,"",IF(IF(ISNUMBER(Roster!$D113),Setup!$C$24&lt;=Roster!$D113,FALSE),"",IF(OR(IF(Setup!$C$15&lt;=Setup!$C$16,AND(MONTH(F113)&gt;=Setup!$C$15,MONTH(F113)&lt;=Setup!$C$16),OR(MONTH(F113)&gt;=Setup!$C$15,MONTH(F113)&lt;=Setup!$C$16)),IF(Setup!$C$15&lt;=Setup!$C$16,AND(MONTH(WORKDAY(F113,-(Setup!$C$13+Setup!$G$24),Setup!$C$39:$C$50))&gt;=Setup!$C$15,MONTH(WORKDAY(F113,-(Setup!$C$13+Setup!$G$24),Setup!$C$39:$C$50))&lt;=Setup!$C$16),OR(MONTH(WORKDAY(F113,-(Setup!$C$13+Setup!$G$24),Setup!$C$39:$C$50))&gt;=Setup!$C$15,MONTH(WORKDAY(F113,-(Setup!$C$13+Setup!$G$24),Setup!$C$39:$C$50))&lt;=Setup!$C$16))),WORKDAY(F113,-(Setup!$C$13+Setup!$G$24+Setup!$C$14),Setup!$C$39:$C$50),WORKDAY(F113,-(Setup!$C$13+Setup!$G$24),Setup!$C$39:$C$50))+(108*100+5)/10000000)))</f>
        <v/>
      </c>
      <c r="W113" t="str">
        <f>IF(G113="","",IF(G113&lt;Setup!$C$5-Setup!$C$6,"",IF(IF(ISNUMBER(Roster!$D113),Setup!$C$25&lt;=Roster!$D113,FALSE),"",IF(OR(IF(Setup!$C$15&lt;=Setup!$C$16,AND(MONTH(G113)&gt;=Setup!$C$15,MONTH(G113)&lt;=Setup!$C$16),OR(MONTH(G113)&gt;=Setup!$C$15,MONTH(G113)&lt;=Setup!$C$16)),IF(Setup!$C$15&lt;=Setup!$C$16,AND(MONTH(WORKDAY(G113,-(Setup!$C$13+Setup!$G$25),Setup!$C$39:$C$50))&gt;=Setup!$C$15,MONTH(WORKDAY(G113,-(Setup!$C$13+Setup!$G$25),Setup!$C$39:$C$50))&lt;=Setup!$C$16),OR(MONTH(WORKDAY(G113,-(Setup!$C$13+Setup!$G$25),Setup!$C$39:$C$50))&gt;=Setup!$C$15,MONTH(WORKDAY(G113,-(Setup!$C$13+Setup!$G$25),Setup!$C$39:$C$50))&lt;=Setup!$C$16))),WORKDAY(G113,-(Setup!$C$13+Setup!$G$25+Setup!$C$14),Setup!$C$39:$C$50),WORKDAY(G113,-(Setup!$C$13+Setup!$G$25),Setup!$C$39:$C$50))+(108*100+6)/10000000)))</f>
        <v/>
      </c>
      <c r="X113" t="str">
        <f>IF(H113="","",IF(H113&lt;Setup!$C$5-Setup!$C$6,"",IF(IF(ISNUMBER(Roster!$D113),Setup!$C$26&lt;=Roster!$D113,FALSE),"",IF(OR(IF(Setup!$C$15&lt;=Setup!$C$16,AND(MONTH(H113)&gt;=Setup!$C$15,MONTH(H113)&lt;=Setup!$C$16),OR(MONTH(H113)&gt;=Setup!$C$15,MONTH(H113)&lt;=Setup!$C$16)),IF(Setup!$C$15&lt;=Setup!$C$16,AND(MONTH(WORKDAY(H113,-(Setup!$C$13+Setup!$G$26),Setup!$C$39:$C$50))&gt;=Setup!$C$15,MONTH(WORKDAY(H113,-(Setup!$C$13+Setup!$G$26),Setup!$C$39:$C$50))&lt;=Setup!$C$16),OR(MONTH(WORKDAY(H113,-(Setup!$C$13+Setup!$G$26),Setup!$C$39:$C$50))&gt;=Setup!$C$15,MONTH(WORKDAY(H113,-(Setup!$C$13+Setup!$G$26),Setup!$C$39:$C$50))&lt;=Setup!$C$16))),WORKDAY(H113,-(Setup!$C$13+Setup!$G$26+Setup!$C$14),Setup!$C$39:$C$50),WORKDAY(H113,-(Setup!$C$13+Setup!$G$26),Setup!$C$39:$C$50))+(108*100+7)/10000000)))</f>
        <v/>
      </c>
      <c r="Y113" t="str">
        <f>IF(I113="","",IF(I113&lt;Setup!$C$5-Setup!$C$6,"",IF(IF(ISNUMBER(Roster!$D113),Setup!$C$27&lt;=Roster!$D113,FALSE),"",IF(OR(IF(Setup!$C$15&lt;=Setup!$C$16,AND(MONTH(I113)&gt;=Setup!$C$15,MONTH(I113)&lt;=Setup!$C$16),OR(MONTH(I113)&gt;=Setup!$C$15,MONTH(I113)&lt;=Setup!$C$16)),IF(Setup!$C$15&lt;=Setup!$C$16,AND(MONTH(WORKDAY(I113,-(Setup!$C$13+Setup!$G$27),Setup!$C$39:$C$50))&gt;=Setup!$C$15,MONTH(WORKDAY(I113,-(Setup!$C$13+Setup!$G$27),Setup!$C$39:$C$50))&lt;=Setup!$C$16),OR(MONTH(WORKDAY(I113,-(Setup!$C$13+Setup!$G$27),Setup!$C$39:$C$50))&gt;=Setup!$C$15,MONTH(WORKDAY(I113,-(Setup!$C$13+Setup!$G$27),Setup!$C$39:$C$50))&lt;=Setup!$C$16))),WORKDAY(I113,-(Setup!$C$13+Setup!$G$27+Setup!$C$14),Setup!$C$39:$C$50),WORKDAY(I113,-(Setup!$C$13+Setup!$G$27),Setup!$C$39:$C$50))+(108*100+8)/10000000)))</f>
        <v/>
      </c>
      <c r="Z113" t="str">
        <f>IF(J113="","",IF(J113&lt;Setup!$C$5-Setup!$C$6,"",IF(IF(ISNUMBER(Roster!$D113),Setup!$C$28&lt;=Roster!$D113,FALSE),"",IF(OR(IF(Setup!$C$15&lt;=Setup!$C$16,AND(MONTH(J113)&gt;=Setup!$C$15,MONTH(J113)&lt;=Setup!$C$16),OR(MONTH(J113)&gt;=Setup!$C$15,MONTH(J113)&lt;=Setup!$C$16)),IF(Setup!$C$15&lt;=Setup!$C$16,AND(MONTH(WORKDAY(J113,-(Setup!$C$13+Setup!$G$28),Setup!$C$39:$C$50))&gt;=Setup!$C$15,MONTH(WORKDAY(J113,-(Setup!$C$13+Setup!$G$28),Setup!$C$39:$C$50))&lt;=Setup!$C$16),OR(MONTH(WORKDAY(J113,-(Setup!$C$13+Setup!$G$28),Setup!$C$39:$C$50))&gt;=Setup!$C$15,MONTH(WORKDAY(J113,-(Setup!$C$13+Setup!$G$28),Setup!$C$39:$C$50))&lt;=Setup!$C$16))),WORKDAY(J113,-(Setup!$C$13+Setup!$G$28+Setup!$C$14),Setup!$C$39:$C$50),WORKDAY(J113,-(Setup!$C$13+Setup!$G$28),Setup!$C$39:$C$50))+(108*100+9)/10000000)))</f>
        <v/>
      </c>
      <c r="AA113" t="str">
        <f>IF(K113="","",IF(K113&lt;Setup!$C$5-Setup!$C$6,"",IF(IF(ISNUMBER(Roster!$D113),Setup!$C$29&lt;=Roster!$D113,FALSE),"",IF(OR(IF(Setup!$C$15&lt;=Setup!$C$16,AND(MONTH(K113)&gt;=Setup!$C$15,MONTH(K113)&lt;=Setup!$C$16),OR(MONTH(K113)&gt;=Setup!$C$15,MONTH(K113)&lt;=Setup!$C$16)),IF(Setup!$C$15&lt;=Setup!$C$16,AND(MONTH(WORKDAY(K113,-(Setup!$C$13+Setup!$G$29),Setup!$C$39:$C$50))&gt;=Setup!$C$15,MONTH(WORKDAY(K113,-(Setup!$C$13+Setup!$G$29),Setup!$C$39:$C$50))&lt;=Setup!$C$16),OR(MONTH(WORKDAY(K113,-(Setup!$C$13+Setup!$G$29),Setup!$C$39:$C$50))&gt;=Setup!$C$15,MONTH(WORKDAY(K113,-(Setup!$C$13+Setup!$G$29),Setup!$C$39:$C$50))&lt;=Setup!$C$16))),WORKDAY(K113,-(Setup!$C$13+Setup!$G$29+Setup!$C$14),Setup!$C$39:$C$50),WORKDAY(K113,-(Setup!$C$13+Setup!$G$29),Setup!$C$39:$C$50))+(108*100+10)/10000000)))</f>
        <v/>
      </c>
      <c r="AB113" t="str">
        <f>IF(L113="","",IF(L113&lt;Setup!$C$5-Setup!$C$6,"",IF(IF(ISNUMBER(Roster!$D113),Setup!$C$30&lt;=Roster!$D113,FALSE),"",IF(OR(IF(Setup!$C$15&lt;=Setup!$C$16,AND(MONTH(L113)&gt;=Setup!$C$15,MONTH(L113)&lt;=Setup!$C$16),OR(MONTH(L113)&gt;=Setup!$C$15,MONTH(L113)&lt;=Setup!$C$16)),IF(Setup!$C$15&lt;=Setup!$C$16,AND(MONTH(WORKDAY(L113,-(Setup!$C$13+Setup!$G$30),Setup!$C$39:$C$50))&gt;=Setup!$C$15,MONTH(WORKDAY(L113,-(Setup!$C$13+Setup!$G$30),Setup!$C$39:$C$50))&lt;=Setup!$C$16),OR(MONTH(WORKDAY(L113,-(Setup!$C$13+Setup!$G$30),Setup!$C$39:$C$50))&gt;=Setup!$C$15,MONTH(WORKDAY(L113,-(Setup!$C$13+Setup!$G$30),Setup!$C$39:$C$50))&lt;=Setup!$C$16))),WORKDAY(L113,-(Setup!$C$13+Setup!$G$30+Setup!$C$14),Setup!$C$39:$C$50),WORKDAY(L113,-(Setup!$C$13+Setup!$G$30),Setup!$C$39:$C$50))+(108*100+11)/10000000)))</f>
        <v/>
      </c>
      <c r="AC113" t="str">
        <f>IF(M113="","",IF(M113&lt;Setup!$C$5-Setup!$C$6,"",IF(IF(ISNUMBER(Roster!$D113),Setup!$C$31&lt;=Roster!$D113,FALSE),"",IF(OR(IF(Setup!$C$15&lt;=Setup!$C$16,AND(MONTH(M113)&gt;=Setup!$C$15,MONTH(M113)&lt;=Setup!$C$16),OR(MONTH(M113)&gt;=Setup!$C$15,MONTH(M113)&lt;=Setup!$C$16)),IF(Setup!$C$15&lt;=Setup!$C$16,AND(MONTH(WORKDAY(M113,-(Setup!$C$13+Setup!$G$31),Setup!$C$39:$C$50))&gt;=Setup!$C$15,MONTH(WORKDAY(M113,-(Setup!$C$13+Setup!$G$31),Setup!$C$39:$C$50))&lt;=Setup!$C$16),OR(MONTH(WORKDAY(M113,-(Setup!$C$13+Setup!$G$31),Setup!$C$39:$C$50))&gt;=Setup!$C$15,MONTH(WORKDAY(M113,-(Setup!$C$13+Setup!$G$31),Setup!$C$39:$C$50))&lt;=Setup!$C$16))),WORKDAY(M113,-(Setup!$C$13+Setup!$G$31+Setup!$C$14),Setup!$C$39:$C$50),WORKDAY(M113,-(Setup!$C$13+Setup!$G$31),Setup!$C$39:$C$50))+(108*100+12)/10000000)))</f>
        <v/>
      </c>
      <c r="AD113" t="str">
        <f>IF(N113="","",IF(N113&lt;Setup!$C$5-Setup!$C$6,"",IF(IF(ISNUMBER(Roster!$D113),Setup!$C$32&lt;=Roster!$D113,FALSE),"",IF(OR(IF(Setup!$C$15&lt;=Setup!$C$16,AND(MONTH(N113)&gt;=Setup!$C$15,MONTH(N113)&lt;=Setup!$C$16),OR(MONTH(N113)&gt;=Setup!$C$15,MONTH(N113)&lt;=Setup!$C$16)),IF(Setup!$C$15&lt;=Setup!$C$16,AND(MONTH(WORKDAY(N113,-(Setup!$C$13+Setup!$G$32),Setup!$C$39:$C$50))&gt;=Setup!$C$15,MONTH(WORKDAY(N113,-(Setup!$C$13+Setup!$G$32),Setup!$C$39:$C$50))&lt;=Setup!$C$16),OR(MONTH(WORKDAY(N113,-(Setup!$C$13+Setup!$G$32),Setup!$C$39:$C$50))&gt;=Setup!$C$15,MONTH(WORKDAY(N113,-(Setup!$C$13+Setup!$G$32),Setup!$C$39:$C$50))&lt;=Setup!$C$16))),WORKDAY(N113,-(Setup!$C$13+Setup!$G$32+Setup!$C$14),Setup!$C$39:$C$50),WORKDAY(N113,-(Setup!$C$13+Setup!$G$32),Setup!$C$39:$C$50))+(108*100+13)/10000000)))</f>
        <v/>
      </c>
      <c r="AE113" t="str">
        <f>IF(O113="","",IF(O113&lt;Setup!$C$5-Setup!$C$6,"",IF(IF(ISNUMBER(Roster!$D113),Setup!$C$33&lt;=Roster!$D113,FALSE),"",IF(OR(IF(Setup!$C$15&lt;=Setup!$C$16,AND(MONTH(O113)&gt;=Setup!$C$15,MONTH(O113)&lt;=Setup!$C$16),OR(MONTH(O113)&gt;=Setup!$C$15,MONTH(O113)&lt;=Setup!$C$16)),IF(Setup!$C$15&lt;=Setup!$C$16,AND(MONTH(WORKDAY(O113,-(Setup!$C$13+Setup!$G$33),Setup!$C$39:$C$50))&gt;=Setup!$C$15,MONTH(WORKDAY(O113,-(Setup!$C$13+Setup!$G$33),Setup!$C$39:$C$50))&lt;=Setup!$C$16),OR(MONTH(WORKDAY(O113,-(Setup!$C$13+Setup!$G$33),Setup!$C$39:$C$50))&gt;=Setup!$C$15,MONTH(WORKDAY(O113,-(Setup!$C$13+Setup!$G$33),Setup!$C$39:$C$50))&lt;=Setup!$C$16))),WORKDAY(O113,-(Setup!$C$13+Setup!$G$33+Setup!$C$14),Setup!$C$39:$C$50),WORKDAY(O113,-(Setup!$C$13+Setup!$G$33),Setup!$C$39:$C$50))+(108*100+14)/10000000)))</f>
        <v/>
      </c>
      <c r="AF113" t="str">
        <f>IF(P113="","",IF(P113&lt;Setup!$C$5-Setup!$C$6,"",IF(IF(ISNUMBER(Roster!$D113),Setup!$C$34&lt;=Roster!$D113,FALSE),"",IF(OR(IF(Setup!$C$15&lt;=Setup!$C$16,AND(MONTH(P113)&gt;=Setup!$C$15,MONTH(P113)&lt;=Setup!$C$16),OR(MONTH(P113)&gt;=Setup!$C$15,MONTH(P113)&lt;=Setup!$C$16)),IF(Setup!$C$15&lt;=Setup!$C$16,AND(MONTH(WORKDAY(P113,-(Setup!$C$13+Setup!$G$34),Setup!$C$39:$C$50))&gt;=Setup!$C$15,MONTH(WORKDAY(P113,-(Setup!$C$13+Setup!$G$34),Setup!$C$39:$C$50))&lt;=Setup!$C$16),OR(MONTH(WORKDAY(P113,-(Setup!$C$13+Setup!$G$34),Setup!$C$39:$C$50))&gt;=Setup!$C$15,MONTH(WORKDAY(P113,-(Setup!$C$13+Setup!$G$34),Setup!$C$39:$C$50))&lt;=Setup!$C$16))),WORKDAY(P113,-(Setup!$C$13+Setup!$G$34+Setup!$C$14),Setup!$C$39:$C$50),WORKDAY(P113,-(Setup!$C$13+Setup!$G$34),Setup!$C$39:$C$50))+(108*100+15)/10000000)))</f>
        <v/>
      </c>
      <c r="AH113" t="str">
        <f t="shared" si="9"/>
        <v/>
      </c>
      <c r="AI113" t="str">
        <f t="shared" si="10"/>
        <v/>
      </c>
      <c r="AK113" t="str">
        <f ca="1">IF(108&gt;$AK$2,"",SMALL($R$6:$AF$505,108))</f>
        <v/>
      </c>
      <c r="AL113" t="str">
        <f t="shared" ca="1" si="11"/>
        <v/>
      </c>
      <c r="AM113" t="str">
        <f t="shared" ca="1" si="12"/>
        <v/>
      </c>
      <c r="AN113" t="str">
        <f t="shared" ca="1" si="13"/>
        <v/>
      </c>
      <c r="AP113" t="str">
        <f>IF(ISNUMBER(Roster!$B113),MAX(1,YEAR(Setup!$C$5)-YEAR(Roster!$B113)+IF(EDATE(Roster!$B113,12*(YEAR(Setup!$C$5)-YEAR(Roster!$B113)))&lt;Setup!$C$5,1,0)),"")</f>
        <v/>
      </c>
      <c r="AQ113" s="32" t="str">
        <f>IF(AP113="","",EDATE(Roster!$B113,12*AP113))</f>
        <v/>
      </c>
      <c r="AR113" t="str">
        <f>IF(AQ113="","",IF(AQ113&lt;DATE(YEAR(Setup!$C$5)+1,MONTH(Setup!$C$5),DAY(Setup!$C$5)),AQ113+108/1000,""))</f>
        <v/>
      </c>
      <c r="AS113" t="str">
        <f t="shared" si="14"/>
        <v/>
      </c>
      <c r="AT113" t="str">
        <f>IF(AS113="","",IF(ISNUMBER(Roster!$D113),Roster!$D113&gt;=AP113,FALSE))</f>
        <v/>
      </c>
      <c r="AU113" t="str">
        <f t="shared" si="15"/>
        <v/>
      </c>
      <c r="AV113" t="str">
        <f ca="1">IF(108&gt;$AV$2,"",SMALL($AR$6:$AR$505,108))</f>
        <v/>
      </c>
      <c r="AW113" t="str">
        <f t="shared" ca="1" si="16"/>
        <v/>
      </c>
    </row>
    <row r="114" spans="2:49" x14ac:dyDescent="0.2">
      <c r="B114" s="32" t="str">
        <f>IF(AND(ISNUMBER(Roster!$B114),Setup!$B$20="Yes",ISNUMBER(Setup!$C$20)),EDATE(Roster!$B114,12*Setup!$C$20),"")</f>
        <v/>
      </c>
      <c r="C114" s="32" t="str">
        <f>IF(AND(ISNUMBER(Roster!$B114),Setup!$B$21="Yes",ISNUMBER(Setup!$C$21)),EDATE(Roster!$B114,12*Setup!$C$21),"")</f>
        <v/>
      </c>
      <c r="D114" s="32" t="str">
        <f>IF(AND(ISNUMBER(Roster!$B114),Setup!$B$22="Yes",ISNUMBER(Setup!$C$22)),EDATE(Roster!$B114,12*Setup!$C$22),"")</f>
        <v/>
      </c>
      <c r="E114" s="32" t="str">
        <f>IF(AND(ISNUMBER(Roster!$B114),Setup!$B$23="Yes",ISNUMBER(Setup!$C$23)),EDATE(Roster!$B114,12*Setup!$C$23),"")</f>
        <v/>
      </c>
      <c r="F114" s="32" t="str">
        <f>IF(AND(ISNUMBER(Roster!$B114),Setup!$B$24="Yes",ISNUMBER(Setup!$C$24)),EDATE(Roster!$B114,12*Setup!$C$24),"")</f>
        <v/>
      </c>
      <c r="G114" s="32" t="str">
        <f>IF(AND(ISNUMBER(Roster!$B114),Setup!$B$25="Yes",ISNUMBER(Setup!$C$25)),EDATE(Roster!$B114,12*Setup!$C$25),"")</f>
        <v/>
      </c>
      <c r="H114" s="32" t="str">
        <f>IF(AND(ISNUMBER(Roster!$B114),Setup!$B$26="Yes",ISNUMBER(Setup!$C$26)),EDATE(Roster!$B114,12*Setup!$C$26),"")</f>
        <v/>
      </c>
      <c r="I114" s="32" t="str">
        <f>IF(AND(ISNUMBER(Roster!$B114),Setup!$B$27="Yes",ISNUMBER(Setup!$C$27)),EDATE(Roster!$B114,12*Setup!$C$27),"")</f>
        <v/>
      </c>
      <c r="J114" s="32" t="str">
        <f>IF(AND(ISNUMBER(Roster!$B114),Setup!$B$28="Yes",ISNUMBER(Setup!$C$28)),EDATE(Roster!$B114,12*Setup!$C$28),"")</f>
        <v/>
      </c>
      <c r="K114" s="32" t="str">
        <f>IF(AND(ISNUMBER(Roster!$B114),Setup!$B$29="Yes",ISNUMBER(Setup!$C$29)),EDATE(Roster!$B114,12*Setup!$C$29),"")</f>
        <v/>
      </c>
      <c r="L114" s="32" t="str">
        <f>IF(AND(ISNUMBER(Roster!$B114),Setup!$B$30="Yes",ISNUMBER(Setup!$C$30)),EDATE(Roster!$B114,12*Setup!$C$30),"")</f>
        <v/>
      </c>
      <c r="M114" s="32" t="str">
        <f>IF(AND(ISNUMBER(Roster!$B114),Setup!$B$31="Yes",ISNUMBER(Setup!$C$31)),EDATE(Roster!$B114,12*Setup!$C$31),"")</f>
        <v/>
      </c>
      <c r="N114" s="32" t="str">
        <f>IF(AND(ISNUMBER(Roster!$B114),Setup!$B$32="Yes",ISNUMBER(Setup!$C$32)),EDATE(Roster!$B114,12*Setup!$C$32),"")</f>
        <v/>
      </c>
      <c r="O114" s="32" t="str">
        <f>IF(AND(ISNUMBER(Roster!$B114),Setup!$B$33="Yes",ISNUMBER(Setup!$C$33)),EDATE(Roster!$B114,12*Setup!$C$33),"")</f>
        <v/>
      </c>
      <c r="P114" s="32" t="str">
        <f>IF(AND(ISNUMBER(Roster!$B114),Setup!$B$34="Yes",ISNUMBER(Setup!$C$34)),EDATE(Roster!$B114,12*Setup!$C$34),"")</f>
        <v/>
      </c>
      <c r="R114" t="str">
        <f>IF(B114="","",IF(B114&lt;Setup!$C$5-Setup!$C$6,"",IF(IF(ISNUMBER(Roster!$D114),Setup!$C$20&lt;=Roster!$D114,FALSE),"",IF(OR(IF(Setup!$C$15&lt;=Setup!$C$16,AND(MONTH(B114)&gt;=Setup!$C$15,MONTH(B114)&lt;=Setup!$C$16),OR(MONTH(B114)&gt;=Setup!$C$15,MONTH(B114)&lt;=Setup!$C$16)),IF(Setup!$C$15&lt;=Setup!$C$16,AND(MONTH(WORKDAY(B114,-(Setup!$C$13+Setup!$G$20),Setup!$C$39:$C$50))&gt;=Setup!$C$15,MONTH(WORKDAY(B114,-(Setup!$C$13+Setup!$G$20),Setup!$C$39:$C$50))&lt;=Setup!$C$16),OR(MONTH(WORKDAY(B114,-(Setup!$C$13+Setup!$G$20),Setup!$C$39:$C$50))&gt;=Setup!$C$15,MONTH(WORKDAY(B114,-(Setup!$C$13+Setup!$G$20),Setup!$C$39:$C$50))&lt;=Setup!$C$16))),WORKDAY(B114,-(Setup!$C$13+Setup!$G$20+Setup!$C$14),Setup!$C$39:$C$50),WORKDAY(B114,-(Setup!$C$13+Setup!$G$20),Setup!$C$39:$C$50))+(109*100+1)/10000000)))</f>
        <v/>
      </c>
      <c r="S114" t="str">
        <f>IF(C114="","",IF(C114&lt;Setup!$C$5-Setup!$C$6,"",IF(IF(ISNUMBER(Roster!$D114),Setup!$C$21&lt;=Roster!$D114,FALSE),"",IF(OR(IF(Setup!$C$15&lt;=Setup!$C$16,AND(MONTH(C114)&gt;=Setup!$C$15,MONTH(C114)&lt;=Setup!$C$16),OR(MONTH(C114)&gt;=Setup!$C$15,MONTH(C114)&lt;=Setup!$C$16)),IF(Setup!$C$15&lt;=Setup!$C$16,AND(MONTH(WORKDAY(C114,-(Setup!$C$13+Setup!$G$21),Setup!$C$39:$C$50))&gt;=Setup!$C$15,MONTH(WORKDAY(C114,-(Setup!$C$13+Setup!$G$21),Setup!$C$39:$C$50))&lt;=Setup!$C$16),OR(MONTH(WORKDAY(C114,-(Setup!$C$13+Setup!$G$21),Setup!$C$39:$C$50))&gt;=Setup!$C$15,MONTH(WORKDAY(C114,-(Setup!$C$13+Setup!$G$21),Setup!$C$39:$C$50))&lt;=Setup!$C$16))),WORKDAY(C114,-(Setup!$C$13+Setup!$G$21+Setup!$C$14),Setup!$C$39:$C$50),WORKDAY(C114,-(Setup!$C$13+Setup!$G$21),Setup!$C$39:$C$50))+(109*100+2)/10000000)))</f>
        <v/>
      </c>
      <c r="T114" t="str">
        <f>IF(D114="","",IF(D114&lt;Setup!$C$5-Setup!$C$6,"",IF(IF(ISNUMBER(Roster!$D114),Setup!$C$22&lt;=Roster!$D114,FALSE),"",IF(OR(IF(Setup!$C$15&lt;=Setup!$C$16,AND(MONTH(D114)&gt;=Setup!$C$15,MONTH(D114)&lt;=Setup!$C$16),OR(MONTH(D114)&gt;=Setup!$C$15,MONTH(D114)&lt;=Setup!$C$16)),IF(Setup!$C$15&lt;=Setup!$C$16,AND(MONTH(WORKDAY(D114,-(Setup!$C$13+Setup!$G$22),Setup!$C$39:$C$50))&gt;=Setup!$C$15,MONTH(WORKDAY(D114,-(Setup!$C$13+Setup!$G$22),Setup!$C$39:$C$50))&lt;=Setup!$C$16),OR(MONTH(WORKDAY(D114,-(Setup!$C$13+Setup!$G$22),Setup!$C$39:$C$50))&gt;=Setup!$C$15,MONTH(WORKDAY(D114,-(Setup!$C$13+Setup!$G$22),Setup!$C$39:$C$50))&lt;=Setup!$C$16))),WORKDAY(D114,-(Setup!$C$13+Setup!$G$22+Setup!$C$14),Setup!$C$39:$C$50),WORKDAY(D114,-(Setup!$C$13+Setup!$G$22),Setup!$C$39:$C$50))+(109*100+3)/10000000)))</f>
        <v/>
      </c>
      <c r="U114" t="str">
        <f>IF(E114="","",IF(E114&lt;Setup!$C$5-Setup!$C$6,"",IF(IF(ISNUMBER(Roster!$D114),Setup!$C$23&lt;=Roster!$D114,FALSE),"",IF(OR(IF(Setup!$C$15&lt;=Setup!$C$16,AND(MONTH(E114)&gt;=Setup!$C$15,MONTH(E114)&lt;=Setup!$C$16),OR(MONTH(E114)&gt;=Setup!$C$15,MONTH(E114)&lt;=Setup!$C$16)),IF(Setup!$C$15&lt;=Setup!$C$16,AND(MONTH(WORKDAY(E114,-(Setup!$C$13+Setup!$G$23),Setup!$C$39:$C$50))&gt;=Setup!$C$15,MONTH(WORKDAY(E114,-(Setup!$C$13+Setup!$G$23),Setup!$C$39:$C$50))&lt;=Setup!$C$16),OR(MONTH(WORKDAY(E114,-(Setup!$C$13+Setup!$G$23),Setup!$C$39:$C$50))&gt;=Setup!$C$15,MONTH(WORKDAY(E114,-(Setup!$C$13+Setup!$G$23),Setup!$C$39:$C$50))&lt;=Setup!$C$16))),WORKDAY(E114,-(Setup!$C$13+Setup!$G$23+Setup!$C$14),Setup!$C$39:$C$50),WORKDAY(E114,-(Setup!$C$13+Setup!$G$23),Setup!$C$39:$C$50))+(109*100+4)/10000000)))</f>
        <v/>
      </c>
      <c r="V114" t="str">
        <f>IF(F114="","",IF(F114&lt;Setup!$C$5-Setup!$C$6,"",IF(IF(ISNUMBER(Roster!$D114),Setup!$C$24&lt;=Roster!$D114,FALSE),"",IF(OR(IF(Setup!$C$15&lt;=Setup!$C$16,AND(MONTH(F114)&gt;=Setup!$C$15,MONTH(F114)&lt;=Setup!$C$16),OR(MONTH(F114)&gt;=Setup!$C$15,MONTH(F114)&lt;=Setup!$C$16)),IF(Setup!$C$15&lt;=Setup!$C$16,AND(MONTH(WORKDAY(F114,-(Setup!$C$13+Setup!$G$24),Setup!$C$39:$C$50))&gt;=Setup!$C$15,MONTH(WORKDAY(F114,-(Setup!$C$13+Setup!$G$24),Setup!$C$39:$C$50))&lt;=Setup!$C$16),OR(MONTH(WORKDAY(F114,-(Setup!$C$13+Setup!$G$24),Setup!$C$39:$C$50))&gt;=Setup!$C$15,MONTH(WORKDAY(F114,-(Setup!$C$13+Setup!$G$24),Setup!$C$39:$C$50))&lt;=Setup!$C$16))),WORKDAY(F114,-(Setup!$C$13+Setup!$G$24+Setup!$C$14),Setup!$C$39:$C$50),WORKDAY(F114,-(Setup!$C$13+Setup!$G$24),Setup!$C$39:$C$50))+(109*100+5)/10000000)))</f>
        <v/>
      </c>
      <c r="W114" t="str">
        <f>IF(G114="","",IF(G114&lt;Setup!$C$5-Setup!$C$6,"",IF(IF(ISNUMBER(Roster!$D114),Setup!$C$25&lt;=Roster!$D114,FALSE),"",IF(OR(IF(Setup!$C$15&lt;=Setup!$C$16,AND(MONTH(G114)&gt;=Setup!$C$15,MONTH(G114)&lt;=Setup!$C$16),OR(MONTH(G114)&gt;=Setup!$C$15,MONTH(G114)&lt;=Setup!$C$16)),IF(Setup!$C$15&lt;=Setup!$C$16,AND(MONTH(WORKDAY(G114,-(Setup!$C$13+Setup!$G$25),Setup!$C$39:$C$50))&gt;=Setup!$C$15,MONTH(WORKDAY(G114,-(Setup!$C$13+Setup!$G$25),Setup!$C$39:$C$50))&lt;=Setup!$C$16),OR(MONTH(WORKDAY(G114,-(Setup!$C$13+Setup!$G$25),Setup!$C$39:$C$50))&gt;=Setup!$C$15,MONTH(WORKDAY(G114,-(Setup!$C$13+Setup!$G$25),Setup!$C$39:$C$50))&lt;=Setup!$C$16))),WORKDAY(G114,-(Setup!$C$13+Setup!$G$25+Setup!$C$14),Setup!$C$39:$C$50),WORKDAY(G114,-(Setup!$C$13+Setup!$G$25),Setup!$C$39:$C$50))+(109*100+6)/10000000)))</f>
        <v/>
      </c>
      <c r="X114" t="str">
        <f>IF(H114="","",IF(H114&lt;Setup!$C$5-Setup!$C$6,"",IF(IF(ISNUMBER(Roster!$D114),Setup!$C$26&lt;=Roster!$D114,FALSE),"",IF(OR(IF(Setup!$C$15&lt;=Setup!$C$16,AND(MONTH(H114)&gt;=Setup!$C$15,MONTH(H114)&lt;=Setup!$C$16),OR(MONTH(H114)&gt;=Setup!$C$15,MONTH(H114)&lt;=Setup!$C$16)),IF(Setup!$C$15&lt;=Setup!$C$16,AND(MONTH(WORKDAY(H114,-(Setup!$C$13+Setup!$G$26),Setup!$C$39:$C$50))&gt;=Setup!$C$15,MONTH(WORKDAY(H114,-(Setup!$C$13+Setup!$G$26),Setup!$C$39:$C$50))&lt;=Setup!$C$16),OR(MONTH(WORKDAY(H114,-(Setup!$C$13+Setup!$G$26),Setup!$C$39:$C$50))&gt;=Setup!$C$15,MONTH(WORKDAY(H114,-(Setup!$C$13+Setup!$G$26),Setup!$C$39:$C$50))&lt;=Setup!$C$16))),WORKDAY(H114,-(Setup!$C$13+Setup!$G$26+Setup!$C$14),Setup!$C$39:$C$50),WORKDAY(H114,-(Setup!$C$13+Setup!$G$26),Setup!$C$39:$C$50))+(109*100+7)/10000000)))</f>
        <v/>
      </c>
      <c r="Y114" t="str">
        <f>IF(I114="","",IF(I114&lt;Setup!$C$5-Setup!$C$6,"",IF(IF(ISNUMBER(Roster!$D114),Setup!$C$27&lt;=Roster!$D114,FALSE),"",IF(OR(IF(Setup!$C$15&lt;=Setup!$C$16,AND(MONTH(I114)&gt;=Setup!$C$15,MONTH(I114)&lt;=Setup!$C$16),OR(MONTH(I114)&gt;=Setup!$C$15,MONTH(I114)&lt;=Setup!$C$16)),IF(Setup!$C$15&lt;=Setup!$C$16,AND(MONTH(WORKDAY(I114,-(Setup!$C$13+Setup!$G$27),Setup!$C$39:$C$50))&gt;=Setup!$C$15,MONTH(WORKDAY(I114,-(Setup!$C$13+Setup!$G$27),Setup!$C$39:$C$50))&lt;=Setup!$C$16),OR(MONTH(WORKDAY(I114,-(Setup!$C$13+Setup!$G$27),Setup!$C$39:$C$50))&gt;=Setup!$C$15,MONTH(WORKDAY(I114,-(Setup!$C$13+Setup!$G$27),Setup!$C$39:$C$50))&lt;=Setup!$C$16))),WORKDAY(I114,-(Setup!$C$13+Setup!$G$27+Setup!$C$14),Setup!$C$39:$C$50),WORKDAY(I114,-(Setup!$C$13+Setup!$G$27),Setup!$C$39:$C$50))+(109*100+8)/10000000)))</f>
        <v/>
      </c>
      <c r="Z114" t="str">
        <f>IF(J114="","",IF(J114&lt;Setup!$C$5-Setup!$C$6,"",IF(IF(ISNUMBER(Roster!$D114),Setup!$C$28&lt;=Roster!$D114,FALSE),"",IF(OR(IF(Setup!$C$15&lt;=Setup!$C$16,AND(MONTH(J114)&gt;=Setup!$C$15,MONTH(J114)&lt;=Setup!$C$16),OR(MONTH(J114)&gt;=Setup!$C$15,MONTH(J114)&lt;=Setup!$C$16)),IF(Setup!$C$15&lt;=Setup!$C$16,AND(MONTH(WORKDAY(J114,-(Setup!$C$13+Setup!$G$28),Setup!$C$39:$C$50))&gt;=Setup!$C$15,MONTH(WORKDAY(J114,-(Setup!$C$13+Setup!$G$28),Setup!$C$39:$C$50))&lt;=Setup!$C$16),OR(MONTH(WORKDAY(J114,-(Setup!$C$13+Setup!$G$28),Setup!$C$39:$C$50))&gt;=Setup!$C$15,MONTH(WORKDAY(J114,-(Setup!$C$13+Setup!$G$28),Setup!$C$39:$C$50))&lt;=Setup!$C$16))),WORKDAY(J114,-(Setup!$C$13+Setup!$G$28+Setup!$C$14),Setup!$C$39:$C$50),WORKDAY(J114,-(Setup!$C$13+Setup!$G$28),Setup!$C$39:$C$50))+(109*100+9)/10000000)))</f>
        <v/>
      </c>
      <c r="AA114" t="str">
        <f>IF(K114="","",IF(K114&lt;Setup!$C$5-Setup!$C$6,"",IF(IF(ISNUMBER(Roster!$D114),Setup!$C$29&lt;=Roster!$D114,FALSE),"",IF(OR(IF(Setup!$C$15&lt;=Setup!$C$16,AND(MONTH(K114)&gt;=Setup!$C$15,MONTH(K114)&lt;=Setup!$C$16),OR(MONTH(K114)&gt;=Setup!$C$15,MONTH(K114)&lt;=Setup!$C$16)),IF(Setup!$C$15&lt;=Setup!$C$16,AND(MONTH(WORKDAY(K114,-(Setup!$C$13+Setup!$G$29),Setup!$C$39:$C$50))&gt;=Setup!$C$15,MONTH(WORKDAY(K114,-(Setup!$C$13+Setup!$G$29),Setup!$C$39:$C$50))&lt;=Setup!$C$16),OR(MONTH(WORKDAY(K114,-(Setup!$C$13+Setup!$G$29),Setup!$C$39:$C$50))&gt;=Setup!$C$15,MONTH(WORKDAY(K114,-(Setup!$C$13+Setup!$G$29),Setup!$C$39:$C$50))&lt;=Setup!$C$16))),WORKDAY(K114,-(Setup!$C$13+Setup!$G$29+Setup!$C$14),Setup!$C$39:$C$50),WORKDAY(K114,-(Setup!$C$13+Setup!$G$29),Setup!$C$39:$C$50))+(109*100+10)/10000000)))</f>
        <v/>
      </c>
      <c r="AB114" t="str">
        <f>IF(L114="","",IF(L114&lt;Setup!$C$5-Setup!$C$6,"",IF(IF(ISNUMBER(Roster!$D114),Setup!$C$30&lt;=Roster!$D114,FALSE),"",IF(OR(IF(Setup!$C$15&lt;=Setup!$C$16,AND(MONTH(L114)&gt;=Setup!$C$15,MONTH(L114)&lt;=Setup!$C$16),OR(MONTH(L114)&gt;=Setup!$C$15,MONTH(L114)&lt;=Setup!$C$16)),IF(Setup!$C$15&lt;=Setup!$C$16,AND(MONTH(WORKDAY(L114,-(Setup!$C$13+Setup!$G$30),Setup!$C$39:$C$50))&gt;=Setup!$C$15,MONTH(WORKDAY(L114,-(Setup!$C$13+Setup!$G$30),Setup!$C$39:$C$50))&lt;=Setup!$C$16),OR(MONTH(WORKDAY(L114,-(Setup!$C$13+Setup!$G$30),Setup!$C$39:$C$50))&gt;=Setup!$C$15,MONTH(WORKDAY(L114,-(Setup!$C$13+Setup!$G$30),Setup!$C$39:$C$50))&lt;=Setup!$C$16))),WORKDAY(L114,-(Setup!$C$13+Setup!$G$30+Setup!$C$14),Setup!$C$39:$C$50),WORKDAY(L114,-(Setup!$C$13+Setup!$G$30),Setup!$C$39:$C$50))+(109*100+11)/10000000)))</f>
        <v/>
      </c>
      <c r="AC114" t="str">
        <f>IF(M114="","",IF(M114&lt;Setup!$C$5-Setup!$C$6,"",IF(IF(ISNUMBER(Roster!$D114),Setup!$C$31&lt;=Roster!$D114,FALSE),"",IF(OR(IF(Setup!$C$15&lt;=Setup!$C$16,AND(MONTH(M114)&gt;=Setup!$C$15,MONTH(M114)&lt;=Setup!$C$16),OR(MONTH(M114)&gt;=Setup!$C$15,MONTH(M114)&lt;=Setup!$C$16)),IF(Setup!$C$15&lt;=Setup!$C$16,AND(MONTH(WORKDAY(M114,-(Setup!$C$13+Setup!$G$31),Setup!$C$39:$C$50))&gt;=Setup!$C$15,MONTH(WORKDAY(M114,-(Setup!$C$13+Setup!$G$31),Setup!$C$39:$C$50))&lt;=Setup!$C$16),OR(MONTH(WORKDAY(M114,-(Setup!$C$13+Setup!$G$31),Setup!$C$39:$C$50))&gt;=Setup!$C$15,MONTH(WORKDAY(M114,-(Setup!$C$13+Setup!$G$31),Setup!$C$39:$C$50))&lt;=Setup!$C$16))),WORKDAY(M114,-(Setup!$C$13+Setup!$G$31+Setup!$C$14),Setup!$C$39:$C$50),WORKDAY(M114,-(Setup!$C$13+Setup!$G$31),Setup!$C$39:$C$50))+(109*100+12)/10000000)))</f>
        <v/>
      </c>
      <c r="AD114" t="str">
        <f>IF(N114="","",IF(N114&lt;Setup!$C$5-Setup!$C$6,"",IF(IF(ISNUMBER(Roster!$D114),Setup!$C$32&lt;=Roster!$D114,FALSE),"",IF(OR(IF(Setup!$C$15&lt;=Setup!$C$16,AND(MONTH(N114)&gt;=Setup!$C$15,MONTH(N114)&lt;=Setup!$C$16),OR(MONTH(N114)&gt;=Setup!$C$15,MONTH(N114)&lt;=Setup!$C$16)),IF(Setup!$C$15&lt;=Setup!$C$16,AND(MONTH(WORKDAY(N114,-(Setup!$C$13+Setup!$G$32),Setup!$C$39:$C$50))&gt;=Setup!$C$15,MONTH(WORKDAY(N114,-(Setup!$C$13+Setup!$G$32),Setup!$C$39:$C$50))&lt;=Setup!$C$16),OR(MONTH(WORKDAY(N114,-(Setup!$C$13+Setup!$G$32),Setup!$C$39:$C$50))&gt;=Setup!$C$15,MONTH(WORKDAY(N114,-(Setup!$C$13+Setup!$G$32),Setup!$C$39:$C$50))&lt;=Setup!$C$16))),WORKDAY(N114,-(Setup!$C$13+Setup!$G$32+Setup!$C$14),Setup!$C$39:$C$50),WORKDAY(N114,-(Setup!$C$13+Setup!$G$32),Setup!$C$39:$C$50))+(109*100+13)/10000000)))</f>
        <v/>
      </c>
      <c r="AE114" t="str">
        <f>IF(O114="","",IF(O114&lt;Setup!$C$5-Setup!$C$6,"",IF(IF(ISNUMBER(Roster!$D114),Setup!$C$33&lt;=Roster!$D114,FALSE),"",IF(OR(IF(Setup!$C$15&lt;=Setup!$C$16,AND(MONTH(O114)&gt;=Setup!$C$15,MONTH(O114)&lt;=Setup!$C$16),OR(MONTH(O114)&gt;=Setup!$C$15,MONTH(O114)&lt;=Setup!$C$16)),IF(Setup!$C$15&lt;=Setup!$C$16,AND(MONTH(WORKDAY(O114,-(Setup!$C$13+Setup!$G$33),Setup!$C$39:$C$50))&gt;=Setup!$C$15,MONTH(WORKDAY(O114,-(Setup!$C$13+Setup!$G$33),Setup!$C$39:$C$50))&lt;=Setup!$C$16),OR(MONTH(WORKDAY(O114,-(Setup!$C$13+Setup!$G$33),Setup!$C$39:$C$50))&gt;=Setup!$C$15,MONTH(WORKDAY(O114,-(Setup!$C$13+Setup!$G$33),Setup!$C$39:$C$50))&lt;=Setup!$C$16))),WORKDAY(O114,-(Setup!$C$13+Setup!$G$33+Setup!$C$14),Setup!$C$39:$C$50),WORKDAY(O114,-(Setup!$C$13+Setup!$G$33),Setup!$C$39:$C$50))+(109*100+14)/10000000)))</f>
        <v/>
      </c>
      <c r="AF114" t="str">
        <f>IF(P114="","",IF(P114&lt;Setup!$C$5-Setup!$C$6,"",IF(IF(ISNUMBER(Roster!$D114),Setup!$C$34&lt;=Roster!$D114,FALSE),"",IF(OR(IF(Setup!$C$15&lt;=Setup!$C$16,AND(MONTH(P114)&gt;=Setup!$C$15,MONTH(P114)&lt;=Setup!$C$16),OR(MONTH(P114)&gt;=Setup!$C$15,MONTH(P114)&lt;=Setup!$C$16)),IF(Setup!$C$15&lt;=Setup!$C$16,AND(MONTH(WORKDAY(P114,-(Setup!$C$13+Setup!$G$34),Setup!$C$39:$C$50))&gt;=Setup!$C$15,MONTH(WORKDAY(P114,-(Setup!$C$13+Setup!$G$34),Setup!$C$39:$C$50))&lt;=Setup!$C$16),OR(MONTH(WORKDAY(P114,-(Setup!$C$13+Setup!$G$34),Setup!$C$39:$C$50))&gt;=Setup!$C$15,MONTH(WORKDAY(P114,-(Setup!$C$13+Setup!$G$34),Setup!$C$39:$C$50))&lt;=Setup!$C$16))),WORKDAY(P114,-(Setup!$C$13+Setup!$G$34+Setup!$C$14),Setup!$C$39:$C$50),WORKDAY(P114,-(Setup!$C$13+Setup!$G$34),Setup!$C$39:$C$50))+(109*100+15)/10000000)))</f>
        <v/>
      </c>
      <c r="AH114" t="str">
        <f t="shared" si="9"/>
        <v/>
      </c>
      <c r="AI114" t="str">
        <f t="shared" si="10"/>
        <v/>
      </c>
      <c r="AK114" t="str">
        <f ca="1">IF(109&gt;$AK$2,"",SMALL($R$6:$AF$505,109))</f>
        <v/>
      </c>
      <c r="AL114" t="str">
        <f t="shared" ca="1" si="11"/>
        <v/>
      </c>
      <c r="AM114" t="str">
        <f t="shared" ca="1" si="12"/>
        <v/>
      </c>
      <c r="AN114" t="str">
        <f t="shared" ca="1" si="13"/>
        <v/>
      </c>
      <c r="AP114" t="str">
        <f>IF(ISNUMBER(Roster!$B114),MAX(1,YEAR(Setup!$C$5)-YEAR(Roster!$B114)+IF(EDATE(Roster!$B114,12*(YEAR(Setup!$C$5)-YEAR(Roster!$B114)))&lt;Setup!$C$5,1,0)),"")</f>
        <v/>
      </c>
      <c r="AQ114" s="32" t="str">
        <f>IF(AP114="","",EDATE(Roster!$B114,12*AP114))</f>
        <v/>
      </c>
      <c r="AR114" t="str">
        <f>IF(AQ114="","",IF(AQ114&lt;DATE(YEAR(Setup!$C$5)+1,MONTH(Setup!$C$5),DAY(Setup!$C$5)),AQ114+109/1000,""))</f>
        <v/>
      </c>
      <c r="AS114" t="str">
        <f t="shared" si="14"/>
        <v/>
      </c>
      <c r="AT114" t="str">
        <f>IF(AS114="","",IF(ISNUMBER(Roster!$D114),Roster!$D114&gt;=AP114,FALSE))</f>
        <v/>
      </c>
      <c r="AU114" t="str">
        <f t="shared" si="15"/>
        <v/>
      </c>
      <c r="AV114" t="str">
        <f ca="1">IF(109&gt;$AV$2,"",SMALL($AR$6:$AR$505,109))</f>
        <v/>
      </c>
      <c r="AW114" t="str">
        <f t="shared" ca="1" si="16"/>
        <v/>
      </c>
    </row>
    <row r="115" spans="2:49" x14ac:dyDescent="0.2">
      <c r="B115" s="32" t="str">
        <f>IF(AND(ISNUMBER(Roster!$B115),Setup!$B$20="Yes",ISNUMBER(Setup!$C$20)),EDATE(Roster!$B115,12*Setup!$C$20),"")</f>
        <v/>
      </c>
      <c r="C115" s="32" t="str">
        <f>IF(AND(ISNUMBER(Roster!$B115),Setup!$B$21="Yes",ISNUMBER(Setup!$C$21)),EDATE(Roster!$B115,12*Setup!$C$21),"")</f>
        <v/>
      </c>
      <c r="D115" s="32" t="str">
        <f>IF(AND(ISNUMBER(Roster!$B115),Setup!$B$22="Yes",ISNUMBER(Setup!$C$22)),EDATE(Roster!$B115,12*Setup!$C$22),"")</f>
        <v/>
      </c>
      <c r="E115" s="32" t="str">
        <f>IF(AND(ISNUMBER(Roster!$B115),Setup!$B$23="Yes",ISNUMBER(Setup!$C$23)),EDATE(Roster!$B115,12*Setup!$C$23),"")</f>
        <v/>
      </c>
      <c r="F115" s="32" t="str">
        <f>IF(AND(ISNUMBER(Roster!$B115),Setup!$B$24="Yes",ISNUMBER(Setup!$C$24)),EDATE(Roster!$B115,12*Setup!$C$24),"")</f>
        <v/>
      </c>
      <c r="G115" s="32" t="str">
        <f>IF(AND(ISNUMBER(Roster!$B115),Setup!$B$25="Yes",ISNUMBER(Setup!$C$25)),EDATE(Roster!$B115,12*Setup!$C$25),"")</f>
        <v/>
      </c>
      <c r="H115" s="32" t="str">
        <f>IF(AND(ISNUMBER(Roster!$B115),Setup!$B$26="Yes",ISNUMBER(Setup!$C$26)),EDATE(Roster!$B115,12*Setup!$C$26),"")</f>
        <v/>
      </c>
      <c r="I115" s="32" t="str">
        <f>IF(AND(ISNUMBER(Roster!$B115),Setup!$B$27="Yes",ISNUMBER(Setup!$C$27)),EDATE(Roster!$B115,12*Setup!$C$27),"")</f>
        <v/>
      </c>
      <c r="J115" s="32" t="str">
        <f>IF(AND(ISNUMBER(Roster!$B115),Setup!$B$28="Yes",ISNUMBER(Setup!$C$28)),EDATE(Roster!$B115,12*Setup!$C$28),"")</f>
        <v/>
      </c>
      <c r="K115" s="32" t="str">
        <f>IF(AND(ISNUMBER(Roster!$B115),Setup!$B$29="Yes",ISNUMBER(Setup!$C$29)),EDATE(Roster!$B115,12*Setup!$C$29),"")</f>
        <v/>
      </c>
      <c r="L115" s="32" t="str">
        <f>IF(AND(ISNUMBER(Roster!$B115),Setup!$B$30="Yes",ISNUMBER(Setup!$C$30)),EDATE(Roster!$B115,12*Setup!$C$30),"")</f>
        <v/>
      </c>
      <c r="M115" s="32" t="str">
        <f>IF(AND(ISNUMBER(Roster!$B115),Setup!$B$31="Yes",ISNUMBER(Setup!$C$31)),EDATE(Roster!$B115,12*Setup!$C$31),"")</f>
        <v/>
      </c>
      <c r="N115" s="32" t="str">
        <f>IF(AND(ISNUMBER(Roster!$B115),Setup!$B$32="Yes",ISNUMBER(Setup!$C$32)),EDATE(Roster!$B115,12*Setup!$C$32),"")</f>
        <v/>
      </c>
      <c r="O115" s="32" t="str">
        <f>IF(AND(ISNUMBER(Roster!$B115),Setup!$B$33="Yes",ISNUMBER(Setup!$C$33)),EDATE(Roster!$B115,12*Setup!$C$33),"")</f>
        <v/>
      </c>
      <c r="P115" s="32" t="str">
        <f>IF(AND(ISNUMBER(Roster!$B115),Setup!$B$34="Yes",ISNUMBER(Setup!$C$34)),EDATE(Roster!$B115,12*Setup!$C$34),"")</f>
        <v/>
      </c>
      <c r="R115" t="str">
        <f>IF(B115="","",IF(B115&lt;Setup!$C$5-Setup!$C$6,"",IF(IF(ISNUMBER(Roster!$D115),Setup!$C$20&lt;=Roster!$D115,FALSE),"",IF(OR(IF(Setup!$C$15&lt;=Setup!$C$16,AND(MONTH(B115)&gt;=Setup!$C$15,MONTH(B115)&lt;=Setup!$C$16),OR(MONTH(B115)&gt;=Setup!$C$15,MONTH(B115)&lt;=Setup!$C$16)),IF(Setup!$C$15&lt;=Setup!$C$16,AND(MONTH(WORKDAY(B115,-(Setup!$C$13+Setup!$G$20),Setup!$C$39:$C$50))&gt;=Setup!$C$15,MONTH(WORKDAY(B115,-(Setup!$C$13+Setup!$G$20),Setup!$C$39:$C$50))&lt;=Setup!$C$16),OR(MONTH(WORKDAY(B115,-(Setup!$C$13+Setup!$G$20),Setup!$C$39:$C$50))&gt;=Setup!$C$15,MONTH(WORKDAY(B115,-(Setup!$C$13+Setup!$G$20),Setup!$C$39:$C$50))&lt;=Setup!$C$16))),WORKDAY(B115,-(Setup!$C$13+Setup!$G$20+Setup!$C$14),Setup!$C$39:$C$50),WORKDAY(B115,-(Setup!$C$13+Setup!$G$20),Setup!$C$39:$C$50))+(110*100+1)/10000000)))</f>
        <v/>
      </c>
      <c r="S115" t="str">
        <f>IF(C115="","",IF(C115&lt;Setup!$C$5-Setup!$C$6,"",IF(IF(ISNUMBER(Roster!$D115),Setup!$C$21&lt;=Roster!$D115,FALSE),"",IF(OR(IF(Setup!$C$15&lt;=Setup!$C$16,AND(MONTH(C115)&gt;=Setup!$C$15,MONTH(C115)&lt;=Setup!$C$16),OR(MONTH(C115)&gt;=Setup!$C$15,MONTH(C115)&lt;=Setup!$C$16)),IF(Setup!$C$15&lt;=Setup!$C$16,AND(MONTH(WORKDAY(C115,-(Setup!$C$13+Setup!$G$21),Setup!$C$39:$C$50))&gt;=Setup!$C$15,MONTH(WORKDAY(C115,-(Setup!$C$13+Setup!$G$21),Setup!$C$39:$C$50))&lt;=Setup!$C$16),OR(MONTH(WORKDAY(C115,-(Setup!$C$13+Setup!$G$21),Setup!$C$39:$C$50))&gt;=Setup!$C$15,MONTH(WORKDAY(C115,-(Setup!$C$13+Setup!$G$21),Setup!$C$39:$C$50))&lt;=Setup!$C$16))),WORKDAY(C115,-(Setup!$C$13+Setup!$G$21+Setup!$C$14),Setup!$C$39:$C$50),WORKDAY(C115,-(Setup!$C$13+Setup!$G$21),Setup!$C$39:$C$50))+(110*100+2)/10000000)))</f>
        <v/>
      </c>
      <c r="T115" t="str">
        <f>IF(D115="","",IF(D115&lt;Setup!$C$5-Setup!$C$6,"",IF(IF(ISNUMBER(Roster!$D115),Setup!$C$22&lt;=Roster!$D115,FALSE),"",IF(OR(IF(Setup!$C$15&lt;=Setup!$C$16,AND(MONTH(D115)&gt;=Setup!$C$15,MONTH(D115)&lt;=Setup!$C$16),OR(MONTH(D115)&gt;=Setup!$C$15,MONTH(D115)&lt;=Setup!$C$16)),IF(Setup!$C$15&lt;=Setup!$C$16,AND(MONTH(WORKDAY(D115,-(Setup!$C$13+Setup!$G$22),Setup!$C$39:$C$50))&gt;=Setup!$C$15,MONTH(WORKDAY(D115,-(Setup!$C$13+Setup!$G$22),Setup!$C$39:$C$50))&lt;=Setup!$C$16),OR(MONTH(WORKDAY(D115,-(Setup!$C$13+Setup!$G$22),Setup!$C$39:$C$50))&gt;=Setup!$C$15,MONTH(WORKDAY(D115,-(Setup!$C$13+Setup!$G$22),Setup!$C$39:$C$50))&lt;=Setup!$C$16))),WORKDAY(D115,-(Setup!$C$13+Setup!$G$22+Setup!$C$14),Setup!$C$39:$C$50),WORKDAY(D115,-(Setup!$C$13+Setup!$G$22),Setup!$C$39:$C$50))+(110*100+3)/10000000)))</f>
        <v/>
      </c>
      <c r="U115" t="str">
        <f>IF(E115="","",IF(E115&lt;Setup!$C$5-Setup!$C$6,"",IF(IF(ISNUMBER(Roster!$D115),Setup!$C$23&lt;=Roster!$D115,FALSE),"",IF(OR(IF(Setup!$C$15&lt;=Setup!$C$16,AND(MONTH(E115)&gt;=Setup!$C$15,MONTH(E115)&lt;=Setup!$C$16),OR(MONTH(E115)&gt;=Setup!$C$15,MONTH(E115)&lt;=Setup!$C$16)),IF(Setup!$C$15&lt;=Setup!$C$16,AND(MONTH(WORKDAY(E115,-(Setup!$C$13+Setup!$G$23),Setup!$C$39:$C$50))&gt;=Setup!$C$15,MONTH(WORKDAY(E115,-(Setup!$C$13+Setup!$G$23),Setup!$C$39:$C$50))&lt;=Setup!$C$16),OR(MONTH(WORKDAY(E115,-(Setup!$C$13+Setup!$G$23),Setup!$C$39:$C$50))&gt;=Setup!$C$15,MONTH(WORKDAY(E115,-(Setup!$C$13+Setup!$G$23),Setup!$C$39:$C$50))&lt;=Setup!$C$16))),WORKDAY(E115,-(Setup!$C$13+Setup!$G$23+Setup!$C$14),Setup!$C$39:$C$50),WORKDAY(E115,-(Setup!$C$13+Setup!$G$23),Setup!$C$39:$C$50))+(110*100+4)/10000000)))</f>
        <v/>
      </c>
      <c r="V115" t="str">
        <f>IF(F115="","",IF(F115&lt;Setup!$C$5-Setup!$C$6,"",IF(IF(ISNUMBER(Roster!$D115),Setup!$C$24&lt;=Roster!$D115,FALSE),"",IF(OR(IF(Setup!$C$15&lt;=Setup!$C$16,AND(MONTH(F115)&gt;=Setup!$C$15,MONTH(F115)&lt;=Setup!$C$16),OR(MONTH(F115)&gt;=Setup!$C$15,MONTH(F115)&lt;=Setup!$C$16)),IF(Setup!$C$15&lt;=Setup!$C$16,AND(MONTH(WORKDAY(F115,-(Setup!$C$13+Setup!$G$24),Setup!$C$39:$C$50))&gt;=Setup!$C$15,MONTH(WORKDAY(F115,-(Setup!$C$13+Setup!$G$24),Setup!$C$39:$C$50))&lt;=Setup!$C$16),OR(MONTH(WORKDAY(F115,-(Setup!$C$13+Setup!$G$24),Setup!$C$39:$C$50))&gt;=Setup!$C$15,MONTH(WORKDAY(F115,-(Setup!$C$13+Setup!$G$24),Setup!$C$39:$C$50))&lt;=Setup!$C$16))),WORKDAY(F115,-(Setup!$C$13+Setup!$G$24+Setup!$C$14),Setup!$C$39:$C$50),WORKDAY(F115,-(Setup!$C$13+Setup!$G$24),Setup!$C$39:$C$50))+(110*100+5)/10000000)))</f>
        <v/>
      </c>
      <c r="W115" t="str">
        <f>IF(G115="","",IF(G115&lt;Setup!$C$5-Setup!$C$6,"",IF(IF(ISNUMBER(Roster!$D115),Setup!$C$25&lt;=Roster!$D115,FALSE),"",IF(OR(IF(Setup!$C$15&lt;=Setup!$C$16,AND(MONTH(G115)&gt;=Setup!$C$15,MONTH(G115)&lt;=Setup!$C$16),OR(MONTH(G115)&gt;=Setup!$C$15,MONTH(G115)&lt;=Setup!$C$16)),IF(Setup!$C$15&lt;=Setup!$C$16,AND(MONTH(WORKDAY(G115,-(Setup!$C$13+Setup!$G$25),Setup!$C$39:$C$50))&gt;=Setup!$C$15,MONTH(WORKDAY(G115,-(Setup!$C$13+Setup!$G$25),Setup!$C$39:$C$50))&lt;=Setup!$C$16),OR(MONTH(WORKDAY(G115,-(Setup!$C$13+Setup!$G$25),Setup!$C$39:$C$50))&gt;=Setup!$C$15,MONTH(WORKDAY(G115,-(Setup!$C$13+Setup!$G$25),Setup!$C$39:$C$50))&lt;=Setup!$C$16))),WORKDAY(G115,-(Setup!$C$13+Setup!$G$25+Setup!$C$14),Setup!$C$39:$C$50),WORKDAY(G115,-(Setup!$C$13+Setup!$G$25),Setup!$C$39:$C$50))+(110*100+6)/10000000)))</f>
        <v/>
      </c>
      <c r="X115" t="str">
        <f>IF(H115="","",IF(H115&lt;Setup!$C$5-Setup!$C$6,"",IF(IF(ISNUMBER(Roster!$D115),Setup!$C$26&lt;=Roster!$D115,FALSE),"",IF(OR(IF(Setup!$C$15&lt;=Setup!$C$16,AND(MONTH(H115)&gt;=Setup!$C$15,MONTH(H115)&lt;=Setup!$C$16),OR(MONTH(H115)&gt;=Setup!$C$15,MONTH(H115)&lt;=Setup!$C$16)),IF(Setup!$C$15&lt;=Setup!$C$16,AND(MONTH(WORKDAY(H115,-(Setup!$C$13+Setup!$G$26),Setup!$C$39:$C$50))&gt;=Setup!$C$15,MONTH(WORKDAY(H115,-(Setup!$C$13+Setup!$G$26),Setup!$C$39:$C$50))&lt;=Setup!$C$16),OR(MONTH(WORKDAY(H115,-(Setup!$C$13+Setup!$G$26),Setup!$C$39:$C$50))&gt;=Setup!$C$15,MONTH(WORKDAY(H115,-(Setup!$C$13+Setup!$G$26),Setup!$C$39:$C$50))&lt;=Setup!$C$16))),WORKDAY(H115,-(Setup!$C$13+Setup!$G$26+Setup!$C$14),Setup!$C$39:$C$50),WORKDAY(H115,-(Setup!$C$13+Setup!$G$26),Setup!$C$39:$C$50))+(110*100+7)/10000000)))</f>
        <v/>
      </c>
      <c r="Y115" t="str">
        <f>IF(I115="","",IF(I115&lt;Setup!$C$5-Setup!$C$6,"",IF(IF(ISNUMBER(Roster!$D115),Setup!$C$27&lt;=Roster!$D115,FALSE),"",IF(OR(IF(Setup!$C$15&lt;=Setup!$C$16,AND(MONTH(I115)&gt;=Setup!$C$15,MONTH(I115)&lt;=Setup!$C$16),OR(MONTH(I115)&gt;=Setup!$C$15,MONTH(I115)&lt;=Setup!$C$16)),IF(Setup!$C$15&lt;=Setup!$C$16,AND(MONTH(WORKDAY(I115,-(Setup!$C$13+Setup!$G$27),Setup!$C$39:$C$50))&gt;=Setup!$C$15,MONTH(WORKDAY(I115,-(Setup!$C$13+Setup!$G$27),Setup!$C$39:$C$50))&lt;=Setup!$C$16),OR(MONTH(WORKDAY(I115,-(Setup!$C$13+Setup!$G$27),Setup!$C$39:$C$50))&gt;=Setup!$C$15,MONTH(WORKDAY(I115,-(Setup!$C$13+Setup!$G$27),Setup!$C$39:$C$50))&lt;=Setup!$C$16))),WORKDAY(I115,-(Setup!$C$13+Setup!$G$27+Setup!$C$14),Setup!$C$39:$C$50),WORKDAY(I115,-(Setup!$C$13+Setup!$G$27),Setup!$C$39:$C$50))+(110*100+8)/10000000)))</f>
        <v/>
      </c>
      <c r="Z115" t="str">
        <f>IF(J115="","",IF(J115&lt;Setup!$C$5-Setup!$C$6,"",IF(IF(ISNUMBER(Roster!$D115),Setup!$C$28&lt;=Roster!$D115,FALSE),"",IF(OR(IF(Setup!$C$15&lt;=Setup!$C$16,AND(MONTH(J115)&gt;=Setup!$C$15,MONTH(J115)&lt;=Setup!$C$16),OR(MONTH(J115)&gt;=Setup!$C$15,MONTH(J115)&lt;=Setup!$C$16)),IF(Setup!$C$15&lt;=Setup!$C$16,AND(MONTH(WORKDAY(J115,-(Setup!$C$13+Setup!$G$28),Setup!$C$39:$C$50))&gt;=Setup!$C$15,MONTH(WORKDAY(J115,-(Setup!$C$13+Setup!$G$28),Setup!$C$39:$C$50))&lt;=Setup!$C$16),OR(MONTH(WORKDAY(J115,-(Setup!$C$13+Setup!$G$28),Setup!$C$39:$C$50))&gt;=Setup!$C$15,MONTH(WORKDAY(J115,-(Setup!$C$13+Setup!$G$28),Setup!$C$39:$C$50))&lt;=Setup!$C$16))),WORKDAY(J115,-(Setup!$C$13+Setup!$G$28+Setup!$C$14),Setup!$C$39:$C$50),WORKDAY(J115,-(Setup!$C$13+Setup!$G$28),Setup!$C$39:$C$50))+(110*100+9)/10000000)))</f>
        <v/>
      </c>
      <c r="AA115" t="str">
        <f>IF(K115="","",IF(K115&lt;Setup!$C$5-Setup!$C$6,"",IF(IF(ISNUMBER(Roster!$D115),Setup!$C$29&lt;=Roster!$D115,FALSE),"",IF(OR(IF(Setup!$C$15&lt;=Setup!$C$16,AND(MONTH(K115)&gt;=Setup!$C$15,MONTH(K115)&lt;=Setup!$C$16),OR(MONTH(K115)&gt;=Setup!$C$15,MONTH(K115)&lt;=Setup!$C$16)),IF(Setup!$C$15&lt;=Setup!$C$16,AND(MONTH(WORKDAY(K115,-(Setup!$C$13+Setup!$G$29),Setup!$C$39:$C$50))&gt;=Setup!$C$15,MONTH(WORKDAY(K115,-(Setup!$C$13+Setup!$G$29),Setup!$C$39:$C$50))&lt;=Setup!$C$16),OR(MONTH(WORKDAY(K115,-(Setup!$C$13+Setup!$G$29),Setup!$C$39:$C$50))&gt;=Setup!$C$15,MONTH(WORKDAY(K115,-(Setup!$C$13+Setup!$G$29),Setup!$C$39:$C$50))&lt;=Setup!$C$16))),WORKDAY(K115,-(Setup!$C$13+Setup!$G$29+Setup!$C$14),Setup!$C$39:$C$50),WORKDAY(K115,-(Setup!$C$13+Setup!$G$29),Setup!$C$39:$C$50))+(110*100+10)/10000000)))</f>
        <v/>
      </c>
      <c r="AB115" t="str">
        <f>IF(L115="","",IF(L115&lt;Setup!$C$5-Setup!$C$6,"",IF(IF(ISNUMBER(Roster!$D115),Setup!$C$30&lt;=Roster!$D115,FALSE),"",IF(OR(IF(Setup!$C$15&lt;=Setup!$C$16,AND(MONTH(L115)&gt;=Setup!$C$15,MONTH(L115)&lt;=Setup!$C$16),OR(MONTH(L115)&gt;=Setup!$C$15,MONTH(L115)&lt;=Setup!$C$16)),IF(Setup!$C$15&lt;=Setup!$C$16,AND(MONTH(WORKDAY(L115,-(Setup!$C$13+Setup!$G$30),Setup!$C$39:$C$50))&gt;=Setup!$C$15,MONTH(WORKDAY(L115,-(Setup!$C$13+Setup!$G$30),Setup!$C$39:$C$50))&lt;=Setup!$C$16),OR(MONTH(WORKDAY(L115,-(Setup!$C$13+Setup!$G$30),Setup!$C$39:$C$50))&gt;=Setup!$C$15,MONTH(WORKDAY(L115,-(Setup!$C$13+Setup!$G$30),Setup!$C$39:$C$50))&lt;=Setup!$C$16))),WORKDAY(L115,-(Setup!$C$13+Setup!$G$30+Setup!$C$14),Setup!$C$39:$C$50),WORKDAY(L115,-(Setup!$C$13+Setup!$G$30),Setup!$C$39:$C$50))+(110*100+11)/10000000)))</f>
        <v/>
      </c>
      <c r="AC115" t="str">
        <f>IF(M115="","",IF(M115&lt;Setup!$C$5-Setup!$C$6,"",IF(IF(ISNUMBER(Roster!$D115),Setup!$C$31&lt;=Roster!$D115,FALSE),"",IF(OR(IF(Setup!$C$15&lt;=Setup!$C$16,AND(MONTH(M115)&gt;=Setup!$C$15,MONTH(M115)&lt;=Setup!$C$16),OR(MONTH(M115)&gt;=Setup!$C$15,MONTH(M115)&lt;=Setup!$C$16)),IF(Setup!$C$15&lt;=Setup!$C$16,AND(MONTH(WORKDAY(M115,-(Setup!$C$13+Setup!$G$31),Setup!$C$39:$C$50))&gt;=Setup!$C$15,MONTH(WORKDAY(M115,-(Setup!$C$13+Setup!$G$31),Setup!$C$39:$C$50))&lt;=Setup!$C$16),OR(MONTH(WORKDAY(M115,-(Setup!$C$13+Setup!$G$31),Setup!$C$39:$C$50))&gt;=Setup!$C$15,MONTH(WORKDAY(M115,-(Setup!$C$13+Setup!$G$31),Setup!$C$39:$C$50))&lt;=Setup!$C$16))),WORKDAY(M115,-(Setup!$C$13+Setup!$G$31+Setup!$C$14),Setup!$C$39:$C$50),WORKDAY(M115,-(Setup!$C$13+Setup!$G$31),Setup!$C$39:$C$50))+(110*100+12)/10000000)))</f>
        <v/>
      </c>
      <c r="AD115" t="str">
        <f>IF(N115="","",IF(N115&lt;Setup!$C$5-Setup!$C$6,"",IF(IF(ISNUMBER(Roster!$D115),Setup!$C$32&lt;=Roster!$D115,FALSE),"",IF(OR(IF(Setup!$C$15&lt;=Setup!$C$16,AND(MONTH(N115)&gt;=Setup!$C$15,MONTH(N115)&lt;=Setup!$C$16),OR(MONTH(N115)&gt;=Setup!$C$15,MONTH(N115)&lt;=Setup!$C$16)),IF(Setup!$C$15&lt;=Setup!$C$16,AND(MONTH(WORKDAY(N115,-(Setup!$C$13+Setup!$G$32),Setup!$C$39:$C$50))&gt;=Setup!$C$15,MONTH(WORKDAY(N115,-(Setup!$C$13+Setup!$G$32),Setup!$C$39:$C$50))&lt;=Setup!$C$16),OR(MONTH(WORKDAY(N115,-(Setup!$C$13+Setup!$G$32),Setup!$C$39:$C$50))&gt;=Setup!$C$15,MONTH(WORKDAY(N115,-(Setup!$C$13+Setup!$G$32),Setup!$C$39:$C$50))&lt;=Setup!$C$16))),WORKDAY(N115,-(Setup!$C$13+Setup!$G$32+Setup!$C$14),Setup!$C$39:$C$50),WORKDAY(N115,-(Setup!$C$13+Setup!$G$32),Setup!$C$39:$C$50))+(110*100+13)/10000000)))</f>
        <v/>
      </c>
      <c r="AE115" t="str">
        <f>IF(O115="","",IF(O115&lt;Setup!$C$5-Setup!$C$6,"",IF(IF(ISNUMBER(Roster!$D115),Setup!$C$33&lt;=Roster!$D115,FALSE),"",IF(OR(IF(Setup!$C$15&lt;=Setup!$C$16,AND(MONTH(O115)&gt;=Setup!$C$15,MONTH(O115)&lt;=Setup!$C$16),OR(MONTH(O115)&gt;=Setup!$C$15,MONTH(O115)&lt;=Setup!$C$16)),IF(Setup!$C$15&lt;=Setup!$C$16,AND(MONTH(WORKDAY(O115,-(Setup!$C$13+Setup!$G$33),Setup!$C$39:$C$50))&gt;=Setup!$C$15,MONTH(WORKDAY(O115,-(Setup!$C$13+Setup!$G$33),Setup!$C$39:$C$50))&lt;=Setup!$C$16),OR(MONTH(WORKDAY(O115,-(Setup!$C$13+Setup!$G$33),Setup!$C$39:$C$50))&gt;=Setup!$C$15,MONTH(WORKDAY(O115,-(Setup!$C$13+Setup!$G$33),Setup!$C$39:$C$50))&lt;=Setup!$C$16))),WORKDAY(O115,-(Setup!$C$13+Setup!$G$33+Setup!$C$14),Setup!$C$39:$C$50),WORKDAY(O115,-(Setup!$C$13+Setup!$G$33),Setup!$C$39:$C$50))+(110*100+14)/10000000)))</f>
        <v/>
      </c>
      <c r="AF115" t="str">
        <f>IF(P115="","",IF(P115&lt;Setup!$C$5-Setup!$C$6,"",IF(IF(ISNUMBER(Roster!$D115),Setup!$C$34&lt;=Roster!$D115,FALSE),"",IF(OR(IF(Setup!$C$15&lt;=Setup!$C$16,AND(MONTH(P115)&gt;=Setup!$C$15,MONTH(P115)&lt;=Setup!$C$16),OR(MONTH(P115)&gt;=Setup!$C$15,MONTH(P115)&lt;=Setup!$C$16)),IF(Setup!$C$15&lt;=Setup!$C$16,AND(MONTH(WORKDAY(P115,-(Setup!$C$13+Setup!$G$34),Setup!$C$39:$C$50))&gt;=Setup!$C$15,MONTH(WORKDAY(P115,-(Setup!$C$13+Setup!$G$34),Setup!$C$39:$C$50))&lt;=Setup!$C$16),OR(MONTH(WORKDAY(P115,-(Setup!$C$13+Setup!$G$34),Setup!$C$39:$C$50))&gt;=Setup!$C$15,MONTH(WORKDAY(P115,-(Setup!$C$13+Setup!$G$34),Setup!$C$39:$C$50))&lt;=Setup!$C$16))),WORKDAY(P115,-(Setup!$C$13+Setup!$G$34+Setup!$C$14),Setup!$C$39:$C$50),WORKDAY(P115,-(Setup!$C$13+Setup!$G$34),Setup!$C$39:$C$50))+(110*100+15)/10000000)))</f>
        <v/>
      </c>
      <c r="AH115" t="str">
        <f t="shared" si="9"/>
        <v/>
      </c>
      <c r="AI115" t="str">
        <f t="shared" si="10"/>
        <v/>
      </c>
      <c r="AK115" t="str">
        <f ca="1">IF(110&gt;$AK$2,"",SMALL($R$6:$AF$505,110))</f>
        <v/>
      </c>
      <c r="AL115" t="str">
        <f t="shared" ca="1" si="11"/>
        <v/>
      </c>
      <c r="AM115" t="str">
        <f t="shared" ca="1" si="12"/>
        <v/>
      </c>
      <c r="AN115" t="str">
        <f t="shared" ca="1" si="13"/>
        <v/>
      </c>
      <c r="AP115" t="str">
        <f>IF(ISNUMBER(Roster!$B115),MAX(1,YEAR(Setup!$C$5)-YEAR(Roster!$B115)+IF(EDATE(Roster!$B115,12*(YEAR(Setup!$C$5)-YEAR(Roster!$B115)))&lt;Setup!$C$5,1,0)),"")</f>
        <v/>
      </c>
      <c r="AQ115" s="32" t="str">
        <f>IF(AP115="","",EDATE(Roster!$B115,12*AP115))</f>
        <v/>
      </c>
      <c r="AR115" t="str">
        <f>IF(AQ115="","",IF(AQ115&lt;DATE(YEAR(Setup!$C$5)+1,MONTH(Setup!$C$5),DAY(Setup!$C$5)),AQ115+110/1000,""))</f>
        <v/>
      </c>
      <c r="AS115" t="str">
        <f t="shared" si="14"/>
        <v/>
      </c>
      <c r="AT115" t="str">
        <f>IF(AS115="","",IF(ISNUMBER(Roster!$D115),Roster!$D115&gt;=AP115,FALSE))</f>
        <v/>
      </c>
      <c r="AU115" t="str">
        <f t="shared" si="15"/>
        <v/>
      </c>
      <c r="AV115" t="str">
        <f ca="1">IF(110&gt;$AV$2,"",SMALL($AR$6:$AR$505,110))</f>
        <v/>
      </c>
      <c r="AW115" t="str">
        <f t="shared" ca="1" si="16"/>
        <v/>
      </c>
    </row>
    <row r="116" spans="2:49" x14ac:dyDescent="0.2">
      <c r="B116" s="32" t="str">
        <f>IF(AND(ISNUMBER(Roster!$B116),Setup!$B$20="Yes",ISNUMBER(Setup!$C$20)),EDATE(Roster!$B116,12*Setup!$C$20),"")</f>
        <v/>
      </c>
      <c r="C116" s="32" t="str">
        <f>IF(AND(ISNUMBER(Roster!$B116),Setup!$B$21="Yes",ISNUMBER(Setup!$C$21)),EDATE(Roster!$B116,12*Setup!$C$21),"")</f>
        <v/>
      </c>
      <c r="D116" s="32" t="str">
        <f>IF(AND(ISNUMBER(Roster!$B116),Setup!$B$22="Yes",ISNUMBER(Setup!$C$22)),EDATE(Roster!$B116,12*Setup!$C$22),"")</f>
        <v/>
      </c>
      <c r="E116" s="32" t="str">
        <f>IF(AND(ISNUMBER(Roster!$B116),Setup!$B$23="Yes",ISNUMBER(Setup!$C$23)),EDATE(Roster!$B116,12*Setup!$C$23),"")</f>
        <v/>
      </c>
      <c r="F116" s="32" t="str">
        <f>IF(AND(ISNUMBER(Roster!$B116),Setup!$B$24="Yes",ISNUMBER(Setup!$C$24)),EDATE(Roster!$B116,12*Setup!$C$24),"")</f>
        <v/>
      </c>
      <c r="G116" s="32" t="str">
        <f>IF(AND(ISNUMBER(Roster!$B116),Setup!$B$25="Yes",ISNUMBER(Setup!$C$25)),EDATE(Roster!$B116,12*Setup!$C$25),"")</f>
        <v/>
      </c>
      <c r="H116" s="32" t="str">
        <f>IF(AND(ISNUMBER(Roster!$B116),Setup!$B$26="Yes",ISNUMBER(Setup!$C$26)),EDATE(Roster!$B116,12*Setup!$C$26),"")</f>
        <v/>
      </c>
      <c r="I116" s="32" t="str">
        <f>IF(AND(ISNUMBER(Roster!$B116),Setup!$B$27="Yes",ISNUMBER(Setup!$C$27)),EDATE(Roster!$B116,12*Setup!$C$27),"")</f>
        <v/>
      </c>
      <c r="J116" s="32" t="str">
        <f>IF(AND(ISNUMBER(Roster!$B116),Setup!$B$28="Yes",ISNUMBER(Setup!$C$28)),EDATE(Roster!$B116,12*Setup!$C$28),"")</f>
        <v/>
      </c>
      <c r="K116" s="32" t="str">
        <f>IF(AND(ISNUMBER(Roster!$B116),Setup!$B$29="Yes",ISNUMBER(Setup!$C$29)),EDATE(Roster!$B116,12*Setup!$C$29),"")</f>
        <v/>
      </c>
      <c r="L116" s="32" t="str">
        <f>IF(AND(ISNUMBER(Roster!$B116),Setup!$B$30="Yes",ISNUMBER(Setup!$C$30)),EDATE(Roster!$B116,12*Setup!$C$30),"")</f>
        <v/>
      </c>
      <c r="M116" s="32" t="str">
        <f>IF(AND(ISNUMBER(Roster!$B116),Setup!$B$31="Yes",ISNUMBER(Setup!$C$31)),EDATE(Roster!$B116,12*Setup!$C$31),"")</f>
        <v/>
      </c>
      <c r="N116" s="32" t="str">
        <f>IF(AND(ISNUMBER(Roster!$B116),Setup!$B$32="Yes",ISNUMBER(Setup!$C$32)),EDATE(Roster!$B116,12*Setup!$C$32),"")</f>
        <v/>
      </c>
      <c r="O116" s="32" t="str">
        <f>IF(AND(ISNUMBER(Roster!$B116),Setup!$B$33="Yes",ISNUMBER(Setup!$C$33)),EDATE(Roster!$B116,12*Setup!$C$33),"")</f>
        <v/>
      </c>
      <c r="P116" s="32" t="str">
        <f>IF(AND(ISNUMBER(Roster!$B116),Setup!$B$34="Yes",ISNUMBER(Setup!$C$34)),EDATE(Roster!$B116,12*Setup!$C$34),"")</f>
        <v/>
      </c>
      <c r="R116" t="str">
        <f>IF(B116="","",IF(B116&lt;Setup!$C$5-Setup!$C$6,"",IF(IF(ISNUMBER(Roster!$D116),Setup!$C$20&lt;=Roster!$D116,FALSE),"",IF(OR(IF(Setup!$C$15&lt;=Setup!$C$16,AND(MONTH(B116)&gt;=Setup!$C$15,MONTH(B116)&lt;=Setup!$C$16),OR(MONTH(B116)&gt;=Setup!$C$15,MONTH(B116)&lt;=Setup!$C$16)),IF(Setup!$C$15&lt;=Setup!$C$16,AND(MONTH(WORKDAY(B116,-(Setup!$C$13+Setup!$G$20),Setup!$C$39:$C$50))&gt;=Setup!$C$15,MONTH(WORKDAY(B116,-(Setup!$C$13+Setup!$G$20),Setup!$C$39:$C$50))&lt;=Setup!$C$16),OR(MONTH(WORKDAY(B116,-(Setup!$C$13+Setup!$G$20),Setup!$C$39:$C$50))&gt;=Setup!$C$15,MONTH(WORKDAY(B116,-(Setup!$C$13+Setup!$G$20),Setup!$C$39:$C$50))&lt;=Setup!$C$16))),WORKDAY(B116,-(Setup!$C$13+Setup!$G$20+Setup!$C$14),Setup!$C$39:$C$50),WORKDAY(B116,-(Setup!$C$13+Setup!$G$20),Setup!$C$39:$C$50))+(111*100+1)/10000000)))</f>
        <v/>
      </c>
      <c r="S116" t="str">
        <f>IF(C116="","",IF(C116&lt;Setup!$C$5-Setup!$C$6,"",IF(IF(ISNUMBER(Roster!$D116),Setup!$C$21&lt;=Roster!$D116,FALSE),"",IF(OR(IF(Setup!$C$15&lt;=Setup!$C$16,AND(MONTH(C116)&gt;=Setup!$C$15,MONTH(C116)&lt;=Setup!$C$16),OR(MONTH(C116)&gt;=Setup!$C$15,MONTH(C116)&lt;=Setup!$C$16)),IF(Setup!$C$15&lt;=Setup!$C$16,AND(MONTH(WORKDAY(C116,-(Setup!$C$13+Setup!$G$21),Setup!$C$39:$C$50))&gt;=Setup!$C$15,MONTH(WORKDAY(C116,-(Setup!$C$13+Setup!$G$21),Setup!$C$39:$C$50))&lt;=Setup!$C$16),OR(MONTH(WORKDAY(C116,-(Setup!$C$13+Setup!$G$21),Setup!$C$39:$C$50))&gt;=Setup!$C$15,MONTH(WORKDAY(C116,-(Setup!$C$13+Setup!$G$21),Setup!$C$39:$C$50))&lt;=Setup!$C$16))),WORKDAY(C116,-(Setup!$C$13+Setup!$G$21+Setup!$C$14),Setup!$C$39:$C$50),WORKDAY(C116,-(Setup!$C$13+Setup!$G$21),Setup!$C$39:$C$50))+(111*100+2)/10000000)))</f>
        <v/>
      </c>
      <c r="T116" t="str">
        <f>IF(D116="","",IF(D116&lt;Setup!$C$5-Setup!$C$6,"",IF(IF(ISNUMBER(Roster!$D116),Setup!$C$22&lt;=Roster!$D116,FALSE),"",IF(OR(IF(Setup!$C$15&lt;=Setup!$C$16,AND(MONTH(D116)&gt;=Setup!$C$15,MONTH(D116)&lt;=Setup!$C$16),OR(MONTH(D116)&gt;=Setup!$C$15,MONTH(D116)&lt;=Setup!$C$16)),IF(Setup!$C$15&lt;=Setup!$C$16,AND(MONTH(WORKDAY(D116,-(Setup!$C$13+Setup!$G$22),Setup!$C$39:$C$50))&gt;=Setup!$C$15,MONTH(WORKDAY(D116,-(Setup!$C$13+Setup!$G$22),Setup!$C$39:$C$50))&lt;=Setup!$C$16),OR(MONTH(WORKDAY(D116,-(Setup!$C$13+Setup!$G$22),Setup!$C$39:$C$50))&gt;=Setup!$C$15,MONTH(WORKDAY(D116,-(Setup!$C$13+Setup!$G$22),Setup!$C$39:$C$50))&lt;=Setup!$C$16))),WORKDAY(D116,-(Setup!$C$13+Setup!$G$22+Setup!$C$14),Setup!$C$39:$C$50),WORKDAY(D116,-(Setup!$C$13+Setup!$G$22),Setup!$C$39:$C$50))+(111*100+3)/10000000)))</f>
        <v/>
      </c>
      <c r="U116" t="str">
        <f>IF(E116="","",IF(E116&lt;Setup!$C$5-Setup!$C$6,"",IF(IF(ISNUMBER(Roster!$D116),Setup!$C$23&lt;=Roster!$D116,FALSE),"",IF(OR(IF(Setup!$C$15&lt;=Setup!$C$16,AND(MONTH(E116)&gt;=Setup!$C$15,MONTH(E116)&lt;=Setup!$C$16),OR(MONTH(E116)&gt;=Setup!$C$15,MONTH(E116)&lt;=Setup!$C$16)),IF(Setup!$C$15&lt;=Setup!$C$16,AND(MONTH(WORKDAY(E116,-(Setup!$C$13+Setup!$G$23),Setup!$C$39:$C$50))&gt;=Setup!$C$15,MONTH(WORKDAY(E116,-(Setup!$C$13+Setup!$G$23),Setup!$C$39:$C$50))&lt;=Setup!$C$16),OR(MONTH(WORKDAY(E116,-(Setup!$C$13+Setup!$G$23),Setup!$C$39:$C$50))&gt;=Setup!$C$15,MONTH(WORKDAY(E116,-(Setup!$C$13+Setup!$G$23),Setup!$C$39:$C$50))&lt;=Setup!$C$16))),WORKDAY(E116,-(Setup!$C$13+Setup!$G$23+Setup!$C$14),Setup!$C$39:$C$50),WORKDAY(E116,-(Setup!$C$13+Setup!$G$23),Setup!$C$39:$C$50))+(111*100+4)/10000000)))</f>
        <v/>
      </c>
      <c r="V116" t="str">
        <f>IF(F116="","",IF(F116&lt;Setup!$C$5-Setup!$C$6,"",IF(IF(ISNUMBER(Roster!$D116),Setup!$C$24&lt;=Roster!$D116,FALSE),"",IF(OR(IF(Setup!$C$15&lt;=Setup!$C$16,AND(MONTH(F116)&gt;=Setup!$C$15,MONTH(F116)&lt;=Setup!$C$16),OR(MONTH(F116)&gt;=Setup!$C$15,MONTH(F116)&lt;=Setup!$C$16)),IF(Setup!$C$15&lt;=Setup!$C$16,AND(MONTH(WORKDAY(F116,-(Setup!$C$13+Setup!$G$24),Setup!$C$39:$C$50))&gt;=Setup!$C$15,MONTH(WORKDAY(F116,-(Setup!$C$13+Setup!$G$24),Setup!$C$39:$C$50))&lt;=Setup!$C$16),OR(MONTH(WORKDAY(F116,-(Setup!$C$13+Setup!$G$24),Setup!$C$39:$C$50))&gt;=Setup!$C$15,MONTH(WORKDAY(F116,-(Setup!$C$13+Setup!$G$24),Setup!$C$39:$C$50))&lt;=Setup!$C$16))),WORKDAY(F116,-(Setup!$C$13+Setup!$G$24+Setup!$C$14),Setup!$C$39:$C$50),WORKDAY(F116,-(Setup!$C$13+Setup!$G$24),Setup!$C$39:$C$50))+(111*100+5)/10000000)))</f>
        <v/>
      </c>
      <c r="W116" t="str">
        <f>IF(G116="","",IF(G116&lt;Setup!$C$5-Setup!$C$6,"",IF(IF(ISNUMBER(Roster!$D116),Setup!$C$25&lt;=Roster!$D116,FALSE),"",IF(OR(IF(Setup!$C$15&lt;=Setup!$C$16,AND(MONTH(G116)&gt;=Setup!$C$15,MONTH(G116)&lt;=Setup!$C$16),OR(MONTH(G116)&gt;=Setup!$C$15,MONTH(G116)&lt;=Setup!$C$16)),IF(Setup!$C$15&lt;=Setup!$C$16,AND(MONTH(WORKDAY(G116,-(Setup!$C$13+Setup!$G$25),Setup!$C$39:$C$50))&gt;=Setup!$C$15,MONTH(WORKDAY(G116,-(Setup!$C$13+Setup!$G$25),Setup!$C$39:$C$50))&lt;=Setup!$C$16),OR(MONTH(WORKDAY(G116,-(Setup!$C$13+Setup!$G$25),Setup!$C$39:$C$50))&gt;=Setup!$C$15,MONTH(WORKDAY(G116,-(Setup!$C$13+Setup!$G$25),Setup!$C$39:$C$50))&lt;=Setup!$C$16))),WORKDAY(G116,-(Setup!$C$13+Setup!$G$25+Setup!$C$14),Setup!$C$39:$C$50),WORKDAY(G116,-(Setup!$C$13+Setup!$G$25),Setup!$C$39:$C$50))+(111*100+6)/10000000)))</f>
        <v/>
      </c>
      <c r="X116" t="str">
        <f>IF(H116="","",IF(H116&lt;Setup!$C$5-Setup!$C$6,"",IF(IF(ISNUMBER(Roster!$D116),Setup!$C$26&lt;=Roster!$D116,FALSE),"",IF(OR(IF(Setup!$C$15&lt;=Setup!$C$16,AND(MONTH(H116)&gt;=Setup!$C$15,MONTH(H116)&lt;=Setup!$C$16),OR(MONTH(H116)&gt;=Setup!$C$15,MONTH(H116)&lt;=Setup!$C$16)),IF(Setup!$C$15&lt;=Setup!$C$16,AND(MONTH(WORKDAY(H116,-(Setup!$C$13+Setup!$G$26),Setup!$C$39:$C$50))&gt;=Setup!$C$15,MONTH(WORKDAY(H116,-(Setup!$C$13+Setup!$G$26),Setup!$C$39:$C$50))&lt;=Setup!$C$16),OR(MONTH(WORKDAY(H116,-(Setup!$C$13+Setup!$G$26),Setup!$C$39:$C$50))&gt;=Setup!$C$15,MONTH(WORKDAY(H116,-(Setup!$C$13+Setup!$G$26),Setup!$C$39:$C$50))&lt;=Setup!$C$16))),WORKDAY(H116,-(Setup!$C$13+Setup!$G$26+Setup!$C$14),Setup!$C$39:$C$50),WORKDAY(H116,-(Setup!$C$13+Setup!$G$26),Setup!$C$39:$C$50))+(111*100+7)/10000000)))</f>
        <v/>
      </c>
      <c r="Y116" t="str">
        <f>IF(I116="","",IF(I116&lt;Setup!$C$5-Setup!$C$6,"",IF(IF(ISNUMBER(Roster!$D116),Setup!$C$27&lt;=Roster!$D116,FALSE),"",IF(OR(IF(Setup!$C$15&lt;=Setup!$C$16,AND(MONTH(I116)&gt;=Setup!$C$15,MONTH(I116)&lt;=Setup!$C$16),OR(MONTH(I116)&gt;=Setup!$C$15,MONTH(I116)&lt;=Setup!$C$16)),IF(Setup!$C$15&lt;=Setup!$C$16,AND(MONTH(WORKDAY(I116,-(Setup!$C$13+Setup!$G$27),Setup!$C$39:$C$50))&gt;=Setup!$C$15,MONTH(WORKDAY(I116,-(Setup!$C$13+Setup!$G$27),Setup!$C$39:$C$50))&lt;=Setup!$C$16),OR(MONTH(WORKDAY(I116,-(Setup!$C$13+Setup!$G$27),Setup!$C$39:$C$50))&gt;=Setup!$C$15,MONTH(WORKDAY(I116,-(Setup!$C$13+Setup!$G$27),Setup!$C$39:$C$50))&lt;=Setup!$C$16))),WORKDAY(I116,-(Setup!$C$13+Setup!$G$27+Setup!$C$14),Setup!$C$39:$C$50),WORKDAY(I116,-(Setup!$C$13+Setup!$G$27),Setup!$C$39:$C$50))+(111*100+8)/10000000)))</f>
        <v/>
      </c>
      <c r="Z116" t="str">
        <f>IF(J116="","",IF(J116&lt;Setup!$C$5-Setup!$C$6,"",IF(IF(ISNUMBER(Roster!$D116),Setup!$C$28&lt;=Roster!$D116,FALSE),"",IF(OR(IF(Setup!$C$15&lt;=Setup!$C$16,AND(MONTH(J116)&gt;=Setup!$C$15,MONTH(J116)&lt;=Setup!$C$16),OR(MONTH(J116)&gt;=Setup!$C$15,MONTH(J116)&lt;=Setup!$C$16)),IF(Setup!$C$15&lt;=Setup!$C$16,AND(MONTH(WORKDAY(J116,-(Setup!$C$13+Setup!$G$28),Setup!$C$39:$C$50))&gt;=Setup!$C$15,MONTH(WORKDAY(J116,-(Setup!$C$13+Setup!$G$28),Setup!$C$39:$C$50))&lt;=Setup!$C$16),OR(MONTH(WORKDAY(J116,-(Setup!$C$13+Setup!$G$28),Setup!$C$39:$C$50))&gt;=Setup!$C$15,MONTH(WORKDAY(J116,-(Setup!$C$13+Setup!$G$28),Setup!$C$39:$C$50))&lt;=Setup!$C$16))),WORKDAY(J116,-(Setup!$C$13+Setup!$G$28+Setup!$C$14),Setup!$C$39:$C$50),WORKDAY(J116,-(Setup!$C$13+Setup!$G$28),Setup!$C$39:$C$50))+(111*100+9)/10000000)))</f>
        <v/>
      </c>
      <c r="AA116" t="str">
        <f>IF(K116="","",IF(K116&lt;Setup!$C$5-Setup!$C$6,"",IF(IF(ISNUMBER(Roster!$D116),Setup!$C$29&lt;=Roster!$D116,FALSE),"",IF(OR(IF(Setup!$C$15&lt;=Setup!$C$16,AND(MONTH(K116)&gt;=Setup!$C$15,MONTH(K116)&lt;=Setup!$C$16),OR(MONTH(K116)&gt;=Setup!$C$15,MONTH(K116)&lt;=Setup!$C$16)),IF(Setup!$C$15&lt;=Setup!$C$16,AND(MONTH(WORKDAY(K116,-(Setup!$C$13+Setup!$G$29),Setup!$C$39:$C$50))&gt;=Setup!$C$15,MONTH(WORKDAY(K116,-(Setup!$C$13+Setup!$G$29),Setup!$C$39:$C$50))&lt;=Setup!$C$16),OR(MONTH(WORKDAY(K116,-(Setup!$C$13+Setup!$G$29),Setup!$C$39:$C$50))&gt;=Setup!$C$15,MONTH(WORKDAY(K116,-(Setup!$C$13+Setup!$G$29),Setup!$C$39:$C$50))&lt;=Setup!$C$16))),WORKDAY(K116,-(Setup!$C$13+Setup!$G$29+Setup!$C$14),Setup!$C$39:$C$50),WORKDAY(K116,-(Setup!$C$13+Setup!$G$29),Setup!$C$39:$C$50))+(111*100+10)/10000000)))</f>
        <v/>
      </c>
      <c r="AB116" t="str">
        <f>IF(L116="","",IF(L116&lt;Setup!$C$5-Setup!$C$6,"",IF(IF(ISNUMBER(Roster!$D116),Setup!$C$30&lt;=Roster!$D116,FALSE),"",IF(OR(IF(Setup!$C$15&lt;=Setup!$C$16,AND(MONTH(L116)&gt;=Setup!$C$15,MONTH(L116)&lt;=Setup!$C$16),OR(MONTH(L116)&gt;=Setup!$C$15,MONTH(L116)&lt;=Setup!$C$16)),IF(Setup!$C$15&lt;=Setup!$C$16,AND(MONTH(WORKDAY(L116,-(Setup!$C$13+Setup!$G$30),Setup!$C$39:$C$50))&gt;=Setup!$C$15,MONTH(WORKDAY(L116,-(Setup!$C$13+Setup!$G$30),Setup!$C$39:$C$50))&lt;=Setup!$C$16),OR(MONTH(WORKDAY(L116,-(Setup!$C$13+Setup!$G$30),Setup!$C$39:$C$50))&gt;=Setup!$C$15,MONTH(WORKDAY(L116,-(Setup!$C$13+Setup!$G$30),Setup!$C$39:$C$50))&lt;=Setup!$C$16))),WORKDAY(L116,-(Setup!$C$13+Setup!$G$30+Setup!$C$14),Setup!$C$39:$C$50),WORKDAY(L116,-(Setup!$C$13+Setup!$G$30),Setup!$C$39:$C$50))+(111*100+11)/10000000)))</f>
        <v/>
      </c>
      <c r="AC116" t="str">
        <f>IF(M116="","",IF(M116&lt;Setup!$C$5-Setup!$C$6,"",IF(IF(ISNUMBER(Roster!$D116),Setup!$C$31&lt;=Roster!$D116,FALSE),"",IF(OR(IF(Setup!$C$15&lt;=Setup!$C$16,AND(MONTH(M116)&gt;=Setup!$C$15,MONTH(M116)&lt;=Setup!$C$16),OR(MONTH(M116)&gt;=Setup!$C$15,MONTH(M116)&lt;=Setup!$C$16)),IF(Setup!$C$15&lt;=Setup!$C$16,AND(MONTH(WORKDAY(M116,-(Setup!$C$13+Setup!$G$31),Setup!$C$39:$C$50))&gt;=Setup!$C$15,MONTH(WORKDAY(M116,-(Setup!$C$13+Setup!$G$31),Setup!$C$39:$C$50))&lt;=Setup!$C$16),OR(MONTH(WORKDAY(M116,-(Setup!$C$13+Setup!$G$31),Setup!$C$39:$C$50))&gt;=Setup!$C$15,MONTH(WORKDAY(M116,-(Setup!$C$13+Setup!$G$31),Setup!$C$39:$C$50))&lt;=Setup!$C$16))),WORKDAY(M116,-(Setup!$C$13+Setup!$G$31+Setup!$C$14),Setup!$C$39:$C$50),WORKDAY(M116,-(Setup!$C$13+Setup!$G$31),Setup!$C$39:$C$50))+(111*100+12)/10000000)))</f>
        <v/>
      </c>
      <c r="AD116" t="str">
        <f>IF(N116="","",IF(N116&lt;Setup!$C$5-Setup!$C$6,"",IF(IF(ISNUMBER(Roster!$D116),Setup!$C$32&lt;=Roster!$D116,FALSE),"",IF(OR(IF(Setup!$C$15&lt;=Setup!$C$16,AND(MONTH(N116)&gt;=Setup!$C$15,MONTH(N116)&lt;=Setup!$C$16),OR(MONTH(N116)&gt;=Setup!$C$15,MONTH(N116)&lt;=Setup!$C$16)),IF(Setup!$C$15&lt;=Setup!$C$16,AND(MONTH(WORKDAY(N116,-(Setup!$C$13+Setup!$G$32),Setup!$C$39:$C$50))&gt;=Setup!$C$15,MONTH(WORKDAY(N116,-(Setup!$C$13+Setup!$G$32),Setup!$C$39:$C$50))&lt;=Setup!$C$16),OR(MONTH(WORKDAY(N116,-(Setup!$C$13+Setup!$G$32),Setup!$C$39:$C$50))&gt;=Setup!$C$15,MONTH(WORKDAY(N116,-(Setup!$C$13+Setup!$G$32),Setup!$C$39:$C$50))&lt;=Setup!$C$16))),WORKDAY(N116,-(Setup!$C$13+Setup!$G$32+Setup!$C$14),Setup!$C$39:$C$50),WORKDAY(N116,-(Setup!$C$13+Setup!$G$32),Setup!$C$39:$C$50))+(111*100+13)/10000000)))</f>
        <v/>
      </c>
      <c r="AE116" t="str">
        <f>IF(O116="","",IF(O116&lt;Setup!$C$5-Setup!$C$6,"",IF(IF(ISNUMBER(Roster!$D116),Setup!$C$33&lt;=Roster!$D116,FALSE),"",IF(OR(IF(Setup!$C$15&lt;=Setup!$C$16,AND(MONTH(O116)&gt;=Setup!$C$15,MONTH(O116)&lt;=Setup!$C$16),OR(MONTH(O116)&gt;=Setup!$C$15,MONTH(O116)&lt;=Setup!$C$16)),IF(Setup!$C$15&lt;=Setup!$C$16,AND(MONTH(WORKDAY(O116,-(Setup!$C$13+Setup!$G$33),Setup!$C$39:$C$50))&gt;=Setup!$C$15,MONTH(WORKDAY(O116,-(Setup!$C$13+Setup!$G$33),Setup!$C$39:$C$50))&lt;=Setup!$C$16),OR(MONTH(WORKDAY(O116,-(Setup!$C$13+Setup!$G$33),Setup!$C$39:$C$50))&gt;=Setup!$C$15,MONTH(WORKDAY(O116,-(Setup!$C$13+Setup!$G$33),Setup!$C$39:$C$50))&lt;=Setup!$C$16))),WORKDAY(O116,-(Setup!$C$13+Setup!$G$33+Setup!$C$14),Setup!$C$39:$C$50),WORKDAY(O116,-(Setup!$C$13+Setup!$G$33),Setup!$C$39:$C$50))+(111*100+14)/10000000)))</f>
        <v/>
      </c>
      <c r="AF116" t="str">
        <f>IF(P116="","",IF(P116&lt;Setup!$C$5-Setup!$C$6,"",IF(IF(ISNUMBER(Roster!$D116),Setup!$C$34&lt;=Roster!$D116,FALSE),"",IF(OR(IF(Setup!$C$15&lt;=Setup!$C$16,AND(MONTH(P116)&gt;=Setup!$C$15,MONTH(P116)&lt;=Setup!$C$16),OR(MONTH(P116)&gt;=Setup!$C$15,MONTH(P116)&lt;=Setup!$C$16)),IF(Setup!$C$15&lt;=Setup!$C$16,AND(MONTH(WORKDAY(P116,-(Setup!$C$13+Setup!$G$34),Setup!$C$39:$C$50))&gt;=Setup!$C$15,MONTH(WORKDAY(P116,-(Setup!$C$13+Setup!$G$34),Setup!$C$39:$C$50))&lt;=Setup!$C$16),OR(MONTH(WORKDAY(P116,-(Setup!$C$13+Setup!$G$34),Setup!$C$39:$C$50))&gt;=Setup!$C$15,MONTH(WORKDAY(P116,-(Setup!$C$13+Setup!$G$34),Setup!$C$39:$C$50))&lt;=Setup!$C$16))),WORKDAY(P116,-(Setup!$C$13+Setup!$G$34+Setup!$C$14),Setup!$C$39:$C$50),WORKDAY(P116,-(Setup!$C$13+Setup!$G$34),Setup!$C$39:$C$50))+(111*100+15)/10000000)))</f>
        <v/>
      </c>
      <c r="AH116" t="str">
        <f t="shared" si="9"/>
        <v/>
      </c>
      <c r="AI116" t="str">
        <f t="shared" si="10"/>
        <v/>
      </c>
      <c r="AK116" t="str">
        <f ca="1">IF(111&gt;$AK$2,"",SMALL($R$6:$AF$505,111))</f>
        <v/>
      </c>
      <c r="AL116" t="str">
        <f t="shared" ca="1" si="11"/>
        <v/>
      </c>
      <c r="AM116" t="str">
        <f t="shared" ca="1" si="12"/>
        <v/>
      </c>
      <c r="AN116" t="str">
        <f t="shared" ca="1" si="13"/>
        <v/>
      </c>
      <c r="AP116" t="str">
        <f>IF(ISNUMBER(Roster!$B116),MAX(1,YEAR(Setup!$C$5)-YEAR(Roster!$B116)+IF(EDATE(Roster!$B116,12*(YEAR(Setup!$C$5)-YEAR(Roster!$B116)))&lt;Setup!$C$5,1,0)),"")</f>
        <v/>
      </c>
      <c r="AQ116" s="32" t="str">
        <f>IF(AP116="","",EDATE(Roster!$B116,12*AP116))</f>
        <v/>
      </c>
      <c r="AR116" t="str">
        <f>IF(AQ116="","",IF(AQ116&lt;DATE(YEAR(Setup!$C$5)+1,MONTH(Setup!$C$5),DAY(Setup!$C$5)),AQ116+111/1000,""))</f>
        <v/>
      </c>
      <c r="AS116" t="str">
        <f t="shared" si="14"/>
        <v/>
      </c>
      <c r="AT116" t="str">
        <f>IF(AS116="","",IF(ISNUMBER(Roster!$D116),Roster!$D116&gt;=AP116,FALSE))</f>
        <v/>
      </c>
      <c r="AU116" t="str">
        <f t="shared" si="15"/>
        <v/>
      </c>
      <c r="AV116" t="str">
        <f ca="1">IF(111&gt;$AV$2,"",SMALL($AR$6:$AR$505,111))</f>
        <v/>
      </c>
      <c r="AW116" t="str">
        <f t="shared" ca="1" si="16"/>
        <v/>
      </c>
    </row>
    <row r="117" spans="2:49" x14ac:dyDescent="0.2">
      <c r="B117" s="32" t="str">
        <f>IF(AND(ISNUMBER(Roster!$B117),Setup!$B$20="Yes",ISNUMBER(Setup!$C$20)),EDATE(Roster!$B117,12*Setup!$C$20),"")</f>
        <v/>
      </c>
      <c r="C117" s="32" t="str">
        <f>IF(AND(ISNUMBER(Roster!$B117),Setup!$B$21="Yes",ISNUMBER(Setup!$C$21)),EDATE(Roster!$B117,12*Setup!$C$21),"")</f>
        <v/>
      </c>
      <c r="D117" s="32" t="str">
        <f>IF(AND(ISNUMBER(Roster!$B117),Setup!$B$22="Yes",ISNUMBER(Setup!$C$22)),EDATE(Roster!$B117,12*Setup!$C$22),"")</f>
        <v/>
      </c>
      <c r="E117" s="32" t="str">
        <f>IF(AND(ISNUMBER(Roster!$B117),Setup!$B$23="Yes",ISNUMBER(Setup!$C$23)),EDATE(Roster!$B117,12*Setup!$C$23),"")</f>
        <v/>
      </c>
      <c r="F117" s="32" t="str">
        <f>IF(AND(ISNUMBER(Roster!$B117),Setup!$B$24="Yes",ISNUMBER(Setup!$C$24)),EDATE(Roster!$B117,12*Setup!$C$24),"")</f>
        <v/>
      </c>
      <c r="G117" s="32" t="str">
        <f>IF(AND(ISNUMBER(Roster!$B117),Setup!$B$25="Yes",ISNUMBER(Setup!$C$25)),EDATE(Roster!$B117,12*Setup!$C$25),"")</f>
        <v/>
      </c>
      <c r="H117" s="32" t="str">
        <f>IF(AND(ISNUMBER(Roster!$B117),Setup!$B$26="Yes",ISNUMBER(Setup!$C$26)),EDATE(Roster!$B117,12*Setup!$C$26),"")</f>
        <v/>
      </c>
      <c r="I117" s="32" t="str">
        <f>IF(AND(ISNUMBER(Roster!$B117),Setup!$B$27="Yes",ISNUMBER(Setup!$C$27)),EDATE(Roster!$B117,12*Setup!$C$27),"")</f>
        <v/>
      </c>
      <c r="J117" s="32" t="str">
        <f>IF(AND(ISNUMBER(Roster!$B117),Setup!$B$28="Yes",ISNUMBER(Setup!$C$28)),EDATE(Roster!$B117,12*Setup!$C$28),"")</f>
        <v/>
      </c>
      <c r="K117" s="32" t="str">
        <f>IF(AND(ISNUMBER(Roster!$B117),Setup!$B$29="Yes",ISNUMBER(Setup!$C$29)),EDATE(Roster!$B117,12*Setup!$C$29),"")</f>
        <v/>
      </c>
      <c r="L117" s="32" t="str">
        <f>IF(AND(ISNUMBER(Roster!$B117),Setup!$B$30="Yes",ISNUMBER(Setup!$C$30)),EDATE(Roster!$B117,12*Setup!$C$30),"")</f>
        <v/>
      </c>
      <c r="M117" s="32" t="str">
        <f>IF(AND(ISNUMBER(Roster!$B117),Setup!$B$31="Yes",ISNUMBER(Setup!$C$31)),EDATE(Roster!$B117,12*Setup!$C$31),"")</f>
        <v/>
      </c>
      <c r="N117" s="32" t="str">
        <f>IF(AND(ISNUMBER(Roster!$B117),Setup!$B$32="Yes",ISNUMBER(Setup!$C$32)),EDATE(Roster!$B117,12*Setup!$C$32),"")</f>
        <v/>
      </c>
      <c r="O117" s="32" t="str">
        <f>IF(AND(ISNUMBER(Roster!$B117),Setup!$B$33="Yes",ISNUMBER(Setup!$C$33)),EDATE(Roster!$B117,12*Setup!$C$33),"")</f>
        <v/>
      </c>
      <c r="P117" s="32" t="str">
        <f>IF(AND(ISNUMBER(Roster!$B117),Setup!$B$34="Yes",ISNUMBER(Setup!$C$34)),EDATE(Roster!$B117,12*Setup!$C$34),"")</f>
        <v/>
      </c>
      <c r="R117" t="str">
        <f>IF(B117="","",IF(B117&lt;Setup!$C$5-Setup!$C$6,"",IF(IF(ISNUMBER(Roster!$D117),Setup!$C$20&lt;=Roster!$D117,FALSE),"",IF(OR(IF(Setup!$C$15&lt;=Setup!$C$16,AND(MONTH(B117)&gt;=Setup!$C$15,MONTH(B117)&lt;=Setup!$C$16),OR(MONTH(B117)&gt;=Setup!$C$15,MONTH(B117)&lt;=Setup!$C$16)),IF(Setup!$C$15&lt;=Setup!$C$16,AND(MONTH(WORKDAY(B117,-(Setup!$C$13+Setup!$G$20),Setup!$C$39:$C$50))&gt;=Setup!$C$15,MONTH(WORKDAY(B117,-(Setup!$C$13+Setup!$G$20),Setup!$C$39:$C$50))&lt;=Setup!$C$16),OR(MONTH(WORKDAY(B117,-(Setup!$C$13+Setup!$G$20),Setup!$C$39:$C$50))&gt;=Setup!$C$15,MONTH(WORKDAY(B117,-(Setup!$C$13+Setup!$G$20),Setup!$C$39:$C$50))&lt;=Setup!$C$16))),WORKDAY(B117,-(Setup!$C$13+Setup!$G$20+Setup!$C$14),Setup!$C$39:$C$50),WORKDAY(B117,-(Setup!$C$13+Setup!$G$20),Setup!$C$39:$C$50))+(112*100+1)/10000000)))</f>
        <v/>
      </c>
      <c r="S117" t="str">
        <f>IF(C117="","",IF(C117&lt;Setup!$C$5-Setup!$C$6,"",IF(IF(ISNUMBER(Roster!$D117),Setup!$C$21&lt;=Roster!$D117,FALSE),"",IF(OR(IF(Setup!$C$15&lt;=Setup!$C$16,AND(MONTH(C117)&gt;=Setup!$C$15,MONTH(C117)&lt;=Setup!$C$16),OR(MONTH(C117)&gt;=Setup!$C$15,MONTH(C117)&lt;=Setup!$C$16)),IF(Setup!$C$15&lt;=Setup!$C$16,AND(MONTH(WORKDAY(C117,-(Setup!$C$13+Setup!$G$21),Setup!$C$39:$C$50))&gt;=Setup!$C$15,MONTH(WORKDAY(C117,-(Setup!$C$13+Setup!$G$21),Setup!$C$39:$C$50))&lt;=Setup!$C$16),OR(MONTH(WORKDAY(C117,-(Setup!$C$13+Setup!$G$21),Setup!$C$39:$C$50))&gt;=Setup!$C$15,MONTH(WORKDAY(C117,-(Setup!$C$13+Setup!$G$21),Setup!$C$39:$C$50))&lt;=Setup!$C$16))),WORKDAY(C117,-(Setup!$C$13+Setup!$G$21+Setup!$C$14),Setup!$C$39:$C$50),WORKDAY(C117,-(Setup!$C$13+Setup!$G$21),Setup!$C$39:$C$50))+(112*100+2)/10000000)))</f>
        <v/>
      </c>
      <c r="T117" t="str">
        <f>IF(D117="","",IF(D117&lt;Setup!$C$5-Setup!$C$6,"",IF(IF(ISNUMBER(Roster!$D117),Setup!$C$22&lt;=Roster!$D117,FALSE),"",IF(OR(IF(Setup!$C$15&lt;=Setup!$C$16,AND(MONTH(D117)&gt;=Setup!$C$15,MONTH(D117)&lt;=Setup!$C$16),OR(MONTH(D117)&gt;=Setup!$C$15,MONTH(D117)&lt;=Setup!$C$16)),IF(Setup!$C$15&lt;=Setup!$C$16,AND(MONTH(WORKDAY(D117,-(Setup!$C$13+Setup!$G$22),Setup!$C$39:$C$50))&gt;=Setup!$C$15,MONTH(WORKDAY(D117,-(Setup!$C$13+Setup!$G$22),Setup!$C$39:$C$50))&lt;=Setup!$C$16),OR(MONTH(WORKDAY(D117,-(Setup!$C$13+Setup!$G$22),Setup!$C$39:$C$50))&gt;=Setup!$C$15,MONTH(WORKDAY(D117,-(Setup!$C$13+Setup!$G$22),Setup!$C$39:$C$50))&lt;=Setup!$C$16))),WORKDAY(D117,-(Setup!$C$13+Setup!$G$22+Setup!$C$14),Setup!$C$39:$C$50),WORKDAY(D117,-(Setup!$C$13+Setup!$G$22),Setup!$C$39:$C$50))+(112*100+3)/10000000)))</f>
        <v/>
      </c>
      <c r="U117" t="str">
        <f>IF(E117="","",IF(E117&lt;Setup!$C$5-Setup!$C$6,"",IF(IF(ISNUMBER(Roster!$D117),Setup!$C$23&lt;=Roster!$D117,FALSE),"",IF(OR(IF(Setup!$C$15&lt;=Setup!$C$16,AND(MONTH(E117)&gt;=Setup!$C$15,MONTH(E117)&lt;=Setup!$C$16),OR(MONTH(E117)&gt;=Setup!$C$15,MONTH(E117)&lt;=Setup!$C$16)),IF(Setup!$C$15&lt;=Setup!$C$16,AND(MONTH(WORKDAY(E117,-(Setup!$C$13+Setup!$G$23),Setup!$C$39:$C$50))&gt;=Setup!$C$15,MONTH(WORKDAY(E117,-(Setup!$C$13+Setup!$G$23),Setup!$C$39:$C$50))&lt;=Setup!$C$16),OR(MONTH(WORKDAY(E117,-(Setup!$C$13+Setup!$G$23),Setup!$C$39:$C$50))&gt;=Setup!$C$15,MONTH(WORKDAY(E117,-(Setup!$C$13+Setup!$G$23),Setup!$C$39:$C$50))&lt;=Setup!$C$16))),WORKDAY(E117,-(Setup!$C$13+Setup!$G$23+Setup!$C$14),Setup!$C$39:$C$50),WORKDAY(E117,-(Setup!$C$13+Setup!$G$23),Setup!$C$39:$C$50))+(112*100+4)/10000000)))</f>
        <v/>
      </c>
      <c r="V117" t="str">
        <f>IF(F117="","",IF(F117&lt;Setup!$C$5-Setup!$C$6,"",IF(IF(ISNUMBER(Roster!$D117),Setup!$C$24&lt;=Roster!$D117,FALSE),"",IF(OR(IF(Setup!$C$15&lt;=Setup!$C$16,AND(MONTH(F117)&gt;=Setup!$C$15,MONTH(F117)&lt;=Setup!$C$16),OR(MONTH(F117)&gt;=Setup!$C$15,MONTH(F117)&lt;=Setup!$C$16)),IF(Setup!$C$15&lt;=Setup!$C$16,AND(MONTH(WORKDAY(F117,-(Setup!$C$13+Setup!$G$24),Setup!$C$39:$C$50))&gt;=Setup!$C$15,MONTH(WORKDAY(F117,-(Setup!$C$13+Setup!$G$24),Setup!$C$39:$C$50))&lt;=Setup!$C$16),OR(MONTH(WORKDAY(F117,-(Setup!$C$13+Setup!$G$24),Setup!$C$39:$C$50))&gt;=Setup!$C$15,MONTH(WORKDAY(F117,-(Setup!$C$13+Setup!$G$24),Setup!$C$39:$C$50))&lt;=Setup!$C$16))),WORKDAY(F117,-(Setup!$C$13+Setup!$G$24+Setup!$C$14),Setup!$C$39:$C$50),WORKDAY(F117,-(Setup!$C$13+Setup!$G$24),Setup!$C$39:$C$50))+(112*100+5)/10000000)))</f>
        <v/>
      </c>
      <c r="W117" t="str">
        <f>IF(G117="","",IF(G117&lt;Setup!$C$5-Setup!$C$6,"",IF(IF(ISNUMBER(Roster!$D117),Setup!$C$25&lt;=Roster!$D117,FALSE),"",IF(OR(IF(Setup!$C$15&lt;=Setup!$C$16,AND(MONTH(G117)&gt;=Setup!$C$15,MONTH(G117)&lt;=Setup!$C$16),OR(MONTH(G117)&gt;=Setup!$C$15,MONTH(G117)&lt;=Setup!$C$16)),IF(Setup!$C$15&lt;=Setup!$C$16,AND(MONTH(WORKDAY(G117,-(Setup!$C$13+Setup!$G$25),Setup!$C$39:$C$50))&gt;=Setup!$C$15,MONTH(WORKDAY(G117,-(Setup!$C$13+Setup!$G$25),Setup!$C$39:$C$50))&lt;=Setup!$C$16),OR(MONTH(WORKDAY(G117,-(Setup!$C$13+Setup!$G$25),Setup!$C$39:$C$50))&gt;=Setup!$C$15,MONTH(WORKDAY(G117,-(Setup!$C$13+Setup!$G$25),Setup!$C$39:$C$50))&lt;=Setup!$C$16))),WORKDAY(G117,-(Setup!$C$13+Setup!$G$25+Setup!$C$14),Setup!$C$39:$C$50),WORKDAY(G117,-(Setup!$C$13+Setup!$G$25),Setup!$C$39:$C$50))+(112*100+6)/10000000)))</f>
        <v/>
      </c>
      <c r="X117" t="str">
        <f>IF(H117="","",IF(H117&lt;Setup!$C$5-Setup!$C$6,"",IF(IF(ISNUMBER(Roster!$D117),Setup!$C$26&lt;=Roster!$D117,FALSE),"",IF(OR(IF(Setup!$C$15&lt;=Setup!$C$16,AND(MONTH(H117)&gt;=Setup!$C$15,MONTH(H117)&lt;=Setup!$C$16),OR(MONTH(H117)&gt;=Setup!$C$15,MONTH(H117)&lt;=Setup!$C$16)),IF(Setup!$C$15&lt;=Setup!$C$16,AND(MONTH(WORKDAY(H117,-(Setup!$C$13+Setup!$G$26),Setup!$C$39:$C$50))&gt;=Setup!$C$15,MONTH(WORKDAY(H117,-(Setup!$C$13+Setup!$G$26),Setup!$C$39:$C$50))&lt;=Setup!$C$16),OR(MONTH(WORKDAY(H117,-(Setup!$C$13+Setup!$G$26),Setup!$C$39:$C$50))&gt;=Setup!$C$15,MONTH(WORKDAY(H117,-(Setup!$C$13+Setup!$G$26),Setup!$C$39:$C$50))&lt;=Setup!$C$16))),WORKDAY(H117,-(Setup!$C$13+Setup!$G$26+Setup!$C$14),Setup!$C$39:$C$50),WORKDAY(H117,-(Setup!$C$13+Setup!$G$26),Setup!$C$39:$C$50))+(112*100+7)/10000000)))</f>
        <v/>
      </c>
      <c r="Y117" t="str">
        <f>IF(I117="","",IF(I117&lt;Setup!$C$5-Setup!$C$6,"",IF(IF(ISNUMBER(Roster!$D117),Setup!$C$27&lt;=Roster!$D117,FALSE),"",IF(OR(IF(Setup!$C$15&lt;=Setup!$C$16,AND(MONTH(I117)&gt;=Setup!$C$15,MONTH(I117)&lt;=Setup!$C$16),OR(MONTH(I117)&gt;=Setup!$C$15,MONTH(I117)&lt;=Setup!$C$16)),IF(Setup!$C$15&lt;=Setup!$C$16,AND(MONTH(WORKDAY(I117,-(Setup!$C$13+Setup!$G$27),Setup!$C$39:$C$50))&gt;=Setup!$C$15,MONTH(WORKDAY(I117,-(Setup!$C$13+Setup!$G$27),Setup!$C$39:$C$50))&lt;=Setup!$C$16),OR(MONTH(WORKDAY(I117,-(Setup!$C$13+Setup!$G$27),Setup!$C$39:$C$50))&gt;=Setup!$C$15,MONTH(WORKDAY(I117,-(Setup!$C$13+Setup!$G$27),Setup!$C$39:$C$50))&lt;=Setup!$C$16))),WORKDAY(I117,-(Setup!$C$13+Setup!$G$27+Setup!$C$14),Setup!$C$39:$C$50),WORKDAY(I117,-(Setup!$C$13+Setup!$G$27),Setup!$C$39:$C$50))+(112*100+8)/10000000)))</f>
        <v/>
      </c>
      <c r="Z117" t="str">
        <f>IF(J117="","",IF(J117&lt;Setup!$C$5-Setup!$C$6,"",IF(IF(ISNUMBER(Roster!$D117),Setup!$C$28&lt;=Roster!$D117,FALSE),"",IF(OR(IF(Setup!$C$15&lt;=Setup!$C$16,AND(MONTH(J117)&gt;=Setup!$C$15,MONTH(J117)&lt;=Setup!$C$16),OR(MONTH(J117)&gt;=Setup!$C$15,MONTH(J117)&lt;=Setup!$C$16)),IF(Setup!$C$15&lt;=Setup!$C$16,AND(MONTH(WORKDAY(J117,-(Setup!$C$13+Setup!$G$28),Setup!$C$39:$C$50))&gt;=Setup!$C$15,MONTH(WORKDAY(J117,-(Setup!$C$13+Setup!$G$28),Setup!$C$39:$C$50))&lt;=Setup!$C$16),OR(MONTH(WORKDAY(J117,-(Setup!$C$13+Setup!$G$28),Setup!$C$39:$C$50))&gt;=Setup!$C$15,MONTH(WORKDAY(J117,-(Setup!$C$13+Setup!$G$28),Setup!$C$39:$C$50))&lt;=Setup!$C$16))),WORKDAY(J117,-(Setup!$C$13+Setup!$G$28+Setup!$C$14),Setup!$C$39:$C$50),WORKDAY(J117,-(Setup!$C$13+Setup!$G$28),Setup!$C$39:$C$50))+(112*100+9)/10000000)))</f>
        <v/>
      </c>
      <c r="AA117" t="str">
        <f>IF(K117="","",IF(K117&lt;Setup!$C$5-Setup!$C$6,"",IF(IF(ISNUMBER(Roster!$D117),Setup!$C$29&lt;=Roster!$D117,FALSE),"",IF(OR(IF(Setup!$C$15&lt;=Setup!$C$16,AND(MONTH(K117)&gt;=Setup!$C$15,MONTH(K117)&lt;=Setup!$C$16),OR(MONTH(K117)&gt;=Setup!$C$15,MONTH(K117)&lt;=Setup!$C$16)),IF(Setup!$C$15&lt;=Setup!$C$16,AND(MONTH(WORKDAY(K117,-(Setup!$C$13+Setup!$G$29),Setup!$C$39:$C$50))&gt;=Setup!$C$15,MONTH(WORKDAY(K117,-(Setup!$C$13+Setup!$G$29),Setup!$C$39:$C$50))&lt;=Setup!$C$16),OR(MONTH(WORKDAY(K117,-(Setup!$C$13+Setup!$G$29),Setup!$C$39:$C$50))&gt;=Setup!$C$15,MONTH(WORKDAY(K117,-(Setup!$C$13+Setup!$G$29),Setup!$C$39:$C$50))&lt;=Setup!$C$16))),WORKDAY(K117,-(Setup!$C$13+Setup!$G$29+Setup!$C$14),Setup!$C$39:$C$50),WORKDAY(K117,-(Setup!$C$13+Setup!$G$29),Setup!$C$39:$C$50))+(112*100+10)/10000000)))</f>
        <v/>
      </c>
      <c r="AB117" t="str">
        <f>IF(L117="","",IF(L117&lt;Setup!$C$5-Setup!$C$6,"",IF(IF(ISNUMBER(Roster!$D117),Setup!$C$30&lt;=Roster!$D117,FALSE),"",IF(OR(IF(Setup!$C$15&lt;=Setup!$C$16,AND(MONTH(L117)&gt;=Setup!$C$15,MONTH(L117)&lt;=Setup!$C$16),OR(MONTH(L117)&gt;=Setup!$C$15,MONTH(L117)&lt;=Setup!$C$16)),IF(Setup!$C$15&lt;=Setup!$C$16,AND(MONTH(WORKDAY(L117,-(Setup!$C$13+Setup!$G$30),Setup!$C$39:$C$50))&gt;=Setup!$C$15,MONTH(WORKDAY(L117,-(Setup!$C$13+Setup!$G$30),Setup!$C$39:$C$50))&lt;=Setup!$C$16),OR(MONTH(WORKDAY(L117,-(Setup!$C$13+Setup!$G$30),Setup!$C$39:$C$50))&gt;=Setup!$C$15,MONTH(WORKDAY(L117,-(Setup!$C$13+Setup!$G$30),Setup!$C$39:$C$50))&lt;=Setup!$C$16))),WORKDAY(L117,-(Setup!$C$13+Setup!$G$30+Setup!$C$14),Setup!$C$39:$C$50),WORKDAY(L117,-(Setup!$C$13+Setup!$G$30),Setup!$C$39:$C$50))+(112*100+11)/10000000)))</f>
        <v/>
      </c>
      <c r="AC117" t="str">
        <f>IF(M117="","",IF(M117&lt;Setup!$C$5-Setup!$C$6,"",IF(IF(ISNUMBER(Roster!$D117),Setup!$C$31&lt;=Roster!$D117,FALSE),"",IF(OR(IF(Setup!$C$15&lt;=Setup!$C$16,AND(MONTH(M117)&gt;=Setup!$C$15,MONTH(M117)&lt;=Setup!$C$16),OR(MONTH(M117)&gt;=Setup!$C$15,MONTH(M117)&lt;=Setup!$C$16)),IF(Setup!$C$15&lt;=Setup!$C$16,AND(MONTH(WORKDAY(M117,-(Setup!$C$13+Setup!$G$31),Setup!$C$39:$C$50))&gt;=Setup!$C$15,MONTH(WORKDAY(M117,-(Setup!$C$13+Setup!$G$31),Setup!$C$39:$C$50))&lt;=Setup!$C$16),OR(MONTH(WORKDAY(M117,-(Setup!$C$13+Setup!$G$31),Setup!$C$39:$C$50))&gt;=Setup!$C$15,MONTH(WORKDAY(M117,-(Setup!$C$13+Setup!$G$31),Setup!$C$39:$C$50))&lt;=Setup!$C$16))),WORKDAY(M117,-(Setup!$C$13+Setup!$G$31+Setup!$C$14),Setup!$C$39:$C$50),WORKDAY(M117,-(Setup!$C$13+Setup!$G$31),Setup!$C$39:$C$50))+(112*100+12)/10000000)))</f>
        <v/>
      </c>
      <c r="AD117" t="str">
        <f>IF(N117="","",IF(N117&lt;Setup!$C$5-Setup!$C$6,"",IF(IF(ISNUMBER(Roster!$D117),Setup!$C$32&lt;=Roster!$D117,FALSE),"",IF(OR(IF(Setup!$C$15&lt;=Setup!$C$16,AND(MONTH(N117)&gt;=Setup!$C$15,MONTH(N117)&lt;=Setup!$C$16),OR(MONTH(N117)&gt;=Setup!$C$15,MONTH(N117)&lt;=Setup!$C$16)),IF(Setup!$C$15&lt;=Setup!$C$16,AND(MONTH(WORKDAY(N117,-(Setup!$C$13+Setup!$G$32),Setup!$C$39:$C$50))&gt;=Setup!$C$15,MONTH(WORKDAY(N117,-(Setup!$C$13+Setup!$G$32),Setup!$C$39:$C$50))&lt;=Setup!$C$16),OR(MONTH(WORKDAY(N117,-(Setup!$C$13+Setup!$G$32),Setup!$C$39:$C$50))&gt;=Setup!$C$15,MONTH(WORKDAY(N117,-(Setup!$C$13+Setup!$G$32),Setup!$C$39:$C$50))&lt;=Setup!$C$16))),WORKDAY(N117,-(Setup!$C$13+Setup!$G$32+Setup!$C$14),Setup!$C$39:$C$50),WORKDAY(N117,-(Setup!$C$13+Setup!$G$32),Setup!$C$39:$C$50))+(112*100+13)/10000000)))</f>
        <v/>
      </c>
      <c r="AE117" t="str">
        <f>IF(O117="","",IF(O117&lt;Setup!$C$5-Setup!$C$6,"",IF(IF(ISNUMBER(Roster!$D117),Setup!$C$33&lt;=Roster!$D117,FALSE),"",IF(OR(IF(Setup!$C$15&lt;=Setup!$C$16,AND(MONTH(O117)&gt;=Setup!$C$15,MONTH(O117)&lt;=Setup!$C$16),OR(MONTH(O117)&gt;=Setup!$C$15,MONTH(O117)&lt;=Setup!$C$16)),IF(Setup!$C$15&lt;=Setup!$C$16,AND(MONTH(WORKDAY(O117,-(Setup!$C$13+Setup!$G$33),Setup!$C$39:$C$50))&gt;=Setup!$C$15,MONTH(WORKDAY(O117,-(Setup!$C$13+Setup!$G$33),Setup!$C$39:$C$50))&lt;=Setup!$C$16),OR(MONTH(WORKDAY(O117,-(Setup!$C$13+Setup!$G$33),Setup!$C$39:$C$50))&gt;=Setup!$C$15,MONTH(WORKDAY(O117,-(Setup!$C$13+Setup!$G$33),Setup!$C$39:$C$50))&lt;=Setup!$C$16))),WORKDAY(O117,-(Setup!$C$13+Setup!$G$33+Setup!$C$14),Setup!$C$39:$C$50),WORKDAY(O117,-(Setup!$C$13+Setup!$G$33),Setup!$C$39:$C$50))+(112*100+14)/10000000)))</f>
        <v/>
      </c>
      <c r="AF117" t="str">
        <f>IF(P117="","",IF(P117&lt;Setup!$C$5-Setup!$C$6,"",IF(IF(ISNUMBER(Roster!$D117),Setup!$C$34&lt;=Roster!$D117,FALSE),"",IF(OR(IF(Setup!$C$15&lt;=Setup!$C$16,AND(MONTH(P117)&gt;=Setup!$C$15,MONTH(P117)&lt;=Setup!$C$16),OR(MONTH(P117)&gt;=Setup!$C$15,MONTH(P117)&lt;=Setup!$C$16)),IF(Setup!$C$15&lt;=Setup!$C$16,AND(MONTH(WORKDAY(P117,-(Setup!$C$13+Setup!$G$34),Setup!$C$39:$C$50))&gt;=Setup!$C$15,MONTH(WORKDAY(P117,-(Setup!$C$13+Setup!$G$34),Setup!$C$39:$C$50))&lt;=Setup!$C$16),OR(MONTH(WORKDAY(P117,-(Setup!$C$13+Setup!$G$34),Setup!$C$39:$C$50))&gt;=Setup!$C$15,MONTH(WORKDAY(P117,-(Setup!$C$13+Setup!$G$34),Setup!$C$39:$C$50))&lt;=Setup!$C$16))),WORKDAY(P117,-(Setup!$C$13+Setup!$G$34+Setup!$C$14),Setup!$C$39:$C$50),WORKDAY(P117,-(Setup!$C$13+Setup!$G$34),Setup!$C$39:$C$50))+(112*100+15)/10000000)))</f>
        <v/>
      </c>
      <c r="AH117" t="str">
        <f t="shared" si="9"/>
        <v/>
      </c>
      <c r="AI117" t="str">
        <f t="shared" si="10"/>
        <v/>
      </c>
      <c r="AK117" t="str">
        <f ca="1">IF(112&gt;$AK$2,"",SMALL($R$6:$AF$505,112))</f>
        <v/>
      </c>
      <c r="AL117" t="str">
        <f t="shared" ca="1" si="11"/>
        <v/>
      </c>
      <c r="AM117" t="str">
        <f t="shared" ca="1" si="12"/>
        <v/>
      </c>
      <c r="AN117" t="str">
        <f t="shared" ca="1" si="13"/>
        <v/>
      </c>
      <c r="AP117" t="str">
        <f>IF(ISNUMBER(Roster!$B117),MAX(1,YEAR(Setup!$C$5)-YEAR(Roster!$B117)+IF(EDATE(Roster!$B117,12*(YEAR(Setup!$C$5)-YEAR(Roster!$B117)))&lt;Setup!$C$5,1,0)),"")</f>
        <v/>
      </c>
      <c r="AQ117" s="32" t="str">
        <f>IF(AP117="","",EDATE(Roster!$B117,12*AP117))</f>
        <v/>
      </c>
      <c r="AR117" t="str">
        <f>IF(AQ117="","",IF(AQ117&lt;DATE(YEAR(Setup!$C$5)+1,MONTH(Setup!$C$5),DAY(Setup!$C$5)),AQ117+112/1000,""))</f>
        <v/>
      </c>
      <c r="AS117" t="str">
        <f t="shared" si="14"/>
        <v/>
      </c>
      <c r="AT117" t="str">
        <f>IF(AS117="","",IF(ISNUMBER(Roster!$D117),Roster!$D117&gt;=AP117,FALSE))</f>
        <v/>
      </c>
      <c r="AU117" t="str">
        <f t="shared" si="15"/>
        <v/>
      </c>
      <c r="AV117" t="str">
        <f ca="1">IF(112&gt;$AV$2,"",SMALL($AR$6:$AR$505,112))</f>
        <v/>
      </c>
      <c r="AW117" t="str">
        <f t="shared" ca="1" si="16"/>
        <v/>
      </c>
    </row>
    <row r="118" spans="2:49" x14ac:dyDescent="0.2">
      <c r="B118" s="32" t="str">
        <f>IF(AND(ISNUMBER(Roster!$B118),Setup!$B$20="Yes",ISNUMBER(Setup!$C$20)),EDATE(Roster!$B118,12*Setup!$C$20),"")</f>
        <v/>
      </c>
      <c r="C118" s="32" t="str">
        <f>IF(AND(ISNUMBER(Roster!$B118),Setup!$B$21="Yes",ISNUMBER(Setup!$C$21)),EDATE(Roster!$B118,12*Setup!$C$21),"")</f>
        <v/>
      </c>
      <c r="D118" s="32" t="str">
        <f>IF(AND(ISNUMBER(Roster!$B118),Setup!$B$22="Yes",ISNUMBER(Setup!$C$22)),EDATE(Roster!$B118,12*Setup!$C$22),"")</f>
        <v/>
      </c>
      <c r="E118" s="32" t="str">
        <f>IF(AND(ISNUMBER(Roster!$B118),Setup!$B$23="Yes",ISNUMBER(Setup!$C$23)),EDATE(Roster!$B118,12*Setup!$C$23),"")</f>
        <v/>
      </c>
      <c r="F118" s="32" t="str">
        <f>IF(AND(ISNUMBER(Roster!$B118),Setup!$B$24="Yes",ISNUMBER(Setup!$C$24)),EDATE(Roster!$B118,12*Setup!$C$24),"")</f>
        <v/>
      </c>
      <c r="G118" s="32" t="str">
        <f>IF(AND(ISNUMBER(Roster!$B118),Setup!$B$25="Yes",ISNUMBER(Setup!$C$25)),EDATE(Roster!$B118,12*Setup!$C$25),"")</f>
        <v/>
      </c>
      <c r="H118" s="32" t="str">
        <f>IF(AND(ISNUMBER(Roster!$B118),Setup!$B$26="Yes",ISNUMBER(Setup!$C$26)),EDATE(Roster!$B118,12*Setup!$C$26),"")</f>
        <v/>
      </c>
      <c r="I118" s="32" t="str">
        <f>IF(AND(ISNUMBER(Roster!$B118),Setup!$B$27="Yes",ISNUMBER(Setup!$C$27)),EDATE(Roster!$B118,12*Setup!$C$27),"")</f>
        <v/>
      </c>
      <c r="J118" s="32" t="str">
        <f>IF(AND(ISNUMBER(Roster!$B118),Setup!$B$28="Yes",ISNUMBER(Setup!$C$28)),EDATE(Roster!$B118,12*Setup!$C$28),"")</f>
        <v/>
      </c>
      <c r="K118" s="32" t="str">
        <f>IF(AND(ISNUMBER(Roster!$B118),Setup!$B$29="Yes",ISNUMBER(Setup!$C$29)),EDATE(Roster!$B118,12*Setup!$C$29),"")</f>
        <v/>
      </c>
      <c r="L118" s="32" t="str">
        <f>IF(AND(ISNUMBER(Roster!$B118),Setup!$B$30="Yes",ISNUMBER(Setup!$C$30)),EDATE(Roster!$B118,12*Setup!$C$30),"")</f>
        <v/>
      </c>
      <c r="M118" s="32" t="str">
        <f>IF(AND(ISNUMBER(Roster!$B118),Setup!$B$31="Yes",ISNUMBER(Setup!$C$31)),EDATE(Roster!$B118,12*Setup!$C$31),"")</f>
        <v/>
      </c>
      <c r="N118" s="32" t="str">
        <f>IF(AND(ISNUMBER(Roster!$B118),Setup!$B$32="Yes",ISNUMBER(Setup!$C$32)),EDATE(Roster!$B118,12*Setup!$C$32),"")</f>
        <v/>
      </c>
      <c r="O118" s="32" t="str">
        <f>IF(AND(ISNUMBER(Roster!$B118),Setup!$B$33="Yes",ISNUMBER(Setup!$C$33)),EDATE(Roster!$B118,12*Setup!$C$33),"")</f>
        <v/>
      </c>
      <c r="P118" s="32" t="str">
        <f>IF(AND(ISNUMBER(Roster!$B118),Setup!$B$34="Yes",ISNUMBER(Setup!$C$34)),EDATE(Roster!$B118,12*Setup!$C$34),"")</f>
        <v/>
      </c>
      <c r="R118" t="str">
        <f>IF(B118="","",IF(B118&lt;Setup!$C$5-Setup!$C$6,"",IF(IF(ISNUMBER(Roster!$D118),Setup!$C$20&lt;=Roster!$D118,FALSE),"",IF(OR(IF(Setup!$C$15&lt;=Setup!$C$16,AND(MONTH(B118)&gt;=Setup!$C$15,MONTH(B118)&lt;=Setup!$C$16),OR(MONTH(B118)&gt;=Setup!$C$15,MONTH(B118)&lt;=Setup!$C$16)),IF(Setup!$C$15&lt;=Setup!$C$16,AND(MONTH(WORKDAY(B118,-(Setup!$C$13+Setup!$G$20),Setup!$C$39:$C$50))&gt;=Setup!$C$15,MONTH(WORKDAY(B118,-(Setup!$C$13+Setup!$G$20),Setup!$C$39:$C$50))&lt;=Setup!$C$16),OR(MONTH(WORKDAY(B118,-(Setup!$C$13+Setup!$G$20),Setup!$C$39:$C$50))&gt;=Setup!$C$15,MONTH(WORKDAY(B118,-(Setup!$C$13+Setup!$G$20),Setup!$C$39:$C$50))&lt;=Setup!$C$16))),WORKDAY(B118,-(Setup!$C$13+Setup!$G$20+Setup!$C$14),Setup!$C$39:$C$50),WORKDAY(B118,-(Setup!$C$13+Setup!$G$20),Setup!$C$39:$C$50))+(113*100+1)/10000000)))</f>
        <v/>
      </c>
      <c r="S118" t="str">
        <f>IF(C118="","",IF(C118&lt;Setup!$C$5-Setup!$C$6,"",IF(IF(ISNUMBER(Roster!$D118),Setup!$C$21&lt;=Roster!$D118,FALSE),"",IF(OR(IF(Setup!$C$15&lt;=Setup!$C$16,AND(MONTH(C118)&gt;=Setup!$C$15,MONTH(C118)&lt;=Setup!$C$16),OR(MONTH(C118)&gt;=Setup!$C$15,MONTH(C118)&lt;=Setup!$C$16)),IF(Setup!$C$15&lt;=Setup!$C$16,AND(MONTH(WORKDAY(C118,-(Setup!$C$13+Setup!$G$21),Setup!$C$39:$C$50))&gt;=Setup!$C$15,MONTH(WORKDAY(C118,-(Setup!$C$13+Setup!$G$21),Setup!$C$39:$C$50))&lt;=Setup!$C$16),OR(MONTH(WORKDAY(C118,-(Setup!$C$13+Setup!$G$21),Setup!$C$39:$C$50))&gt;=Setup!$C$15,MONTH(WORKDAY(C118,-(Setup!$C$13+Setup!$G$21),Setup!$C$39:$C$50))&lt;=Setup!$C$16))),WORKDAY(C118,-(Setup!$C$13+Setup!$G$21+Setup!$C$14),Setup!$C$39:$C$50),WORKDAY(C118,-(Setup!$C$13+Setup!$G$21),Setup!$C$39:$C$50))+(113*100+2)/10000000)))</f>
        <v/>
      </c>
      <c r="T118" t="str">
        <f>IF(D118="","",IF(D118&lt;Setup!$C$5-Setup!$C$6,"",IF(IF(ISNUMBER(Roster!$D118),Setup!$C$22&lt;=Roster!$D118,FALSE),"",IF(OR(IF(Setup!$C$15&lt;=Setup!$C$16,AND(MONTH(D118)&gt;=Setup!$C$15,MONTH(D118)&lt;=Setup!$C$16),OR(MONTH(D118)&gt;=Setup!$C$15,MONTH(D118)&lt;=Setup!$C$16)),IF(Setup!$C$15&lt;=Setup!$C$16,AND(MONTH(WORKDAY(D118,-(Setup!$C$13+Setup!$G$22),Setup!$C$39:$C$50))&gt;=Setup!$C$15,MONTH(WORKDAY(D118,-(Setup!$C$13+Setup!$G$22),Setup!$C$39:$C$50))&lt;=Setup!$C$16),OR(MONTH(WORKDAY(D118,-(Setup!$C$13+Setup!$G$22),Setup!$C$39:$C$50))&gt;=Setup!$C$15,MONTH(WORKDAY(D118,-(Setup!$C$13+Setup!$G$22),Setup!$C$39:$C$50))&lt;=Setup!$C$16))),WORKDAY(D118,-(Setup!$C$13+Setup!$G$22+Setup!$C$14),Setup!$C$39:$C$50),WORKDAY(D118,-(Setup!$C$13+Setup!$G$22),Setup!$C$39:$C$50))+(113*100+3)/10000000)))</f>
        <v/>
      </c>
      <c r="U118" t="str">
        <f>IF(E118="","",IF(E118&lt;Setup!$C$5-Setup!$C$6,"",IF(IF(ISNUMBER(Roster!$D118),Setup!$C$23&lt;=Roster!$D118,FALSE),"",IF(OR(IF(Setup!$C$15&lt;=Setup!$C$16,AND(MONTH(E118)&gt;=Setup!$C$15,MONTH(E118)&lt;=Setup!$C$16),OR(MONTH(E118)&gt;=Setup!$C$15,MONTH(E118)&lt;=Setup!$C$16)),IF(Setup!$C$15&lt;=Setup!$C$16,AND(MONTH(WORKDAY(E118,-(Setup!$C$13+Setup!$G$23),Setup!$C$39:$C$50))&gt;=Setup!$C$15,MONTH(WORKDAY(E118,-(Setup!$C$13+Setup!$G$23),Setup!$C$39:$C$50))&lt;=Setup!$C$16),OR(MONTH(WORKDAY(E118,-(Setup!$C$13+Setup!$G$23),Setup!$C$39:$C$50))&gt;=Setup!$C$15,MONTH(WORKDAY(E118,-(Setup!$C$13+Setup!$G$23),Setup!$C$39:$C$50))&lt;=Setup!$C$16))),WORKDAY(E118,-(Setup!$C$13+Setup!$G$23+Setup!$C$14),Setup!$C$39:$C$50),WORKDAY(E118,-(Setup!$C$13+Setup!$G$23),Setup!$C$39:$C$50))+(113*100+4)/10000000)))</f>
        <v/>
      </c>
      <c r="V118" t="str">
        <f>IF(F118="","",IF(F118&lt;Setup!$C$5-Setup!$C$6,"",IF(IF(ISNUMBER(Roster!$D118),Setup!$C$24&lt;=Roster!$D118,FALSE),"",IF(OR(IF(Setup!$C$15&lt;=Setup!$C$16,AND(MONTH(F118)&gt;=Setup!$C$15,MONTH(F118)&lt;=Setup!$C$16),OR(MONTH(F118)&gt;=Setup!$C$15,MONTH(F118)&lt;=Setup!$C$16)),IF(Setup!$C$15&lt;=Setup!$C$16,AND(MONTH(WORKDAY(F118,-(Setup!$C$13+Setup!$G$24),Setup!$C$39:$C$50))&gt;=Setup!$C$15,MONTH(WORKDAY(F118,-(Setup!$C$13+Setup!$G$24),Setup!$C$39:$C$50))&lt;=Setup!$C$16),OR(MONTH(WORKDAY(F118,-(Setup!$C$13+Setup!$G$24),Setup!$C$39:$C$50))&gt;=Setup!$C$15,MONTH(WORKDAY(F118,-(Setup!$C$13+Setup!$G$24),Setup!$C$39:$C$50))&lt;=Setup!$C$16))),WORKDAY(F118,-(Setup!$C$13+Setup!$G$24+Setup!$C$14),Setup!$C$39:$C$50),WORKDAY(F118,-(Setup!$C$13+Setup!$G$24),Setup!$C$39:$C$50))+(113*100+5)/10000000)))</f>
        <v/>
      </c>
      <c r="W118" t="str">
        <f>IF(G118="","",IF(G118&lt;Setup!$C$5-Setup!$C$6,"",IF(IF(ISNUMBER(Roster!$D118),Setup!$C$25&lt;=Roster!$D118,FALSE),"",IF(OR(IF(Setup!$C$15&lt;=Setup!$C$16,AND(MONTH(G118)&gt;=Setup!$C$15,MONTH(G118)&lt;=Setup!$C$16),OR(MONTH(G118)&gt;=Setup!$C$15,MONTH(G118)&lt;=Setup!$C$16)),IF(Setup!$C$15&lt;=Setup!$C$16,AND(MONTH(WORKDAY(G118,-(Setup!$C$13+Setup!$G$25),Setup!$C$39:$C$50))&gt;=Setup!$C$15,MONTH(WORKDAY(G118,-(Setup!$C$13+Setup!$G$25),Setup!$C$39:$C$50))&lt;=Setup!$C$16),OR(MONTH(WORKDAY(G118,-(Setup!$C$13+Setup!$G$25),Setup!$C$39:$C$50))&gt;=Setup!$C$15,MONTH(WORKDAY(G118,-(Setup!$C$13+Setup!$G$25),Setup!$C$39:$C$50))&lt;=Setup!$C$16))),WORKDAY(G118,-(Setup!$C$13+Setup!$G$25+Setup!$C$14),Setup!$C$39:$C$50),WORKDAY(G118,-(Setup!$C$13+Setup!$G$25),Setup!$C$39:$C$50))+(113*100+6)/10000000)))</f>
        <v/>
      </c>
      <c r="X118" t="str">
        <f>IF(H118="","",IF(H118&lt;Setup!$C$5-Setup!$C$6,"",IF(IF(ISNUMBER(Roster!$D118),Setup!$C$26&lt;=Roster!$D118,FALSE),"",IF(OR(IF(Setup!$C$15&lt;=Setup!$C$16,AND(MONTH(H118)&gt;=Setup!$C$15,MONTH(H118)&lt;=Setup!$C$16),OR(MONTH(H118)&gt;=Setup!$C$15,MONTH(H118)&lt;=Setup!$C$16)),IF(Setup!$C$15&lt;=Setup!$C$16,AND(MONTH(WORKDAY(H118,-(Setup!$C$13+Setup!$G$26),Setup!$C$39:$C$50))&gt;=Setup!$C$15,MONTH(WORKDAY(H118,-(Setup!$C$13+Setup!$G$26),Setup!$C$39:$C$50))&lt;=Setup!$C$16),OR(MONTH(WORKDAY(H118,-(Setup!$C$13+Setup!$G$26),Setup!$C$39:$C$50))&gt;=Setup!$C$15,MONTH(WORKDAY(H118,-(Setup!$C$13+Setup!$G$26),Setup!$C$39:$C$50))&lt;=Setup!$C$16))),WORKDAY(H118,-(Setup!$C$13+Setup!$G$26+Setup!$C$14),Setup!$C$39:$C$50),WORKDAY(H118,-(Setup!$C$13+Setup!$G$26),Setup!$C$39:$C$50))+(113*100+7)/10000000)))</f>
        <v/>
      </c>
      <c r="Y118" t="str">
        <f>IF(I118="","",IF(I118&lt;Setup!$C$5-Setup!$C$6,"",IF(IF(ISNUMBER(Roster!$D118),Setup!$C$27&lt;=Roster!$D118,FALSE),"",IF(OR(IF(Setup!$C$15&lt;=Setup!$C$16,AND(MONTH(I118)&gt;=Setup!$C$15,MONTH(I118)&lt;=Setup!$C$16),OR(MONTH(I118)&gt;=Setup!$C$15,MONTH(I118)&lt;=Setup!$C$16)),IF(Setup!$C$15&lt;=Setup!$C$16,AND(MONTH(WORKDAY(I118,-(Setup!$C$13+Setup!$G$27),Setup!$C$39:$C$50))&gt;=Setup!$C$15,MONTH(WORKDAY(I118,-(Setup!$C$13+Setup!$G$27),Setup!$C$39:$C$50))&lt;=Setup!$C$16),OR(MONTH(WORKDAY(I118,-(Setup!$C$13+Setup!$G$27),Setup!$C$39:$C$50))&gt;=Setup!$C$15,MONTH(WORKDAY(I118,-(Setup!$C$13+Setup!$G$27),Setup!$C$39:$C$50))&lt;=Setup!$C$16))),WORKDAY(I118,-(Setup!$C$13+Setup!$G$27+Setup!$C$14),Setup!$C$39:$C$50),WORKDAY(I118,-(Setup!$C$13+Setup!$G$27),Setup!$C$39:$C$50))+(113*100+8)/10000000)))</f>
        <v/>
      </c>
      <c r="Z118" t="str">
        <f>IF(J118="","",IF(J118&lt;Setup!$C$5-Setup!$C$6,"",IF(IF(ISNUMBER(Roster!$D118),Setup!$C$28&lt;=Roster!$D118,FALSE),"",IF(OR(IF(Setup!$C$15&lt;=Setup!$C$16,AND(MONTH(J118)&gt;=Setup!$C$15,MONTH(J118)&lt;=Setup!$C$16),OR(MONTH(J118)&gt;=Setup!$C$15,MONTH(J118)&lt;=Setup!$C$16)),IF(Setup!$C$15&lt;=Setup!$C$16,AND(MONTH(WORKDAY(J118,-(Setup!$C$13+Setup!$G$28),Setup!$C$39:$C$50))&gt;=Setup!$C$15,MONTH(WORKDAY(J118,-(Setup!$C$13+Setup!$G$28),Setup!$C$39:$C$50))&lt;=Setup!$C$16),OR(MONTH(WORKDAY(J118,-(Setup!$C$13+Setup!$G$28),Setup!$C$39:$C$50))&gt;=Setup!$C$15,MONTH(WORKDAY(J118,-(Setup!$C$13+Setup!$G$28),Setup!$C$39:$C$50))&lt;=Setup!$C$16))),WORKDAY(J118,-(Setup!$C$13+Setup!$G$28+Setup!$C$14),Setup!$C$39:$C$50),WORKDAY(J118,-(Setup!$C$13+Setup!$G$28),Setup!$C$39:$C$50))+(113*100+9)/10000000)))</f>
        <v/>
      </c>
      <c r="AA118" t="str">
        <f>IF(K118="","",IF(K118&lt;Setup!$C$5-Setup!$C$6,"",IF(IF(ISNUMBER(Roster!$D118),Setup!$C$29&lt;=Roster!$D118,FALSE),"",IF(OR(IF(Setup!$C$15&lt;=Setup!$C$16,AND(MONTH(K118)&gt;=Setup!$C$15,MONTH(K118)&lt;=Setup!$C$16),OR(MONTH(K118)&gt;=Setup!$C$15,MONTH(K118)&lt;=Setup!$C$16)),IF(Setup!$C$15&lt;=Setup!$C$16,AND(MONTH(WORKDAY(K118,-(Setup!$C$13+Setup!$G$29),Setup!$C$39:$C$50))&gt;=Setup!$C$15,MONTH(WORKDAY(K118,-(Setup!$C$13+Setup!$G$29),Setup!$C$39:$C$50))&lt;=Setup!$C$16),OR(MONTH(WORKDAY(K118,-(Setup!$C$13+Setup!$G$29),Setup!$C$39:$C$50))&gt;=Setup!$C$15,MONTH(WORKDAY(K118,-(Setup!$C$13+Setup!$G$29),Setup!$C$39:$C$50))&lt;=Setup!$C$16))),WORKDAY(K118,-(Setup!$C$13+Setup!$G$29+Setup!$C$14),Setup!$C$39:$C$50),WORKDAY(K118,-(Setup!$C$13+Setup!$G$29),Setup!$C$39:$C$50))+(113*100+10)/10000000)))</f>
        <v/>
      </c>
      <c r="AB118" t="str">
        <f>IF(L118="","",IF(L118&lt;Setup!$C$5-Setup!$C$6,"",IF(IF(ISNUMBER(Roster!$D118),Setup!$C$30&lt;=Roster!$D118,FALSE),"",IF(OR(IF(Setup!$C$15&lt;=Setup!$C$16,AND(MONTH(L118)&gt;=Setup!$C$15,MONTH(L118)&lt;=Setup!$C$16),OR(MONTH(L118)&gt;=Setup!$C$15,MONTH(L118)&lt;=Setup!$C$16)),IF(Setup!$C$15&lt;=Setup!$C$16,AND(MONTH(WORKDAY(L118,-(Setup!$C$13+Setup!$G$30),Setup!$C$39:$C$50))&gt;=Setup!$C$15,MONTH(WORKDAY(L118,-(Setup!$C$13+Setup!$G$30),Setup!$C$39:$C$50))&lt;=Setup!$C$16),OR(MONTH(WORKDAY(L118,-(Setup!$C$13+Setup!$G$30),Setup!$C$39:$C$50))&gt;=Setup!$C$15,MONTH(WORKDAY(L118,-(Setup!$C$13+Setup!$G$30),Setup!$C$39:$C$50))&lt;=Setup!$C$16))),WORKDAY(L118,-(Setup!$C$13+Setup!$G$30+Setup!$C$14),Setup!$C$39:$C$50),WORKDAY(L118,-(Setup!$C$13+Setup!$G$30),Setup!$C$39:$C$50))+(113*100+11)/10000000)))</f>
        <v/>
      </c>
      <c r="AC118" t="str">
        <f>IF(M118="","",IF(M118&lt;Setup!$C$5-Setup!$C$6,"",IF(IF(ISNUMBER(Roster!$D118),Setup!$C$31&lt;=Roster!$D118,FALSE),"",IF(OR(IF(Setup!$C$15&lt;=Setup!$C$16,AND(MONTH(M118)&gt;=Setup!$C$15,MONTH(M118)&lt;=Setup!$C$16),OR(MONTH(M118)&gt;=Setup!$C$15,MONTH(M118)&lt;=Setup!$C$16)),IF(Setup!$C$15&lt;=Setup!$C$16,AND(MONTH(WORKDAY(M118,-(Setup!$C$13+Setup!$G$31),Setup!$C$39:$C$50))&gt;=Setup!$C$15,MONTH(WORKDAY(M118,-(Setup!$C$13+Setup!$G$31),Setup!$C$39:$C$50))&lt;=Setup!$C$16),OR(MONTH(WORKDAY(M118,-(Setup!$C$13+Setup!$G$31),Setup!$C$39:$C$50))&gt;=Setup!$C$15,MONTH(WORKDAY(M118,-(Setup!$C$13+Setup!$G$31),Setup!$C$39:$C$50))&lt;=Setup!$C$16))),WORKDAY(M118,-(Setup!$C$13+Setup!$G$31+Setup!$C$14),Setup!$C$39:$C$50),WORKDAY(M118,-(Setup!$C$13+Setup!$G$31),Setup!$C$39:$C$50))+(113*100+12)/10000000)))</f>
        <v/>
      </c>
      <c r="AD118" t="str">
        <f>IF(N118="","",IF(N118&lt;Setup!$C$5-Setup!$C$6,"",IF(IF(ISNUMBER(Roster!$D118),Setup!$C$32&lt;=Roster!$D118,FALSE),"",IF(OR(IF(Setup!$C$15&lt;=Setup!$C$16,AND(MONTH(N118)&gt;=Setup!$C$15,MONTH(N118)&lt;=Setup!$C$16),OR(MONTH(N118)&gt;=Setup!$C$15,MONTH(N118)&lt;=Setup!$C$16)),IF(Setup!$C$15&lt;=Setup!$C$16,AND(MONTH(WORKDAY(N118,-(Setup!$C$13+Setup!$G$32),Setup!$C$39:$C$50))&gt;=Setup!$C$15,MONTH(WORKDAY(N118,-(Setup!$C$13+Setup!$G$32),Setup!$C$39:$C$50))&lt;=Setup!$C$16),OR(MONTH(WORKDAY(N118,-(Setup!$C$13+Setup!$G$32),Setup!$C$39:$C$50))&gt;=Setup!$C$15,MONTH(WORKDAY(N118,-(Setup!$C$13+Setup!$G$32),Setup!$C$39:$C$50))&lt;=Setup!$C$16))),WORKDAY(N118,-(Setup!$C$13+Setup!$G$32+Setup!$C$14),Setup!$C$39:$C$50),WORKDAY(N118,-(Setup!$C$13+Setup!$G$32),Setup!$C$39:$C$50))+(113*100+13)/10000000)))</f>
        <v/>
      </c>
      <c r="AE118" t="str">
        <f>IF(O118="","",IF(O118&lt;Setup!$C$5-Setup!$C$6,"",IF(IF(ISNUMBER(Roster!$D118),Setup!$C$33&lt;=Roster!$D118,FALSE),"",IF(OR(IF(Setup!$C$15&lt;=Setup!$C$16,AND(MONTH(O118)&gt;=Setup!$C$15,MONTH(O118)&lt;=Setup!$C$16),OR(MONTH(O118)&gt;=Setup!$C$15,MONTH(O118)&lt;=Setup!$C$16)),IF(Setup!$C$15&lt;=Setup!$C$16,AND(MONTH(WORKDAY(O118,-(Setup!$C$13+Setup!$G$33),Setup!$C$39:$C$50))&gt;=Setup!$C$15,MONTH(WORKDAY(O118,-(Setup!$C$13+Setup!$G$33),Setup!$C$39:$C$50))&lt;=Setup!$C$16),OR(MONTH(WORKDAY(O118,-(Setup!$C$13+Setup!$G$33),Setup!$C$39:$C$50))&gt;=Setup!$C$15,MONTH(WORKDAY(O118,-(Setup!$C$13+Setup!$G$33),Setup!$C$39:$C$50))&lt;=Setup!$C$16))),WORKDAY(O118,-(Setup!$C$13+Setup!$G$33+Setup!$C$14),Setup!$C$39:$C$50),WORKDAY(O118,-(Setup!$C$13+Setup!$G$33),Setup!$C$39:$C$50))+(113*100+14)/10000000)))</f>
        <v/>
      </c>
      <c r="AF118" t="str">
        <f>IF(P118="","",IF(P118&lt;Setup!$C$5-Setup!$C$6,"",IF(IF(ISNUMBER(Roster!$D118),Setup!$C$34&lt;=Roster!$D118,FALSE),"",IF(OR(IF(Setup!$C$15&lt;=Setup!$C$16,AND(MONTH(P118)&gt;=Setup!$C$15,MONTH(P118)&lt;=Setup!$C$16),OR(MONTH(P118)&gt;=Setup!$C$15,MONTH(P118)&lt;=Setup!$C$16)),IF(Setup!$C$15&lt;=Setup!$C$16,AND(MONTH(WORKDAY(P118,-(Setup!$C$13+Setup!$G$34),Setup!$C$39:$C$50))&gt;=Setup!$C$15,MONTH(WORKDAY(P118,-(Setup!$C$13+Setup!$G$34),Setup!$C$39:$C$50))&lt;=Setup!$C$16),OR(MONTH(WORKDAY(P118,-(Setup!$C$13+Setup!$G$34),Setup!$C$39:$C$50))&gt;=Setup!$C$15,MONTH(WORKDAY(P118,-(Setup!$C$13+Setup!$G$34),Setup!$C$39:$C$50))&lt;=Setup!$C$16))),WORKDAY(P118,-(Setup!$C$13+Setup!$G$34+Setup!$C$14),Setup!$C$39:$C$50),WORKDAY(P118,-(Setup!$C$13+Setup!$G$34),Setup!$C$39:$C$50))+(113*100+15)/10000000)))</f>
        <v/>
      </c>
      <c r="AH118" t="str">
        <f t="shared" si="9"/>
        <v/>
      </c>
      <c r="AI118" t="str">
        <f t="shared" si="10"/>
        <v/>
      </c>
      <c r="AK118" t="str">
        <f ca="1">IF(113&gt;$AK$2,"",SMALL($R$6:$AF$505,113))</f>
        <v/>
      </c>
      <c r="AL118" t="str">
        <f t="shared" ca="1" si="11"/>
        <v/>
      </c>
      <c r="AM118" t="str">
        <f t="shared" ca="1" si="12"/>
        <v/>
      </c>
      <c r="AN118" t="str">
        <f t="shared" ca="1" si="13"/>
        <v/>
      </c>
      <c r="AP118" t="str">
        <f>IF(ISNUMBER(Roster!$B118),MAX(1,YEAR(Setup!$C$5)-YEAR(Roster!$B118)+IF(EDATE(Roster!$B118,12*(YEAR(Setup!$C$5)-YEAR(Roster!$B118)))&lt;Setup!$C$5,1,0)),"")</f>
        <v/>
      </c>
      <c r="AQ118" s="32" t="str">
        <f>IF(AP118="","",EDATE(Roster!$B118,12*AP118))</f>
        <v/>
      </c>
      <c r="AR118" t="str">
        <f>IF(AQ118="","",IF(AQ118&lt;DATE(YEAR(Setup!$C$5)+1,MONTH(Setup!$C$5),DAY(Setup!$C$5)),AQ118+113/1000,""))</f>
        <v/>
      </c>
      <c r="AS118" t="str">
        <f t="shared" si="14"/>
        <v/>
      </c>
      <c r="AT118" t="str">
        <f>IF(AS118="","",IF(ISNUMBER(Roster!$D118),Roster!$D118&gt;=AP118,FALSE))</f>
        <v/>
      </c>
      <c r="AU118" t="str">
        <f t="shared" si="15"/>
        <v/>
      </c>
      <c r="AV118" t="str">
        <f ca="1">IF(113&gt;$AV$2,"",SMALL($AR$6:$AR$505,113))</f>
        <v/>
      </c>
      <c r="AW118" t="str">
        <f t="shared" ca="1" si="16"/>
        <v/>
      </c>
    </row>
    <row r="119" spans="2:49" x14ac:dyDescent="0.2">
      <c r="B119" s="32" t="str">
        <f>IF(AND(ISNUMBER(Roster!$B119),Setup!$B$20="Yes",ISNUMBER(Setup!$C$20)),EDATE(Roster!$B119,12*Setup!$C$20),"")</f>
        <v/>
      </c>
      <c r="C119" s="32" t="str">
        <f>IF(AND(ISNUMBER(Roster!$B119),Setup!$B$21="Yes",ISNUMBER(Setup!$C$21)),EDATE(Roster!$B119,12*Setup!$C$21),"")</f>
        <v/>
      </c>
      <c r="D119" s="32" t="str">
        <f>IF(AND(ISNUMBER(Roster!$B119),Setup!$B$22="Yes",ISNUMBER(Setup!$C$22)),EDATE(Roster!$B119,12*Setup!$C$22),"")</f>
        <v/>
      </c>
      <c r="E119" s="32" t="str">
        <f>IF(AND(ISNUMBER(Roster!$B119),Setup!$B$23="Yes",ISNUMBER(Setup!$C$23)),EDATE(Roster!$B119,12*Setup!$C$23),"")</f>
        <v/>
      </c>
      <c r="F119" s="32" t="str">
        <f>IF(AND(ISNUMBER(Roster!$B119),Setup!$B$24="Yes",ISNUMBER(Setup!$C$24)),EDATE(Roster!$B119,12*Setup!$C$24),"")</f>
        <v/>
      </c>
      <c r="G119" s="32" t="str">
        <f>IF(AND(ISNUMBER(Roster!$B119),Setup!$B$25="Yes",ISNUMBER(Setup!$C$25)),EDATE(Roster!$B119,12*Setup!$C$25),"")</f>
        <v/>
      </c>
      <c r="H119" s="32" t="str">
        <f>IF(AND(ISNUMBER(Roster!$B119),Setup!$B$26="Yes",ISNUMBER(Setup!$C$26)),EDATE(Roster!$B119,12*Setup!$C$26),"")</f>
        <v/>
      </c>
      <c r="I119" s="32" t="str">
        <f>IF(AND(ISNUMBER(Roster!$B119),Setup!$B$27="Yes",ISNUMBER(Setup!$C$27)),EDATE(Roster!$B119,12*Setup!$C$27),"")</f>
        <v/>
      </c>
      <c r="J119" s="32" t="str">
        <f>IF(AND(ISNUMBER(Roster!$B119),Setup!$B$28="Yes",ISNUMBER(Setup!$C$28)),EDATE(Roster!$B119,12*Setup!$C$28),"")</f>
        <v/>
      </c>
      <c r="K119" s="32" t="str">
        <f>IF(AND(ISNUMBER(Roster!$B119),Setup!$B$29="Yes",ISNUMBER(Setup!$C$29)),EDATE(Roster!$B119,12*Setup!$C$29),"")</f>
        <v/>
      </c>
      <c r="L119" s="32" t="str">
        <f>IF(AND(ISNUMBER(Roster!$B119),Setup!$B$30="Yes",ISNUMBER(Setup!$C$30)),EDATE(Roster!$B119,12*Setup!$C$30),"")</f>
        <v/>
      </c>
      <c r="M119" s="32" t="str">
        <f>IF(AND(ISNUMBER(Roster!$B119),Setup!$B$31="Yes",ISNUMBER(Setup!$C$31)),EDATE(Roster!$B119,12*Setup!$C$31),"")</f>
        <v/>
      </c>
      <c r="N119" s="32" t="str">
        <f>IF(AND(ISNUMBER(Roster!$B119),Setup!$B$32="Yes",ISNUMBER(Setup!$C$32)),EDATE(Roster!$B119,12*Setup!$C$32),"")</f>
        <v/>
      </c>
      <c r="O119" s="32" t="str">
        <f>IF(AND(ISNUMBER(Roster!$B119),Setup!$B$33="Yes",ISNUMBER(Setup!$C$33)),EDATE(Roster!$B119,12*Setup!$C$33),"")</f>
        <v/>
      </c>
      <c r="P119" s="32" t="str">
        <f>IF(AND(ISNUMBER(Roster!$B119),Setup!$B$34="Yes",ISNUMBER(Setup!$C$34)),EDATE(Roster!$B119,12*Setup!$C$34),"")</f>
        <v/>
      </c>
      <c r="R119" t="str">
        <f>IF(B119="","",IF(B119&lt;Setup!$C$5-Setup!$C$6,"",IF(IF(ISNUMBER(Roster!$D119),Setup!$C$20&lt;=Roster!$D119,FALSE),"",IF(OR(IF(Setup!$C$15&lt;=Setup!$C$16,AND(MONTH(B119)&gt;=Setup!$C$15,MONTH(B119)&lt;=Setup!$C$16),OR(MONTH(B119)&gt;=Setup!$C$15,MONTH(B119)&lt;=Setup!$C$16)),IF(Setup!$C$15&lt;=Setup!$C$16,AND(MONTH(WORKDAY(B119,-(Setup!$C$13+Setup!$G$20),Setup!$C$39:$C$50))&gt;=Setup!$C$15,MONTH(WORKDAY(B119,-(Setup!$C$13+Setup!$G$20),Setup!$C$39:$C$50))&lt;=Setup!$C$16),OR(MONTH(WORKDAY(B119,-(Setup!$C$13+Setup!$G$20),Setup!$C$39:$C$50))&gt;=Setup!$C$15,MONTH(WORKDAY(B119,-(Setup!$C$13+Setup!$G$20),Setup!$C$39:$C$50))&lt;=Setup!$C$16))),WORKDAY(B119,-(Setup!$C$13+Setup!$G$20+Setup!$C$14),Setup!$C$39:$C$50),WORKDAY(B119,-(Setup!$C$13+Setup!$G$20),Setup!$C$39:$C$50))+(114*100+1)/10000000)))</f>
        <v/>
      </c>
      <c r="S119" t="str">
        <f>IF(C119="","",IF(C119&lt;Setup!$C$5-Setup!$C$6,"",IF(IF(ISNUMBER(Roster!$D119),Setup!$C$21&lt;=Roster!$D119,FALSE),"",IF(OR(IF(Setup!$C$15&lt;=Setup!$C$16,AND(MONTH(C119)&gt;=Setup!$C$15,MONTH(C119)&lt;=Setup!$C$16),OR(MONTH(C119)&gt;=Setup!$C$15,MONTH(C119)&lt;=Setup!$C$16)),IF(Setup!$C$15&lt;=Setup!$C$16,AND(MONTH(WORKDAY(C119,-(Setup!$C$13+Setup!$G$21),Setup!$C$39:$C$50))&gt;=Setup!$C$15,MONTH(WORKDAY(C119,-(Setup!$C$13+Setup!$G$21),Setup!$C$39:$C$50))&lt;=Setup!$C$16),OR(MONTH(WORKDAY(C119,-(Setup!$C$13+Setup!$G$21),Setup!$C$39:$C$50))&gt;=Setup!$C$15,MONTH(WORKDAY(C119,-(Setup!$C$13+Setup!$G$21),Setup!$C$39:$C$50))&lt;=Setup!$C$16))),WORKDAY(C119,-(Setup!$C$13+Setup!$G$21+Setup!$C$14),Setup!$C$39:$C$50),WORKDAY(C119,-(Setup!$C$13+Setup!$G$21),Setup!$C$39:$C$50))+(114*100+2)/10000000)))</f>
        <v/>
      </c>
      <c r="T119" t="str">
        <f>IF(D119="","",IF(D119&lt;Setup!$C$5-Setup!$C$6,"",IF(IF(ISNUMBER(Roster!$D119),Setup!$C$22&lt;=Roster!$D119,FALSE),"",IF(OR(IF(Setup!$C$15&lt;=Setup!$C$16,AND(MONTH(D119)&gt;=Setup!$C$15,MONTH(D119)&lt;=Setup!$C$16),OR(MONTH(D119)&gt;=Setup!$C$15,MONTH(D119)&lt;=Setup!$C$16)),IF(Setup!$C$15&lt;=Setup!$C$16,AND(MONTH(WORKDAY(D119,-(Setup!$C$13+Setup!$G$22),Setup!$C$39:$C$50))&gt;=Setup!$C$15,MONTH(WORKDAY(D119,-(Setup!$C$13+Setup!$G$22),Setup!$C$39:$C$50))&lt;=Setup!$C$16),OR(MONTH(WORKDAY(D119,-(Setup!$C$13+Setup!$G$22),Setup!$C$39:$C$50))&gt;=Setup!$C$15,MONTH(WORKDAY(D119,-(Setup!$C$13+Setup!$G$22),Setup!$C$39:$C$50))&lt;=Setup!$C$16))),WORKDAY(D119,-(Setup!$C$13+Setup!$G$22+Setup!$C$14),Setup!$C$39:$C$50),WORKDAY(D119,-(Setup!$C$13+Setup!$G$22),Setup!$C$39:$C$50))+(114*100+3)/10000000)))</f>
        <v/>
      </c>
      <c r="U119" t="str">
        <f>IF(E119="","",IF(E119&lt;Setup!$C$5-Setup!$C$6,"",IF(IF(ISNUMBER(Roster!$D119),Setup!$C$23&lt;=Roster!$D119,FALSE),"",IF(OR(IF(Setup!$C$15&lt;=Setup!$C$16,AND(MONTH(E119)&gt;=Setup!$C$15,MONTH(E119)&lt;=Setup!$C$16),OR(MONTH(E119)&gt;=Setup!$C$15,MONTH(E119)&lt;=Setup!$C$16)),IF(Setup!$C$15&lt;=Setup!$C$16,AND(MONTH(WORKDAY(E119,-(Setup!$C$13+Setup!$G$23),Setup!$C$39:$C$50))&gt;=Setup!$C$15,MONTH(WORKDAY(E119,-(Setup!$C$13+Setup!$G$23),Setup!$C$39:$C$50))&lt;=Setup!$C$16),OR(MONTH(WORKDAY(E119,-(Setup!$C$13+Setup!$G$23),Setup!$C$39:$C$50))&gt;=Setup!$C$15,MONTH(WORKDAY(E119,-(Setup!$C$13+Setup!$G$23),Setup!$C$39:$C$50))&lt;=Setup!$C$16))),WORKDAY(E119,-(Setup!$C$13+Setup!$G$23+Setup!$C$14),Setup!$C$39:$C$50),WORKDAY(E119,-(Setup!$C$13+Setup!$G$23),Setup!$C$39:$C$50))+(114*100+4)/10000000)))</f>
        <v/>
      </c>
      <c r="V119" t="str">
        <f>IF(F119="","",IF(F119&lt;Setup!$C$5-Setup!$C$6,"",IF(IF(ISNUMBER(Roster!$D119),Setup!$C$24&lt;=Roster!$D119,FALSE),"",IF(OR(IF(Setup!$C$15&lt;=Setup!$C$16,AND(MONTH(F119)&gt;=Setup!$C$15,MONTH(F119)&lt;=Setup!$C$16),OR(MONTH(F119)&gt;=Setup!$C$15,MONTH(F119)&lt;=Setup!$C$16)),IF(Setup!$C$15&lt;=Setup!$C$16,AND(MONTH(WORKDAY(F119,-(Setup!$C$13+Setup!$G$24),Setup!$C$39:$C$50))&gt;=Setup!$C$15,MONTH(WORKDAY(F119,-(Setup!$C$13+Setup!$G$24),Setup!$C$39:$C$50))&lt;=Setup!$C$16),OR(MONTH(WORKDAY(F119,-(Setup!$C$13+Setup!$G$24),Setup!$C$39:$C$50))&gt;=Setup!$C$15,MONTH(WORKDAY(F119,-(Setup!$C$13+Setup!$G$24),Setup!$C$39:$C$50))&lt;=Setup!$C$16))),WORKDAY(F119,-(Setup!$C$13+Setup!$G$24+Setup!$C$14),Setup!$C$39:$C$50),WORKDAY(F119,-(Setup!$C$13+Setup!$G$24),Setup!$C$39:$C$50))+(114*100+5)/10000000)))</f>
        <v/>
      </c>
      <c r="W119" t="str">
        <f>IF(G119="","",IF(G119&lt;Setup!$C$5-Setup!$C$6,"",IF(IF(ISNUMBER(Roster!$D119),Setup!$C$25&lt;=Roster!$D119,FALSE),"",IF(OR(IF(Setup!$C$15&lt;=Setup!$C$16,AND(MONTH(G119)&gt;=Setup!$C$15,MONTH(G119)&lt;=Setup!$C$16),OR(MONTH(G119)&gt;=Setup!$C$15,MONTH(G119)&lt;=Setup!$C$16)),IF(Setup!$C$15&lt;=Setup!$C$16,AND(MONTH(WORKDAY(G119,-(Setup!$C$13+Setup!$G$25),Setup!$C$39:$C$50))&gt;=Setup!$C$15,MONTH(WORKDAY(G119,-(Setup!$C$13+Setup!$G$25),Setup!$C$39:$C$50))&lt;=Setup!$C$16),OR(MONTH(WORKDAY(G119,-(Setup!$C$13+Setup!$G$25),Setup!$C$39:$C$50))&gt;=Setup!$C$15,MONTH(WORKDAY(G119,-(Setup!$C$13+Setup!$G$25),Setup!$C$39:$C$50))&lt;=Setup!$C$16))),WORKDAY(G119,-(Setup!$C$13+Setup!$G$25+Setup!$C$14),Setup!$C$39:$C$50),WORKDAY(G119,-(Setup!$C$13+Setup!$G$25),Setup!$C$39:$C$50))+(114*100+6)/10000000)))</f>
        <v/>
      </c>
      <c r="X119" t="str">
        <f>IF(H119="","",IF(H119&lt;Setup!$C$5-Setup!$C$6,"",IF(IF(ISNUMBER(Roster!$D119),Setup!$C$26&lt;=Roster!$D119,FALSE),"",IF(OR(IF(Setup!$C$15&lt;=Setup!$C$16,AND(MONTH(H119)&gt;=Setup!$C$15,MONTH(H119)&lt;=Setup!$C$16),OR(MONTH(H119)&gt;=Setup!$C$15,MONTH(H119)&lt;=Setup!$C$16)),IF(Setup!$C$15&lt;=Setup!$C$16,AND(MONTH(WORKDAY(H119,-(Setup!$C$13+Setup!$G$26),Setup!$C$39:$C$50))&gt;=Setup!$C$15,MONTH(WORKDAY(H119,-(Setup!$C$13+Setup!$G$26),Setup!$C$39:$C$50))&lt;=Setup!$C$16),OR(MONTH(WORKDAY(H119,-(Setup!$C$13+Setup!$G$26),Setup!$C$39:$C$50))&gt;=Setup!$C$15,MONTH(WORKDAY(H119,-(Setup!$C$13+Setup!$G$26),Setup!$C$39:$C$50))&lt;=Setup!$C$16))),WORKDAY(H119,-(Setup!$C$13+Setup!$G$26+Setup!$C$14),Setup!$C$39:$C$50),WORKDAY(H119,-(Setup!$C$13+Setup!$G$26),Setup!$C$39:$C$50))+(114*100+7)/10000000)))</f>
        <v/>
      </c>
      <c r="Y119" t="str">
        <f>IF(I119="","",IF(I119&lt;Setup!$C$5-Setup!$C$6,"",IF(IF(ISNUMBER(Roster!$D119),Setup!$C$27&lt;=Roster!$D119,FALSE),"",IF(OR(IF(Setup!$C$15&lt;=Setup!$C$16,AND(MONTH(I119)&gt;=Setup!$C$15,MONTH(I119)&lt;=Setup!$C$16),OR(MONTH(I119)&gt;=Setup!$C$15,MONTH(I119)&lt;=Setup!$C$16)),IF(Setup!$C$15&lt;=Setup!$C$16,AND(MONTH(WORKDAY(I119,-(Setup!$C$13+Setup!$G$27),Setup!$C$39:$C$50))&gt;=Setup!$C$15,MONTH(WORKDAY(I119,-(Setup!$C$13+Setup!$G$27),Setup!$C$39:$C$50))&lt;=Setup!$C$16),OR(MONTH(WORKDAY(I119,-(Setup!$C$13+Setup!$G$27),Setup!$C$39:$C$50))&gt;=Setup!$C$15,MONTH(WORKDAY(I119,-(Setup!$C$13+Setup!$G$27),Setup!$C$39:$C$50))&lt;=Setup!$C$16))),WORKDAY(I119,-(Setup!$C$13+Setup!$G$27+Setup!$C$14),Setup!$C$39:$C$50),WORKDAY(I119,-(Setup!$C$13+Setup!$G$27),Setup!$C$39:$C$50))+(114*100+8)/10000000)))</f>
        <v/>
      </c>
      <c r="Z119" t="str">
        <f>IF(J119="","",IF(J119&lt;Setup!$C$5-Setup!$C$6,"",IF(IF(ISNUMBER(Roster!$D119),Setup!$C$28&lt;=Roster!$D119,FALSE),"",IF(OR(IF(Setup!$C$15&lt;=Setup!$C$16,AND(MONTH(J119)&gt;=Setup!$C$15,MONTH(J119)&lt;=Setup!$C$16),OR(MONTH(J119)&gt;=Setup!$C$15,MONTH(J119)&lt;=Setup!$C$16)),IF(Setup!$C$15&lt;=Setup!$C$16,AND(MONTH(WORKDAY(J119,-(Setup!$C$13+Setup!$G$28),Setup!$C$39:$C$50))&gt;=Setup!$C$15,MONTH(WORKDAY(J119,-(Setup!$C$13+Setup!$G$28),Setup!$C$39:$C$50))&lt;=Setup!$C$16),OR(MONTH(WORKDAY(J119,-(Setup!$C$13+Setup!$G$28),Setup!$C$39:$C$50))&gt;=Setup!$C$15,MONTH(WORKDAY(J119,-(Setup!$C$13+Setup!$G$28),Setup!$C$39:$C$50))&lt;=Setup!$C$16))),WORKDAY(J119,-(Setup!$C$13+Setup!$G$28+Setup!$C$14),Setup!$C$39:$C$50),WORKDAY(J119,-(Setup!$C$13+Setup!$G$28),Setup!$C$39:$C$50))+(114*100+9)/10000000)))</f>
        <v/>
      </c>
      <c r="AA119" t="str">
        <f>IF(K119="","",IF(K119&lt;Setup!$C$5-Setup!$C$6,"",IF(IF(ISNUMBER(Roster!$D119),Setup!$C$29&lt;=Roster!$D119,FALSE),"",IF(OR(IF(Setup!$C$15&lt;=Setup!$C$16,AND(MONTH(K119)&gt;=Setup!$C$15,MONTH(K119)&lt;=Setup!$C$16),OR(MONTH(K119)&gt;=Setup!$C$15,MONTH(K119)&lt;=Setup!$C$16)),IF(Setup!$C$15&lt;=Setup!$C$16,AND(MONTH(WORKDAY(K119,-(Setup!$C$13+Setup!$G$29),Setup!$C$39:$C$50))&gt;=Setup!$C$15,MONTH(WORKDAY(K119,-(Setup!$C$13+Setup!$G$29),Setup!$C$39:$C$50))&lt;=Setup!$C$16),OR(MONTH(WORKDAY(K119,-(Setup!$C$13+Setup!$G$29),Setup!$C$39:$C$50))&gt;=Setup!$C$15,MONTH(WORKDAY(K119,-(Setup!$C$13+Setup!$G$29),Setup!$C$39:$C$50))&lt;=Setup!$C$16))),WORKDAY(K119,-(Setup!$C$13+Setup!$G$29+Setup!$C$14),Setup!$C$39:$C$50),WORKDAY(K119,-(Setup!$C$13+Setup!$G$29),Setup!$C$39:$C$50))+(114*100+10)/10000000)))</f>
        <v/>
      </c>
      <c r="AB119" t="str">
        <f>IF(L119="","",IF(L119&lt;Setup!$C$5-Setup!$C$6,"",IF(IF(ISNUMBER(Roster!$D119),Setup!$C$30&lt;=Roster!$D119,FALSE),"",IF(OR(IF(Setup!$C$15&lt;=Setup!$C$16,AND(MONTH(L119)&gt;=Setup!$C$15,MONTH(L119)&lt;=Setup!$C$16),OR(MONTH(L119)&gt;=Setup!$C$15,MONTH(L119)&lt;=Setup!$C$16)),IF(Setup!$C$15&lt;=Setup!$C$16,AND(MONTH(WORKDAY(L119,-(Setup!$C$13+Setup!$G$30),Setup!$C$39:$C$50))&gt;=Setup!$C$15,MONTH(WORKDAY(L119,-(Setup!$C$13+Setup!$G$30),Setup!$C$39:$C$50))&lt;=Setup!$C$16),OR(MONTH(WORKDAY(L119,-(Setup!$C$13+Setup!$G$30),Setup!$C$39:$C$50))&gt;=Setup!$C$15,MONTH(WORKDAY(L119,-(Setup!$C$13+Setup!$G$30),Setup!$C$39:$C$50))&lt;=Setup!$C$16))),WORKDAY(L119,-(Setup!$C$13+Setup!$G$30+Setup!$C$14),Setup!$C$39:$C$50),WORKDAY(L119,-(Setup!$C$13+Setup!$G$30),Setup!$C$39:$C$50))+(114*100+11)/10000000)))</f>
        <v/>
      </c>
      <c r="AC119" t="str">
        <f>IF(M119="","",IF(M119&lt;Setup!$C$5-Setup!$C$6,"",IF(IF(ISNUMBER(Roster!$D119),Setup!$C$31&lt;=Roster!$D119,FALSE),"",IF(OR(IF(Setup!$C$15&lt;=Setup!$C$16,AND(MONTH(M119)&gt;=Setup!$C$15,MONTH(M119)&lt;=Setup!$C$16),OR(MONTH(M119)&gt;=Setup!$C$15,MONTH(M119)&lt;=Setup!$C$16)),IF(Setup!$C$15&lt;=Setup!$C$16,AND(MONTH(WORKDAY(M119,-(Setup!$C$13+Setup!$G$31),Setup!$C$39:$C$50))&gt;=Setup!$C$15,MONTH(WORKDAY(M119,-(Setup!$C$13+Setup!$G$31),Setup!$C$39:$C$50))&lt;=Setup!$C$16),OR(MONTH(WORKDAY(M119,-(Setup!$C$13+Setup!$G$31),Setup!$C$39:$C$50))&gt;=Setup!$C$15,MONTH(WORKDAY(M119,-(Setup!$C$13+Setup!$G$31),Setup!$C$39:$C$50))&lt;=Setup!$C$16))),WORKDAY(M119,-(Setup!$C$13+Setup!$G$31+Setup!$C$14),Setup!$C$39:$C$50),WORKDAY(M119,-(Setup!$C$13+Setup!$G$31),Setup!$C$39:$C$50))+(114*100+12)/10000000)))</f>
        <v/>
      </c>
      <c r="AD119" t="str">
        <f>IF(N119="","",IF(N119&lt;Setup!$C$5-Setup!$C$6,"",IF(IF(ISNUMBER(Roster!$D119),Setup!$C$32&lt;=Roster!$D119,FALSE),"",IF(OR(IF(Setup!$C$15&lt;=Setup!$C$16,AND(MONTH(N119)&gt;=Setup!$C$15,MONTH(N119)&lt;=Setup!$C$16),OR(MONTH(N119)&gt;=Setup!$C$15,MONTH(N119)&lt;=Setup!$C$16)),IF(Setup!$C$15&lt;=Setup!$C$16,AND(MONTH(WORKDAY(N119,-(Setup!$C$13+Setup!$G$32),Setup!$C$39:$C$50))&gt;=Setup!$C$15,MONTH(WORKDAY(N119,-(Setup!$C$13+Setup!$G$32),Setup!$C$39:$C$50))&lt;=Setup!$C$16),OR(MONTH(WORKDAY(N119,-(Setup!$C$13+Setup!$G$32),Setup!$C$39:$C$50))&gt;=Setup!$C$15,MONTH(WORKDAY(N119,-(Setup!$C$13+Setup!$G$32),Setup!$C$39:$C$50))&lt;=Setup!$C$16))),WORKDAY(N119,-(Setup!$C$13+Setup!$G$32+Setup!$C$14),Setup!$C$39:$C$50),WORKDAY(N119,-(Setup!$C$13+Setup!$G$32),Setup!$C$39:$C$50))+(114*100+13)/10000000)))</f>
        <v/>
      </c>
      <c r="AE119" t="str">
        <f>IF(O119="","",IF(O119&lt;Setup!$C$5-Setup!$C$6,"",IF(IF(ISNUMBER(Roster!$D119),Setup!$C$33&lt;=Roster!$D119,FALSE),"",IF(OR(IF(Setup!$C$15&lt;=Setup!$C$16,AND(MONTH(O119)&gt;=Setup!$C$15,MONTH(O119)&lt;=Setup!$C$16),OR(MONTH(O119)&gt;=Setup!$C$15,MONTH(O119)&lt;=Setup!$C$16)),IF(Setup!$C$15&lt;=Setup!$C$16,AND(MONTH(WORKDAY(O119,-(Setup!$C$13+Setup!$G$33),Setup!$C$39:$C$50))&gt;=Setup!$C$15,MONTH(WORKDAY(O119,-(Setup!$C$13+Setup!$G$33),Setup!$C$39:$C$50))&lt;=Setup!$C$16),OR(MONTH(WORKDAY(O119,-(Setup!$C$13+Setup!$G$33),Setup!$C$39:$C$50))&gt;=Setup!$C$15,MONTH(WORKDAY(O119,-(Setup!$C$13+Setup!$G$33),Setup!$C$39:$C$50))&lt;=Setup!$C$16))),WORKDAY(O119,-(Setup!$C$13+Setup!$G$33+Setup!$C$14),Setup!$C$39:$C$50),WORKDAY(O119,-(Setup!$C$13+Setup!$G$33),Setup!$C$39:$C$50))+(114*100+14)/10000000)))</f>
        <v/>
      </c>
      <c r="AF119" t="str">
        <f>IF(P119="","",IF(P119&lt;Setup!$C$5-Setup!$C$6,"",IF(IF(ISNUMBER(Roster!$D119),Setup!$C$34&lt;=Roster!$D119,FALSE),"",IF(OR(IF(Setup!$C$15&lt;=Setup!$C$16,AND(MONTH(P119)&gt;=Setup!$C$15,MONTH(P119)&lt;=Setup!$C$16),OR(MONTH(P119)&gt;=Setup!$C$15,MONTH(P119)&lt;=Setup!$C$16)),IF(Setup!$C$15&lt;=Setup!$C$16,AND(MONTH(WORKDAY(P119,-(Setup!$C$13+Setup!$G$34),Setup!$C$39:$C$50))&gt;=Setup!$C$15,MONTH(WORKDAY(P119,-(Setup!$C$13+Setup!$G$34),Setup!$C$39:$C$50))&lt;=Setup!$C$16),OR(MONTH(WORKDAY(P119,-(Setup!$C$13+Setup!$G$34),Setup!$C$39:$C$50))&gt;=Setup!$C$15,MONTH(WORKDAY(P119,-(Setup!$C$13+Setup!$G$34),Setup!$C$39:$C$50))&lt;=Setup!$C$16))),WORKDAY(P119,-(Setup!$C$13+Setup!$G$34+Setup!$C$14),Setup!$C$39:$C$50),WORKDAY(P119,-(Setup!$C$13+Setup!$G$34),Setup!$C$39:$C$50))+(114*100+15)/10000000)))</f>
        <v/>
      </c>
      <c r="AH119" t="str">
        <f t="shared" si="9"/>
        <v/>
      </c>
      <c r="AI119" t="str">
        <f t="shared" si="10"/>
        <v/>
      </c>
      <c r="AK119" t="str">
        <f ca="1">IF(114&gt;$AK$2,"",SMALL($R$6:$AF$505,114))</f>
        <v/>
      </c>
      <c r="AL119" t="str">
        <f t="shared" ca="1" si="11"/>
        <v/>
      </c>
      <c r="AM119" t="str">
        <f t="shared" ca="1" si="12"/>
        <v/>
      </c>
      <c r="AN119" t="str">
        <f t="shared" ca="1" si="13"/>
        <v/>
      </c>
      <c r="AP119" t="str">
        <f>IF(ISNUMBER(Roster!$B119),MAX(1,YEAR(Setup!$C$5)-YEAR(Roster!$B119)+IF(EDATE(Roster!$B119,12*(YEAR(Setup!$C$5)-YEAR(Roster!$B119)))&lt;Setup!$C$5,1,0)),"")</f>
        <v/>
      </c>
      <c r="AQ119" s="32" t="str">
        <f>IF(AP119="","",EDATE(Roster!$B119,12*AP119))</f>
        <v/>
      </c>
      <c r="AR119" t="str">
        <f>IF(AQ119="","",IF(AQ119&lt;DATE(YEAR(Setup!$C$5)+1,MONTH(Setup!$C$5),DAY(Setup!$C$5)),AQ119+114/1000,""))</f>
        <v/>
      </c>
      <c r="AS119" t="str">
        <f t="shared" si="14"/>
        <v/>
      </c>
      <c r="AT119" t="str">
        <f>IF(AS119="","",IF(ISNUMBER(Roster!$D119),Roster!$D119&gt;=AP119,FALSE))</f>
        <v/>
      </c>
      <c r="AU119" t="str">
        <f t="shared" si="15"/>
        <v/>
      </c>
      <c r="AV119" t="str">
        <f ca="1">IF(114&gt;$AV$2,"",SMALL($AR$6:$AR$505,114))</f>
        <v/>
      </c>
      <c r="AW119" t="str">
        <f t="shared" ca="1" si="16"/>
        <v/>
      </c>
    </row>
    <row r="120" spans="2:49" x14ac:dyDescent="0.2">
      <c r="B120" s="32" t="str">
        <f>IF(AND(ISNUMBER(Roster!$B120),Setup!$B$20="Yes",ISNUMBER(Setup!$C$20)),EDATE(Roster!$B120,12*Setup!$C$20),"")</f>
        <v/>
      </c>
      <c r="C120" s="32" t="str">
        <f>IF(AND(ISNUMBER(Roster!$B120),Setup!$B$21="Yes",ISNUMBER(Setup!$C$21)),EDATE(Roster!$B120,12*Setup!$C$21),"")</f>
        <v/>
      </c>
      <c r="D120" s="32" t="str">
        <f>IF(AND(ISNUMBER(Roster!$B120),Setup!$B$22="Yes",ISNUMBER(Setup!$C$22)),EDATE(Roster!$B120,12*Setup!$C$22),"")</f>
        <v/>
      </c>
      <c r="E120" s="32" t="str">
        <f>IF(AND(ISNUMBER(Roster!$B120),Setup!$B$23="Yes",ISNUMBER(Setup!$C$23)),EDATE(Roster!$B120,12*Setup!$C$23),"")</f>
        <v/>
      </c>
      <c r="F120" s="32" t="str">
        <f>IF(AND(ISNUMBER(Roster!$B120),Setup!$B$24="Yes",ISNUMBER(Setup!$C$24)),EDATE(Roster!$B120,12*Setup!$C$24),"")</f>
        <v/>
      </c>
      <c r="G120" s="32" t="str">
        <f>IF(AND(ISNUMBER(Roster!$B120),Setup!$B$25="Yes",ISNUMBER(Setup!$C$25)),EDATE(Roster!$B120,12*Setup!$C$25),"")</f>
        <v/>
      </c>
      <c r="H120" s="32" t="str">
        <f>IF(AND(ISNUMBER(Roster!$B120),Setup!$B$26="Yes",ISNUMBER(Setup!$C$26)),EDATE(Roster!$B120,12*Setup!$C$26),"")</f>
        <v/>
      </c>
      <c r="I120" s="32" t="str">
        <f>IF(AND(ISNUMBER(Roster!$B120),Setup!$B$27="Yes",ISNUMBER(Setup!$C$27)),EDATE(Roster!$B120,12*Setup!$C$27),"")</f>
        <v/>
      </c>
      <c r="J120" s="32" t="str">
        <f>IF(AND(ISNUMBER(Roster!$B120),Setup!$B$28="Yes",ISNUMBER(Setup!$C$28)),EDATE(Roster!$B120,12*Setup!$C$28),"")</f>
        <v/>
      </c>
      <c r="K120" s="32" t="str">
        <f>IF(AND(ISNUMBER(Roster!$B120),Setup!$B$29="Yes",ISNUMBER(Setup!$C$29)),EDATE(Roster!$B120,12*Setup!$C$29),"")</f>
        <v/>
      </c>
      <c r="L120" s="32" t="str">
        <f>IF(AND(ISNUMBER(Roster!$B120),Setup!$B$30="Yes",ISNUMBER(Setup!$C$30)),EDATE(Roster!$B120,12*Setup!$C$30),"")</f>
        <v/>
      </c>
      <c r="M120" s="32" t="str">
        <f>IF(AND(ISNUMBER(Roster!$B120),Setup!$B$31="Yes",ISNUMBER(Setup!$C$31)),EDATE(Roster!$B120,12*Setup!$C$31),"")</f>
        <v/>
      </c>
      <c r="N120" s="32" t="str">
        <f>IF(AND(ISNUMBER(Roster!$B120),Setup!$B$32="Yes",ISNUMBER(Setup!$C$32)),EDATE(Roster!$B120,12*Setup!$C$32),"")</f>
        <v/>
      </c>
      <c r="O120" s="32" t="str">
        <f>IF(AND(ISNUMBER(Roster!$B120),Setup!$B$33="Yes",ISNUMBER(Setup!$C$33)),EDATE(Roster!$B120,12*Setup!$C$33),"")</f>
        <v/>
      </c>
      <c r="P120" s="32" t="str">
        <f>IF(AND(ISNUMBER(Roster!$B120),Setup!$B$34="Yes",ISNUMBER(Setup!$C$34)),EDATE(Roster!$B120,12*Setup!$C$34),"")</f>
        <v/>
      </c>
      <c r="R120" t="str">
        <f>IF(B120="","",IF(B120&lt;Setup!$C$5-Setup!$C$6,"",IF(IF(ISNUMBER(Roster!$D120),Setup!$C$20&lt;=Roster!$D120,FALSE),"",IF(OR(IF(Setup!$C$15&lt;=Setup!$C$16,AND(MONTH(B120)&gt;=Setup!$C$15,MONTH(B120)&lt;=Setup!$C$16),OR(MONTH(B120)&gt;=Setup!$C$15,MONTH(B120)&lt;=Setup!$C$16)),IF(Setup!$C$15&lt;=Setup!$C$16,AND(MONTH(WORKDAY(B120,-(Setup!$C$13+Setup!$G$20),Setup!$C$39:$C$50))&gt;=Setup!$C$15,MONTH(WORKDAY(B120,-(Setup!$C$13+Setup!$G$20),Setup!$C$39:$C$50))&lt;=Setup!$C$16),OR(MONTH(WORKDAY(B120,-(Setup!$C$13+Setup!$G$20),Setup!$C$39:$C$50))&gt;=Setup!$C$15,MONTH(WORKDAY(B120,-(Setup!$C$13+Setup!$G$20),Setup!$C$39:$C$50))&lt;=Setup!$C$16))),WORKDAY(B120,-(Setup!$C$13+Setup!$G$20+Setup!$C$14),Setup!$C$39:$C$50),WORKDAY(B120,-(Setup!$C$13+Setup!$G$20),Setup!$C$39:$C$50))+(115*100+1)/10000000)))</f>
        <v/>
      </c>
      <c r="S120" t="str">
        <f>IF(C120="","",IF(C120&lt;Setup!$C$5-Setup!$C$6,"",IF(IF(ISNUMBER(Roster!$D120),Setup!$C$21&lt;=Roster!$D120,FALSE),"",IF(OR(IF(Setup!$C$15&lt;=Setup!$C$16,AND(MONTH(C120)&gt;=Setup!$C$15,MONTH(C120)&lt;=Setup!$C$16),OR(MONTH(C120)&gt;=Setup!$C$15,MONTH(C120)&lt;=Setup!$C$16)),IF(Setup!$C$15&lt;=Setup!$C$16,AND(MONTH(WORKDAY(C120,-(Setup!$C$13+Setup!$G$21),Setup!$C$39:$C$50))&gt;=Setup!$C$15,MONTH(WORKDAY(C120,-(Setup!$C$13+Setup!$G$21),Setup!$C$39:$C$50))&lt;=Setup!$C$16),OR(MONTH(WORKDAY(C120,-(Setup!$C$13+Setup!$G$21),Setup!$C$39:$C$50))&gt;=Setup!$C$15,MONTH(WORKDAY(C120,-(Setup!$C$13+Setup!$G$21),Setup!$C$39:$C$50))&lt;=Setup!$C$16))),WORKDAY(C120,-(Setup!$C$13+Setup!$G$21+Setup!$C$14),Setup!$C$39:$C$50),WORKDAY(C120,-(Setup!$C$13+Setup!$G$21),Setup!$C$39:$C$50))+(115*100+2)/10000000)))</f>
        <v/>
      </c>
      <c r="T120" t="str">
        <f>IF(D120="","",IF(D120&lt;Setup!$C$5-Setup!$C$6,"",IF(IF(ISNUMBER(Roster!$D120),Setup!$C$22&lt;=Roster!$D120,FALSE),"",IF(OR(IF(Setup!$C$15&lt;=Setup!$C$16,AND(MONTH(D120)&gt;=Setup!$C$15,MONTH(D120)&lt;=Setup!$C$16),OR(MONTH(D120)&gt;=Setup!$C$15,MONTH(D120)&lt;=Setup!$C$16)),IF(Setup!$C$15&lt;=Setup!$C$16,AND(MONTH(WORKDAY(D120,-(Setup!$C$13+Setup!$G$22),Setup!$C$39:$C$50))&gt;=Setup!$C$15,MONTH(WORKDAY(D120,-(Setup!$C$13+Setup!$G$22),Setup!$C$39:$C$50))&lt;=Setup!$C$16),OR(MONTH(WORKDAY(D120,-(Setup!$C$13+Setup!$G$22),Setup!$C$39:$C$50))&gt;=Setup!$C$15,MONTH(WORKDAY(D120,-(Setup!$C$13+Setup!$G$22),Setup!$C$39:$C$50))&lt;=Setup!$C$16))),WORKDAY(D120,-(Setup!$C$13+Setup!$G$22+Setup!$C$14),Setup!$C$39:$C$50),WORKDAY(D120,-(Setup!$C$13+Setup!$G$22),Setup!$C$39:$C$50))+(115*100+3)/10000000)))</f>
        <v/>
      </c>
      <c r="U120" t="str">
        <f>IF(E120="","",IF(E120&lt;Setup!$C$5-Setup!$C$6,"",IF(IF(ISNUMBER(Roster!$D120),Setup!$C$23&lt;=Roster!$D120,FALSE),"",IF(OR(IF(Setup!$C$15&lt;=Setup!$C$16,AND(MONTH(E120)&gt;=Setup!$C$15,MONTH(E120)&lt;=Setup!$C$16),OR(MONTH(E120)&gt;=Setup!$C$15,MONTH(E120)&lt;=Setup!$C$16)),IF(Setup!$C$15&lt;=Setup!$C$16,AND(MONTH(WORKDAY(E120,-(Setup!$C$13+Setup!$G$23),Setup!$C$39:$C$50))&gt;=Setup!$C$15,MONTH(WORKDAY(E120,-(Setup!$C$13+Setup!$G$23),Setup!$C$39:$C$50))&lt;=Setup!$C$16),OR(MONTH(WORKDAY(E120,-(Setup!$C$13+Setup!$G$23),Setup!$C$39:$C$50))&gt;=Setup!$C$15,MONTH(WORKDAY(E120,-(Setup!$C$13+Setup!$G$23),Setup!$C$39:$C$50))&lt;=Setup!$C$16))),WORKDAY(E120,-(Setup!$C$13+Setup!$G$23+Setup!$C$14),Setup!$C$39:$C$50),WORKDAY(E120,-(Setup!$C$13+Setup!$G$23),Setup!$C$39:$C$50))+(115*100+4)/10000000)))</f>
        <v/>
      </c>
      <c r="V120" t="str">
        <f>IF(F120="","",IF(F120&lt;Setup!$C$5-Setup!$C$6,"",IF(IF(ISNUMBER(Roster!$D120),Setup!$C$24&lt;=Roster!$D120,FALSE),"",IF(OR(IF(Setup!$C$15&lt;=Setup!$C$16,AND(MONTH(F120)&gt;=Setup!$C$15,MONTH(F120)&lt;=Setup!$C$16),OR(MONTH(F120)&gt;=Setup!$C$15,MONTH(F120)&lt;=Setup!$C$16)),IF(Setup!$C$15&lt;=Setup!$C$16,AND(MONTH(WORKDAY(F120,-(Setup!$C$13+Setup!$G$24),Setup!$C$39:$C$50))&gt;=Setup!$C$15,MONTH(WORKDAY(F120,-(Setup!$C$13+Setup!$G$24),Setup!$C$39:$C$50))&lt;=Setup!$C$16),OR(MONTH(WORKDAY(F120,-(Setup!$C$13+Setup!$G$24),Setup!$C$39:$C$50))&gt;=Setup!$C$15,MONTH(WORKDAY(F120,-(Setup!$C$13+Setup!$G$24),Setup!$C$39:$C$50))&lt;=Setup!$C$16))),WORKDAY(F120,-(Setup!$C$13+Setup!$G$24+Setup!$C$14),Setup!$C$39:$C$50),WORKDAY(F120,-(Setup!$C$13+Setup!$G$24),Setup!$C$39:$C$50))+(115*100+5)/10000000)))</f>
        <v/>
      </c>
      <c r="W120" t="str">
        <f>IF(G120="","",IF(G120&lt;Setup!$C$5-Setup!$C$6,"",IF(IF(ISNUMBER(Roster!$D120),Setup!$C$25&lt;=Roster!$D120,FALSE),"",IF(OR(IF(Setup!$C$15&lt;=Setup!$C$16,AND(MONTH(G120)&gt;=Setup!$C$15,MONTH(G120)&lt;=Setup!$C$16),OR(MONTH(G120)&gt;=Setup!$C$15,MONTH(G120)&lt;=Setup!$C$16)),IF(Setup!$C$15&lt;=Setup!$C$16,AND(MONTH(WORKDAY(G120,-(Setup!$C$13+Setup!$G$25),Setup!$C$39:$C$50))&gt;=Setup!$C$15,MONTH(WORKDAY(G120,-(Setup!$C$13+Setup!$G$25),Setup!$C$39:$C$50))&lt;=Setup!$C$16),OR(MONTH(WORKDAY(G120,-(Setup!$C$13+Setup!$G$25),Setup!$C$39:$C$50))&gt;=Setup!$C$15,MONTH(WORKDAY(G120,-(Setup!$C$13+Setup!$G$25),Setup!$C$39:$C$50))&lt;=Setup!$C$16))),WORKDAY(G120,-(Setup!$C$13+Setup!$G$25+Setup!$C$14),Setup!$C$39:$C$50),WORKDAY(G120,-(Setup!$C$13+Setup!$G$25),Setup!$C$39:$C$50))+(115*100+6)/10000000)))</f>
        <v/>
      </c>
      <c r="X120" t="str">
        <f>IF(H120="","",IF(H120&lt;Setup!$C$5-Setup!$C$6,"",IF(IF(ISNUMBER(Roster!$D120),Setup!$C$26&lt;=Roster!$D120,FALSE),"",IF(OR(IF(Setup!$C$15&lt;=Setup!$C$16,AND(MONTH(H120)&gt;=Setup!$C$15,MONTH(H120)&lt;=Setup!$C$16),OR(MONTH(H120)&gt;=Setup!$C$15,MONTH(H120)&lt;=Setup!$C$16)),IF(Setup!$C$15&lt;=Setup!$C$16,AND(MONTH(WORKDAY(H120,-(Setup!$C$13+Setup!$G$26),Setup!$C$39:$C$50))&gt;=Setup!$C$15,MONTH(WORKDAY(H120,-(Setup!$C$13+Setup!$G$26),Setup!$C$39:$C$50))&lt;=Setup!$C$16),OR(MONTH(WORKDAY(H120,-(Setup!$C$13+Setup!$G$26),Setup!$C$39:$C$50))&gt;=Setup!$C$15,MONTH(WORKDAY(H120,-(Setup!$C$13+Setup!$G$26),Setup!$C$39:$C$50))&lt;=Setup!$C$16))),WORKDAY(H120,-(Setup!$C$13+Setup!$G$26+Setup!$C$14),Setup!$C$39:$C$50),WORKDAY(H120,-(Setup!$C$13+Setup!$G$26),Setup!$C$39:$C$50))+(115*100+7)/10000000)))</f>
        <v/>
      </c>
      <c r="Y120" t="str">
        <f>IF(I120="","",IF(I120&lt;Setup!$C$5-Setup!$C$6,"",IF(IF(ISNUMBER(Roster!$D120),Setup!$C$27&lt;=Roster!$D120,FALSE),"",IF(OR(IF(Setup!$C$15&lt;=Setup!$C$16,AND(MONTH(I120)&gt;=Setup!$C$15,MONTH(I120)&lt;=Setup!$C$16),OR(MONTH(I120)&gt;=Setup!$C$15,MONTH(I120)&lt;=Setup!$C$16)),IF(Setup!$C$15&lt;=Setup!$C$16,AND(MONTH(WORKDAY(I120,-(Setup!$C$13+Setup!$G$27),Setup!$C$39:$C$50))&gt;=Setup!$C$15,MONTH(WORKDAY(I120,-(Setup!$C$13+Setup!$G$27),Setup!$C$39:$C$50))&lt;=Setup!$C$16),OR(MONTH(WORKDAY(I120,-(Setup!$C$13+Setup!$G$27),Setup!$C$39:$C$50))&gt;=Setup!$C$15,MONTH(WORKDAY(I120,-(Setup!$C$13+Setup!$G$27),Setup!$C$39:$C$50))&lt;=Setup!$C$16))),WORKDAY(I120,-(Setup!$C$13+Setup!$G$27+Setup!$C$14),Setup!$C$39:$C$50),WORKDAY(I120,-(Setup!$C$13+Setup!$G$27),Setup!$C$39:$C$50))+(115*100+8)/10000000)))</f>
        <v/>
      </c>
      <c r="Z120" t="str">
        <f>IF(J120="","",IF(J120&lt;Setup!$C$5-Setup!$C$6,"",IF(IF(ISNUMBER(Roster!$D120),Setup!$C$28&lt;=Roster!$D120,FALSE),"",IF(OR(IF(Setup!$C$15&lt;=Setup!$C$16,AND(MONTH(J120)&gt;=Setup!$C$15,MONTH(J120)&lt;=Setup!$C$16),OR(MONTH(J120)&gt;=Setup!$C$15,MONTH(J120)&lt;=Setup!$C$16)),IF(Setup!$C$15&lt;=Setup!$C$16,AND(MONTH(WORKDAY(J120,-(Setup!$C$13+Setup!$G$28),Setup!$C$39:$C$50))&gt;=Setup!$C$15,MONTH(WORKDAY(J120,-(Setup!$C$13+Setup!$G$28),Setup!$C$39:$C$50))&lt;=Setup!$C$16),OR(MONTH(WORKDAY(J120,-(Setup!$C$13+Setup!$G$28),Setup!$C$39:$C$50))&gt;=Setup!$C$15,MONTH(WORKDAY(J120,-(Setup!$C$13+Setup!$G$28),Setup!$C$39:$C$50))&lt;=Setup!$C$16))),WORKDAY(J120,-(Setup!$C$13+Setup!$G$28+Setup!$C$14),Setup!$C$39:$C$50),WORKDAY(J120,-(Setup!$C$13+Setup!$G$28),Setup!$C$39:$C$50))+(115*100+9)/10000000)))</f>
        <v/>
      </c>
      <c r="AA120" t="str">
        <f>IF(K120="","",IF(K120&lt;Setup!$C$5-Setup!$C$6,"",IF(IF(ISNUMBER(Roster!$D120),Setup!$C$29&lt;=Roster!$D120,FALSE),"",IF(OR(IF(Setup!$C$15&lt;=Setup!$C$16,AND(MONTH(K120)&gt;=Setup!$C$15,MONTH(K120)&lt;=Setup!$C$16),OR(MONTH(K120)&gt;=Setup!$C$15,MONTH(K120)&lt;=Setup!$C$16)),IF(Setup!$C$15&lt;=Setup!$C$16,AND(MONTH(WORKDAY(K120,-(Setup!$C$13+Setup!$G$29),Setup!$C$39:$C$50))&gt;=Setup!$C$15,MONTH(WORKDAY(K120,-(Setup!$C$13+Setup!$G$29),Setup!$C$39:$C$50))&lt;=Setup!$C$16),OR(MONTH(WORKDAY(K120,-(Setup!$C$13+Setup!$G$29),Setup!$C$39:$C$50))&gt;=Setup!$C$15,MONTH(WORKDAY(K120,-(Setup!$C$13+Setup!$G$29),Setup!$C$39:$C$50))&lt;=Setup!$C$16))),WORKDAY(K120,-(Setup!$C$13+Setup!$G$29+Setup!$C$14),Setup!$C$39:$C$50),WORKDAY(K120,-(Setup!$C$13+Setup!$G$29),Setup!$C$39:$C$50))+(115*100+10)/10000000)))</f>
        <v/>
      </c>
      <c r="AB120" t="str">
        <f>IF(L120="","",IF(L120&lt;Setup!$C$5-Setup!$C$6,"",IF(IF(ISNUMBER(Roster!$D120),Setup!$C$30&lt;=Roster!$D120,FALSE),"",IF(OR(IF(Setup!$C$15&lt;=Setup!$C$16,AND(MONTH(L120)&gt;=Setup!$C$15,MONTH(L120)&lt;=Setup!$C$16),OR(MONTH(L120)&gt;=Setup!$C$15,MONTH(L120)&lt;=Setup!$C$16)),IF(Setup!$C$15&lt;=Setup!$C$16,AND(MONTH(WORKDAY(L120,-(Setup!$C$13+Setup!$G$30),Setup!$C$39:$C$50))&gt;=Setup!$C$15,MONTH(WORKDAY(L120,-(Setup!$C$13+Setup!$G$30),Setup!$C$39:$C$50))&lt;=Setup!$C$16),OR(MONTH(WORKDAY(L120,-(Setup!$C$13+Setup!$G$30),Setup!$C$39:$C$50))&gt;=Setup!$C$15,MONTH(WORKDAY(L120,-(Setup!$C$13+Setup!$G$30),Setup!$C$39:$C$50))&lt;=Setup!$C$16))),WORKDAY(L120,-(Setup!$C$13+Setup!$G$30+Setup!$C$14),Setup!$C$39:$C$50),WORKDAY(L120,-(Setup!$C$13+Setup!$G$30),Setup!$C$39:$C$50))+(115*100+11)/10000000)))</f>
        <v/>
      </c>
      <c r="AC120" t="str">
        <f>IF(M120="","",IF(M120&lt;Setup!$C$5-Setup!$C$6,"",IF(IF(ISNUMBER(Roster!$D120),Setup!$C$31&lt;=Roster!$D120,FALSE),"",IF(OR(IF(Setup!$C$15&lt;=Setup!$C$16,AND(MONTH(M120)&gt;=Setup!$C$15,MONTH(M120)&lt;=Setup!$C$16),OR(MONTH(M120)&gt;=Setup!$C$15,MONTH(M120)&lt;=Setup!$C$16)),IF(Setup!$C$15&lt;=Setup!$C$16,AND(MONTH(WORKDAY(M120,-(Setup!$C$13+Setup!$G$31),Setup!$C$39:$C$50))&gt;=Setup!$C$15,MONTH(WORKDAY(M120,-(Setup!$C$13+Setup!$G$31),Setup!$C$39:$C$50))&lt;=Setup!$C$16),OR(MONTH(WORKDAY(M120,-(Setup!$C$13+Setup!$G$31),Setup!$C$39:$C$50))&gt;=Setup!$C$15,MONTH(WORKDAY(M120,-(Setup!$C$13+Setup!$G$31),Setup!$C$39:$C$50))&lt;=Setup!$C$16))),WORKDAY(M120,-(Setup!$C$13+Setup!$G$31+Setup!$C$14),Setup!$C$39:$C$50),WORKDAY(M120,-(Setup!$C$13+Setup!$G$31),Setup!$C$39:$C$50))+(115*100+12)/10000000)))</f>
        <v/>
      </c>
      <c r="AD120" t="str">
        <f>IF(N120="","",IF(N120&lt;Setup!$C$5-Setup!$C$6,"",IF(IF(ISNUMBER(Roster!$D120),Setup!$C$32&lt;=Roster!$D120,FALSE),"",IF(OR(IF(Setup!$C$15&lt;=Setup!$C$16,AND(MONTH(N120)&gt;=Setup!$C$15,MONTH(N120)&lt;=Setup!$C$16),OR(MONTH(N120)&gt;=Setup!$C$15,MONTH(N120)&lt;=Setup!$C$16)),IF(Setup!$C$15&lt;=Setup!$C$16,AND(MONTH(WORKDAY(N120,-(Setup!$C$13+Setup!$G$32),Setup!$C$39:$C$50))&gt;=Setup!$C$15,MONTH(WORKDAY(N120,-(Setup!$C$13+Setup!$G$32),Setup!$C$39:$C$50))&lt;=Setup!$C$16),OR(MONTH(WORKDAY(N120,-(Setup!$C$13+Setup!$G$32),Setup!$C$39:$C$50))&gt;=Setup!$C$15,MONTH(WORKDAY(N120,-(Setup!$C$13+Setup!$G$32),Setup!$C$39:$C$50))&lt;=Setup!$C$16))),WORKDAY(N120,-(Setup!$C$13+Setup!$G$32+Setup!$C$14),Setup!$C$39:$C$50),WORKDAY(N120,-(Setup!$C$13+Setup!$G$32),Setup!$C$39:$C$50))+(115*100+13)/10000000)))</f>
        <v/>
      </c>
      <c r="AE120" t="str">
        <f>IF(O120="","",IF(O120&lt;Setup!$C$5-Setup!$C$6,"",IF(IF(ISNUMBER(Roster!$D120),Setup!$C$33&lt;=Roster!$D120,FALSE),"",IF(OR(IF(Setup!$C$15&lt;=Setup!$C$16,AND(MONTH(O120)&gt;=Setup!$C$15,MONTH(O120)&lt;=Setup!$C$16),OR(MONTH(O120)&gt;=Setup!$C$15,MONTH(O120)&lt;=Setup!$C$16)),IF(Setup!$C$15&lt;=Setup!$C$16,AND(MONTH(WORKDAY(O120,-(Setup!$C$13+Setup!$G$33),Setup!$C$39:$C$50))&gt;=Setup!$C$15,MONTH(WORKDAY(O120,-(Setup!$C$13+Setup!$G$33),Setup!$C$39:$C$50))&lt;=Setup!$C$16),OR(MONTH(WORKDAY(O120,-(Setup!$C$13+Setup!$G$33),Setup!$C$39:$C$50))&gt;=Setup!$C$15,MONTH(WORKDAY(O120,-(Setup!$C$13+Setup!$G$33),Setup!$C$39:$C$50))&lt;=Setup!$C$16))),WORKDAY(O120,-(Setup!$C$13+Setup!$G$33+Setup!$C$14),Setup!$C$39:$C$50),WORKDAY(O120,-(Setup!$C$13+Setup!$G$33),Setup!$C$39:$C$50))+(115*100+14)/10000000)))</f>
        <v/>
      </c>
      <c r="AF120" t="str">
        <f>IF(P120="","",IF(P120&lt;Setup!$C$5-Setup!$C$6,"",IF(IF(ISNUMBER(Roster!$D120),Setup!$C$34&lt;=Roster!$D120,FALSE),"",IF(OR(IF(Setup!$C$15&lt;=Setup!$C$16,AND(MONTH(P120)&gt;=Setup!$C$15,MONTH(P120)&lt;=Setup!$C$16),OR(MONTH(P120)&gt;=Setup!$C$15,MONTH(P120)&lt;=Setup!$C$16)),IF(Setup!$C$15&lt;=Setup!$C$16,AND(MONTH(WORKDAY(P120,-(Setup!$C$13+Setup!$G$34),Setup!$C$39:$C$50))&gt;=Setup!$C$15,MONTH(WORKDAY(P120,-(Setup!$C$13+Setup!$G$34),Setup!$C$39:$C$50))&lt;=Setup!$C$16),OR(MONTH(WORKDAY(P120,-(Setup!$C$13+Setup!$G$34),Setup!$C$39:$C$50))&gt;=Setup!$C$15,MONTH(WORKDAY(P120,-(Setup!$C$13+Setup!$G$34),Setup!$C$39:$C$50))&lt;=Setup!$C$16))),WORKDAY(P120,-(Setup!$C$13+Setup!$G$34+Setup!$C$14),Setup!$C$39:$C$50),WORKDAY(P120,-(Setup!$C$13+Setup!$G$34),Setup!$C$39:$C$50))+(115*100+15)/10000000)))</f>
        <v/>
      </c>
      <c r="AH120" t="str">
        <f t="shared" si="9"/>
        <v/>
      </c>
      <c r="AI120" t="str">
        <f t="shared" si="10"/>
        <v/>
      </c>
      <c r="AK120" t="str">
        <f ca="1">IF(115&gt;$AK$2,"",SMALL($R$6:$AF$505,115))</f>
        <v/>
      </c>
      <c r="AL120" t="str">
        <f t="shared" ca="1" si="11"/>
        <v/>
      </c>
      <c r="AM120" t="str">
        <f t="shared" ca="1" si="12"/>
        <v/>
      </c>
      <c r="AN120" t="str">
        <f t="shared" ca="1" si="13"/>
        <v/>
      </c>
      <c r="AP120" t="str">
        <f>IF(ISNUMBER(Roster!$B120),MAX(1,YEAR(Setup!$C$5)-YEAR(Roster!$B120)+IF(EDATE(Roster!$B120,12*(YEAR(Setup!$C$5)-YEAR(Roster!$B120)))&lt;Setup!$C$5,1,0)),"")</f>
        <v/>
      </c>
      <c r="AQ120" s="32" t="str">
        <f>IF(AP120="","",EDATE(Roster!$B120,12*AP120))</f>
        <v/>
      </c>
      <c r="AR120" t="str">
        <f>IF(AQ120="","",IF(AQ120&lt;DATE(YEAR(Setup!$C$5)+1,MONTH(Setup!$C$5),DAY(Setup!$C$5)),AQ120+115/1000,""))</f>
        <v/>
      </c>
      <c r="AS120" t="str">
        <f t="shared" si="14"/>
        <v/>
      </c>
      <c r="AT120" t="str">
        <f>IF(AS120="","",IF(ISNUMBER(Roster!$D120),Roster!$D120&gt;=AP120,FALSE))</f>
        <v/>
      </c>
      <c r="AU120" t="str">
        <f t="shared" si="15"/>
        <v/>
      </c>
      <c r="AV120" t="str">
        <f ca="1">IF(115&gt;$AV$2,"",SMALL($AR$6:$AR$505,115))</f>
        <v/>
      </c>
      <c r="AW120" t="str">
        <f t="shared" ca="1" si="16"/>
        <v/>
      </c>
    </row>
    <row r="121" spans="2:49" x14ac:dyDescent="0.2">
      <c r="B121" s="32" t="str">
        <f>IF(AND(ISNUMBER(Roster!$B121),Setup!$B$20="Yes",ISNUMBER(Setup!$C$20)),EDATE(Roster!$B121,12*Setup!$C$20),"")</f>
        <v/>
      </c>
      <c r="C121" s="32" t="str">
        <f>IF(AND(ISNUMBER(Roster!$B121),Setup!$B$21="Yes",ISNUMBER(Setup!$C$21)),EDATE(Roster!$B121,12*Setup!$C$21),"")</f>
        <v/>
      </c>
      <c r="D121" s="32" t="str">
        <f>IF(AND(ISNUMBER(Roster!$B121),Setup!$B$22="Yes",ISNUMBER(Setup!$C$22)),EDATE(Roster!$B121,12*Setup!$C$22),"")</f>
        <v/>
      </c>
      <c r="E121" s="32" t="str">
        <f>IF(AND(ISNUMBER(Roster!$B121),Setup!$B$23="Yes",ISNUMBER(Setup!$C$23)),EDATE(Roster!$B121,12*Setup!$C$23),"")</f>
        <v/>
      </c>
      <c r="F121" s="32" t="str">
        <f>IF(AND(ISNUMBER(Roster!$B121),Setup!$B$24="Yes",ISNUMBER(Setup!$C$24)),EDATE(Roster!$B121,12*Setup!$C$24),"")</f>
        <v/>
      </c>
      <c r="G121" s="32" t="str">
        <f>IF(AND(ISNUMBER(Roster!$B121),Setup!$B$25="Yes",ISNUMBER(Setup!$C$25)),EDATE(Roster!$B121,12*Setup!$C$25),"")</f>
        <v/>
      </c>
      <c r="H121" s="32" t="str">
        <f>IF(AND(ISNUMBER(Roster!$B121),Setup!$B$26="Yes",ISNUMBER(Setup!$C$26)),EDATE(Roster!$B121,12*Setup!$C$26),"")</f>
        <v/>
      </c>
      <c r="I121" s="32" t="str">
        <f>IF(AND(ISNUMBER(Roster!$B121),Setup!$B$27="Yes",ISNUMBER(Setup!$C$27)),EDATE(Roster!$B121,12*Setup!$C$27),"")</f>
        <v/>
      </c>
      <c r="J121" s="32" t="str">
        <f>IF(AND(ISNUMBER(Roster!$B121),Setup!$B$28="Yes",ISNUMBER(Setup!$C$28)),EDATE(Roster!$B121,12*Setup!$C$28),"")</f>
        <v/>
      </c>
      <c r="K121" s="32" t="str">
        <f>IF(AND(ISNUMBER(Roster!$B121),Setup!$B$29="Yes",ISNUMBER(Setup!$C$29)),EDATE(Roster!$B121,12*Setup!$C$29),"")</f>
        <v/>
      </c>
      <c r="L121" s="32" t="str">
        <f>IF(AND(ISNUMBER(Roster!$B121),Setup!$B$30="Yes",ISNUMBER(Setup!$C$30)),EDATE(Roster!$B121,12*Setup!$C$30),"")</f>
        <v/>
      </c>
      <c r="M121" s="32" t="str">
        <f>IF(AND(ISNUMBER(Roster!$B121),Setup!$B$31="Yes",ISNUMBER(Setup!$C$31)),EDATE(Roster!$B121,12*Setup!$C$31),"")</f>
        <v/>
      </c>
      <c r="N121" s="32" t="str">
        <f>IF(AND(ISNUMBER(Roster!$B121),Setup!$B$32="Yes",ISNUMBER(Setup!$C$32)),EDATE(Roster!$B121,12*Setup!$C$32),"")</f>
        <v/>
      </c>
      <c r="O121" s="32" t="str">
        <f>IF(AND(ISNUMBER(Roster!$B121),Setup!$B$33="Yes",ISNUMBER(Setup!$C$33)),EDATE(Roster!$B121,12*Setup!$C$33),"")</f>
        <v/>
      </c>
      <c r="P121" s="32" t="str">
        <f>IF(AND(ISNUMBER(Roster!$B121),Setup!$B$34="Yes",ISNUMBER(Setup!$C$34)),EDATE(Roster!$B121,12*Setup!$C$34),"")</f>
        <v/>
      </c>
      <c r="R121" t="str">
        <f>IF(B121="","",IF(B121&lt;Setup!$C$5-Setup!$C$6,"",IF(IF(ISNUMBER(Roster!$D121),Setup!$C$20&lt;=Roster!$D121,FALSE),"",IF(OR(IF(Setup!$C$15&lt;=Setup!$C$16,AND(MONTH(B121)&gt;=Setup!$C$15,MONTH(B121)&lt;=Setup!$C$16),OR(MONTH(B121)&gt;=Setup!$C$15,MONTH(B121)&lt;=Setup!$C$16)),IF(Setup!$C$15&lt;=Setup!$C$16,AND(MONTH(WORKDAY(B121,-(Setup!$C$13+Setup!$G$20),Setup!$C$39:$C$50))&gt;=Setup!$C$15,MONTH(WORKDAY(B121,-(Setup!$C$13+Setup!$G$20),Setup!$C$39:$C$50))&lt;=Setup!$C$16),OR(MONTH(WORKDAY(B121,-(Setup!$C$13+Setup!$G$20),Setup!$C$39:$C$50))&gt;=Setup!$C$15,MONTH(WORKDAY(B121,-(Setup!$C$13+Setup!$G$20),Setup!$C$39:$C$50))&lt;=Setup!$C$16))),WORKDAY(B121,-(Setup!$C$13+Setup!$G$20+Setup!$C$14),Setup!$C$39:$C$50),WORKDAY(B121,-(Setup!$C$13+Setup!$G$20),Setup!$C$39:$C$50))+(116*100+1)/10000000)))</f>
        <v/>
      </c>
      <c r="S121" t="str">
        <f>IF(C121="","",IF(C121&lt;Setup!$C$5-Setup!$C$6,"",IF(IF(ISNUMBER(Roster!$D121),Setup!$C$21&lt;=Roster!$D121,FALSE),"",IF(OR(IF(Setup!$C$15&lt;=Setup!$C$16,AND(MONTH(C121)&gt;=Setup!$C$15,MONTH(C121)&lt;=Setup!$C$16),OR(MONTH(C121)&gt;=Setup!$C$15,MONTH(C121)&lt;=Setup!$C$16)),IF(Setup!$C$15&lt;=Setup!$C$16,AND(MONTH(WORKDAY(C121,-(Setup!$C$13+Setup!$G$21),Setup!$C$39:$C$50))&gt;=Setup!$C$15,MONTH(WORKDAY(C121,-(Setup!$C$13+Setup!$G$21),Setup!$C$39:$C$50))&lt;=Setup!$C$16),OR(MONTH(WORKDAY(C121,-(Setup!$C$13+Setup!$G$21),Setup!$C$39:$C$50))&gt;=Setup!$C$15,MONTH(WORKDAY(C121,-(Setup!$C$13+Setup!$G$21),Setup!$C$39:$C$50))&lt;=Setup!$C$16))),WORKDAY(C121,-(Setup!$C$13+Setup!$G$21+Setup!$C$14),Setup!$C$39:$C$50),WORKDAY(C121,-(Setup!$C$13+Setup!$G$21),Setup!$C$39:$C$50))+(116*100+2)/10000000)))</f>
        <v/>
      </c>
      <c r="T121" t="str">
        <f>IF(D121="","",IF(D121&lt;Setup!$C$5-Setup!$C$6,"",IF(IF(ISNUMBER(Roster!$D121),Setup!$C$22&lt;=Roster!$D121,FALSE),"",IF(OR(IF(Setup!$C$15&lt;=Setup!$C$16,AND(MONTH(D121)&gt;=Setup!$C$15,MONTH(D121)&lt;=Setup!$C$16),OR(MONTH(D121)&gt;=Setup!$C$15,MONTH(D121)&lt;=Setup!$C$16)),IF(Setup!$C$15&lt;=Setup!$C$16,AND(MONTH(WORKDAY(D121,-(Setup!$C$13+Setup!$G$22),Setup!$C$39:$C$50))&gt;=Setup!$C$15,MONTH(WORKDAY(D121,-(Setup!$C$13+Setup!$G$22),Setup!$C$39:$C$50))&lt;=Setup!$C$16),OR(MONTH(WORKDAY(D121,-(Setup!$C$13+Setup!$G$22),Setup!$C$39:$C$50))&gt;=Setup!$C$15,MONTH(WORKDAY(D121,-(Setup!$C$13+Setup!$G$22),Setup!$C$39:$C$50))&lt;=Setup!$C$16))),WORKDAY(D121,-(Setup!$C$13+Setup!$G$22+Setup!$C$14),Setup!$C$39:$C$50),WORKDAY(D121,-(Setup!$C$13+Setup!$G$22),Setup!$C$39:$C$50))+(116*100+3)/10000000)))</f>
        <v/>
      </c>
      <c r="U121" t="str">
        <f>IF(E121="","",IF(E121&lt;Setup!$C$5-Setup!$C$6,"",IF(IF(ISNUMBER(Roster!$D121),Setup!$C$23&lt;=Roster!$D121,FALSE),"",IF(OR(IF(Setup!$C$15&lt;=Setup!$C$16,AND(MONTH(E121)&gt;=Setup!$C$15,MONTH(E121)&lt;=Setup!$C$16),OR(MONTH(E121)&gt;=Setup!$C$15,MONTH(E121)&lt;=Setup!$C$16)),IF(Setup!$C$15&lt;=Setup!$C$16,AND(MONTH(WORKDAY(E121,-(Setup!$C$13+Setup!$G$23),Setup!$C$39:$C$50))&gt;=Setup!$C$15,MONTH(WORKDAY(E121,-(Setup!$C$13+Setup!$G$23),Setup!$C$39:$C$50))&lt;=Setup!$C$16),OR(MONTH(WORKDAY(E121,-(Setup!$C$13+Setup!$G$23),Setup!$C$39:$C$50))&gt;=Setup!$C$15,MONTH(WORKDAY(E121,-(Setup!$C$13+Setup!$G$23),Setup!$C$39:$C$50))&lt;=Setup!$C$16))),WORKDAY(E121,-(Setup!$C$13+Setup!$G$23+Setup!$C$14),Setup!$C$39:$C$50),WORKDAY(E121,-(Setup!$C$13+Setup!$G$23),Setup!$C$39:$C$50))+(116*100+4)/10000000)))</f>
        <v/>
      </c>
      <c r="V121" t="str">
        <f>IF(F121="","",IF(F121&lt;Setup!$C$5-Setup!$C$6,"",IF(IF(ISNUMBER(Roster!$D121),Setup!$C$24&lt;=Roster!$D121,FALSE),"",IF(OR(IF(Setup!$C$15&lt;=Setup!$C$16,AND(MONTH(F121)&gt;=Setup!$C$15,MONTH(F121)&lt;=Setup!$C$16),OR(MONTH(F121)&gt;=Setup!$C$15,MONTH(F121)&lt;=Setup!$C$16)),IF(Setup!$C$15&lt;=Setup!$C$16,AND(MONTH(WORKDAY(F121,-(Setup!$C$13+Setup!$G$24),Setup!$C$39:$C$50))&gt;=Setup!$C$15,MONTH(WORKDAY(F121,-(Setup!$C$13+Setup!$G$24),Setup!$C$39:$C$50))&lt;=Setup!$C$16),OR(MONTH(WORKDAY(F121,-(Setup!$C$13+Setup!$G$24),Setup!$C$39:$C$50))&gt;=Setup!$C$15,MONTH(WORKDAY(F121,-(Setup!$C$13+Setup!$G$24),Setup!$C$39:$C$50))&lt;=Setup!$C$16))),WORKDAY(F121,-(Setup!$C$13+Setup!$G$24+Setup!$C$14),Setup!$C$39:$C$50),WORKDAY(F121,-(Setup!$C$13+Setup!$G$24),Setup!$C$39:$C$50))+(116*100+5)/10000000)))</f>
        <v/>
      </c>
      <c r="W121" t="str">
        <f>IF(G121="","",IF(G121&lt;Setup!$C$5-Setup!$C$6,"",IF(IF(ISNUMBER(Roster!$D121),Setup!$C$25&lt;=Roster!$D121,FALSE),"",IF(OR(IF(Setup!$C$15&lt;=Setup!$C$16,AND(MONTH(G121)&gt;=Setup!$C$15,MONTH(G121)&lt;=Setup!$C$16),OR(MONTH(G121)&gt;=Setup!$C$15,MONTH(G121)&lt;=Setup!$C$16)),IF(Setup!$C$15&lt;=Setup!$C$16,AND(MONTH(WORKDAY(G121,-(Setup!$C$13+Setup!$G$25),Setup!$C$39:$C$50))&gt;=Setup!$C$15,MONTH(WORKDAY(G121,-(Setup!$C$13+Setup!$G$25),Setup!$C$39:$C$50))&lt;=Setup!$C$16),OR(MONTH(WORKDAY(G121,-(Setup!$C$13+Setup!$G$25),Setup!$C$39:$C$50))&gt;=Setup!$C$15,MONTH(WORKDAY(G121,-(Setup!$C$13+Setup!$G$25),Setup!$C$39:$C$50))&lt;=Setup!$C$16))),WORKDAY(G121,-(Setup!$C$13+Setup!$G$25+Setup!$C$14),Setup!$C$39:$C$50),WORKDAY(G121,-(Setup!$C$13+Setup!$G$25),Setup!$C$39:$C$50))+(116*100+6)/10000000)))</f>
        <v/>
      </c>
      <c r="X121" t="str">
        <f>IF(H121="","",IF(H121&lt;Setup!$C$5-Setup!$C$6,"",IF(IF(ISNUMBER(Roster!$D121),Setup!$C$26&lt;=Roster!$D121,FALSE),"",IF(OR(IF(Setup!$C$15&lt;=Setup!$C$16,AND(MONTH(H121)&gt;=Setup!$C$15,MONTH(H121)&lt;=Setup!$C$16),OR(MONTH(H121)&gt;=Setup!$C$15,MONTH(H121)&lt;=Setup!$C$16)),IF(Setup!$C$15&lt;=Setup!$C$16,AND(MONTH(WORKDAY(H121,-(Setup!$C$13+Setup!$G$26),Setup!$C$39:$C$50))&gt;=Setup!$C$15,MONTH(WORKDAY(H121,-(Setup!$C$13+Setup!$G$26),Setup!$C$39:$C$50))&lt;=Setup!$C$16),OR(MONTH(WORKDAY(H121,-(Setup!$C$13+Setup!$G$26),Setup!$C$39:$C$50))&gt;=Setup!$C$15,MONTH(WORKDAY(H121,-(Setup!$C$13+Setup!$G$26),Setup!$C$39:$C$50))&lt;=Setup!$C$16))),WORKDAY(H121,-(Setup!$C$13+Setup!$G$26+Setup!$C$14),Setup!$C$39:$C$50),WORKDAY(H121,-(Setup!$C$13+Setup!$G$26),Setup!$C$39:$C$50))+(116*100+7)/10000000)))</f>
        <v/>
      </c>
      <c r="Y121" t="str">
        <f>IF(I121="","",IF(I121&lt;Setup!$C$5-Setup!$C$6,"",IF(IF(ISNUMBER(Roster!$D121),Setup!$C$27&lt;=Roster!$D121,FALSE),"",IF(OR(IF(Setup!$C$15&lt;=Setup!$C$16,AND(MONTH(I121)&gt;=Setup!$C$15,MONTH(I121)&lt;=Setup!$C$16),OR(MONTH(I121)&gt;=Setup!$C$15,MONTH(I121)&lt;=Setup!$C$16)),IF(Setup!$C$15&lt;=Setup!$C$16,AND(MONTH(WORKDAY(I121,-(Setup!$C$13+Setup!$G$27),Setup!$C$39:$C$50))&gt;=Setup!$C$15,MONTH(WORKDAY(I121,-(Setup!$C$13+Setup!$G$27),Setup!$C$39:$C$50))&lt;=Setup!$C$16),OR(MONTH(WORKDAY(I121,-(Setup!$C$13+Setup!$G$27),Setup!$C$39:$C$50))&gt;=Setup!$C$15,MONTH(WORKDAY(I121,-(Setup!$C$13+Setup!$G$27),Setup!$C$39:$C$50))&lt;=Setup!$C$16))),WORKDAY(I121,-(Setup!$C$13+Setup!$G$27+Setup!$C$14),Setup!$C$39:$C$50),WORKDAY(I121,-(Setup!$C$13+Setup!$G$27),Setup!$C$39:$C$50))+(116*100+8)/10000000)))</f>
        <v/>
      </c>
      <c r="Z121" t="str">
        <f>IF(J121="","",IF(J121&lt;Setup!$C$5-Setup!$C$6,"",IF(IF(ISNUMBER(Roster!$D121),Setup!$C$28&lt;=Roster!$D121,FALSE),"",IF(OR(IF(Setup!$C$15&lt;=Setup!$C$16,AND(MONTH(J121)&gt;=Setup!$C$15,MONTH(J121)&lt;=Setup!$C$16),OR(MONTH(J121)&gt;=Setup!$C$15,MONTH(J121)&lt;=Setup!$C$16)),IF(Setup!$C$15&lt;=Setup!$C$16,AND(MONTH(WORKDAY(J121,-(Setup!$C$13+Setup!$G$28),Setup!$C$39:$C$50))&gt;=Setup!$C$15,MONTH(WORKDAY(J121,-(Setup!$C$13+Setup!$G$28),Setup!$C$39:$C$50))&lt;=Setup!$C$16),OR(MONTH(WORKDAY(J121,-(Setup!$C$13+Setup!$G$28),Setup!$C$39:$C$50))&gt;=Setup!$C$15,MONTH(WORKDAY(J121,-(Setup!$C$13+Setup!$G$28),Setup!$C$39:$C$50))&lt;=Setup!$C$16))),WORKDAY(J121,-(Setup!$C$13+Setup!$G$28+Setup!$C$14),Setup!$C$39:$C$50),WORKDAY(J121,-(Setup!$C$13+Setup!$G$28),Setup!$C$39:$C$50))+(116*100+9)/10000000)))</f>
        <v/>
      </c>
      <c r="AA121" t="str">
        <f>IF(K121="","",IF(K121&lt;Setup!$C$5-Setup!$C$6,"",IF(IF(ISNUMBER(Roster!$D121),Setup!$C$29&lt;=Roster!$D121,FALSE),"",IF(OR(IF(Setup!$C$15&lt;=Setup!$C$16,AND(MONTH(K121)&gt;=Setup!$C$15,MONTH(K121)&lt;=Setup!$C$16),OR(MONTH(K121)&gt;=Setup!$C$15,MONTH(K121)&lt;=Setup!$C$16)),IF(Setup!$C$15&lt;=Setup!$C$16,AND(MONTH(WORKDAY(K121,-(Setup!$C$13+Setup!$G$29),Setup!$C$39:$C$50))&gt;=Setup!$C$15,MONTH(WORKDAY(K121,-(Setup!$C$13+Setup!$G$29),Setup!$C$39:$C$50))&lt;=Setup!$C$16),OR(MONTH(WORKDAY(K121,-(Setup!$C$13+Setup!$G$29),Setup!$C$39:$C$50))&gt;=Setup!$C$15,MONTH(WORKDAY(K121,-(Setup!$C$13+Setup!$G$29),Setup!$C$39:$C$50))&lt;=Setup!$C$16))),WORKDAY(K121,-(Setup!$C$13+Setup!$G$29+Setup!$C$14),Setup!$C$39:$C$50),WORKDAY(K121,-(Setup!$C$13+Setup!$G$29),Setup!$C$39:$C$50))+(116*100+10)/10000000)))</f>
        <v/>
      </c>
      <c r="AB121" t="str">
        <f>IF(L121="","",IF(L121&lt;Setup!$C$5-Setup!$C$6,"",IF(IF(ISNUMBER(Roster!$D121),Setup!$C$30&lt;=Roster!$D121,FALSE),"",IF(OR(IF(Setup!$C$15&lt;=Setup!$C$16,AND(MONTH(L121)&gt;=Setup!$C$15,MONTH(L121)&lt;=Setup!$C$16),OR(MONTH(L121)&gt;=Setup!$C$15,MONTH(L121)&lt;=Setup!$C$16)),IF(Setup!$C$15&lt;=Setup!$C$16,AND(MONTH(WORKDAY(L121,-(Setup!$C$13+Setup!$G$30),Setup!$C$39:$C$50))&gt;=Setup!$C$15,MONTH(WORKDAY(L121,-(Setup!$C$13+Setup!$G$30),Setup!$C$39:$C$50))&lt;=Setup!$C$16),OR(MONTH(WORKDAY(L121,-(Setup!$C$13+Setup!$G$30),Setup!$C$39:$C$50))&gt;=Setup!$C$15,MONTH(WORKDAY(L121,-(Setup!$C$13+Setup!$G$30),Setup!$C$39:$C$50))&lt;=Setup!$C$16))),WORKDAY(L121,-(Setup!$C$13+Setup!$G$30+Setup!$C$14),Setup!$C$39:$C$50),WORKDAY(L121,-(Setup!$C$13+Setup!$G$30),Setup!$C$39:$C$50))+(116*100+11)/10000000)))</f>
        <v/>
      </c>
      <c r="AC121" t="str">
        <f>IF(M121="","",IF(M121&lt;Setup!$C$5-Setup!$C$6,"",IF(IF(ISNUMBER(Roster!$D121),Setup!$C$31&lt;=Roster!$D121,FALSE),"",IF(OR(IF(Setup!$C$15&lt;=Setup!$C$16,AND(MONTH(M121)&gt;=Setup!$C$15,MONTH(M121)&lt;=Setup!$C$16),OR(MONTH(M121)&gt;=Setup!$C$15,MONTH(M121)&lt;=Setup!$C$16)),IF(Setup!$C$15&lt;=Setup!$C$16,AND(MONTH(WORKDAY(M121,-(Setup!$C$13+Setup!$G$31),Setup!$C$39:$C$50))&gt;=Setup!$C$15,MONTH(WORKDAY(M121,-(Setup!$C$13+Setup!$G$31),Setup!$C$39:$C$50))&lt;=Setup!$C$16),OR(MONTH(WORKDAY(M121,-(Setup!$C$13+Setup!$G$31),Setup!$C$39:$C$50))&gt;=Setup!$C$15,MONTH(WORKDAY(M121,-(Setup!$C$13+Setup!$G$31),Setup!$C$39:$C$50))&lt;=Setup!$C$16))),WORKDAY(M121,-(Setup!$C$13+Setup!$G$31+Setup!$C$14),Setup!$C$39:$C$50),WORKDAY(M121,-(Setup!$C$13+Setup!$G$31),Setup!$C$39:$C$50))+(116*100+12)/10000000)))</f>
        <v/>
      </c>
      <c r="AD121" t="str">
        <f>IF(N121="","",IF(N121&lt;Setup!$C$5-Setup!$C$6,"",IF(IF(ISNUMBER(Roster!$D121),Setup!$C$32&lt;=Roster!$D121,FALSE),"",IF(OR(IF(Setup!$C$15&lt;=Setup!$C$16,AND(MONTH(N121)&gt;=Setup!$C$15,MONTH(N121)&lt;=Setup!$C$16),OR(MONTH(N121)&gt;=Setup!$C$15,MONTH(N121)&lt;=Setup!$C$16)),IF(Setup!$C$15&lt;=Setup!$C$16,AND(MONTH(WORKDAY(N121,-(Setup!$C$13+Setup!$G$32),Setup!$C$39:$C$50))&gt;=Setup!$C$15,MONTH(WORKDAY(N121,-(Setup!$C$13+Setup!$G$32),Setup!$C$39:$C$50))&lt;=Setup!$C$16),OR(MONTH(WORKDAY(N121,-(Setup!$C$13+Setup!$G$32),Setup!$C$39:$C$50))&gt;=Setup!$C$15,MONTH(WORKDAY(N121,-(Setup!$C$13+Setup!$G$32),Setup!$C$39:$C$50))&lt;=Setup!$C$16))),WORKDAY(N121,-(Setup!$C$13+Setup!$G$32+Setup!$C$14),Setup!$C$39:$C$50),WORKDAY(N121,-(Setup!$C$13+Setup!$G$32),Setup!$C$39:$C$50))+(116*100+13)/10000000)))</f>
        <v/>
      </c>
      <c r="AE121" t="str">
        <f>IF(O121="","",IF(O121&lt;Setup!$C$5-Setup!$C$6,"",IF(IF(ISNUMBER(Roster!$D121),Setup!$C$33&lt;=Roster!$D121,FALSE),"",IF(OR(IF(Setup!$C$15&lt;=Setup!$C$16,AND(MONTH(O121)&gt;=Setup!$C$15,MONTH(O121)&lt;=Setup!$C$16),OR(MONTH(O121)&gt;=Setup!$C$15,MONTH(O121)&lt;=Setup!$C$16)),IF(Setup!$C$15&lt;=Setup!$C$16,AND(MONTH(WORKDAY(O121,-(Setup!$C$13+Setup!$G$33),Setup!$C$39:$C$50))&gt;=Setup!$C$15,MONTH(WORKDAY(O121,-(Setup!$C$13+Setup!$G$33),Setup!$C$39:$C$50))&lt;=Setup!$C$16),OR(MONTH(WORKDAY(O121,-(Setup!$C$13+Setup!$G$33),Setup!$C$39:$C$50))&gt;=Setup!$C$15,MONTH(WORKDAY(O121,-(Setup!$C$13+Setup!$G$33),Setup!$C$39:$C$50))&lt;=Setup!$C$16))),WORKDAY(O121,-(Setup!$C$13+Setup!$G$33+Setup!$C$14),Setup!$C$39:$C$50),WORKDAY(O121,-(Setup!$C$13+Setup!$G$33),Setup!$C$39:$C$50))+(116*100+14)/10000000)))</f>
        <v/>
      </c>
      <c r="AF121" t="str">
        <f>IF(P121="","",IF(P121&lt;Setup!$C$5-Setup!$C$6,"",IF(IF(ISNUMBER(Roster!$D121),Setup!$C$34&lt;=Roster!$D121,FALSE),"",IF(OR(IF(Setup!$C$15&lt;=Setup!$C$16,AND(MONTH(P121)&gt;=Setup!$C$15,MONTH(P121)&lt;=Setup!$C$16),OR(MONTH(P121)&gt;=Setup!$C$15,MONTH(P121)&lt;=Setup!$C$16)),IF(Setup!$C$15&lt;=Setup!$C$16,AND(MONTH(WORKDAY(P121,-(Setup!$C$13+Setup!$G$34),Setup!$C$39:$C$50))&gt;=Setup!$C$15,MONTH(WORKDAY(P121,-(Setup!$C$13+Setup!$G$34),Setup!$C$39:$C$50))&lt;=Setup!$C$16),OR(MONTH(WORKDAY(P121,-(Setup!$C$13+Setup!$G$34),Setup!$C$39:$C$50))&gt;=Setup!$C$15,MONTH(WORKDAY(P121,-(Setup!$C$13+Setup!$G$34),Setup!$C$39:$C$50))&lt;=Setup!$C$16))),WORKDAY(P121,-(Setup!$C$13+Setup!$G$34+Setup!$C$14),Setup!$C$39:$C$50),WORKDAY(P121,-(Setup!$C$13+Setup!$G$34),Setup!$C$39:$C$50))+(116*100+15)/10000000)))</f>
        <v/>
      </c>
      <c r="AH121" t="str">
        <f t="shared" si="9"/>
        <v/>
      </c>
      <c r="AI121" t="str">
        <f t="shared" si="10"/>
        <v/>
      </c>
      <c r="AK121" t="str">
        <f ca="1">IF(116&gt;$AK$2,"",SMALL($R$6:$AF$505,116))</f>
        <v/>
      </c>
      <c r="AL121" t="str">
        <f t="shared" ca="1" si="11"/>
        <v/>
      </c>
      <c r="AM121" t="str">
        <f t="shared" ca="1" si="12"/>
        <v/>
      </c>
      <c r="AN121" t="str">
        <f t="shared" ca="1" si="13"/>
        <v/>
      </c>
      <c r="AP121" t="str">
        <f>IF(ISNUMBER(Roster!$B121),MAX(1,YEAR(Setup!$C$5)-YEAR(Roster!$B121)+IF(EDATE(Roster!$B121,12*(YEAR(Setup!$C$5)-YEAR(Roster!$B121)))&lt;Setup!$C$5,1,0)),"")</f>
        <v/>
      </c>
      <c r="AQ121" s="32" t="str">
        <f>IF(AP121="","",EDATE(Roster!$B121,12*AP121))</f>
        <v/>
      </c>
      <c r="AR121" t="str">
        <f>IF(AQ121="","",IF(AQ121&lt;DATE(YEAR(Setup!$C$5)+1,MONTH(Setup!$C$5),DAY(Setup!$C$5)),AQ121+116/1000,""))</f>
        <v/>
      </c>
      <c r="AS121" t="str">
        <f t="shared" si="14"/>
        <v/>
      </c>
      <c r="AT121" t="str">
        <f>IF(AS121="","",IF(ISNUMBER(Roster!$D121),Roster!$D121&gt;=AP121,FALSE))</f>
        <v/>
      </c>
      <c r="AU121" t="str">
        <f t="shared" si="15"/>
        <v/>
      </c>
      <c r="AV121" t="str">
        <f ca="1">IF(116&gt;$AV$2,"",SMALL($AR$6:$AR$505,116))</f>
        <v/>
      </c>
      <c r="AW121" t="str">
        <f t="shared" ca="1" si="16"/>
        <v/>
      </c>
    </row>
    <row r="122" spans="2:49" x14ac:dyDescent="0.2">
      <c r="B122" s="32" t="str">
        <f>IF(AND(ISNUMBER(Roster!$B122),Setup!$B$20="Yes",ISNUMBER(Setup!$C$20)),EDATE(Roster!$B122,12*Setup!$C$20),"")</f>
        <v/>
      </c>
      <c r="C122" s="32" t="str">
        <f>IF(AND(ISNUMBER(Roster!$B122),Setup!$B$21="Yes",ISNUMBER(Setup!$C$21)),EDATE(Roster!$B122,12*Setup!$C$21),"")</f>
        <v/>
      </c>
      <c r="D122" s="32" t="str">
        <f>IF(AND(ISNUMBER(Roster!$B122),Setup!$B$22="Yes",ISNUMBER(Setup!$C$22)),EDATE(Roster!$B122,12*Setup!$C$22),"")</f>
        <v/>
      </c>
      <c r="E122" s="32" t="str">
        <f>IF(AND(ISNUMBER(Roster!$B122),Setup!$B$23="Yes",ISNUMBER(Setup!$C$23)),EDATE(Roster!$B122,12*Setup!$C$23),"")</f>
        <v/>
      </c>
      <c r="F122" s="32" t="str">
        <f>IF(AND(ISNUMBER(Roster!$B122),Setup!$B$24="Yes",ISNUMBER(Setup!$C$24)),EDATE(Roster!$B122,12*Setup!$C$24),"")</f>
        <v/>
      </c>
      <c r="G122" s="32" t="str">
        <f>IF(AND(ISNUMBER(Roster!$B122),Setup!$B$25="Yes",ISNUMBER(Setup!$C$25)),EDATE(Roster!$B122,12*Setup!$C$25),"")</f>
        <v/>
      </c>
      <c r="H122" s="32" t="str">
        <f>IF(AND(ISNUMBER(Roster!$B122),Setup!$B$26="Yes",ISNUMBER(Setup!$C$26)),EDATE(Roster!$B122,12*Setup!$C$26),"")</f>
        <v/>
      </c>
      <c r="I122" s="32" t="str">
        <f>IF(AND(ISNUMBER(Roster!$B122),Setup!$B$27="Yes",ISNUMBER(Setup!$C$27)),EDATE(Roster!$B122,12*Setup!$C$27),"")</f>
        <v/>
      </c>
      <c r="J122" s="32" t="str">
        <f>IF(AND(ISNUMBER(Roster!$B122),Setup!$B$28="Yes",ISNUMBER(Setup!$C$28)),EDATE(Roster!$B122,12*Setup!$C$28),"")</f>
        <v/>
      </c>
      <c r="K122" s="32" t="str">
        <f>IF(AND(ISNUMBER(Roster!$B122),Setup!$B$29="Yes",ISNUMBER(Setup!$C$29)),EDATE(Roster!$B122,12*Setup!$C$29),"")</f>
        <v/>
      </c>
      <c r="L122" s="32" t="str">
        <f>IF(AND(ISNUMBER(Roster!$B122),Setup!$B$30="Yes",ISNUMBER(Setup!$C$30)),EDATE(Roster!$B122,12*Setup!$C$30),"")</f>
        <v/>
      </c>
      <c r="M122" s="32" t="str">
        <f>IF(AND(ISNUMBER(Roster!$B122),Setup!$B$31="Yes",ISNUMBER(Setup!$C$31)),EDATE(Roster!$B122,12*Setup!$C$31),"")</f>
        <v/>
      </c>
      <c r="N122" s="32" t="str">
        <f>IF(AND(ISNUMBER(Roster!$B122),Setup!$B$32="Yes",ISNUMBER(Setup!$C$32)),EDATE(Roster!$B122,12*Setup!$C$32),"")</f>
        <v/>
      </c>
      <c r="O122" s="32" t="str">
        <f>IF(AND(ISNUMBER(Roster!$B122),Setup!$B$33="Yes",ISNUMBER(Setup!$C$33)),EDATE(Roster!$B122,12*Setup!$C$33),"")</f>
        <v/>
      </c>
      <c r="P122" s="32" t="str">
        <f>IF(AND(ISNUMBER(Roster!$B122),Setup!$B$34="Yes",ISNUMBER(Setup!$C$34)),EDATE(Roster!$B122,12*Setup!$C$34),"")</f>
        <v/>
      </c>
      <c r="R122" t="str">
        <f>IF(B122="","",IF(B122&lt;Setup!$C$5-Setup!$C$6,"",IF(IF(ISNUMBER(Roster!$D122),Setup!$C$20&lt;=Roster!$D122,FALSE),"",IF(OR(IF(Setup!$C$15&lt;=Setup!$C$16,AND(MONTH(B122)&gt;=Setup!$C$15,MONTH(B122)&lt;=Setup!$C$16),OR(MONTH(B122)&gt;=Setup!$C$15,MONTH(B122)&lt;=Setup!$C$16)),IF(Setup!$C$15&lt;=Setup!$C$16,AND(MONTH(WORKDAY(B122,-(Setup!$C$13+Setup!$G$20),Setup!$C$39:$C$50))&gt;=Setup!$C$15,MONTH(WORKDAY(B122,-(Setup!$C$13+Setup!$G$20),Setup!$C$39:$C$50))&lt;=Setup!$C$16),OR(MONTH(WORKDAY(B122,-(Setup!$C$13+Setup!$G$20),Setup!$C$39:$C$50))&gt;=Setup!$C$15,MONTH(WORKDAY(B122,-(Setup!$C$13+Setup!$G$20),Setup!$C$39:$C$50))&lt;=Setup!$C$16))),WORKDAY(B122,-(Setup!$C$13+Setup!$G$20+Setup!$C$14),Setup!$C$39:$C$50),WORKDAY(B122,-(Setup!$C$13+Setup!$G$20),Setup!$C$39:$C$50))+(117*100+1)/10000000)))</f>
        <v/>
      </c>
      <c r="S122" t="str">
        <f>IF(C122="","",IF(C122&lt;Setup!$C$5-Setup!$C$6,"",IF(IF(ISNUMBER(Roster!$D122),Setup!$C$21&lt;=Roster!$D122,FALSE),"",IF(OR(IF(Setup!$C$15&lt;=Setup!$C$16,AND(MONTH(C122)&gt;=Setup!$C$15,MONTH(C122)&lt;=Setup!$C$16),OR(MONTH(C122)&gt;=Setup!$C$15,MONTH(C122)&lt;=Setup!$C$16)),IF(Setup!$C$15&lt;=Setup!$C$16,AND(MONTH(WORKDAY(C122,-(Setup!$C$13+Setup!$G$21),Setup!$C$39:$C$50))&gt;=Setup!$C$15,MONTH(WORKDAY(C122,-(Setup!$C$13+Setup!$G$21),Setup!$C$39:$C$50))&lt;=Setup!$C$16),OR(MONTH(WORKDAY(C122,-(Setup!$C$13+Setup!$G$21),Setup!$C$39:$C$50))&gt;=Setup!$C$15,MONTH(WORKDAY(C122,-(Setup!$C$13+Setup!$G$21),Setup!$C$39:$C$50))&lt;=Setup!$C$16))),WORKDAY(C122,-(Setup!$C$13+Setup!$G$21+Setup!$C$14),Setup!$C$39:$C$50),WORKDAY(C122,-(Setup!$C$13+Setup!$G$21),Setup!$C$39:$C$50))+(117*100+2)/10000000)))</f>
        <v/>
      </c>
      <c r="T122" t="str">
        <f>IF(D122="","",IF(D122&lt;Setup!$C$5-Setup!$C$6,"",IF(IF(ISNUMBER(Roster!$D122),Setup!$C$22&lt;=Roster!$D122,FALSE),"",IF(OR(IF(Setup!$C$15&lt;=Setup!$C$16,AND(MONTH(D122)&gt;=Setup!$C$15,MONTH(D122)&lt;=Setup!$C$16),OR(MONTH(D122)&gt;=Setup!$C$15,MONTH(D122)&lt;=Setup!$C$16)),IF(Setup!$C$15&lt;=Setup!$C$16,AND(MONTH(WORKDAY(D122,-(Setup!$C$13+Setup!$G$22),Setup!$C$39:$C$50))&gt;=Setup!$C$15,MONTH(WORKDAY(D122,-(Setup!$C$13+Setup!$G$22),Setup!$C$39:$C$50))&lt;=Setup!$C$16),OR(MONTH(WORKDAY(D122,-(Setup!$C$13+Setup!$G$22),Setup!$C$39:$C$50))&gt;=Setup!$C$15,MONTH(WORKDAY(D122,-(Setup!$C$13+Setup!$G$22),Setup!$C$39:$C$50))&lt;=Setup!$C$16))),WORKDAY(D122,-(Setup!$C$13+Setup!$G$22+Setup!$C$14),Setup!$C$39:$C$50),WORKDAY(D122,-(Setup!$C$13+Setup!$G$22),Setup!$C$39:$C$50))+(117*100+3)/10000000)))</f>
        <v/>
      </c>
      <c r="U122" t="str">
        <f>IF(E122="","",IF(E122&lt;Setup!$C$5-Setup!$C$6,"",IF(IF(ISNUMBER(Roster!$D122),Setup!$C$23&lt;=Roster!$D122,FALSE),"",IF(OR(IF(Setup!$C$15&lt;=Setup!$C$16,AND(MONTH(E122)&gt;=Setup!$C$15,MONTH(E122)&lt;=Setup!$C$16),OR(MONTH(E122)&gt;=Setup!$C$15,MONTH(E122)&lt;=Setup!$C$16)),IF(Setup!$C$15&lt;=Setup!$C$16,AND(MONTH(WORKDAY(E122,-(Setup!$C$13+Setup!$G$23),Setup!$C$39:$C$50))&gt;=Setup!$C$15,MONTH(WORKDAY(E122,-(Setup!$C$13+Setup!$G$23),Setup!$C$39:$C$50))&lt;=Setup!$C$16),OR(MONTH(WORKDAY(E122,-(Setup!$C$13+Setup!$G$23),Setup!$C$39:$C$50))&gt;=Setup!$C$15,MONTH(WORKDAY(E122,-(Setup!$C$13+Setup!$G$23),Setup!$C$39:$C$50))&lt;=Setup!$C$16))),WORKDAY(E122,-(Setup!$C$13+Setup!$G$23+Setup!$C$14),Setup!$C$39:$C$50),WORKDAY(E122,-(Setup!$C$13+Setup!$G$23),Setup!$C$39:$C$50))+(117*100+4)/10000000)))</f>
        <v/>
      </c>
      <c r="V122" t="str">
        <f>IF(F122="","",IF(F122&lt;Setup!$C$5-Setup!$C$6,"",IF(IF(ISNUMBER(Roster!$D122),Setup!$C$24&lt;=Roster!$D122,FALSE),"",IF(OR(IF(Setup!$C$15&lt;=Setup!$C$16,AND(MONTH(F122)&gt;=Setup!$C$15,MONTH(F122)&lt;=Setup!$C$16),OR(MONTH(F122)&gt;=Setup!$C$15,MONTH(F122)&lt;=Setup!$C$16)),IF(Setup!$C$15&lt;=Setup!$C$16,AND(MONTH(WORKDAY(F122,-(Setup!$C$13+Setup!$G$24),Setup!$C$39:$C$50))&gt;=Setup!$C$15,MONTH(WORKDAY(F122,-(Setup!$C$13+Setup!$G$24),Setup!$C$39:$C$50))&lt;=Setup!$C$16),OR(MONTH(WORKDAY(F122,-(Setup!$C$13+Setup!$G$24),Setup!$C$39:$C$50))&gt;=Setup!$C$15,MONTH(WORKDAY(F122,-(Setup!$C$13+Setup!$G$24),Setup!$C$39:$C$50))&lt;=Setup!$C$16))),WORKDAY(F122,-(Setup!$C$13+Setup!$G$24+Setup!$C$14),Setup!$C$39:$C$50),WORKDAY(F122,-(Setup!$C$13+Setup!$G$24),Setup!$C$39:$C$50))+(117*100+5)/10000000)))</f>
        <v/>
      </c>
      <c r="W122" t="str">
        <f>IF(G122="","",IF(G122&lt;Setup!$C$5-Setup!$C$6,"",IF(IF(ISNUMBER(Roster!$D122),Setup!$C$25&lt;=Roster!$D122,FALSE),"",IF(OR(IF(Setup!$C$15&lt;=Setup!$C$16,AND(MONTH(G122)&gt;=Setup!$C$15,MONTH(G122)&lt;=Setup!$C$16),OR(MONTH(G122)&gt;=Setup!$C$15,MONTH(G122)&lt;=Setup!$C$16)),IF(Setup!$C$15&lt;=Setup!$C$16,AND(MONTH(WORKDAY(G122,-(Setup!$C$13+Setup!$G$25),Setup!$C$39:$C$50))&gt;=Setup!$C$15,MONTH(WORKDAY(G122,-(Setup!$C$13+Setup!$G$25),Setup!$C$39:$C$50))&lt;=Setup!$C$16),OR(MONTH(WORKDAY(G122,-(Setup!$C$13+Setup!$G$25),Setup!$C$39:$C$50))&gt;=Setup!$C$15,MONTH(WORKDAY(G122,-(Setup!$C$13+Setup!$G$25),Setup!$C$39:$C$50))&lt;=Setup!$C$16))),WORKDAY(G122,-(Setup!$C$13+Setup!$G$25+Setup!$C$14),Setup!$C$39:$C$50),WORKDAY(G122,-(Setup!$C$13+Setup!$G$25),Setup!$C$39:$C$50))+(117*100+6)/10000000)))</f>
        <v/>
      </c>
      <c r="X122" t="str">
        <f>IF(H122="","",IF(H122&lt;Setup!$C$5-Setup!$C$6,"",IF(IF(ISNUMBER(Roster!$D122),Setup!$C$26&lt;=Roster!$D122,FALSE),"",IF(OR(IF(Setup!$C$15&lt;=Setup!$C$16,AND(MONTH(H122)&gt;=Setup!$C$15,MONTH(H122)&lt;=Setup!$C$16),OR(MONTH(H122)&gt;=Setup!$C$15,MONTH(H122)&lt;=Setup!$C$16)),IF(Setup!$C$15&lt;=Setup!$C$16,AND(MONTH(WORKDAY(H122,-(Setup!$C$13+Setup!$G$26),Setup!$C$39:$C$50))&gt;=Setup!$C$15,MONTH(WORKDAY(H122,-(Setup!$C$13+Setup!$G$26),Setup!$C$39:$C$50))&lt;=Setup!$C$16),OR(MONTH(WORKDAY(H122,-(Setup!$C$13+Setup!$G$26),Setup!$C$39:$C$50))&gt;=Setup!$C$15,MONTH(WORKDAY(H122,-(Setup!$C$13+Setup!$G$26),Setup!$C$39:$C$50))&lt;=Setup!$C$16))),WORKDAY(H122,-(Setup!$C$13+Setup!$G$26+Setup!$C$14),Setup!$C$39:$C$50),WORKDAY(H122,-(Setup!$C$13+Setup!$G$26),Setup!$C$39:$C$50))+(117*100+7)/10000000)))</f>
        <v/>
      </c>
      <c r="Y122" t="str">
        <f>IF(I122="","",IF(I122&lt;Setup!$C$5-Setup!$C$6,"",IF(IF(ISNUMBER(Roster!$D122),Setup!$C$27&lt;=Roster!$D122,FALSE),"",IF(OR(IF(Setup!$C$15&lt;=Setup!$C$16,AND(MONTH(I122)&gt;=Setup!$C$15,MONTH(I122)&lt;=Setup!$C$16),OR(MONTH(I122)&gt;=Setup!$C$15,MONTH(I122)&lt;=Setup!$C$16)),IF(Setup!$C$15&lt;=Setup!$C$16,AND(MONTH(WORKDAY(I122,-(Setup!$C$13+Setup!$G$27),Setup!$C$39:$C$50))&gt;=Setup!$C$15,MONTH(WORKDAY(I122,-(Setup!$C$13+Setup!$G$27),Setup!$C$39:$C$50))&lt;=Setup!$C$16),OR(MONTH(WORKDAY(I122,-(Setup!$C$13+Setup!$G$27),Setup!$C$39:$C$50))&gt;=Setup!$C$15,MONTH(WORKDAY(I122,-(Setup!$C$13+Setup!$G$27),Setup!$C$39:$C$50))&lt;=Setup!$C$16))),WORKDAY(I122,-(Setup!$C$13+Setup!$G$27+Setup!$C$14),Setup!$C$39:$C$50),WORKDAY(I122,-(Setup!$C$13+Setup!$G$27),Setup!$C$39:$C$50))+(117*100+8)/10000000)))</f>
        <v/>
      </c>
      <c r="Z122" t="str">
        <f>IF(J122="","",IF(J122&lt;Setup!$C$5-Setup!$C$6,"",IF(IF(ISNUMBER(Roster!$D122),Setup!$C$28&lt;=Roster!$D122,FALSE),"",IF(OR(IF(Setup!$C$15&lt;=Setup!$C$16,AND(MONTH(J122)&gt;=Setup!$C$15,MONTH(J122)&lt;=Setup!$C$16),OR(MONTH(J122)&gt;=Setup!$C$15,MONTH(J122)&lt;=Setup!$C$16)),IF(Setup!$C$15&lt;=Setup!$C$16,AND(MONTH(WORKDAY(J122,-(Setup!$C$13+Setup!$G$28),Setup!$C$39:$C$50))&gt;=Setup!$C$15,MONTH(WORKDAY(J122,-(Setup!$C$13+Setup!$G$28),Setup!$C$39:$C$50))&lt;=Setup!$C$16),OR(MONTH(WORKDAY(J122,-(Setup!$C$13+Setup!$G$28),Setup!$C$39:$C$50))&gt;=Setup!$C$15,MONTH(WORKDAY(J122,-(Setup!$C$13+Setup!$G$28),Setup!$C$39:$C$50))&lt;=Setup!$C$16))),WORKDAY(J122,-(Setup!$C$13+Setup!$G$28+Setup!$C$14),Setup!$C$39:$C$50),WORKDAY(J122,-(Setup!$C$13+Setup!$G$28),Setup!$C$39:$C$50))+(117*100+9)/10000000)))</f>
        <v/>
      </c>
      <c r="AA122" t="str">
        <f>IF(K122="","",IF(K122&lt;Setup!$C$5-Setup!$C$6,"",IF(IF(ISNUMBER(Roster!$D122),Setup!$C$29&lt;=Roster!$D122,FALSE),"",IF(OR(IF(Setup!$C$15&lt;=Setup!$C$16,AND(MONTH(K122)&gt;=Setup!$C$15,MONTH(K122)&lt;=Setup!$C$16),OR(MONTH(K122)&gt;=Setup!$C$15,MONTH(K122)&lt;=Setup!$C$16)),IF(Setup!$C$15&lt;=Setup!$C$16,AND(MONTH(WORKDAY(K122,-(Setup!$C$13+Setup!$G$29),Setup!$C$39:$C$50))&gt;=Setup!$C$15,MONTH(WORKDAY(K122,-(Setup!$C$13+Setup!$G$29),Setup!$C$39:$C$50))&lt;=Setup!$C$16),OR(MONTH(WORKDAY(K122,-(Setup!$C$13+Setup!$G$29),Setup!$C$39:$C$50))&gt;=Setup!$C$15,MONTH(WORKDAY(K122,-(Setup!$C$13+Setup!$G$29),Setup!$C$39:$C$50))&lt;=Setup!$C$16))),WORKDAY(K122,-(Setup!$C$13+Setup!$G$29+Setup!$C$14),Setup!$C$39:$C$50),WORKDAY(K122,-(Setup!$C$13+Setup!$G$29),Setup!$C$39:$C$50))+(117*100+10)/10000000)))</f>
        <v/>
      </c>
      <c r="AB122" t="str">
        <f>IF(L122="","",IF(L122&lt;Setup!$C$5-Setup!$C$6,"",IF(IF(ISNUMBER(Roster!$D122),Setup!$C$30&lt;=Roster!$D122,FALSE),"",IF(OR(IF(Setup!$C$15&lt;=Setup!$C$16,AND(MONTH(L122)&gt;=Setup!$C$15,MONTH(L122)&lt;=Setup!$C$16),OR(MONTH(L122)&gt;=Setup!$C$15,MONTH(L122)&lt;=Setup!$C$16)),IF(Setup!$C$15&lt;=Setup!$C$16,AND(MONTH(WORKDAY(L122,-(Setup!$C$13+Setup!$G$30),Setup!$C$39:$C$50))&gt;=Setup!$C$15,MONTH(WORKDAY(L122,-(Setup!$C$13+Setup!$G$30),Setup!$C$39:$C$50))&lt;=Setup!$C$16),OR(MONTH(WORKDAY(L122,-(Setup!$C$13+Setup!$G$30),Setup!$C$39:$C$50))&gt;=Setup!$C$15,MONTH(WORKDAY(L122,-(Setup!$C$13+Setup!$G$30),Setup!$C$39:$C$50))&lt;=Setup!$C$16))),WORKDAY(L122,-(Setup!$C$13+Setup!$G$30+Setup!$C$14),Setup!$C$39:$C$50),WORKDAY(L122,-(Setup!$C$13+Setup!$G$30),Setup!$C$39:$C$50))+(117*100+11)/10000000)))</f>
        <v/>
      </c>
      <c r="AC122" t="str">
        <f>IF(M122="","",IF(M122&lt;Setup!$C$5-Setup!$C$6,"",IF(IF(ISNUMBER(Roster!$D122),Setup!$C$31&lt;=Roster!$D122,FALSE),"",IF(OR(IF(Setup!$C$15&lt;=Setup!$C$16,AND(MONTH(M122)&gt;=Setup!$C$15,MONTH(M122)&lt;=Setup!$C$16),OR(MONTH(M122)&gt;=Setup!$C$15,MONTH(M122)&lt;=Setup!$C$16)),IF(Setup!$C$15&lt;=Setup!$C$16,AND(MONTH(WORKDAY(M122,-(Setup!$C$13+Setup!$G$31),Setup!$C$39:$C$50))&gt;=Setup!$C$15,MONTH(WORKDAY(M122,-(Setup!$C$13+Setup!$G$31),Setup!$C$39:$C$50))&lt;=Setup!$C$16),OR(MONTH(WORKDAY(M122,-(Setup!$C$13+Setup!$G$31),Setup!$C$39:$C$50))&gt;=Setup!$C$15,MONTH(WORKDAY(M122,-(Setup!$C$13+Setup!$G$31),Setup!$C$39:$C$50))&lt;=Setup!$C$16))),WORKDAY(M122,-(Setup!$C$13+Setup!$G$31+Setup!$C$14),Setup!$C$39:$C$50),WORKDAY(M122,-(Setup!$C$13+Setup!$G$31),Setup!$C$39:$C$50))+(117*100+12)/10000000)))</f>
        <v/>
      </c>
      <c r="AD122" t="str">
        <f>IF(N122="","",IF(N122&lt;Setup!$C$5-Setup!$C$6,"",IF(IF(ISNUMBER(Roster!$D122),Setup!$C$32&lt;=Roster!$D122,FALSE),"",IF(OR(IF(Setup!$C$15&lt;=Setup!$C$16,AND(MONTH(N122)&gt;=Setup!$C$15,MONTH(N122)&lt;=Setup!$C$16),OR(MONTH(N122)&gt;=Setup!$C$15,MONTH(N122)&lt;=Setup!$C$16)),IF(Setup!$C$15&lt;=Setup!$C$16,AND(MONTH(WORKDAY(N122,-(Setup!$C$13+Setup!$G$32),Setup!$C$39:$C$50))&gt;=Setup!$C$15,MONTH(WORKDAY(N122,-(Setup!$C$13+Setup!$G$32),Setup!$C$39:$C$50))&lt;=Setup!$C$16),OR(MONTH(WORKDAY(N122,-(Setup!$C$13+Setup!$G$32),Setup!$C$39:$C$50))&gt;=Setup!$C$15,MONTH(WORKDAY(N122,-(Setup!$C$13+Setup!$G$32),Setup!$C$39:$C$50))&lt;=Setup!$C$16))),WORKDAY(N122,-(Setup!$C$13+Setup!$G$32+Setup!$C$14),Setup!$C$39:$C$50),WORKDAY(N122,-(Setup!$C$13+Setup!$G$32),Setup!$C$39:$C$50))+(117*100+13)/10000000)))</f>
        <v/>
      </c>
      <c r="AE122" t="str">
        <f>IF(O122="","",IF(O122&lt;Setup!$C$5-Setup!$C$6,"",IF(IF(ISNUMBER(Roster!$D122),Setup!$C$33&lt;=Roster!$D122,FALSE),"",IF(OR(IF(Setup!$C$15&lt;=Setup!$C$16,AND(MONTH(O122)&gt;=Setup!$C$15,MONTH(O122)&lt;=Setup!$C$16),OR(MONTH(O122)&gt;=Setup!$C$15,MONTH(O122)&lt;=Setup!$C$16)),IF(Setup!$C$15&lt;=Setup!$C$16,AND(MONTH(WORKDAY(O122,-(Setup!$C$13+Setup!$G$33),Setup!$C$39:$C$50))&gt;=Setup!$C$15,MONTH(WORKDAY(O122,-(Setup!$C$13+Setup!$G$33),Setup!$C$39:$C$50))&lt;=Setup!$C$16),OR(MONTH(WORKDAY(O122,-(Setup!$C$13+Setup!$G$33),Setup!$C$39:$C$50))&gt;=Setup!$C$15,MONTH(WORKDAY(O122,-(Setup!$C$13+Setup!$G$33),Setup!$C$39:$C$50))&lt;=Setup!$C$16))),WORKDAY(O122,-(Setup!$C$13+Setup!$G$33+Setup!$C$14),Setup!$C$39:$C$50),WORKDAY(O122,-(Setup!$C$13+Setup!$G$33),Setup!$C$39:$C$50))+(117*100+14)/10000000)))</f>
        <v/>
      </c>
      <c r="AF122" t="str">
        <f>IF(P122="","",IF(P122&lt;Setup!$C$5-Setup!$C$6,"",IF(IF(ISNUMBER(Roster!$D122),Setup!$C$34&lt;=Roster!$D122,FALSE),"",IF(OR(IF(Setup!$C$15&lt;=Setup!$C$16,AND(MONTH(P122)&gt;=Setup!$C$15,MONTH(P122)&lt;=Setup!$C$16),OR(MONTH(P122)&gt;=Setup!$C$15,MONTH(P122)&lt;=Setup!$C$16)),IF(Setup!$C$15&lt;=Setup!$C$16,AND(MONTH(WORKDAY(P122,-(Setup!$C$13+Setup!$G$34),Setup!$C$39:$C$50))&gt;=Setup!$C$15,MONTH(WORKDAY(P122,-(Setup!$C$13+Setup!$G$34),Setup!$C$39:$C$50))&lt;=Setup!$C$16),OR(MONTH(WORKDAY(P122,-(Setup!$C$13+Setup!$G$34),Setup!$C$39:$C$50))&gt;=Setup!$C$15,MONTH(WORKDAY(P122,-(Setup!$C$13+Setup!$G$34),Setup!$C$39:$C$50))&lt;=Setup!$C$16))),WORKDAY(P122,-(Setup!$C$13+Setup!$G$34+Setup!$C$14),Setup!$C$39:$C$50),WORKDAY(P122,-(Setup!$C$13+Setup!$G$34),Setup!$C$39:$C$50))+(117*100+15)/10000000)))</f>
        <v/>
      </c>
      <c r="AH122" t="str">
        <f t="shared" si="9"/>
        <v/>
      </c>
      <c r="AI122" t="str">
        <f t="shared" si="10"/>
        <v/>
      </c>
      <c r="AK122" t="str">
        <f ca="1">IF(117&gt;$AK$2,"",SMALL($R$6:$AF$505,117))</f>
        <v/>
      </c>
      <c r="AL122" t="str">
        <f t="shared" ca="1" si="11"/>
        <v/>
      </c>
      <c r="AM122" t="str">
        <f t="shared" ca="1" si="12"/>
        <v/>
      </c>
      <c r="AN122" t="str">
        <f t="shared" ca="1" si="13"/>
        <v/>
      </c>
      <c r="AP122" t="str">
        <f>IF(ISNUMBER(Roster!$B122),MAX(1,YEAR(Setup!$C$5)-YEAR(Roster!$B122)+IF(EDATE(Roster!$B122,12*(YEAR(Setup!$C$5)-YEAR(Roster!$B122)))&lt;Setup!$C$5,1,0)),"")</f>
        <v/>
      </c>
      <c r="AQ122" s="32" t="str">
        <f>IF(AP122="","",EDATE(Roster!$B122,12*AP122))</f>
        <v/>
      </c>
      <c r="AR122" t="str">
        <f>IF(AQ122="","",IF(AQ122&lt;DATE(YEAR(Setup!$C$5)+1,MONTH(Setup!$C$5),DAY(Setup!$C$5)),AQ122+117/1000,""))</f>
        <v/>
      </c>
      <c r="AS122" t="str">
        <f t="shared" si="14"/>
        <v/>
      </c>
      <c r="AT122" t="str">
        <f>IF(AS122="","",IF(ISNUMBER(Roster!$D122),Roster!$D122&gt;=AP122,FALSE))</f>
        <v/>
      </c>
      <c r="AU122" t="str">
        <f t="shared" si="15"/>
        <v/>
      </c>
      <c r="AV122" t="str">
        <f ca="1">IF(117&gt;$AV$2,"",SMALL($AR$6:$AR$505,117))</f>
        <v/>
      </c>
      <c r="AW122" t="str">
        <f t="shared" ca="1" si="16"/>
        <v/>
      </c>
    </row>
    <row r="123" spans="2:49" x14ac:dyDescent="0.2">
      <c r="B123" s="32" t="str">
        <f>IF(AND(ISNUMBER(Roster!$B123),Setup!$B$20="Yes",ISNUMBER(Setup!$C$20)),EDATE(Roster!$B123,12*Setup!$C$20),"")</f>
        <v/>
      </c>
      <c r="C123" s="32" t="str">
        <f>IF(AND(ISNUMBER(Roster!$B123),Setup!$B$21="Yes",ISNUMBER(Setup!$C$21)),EDATE(Roster!$B123,12*Setup!$C$21),"")</f>
        <v/>
      </c>
      <c r="D123" s="32" t="str">
        <f>IF(AND(ISNUMBER(Roster!$B123),Setup!$B$22="Yes",ISNUMBER(Setup!$C$22)),EDATE(Roster!$B123,12*Setup!$C$22),"")</f>
        <v/>
      </c>
      <c r="E123" s="32" t="str">
        <f>IF(AND(ISNUMBER(Roster!$B123),Setup!$B$23="Yes",ISNUMBER(Setup!$C$23)),EDATE(Roster!$B123,12*Setup!$C$23),"")</f>
        <v/>
      </c>
      <c r="F123" s="32" t="str">
        <f>IF(AND(ISNUMBER(Roster!$B123),Setup!$B$24="Yes",ISNUMBER(Setup!$C$24)),EDATE(Roster!$B123,12*Setup!$C$24),"")</f>
        <v/>
      </c>
      <c r="G123" s="32" t="str">
        <f>IF(AND(ISNUMBER(Roster!$B123),Setup!$B$25="Yes",ISNUMBER(Setup!$C$25)),EDATE(Roster!$B123,12*Setup!$C$25),"")</f>
        <v/>
      </c>
      <c r="H123" s="32" t="str">
        <f>IF(AND(ISNUMBER(Roster!$B123),Setup!$B$26="Yes",ISNUMBER(Setup!$C$26)),EDATE(Roster!$B123,12*Setup!$C$26),"")</f>
        <v/>
      </c>
      <c r="I123" s="32" t="str">
        <f>IF(AND(ISNUMBER(Roster!$B123),Setup!$B$27="Yes",ISNUMBER(Setup!$C$27)),EDATE(Roster!$B123,12*Setup!$C$27),"")</f>
        <v/>
      </c>
      <c r="J123" s="32" t="str">
        <f>IF(AND(ISNUMBER(Roster!$B123),Setup!$B$28="Yes",ISNUMBER(Setup!$C$28)),EDATE(Roster!$B123,12*Setup!$C$28),"")</f>
        <v/>
      </c>
      <c r="K123" s="32" t="str">
        <f>IF(AND(ISNUMBER(Roster!$B123),Setup!$B$29="Yes",ISNUMBER(Setup!$C$29)),EDATE(Roster!$B123,12*Setup!$C$29),"")</f>
        <v/>
      </c>
      <c r="L123" s="32" t="str">
        <f>IF(AND(ISNUMBER(Roster!$B123),Setup!$B$30="Yes",ISNUMBER(Setup!$C$30)),EDATE(Roster!$B123,12*Setup!$C$30),"")</f>
        <v/>
      </c>
      <c r="M123" s="32" t="str">
        <f>IF(AND(ISNUMBER(Roster!$B123),Setup!$B$31="Yes",ISNUMBER(Setup!$C$31)),EDATE(Roster!$B123,12*Setup!$C$31),"")</f>
        <v/>
      </c>
      <c r="N123" s="32" t="str">
        <f>IF(AND(ISNUMBER(Roster!$B123),Setup!$B$32="Yes",ISNUMBER(Setup!$C$32)),EDATE(Roster!$B123,12*Setup!$C$32),"")</f>
        <v/>
      </c>
      <c r="O123" s="32" t="str">
        <f>IF(AND(ISNUMBER(Roster!$B123),Setup!$B$33="Yes",ISNUMBER(Setup!$C$33)),EDATE(Roster!$B123,12*Setup!$C$33),"")</f>
        <v/>
      </c>
      <c r="P123" s="32" t="str">
        <f>IF(AND(ISNUMBER(Roster!$B123),Setup!$B$34="Yes",ISNUMBER(Setup!$C$34)),EDATE(Roster!$B123,12*Setup!$C$34),"")</f>
        <v/>
      </c>
      <c r="R123" t="str">
        <f>IF(B123="","",IF(B123&lt;Setup!$C$5-Setup!$C$6,"",IF(IF(ISNUMBER(Roster!$D123),Setup!$C$20&lt;=Roster!$D123,FALSE),"",IF(OR(IF(Setup!$C$15&lt;=Setup!$C$16,AND(MONTH(B123)&gt;=Setup!$C$15,MONTH(B123)&lt;=Setup!$C$16),OR(MONTH(B123)&gt;=Setup!$C$15,MONTH(B123)&lt;=Setup!$C$16)),IF(Setup!$C$15&lt;=Setup!$C$16,AND(MONTH(WORKDAY(B123,-(Setup!$C$13+Setup!$G$20),Setup!$C$39:$C$50))&gt;=Setup!$C$15,MONTH(WORKDAY(B123,-(Setup!$C$13+Setup!$G$20),Setup!$C$39:$C$50))&lt;=Setup!$C$16),OR(MONTH(WORKDAY(B123,-(Setup!$C$13+Setup!$G$20),Setup!$C$39:$C$50))&gt;=Setup!$C$15,MONTH(WORKDAY(B123,-(Setup!$C$13+Setup!$G$20),Setup!$C$39:$C$50))&lt;=Setup!$C$16))),WORKDAY(B123,-(Setup!$C$13+Setup!$G$20+Setup!$C$14),Setup!$C$39:$C$50),WORKDAY(B123,-(Setup!$C$13+Setup!$G$20),Setup!$C$39:$C$50))+(118*100+1)/10000000)))</f>
        <v/>
      </c>
      <c r="S123" t="str">
        <f>IF(C123="","",IF(C123&lt;Setup!$C$5-Setup!$C$6,"",IF(IF(ISNUMBER(Roster!$D123),Setup!$C$21&lt;=Roster!$D123,FALSE),"",IF(OR(IF(Setup!$C$15&lt;=Setup!$C$16,AND(MONTH(C123)&gt;=Setup!$C$15,MONTH(C123)&lt;=Setup!$C$16),OR(MONTH(C123)&gt;=Setup!$C$15,MONTH(C123)&lt;=Setup!$C$16)),IF(Setup!$C$15&lt;=Setup!$C$16,AND(MONTH(WORKDAY(C123,-(Setup!$C$13+Setup!$G$21),Setup!$C$39:$C$50))&gt;=Setup!$C$15,MONTH(WORKDAY(C123,-(Setup!$C$13+Setup!$G$21),Setup!$C$39:$C$50))&lt;=Setup!$C$16),OR(MONTH(WORKDAY(C123,-(Setup!$C$13+Setup!$G$21),Setup!$C$39:$C$50))&gt;=Setup!$C$15,MONTH(WORKDAY(C123,-(Setup!$C$13+Setup!$G$21),Setup!$C$39:$C$50))&lt;=Setup!$C$16))),WORKDAY(C123,-(Setup!$C$13+Setup!$G$21+Setup!$C$14),Setup!$C$39:$C$50),WORKDAY(C123,-(Setup!$C$13+Setup!$G$21),Setup!$C$39:$C$50))+(118*100+2)/10000000)))</f>
        <v/>
      </c>
      <c r="T123" t="str">
        <f>IF(D123="","",IF(D123&lt;Setup!$C$5-Setup!$C$6,"",IF(IF(ISNUMBER(Roster!$D123),Setup!$C$22&lt;=Roster!$D123,FALSE),"",IF(OR(IF(Setup!$C$15&lt;=Setup!$C$16,AND(MONTH(D123)&gt;=Setup!$C$15,MONTH(D123)&lt;=Setup!$C$16),OR(MONTH(D123)&gt;=Setup!$C$15,MONTH(D123)&lt;=Setup!$C$16)),IF(Setup!$C$15&lt;=Setup!$C$16,AND(MONTH(WORKDAY(D123,-(Setup!$C$13+Setup!$G$22),Setup!$C$39:$C$50))&gt;=Setup!$C$15,MONTH(WORKDAY(D123,-(Setup!$C$13+Setup!$G$22),Setup!$C$39:$C$50))&lt;=Setup!$C$16),OR(MONTH(WORKDAY(D123,-(Setup!$C$13+Setup!$G$22),Setup!$C$39:$C$50))&gt;=Setup!$C$15,MONTH(WORKDAY(D123,-(Setup!$C$13+Setup!$G$22),Setup!$C$39:$C$50))&lt;=Setup!$C$16))),WORKDAY(D123,-(Setup!$C$13+Setup!$G$22+Setup!$C$14),Setup!$C$39:$C$50),WORKDAY(D123,-(Setup!$C$13+Setup!$G$22),Setup!$C$39:$C$50))+(118*100+3)/10000000)))</f>
        <v/>
      </c>
      <c r="U123" t="str">
        <f>IF(E123="","",IF(E123&lt;Setup!$C$5-Setup!$C$6,"",IF(IF(ISNUMBER(Roster!$D123),Setup!$C$23&lt;=Roster!$D123,FALSE),"",IF(OR(IF(Setup!$C$15&lt;=Setup!$C$16,AND(MONTH(E123)&gt;=Setup!$C$15,MONTH(E123)&lt;=Setup!$C$16),OR(MONTH(E123)&gt;=Setup!$C$15,MONTH(E123)&lt;=Setup!$C$16)),IF(Setup!$C$15&lt;=Setup!$C$16,AND(MONTH(WORKDAY(E123,-(Setup!$C$13+Setup!$G$23),Setup!$C$39:$C$50))&gt;=Setup!$C$15,MONTH(WORKDAY(E123,-(Setup!$C$13+Setup!$G$23),Setup!$C$39:$C$50))&lt;=Setup!$C$16),OR(MONTH(WORKDAY(E123,-(Setup!$C$13+Setup!$G$23),Setup!$C$39:$C$50))&gt;=Setup!$C$15,MONTH(WORKDAY(E123,-(Setup!$C$13+Setup!$G$23),Setup!$C$39:$C$50))&lt;=Setup!$C$16))),WORKDAY(E123,-(Setup!$C$13+Setup!$G$23+Setup!$C$14),Setup!$C$39:$C$50),WORKDAY(E123,-(Setup!$C$13+Setup!$G$23),Setup!$C$39:$C$50))+(118*100+4)/10000000)))</f>
        <v/>
      </c>
      <c r="V123" t="str">
        <f>IF(F123="","",IF(F123&lt;Setup!$C$5-Setup!$C$6,"",IF(IF(ISNUMBER(Roster!$D123),Setup!$C$24&lt;=Roster!$D123,FALSE),"",IF(OR(IF(Setup!$C$15&lt;=Setup!$C$16,AND(MONTH(F123)&gt;=Setup!$C$15,MONTH(F123)&lt;=Setup!$C$16),OR(MONTH(F123)&gt;=Setup!$C$15,MONTH(F123)&lt;=Setup!$C$16)),IF(Setup!$C$15&lt;=Setup!$C$16,AND(MONTH(WORKDAY(F123,-(Setup!$C$13+Setup!$G$24),Setup!$C$39:$C$50))&gt;=Setup!$C$15,MONTH(WORKDAY(F123,-(Setup!$C$13+Setup!$G$24),Setup!$C$39:$C$50))&lt;=Setup!$C$16),OR(MONTH(WORKDAY(F123,-(Setup!$C$13+Setup!$G$24),Setup!$C$39:$C$50))&gt;=Setup!$C$15,MONTH(WORKDAY(F123,-(Setup!$C$13+Setup!$G$24),Setup!$C$39:$C$50))&lt;=Setup!$C$16))),WORKDAY(F123,-(Setup!$C$13+Setup!$G$24+Setup!$C$14),Setup!$C$39:$C$50),WORKDAY(F123,-(Setup!$C$13+Setup!$G$24),Setup!$C$39:$C$50))+(118*100+5)/10000000)))</f>
        <v/>
      </c>
      <c r="W123" t="str">
        <f>IF(G123="","",IF(G123&lt;Setup!$C$5-Setup!$C$6,"",IF(IF(ISNUMBER(Roster!$D123),Setup!$C$25&lt;=Roster!$D123,FALSE),"",IF(OR(IF(Setup!$C$15&lt;=Setup!$C$16,AND(MONTH(G123)&gt;=Setup!$C$15,MONTH(G123)&lt;=Setup!$C$16),OR(MONTH(G123)&gt;=Setup!$C$15,MONTH(G123)&lt;=Setup!$C$16)),IF(Setup!$C$15&lt;=Setup!$C$16,AND(MONTH(WORKDAY(G123,-(Setup!$C$13+Setup!$G$25),Setup!$C$39:$C$50))&gt;=Setup!$C$15,MONTH(WORKDAY(G123,-(Setup!$C$13+Setup!$G$25),Setup!$C$39:$C$50))&lt;=Setup!$C$16),OR(MONTH(WORKDAY(G123,-(Setup!$C$13+Setup!$G$25),Setup!$C$39:$C$50))&gt;=Setup!$C$15,MONTH(WORKDAY(G123,-(Setup!$C$13+Setup!$G$25),Setup!$C$39:$C$50))&lt;=Setup!$C$16))),WORKDAY(G123,-(Setup!$C$13+Setup!$G$25+Setup!$C$14),Setup!$C$39:$C$50),WORKDAY(G123,-(Setup!$C$13+Setup!$G$25),Setup!$C$39:$C$50))+(118*100+6)/10000000)))</f>
        <v/>
      </c>
      <c r="X123" t="str">
        <f>IF(H123="","",IF(H123&lt;Setup!$C$5-Setup!$C$6,"",IF(IF(ISNUMBER(Roster!$D123),Setup!$C$26&lt;=Roster!$D123,FALSE),"",IF(OR(IF(Setup!$C$15&lt;=Setup!$C$16,AND(MONTH(H123)&gt;=Setup!$C$15,MONTH(H123)&lt;=Setup!$C$16),OR(MONTH(H123)&gt;=Setup!$C$15,MONTH(H123)&lt;=Setup!$C$16)),IF(Setup!$C$15&lt;=Setup!$C$16,AND(MONTH(WORKDAY(H123,-(Setup!$C$13+Setup!$G$26),Setup!$C$39:$C$50))&gt;=Setup!$C$15,MONTH(WORKDAY(H123,-(Setup!$C$13+Setup!$G$26),Setup!$C$39:$C$50))&lt;=Setup!$C$16),OR(MONTH(WORKDAY(H123,-(Setup!$C$13+Setup!$G$26),Setup!$C$39:$C$50))&gt;=Setup!$C$15,MONTH(WORKDAY(H123,-(Setup!$C$13+Setup!$G$26),Setup!$C$39:$C$50))&lt;=Setup!$C$16))),WORKDAY(H123,-(Setup!$C$13+Setup!$G$26+Setup!$C$14),Setup!$C$39:$C$50),WORKDAY(H123,-(Setup!$C$13+Setup!$G$26),Setup!$C$39:$C$50))+(118*100+7)/10000000)))</f>
        <v/>
      </c>
      <c r="Y123" t="str">
        <f>IF(I123="","",IF(I123&lt;Setup!$C$5-Setup!$C$6,"",IF(IF(ISNUMBER(Roster!$D123),Setup!$C$27&lt;=Roster!$D123,FALSE),"",IF(OR(IF(Setup!$C$15&lt;=Setup!$C$16,AND(MONTH(I123)&gt;=Setup!$C$15,MONTH(I123)&lt;=Setup!$C$16),OR(MONTH(I123)&gt;=Setup!$C$15,MONTH(I123)&lt;=Setup!$C$16)),IF(Setup!$C$15&lt;=Setup!$C$16,AND(MONTH(WORKDAY(I123,-(Setup!$C$13+Setup!$G$27),Setup!$C$39:$C$50))&gt;=Setup!$C$15,MONTH(WORKDAY(I123,-(Setup!$C$13+Setup!$G$27),Setup!$C$39:$C$50))&lt;=Setup!$C$16),OR(MONTH(WORKDAY(I123,-(Setup!$C$13+Setup!$G$27),Setup!$C$39:$C$50))&gt;=Setup!$C$15,MONTH(WORKDAY(I123,-(Setup!$C$13+Setup!$G$27),Setup!$C$39:$C$50))&lt;=Setup!$C$16))),WORKDAY(I123,-(Setup!$C$13+Setup!$G$27+Setup!$C$14),Setup!$C$39:$C$50),WORKDAY(I123,-(Setup!$C$13+Setup!$G$27),Setup!$C$39:$C$50))+(118*100+8)/10000000)))</f>
        <v/>
      </c>
      <c r="Z123" t="str">
        <f>IF(J123="","",IF(J123&lt;Setup!$C$5-Setup!$C$6,"",IF(IF(ISNUMBER(Roster!$D123),Setup!$C$28&lt;=Roster!$D123,FALSE),"",IF(OR(IF(Setup!$C$15&lt;=Setup!$C$16,AND(MONTH(J123)&gt;=Setup!$C$15,MONTH(J123)&lt;=Setup!$C$16),OR(MONTH(J123)&gt;=Setup!$C$15,MONTH(J123)&lt;=Setup!$C$16)),IF(Setup!$C$15&lt;=Setup!$C$16,AND(MONTH(WORKDAY(J123,-(Setup!$C$13+Setup!$G$28),Setup!$C$39:$C$50))&gt;=Setup!$C$15,MONTH(WORKDAY(J123,-(Setup!$C$13+Setup!$G$28),Setup!$C$39:$C$50))&lt;=Setup!$C$16),OR(MONTH(WORKDAY(J123,-(Setup!$C$13+Setup!$G$28),Setup!$C$39:$C$50))&gt;=Setup!$C$15,MONTH(WORKDAY(J123,-(Setup!$C$13+Setup!$G$28),Setup!$C$39:$C$50))&lt;=Setup!$C$16))),WORKDAY(J123,-(Setup!$C$13+Setup!$G$28+Setup!$C$14),Setup!$C$39:$C$50),WORKDAY(J123,-(Setup!$C$13+Setup!$G$28),Setup!$C$39:$C$50))+(118*100+9)/10000000)))</f>
        <v/>
      </c>
      <c r="AA123" t="str">
        <f>IF(K123="","",IF(K123&lt;Setup!$C$5-Setup!$C$6,"",IF(IF(ISNUMBER(Roster!$D123),Setup!$C$29&lt;=Roster!$D123,FALSE),"",IF(OR(IF(Setup!$C$15&lt;=Setup!$C$16,AND(MONTH(K123)&gt;=Setup!$C$15,MONTH(K123)&lt;=Setup!$C$16),OR(MONTH(K123)&gt;=Setup!$C$15,MONTH(K123)&lt;=Setup!$C$16)),IF(Setup!$C$15&lt;=Setup!$C$16,AND(MONTH(WORKDAY(K123,-(Setup!$C$13+Setup!$G$29),Setup!$C$39:$C$50))&gt;=Setup!$C$15,MONTH(WORKDAY(K123,-(Setup!$C$13+Setup!$G$29),Setup!$C$39:$C$50))&lt;=Setup!$C$16),OR(MONTH(WORKDAY(K123,-(Setup!$C$13+Setup!$G$29),Setup!$C$39:$C$50))&gt;=Setup!$C$15,MONTH(WORKDAY(K123,-(Setup!$C$13+Setup!$G$29),Setup!$C$39:$C$50))&lt;=Setup!$C$16))),WORKDAY(K123,-(Setup!$C$13+Setup!$G$29+Setup!$C$14),Setup!$C$39:$C$50),WORKDAY(K123,-(Setup!$C$13+Setup!$G$29),Setup!$C$39:$C$50))+(118*100+10)/10000000)))</f>
        <v/>
      </c>
      <c r="AB123" t="str">
        <f>IF(L123="","",IF(L123&lt;Setup!$C$5-Setup!$C$6,"",IF(IF(ISNUMBER(Roster!$D123),Setup!$C$30&lt;=Roster!$D123,FALSE),"",IF(OR(IF(Setup!$C$15&lt;=Setup!$C$16,AND(MONTH(L123)&gt;=Setup!$C$15,MONTH(L123)&lt;=Setup!$C$16),OR(MONTH(L123)&gt;=Setup!$C$15,MONTH(L123)&lt;=Setup!$C$16)),IF(Setup!$C$15&lt;=Setup!$C$16,AND(MONTH(WORKDAY(L123,-(Setup!$C$13+Setup!$G$30),Setup!$C$39:$C$50))&gt;=Setup!$C$15,MONTH(WORKDAY(L123,-(Setup!$C$13+Setup!$G$30),Setup!$C$39:$C$50))&lt;=Setup!$C$16),OR(MONTH(WORKDAY(L123,-(Setup!$C$13+Setup!$G$30),Setup!$C$39:$C$50))&gt;=Setup!$C$15,MONTH(WORKDAY(L123,-(Setup!$C$13+Setup!$G$30),Setup!$C$39:$C$50))&lt;=Setup!$C$16))),WORKDAY(L123,-(Setup!$C$13+Setup!$G$30+Setup!$C$14),Setup!$C$39:$C$50),WORKDAY(L123,-(Setup!$C$13+Setup!$G$30),Setup!$C$39:$C$50))+(118*100+11)/10000000)))</f>
        <v/>
      </c>
      <c r="AC123" t="str">
        <f>IF(M123="","",IF(M123&lt;Setup!$C$5-Setup!$C$6,"",IF(IF(ISNUMBER(Roster!$D123),Setup!$C$31&lt;=Roster!$D123,FALSE),"",IF(OR(IF(Setup!$C$15&lt;=Setup!$C$16,AND(MONTH(M123)&gt;=Setup!$C$15,MONTH(M123)&lt;=Setup!$C$16),OR(MONTH(M123)&gt;=Setup!$C$15,MONTH(M123)&lt;=Setup!$C$16)),IF(Setup!$C$15&lt;=Setup!$C$16,AND(MONTH(WORKDAY(M123,-(Setup!$C$13+Setup!$G$31),Setup!$C$39:$C$50))&gt;=Setup!$C$15,MONTH(WORKDAY(M123,-(Setup!$C$13+Setup!$G$31),Setup!$C$39:$C$50))&lt;=Setup!$C$16),OR(MONTH(WORKDAY(M123,-(Setup!$C$13+Setup!$G$31),Setup!$C$39:$C$50))&gt;=Setup!$C$15,MONTH(WORKDAY(M123,-(Setup!$C$13+Setup!$G$31),Setup!$C$39:$C$50))&lt;=Setup!$C$16))),WORKDAY(M123,-(Setup!$C$13+Setup!$G$31+Setup!$C$14),Setup!$C$39:$C$50),WORKDAY(M123,-(Setup!$C$13+Setup!$G$31),Setup!$C$39:$C$50))+(118*100+12)/10000000)))</f>
        <v/>
      </c>
      <c r="AD123" t="str">
        <f>IF(N123="","",IF(N123&lt;Setup!$C$5-Setup!$C$6,"",IF(IF(ISNUMBER(Roster!$D123),Setup!$C$32&lt;=Roster!$D123,FALSE),"",IF(OR(IF(Setup!$C$15&lt;=Setup!$C$16,AND(MONTH(N123)&gt;=Setup!$C$15,MONTH(N123)&lt;=Setup!$C$16),OR(MONTH(N123)&gt;=Setup!$C$15,MONTH(N123)&lt;=Setup!$C$16)),IF(Setup!$C$15&lt;=Setup!$C$16,AND(MONTH(WORKDAY(N123,-(Setup!$C$13+Setup!$G$32),Setup!$C$39:$C$50))&gt;=Setup!$C$15,MONTH(WORKDAY(N123,-(Setup!$C$13+Setup!$G$32),Setup!$C$39:$C$50))&lt;=Setup!$C$16),OR(MONTH(WORKDAY(N123,-(Setup!$C$13+Setup!$G$32),Setup!$C$39:$C$50))&gt;=Setup!$C$15,MONTH(WORKDAY(N123,-(Setup!$C$13+Setup!$G$32),Setup!$C$39:$C$50))&lt;=Setup!$C$16))),WORKDAY(N123,-(Setup!$C$13+Setup!$G$32+Setup!$C$14),Setup!$C$39:$C$50),WORKDAY(N123,-(Setup!$C$13+Setup!$G$32),Setup!$C$39:$C$50))+(118*100+13)/10000000)))</f>
        <v/>
      </c>
      <c r="AE123" t="str">
        <f>IF(O123="","",IF(O123&lt;Setup!$C$5-Setup!$C$6,"",IF(IF(ISNUMBER(Roster!$D123),Setup!$C$33&lt;=Roster!$D123,FALSE),"",IF(OR(IF(Setup!$C$15&lt;=Setup!$C$16,AND(MONTH(O123)&gt;=Setup!$C$15,MONTH(O123)&lt;=Setup!$C$16),OR(MONTH(O123)&gt;=Setup!$C$15,MONTH(O123)&lt;=Setup!$C$16)),IF(Setup!$C$15&lt;=Setup!$C$16,AND(MONTH(WORKDAY(O123,-(Setup!$C$13+Setup!$G$33),Setup!$C$39:$C$50))&gt;=Setup!$C$15,MONTH(WORKDAY(O123,-(Setup!$C$13+Setup!$G$33),Setup!$C$39:$C$50))&lt;=Setup!$C$16),OR(MONTH(WORKDAY(O123,-(Setup!$C$13+Setup!$G$33),Setup!$C$39:$C$50))&gt;=Setup!$C$15,MONTH(WORKDAY(O123,-(Setup!$C$13+Setup!$G$33),Setup!$C$39:$C$50))&lt;=Setup!$C$16))),WORKDAY(O123,-(Setup!$C$13+Setup!$G$33+Setup!$C$14),Setup!$C$39:$C$50),WORKDAY(O123,-(Setup!$C$13+Setup!$G$33),Setup!$C$39:$C$50))+(118*100+14)/10000000)))</f>
        <v/>
      </c>
      <c r="AF123" t="str">
        <f>IF(P123="","",IF(P123&lt;Setup!$C$5-Setup!$C$6,"",IF(IF(ISNUMBER(Roster!$D123),Setup!$C$34&lt;=Roster!$D123,FALSE),"",IF(OR(IF(Setup!$C$15&lt;=Setup!$C$16,AND(MONTH(P123)&gt;=Setup!$C$15,MONTH(P123)&lt;=Setup!$C$16),OR(MONTH(P123)&gt;=Setup!$C$15,MONTH(P123)&lt;=Setup!$C$16)),IF(Setup!$C$15&lt;=Setup!$C$16,AND(MONTH(WORKDAY(P123,-(Setup!$C$13+Setup!$G$34),Setup!$C$39:$C$50))&gt;=Setup!$C$15,MONTH(WORKDAY(P123,-(Setup!$C$13+Setup!$G$34),Setup!$C$39:$C$50))&lt;=Setup!$C$16),OR(MONTH(WORKDAY(P123,-(Setup!$C$13+Setup!$G$34),Setup!$C$39:$C$50))&gt;=Setup!$C$15,MONTH(WORKDAY(P123,-(Setup!$C$13+Setup!$G$34),Setup!$C$39:$C$50))&lt;=Setup!$C$16))),WORKDAY(P123,-(Setup!$C$13+Setup!$G$34+Setup!$C$14),Setup!$C$39:$C$50),WORKDAY(P123,-(Setup!$C$13+Setup!$G$34),Setup!$C$39:$C$50))+(118*100+15)/10000000)))</f>
        <v/>
      </c>
      <c r="AH123" t="str">
        <f t="shared" si="9"/>
        <v/>
      </c>
      <c r="AI123" t="str">
        <f t="shared" si="10"/>
        <v/>
      </c>
      <c r="AK123" t="str">
        <f ca="1">IF(118&gt;$AK$2,"",SMALL($R$6:$AF$505,118))</f>
        <v/>
      </c>
      <c r="AL123" t="str">
        <f t="shared" ca="1" si="11"/>
        <v/>
      </c>
      <c r="AM123" t="str">
        <f t="shared" ca="1" si="12"/>
        <v/>
      </c>
      <c r="AN123" t="str">
        <f t="shared" ca="1" si="13"/>
        <v/>
      </c>
      <c r="AP123" t="str">
        <f>IF(ISNUMBER(Roster!$B123),MAX(1,YEAR(Setup!$C$5)-YEAR(Roster!$B123)+IF(EDATE(Roster!$B123,12*(YEAR(Setup!$C$5)-YEAR(Roster!$B123)))&lt;Setup!$C$5,1,0)),"")</f>
        <v/>
      </c>
      <c r="AQ123" s="32" t="str">
        <f>IF(AP123="","",EDATE(Roster!$B123,12*AP123))</f>
        <v/>
      </c>
      <c r="AR123" t="str">
        <f>IF(AQ123="","",IF(AQ123&lt;DATE(YEAR(Setup!$C$5)+1,MONTH(Setup!$C$5),DAY(Setup!$C$5)),AQ123+118/1000,""))</f>
        <v/>
      </c>
      <c r="AS123" t="str">
        <f t="shared" si="14"/>
        <v/>
      </c>
      <c r="AT123" t="str">
        <f>IF(AS123="","",IF(ISNUMBER(Roster!$D123),Roster!$D123&gt;=AP123,FALSE))</f>
        <v/>
      </c>
      <c r="AU123" t="str">
        <f t="shared" si="15"/>
        <v/>
      </c>
      <c r="AV123" t="str">
        <f ca="1">IF(118&gt;$AV$2,"",SMALL($AR$6:$AR$505,118))</f>
        <v/>
      </c>
      <c r="AW123" t="str">
        <f t="shared" ca="1" si="16"/>
        <v/>
      </c>
    </row>
    <row r="124" spans="2:49" x14ac:dyDescent="0.2">
      <c r="B124" s="32" t="str">
        <f>IF(AND(ISNUMBER(Roster!$B124),Setup!$B$20="Yes",ISNUMBER(Setup!$C$20)),EDATE(Roster!$B124,12*Setup!$C$20),"")</f>
        <v/>
      </c>
      <c r="C124" s="32" t="str">
        <f>IF(AND(ISNUMBER(Roster!$B124),Setup!$B$21="Yes",ISNUMBER(Setup!$C$21)),EDATE(Roster!$B124,12*Setup!$C$21),"")</f>
        <v/>
      </c>
      <c r="D124" s="32" t="str">
        <f>IF(AND(ISNUMBER(Roster!$B124),Setup!$B$22="Yes",ISNUMBER(Setup!$C$22)),EDATE(Roster!$B124,12*Setup!$C$22),"")</f>
        <v/>
      </c>
      <c r="E124" s="32" t="str">
        <f>IF(AND(ISNUMBER(Roster!$B124),Setup!$B$23="Yes",ISNUMBER(Setup!$C$23)),EDATE(Roster!$B124,12*Setup!$C$23),"")</f>
        <v/>
      </c>
      <c r="F124" s="32" t="str">
        <f>IF(AND(ISNUMBER(Roster!$B124),Setup!$B$24="Yes",ISNUMBER(Setup!$C$24)),EDATE(Roster!$B124,12*Setup!$C$24),"")</f>
        <v/>
      </c>
      <c r="G124" s="32" t="str">
        <f>IF(AND(ISNUMBER(Roster!$B124),Setup!$B$25="Yes",ISNUMBER(Setup!$C$25)),EDATE(Roster!$B124,12*Setup!$C$25),"")</f>
        <v/>
      </c>
      <c r="H124" s="32" t="str">
        <f>IF(AND(ISNUMBER(Roster!$B124),Setup!$B$26="Yes",ISNUMBER(Setup!$C$26)),EDATE(Roster!$B124,12*Setup!$C$26),"")</f>
        <v/>
      </c>
      <c r="I124" s="32" t="str">
        <f>IF(AND(ISNUMBER(Roster!$B124),Setup!$B$27="Yes",ISNUMBER(Setup!$C$27)),EDATE(Roster!$B124,12*Setup!$C$27),"")</f>
        <v/>
      </c>
      <c r="J124" s="32" t="str">
        <f>IF(AND(ISNUMBER(Roster!$B124),Setup!$B$28="Yes",ISNUMBER(Setup!$C$28)),EDATE(Roster!$B124,12*Setup!$C$28),"")</f>
        <v/>
      </c>
      <c r="K124" s="32" t="str">
        <f>IF(AND(ISNUMBER(Roster!$B124),Setup!$B$29="Yes",ISNUMBER(Setup!$C$29)),EDATE(Roster!$B124,12*Setup!$C$29),"")</f>
        <v/>
      </c>
      <c r="L124" s="32" t="str">
        <f>IF(AND(ISNUMBER(Roster!$B124),Setup!$B$30="Yes",ISNUMBER(Setup!$C$30)),EDATE(Roster!$B124,12*Setup!$C$30),"")</f>
        <v/>
      </c>
      <c r="M124" s="32" t="str">
        <f>IF(AND(ISNUMBER(Roster!$B124),Setup!$B$31="Yes",ISNUMBER(Setup!$C$31)),EDATE(Roster!$B124,12*Setup!$C$31),"")</f>
        <v/>
      </c>
      <c r="N124" s="32" t="str">
        <f>IF(AND(ISNUMBER(Roster!$B124),Setup!$B$32="Yes",ISNUMBER(Setup!$C$32)),EDATE(Roster!$B124,12*Setup!$C$32),"")</f>
        <v/>
      </c>
      <c r="O124" s="32" t="str">
        <f>IF(AND(ISNUMBER(Roster!$B124),Setup!$B$33="Yes",ISNUMBER(Setup!$C$33)),EDATE(Roster!$B124,12*Setup!$C$33),"")</f>
        <v/>
      </c>
      <c r="P124" s="32" t="str">
        <f>IF(AND(ISNUMBER(Roster!$B124),Setup!$B$34="Yes",ISNUMBER(Setup!$C$34)),EDATE(Roster!$B124,12*Setup!$C$34),"")</f>
        <v/>
      </c>
      <c r="R124" t="str">
        <f>IF(B124="","",IF(B124&lt;Setup!$C$5-Setup!$C$6,"",IF(IF(ISNUMBER(Roster!$D124),Setup!$C$20&lt;=Roster!$D124,FALSE),"",IF(OR(IF(Setup!$C$15&lt;=Setup!$C$16,AND(MONTH(B124)&gt;=Setup!$C$15,MONTH(B124)&lt;=Setup!$C$16),OR(MONTH(B124)&gt;=Setup!$C$15,MONTH(B124)&lt;=Setup!$C$16)),IF(Setup!$C$15&lt;=Setup!$C$16,AND(MONTH(WORKDAY(B124,-(Setup!$C$13+Setup!$G$20),Setup!$C$39:$C$50))&gt;=Setup!$C$15,MONTH(WORKDAY(B124,-(Setup!$C$13+Setup!$G$20),Setup!$C$39:$C$50))&lt;=Setup!$C$16),OR(MONTH(WORKDAY(B124,-(Setup!$C$13+Setup!$G$20),Setup!$C$39:$C$50))&gt;=Setup!$C$15,MONTH(WORKDAY(B124,-(Setup!$C$13+Setup!$G$20),Setup!$C$39:$C$50))&lt;=Setup!$C$16))),WORKDAY(B124,-(Setup!$C$13+Setup!$G$20+Setup!$C$14),Setup!$C$39:$C$50),WORKDAY(B124,-(Setup!$C$13+Setup!$G$20),Setup!$C$39:$C$50))+(119*100+1)/10000000)))</f>
        <v/>
      </c>
      <c r="S124" t="str">
        <f>IF(C124="","",IF(C124&lt;Setup!$C$5-Setup!$C$6,"",IF(IF(ISNUMBER(Roster!$D124),Setup!$C$21&lt;=Roster!$D124,FALSE),"",IF(OR(IF(Setup!$C$15&lt;=Setup!$C$16,AND(MONTH(C124)&gt;=Setup!$C$15,MONTH(C124)&lt;=Setup!$C$16),OR(MONTH(C124)&gt;=Setup!$C$15,MONTH(C124)&lt;=Setup!$C$16)),IF(Setup!$C$15&lt;=Setup!$C$16,AND(MONTH(WORKDAY(C124,-(Setup!$C$13+Setup!$G$21),Setup!$C$39:$C$50))&gt;=Setup!$C$15,MONTH(WORKDAY(C124,-(Setup!$C$13+Setup!$G$21),Setup!$C$39:$C$50))&lt;=Setup!$C$16),OR(MONTH(WORKDAY(C124,-(Setup!$C$13+Setup!$G$21),Setup!$C$39:$C$50))&gt;=Setup!$C$15,MONTH(WORKDAY(C124,-(Setup!$C$13+Setup!$G$21),Setup!$C$39:$C$50))&lt;=Setup!$C$16))),WORKDAY(C124,-(Setup!$C$13+Setup!$G$21+Setup!$C$14),Setup!$C$39:$C$50),WORKDAY(C124,-(Setup!$C$13+Setup!$G$21),Setup!$C$39:$C$50))+(119*100+2)/10000000)))</f>
        <v/>
      </c>
      <c r="T124" t="str">
        <f>IF(D124="","",IF(D124&lt;Setup!$C$5-Setup!$C$6,"",IF(IF(ISNUMBER(Roster!$D124),Setup!$C$22&lt;=Roster!$D124,FALSE),"",IF(OR(IF(Setup!$C$15&lt;=Setup!$C$16,AND(MONTH(D124)&gt;=Setup!$C$15,MONTH(D124)&lt;=Setup!$C$16),OR(MONTH(D124)&gt;=Setup!$C$15,MONTH(D124)&lt;=Setup!$C$16)),IF(Setup!$C$15&lt;=Setup!$C$16,AND(MONTH(WORKDAY(D124,-(Setup!$C$13+Setup!$G$22),Setup!$C$39:$C$50))&gt;=Setup!$C$15,MONTH(WORKDAY(D124,-(Setup!$C$13+Setup!$G$22),Setup!$C$39:$C$50))&lt;=Setup!$C$16),OR(MONTH(WORKDAY(D124,-(Setup!$C$13+Setup!$G$22),Setup!$C$39:$C$50))&gt;=Setup!$C$15,MONTH(WORKDAY(D124,-(Setup!$C$13+Setup!$G$22),Setup!$C$39:$C$50))&lt;=Setup!$C$16))),WORKDAY(D124,-(Setup!$C$13+Setup!$G$22+Setup!$C$14),Setup!$C$39:$C$50),WORKDAY(D124,-(Setup!$C$13+Setup!$G$22),Setup!$C$39:$C$50))+(119*100+3)/10000000)))</f>
        <v/>
      </c>
      <c r="U124" t="str">
        <f>IF(E124="","",IF(E124&lt;Setup!$C$5-Setup!$C$6,"",IF(IF(ISNUMBER(Roster!$D124),Setup!$C$23&lt;=Roster!$D124,FALSE),"",IF(OR(IF(Setup!$C$15&lt;=Setup!$C$16,AND(MONTH(E124)&gt;=Setup!$C$15,MONTH(E124)&lt;=Setup!$C$16),OR(MONTH(E124)&gt;=Setup!$C$15,MONTH(E124)&lt;=Setup!$C$16)),IF(Setup!$C$15&lt;=Setup!$C$16,AND(MONTH(WORKDAY(E124,-(Setup!$C$13+Setup!$G$23),Setup!$C$39:$C$50))&gt;=Setup!$C$15,MONTH(WORKDAY(E124,-(Setup!$C$13+Setup!$G$23),Setup!$C$39:$C$50))&lt;=Setup!$C$16),OR(MONTH(WORKDAY(E124,-(Setup!$C$13+Setup!$G$23),Setup!$C$39:$C$50))&gt;=Setup!$C$15,MONTH(WORKDAY(E124,-(Setup!$C$13+Setup!$G$23),Setup!$C$39:$C$50))&lt;=Setup!$C$16))),WORKDAY(E124,-(Setup!$C$13+Setup!$G$23+Setup!$C$14),Setup!$C$39:$C$50),WORKDAY(E124,-(Setup!$C$13+Setup!$G$23),Setup!$C$39:$C$50))+(119*100+4)/10000000)))</f>
        <v/>
      </c>
      <c r="V124" t="str">
        <f>IF(F124="","",IF(F124&lt;Setup!$C$5-Setup!$C$6,"",IF(IF(ISNUMBER(Roster!$D124),Setup!$C$24&lt;=Roster!$D124,FALSE),"",IF(OR(IF(Setup!$C$15&lt;=Setup!$C$16,AND(MONTH(F124)&gt;=Setup!$C$15,MONTH(F124)&lt;=Setup!$C$16),OR(MONTH(F124)&gt;=Setup!$C$15,MONTH(F124)&lt;=Setup!$C$16)),IF(Setup!$C$15&lt;=Setup!$C$16,AND(MONTH(WORKDAY(F124,-(Setup!$C$13+Setup!$G$24),Setup!$C$39:$C$50))&gt;=Setup!$C$15,MONTH(WORKDAY(F124,-(Setup!$C$13+Setup!$G$24),Setup!$C$39:$C$50))&lt;=Setup!$C$16),OR(MONTH(WORKDAY(F124,-(Setup!$C$13+Setup!$G$24),Setup!$C$39:$C$50))&gt;=Setup!$C$15,MONTH(WORKDAY(F124,-(Setup!$C$13+Setup!$G$24),Setup!$C$39:$C$50))&lt;=Setup!$C$16))),WORKDAY(F124,-(Setup!$C$13+Setup!$G$24+Setup!$C$14),Setup!$C$39:$C$50),WORKDAY(F124,-(Setup!$C$13+Setup!$G$24),Setup!$C$39:$C$50))+(119*100+5)/10000000)))</f>
        <v/>
      </c>
      <c r="W124" t="str">
        <f>IF(G124="","",IF(G124&lt;Setup!$C$5-Setup!$C$6,"",IF(IF(ISNUMBER(Roster!$D124),Setup!$C$25&lt;=Roster!$D124,FALSE),"",IF(OR(IF(Setup!$C$15&lt;=Setup!$C$16,AND(MONTH(G124)&gt;=Setup!$C$15,MONTH(G124)&lt;=Setup!$C$16),OR(MONTH(G124)&gt;=Setup!$C$15,MONTH(G124)&lt;=Setup!$C$16)),IF(Setup!$C$15&lt;=Setup!$C$16,AND(MONTH(WORKDAY(G124,-(Setup!$C$13+Setup!$G$25),Setup!$C$39:$C$50))&gt;=Setup!$C$15,MONTH(WORKDAY(G124,-(Setup!$C$13+Setup!$G$25),Setup!$C$39:$C$50))&lt;=Setup!$C$16),OR(MONTH(WORKDAY(G124,-(Setup!$C$13+Setup!$G$25),Setup!$C$39:$C$50))&gt;=Setup!$C$15,MONTH(WORKDAY(G124,-(Setup!$C$13+Setup!$G$25),Setup!$C$39:$C$50))&lt;=Setup!$C$16))),WORKDAY(G124,-(Setup!$C$13+Setup!$G$25+Setup!$C$14),Setup!$C$39:$C$50),WORKDAY(G124,-(Setup!$C$13+Setup!$G$25),Setup!$C$39:$C$50))+(119*100+6)/10000000)))</f>
        <v/>
      </c>
      <c r="X124" t="str">
        <f>IF(H124="","",IF(H124&lt;Setup!$C$5-Setup!$C$6,"",IF(IF(ISNUMBER(Roster!$D124),Setup!$C$26&lt;=Roster!$D124,FALSE),"",IF(OR(IF(Setup!$C$15&lt;=Setup!$C$16,AND(MONTH(H124)&gt;=Setup!$C$15,MONTH(H124)&lt;=Setup!$C$16),OR(MONTH(H124)&gt;=Setup!$C$15,MONTH(H124)&lt;=Setup!$C$16)),IF(Setup!$C$15&lt;=Setup!$C$16,AND(MONTH(WORKDAY(H124,-(Setup!$C$13+Setup!$G$26),Setup!$C$39:$C$50))&gt;=Setup!$C$15,MONTH(WORKDAY(H124,-(Setup!$C$13+Setup!$G$26),Setup!$C$39:$C$50))&lt;=Setup!$C$16),OR(MONTH(WORKDAY(H124,-(Setup!$C$13+Setup!$G$26),Setup!$C$39:$C$50))&gt;=Setup!$C$15,MONTH(WORKDAY(H124,-(Setup!$C$13+Setup!$G$26),Setup!$C$39:$C$50))&lt;=Setup!$C$16))),WORKDAY(H124,-(Setup!$C$13+Setup!$G$26+Setup!$C$14),Setup!$C$39:$C$50),WORKDAY(H124,-(Setup!$C$13+Setup!$G$26),Setup!$C$39:$C$50))+(119*100+7)/10000000)))</f>
        <v/>
      </c>
      <c r="Y124" t="str">
        <f>IF(I124="","",IF(I124&lt;Setup!$C$5-Setup!$C$6,"",IF(IF(ISNUMBER(Roster!$D124),Setup!$C$27&lt;=Roster!$D124,FALSE),"",IF(OR(IF(Setup!$C$15&lt;=Setup!$C$16,AND(MONTH(I124)&gt;=Setup!$C$15,MONTH(I124)&lt;=Setup!$C$16),OR(MONTH(I124)&gt;=Setup!$C$15,MONTH(I124)&lt;=Setup!$C$16)),IF(Setup!$C$15&lt;=Setup!$C$16,AND(MONTH(WORKDAY(I124,-(Setup!$C$13+Setup!$G$27),Setup!$C$39:$C$50))&gt;=Setup!$C$15,MONTH(WORKDAY(I124,-(Setup!$C$13+Setup!$G$27),Setup!$C$39:$C$50))&lt;=Setup!$C$16),OR(MONTH(WORKDAY(I124,-(Setup!$C$13+Setup!$G$27),Setup!$C$39:$C$50))&gt;=Setup!$C$15,MONTH(WORKDAY(I124,-(Setup!$C$13+Setup!$G$27),Setup!$C$39:$C$50))&lt;=Setup!$C$16))),WORKDAY(I124,-(Setup!$C$13+Setup!$G$27+Setup!$C$14),Setup!$C$39:$C$50),WORKDAY(I124,-(Setup!$C$13+Setup!$G$27),Setup!$C$39:$C$50))+(119*100+8)/10000000)))</f>
        <v/>
      </c>
      <c r="Z124" t="str">
        <f>IF(J124="","",IF(J124&lt;Setup!$C$5-Setup!$C$6,"",IF(IF(ISNUMBER(Roster!$D124),Setup!$C$28&lt;=Roster!$D124,FALSE),"",IF(OR(IF(Setup!$C$15&lt;=Setup!$C$16,AND(MONTH(J124)&gt;=Setup!$C$15,MONTH(J124)&lt;=Setup!$C$16),OR(MONTH(J124)&gt;=Setup!$C$15,MONTH(J124)&lt;=Setup!$C$16)),IF(Setup!$C$15&lt;=Setup!$C$16,AND(MONTH(WORKDAY(J124,-(Setup!$C$13+Setup!$G$28),Setup!$C$39:$C$50))&gt;=Setup!$C$15,MONTH(WORKDAY(J124,-(Setup!$C$13+Setup!$G$28),Setup!$C$39:$C$50))&lt;=Setup!$C$16),OR(MONTH(WORKDAY(J124,-(Setup!$C$13+Setup!$G$28),Setup!$C$39:$C$50))&gt;=Setup!$C$15,MONTH(WORKDAY(J124,-(Setup!$C$13+Setup!$G$28),Setup!$C$39:$C$50))&lt;=Setup!$C$16))),WORKDAY(J124,-(Setup!$C$13+Setup!$G$28+Setup!$C$14),Setup!$C$39:$C$50),WORKDAY(J124,-(Setup!$C$13+Setup!$G$28),Setup!$C$39:$C$50))+(119*100+9)/10000000)))</f>
        <v/>
      </c>
      <c r="AA124" t="str">
        <f>IF(K124="","",IF(K124&lt;Setup!$C$5-Setup!$C$6,"",IF(IF(ISNUMBER(Roster!$D124),Setup!$C$29&lt;=Roster!$D124,FALSE),"",IF(OR(IF(Setup!$C$15&lt;=Setup!$C$16,AND(MONTH(K124)&gt;=Setup!$C$15,MONTH(K124)&lt;=Setup!$C$16),OR(MONTH(K124)&gt;=Setup!$C$15,MONTH(K124)&lt;=Setup!$C$16)),IF(Setup!$C$15&lt;=Setup!$C$16,AND(MONTH(WORKDAY(K124,-(Setup!$C$13+Setup!$G$29),Setup!$C$39:$C$50))&gt;=Setup!$C$15,MONTH(WORKDAY(K124,-(Setup!$C$13+Setup!$G$29),Setup!$C$39:$C$50))&lt;=Setup!$C$16),OR(MONTH(WORKDAY(K124,-(Setup!$C$13+Setup!$G$29),Setup!$C$39:$C$50))&gt;=Setup!$C$15,MONTH(WORKDAY(K124,-(Setup!$C$13+Setup!$G$29),Setup!$C$39:$C$50))&lt;=Setup!$C$16))),WORKDAY(K124,-(Setup!$C$13+Setup!$G$29+Setup!$C$14),Setup!$C$39:$C$50),WORKDAY(K124,-(Setup!$C$13+Setup!$G$29),Setup!$C$39:$C$50))+(119*100+10)/10000000)))</f>
        <v/>
      </c>
      <c r="AB124" t="str">
        <f>IF(L124="","",IF(L124&lt;Setup!$C$5-Setup!$C$6,"",IF(IF(ISNUMBER(Roster!$D124),Setup!$C$30&lt;=Roster!$D124,FALSE),"",IF(OR(IF(Setup!$C$15&lt;=Setup!$C$16,AND(MONTH(L124)&gt;=Setup!$C$15,MONTH(L124)&lt;=Setup!$C$16),OR(MONTH(L124)&gt;=Setup!$C$15,MONTH(L124)&lt;=Setup!$C$16)),IF(Setup!$C$15&lt;=Setup!$C$16,AND(MONTH(WORKDAY(L124,-(Setup!$C$13+Setup!$G$30),Setup!$C$39:$C$50))&gt;=Setup!$C$15,MONTH(WORKDAY(L124,-(Setup!$C$13+Setup!$G$30),Setup!$C$39:$C$50))&lt;=Setup!$C$16),OR(MONTH(WORKDAY(L124,-(Setup!$C$13+Setup!$G$30),Setup!$C$39:$C$50))&gt;=Setup!$C$15,MONTH(WORKDAY(L124,-(Setup!$C$13+Setup!$G$30),Setup!$C$39:$C$50))&lt;=Setup!$C$16))),WORKDAY(L124,-(Setup!$C$13+Setup!$G$30+Setup!$C$14),Setup!$C$39:$C$50),WORKDAY(L124,-(Setup!$C$13+Setup!$G$30),Setup!$C$39:$C$50))+(119*100+11)/10000000)))</f>
        <v/>
      </c>
      <c r="AC124" t="str">
        <f>IF(M124="","",IF(M124&lt;Setup!$C$5-Setup!$C$6,"",IF(IF(ISNUMBER(Roster!$D124),Setup!$C$31&lt;=Roster!$D124,FALSE),"",IF(OR(IF(Setup!$C$15&lt;=Setup!$C$16,AND(MONTH(M124)&gt;=Setup!$C$15,MONTH(M124)&lt;=Setup!$C$16),OR(MONTH(M124)&gt;=Setup!$C$15,MONTH(M124)&lt;=Setup!$C$16)),IF(Setup!$C$15&lt;=Setup!$C$16,AND(MONTH(WORKDAY(M124,-(Setup!$C$13+Setup!$G$31),Setup!$C$39:$C$50))&gt;=Setup!$C$15,MONTH(WORKDAY(M124,-(Setup!$C$13+Setup!$G$31),Setup!$C$39:$C$50))&lt;=Setup!$C$16),OR(MONTH(WORKDAY(M124,-(Setup!$C$13+Setup!$G$31),Setup!$C$39:$C$50))&gt;=Setup!$C$15,MONTH(WORKDAY(M124,-(Setup!$C$13+Setup!$G$31),Setup!$C$39:$C$50))&lt;=Setup!$C$16))),WORKDAY(M124,-(Setup!$C$13+Setup!$G$31+Setup!$C$14),Setup!$C$39:$C$50),WORKDAY(M124,-(Setup!$C$13+Setup!$G$31),Setup!$C$39:$C$50))+(119*100+12)/10000000)))</f>
        <v/>
      </c>
      <c r="AD124" t="str">
        <f>IF(N124="","",IF(N124&lt;Setup!$C$5-Setup!$C$6,"",IF(IF(ISNUMBER(Roster!$D124),Setup!$C$32&lt;=Roster!$D124,FALSE),"",IF(OR(IF(Setup!$C$15&lt;=Setup!$C$16,AND(MONTH(N124)&gt;=Setup!$C$15,MONTH(N124)&lt;=Setup!$C$16),OR(MONTH(N124)&gt;=Setup!$C$15,MONTH(N124)&lt;=Setup!$C$16)),IF(Setup!$C$15&lt;=Setup!$C$16,AND(MONTH(WORKDAY(N124,-(Setup!$C$13+Setup!$G$32),Setup!$C$39:$C$50))&gt;=Setup!$C$15,MONTH(WORKDAY(N124,-(Setup!$C$13+Setup!$G$32),Setup!$C$39:$C$50))&lt;=Setup!$C$16),OR(MONTH(WORKDAY(N124,-(Setup!$C$13+Setup!$G$32),Setup!$C$39:$C$50))&gt;=Setup!$C$15,MONTH(WORKDAY(N124,-(Setup!$C$13+Setup!$G$32),Setup!$C$39:$C$50))&lt;=Setup!$C$16))),WORKDAY(N124,-(Setup!$C$13+Setup!$G$32+Setup!$C$14),Setup!$C$39:$C$50),WORKDAY(N124,-(Setup!$C$13+Setup!$G$32),Setup!$C$39:$C$50))+(119*100+13)/10000000)))</f>
        <v/>
      </c>
      <c r="AE124" t="str">
        <f>IF(O124="","",IF(O124&lt;Setup!$C$5-Setup!$C$6,"",IF(IF(ISNUMBER(Roster!$D124),Setup!$C$33&lt;=Roster!$D124,FALSE),"",IF(OR(IF(Setup!$C$15&lt;=Setup!$C$16,AND(MONTH(O124)&gt;=Setup!$C$15,MONTH(O124)&lt;=Setup!$C$16),OR(MONTH(O124)&gt;=Setup!$C$15,MONTH(O124)&lt;=Setup!$C$16)),IF(Setup!$C$15&lt;=Setup!$C$16,AND(MONTH(WORKDAY(O124,-(Setup!$C$13+Setup!$G$33),Setup!$C$39:$C$50))&gt;=Setup!$C$15,MONTH(WORKDAY(O124,-(Setup!$C$13+Setup!$G$33),Setup!$C$39:$C$50))&lt;=Setup!$C$16),OR(MONTH(WORKDAY(O124,-(Setup!$C$13+Setup!$G$33),Setup!$C$39:$C$50))&gt;=Setup!$C$15,MONTH(WORKDAY(O124,-(Setup!$C$13+Setup!$G$33),Setup!$C$39:$C$50))&lt;=Setup!$C$16))),WORKDAY(O124,-(Setup!$C$13+Setup!$G$33+Setup!$C$14),Setup!$C$39:$C$50),WORKDAY(O124,-(Setup!$C$13+Setup!$G$33),Setup!$C$39:$C$50))+(119*100+14)/10000000)))</f>
        <v/>
      </c>
      <c r="AF124" t="str">
        <f>IF(P124="","",IF(P124&lt;Setup!$C$5-Setup!$C$6,"",IF(IF(ISNUMBER(Roster!$D124),Setup!$C$34&lt;=Roster!$D124,FALSE),"",IF(OR(IF(Setup!$C$15&lt;=Setup!$C$16,AND(MONTH(P124)&gt;=Setup!$C$15,MONTH(P124)&lt;=Setup!$C$16),OR(MONTH(P124)&gt;=Setup!$C$15,MONTH(P124)&lt;=Setup!$C$16)),IF(Setup!$C$15&lt;=Setup!$C$16,AND(MONTH(WORKDAY(P124,-(Setup!$C$13+Setup!$G$34),Setup!$C$39:$C$50))&gt;=Setup!$C$15,MONTH(WORKDAY(P124,-(Setup!$C$13+Setup!$G$34),Setup!$C$39:$C$50))&lt;=Setup!$C$16),OR(MONTH(WORKDAY(P124,-(Setup!$C$13+Setup!$G$34),Setup!$C$39:$C$50))&gt;=Setup!$C$15,MONTH(WORKDAY(P124,-(Setup!$C$13+Setup!$G$34),Setup!$C$39:$C$50))&lt;=Setup!$C$16))),WORKDAY(P124,-(Setup!$C$13+Setup!$G$34+Setup!$C$14),Setup!$C$39:$C$50),WORKDAY(P124,-(Setup!$C$13+Setup!$G$34),Setup!$C$39:$C$50))+(119*100+15)/10000000)))</f>
        <v/>
      </c>
      <c r="AH124" t="str">
        <f t="shared" si="9"/>
        <v/>
      </c>
      <c r="AI124" t="str">
        <f t="shared" si="10"/>
        <v/>
      </c>
      <c r="AK124" t="str">
        <f ca="1">IF(119&gt;$AK$2,"",SMALL($R$6:$AF$505,119))</f>
        <v/>
      </c>
      <c r="AL124" t="str">
        <f t="shared" ca="1" si="11"/>
        <v/>
      </c>
      <c r="AM124" t="str">
        <f t="shared" ca="1" si="12"/>
        <v/>
      </c>
      <c r="AN124" t="str">
        <f t="shared" ca="1" si="13"/>
        <v/>
      </c>
      <c r="AP124" t="str">
        <f>IF(ISNUMBER(Roster!$B124),MAX(1,YEAR(Setup!$C$5)-YEAR(Roster!$B124)+IF(EDATE(Roster!$B124,12*(YEAR(Setup!$C$5)-YEAR(Roster!$B124)))&lt;Setup!$C$5,1,0)),"")</f>
        <v/>
      </c>
      <c r="AQ124" s="32" t="str">
        <f>IF(AP124="","",EDATE(Roster!$B124,12*AP124))</f>
        <v/>
      </c>
      <c r="AR124" t="str">
        <f>IF(AQ124="","",IF(AQ124&lt;DATE(YEAR(Setup!$C$5)+1,MONTH(Setup!$C$5),DAY(Setup!$C$5)),AQ124+119/1000,""))</f>
        <v/>
      </c>
      <c r="AS124" t="str">
        <f t="shared" si="14"/>
        <v/>
      </c>
      <c r="AT124" t="str">
        <f>IF(AS124="","",IF(ISNUMBER(Roster!$D124),Roster!$D124&gt;=AP124,FALSE))</f>
        <v/>
      </c>
      <c r="AU124" t="str">
        <f t="shared" si="15"/>
        <v/>
      </c>
      <c r="AV124" t="str">
        <f ca="1">IF(119&gt;$AV$2,"",SMALL($AR$6:$AR$505,119))</f>
        <v/>
      </c>
      <c r="AW124" t="str">
        <f t="shared" ca="1" si="16"/>
        <v/>
      </c>
    </row>
    <row r="125" spans="2:49" x14ac:dyDescent="0.2">
      <c r="B125" s="32" t="str">
        <f>IF(AND(ISNUMBER(Roster!$B125),Setup!$B$20="Yes",ISNUMBER(Setup!$C$20)),EDATE(Roster!$B125,12*Setup!$C$20),"")</f>
        <v/>
      </c>
      <c r="C125" s="32" t="str">
        <f>IF(AND(ISNUMBER(Roster!$B125),Setup!$B$21="Yes",ISNUMBER(Setup!$C$21)),EDATE(Roster!$B125,12*Setup!$C$21),"")</f>
        <v/>
      </c>
      <c r="D125" s="32" t="str">
        <f>IF(AND(ISNUMBER(Roster!$B125),Setup!$B$22="Yes",ISNUMBER(Setup!$C$22)),EDATE(Roster!$B125,12*Setup!$C$22),"")</f>
        <v/>
      </c>
      <c r="E125" s="32" t="str">
        <f>IF(AND(ISNUMBER(Roster!$B125),Setup!$B$23="Yes",ISNUMBER(Setup!$C$23)),EDATE(Roster!$B125,12*Setup!$C$23),"")</f>
        <v/>
      </c>
      <c r="F125" s="32" t="str">
        <f>IF(AND(ISNUMBER(Roster!$B125),Setup!$B$24="Yes",ISNUMBER(Setup!$C$24)),EDATE(Roster!$B125,12*Setup!$C$24),"")</f>
        <v/>
      </c>
      <c r="G125" s="32" t="str">
        <f>IF(AND(ISNUMBER(Roster!$B125),Setup!$B$25="Yes",ISNUMBER(Setup!$C$25)),EDATE(Roster!$B125,12*Setup!$C$25),"")</f>
        <v/>
      </c>
      <c r="H125" s="32" t="str">
        <f>IF(AND(ISNUMBER(Roster!$B125),Setup!$B$26="Yes",ISNUMBER(Setup!$C$26)),EDATE(Roster!$B125,12*Setup!$C$26),"")</f>
        <v/>
      </c>
      <c r="I125" s="32" t="str">
        <f>IF(AND(ISNUMBER(Roster!$B125),Setup!$B$27="Yes",ISNUMBER(Setup!$C$27)),EDATE(Roster!$B125,12*Setup!$C$27),"")</f>
        <v/>
      </c>
      <c r="J125" s="32" t="str">
        <f>IF(AND(ISNUMBER(Roster!$B125),Setup!$B$28="Yes",ISNUMBER(Setup!$C$28)),EDATE(Roster!$B125,12*Setup!$C$28),"")</f>
        <v/>
      </c>
      <c r="K125" s="32" t="str">
        <f>IF(AND(ISNUMBER(Roster!$B125),Setup!$B$29="Yes",ISNUMBER(Setup!$C$29)),EDATE(Roster!$B125,12*Setup!$C$29),"")</f>
        <v/>
      </c>
      <c r="L125" s="32" t="str">
        <f>IF(AND(ISNUMBER(Roster!$B125),Setup!$B$30="Yes",ISNUMBER(Setup!$C$30)),EDATE(Roster!$B125,12*Setup!$C$30),"")</f>
        <v/>
      </c>
      <c r="M125" s="32" t="str">
        <f>IF(AND(ISNUMBER(Roster!$B125),Setup!$B$31="Yes",ISNUMBER(Setup!$C$31)),EDATE(Roster!$B125,12*Setup!$C$31),"")</f>
        <v/>
      </c>
      <c r="N125" s="32" t="str">
        <f>IF(AND(ISNUMBER(Roster!$B125),Setup!$B$32="Yes",ISNUMBER(Setup!$C$32)),EDATE(Roster!$B125,12*Setup!$C$32),"")</f>
        <v/>
      </c>
      <c r="O125" s="32" t="str">
        <f>IF(AND(ISNUMBER(Roster!$B125),Setup!$B$33="Yes",ISNUMBER(Setup!$C$33)),EDATE(Roster!$B125,12*Setup!$C$33),"")</f>
        <v/>
      </c>
      <c r="P125" s="32" t="str">
        <f>IF(AND(ISNUMBER(Roster!$B125),Setup!$B$34="Yes",ISNUMBER(Setup!$C$34)),EDATE(Roster!$B125,12*Setup!$C$34),"")</f>
        <v/>
      </c>
      <c r="R125" t="str">
        <f>IF(B125="","",IF(B125&lt;Setup!$C$5-Setup!$C$6,"",IF(IF(ISNUMBER(Roster!$D125),Setup!$C$20&lt;=Roster!$D125,FALSE),"",IF(OR(IF(Setup!$C$15&lt;=Setup!$C$16,AND(MONTH(B125)&gt;=Setup!$C$15,MONTH(B125)&lt;=Setup!$C$16),OR(MONTH(B125)&gt;=Setup!$C$15,MONTH(B125)&lt;=Setup!$C$16)),IF(Setup!$C$15&lt;=Setup!$C$16,AND(MONTH(WORKDAY(B125,-(Setup!$C$13+Setup!$G$20),Setup!$C$39:$C$50))&gt;=Setup!$C$15,MONTH(WORKDAY(B125,-(Setup!$C$13+Setup!$G$20),Setup!$C$39:$C$50))&lt;=Setup!$C$16),OR(MONTH(WORKDAY(B125,-(Setup!$C$13+Setup!$G$20),Setup!$C$39:$C$50))&gt;=Setup!$C$15,MONTH(WORKDAY(B125,-(Setup!$C$13+Setup!$G$20),Setup!$C$39:$C$50))&lt;=Setup!$C$16))),WORKDAY(B125,-(Setup!$C$13+Setup!$G$20+Setup!$C$14),Setup!$C$39:$C$50),WORKDAY(B125,-(Setup!$C$13+Setup!$G$20),Setup!$C$39:$C$50))+(120*100+1)/10000000)))</f>
        <v/>
      </c>
      <c r="S125" t="str">
        <f>IF(C125="","",IF(C125&lt;Setup!$C$5-Setup!$C$6,"",IF(IF(ISNUMBER(Roster!$D125),Setup!$C$21&lt;=Roster!$D125,FALSE),"",IF(OR(IF(Setup!$C$15&lt;=Setup!$C$16,AND(MONTH(C125)&gt;=Setup!$C$15,MONTH(C125)&lt;=Setup!$C$16),OR(MONTH(C125)&gt;=Setup!$C$15,MONTH(C125)&lt;=Setup!$C$16)),IF(Setup!$C$15&lt;=Setup!$C$16,AND(MONTH(WORKDAY(C125,-(Setup!$C$13+Setup!$G$21),Setup!$C$39:$C$50))&gt;=Setup!$C$15,MONTH(WORKDAY(C125,-(Setup!$C$13+Setup!$G$21),Setup!$C$39:$C$50))&lt;=Setup!$C$16),OR(MONTH(WORKDAY(C125,-(Setup!$C$13+Setup!$G$21),Setup!$C$39:$C$50))&gt;=Setup!$C$15,MONTH(WORKDAY(C125,-(Setup!$C$13+Setup!$G$21),Setup!$C$39:$C$50))&lt;=Setup!$C$16))),WORKDAY(C125,-(Setup!$C$13+Setup!$G$21+Setup!$C$14),Setup!$C$39:$C$50),WORKDAY(C125,-(Setup!$C$13+Setup!$G$21),Setup!$C$39:$C$50))+(120*100+2)/10000000)))</f>
        <v/>
      </c>
      <c r="T125" t="str">
        <f>IF(D125="","",IF(D125&lt;Setup!$C$5-Setup!$C$6,"",IF(IF(ISNUMBER(Roster!$D125),Setup!$C$22&lt;=Roster!$D125,FALSE),"",IF(OR(IF(Setup!$C$15&lt;=Setup!$C$16,AND(MONTH(D125)&gt;=Setup!$C$15,MONTH(D125)&lt;=Setup!$C$16),OR(MONTH(D125)&gt;=Setup!$C$15,MONTH(D125)&lt;=Setup!$C$16)),IF(Setup!$C$15&lt;=Setup!$C$16,AND(MONTH(WORKDAY(D125,-(Setup!$C$13+Setup!$G$22),Setup!$C$39:$C$50))&gt;=Setup!$C$15,MONTH(WORKDAY(D125,-(Setup!$C$13+Setup!$G$22),Setup!$C$39:$C$50))&lt;=Setup!$C$16),OR(MONTH(WORKDAY(D125,-(Setup!$C$13+Setup!$G$22),Setup!$C$39:$C$50))&gt;=Setup!$C$15,MONTH(WORKDAY(D125,-(Setup!$C$13+Setup!$G$22),Setup!$C$39:$C$50))&lt;=Setup!$C$16))),WORKDAY(D125,-(Setup!$C$13+Setup!$G$22+Setup!$C$14),Setup!$C$39:$C$50),WORKDAY(D125,-(Setup!$C$13+Setup!$G$22),Setup!$C$39:$C$50))+(120*100+3)/10000000)))</f>
        <v/>
      </c>
      <c r="U125" t="str">
        <f>IF(E125="","",IF(E125&lt;Setup!$C$5-Setup!$C$6,"",IF(IF(ISNUMBER(Roster!$D125),Setup!$C$23&lt;=Roster!$D125,FALSE),"",IF(OR(IF(Setup!$C$15&lt;=Setup!$C$16,AND(MONTH(E125)&gt;=Setup!$C$15,MONTH(E125)&lt;=Setup!$C$16),OR(MONTH(E125)&gt;=Setup!$C$15,MONTH(E125)&lt;=Setup!$C$16)),IF(Setup!$C$15&lt;=Setup!$C$16,AND(MONTH(WORKDAY(E125,-(Setup!$C$13+Setup!$G$23),Setup!$C$39:$C$50))&gt;=Setup!$C$15,MONTH(WORKDAY(E125,-(Setup!$C$13+Setup!$G$23),Setup!$C$39:$C$50))&lt;=Setup!$C$16),OR(MONTH(WORKDAY(E125,-(Setup!$C$13+Setup!$G$23),Setup!$C$39:$C$50))&gt;=Setup!$C$15,MONTH(WORKDAY(E125,-(Setup!$C$13+Setup!$G$23),Setup!$C$39:$C$50))&lt;=Setup!$C$16))),WORKDAY(E125,-(Setup!$C$13+Setup!$G$23+Setup!$C$14),Setup!$C$39:$C$50),WORKDAY(E125,-(Setup!$C$13+Setup!$G$23),Setup!$C$39:$C$50))+(120*100+4)/10000000)))</f>
        <v/>
      </c>
      <c r="V125" t="str">
        <f>IF(F125="","",IF(F125&lt;Setup!$C$5-Setup!$C$6,"",IF(IF(ISNUMBER(Roster!$D125),Setup!$C$24&lt;=Roster!$D125,FALSE),"",IF(OR(IF(Setup!$C$15&lt;=Setup!$C$16,AND(MONTH(F125)&gt;=Setup!$C$15,MONTH(F125)&lt;=Setup!$C$16),OR(MONTH(F125)&gt;=Setup!$C$15,MONTH(F125)&lt;=Setup!$C$16)),IF(Setup!$C$15&lt;=Setup!$C$16,AND(MONTH(WORKDAY(F125,-(Setup!$C$13+Setup!$G$24),Setup!$C$39:$C$50))&gt;=Setup!$C$15,MONTH(WORKDAY(F125,-(Setup!$C$13+Setup!$G$24),Setup!$C$39:$C$50))&lt;=Setup!$C$16),OR(MONTH(WORKDAY(F125,-(Setup!$C$13+Setup!$G$24),Setup!$C$39:$C$50))&gt;=Setup!$C$15,MONTH(WORKDAY(F125,-(Setup!$C$13+Setup!$G$24),Setup!$C$39:$C$50))&lt;=Setup!$C$16))),WORKDAY(F125,-(Setup!$C$13+Setup!$G$24+Setup!$C$14),Setup!$C$39:$C$50),WORKDAY(F125,-(Setup!$C$13+Setup!$G$24),Setup!$C$39:$C$50))+(120*100+5)/10000000)))</f>
        <v/>
      </c>
      <c r="W125" t="str">
        <f>IF(G125="","",IF(G125&lt;Setup!$C$5-Setup!$C$6,"",IF(IF(ISNUMBER(Roster!$D125),Setup!$C$25&lt;=Roster!$D125,FALSE),"",IF(OR(IF(Setup!$C$15&lt;=Setup!$C$16,AND(MONTH(G125)&gt;=Setup!$C$15,MONTH(G125)&lt;=Setup!$C$16),OR(MONTH(G125)&gt;=Setup!$C$15,MONTH(G125)&lt;=Setup!$C$16)),IF(Setup!$C$15&lt;=Setup!$C$16,AND(MONTH(WORKDAY(G125,-(Setup!$C$13+Setup!$G$25),Setup!$C$39:$C$50))&gt;=Setup!$C$15,MONTH(WORKDAY(G125,-(Setup!$C$13+Setup!$G$25),Setup!$C$39:$C$50))&lt;=Setup!$C$16),OR(MONTH(WORKDAY(G125,-(Setup!$C$13+Setup!$G$25),Setup!$C$39:$C$50))&gt;=Setup!$C$15,MONTH(WORKDAY(G125,-(Setup!$C$13+Setup!$G$25),Setup!$C$39:$C$50))&lt;=Setup!$C$16))),WORKDAY(G125,-(Setup!$C$13+Setup!$G$25+Setup!$C$14),Setup!$C$39:$C$50),WORKDAY(G125,-(Setup!$C$13+Setup!$G$25),Setup!$C$39:$C$50))+(120*100+6)/10000000)))</f>
        <v/>
      </c>
      <c r="X125" t="str">
        <f>IF(H125="","",IF(H125&lt;Setup!$C$5-Setup!$C$6,"",IF(IF(ISNUMBER(Roster!$D125),Setup!$C$26&lt;=Roster!$D125,FALSE),"",IF(OR(IF(Setup!$C$15&lt;=Setup!$C$16,AND(MONTH(H125)&gt;=Setup!$C$15,MONTH(H125)&lt;=Setup!$C$16),OR(MONTH(H125)&gt;=Setup!$C$15,MONTH(H125)&lt;=Setup!$C$16)),IF(Setup!$C$15&lt;=Setup!$C$16,AND(MONTH(WORKDAY(H125,-(Setup!$C$13+Setup!$G$26),Setup!$C$39:$C$50))&gt;=Setup!$C$15,MONTH(WORKDAY(H125,-(Setup!$C$13+Setup!$G$26),Setup!$C$39:$C$50))&lt;=Setup!$C$16),OR(MONTH(WORKDAY(H125,-(Setup!$C$13+Setup!$G$26),Setup!$C$39:$C$50))&gt;=Setup!$C$15,MONTH(WORKDAY(H125,-(Setup!$C$13+Setup!$G$26),Setup!$C$39:$C$50))&lt;=Setup!$C$16))),WORKDAY(H125,-(Setup!$C$13+Setup!$G$26+Setup!$C$14),Setup!$C$39:$C$50),WORKDAY(H125,-(Setup!$C$13+Setup!$G$26),Setup!$C$39:$C$50))+(120*100+7)/10000000)))</f>
        <v/>
      </c>
      <c r="Y125" t="str">
        <f>IF(I125="","",IF(I125&lt;Setup!$C$5-Setup!$C$6,"",IF(IF(ISNUMBER(Roster!$D125),Setup!$C$27&lt;=Roster!$D125,FALSE),"",IF(OR(IF(Setup!$C$15&lt;=Setup!$C$16,AND(MONTH(I125)&gt;=Setup!$C$15,MONTH(I125)&lt;=Setup!$C$16),OR(MONTH(I125)&gt;=Setup!$C$15,MONTH(I125)&lt;=Setup!$C$16)),IF(Setup!$C$15&lt;=Setup!$C$16,AND(MONTH(WORKDAY(I125,-(Setup!$C$13+Setup!$G$27),Setup!$C$39:$C$50))&gt;=Setup!$C$15,MONTH(WORKDAY(I125,-(Setup!$C$13+Setup!$G$27),Setup!$C$39:$C$50))&lt;=Setup!$C$16),OR(MONTH(WORKDAY(I125,-(Setup!$C$13+Setup!$G$27),Setup!$C$39:$C$50))&gt;=Setup!$C$15,MONTH(WORKDAY(I125,-(Setup!$C$13+Setup!$G$27),Setup!$C$39:$C$50))&lt;=Setup!$C$16))),WORKDAY(I125,-(Setup!$C$13+Setup!$G$27+Setup!$C$14),Setup!$C$39:$C$50),WORKDAY(I125,-(Setup!$C$13+Setup!$G$27),Setup!$C$39:$C$50))+(120*100+8)/10000000)))</f>
        <v/>
      </c>
      <c r="Z125" t="str">
        <f>IF(J125="","",IF(J125&lt;Setup!$C$5-Setup!$C$6,"",IF(IF(ISNUMBER(Roster!$D125),Setup!$C$28&lt;=Roster!$D125,FALSE),"",IF(OR(IF(Setup!$C$15&lt;=Setup!$C$16,AND(MONTH(J125)&gt;=Setup!$C$15,MONTH(J125)&lt;=Setup!$C$16),OR(MONTH(J125)&gt;=Setup!$C$15,MONTH(J125)&lt;=Setup!$C$16)),IF(Setup!$C$15&lt;=Setup!$C$16,AND(MONTH(WORKDAY(J125,-(Setup!$C$13+Setup!$G$28),Setup!$C$39:$C$50))&gt;=Setup!$C$15,MONTH(WORKDAY(J125,-(Setup!$C$13+Setup!$G$28),Setup!$C$39:$C$50))&lt;=Setup!$C$16),OR(MONTH(WORKDAY(J125,-(Setup!$C$13+Setup!$G$28),Setup!$C$39:$C$50))&gt;=Setup!$C$15,MONTH(WORKDAY(J125,-(Setup!$C$13+Setup!$G$28),Setup!$C$39:$C$50))&lt;=Setup!$C$16))),WORKDAY(J125,-(Setup!$C$13+Setup!$G$28+Setup!$C$14),Setup!$C$39:$C$50),WORKDAY(J125,-(Setup!$C$13+Setup!$G$28),Setup!$C$39:$C$50))+(120*100+9)/10000000)))</f>
        <v/>
      </c>
      <c r="AA125" t="str">
        <f>IF(K125="","",IF(K125&lt;Setup!$C$5-Setup!$C$6,"",IF(IF(ISNUMBER(Roster!$D125),Setup!$C$29&lt;=Roster!$D125,FALSE),"",IF(OR(IF(Setup!$C$15&lt;=Setup!$C$16,AND(MONTH(K125)&gt;=Setup!$C$15,MONTH(K125)&lt;=Setup!$C$16),OR(MONTH(K125)&gt;=Setup!$C$15,MONTH(K125)&lt;=Setup!$C$16)),IF(Setup!$C$15&lt;=Setup!$C$16,AND(MONTH(WORKDAY(K125,-(Setup!$C$13+Setup!$G$29),Setup!$C$39:$C$50))&gt;=Setup!$C$15,MONTH(WORKDAY(K125,-(Setup!$C$13+Setup!$G$29),Setup!$C$39:$C$50))&lt;=Setup!$C$16),OR(MONTH(WORKDAY(K125,-(Setup!$C$13+Setup!$G$29),Setup!$C$39:$C$50))&gt;=Setup!$C$15,MONTH(WORKDAY(K125,-(Setup!$C$13+Setup!$G$29),Setup!$C$39:$C$50))&lt;=Setup!$C$16))),WORKDAY(K125,-(Setup!$C$13+Setup!$G$29+Setup!$C$14),Setup!$C$39:$C$50),WORKDAY(K125,-(Setup!$C$13+Setup!$G$29),Setup!$C$39:$C$50))+(120*100+10)/10000000)))</f>
        <v/>
      </c>
      <c r="AB125" t="str">
        <f>IF(L125="","",IF(L125&lt;Setup!$C$5-Setup!$C$6,"",IF(IF(ISNUMBER(Roster!$D125),Setup!$C$30&lt;=Roster!$D125,FALSE),"",IF(OR(IF(Setup!$C$15&lt;=Setup!$C$16,AND(MONTH(L125)&gt;=Setup!$C$15,MONTH(L125)&lt;=Setup!$C$16),OR(MONTH(L125)&gt;=Setup!$C$15,MONTH(L125)&lt;=Setup!$C$16)),IF(Setup!$C$15&lt;=Setup!$C$16,AND(MONTH(WORKDAY(L125,-(Setup!$C$13+Setup!$G$30),Setup!$C$39:$C$50))&gt;=Setup!$C$15,MONTH(WORKDAY(L125,-(Setup!$C$13+Setup!$G$30),Setup!$C$39:$C$50))&lt;=Setup!$C$16),OR(MONTH(WORKDAY(L125,-(Setup!$C$13+Setup!$G$30),Setup!$C$39:$C$50))&gt;=Setup!$C$15,MONTH(WORKDAY(L125,-(Setup!$C$13+Setup!$G$30),Setup!$C$39:$C$50))&lt;=Setup!$C$16))),WORKDAY(L125,-(Setup!$C$13+Setup!$G$30+Setup!$C$14),Setup!$C$39:$C$50),WORKDAY(L125,-(Setup!$C$13+Setup!$G$30),Setup!$C$39:$C$50))+(120*100+11)/10000000)))</f>
        <v/>
      </c>
      <c r="AC125" t="str">
        <f>IF(M125="","",IF(M125&lt;Setup!$C$5-Setup!$C$6,"",IF(IF(ISNUMBER(Roster!$D125),Setup!$C$31&lt;=Roster!$D125,FALSE),"",IF(OR(IF(Setup!$C$15&lt;=Setup!$C$16,AND(MONTH(M125)&gt;=Setup!$C$15,MONTH(M125)&lt;=Setup!$C$16),OR(MONTH(M125)&gt;=Setup!$C$15,MONTH(M125)&lt;=Setup!$C$16)),IF(Setup!$C$15&lt;=Setup!$C$16,AND(MONTH(WORKDAY(M125,-(Setup!$C$13+Setup!$G$31),Setup!$C$39:$C$50))&gt;=Setup!$C$15,MONTH(WORKDAY(M125,-(Setup!$C$13+Setup!$G$31),Setup!$C$39:$C$50))&lt;=Setup!$C$16),OR(MONTH(WORKDAY(M125,-(Setup!$C$13+Setup!$G$31),Setup!$C$39:$C$50))&gt;=Setup!$C$15,MONTH(WORKDAY(M125,-(Setup!$C$13+Setup!$G$31),Setup!$C$39:$C$50))&lt;=Setup!$C$16))),WORKDAY(M125,-(Setup!$C$13+Setup!$G$31+Setup!$C$14),Setup!$C$39:$C$50),WORKDAY(M125,-(Setup!$C$13+Setup!$G$31),Setup!$C$39:$C$50))+(120*100+12)/10000000)))</f>
        <v/>
      </c>
      <c r="AD125" t="str">
        <f>IF(N125="","",IF(N125&lt;Setup!$C$5-Setup!$C$6,"",IF(IF(ISNUMBER(Roster!$D125),Setup!$C$32&lt;=Roster!$D125,FALSE),"",IF(OR(IF(Setup!$C$15&lt;=Setup!$C$16,AND(MONTH(N125)&gt;=Setup!$C$15,MONTH(N125)&lt;=Setup!$C$16),OR(MONTH(N125)&gt;=Setup!$C$15,MONTH(N125)&lt;=Setup!$C$16)),IF(Setup!$C$15&lt;=Setup!$C$16,AND(MONTH(WORKDAY(N125,-(Setup!$C$13+Setup!$G$32),Setup!$C$39:$C$50))&gt;=Setup!$C$15,MONTH(WORKDAY(N125,-(Setup!$C$13+Setup!$G$32),Setup!$C$39:$C$50))&lt;=Setup!$C$16),OR(MONTH(WORKDAY(N125,-(Setup!$C$13+Setup!$G$32),Setup!$C$39:$C$50))&gt;=Setup!$C$15,MONTH(WORKDAY(N125,-(Setup!$C$13+Setup!$G$32),Setup!$C$39:$C$50))&lt;=Setup!$C$16))),WORKDAY(N125,-(Setup!$C$13+Setup!$G$32+Setup!$C$14),Setup!$C$39:$C$50),WORKDAY(N125,-(Setup!$C$13+Setup!$G$32),Setup!$C$39:$C$50))+(120*100+13)/10000000)))</f>
        <v/>
      </c>
      <c r="AE125" t="str">
        <f>IF(O125="","",IF(O125&lt;Setup!$C$5-Setup!$C$6,"",IF(IF(ISNUMBER(Roster!$D125),Setup!$C$33&lt;=Roster!$D125,FALSE),"",IF(OR(IF(Setup!$C$15&lt;=Setup!$C$16,AND(MONTH(O125)&gt;=Setup!$C$15,MONTH(O125)&lt;=Setup!$C$16),OR(MONTH(O125)&gt;=Setup!$C$15,MONTH(O125)&lt;=Setup!$C$16)),IF(Setup!$C$15&lt;=Setup!$C$16,AND(MONTH(WORKDAY(O125,-(Setup!$C$13+Setup!$G$33),Setup!$C$39:$C$50))&gt;=Setup!$C$15,MONTH(WORKDAY(O125,-(Setup!$C$13+Setup!$G$33),Setup!$C$39:$C$50))&lt;=Setup!$C$16),OR(MONTH(WORKDAY(O125,-(Setup!$C$13+Setup!$G$33),Setup!$C$39:$C$50))&gt;=Setup!$C$15,MONTH(WORKDAY(O125,-(Setup!$C$13+Setup!$G$33),Setup!$C$39:$C$50))&lt;=Setup!$C$16))),WORKDAY(O125,-(Setup!$C$13+Setup!$G$33+Setup!$C$14),Setup!$C$39:$C$50),WORKDAY(O125,-(Setup!$C$13+Setup!$G$33),Setup!$C$39:$C$50))+(120*100+14)/10000000)))</f>
        <v/>
      </c>
      <c r="AF125" t="str">
        <f>IF(P125="","",IF(P125&lt;Setup!$C$5-Setup!$C$6,"",IF(IF(ISNUMBER(Roster!$D125),Setup!$C$34&lt;=Roster!$D125,FALSE),"",IF(OR(IF(Setup!$C$15&lt;=Setup!$C$16,AND(MONTH(P125)&gt;=Setup!$C$15,MONTH(P125)&lt;=Setup!$C$16),OR(MONTH(P125)&gt;=Setup!$C$15,MONTH(P125)&lt;=Setup!$C$16)),IF(Setup!$C$15&lt;=Setup!$C$16,AND(MONTH(WORKDAY(P125,-(Setup!$C$13+Setup!$G$34),Setup!$C$39:$C$50))&gt;=Setup!$C$15,MONTH(WORKDAY(P125,-(Setup!$C$13+Setup!$G$34),Setup!$C$39:$C$50))&lt;=Setup!$C$16),OR(MONTH(WORKDAY(P125,-(Setup!$C$13+Setup!$G$34),Setup!$C$39:$C$50))&gt;=Setup!$C$15,MONTH(WORKDAY(P125,-(Setup!$C$13+Setup!$G$34),Setup!$C$39:$C$50))&lt;=Setup!$C$16))),WORKDAY(P125,-(Setup!$C$13+Setup!$G$34+Setup!$C$14),Setup!$C$39:$C$50),WORKDAY(P125,-(Setup!$C$13+Setup!$G$34),Setup!$C$39:$C$50))+(120*100+15)/10000000)))</f>
        <v/>
      </c>
      <c r="AH125" t="str">
        <f t="shared" si="9"/>
        <v/>
      </c>
      <c r="AI125" t="str">
        <f t="shared" si="10"/>
        <v/>
      </c>
      <c r="AK125" t="str">
        <f ca="1">IF(120&gt;$AK$2,"",SMALL($R$6:$AF$505,120))</f>
        <v/>
      </c>
      <c r="AL125" t="str">
        <f t="shared" ca="1" si="11"/>
        <v/>
      </c>
      <c r="AM125" t="str">
        <f t="shared" ca="1" si="12"/>
        <v/>
      </c>
      <c r="AN125" t="str">
        <f t="shared" ca="1" si="13"/>
        <v/>
      </c>
      <c r="AP125" t="str">
        <f>IF(ISNUMBER(Roster!$B125),MAX(1,YEAR(Setup!$C$5)-YEAR(Roster!$B125)+IF(EDATE(Roster!$B125,12*(YEAR(Setup!$C$5)-YEAR(Roster!$B125)))&lt;Setup!$C$5,1,0)),"")</f>
        <v/>
      </c>
      <c r="AQ125" s="32" t="str">
        <f>IF(AP125="","",EDATE(Roster!$B125,12*AP125))</f>
        <v/>
      </c>
      <c r="AR125" t="str">
        <f>IF(AQ125="","",IF(AQ125&lt;DATE(YEAR(Setup!$C$5)+1,MONTH(Setup!$C$5),DAY(Setup!$C$5)),AQ125+120/1000,""))</f>
        <v/>
      </c>
      <c r="AS125" t="str">
        <f t="shared" si="14"/>
        <v/>
      </c>
      <c r="AT125" t="str">
        <f>IF(AS125="","",IF(ISNUMBER(Roster!$D125),Roster!$D125&gt;=AP125,FALSE))</f>
        <v/>
      </c>
      <c r="AU125" t="str">
        <f t="shared" si="15"/>
        <v/>
      </c>
      <c r="AV125" t="str">
        <f ca="1">IF(120&gt;$AV$2,"",SMALL($AR$6:$AR$505,120))</f>
        <v/>
      </c>
      <c r="AW125" t="str">
        <f t="shared" ca="1" si="16"/>
        <v/>
      </c>
    </row>
    <row r="126" spans="2:49" x14ac:dyDescent="0.2">
      <c r="B126" s="32" t="str">
        <f>IF(AND(ISNUMBER(Roster!$B126),Setup!$B$20="Yes",ISNUMBER(Setup!$C$20)),EDATE(Roster!$B126,12*Setup!$C$20),"")</f>
        <v/>
      </c>
      <c r="C126" s="32" t="str">
        <f>IF(AND(ISNUMBER(Roster!$B126),Setup!$B$21="Yes",ISNUMBER(Setup!$C$21)),EDATE(Roster!$B126,12*Setup!$C$21),"")</f>
        <v/>
      </c>
      <c r="D126" s="32" t="str">
        <f>IF(AND(ISNUMBER(Roster!$B126),Setup!$B$22="Yes",ISNUMBER(Setup!$C$22)),EDATE(Roster!$B126,12*Setup!$C$22),"")</f>
        <v/>
      </c>
      <c r="E126" s="32" t="str">
        <f>IF(AND(ISNUMBER(Roster!$B126),Setup!$B$23="Yes",ISNUMBER(Setup!$C$23)),EDATE(Roster!$B126,12*Setup!$C$23),"")</f>
        <v/>
      </c>
      <c r="F126" s="32" t="str">
        <f>IF(AND(ISNUMBER(Roster!$B126),Setup!$B$24="Yes",ISNUMBER(Setup!$C$24)),EDATE(Roster!$B126,12*Setup!$C$24),"")</f>
        <v/>
      </c>
      <c r="G126" s="32" t="str">
        <f>IF(AND(ISNUMBER(Roster!$B126),Setup!$B$25="Yes",ISNUMBER(Setup!$C$25)),EDATE(Roster!$B126,12*Setup!$C$25),"")</f>
        <v/>
      </c>
      <c r="H126" s="32" t="str">
        <f>IF(AND(ISNUMBER(Roster!$B126),Setup!$B$26="Yes",ISNUMBER(Setup!$C$26)),EDATE(Roster!$B126,12*Setup!$C$26),"")</f>
        <v/>
      </c>
      <c r="I126" s="32" t="str">
        <f>IF(AND(ISNUMBER(Roster!$B126),Setup!$B$27="Yes",ISNUMBER(Setup!$C$27)),EDATE(Roster!$B126,12*Setup!$C$27),"")</f>
        <v/>
      </c>
      <c r="J126" s="32" t="str">
        <f>IF(AND(ISNUMBER(Roster!$B126),Setup!$B$28="Yes",ISNUMBER(Setup!$C$28)),EDATE(Roster!$B126,12*Setup!$C$28),"")</f>
        <v/>
      </c>
      <c r="K126" s="32" t="str">
        <f>IF(AND(ISNUMBER(Roster!$B126),Setup!$B$29="Yes",ISNUMBER(Setup!$C$29)),EDATE(Roster!$B126,12*Setup!$C$29),"")</f>
        <v/>
      </c>
      <c r="L126" s="32" t="str">
        <f>IF(AND(ISNUMBER(Roster!$B126),Setup!$B$30="Yes",ISNUMBER(Setup!$C$30)),EDATE(Roster!$B126,12*Setup!$C$30),"")</f>
        <v/>
      </c>
      <c r="M126" s="32" t="str">
        <f>IF(AND(ISNUMBER(Roster!$B126),Setup!$B$31="Yes",ISNUMBER(Setup!$C$31)),EDATE(Roster!$B126,12*Setup!$C$31),"")</f>
        <v/>
      </c>
      <c r="N126" s="32" t="str">
        <f>IF(AND(ISNUMBER(Roster!$B126),Setup!$B$32="Yes",ISNUMBER(Setup!$C$32)),EDATE(Roster!$B126,12*Setup!$C$32),"")</f>
        <v/>
      </c>
      <c r="O126" s="32" t="str">
        <f>IF(AND(ISNUMBER(Roster!$B126),Setup!$B$33="Yes",ISNUMBER(Setup!$C$33)),EDATE(Roster!$B126,12*Setup!$C$33),"")</f>
        <v/>
      </c>
      <c r="P126" s="32" t="str">
        <f>IF(AND(ISNUMBER(Roster!$B126),Setup!$B$34="Yes",ISNUMBER(Setup!$C$34)),EDATE(Roster!$B126,12*Setup!$C$34),"")</f>
        <v/>
      </c>
      <c r="R126" t="str">
        <f>IF(B126="","",IF(B126&lt;Setup!$C$5-Setup!$C$6,"",IF(IF(ISNUMBER(Roster!$D126),Setup!$C$20&lt;=Roster!$D126,FALSE),"",IF(OR(IF(Setup!$C$15&lt;=Setup!$C$16,AND(MONTH(B126)&gt;=Setup!$C$15,MONTH(B126)&lt;=Setup!$C$16),OR(MONTH(B126)&gt;=Setup!$C$15,MONTH(B126)&lt;=Setup!$C$16)),IF(Setup!$C$15&lt;=Setup!$C$16,AND(MONTH(WORKDAY(B126,-(Setup!$C$13+Setup!$G$20),Setup!$C$39:$C$50))&gt;=Setup!$C$15,MONTH(WORKDAY(B126,-(Setup!$C$13+Setup!$G$20),Setup!$C$39:$C$50))&lt;=Setup!$C$16),OR(MONTH(WORKDAY(B126,-(Setup!$C$13+Setup!$G$20),Setup!$C$39:$C$50))&gt;=Setup!$C$15,MONTH(WORKDAY(B126,-(Setup!$C$13+Setup!$G$20),Setup!$C$39:$C$50))&lt;=Setup!$C$16))),WORKDAY(B126,-(Setup!$C$13+Setup!$G$20+Setup!$C$14),Setup!$C$39:$C$50),WORKDAY(B126,-(Setup!$C$13+Setup!$G$20),Setup!$C$39:$C$50))+(121*100+1)/10000000)))</f>
        <v/>
      </c>
      <c r="S126" t="str">
        <f>IF(C126="","",IF(C126&lt;Setup!$C$5-Setup!$C$6,"",IF(IF(ISNUMBER(Roster!$D126),Setup!$C$21&lt;=Roster!$D126,FALSE),"",IF(OR(IF(Setup!$C$15&lt;=Setup!$C$16,AND(MONTH(C126)&gt;=Setup!$C$15,MONTH(C126)&lt;=Setup!$C$16),OR(MONTH(C126)&gt;=Setup!$C$15,MONTH(C126)&lt;=Setup!$C$16)),IF(Setup!$C$15&lt;=Setup!$C$16,AND(MONTH(WORKDAY(C126,-(Setup!$C$13+Setup!$G$21),Setup!$C$39:$C$50))&gt;=Setup!$C$15,MONTH(WORKDAY(C126,-(Setup!$C$13+Setup!$G$21),Setup!$C$39:$C$50))&lt;=Setup!$C$16),OR(MONTH(WORKDAY(C126,-(Setup!$C$13+Setup!$G$21),Setup!$C$39:$C$50))&gt;=Setup!$C$15,MONTH(WORKDAY(C126,-(Setup!$C$13+Setup!$G$21),Setup!$C$39:$C$50))&lt;=Setup!$C$16))),WORKDAY(C126,-(Setup!$C$13+Setup!$G$21+Setup!$C$14),Setup!$C$39:$C$50),WORKDAY(C126,-(Setup!$C$13+Setup!$G$21),Setup!$C$39:$C$50))+(121*100+2)/10000000)))</f>
        <v/>
      </c>
      <c r="T126" t="str">
        <f>IF(D126="","",IF(D126&lt;Setup!$C$5-Setup!$C$6,"",IF(IF(ISNUMBER(Roster!$D126),Setup!$C$22&lt;=Roster!$D126,FALSE),"",IF(OR(IF(Setup!$C$15&lt;=Setup!$C$16,AND(MONTH(D126)&gt;=Setup!$C$15,MONTH(D126)&lt;=Setup!$C$16),OR(MONTH(D126)&gt;=Setup!$C$15,MONTH(D126)&lt;=Setup!$C$16)),IF(Setup!$C$15&lt;=Setup!$C$16,AND(MONTH(WORKDAY(D126,-(Setup!$C$13+Setup!$G$22),Setup!$C$39:$C$50))&gt;=Setup!$C$15,MONTH(WORKDAY(D126,-(Setup!$C$13+Setup!$G$22),Setup!$C$39:$C$50))&lt;=Setup!$C$16),OR(MONTH(WORKDAY(D126,-(Setup!$C$13+Setup!$G$22),Setup!$C$39:$C$50))&gt;=Setup!$C$15,MONTH(WORKDAY(D126,-(Setup!$C$13+Setup!$G$22),Setup!$C$39:$C$50))&lt;=Setup!$C$16))),WORKDAY(D126,-(Setup!$C$13+Setup!$G$22+Setup!$C$14),Setup!$C$39:$C$50),WORKDAY(D126,-(Setup!$C$13+Setup!$G$22),Setup!$C$39:$C$50))+(121*100+3)/10000000)))</f>
        <v/>
      </c>
      <c r="U126" t="str">
        <f>IF(E126="","",IF(E126&lt;Setup!$C$5-Setup!$C$6,"",IF(IF(ISNUMBER(Roster!$D126),Setup!$C$23&lt;=Roster!$D126,FALSE),"",IF(OR(IF(Setup!$C$15&lt;=Setup!$C$16,AND(MONTH(E126)&gt;=Setup!$C$15,MONTH(E126)&lt;=Setup!$C$16),OR(MONTH(E126)&gt;=Setup!$C$15,MONTH(E126)&lt;=Setup!$C$16)),IF(Setup!$C$15&lt;=Setup!$C$16,AND(MONTH(WORKDAY(E126,-(Setup!$C$13+Setup!$G$23),Setup!$C$39:$C$50))&gt;=Setup!$C$15,MONTH(WORKDAY(E126,-(Setup!$C$13+Setup!$G$23),Setup!$C$39:$C$50))&lt;=Setup!$C$16),OR(MONTH(WORKDAY(E126,-(Setup!$C$13+Setup!$G$23),Setup!$C$39:$C$50))&gt;=Setup!$C$15,MONTH(WORKDAY(E126,-(Setup!$C$13+Setup!$G$23),Setup!$C$39:$C$50))&lt;=Setup!$C$16))),WORKDAY(E126,-(Setup!$C$13+Setup!$G$23+Setup!$C$14),Setup!$C$39:$C$50),WORKDAY(E126,-(Setup!$C$13+Setup!$G$23),Setup!$C$39:$C$50))+(121*100+4)/10000000)))</f>
        <v/>
      </c>
      <c r="V126" t="str">
        <f>IF(F126="","",IF(F126&lt;Setup!$C$5-Setup!$C$6,"",IF(IF(ISNUMBER(Roster!$D126),Setup!$C$24&lt;=Roster!$D126,FALSE),"",IF(OR(IF(Setup!$C$15&lt;=Setup!$C$16,AND(MONTH(F126)&gt;=Setup!$C$15,MONTH(F126)&lt;=Setup!$C$16),OR(MONTH(F126)&gt;=Setup!$C$15,MONTH(F126)&lt;=Setup!$C$16)),IF(Setup!$C$15&lt;=Setup!$C$16,AND(MONTH(WORKDAY(F126,-(Setup!$C$13+Setup!$G$24),Setup!$C$39:$C$50))&gt;=Setup!$C$15,MONTH(WORKDAY(F126,-(Setup!$C$13+Setup!$G$24),Setup!$C$39:$C$50))&lt;=Setup!$C$16),OR(MONTH(WORKDAY(F126,-(Setup!$C$13+Setup!$G$24),Setup!$C$39:$C$50))&gt;=Setup!$C$15,MONTH(WORKDAY(F126,-(Setup!$C$13+Setup!$G$24),Setup!$C$39:$C$50))&lt;=Setup!$C$16))),WORKDAY(F126,-(Setup!$C$13+Setup!$G$24+Setup!$C$14),Setup!$C$39:$C$50),WORKDAY(F126,-(Setup!$C$13+Setup!$G$24),Setup!$C$39:$C$50))+(121*100+5)/10000000)))</f>
        <v/>
      </c>
      <c r="W126" t="str">
        <f>IF(G126="","",IF(G126&lt;Setup!$C$5-Setup!$C$6,"",IF(IF(ISNUMBER(Roster!$D126),Setup!$C$25&lt;=Roster!$D126,FALSE),"",IF(OR(IF(Setup!$C$15&lt;=Setup!$C$16,AND(MONTH(G126)&gt;=Setup!$C$15,MONTH(G126)&lt;=Setup!$C$16),OR(MONTH(G126)&gt;=Setup!$C$15,MONTH(G126)&lt;=Setup!$C$16)),IF(Setup!$C$15&lt;=Setup!$C$16,AND(MONTH(WORKDAY(G126,-(Setup!$C$13+Setup!$G$25),Setup!$C$39:$C$50))&gt;=Setup!$C$15,MONTH(WORKDAY(G126,-(Setup!$C$13+Setup!$G$25),Setup!$C$39:$C$50))&lt;=Setup!$C$16),OR(MONTH(WORKDAY(G126,-(Setup!$C$13+Setup!$G$25),Setup!$C$39:$C$50))&gt;=Setup!$C$15,MONTH(WORKDAY(G126,-(Setup!$C$13+Setup!$G$25),Setup!$C$39:$C$50))&lt;=Setup!$C$16))),WORKDAY(G126,-(Setup!$C$13+Setup!$G$25+Setup!$C$14),Setup!$C$39:$C$50),WORKDAY(G126,-(Setup!$C$13+Setup!$G$25),Setup!$C$39:$C$50))+(121*100+6)/10000000)))</f>
        <v/>
      </c>
      <c r="X126" t="str">
        <f>IF(H126="","",IF(H126&lt;Setup!$C$5-Setup!$C$6,"",IF(IF(ISNUMBER(Roster!$D126),Setup!$C$26&lt;=Roster!$D126,FALSE),"",IF(OR(IF(Setup!$C$15&lt;=Setup!$C$16,AND(MONTH(H126)&gt;=Setup!$C$15,MONTH(H126)&lt;=Setup!$C$16),OR(MONTH(H126)&gt;=Setup!$C$15,MONTH(H126)&lt;=Setup!$C$16)),IF(Setup!$C$15&lt;=Setup!$C$16,AND(MONTH(WORKDAY(H126,-(Setup!$C$13+Setup!$G$26),Setup!$C$39:$C$50))&gt;=Setup!$C$15,MONTH(WORKDAY(H126,-(Setup!$C$13+Setup!$G$26),Setup!$C$39:$C$50))&lt;=Setup!$C$16),OR(MONTH(WORKDAY(H126,-(Setup!$C$13+Setup!$G$26),Setup!$C$39:$C$50))&gt;=Setup!$C$15,MONTH(WORKDAY(H126,-(Setup!$C$13+Setup!$G$26),Setup!$C$39:$C$50))&lt;=Setup!$C$16))),WORKDAY(H126,-(Setup!$C$13+Setup!$G$26+Setup!$C$14),Setup!$C$39:$C$50),WORKDAY(H126,-(Setup!$C$13+Setup!$G$26),Setup!$C$39:$C$50))+(121*100+7)/10000000)))</f>
        <v/>
      </c>
      <c r="Y126" t="str">
        <f>IF(I126="","",IF(I126&lt;Setup!$C$5-Setup!$C$6,"",IF(IF(ISNUMBER(Roster!$D126),Setup!$C$27&lt;=Roster!$D126,FALSE),"",IF(OR(IF(Setup!$C$15&lt;=Setup!$C$16,AND(MONTH(I126)&gt;=Setup!$C$15,MONTH(I126)&lt;=Setup!$C$16),OR(MONTH(I126)&gt;=Setup!$C$15,MONTH(I126)&lt;=Setup!$C$16)),IF(Setup!$C$15&lt;=Setup!$C$16,AND(MONTH(WORKDAY(I126,-(Setup!$C$13+Setup!$G$27),Setup!$C$39:$C$50))&gt;=Setup!$C$15,MONTH(WORKDAY(I126,-(Setup!$C$13+Setup!$G$27),Setup!$C$39:$C$50))&lt;=Setup!$C$16),OR(MONTH(WORKDAY(I126,-(Setup!$C$13+Setup!$G$27),Setup!$C$39:$C$50))&gt;=Setup!$C$15,MONTH(WORKDAY(I126,-(Setup!$C$13+Setup!$G$27),Setup!$C$39:$C$50))&lt;=Setup!$C$16))),WORKDAY(I126,-(Setup!$C$13+Setup!$G$27+Setup!$C$14),Setup!$C$39:$C$50),WORKDAY(I126,-(Setup!$C$13+Setup!$G$27),Setup!$C$39:$C$50))+(121*100+8)/10000000)))</f>
        <v/>
      </c>
      <c r="Z126" t="str">
        <f>IF(J126="","",IF(J126&lt;Setup!$C$5-Setup!$C$6,"",IF(IF(ISNUMBER(Roster!$D126),Setup!$C$28&lt;=Roster!$D126,FALSE),"",IF(OR(IF(Setup!$C$15&lt;=Setup!$C$16,AND(MONTH(J126)&gt;=Setup!$C$15,MONTH(J126)&lt;=Setup!$C$16),OR(MONTH(J126)&gt;=Setup!$C$15,MONTH(J126)&lt;=Setup!$C$16)),IF(Setup!$C$15&lt;=Setup!$C$16,AND(MONTH(WORKDAY(J126,-(Setup!$C$13+Setup!$G$28),Setup!$C$39:$C$50))&gt;=Setup!$C$15,MONTH(WORKDAY(J126,-(Setup!$C$13+Setup!$G$28),Setup!$C$39:$C$50))&lt;=Setup!$C$16),OR(MONTH(WORKDAY(J126,-(Setup!$C$13+Setup!$G$28),Setup!$C$39:$C$50))&gt;=Setup!$C$15,MONTH(WORKDAY(J126,-(Setup!$C$13+Setup!$G$28),Setup!$C$39:$C$50))&lt;=Setup!$C$16))),WORKDAY(J126,-(Setup!$C$13+Setup!$G$28+Setup!$C$14),Setup!$C$39:$C$50),WORKDAY(J126,-(Setup!$C$13+Setup!$G$28),Setup!$C$39:$C$50))+(121*100+9)/10000000)))</f>
        <v/>
      </c>
      <c r="AA126" t="str">
        <f>IF(K126="","",IF(K126&lt;Setup!$C$5-Setup!$C$6,"",IF(IF(ISNUMBER(Roster!$D126),Setup!$C$29&lt;=Roster!$D126,FALSE),"",IF(OR(IF(Setup!$C$15&lt;=Setup!$C$16,AND(MONTH(K126)&gt;=Setup!$C$15,MONTH(K126)&lt;=Setup!$C$16),OR(MONTH(K126)&gt;=Setup!$C$15,MONTH(K126)&lt;=Setup!$C$16)),IF(Setup!$C$15&lt;=Setup!$C$16,AND(MONTH(WORKDAY(K126,-(Setup!$C$13+Setup!$G$29),Setup!$C$39:$C$50))&gt;=Setup!$C$15,MONTH(WORKDAY(K126,-(Setup!$C$13+Setup!$G$29),Setup!$C$39:$C$50))&lt;=Setup!$C$16),OR(MONTH(WORKDAY(K126,-(Setup!$C$13+Setup!$G$29),Setup!$C$39:$C$50))&gt;=Setup!$C$15,MONTH(WORKDAY(K126,-(Setup!$C$13+Setup!$G$29),Setup!$C$39:$C$50))&lt;=Setup!$C$16))),WORKDAY(K126,-(Setup!$C$13+Setup!$G$29+Setup!$C$14),Setup!$C$39:$C$50),WORKDAY(K126,-(Setup!$C$13+Setup!$G$29),Setup!$C$39:$C$50))+(121*100+10)/10000000)))</f>
        <v/>
      </c>
      <c r="AB126" t="str">
        <f>IF(L126="","",IF(L126&lt;Setup!$C$5-Setup!$C$6,"",IF(IF(ISNUMBER(Roster!$D126),Setup!$C$30&lt;=Roster!$D126,FALSE),"",IF(OR(IF(Setup!$C$15&lt;=Setup!$C$16,AND(MONTH(L126)&gt;=Setup!$C$15,MONTH(L126)&lt;=Setup!$C$16),OR(MONTH(L126)&gt;=Setup!$C$15,MONTH(L126)&lt;=Setup!$C$16)),IF(Setup!$C$15&lt;=Setup!$C$16,AND(MONTH(WORKDAY(L126,-(Setup!$C$13+Setup!$G$30),Setup!$C$39:$C$50))&gt;=Setup!$C$15,MONTH(WORKDAY(L126,-(Setup!$C$13+Setup!$G$30),Setup!$C$39:$C$50))&lt;=Setup!$C$16),OR(MONTH(WORKDAY(L126,-(Setup!$C$13+Setup!$G$30),Setup!$C$39:$C$50))&gt;=Setup!$C$15,MONTH(WORKDAY(L126,-(Setup!$C$13+Setup!$G$30),Setup!$C$39:$C$50))&lt;=Setup!$C$16))),WORKDAY(L126,-(Setup!$C$13+Setup!$G$30+Setup!$C$14),Setup!$C$39:$C$50),WORKDAY(L126,-(Setup!$C$13+Setup!$G$30),Setup!$C$39:$C$50))+(121*100+11)/10000000)))</f>
        <v/>
      </c>
      <c r="AC126" t="str">
        <f>IF(M126="","",IF(M126&lt;Setup!$C$5-Setup!$C$6,"",IF(IF(ISNUMBER(Roster!$D126),Setup!$C$31&lt;=Roster!$D126,FALSE),"",IF(OR(IF(Setup!$C$15&lt;=Setup!$C$16,AND(MONTH(M126)&gt;=Setup!$C$15,MONTH(M126)&lt;=Setup!$C$16),OR(MONTH(M126)&gt;=Setup!$C$15,MONTH(M126)&lt;=Setup!$C$16)),IF(Setup!$C$15&lt;=Setup!$C$16,AND(MONTH(WORKDAY(M126,-(Setup!$C$13+Setup!$G$31),Setup!$C$39:$C$50))&gt;=Setup!$C$15,MONTH(WORKDAY(M126,-(Setup!$C$13+Setup!$G$31),Setup!$C$39:$C$50))&lt;=Setup!$C$16),OR(MONTH(WORKDAY(M126,-(Setup!$C$13+Setup!$G$31),Setup!$C$39:$C$50))&gt;=Setup!$C$15,MONTH(WORKDAY(M126,-(Setup!$C$13+Setup!$G$31),Setup!$C$39:$C$50))&lt;=Setup!$C$16))),WORKDAY(M126,-(Setup!$C$13+Setup!$G$31+Setup!$C$14),Setup!$C$39:$C$50),WORKDAY(M126,-(Setup!$C$13+Setup!$G$31),Setup!$C$39:$C$50))+(121*100+12)/10000000)))</f>
        <v/>
      </c>
      <c r="AD126" t="str">
        <f>IF(N126="","",IF(N126&lt;Setup!$C$5-Setup!$C$6,"",IF(IF(ISNUMBER(Roster!$D126),Setup!$C$32&lt;=Roster!$D126,FALSE),"",IF(OR(IF(Setup!$C$15&lt;=Setup!$C$16,AND(MONTH(N126)&gt;=Setup!$C$15,MONTH(N126)&lt;=Setup!$C$16),OR(MONTH(N126)&gt;=Setup!$C$15,MONTH(N126)&lt;=Setup!$C$16)),IF(Setup!$C$15&lt;=Setup!$C$16,AND(MONTH(WORKDAY(N126,-(Setup!$C$13+Setup!$G$32),Setup!$C$39:$C$50))&gt;=Setup!$C$15,MONTH(WORKDAY(N126,-(Setup!$C$13+Setup!$G$32),Setup!$C$39:$C$50))&lt;=Setup!$C$16),OR(MONTH(WORKDAY(N126,-(Setup!$C$13+Setup!$G$32),Setup!$C$39:$C$50))&gt;=Setup!$C$15,MONTH(WORKDAY(N126,-(Setup!$C$13+Setup!$G$32),Setup!$C$39:$C$50))&lt;=Setup!$C$16))),WORKDAY(N126,-(Setup!$C$13+Setup!$G$32+Setup!$C$14),Setup!$C$39:$C$50),WORKDAY(N126,-(Setup!$C$13+Setup!$G$32),Setup!$C$39:$C$50))+(121*100+13)/10000000)))</f>
        <v/>
      </c>
      <c r="AE126" t="str">
        <f>IF(O126="","",IF(O126&lt;Setup!$C$5-Setup!$C$6,"",IF(IF(ISNUMBER(Roster!$D126),Setup!$C$33&lt;=Roster!$D126,FALSE),"",IF(OR(IF(Setup!$C$15&lt;=Setup!$C$16,AND(MONTH(O126)&gt;=Setup!$C$15,MONTH(O126)&lt;=Setup!$C$16),OR(MONTH(O126)&gt;=Setup!$C$15,MONTH(O126)&lt;=Setup!$C$16)),IF(Setup!$C$15&lt;=Setup!$C$16,AND(MONTH(WORKDAY(O126,-(Setup!$C$13+Setup!$G$33),Setup!$C$39:$C$50))&gt;=Setup!$C$15,MONTH(WORKDAY(O126,-(Setup!$C$13+Setup!$G$33),Setup!$C$39:$C$50))&lt;=Setup!$C$16),OR(MONTH(WORKDAY(O126,-(Setup!$C$13+Setup!$G$33),Setup!$C$39:$C$50))&gt;=Setup!$C$15,MONTH(WORKDAY(O126,-(Setup!$C$13+Setup!$G$33),Setup!$C$39:$C$50))&lt;=Setup!$C$16))),WORKDAY(O126,-(Setup!$C$13+Setup!$G$33+Setup!$C$14),Setup!$C$39:$C$50),WORKDAY(O126,-(Setup!$C$13+Setup!$G$33),Setup!$C$39:$C$50))+(121*100+14)/10000000)))</f>
        <v/>
      </c>
      <c r="AF126" t="str">
        <f>IF(P126="","",IF(P126&lt;Setup!$C$5-Setup!$C$6,"",IF(IF(ISNUMBER(Roster!$D126),Setup!$C$34&lt;=Roster!$D126,FALSE),"",IF(OR(IF(Setup!$C$15&lt;=Setup!$C$16,AND(MONTH(P126)&gt;=Setup!$C$15,MONTH(P126)&lt;=Setup!$C$16),OR(MONTH(P126)&gt;=Setup!$C$15,MONTH(P126)&lt;=Setup!$C$16)),IF(Setup!$C$15&lt;=Setup!$C$16,AND(MONTH(WORKDAY(P126,-(Setup!$C$13+Setup!$G$34),Setup!$C$39:$C$50))&gt;=Setup!$C$15,MONTH(WORKDAY(P126,-(Setup!$C$13+Setup!$G$34),Setup!$C$39:$C$50))&lt;=Setup!$C$16),OR(MONTH(WORKDAY(P126,-(Setup!$C$13+Setup!$G$34),Setup!$C$39:$C$50))&gt;=Setup!$C$15,MONTH(WORKDAY(P126,-(Setup!$C$13+Setup!$G$34),Setup!$C$39:$C$50))&lt;=Setup!$C$16))),WORKDAY(P126,-(Setup!$C$13+Setup!$G$34+Setup!$C$14),Setup!$C$39:$C$50),WORKDAY(P126,-(Setup!$C$13+Setup!$G$34),Setup!$C$39:$C$50))+(121*100+15)/10000000)))</f>
        <v/>
      </c>
      <c r="AH126" t="str">
        <f t="shared" si="9"/>
        <v/>
      </c>
      <c r="AI126" t="str">
        <f t="shared" si="10"/>
        <v/>
      </c>
      <c r="AK126" t="str">
        <f ca="1">IF(121&gt;$AK$2,"",SMALL($R$6:$AF$505,121))</f>
        <v/>
      </c>
      <c r="AL126" t="str">
        <f t="shared" ca="1" si="11"/>
        <v/>
      </c>
      <c r="AM126" t="str">
        <f t="shared" ca="1" si="12"/>
        <v/>
      </c>
      <c r="AN126" t="str">
        <f t="shared" ca="1" si="13"/>
        <v/>
      </c>
      <c r="AP126" t="str">
        <f>IF(ISNUMBER(Roster!$B126),MAX(1,YEAR(Setup!$C$5)-YEAR(Roster!$B126)+IF(EDATE(Roster!$B126,12*(YEAR(Setup!$C$5)-YEAR(Roster!$B126)))&lt;Setup!$C$5,1,0)),"")</f>
        <v/>
      </c>
      <c r="AQ126" s="32" t="str">
        <f>IF(AP126="","",EDATE(Roster!$B126,12*AP126))</f>
        <v/>
      </c>
      <c r="AR126" t="str">
        <f>IF(AQ126="","",IF(AQ126&lt;DATE(YEAR(Setup!$C$5)+1,MONTH(Setup!$C$5),DAY(Setup!$C$5)),AQ126+121/1000,""))</f>
        <v/>
      </c>
      <c r="AS126" t="str">
        <f t="shared" si="14"/>
        <v/>
      </c>
      <c r="AT126" t="str">
        <f>IF(AS126="","",IF(ISNUMBER(Roster!$D126),Roster!$D126&gt;=AP126,FALSE))</f>
        <v/>
      </c>
      <c r="AU126" t="str">
        <f t="shared" si="15"/>
        <v/>
      </c>
      <c r="AV126" t="str">
        <f ca="1">IF(121&gt;$AV$2,"",SMALL($AR$6:$AR$505,121))</f>
        <v/>
      </c>
      <c r="AW126" t="str">
        <f t="shared" ca="1" si="16"/>
        <v/>
      </c>
    </row>
    <row r="127" spans="2:49" x14ac:dyDescent="0.2">
      <c r="B127" s="32" t="str">
        <f>IF(AND(ISNUMBER(Roster!$B127),Setup!$B$20="Yes",ISNUMBER(Setup!$C$20)),EDATE(Roster!$B127,12*Setup!$C$20),"")</f>
        <v/>
      </c>
      <c r="C127" s="32" t="str">
        <f>IF(AND(ISNUMBER(Roster!$B127),Setup!$B$21="Yes",ISNUMBER(Setup!$C$21)),EDATE(Roster!$B127,12*Setup!$C$21),"")</f>
        <v/>
      </c>
      <c r="D127" s="32" t="str">
        <f>IF(AND(ISNUMBER(Roster!$B127),Setup!$B$22="Yes",ISNUMBER(Setup!$C$22)),EDATE(Roster!$B127,12*Setup!$C$22),"")</f>
        <v/>
      </c>
      <c r="E127" s="32" t="str">
        <f>IF(AND(ISNUMBER(Roster!$B127),Setup!$B$23="Yes",ISNUMBER(Setup!$C$23)),EDATE(Roster!$B127,12*Setup!$C$23),"")</f>
        <v/>
      </c>
      <c r="F127" s="32" t="str">
        <f>IF(AND(ISNUMBER(Roster!$B127),Setup!$B$24="Yes",ISNUMBER(Setup!$C$24)),EDATE(Roster!$B127,12*Setup!$C$24),"")</f>
        <v/>
      </c>
      <c r="G127" s="32" t="str">
        <f>IF(AND(ISNUMBER(Roster!$B127),Setup!$B$25="Yes",ISNUMBER(Setup!$C$25)),EDATE(Roster!$B127,12*Setup!$C$25),"")</f>
        <v/>
      </c>
      <c r="H127" s="32" t="str">
        <f>IF(AND(ISNUMBER(Roster!$B127),Setup!$B$26="Yes",ISNUMBER(Setup!$C$26)),EDATE(Roster!$B127,12*Setup!$C$26),"")</f>
        <v/>
      </c>
      <c r="I127" s="32" t="str">
        <f>IF(AND(ISNUMBER(Roster!$B127),Setup!$B$27="Yes",ISNUMBER(Setup!$C$27)),EDATE(Roster!$B127,12*Setup!$C$27),"")</f>
        <v/>
      </c>
      <c r="J127" s="32" t="str">
        <f>IF(AND(ISNUMBER(Roster!$B127),Setup!$B$28="Yes",ISNUMBER(Setup!$C$28)),EDATE(Roster!$B127,12*Setup!$C$28),"")</f>
        <v/>
      </c>
      <c r="K127" s="32" t="str">
        <f>IF(AND(ISNUMBER(Roster!$B127),Setup!$B$29="Yes",ISNUMBER(Setup!$C$29)),EDATE(Roster!$B127,12*Setup!$C$29),"")</f>
        <v/>
      </c>
      <c r="L127" s="32" t="str">
        <f>IF(AND(ISNUMBER(Roster!$B127),Setup!$B$30="Yes",ISNUMBER(Setup!$C$30)),EDATE(Roster!$B127,12*Setup!$C$30),"")</f>
        <v/>
      </c>
      <c r="M127" s="32" t="str">
        <f>IF(AND(ISNUMBER(Roster!$B127),Setup!$B$31="Yes",ISNUMBER(Setup!$C$31)),EDATE(Roster!$B127,12*Setup!$C$31),"")</f>
        <v/>
      </c>
      <c r="N127" s="32" t="str">
        <f>IF(AND(ISNUMBER(Roster!$B127),Setup!$B$32="Yes",ISNUMBER(Setup!$C$32)),EDATE(Roster!$B127,12*Setup!$C$32),"")</f>
        <v/>
      </c>
      <c r="O127" s="32" t="str">
        <f>IF(AND(ISNUMBER(Roster!$B127),Setup!$B$33="Yes",ISNUMBER(Setup!$C$33)),EDATE(Roster!$B127,12*Setup!$C$33),"")</f>
        <v/>
      </c>
      <c r="P127" s="32" t="str">
        <f>IF(AND(ISNUMBER(Roster!$B127),Setup!$B$34="Yes",ISNUMBER(Setup!$C$34)),EDATE(Roster!$B127,12*Setup!$C$34),"")</f>
        <v/>
      </c>
      <c r="R127" t="str">
        <f>IF(B127="","",IF(B127&lt;Setup!$C$5-Setup!$C$6,"",IF(IF(ISNUMBER(Roster!$D127),Setup!$C$20&lt;=Roster!$D127,FALSE),"",IF(OR(IF(Setup!$C$15&lt;=Setup!$C$16,AND(MONTH(B127)&gt;=Setup!$C$15,MONTH(B127)&lt;=Setup!$C$16),OR(MONTH(B127)&gt;=Setup!$C$15,MONTH(B127)&lt;=Setup!$C$16)),IF(Setup!$C$15&lt;=Setup!$C$16,AND(MONTH(WORKDAY(B127,-(Setup!$C$13+Setup!$G$20),Setup!$C$39:$C$50))&gt;=Setup!$C$15,MONTH(WORKDAY(B127,-(Setup!$C$13+Setup!$G$20),Setup!$C$39:$C$50))&lt;=Setup!$C$16),OR(MONTH(WORKDAY(B127,-(Setup!$C$13+Setup!$G$20),Setup!$C$39:$C$50))&gt;=Setup!$C$15,MONTH(WORKDAY(B127,-(Setup!$C$13+Setup!$G$20),Setup!$C$39:$C$50))&lt;=Setup!$C$16))),WORKDAY(B127,-(Setup!$C$13+Setup!$G$20+Setup!$C$14),Setup!$C$39:$C$50),WORKDAY(B127,-(Setup!$C$13+Setup!$G$20),Setup!$C$39:$C$50))+(122*100+1)/10000000)))</f>
        <v/>
      </c>
      <c r="S127" t="str">
        <f>IF(C127="","",IF(C127&lt;Setup!$C$5-Setup!$C$6,"",IF(IF(ISNUMBER(Roster!$D127),Setup!$C$21&lt;=Roster!$D127,FALSE),"",IF(OR(IF(Setup!$C$15&lt;=Setup!$C$16,AND(MONTH(C127)&gt;=Setup!$C$15,MONTH(C127)&lt;=Setup!$C$16),OR(MONTH(C127)&gt;=Setup!$C$15,MONTH(C127)&lt;=Setup!$C$16)),IF(Setup!$C$15&lt;=Setup!$C$16,AND(MONTH(WORKDAY(C127,-(Setup!$C$13+Setup!$G$21),Setup!$C$39:$C$50))&gt;=Setup!$C$15,MONTH(WORKDAY(C127,-(Setup!$C$13+Setup!$G$21),Setup!$C$39:$C$50))&lt;=Setup!$C$16),OR(MONTH(WORKDAY(C127,-(Setup!$C$13+Setup!$G$21),Setup!$C$39:$C$50))&gt;=Setup!$C$15,MONTH(WORKDAY(C127,-(Setup!$C$13+Setup!$G$21),Setup!$C$39:$C$50))&lt;=Setup!$C$16))),WORKDAY(C127,-(Setup!$C$13+Setup!$G$21+Setup!$C$14),Setup!$C$39:$C$50),WORKDAY(C127,-(Setup!$C$13+Setup!$G$21),Setup!$C$39:$C$50))+(122*100+2)/10000000)))</f>
        <v/>
      </c>
      <c r="T127" t="str">
        <f>IF(D127="","",IF(D127&lt;Setup!$C$5-Setup!$C$6,"",IF(IF(ISNUMBER(Roster!$D127),Setup!$C$22&lt;=Roster!$D127,FALSE),"",IF(OR(IF(Setup!$C$15&lt;=Setup!$C$16,AND(MONTH(D127)&gt;=Setup!$C$15,MONTH(D127)&lt;=Setup!$C$16),OR(MONTH(D127)&gt;=Setup!$C$15,MONTH(D127)&lt;=Setup!$C$16)),IF(Setup!$C$15&lt;=Setup!$C$16,AND(MONTH(WORKDAY(D127,-(Setup!$C$13+Setup!$G$22),Setup!$C$39:$C$50))&gt;=Setup!$C$15,MONTH(WORKDAY(D127,-(Setup!$C$13+Setup!$G$22),Setup!$C$39:$C$50))&lt;=Setup!$C$16),OR(MONTH(WORKDAY(D127,-(Setup!$C$13+Setup!$G$22),Setup!$C$39:$C$50))&gt;=Setup!$C$15,MONTH(WORKDAY(D127,-(Setup!$C$13+Setup!$G$22),Setup!$C$39:$C$50))&lt;=Setup!$C$16))),WORKDAY(D127,-(Setup!$C$13+Setup!$G$22+Setup!$C$14),Setup!$C$39:$C$50),WORKDAY(D127,-(Setup!$C$13+Setup!$G$22),Setup!$C$39:$C$50))+(122*100+3)/10000000)))</f>
        <v/>
      </c>
      <c r="U127" t="str">
        <f>IF(E127="","",IF(E127&lt;Setup!$C$5-Setup!$C$6,"",IF(IF(ISNUMBER(Roster!$D127),Setup!$C$23&lt;=Roster!$D127,FALSE),"",IF(OR(IF(Setup!$C$15&lt;=Setup!$C$16,AND(MONTH(E127)&gt;=Setup!$C$15,MONTH(E127)&lt;=Setup!$C$16),OR(MONTH(E127)&gt;=Setup!$C$15,MONTH(E127)&lt;=Setup!$C$16)),IF(Setup!$C$15&lt;=Setup!$C$16,AND(MONTH(WORKDAY(E127,-(Setup!$C$13+Setup!$G$23),Setup!$C$39:$C$50))&gt;=Setup!$C$15,MONTH(WORKDAY(E127,-(Setup!$C$13+Setup!$G$23),Setup!$C$39:$C$50))&lt;=Setup!$C$16),OR(MONTH(WORKDAY(E127,-(Setup!$C$13+Setup!$G$23),Setup!$C$39:$C$50))&gt;=Setup!$C$15,MONTH(WORKDAY(E127,-(Setup!$C$13+Setup!$G$23),Setup!$C$39:$C$50))&lt;=Setup!$C$16))),WORKDAY(E127,-(Setup!$C$13+Setup!$G$23+Setup!$C$14),Setup!$C$39:$C$50),WORKDAY(E127,-(Setup!$C$13+Setup!$G$23),Setup!$C$39:$C$50))+(122*100+4)/10000000)))</f>
        <v/>
      </c>
      <c r="V127" t="str">
        <f>IF(F127="","",IF(F127&lt;Setup!$C$5-Setup!$C$6,"",IF(IF(ISNUMBER(Roster!$D127),Setup!$C$24&lt;=Roster!$D127,FALSE),"",IF(OR(IF(Setup!$C$15&lt;=Setup!$C$16,AND(MONTH(F127)&gt;=Setup!$C$15,MONTH(F127)&lt;=Setup!$C$16),OR(MONTH(F127)&gt;=Setup!$C$15,MONTH(F127)&lt;=Setup!$C$16)),IF(Setup!$C$15&lt;=Setup!$C$16,AND(MONTH(WORKDAY(F127,-(Setup!$C$13+Setup!$G$24),Setup!$C$39:$C$50))&gt;=Setup!$C$15,MONTH(WORKDAY(F127,-(Setup!$C$13+Setup!$G$24),Setup!$C$39:$C$50))&lt;=Setup!$C$16),OR(MONTH(WORKDAY(F127,-(Setup!$C$13+Setup!$G$24),Setup!$C$39:$C$50))&gt;=Setup!$C$15,MONTH(WORKDAY(F127,-(Setup!$C$13+Setup!$G$24),Setup!$C$39:$C$50))&lt;=Setup!$C$16))),WORKDAY(F127,-(Setup!$C$13+Setup!$G$24+Setup!$C$14),Setup!$C$39:$C$50),WORKDAY(F127,-(Setup!$C$13+Setup!$G$24),Setup!$C$39:$C$50))+(122*100+5)/10000000)))</f>
        <v/>
      </c>
      <c r="W127" t="str">
        <f>IF(G127="","",IF(G127&lt;Setup!$C$5-Setup!$C$6,"",IF(IF(ISNUMBER(Roster!$D127),Setup!$C$25&lt;=Roster!$D127,FALSE),"",IF(OR(IF(Setup!$C$15&lt;=Setup!$C$16,AND(MONTH(G127)&gt;=Setup!$C$15,MONTH(G127)&lt;=Setup!$C$16),OR(MONTH(G127)&gt;=Setup!$C$15,MONTH(G127)&lt;=Setup!$C$16)),IF(Setup!$C$15&lt;=Setup!$C$16,AND(MONTH(WORKDAY(G127,-(Setup!$C$13+Setup!$G$25),Setup!$C$39:$C$50))&gt;=Setup!$C$15,MONTH(WORKDAY(G127,-(Setup!$C$13+Setup!$G$25),Setup!$C$39:$C$50))&lt;=Setup!$C$16),OR(MONTH(WORKDAY(G127,-(Setup!$C$13+Setup!$G$25),Setup!$C$39:$C$50))&gt;=Setup!$C$15,MONTH(WORKDAY(G127,-(Setup!$C$13+Setup!$G$25),Setup!$C$39:$C$50))&lt;=Setup!$C$16))),WORKDAY(G127,-(Setup!$C$13+Setup!$G$25+Setup!$C$14),Setup!$C$39:$C$50),WORKDAY(G127,-(Setup!$C$13+Setup!$G$25),Setup!$C$39:$C$50))+(122*100+6)/10000000)))</f>
        <v/>
      </c>
      <c r="X127" t="str">
        <f>IF(H127="","",IF(H127&lt;Setup!$C$5-Setup!$C$6,"",IF(IF(ISNUMBER(Roster!$D127),Setup!$C$26&lt;=Roster!$D127,FALSE),"",IF(OR(IF(Setup!$C$15&lt;=Setup!$C$16,AND(MONTH(H127)&gt;=Setup!$C$15,MONTH(H127)&lt;=Setup!$C$16),OR(MONTH(H127)&gt;=Setup!$C$15,MONTH(H127)&lt;=Setup!$C$16)),IF(Setup!$C$15&lt;=Setup!$C$16,AND(MONTH(WORKDAY(H127,-(Setup!$C$13+Setup!$G$26),Setup!$C$39:$C$50))&gt;=Setup!$C$15,MONTH(WORKDAY(H127,-(Setup!$C$13+Setup!$G$26),Setup!$C$39:$C$50))&lt;=Setup!$C$16),OR(MONTH(WORKDAY(H127,-(Setup!$C$13+Setup!$G$26),Setup!$C$39:$C$50))&gt;=Setup!$C$15,MONTH(WORKDAY(H127,-(Setup!$C$13+Setup!$G$26),Setup!$C$39:$C$50))&lt;=Setup!$C$16))),WORKDAY(H127,-(Setup!$C$13+Setup!$G$26+Setup!$C$14),Setup!$C$39:$C$50),WORKDAY(H127,-(Setup!$C$13+Setup!$G$26),Setup!$C$39:$C$50))+(122*100+7)/10000000)))</f>
        <v/>
      </c>
      <c r="Y127" t="str">
        <f>IF(I127="","",IF(I127&lt;Setup!$C$5-Setup!$C$6,"",IF(IF(ISNUMBER(Roster!$D127),Setup!$C$27&lt;=Roster!$D127,FALSE),"",IF(OR(IF(Setup!$C$15&lt;=Setup!$C$16,AND(MONTH(I127)&gt;=Setup!$C$15,MONTH(I127)&lt;=Setup!$C$16),OR(MONTH(I127)&gt;=Setup!$C$15,MONTH(I127)&lt;=Setup!$C$16)),IF(Setup!$C$15&lt;=Setup!$C$16,AND(MONTH(WORKDAY(I127,-(Setup!$C$13+Setup!$G$27),Setup!$C$39:$C$50))&gt;=Setup!$C$15,MONTH(WORKDAY(I127,-(Setup!$C$13+Setup!$G$27),Setup!$C$39:$C$50))&lt;=Setup!$C$16),OR(MONTH(WORKDAY(I127,-(Setup!$C$13+Setup!$G$27),Setup!$C$39:$C$50))&gt;=Setup!$C$15,MONTH(WORKDAY(I127,-(Setup!$C$13+Setup!$G$27),Setup!$C$39:$C$50))&lt;=Setup!$C$16))),WORKDAY(I127,-(Setup!$C$13+Setup!$G$27+Setup!$C$14),Setup!$C$39:$C$50),WORKDAY(I127,-(Setup!$C$13+Setup!$G$27),Setup!$C$39:$C$50))+(122*100+8)/10000000)))</f>
        <v/>
      </c>
      <c r="Z127" t="str">
        <f>IF(J127="","",IF(J127&lt;Setup!$C$5-Setup!$C$6,"",IF(IF(ISNUMBER(Roster!$D127),Setup!$C$28&lt;=Roster!$D127,FALSE),"",IF(OR(IF(Setup!$C$15&lt;=Setup!$C$16,AND(MONTH(J127)&gt;=Setup!$C$15,MONTH(J127)&lt;=Setup!$C$16),OR(MONTH(J127)&gt;=Setup!$C$15,MONTH(J127)&lt;=Setup!$C$16)),IF(Setup!$C$15&lt;=Setup!$C$16,AND(MONTH(WORKDAY(J127,-(Setup!$C$13+Setup!$G$28),Setup!$C$39:$C$50))&gt;=Setup!$C$15,MONTH(WORKDAY(J127,-(Setup!$C$13+Setup!$G$28),Setup!$C$39:$C$50))&lt;=Setup!$C$16),OR(MONTH(WORKDAY(J127,-(Setup!$C$13+Setup!$G$28),Setup!$C$39:$C$50))&gt;=Setup!$C$15,MONTH(WORKDAY(J127,-(Setup!$C$13+Setup!$G$28),Setup!$C$39:$C$50))&lt;=Setup!$C$16))),WORKDAY(J127,-(Setup!$C$13+Setup!$G$28+Setup!$C$14),Setup!$C$39:$C$50),WORKDAY(J127,-(Setup!$C$13+Setup!$G$28),Setup!$C$39:$C$50))+(122*100+9)/10000000)))</f>
        <v/>
      </c>
      <c r="AA127" t="str">
        <f>IF(K127="","",IF(K127&lt;Setup!$C$5-Setup!$C$6,"",IF(IF(ISNUMBER(Roster!$D127),Setup!$C$29&lt;=Roster!$D127,FALSE),"",IF(OR(IF(Setup!$C$15&lt;=Setup!$C$16,AND(MONTH(K127)&gt;=Setup!$C$15,MONTH(K127)&lt;=Setup!$C$16),OR(MONTH(K127)&gt;=Setup!$C$15,MONTH(K127)&lt;=Setup!$C$16)),IF(Setup!$C$15&lt;=Setup!$C$16,AND(MONTH(WORKDAY(K127,-(Setup!$C$13+Setup!$G$29),Setup!$C$39:$C$50))&gt;=Setup!$C$15,MONTH(WORKDAY(K127,-(Setup!$C$13+Setup!$G$29),Setup!$C$39:$C$50))&lt;=Setup!$C$16),OR(MONTH(WORKDAY(K127,-(Setup!$C$13+Setup!$G$29),Setup!$C$39:$C$50))&gt;=Setup!$C$15,MONTH(WORKDAY(K127,-(Setup!$C$13+Setup!$G$29),Setup!$C$39:$C$50))&lt;=Setup!$C$16))),WORKDAY(K127,-(Setup!$C$13+Setup!$G$29+Setup!$C$14),Setup!$C$39:$C$50),WORKDAY(K127,-(Setup!$C$13+Setup!$G$29),Setup!$C$39:$C$50))+(122*100+10)/10000000)))</f>
        <v/>
      </c>
      <c r="AB127" t="str">
        <f>IF(L127="","",IF(L127&lt;Setup!$C$5-Setup!$C$6,"",IF(IF(ISNUMBER(Roster!$D127),Setup!$C$30&lt;=Roster!$D127,FALSE),"",IF(OR(IF(Setup!$C$15&lt;=Setup!$C$16,AND(MONTH(L127)&gt;=Setup!$C$15,MONTH(L127)&lt;=Setup!$C$16),OR(MONTH(L127)&gt;=Setup!$C$15,MONTH(L127)&lt;=Setup!$C$16)),IF(Setup!$C$15&lt;=Setup!$C$16,AND(MONTH(WORKDAY(L127,-(Setup!$C$13+Setup!$G$30),Setup!$C$39:$C$50))&gt;=Setup!$C$15,MONTH(WORKDAY(L127,-(Setup!$C$13+Setup!$G$30),Setup!$C$39:$C$50))&lt;=Setup!$C$16),OR(MONTH(WORKDAY(L127,-(Setup!$C$13+Setup!$G$30),Setup!$C$39:$C$50))&gt;=Setup!$C$15,MONTH(WORKDAY(L127,-(Setup!$C$13+Setup!$G$30),Setup!$C$39:$C$50))&lt;=Setup!$C$16))),WORKDAY(L127,-(Setup!$C$13+Setup!$G$30+Setup!$C$14),Setup!$C$39:$C$50),WORKDAY(L127,-(Setup!$C$13+Setup!$G$30),Setup!$C$39:$C$50))+(122*100+11)/10000000)))</f>
        <v/>
      </c>
      <c r="AC127" t="str">
        <f>IF(M127="","",IF(M127&lt;Setup!$C$5-Setup!$C$6,"",IF(IF(ISNUMBER(Roster!$D127),Setup!$C$31&lt;=Roster!$D127,FALSE),"",IF(OR(IF(Setup!$C$15&lt;=Setup!$C$16,AND(MONTH(M127)&gt;=Setup!$C$15,MONTH(M127)&lt;=Setup!$C$16),OR(MONTH(M127)&gt;=Setup!$C$15,MONTH(M127)&lt;=Setup!$C$16)),IF(Setup!$C$15&lt;=Setup!$C$16,AND(MONTH(WORKDAY(M127,-(Setup!$C$13+Setup!$G$31),Setup!$C$39:$C$50))&gt;=Setup!$C$15,MONTH(WORKDAY(M127,-(Setup!$C$13+Setup!$G$31),Setup!$C$39:$C$50))&lt;=Setup!$C$16),OR(MONTH(WORKDAY(M127,-(Setup!$C$13+Setup!$G$31),Setup!$C$39:$C$50))&gt;=Setup!$C$15,MONTH(WORKDAY(M127,-(Setup!$C$13+Setup!$G$31),Setup!$C$39:$C$50))&lt;=Setup!$C$16))),WORKDAY(M127,-(Setup!$C$13+Setup!$G$31+Setup!$C$14),Setup!$C$39:$C$50),WORKDAY(M127,-(Setup!$C$13+Setup!$G$31),Setup!$C$39:$C$50))+(122*100+12)/10000000)))</f>
        <v/>
      </c>
      <c r="AD127" t="str">
        <f>IF(N127="","",IF(N127&lt;Setup!$C$5-Setup!$C$6,"",IF(IF(ISNUMBER(Roster!$D127),Setup!$C$32&lt;=Roster!$D127,FALSE),"",IF(OR(IF(Setup!$C$15&lt;=Setup!$C$16,AND(MONTH(N127)&gt;=Setup!$C$15,MONTH(N127)&lt;=Setup!$C$16),OR(MONTH(N127)&gt;=Setup!$C$15,MONTH(N127)&lt;=Setup!$C$16)),IF(Setup!$C$15&lt;=Setup!$C$16,AND(MONTH(WORKDAY(N127,-(Setup!$C$13+Setup!$G$32),Setup!$C$39:$C$50))&gt;=Setup!$C$15,MONTH(WORKDAY(N127,-(Setup!$C$13+Setup!$G$32),Setup!$C$39:$C$50))&lt;=Setup!$C$16),OR(MONTH(WORKDAY(N127,-(Setup!$C$13+Setup!$G$32),Setup!$C$39:$C$50))&gt;=Setup!$C$15,MONTH(WORKDAY(N127,-(Setup!$C$13+Setup!$G$32),Setup!$C$39:$C$50))&lt;=Setup!$C$16))),WORKDAY(N127,-(Setup!$C$13+Setup!$G$32+Setup!$C$14),Setup!$C$39:$C$50),WORKDAY(N127,-(Setup!$C$13+Setup!$G$32),Setup!$C$39:$C$50))+(122*100+13)/10000000)))</f>
        <v/>
      </c>
      <c r="AE127" t="str">
        <f>IF(O127="","",IF(O127&lt;Setup!$C$5-Setup!$C$6,"",IF(IF(ISNUMBER(Roster!$D127),Setup!$C$33&lt;=Roster!$D127,FALSE),"",IF(OR(IF(Setup!$C$15&lt;=Setup!$C$16,AND(MONTH(O127)&gt;=Setup!$C$15,MONTH(O127)&lt;=Setup!$C$16),OR(MONTH(O127)&gt;=Setup!$C$15,MONTH(O127)&lt;=Setup!$C$16)),IF(Setup!$C$15&lt;=Setup!$C$16,AND(MONTH(WORKDAY(O127,-(Setup!$C$13+Setup!$G$33),Setup!$C$39:$C$50))&gt;=Setup!$C$15,MONTH(WORKDAY(O127,-(Setup!$C$13+Setup!$G$33),Setup!$C$39:$C$50))&lt;=Setup!$C$16),OR(MONTH(WORKDAY(O127,-(Setup!$C$13+Setup!$G$33),Setup!$C$39:$C$50))&gt;=Setup!$C$15,MONTH(WORKDAY(O127,-(Setup!$C$13+Setup!$G$33),Setup!$C$39:$C$50))&lt;=Setup!$C$16))),WORKDAY(O127,-(Setup!$C$13+Setup!$G$33+Setup!$C$14),Setup!$C$39:$C$50),WORKDAY(O127,-(Setup!$C$13+Setup!$G$33),Setup!$C$39:$C$50))+(122*100+14)/10000000)))</f>
        <v/>
      </c>
      <c r="AF127" t="str">
        <f>IF(P127="","",IF(P127&lt;Setup!$C$5-Setup!$C$6,"",IF(IF(ISNUMBER(Roster!$D127),Setup!$C$34&lt;=Roster!$D127,FALSE),"",IF(OR(IF(Setup!$C$15&lt;=Setup!$C$16,AND(MONTH(P127)&gt;=Setup!$C$15,MONTH(P127)&lt;=Setup!$C$16),OR(MONTH(P127)&gt;=Setup!$C$15,MONTH(P127)&lt;=Setup!$C$16)),IF(Setup!$C$15&lt;=Setup!$C$16,AND(MONTH(WORKDAY(P127,-(Setup!$C$13+Setup!$G$34),Setup!$C$39:$C$50))&gt;=Setup!$C$15,MONTH(WORKDAY(P127,-(Setup!$C$13+Setup!$G$34),Setup!$C$39:$C$50))&lt;=Setup!$C$16),OR(MONTH(WORKDAY(P127,-(Setup!$C$13+Setup!$G$34),Setup!$C$39:$C$50))&gt;=Setup!$C$15,MONTH(WORKDAY(P127,-(Setup!$C$13+Setup!$G$34),Setup!$C$39:$C$50))&lt;=Setup!$C$16))),WORKDAY(P127,-(Setup!$C$13+Setup!$G$34+Setup!$C$14),Setup!$C$39:$C$50),WORKDAY(P127,-(Setup!$C$13+Setup!$G$34),Setup!$C$39:$C$50))+(122*100+15)/10000000)))</f>
        <v/>
      </c>
      <c r="AH127" t="str">
        <f t="shared" si="9"/>
        <v/>
      </c>
      <c r="AI127" t="str">
        <f t="shared" si="10"/>
        <v/>
      </c>
      <c r="AK127" t="str">
        <f ca="1">IF(122&gt;$AK$2,"",SMALL($R$6:$AF$505,122))</f>
        <v/>
      </c>
      <c r="AL127" t="str">
        <f t="shared" ca="1" si="11"/>
        <v/>
      </c>
      <c r="AM127" t="str">
        <f t="shared" ca="1" si="12"/>
        <v/>
      </c>
      <c r="AN127" t="str">
        <f t="shared" ca="1" si="13"/>
        <v/>
      </c>
      <c r="AP127" t="str">
        <f>IF(ISNUMBER(Roster!$B127),MAX(1,YEAR(Setup!$C$5)-YEAR(Roster!$B127)+IF(EDATE(Roster!$B127,12*(YEAR(Setup!$C$5)-YEAR(Roster!$B127)))&lt;Setup!$C$5,1,0)),"")</f>
        <v/>
      </c>
      <c r="AQ127" s="32" t="str">
        <f>IF(AP127="","",EDATE(Roster!$B127,12*AP127))</f>
        <v/>
      </c>
      <c r="AR127" t="str">
        <f>IF(AQ127="","",IF(AQ127&lt;DATE(YEAR(Setup!$C$5)+1,MONTH(Setup!$C$5),DAY(Setup!$C$5)),AQ127+122/1000,""))</f>
        <v/>
      </c>
      <c r="AS127" t="str">
        <f t="shared" si="14"/>
        <v/>
      </c>
      <c r="AT127" t="str">
        <f>IF(AS127="","",IF(ISNUMBER(Roster!$D127),Roster!$D127&gt;=AP127,FALSE))</f>
        <v/>
      </c>
      <c r="AU127" t="str">
        <f t="shared" si="15"/>
        <v/>
      </c>
      <c r="AV127" t="str">
        <f ca="1">IF(122&gt;$AV$2,"",SMALL($AR$6:$AR$505,122))</f>
        <v/>
      </c>
      <c r="AW127" t="str">
        <f t="shared" ca="1" si="16"/>
        <v/>
      </c>
    </row>
    <row r="128" spans="2:49" x14ac:dyDescent="0.2">
      <c r="B128" s="32" t="str">
        <f>IF(AND(ISNUMBER(Roster!$B128),Setup!$B$20="Yes",ISNUMBER(Setup!$C$20)),EDATE(Roster!$B128,12*Setup!$C$20),"")</f>
        <v/>
      </c>
      <c r="C128" s="32" t="str">
        <f>IF(AND(ISNUMBER(Roster!$B128),Setup!$B$21="Yes",ISNUMBER(Setup!$C$21)),EDATE(Roster!$B128,12*Setup!$C$21),"")</f>
        <v/>
      </c>
      <c r="D128" s="32" t="str">
        <f>IF(AND(ISNUMBER(Roster!$B128),Setup!$B$22="Yes",ISNUMBER(Setup!$C$22)),EDATE(Roster!$B128,12*Setup!$C$22),"")</f>
        <v/>
      </c>
      <c r="E128" s="32" t="str">
        <f>IF(AND(ISNUMBER(Roster!$B128),Setup!$B$23="Yes",ISNUMBER(Setup!$C$23)),EDATE(Roster!$B128,12*Setup!$C$23),"")</f>
        <v/>
      </c>
      <c r="F128" s="32" t="str">
        <f>IF(AND(ISNUMBER(Roster!$B128),Setup!$B$24="Yes",ISNUMBER(Setup!$C$24)),EDATE(Roster!$B128,12*Setup!$C$24),"")</f>
        <v/>
      </c>
      <c r="G128" s="32" t="str">
        <f>IF(AND(ISNUMBER(Roster!$B128),Setup!$B$25="Yes",ISNUMBER(Setup!$C$25)),EDATE(Roster!$B128,12*Setup!$C$25),"")</f>
        <v/>
      </c>
      <c r="H128" s="32" t="str">
        <f>IF(AND(ISNUMBER(Roster!$B128),Setup!$B$26="Yes",ISNUMBER(Setup!$C$26)),EDATE(Roster!$B128,12*Setup!$C$26),"")</f>
        <v/>
      </c>
      <c r="I128" s="32" t="str">
        <f>IF(AND(ISNUMBER(Roster!$B128),Setup!$B$27="Yes",ISNUMBER(Setup!$C$27)),EDATE(Roster!$B128,12*Setup!$C$27),"")</f>
        <v/>
      </c>
      <c r="J128" s="32" t="str">
        <f>IF(AND(ISNUMBER(Roster!$B128),Setup!$B$28="Yes",ISNUMBER(Setup!$C$28)),EDATE(Roster!$B128,12*Setup!$C$28),"")</f>
        <v/>
      </c>
      <c r="K128" s="32" t="str">
        <f>IF(AND(ISNUMBER(Roster!$B128),Setup!$B$29="Yes",ISNUMBER(Setup!$C$29)),EDATE(Roster!$B128,12*Setup!$C$29),"")</f>
        <v/>
      </c>
      <c r="L128" s="32" t="str">
        <f>IF(AND(ISNUMBER(Roster!$B128),Setup!$B$30="Yes",ISNUMBER(Setup!$C$30)),EDATE(Roster!$B128,12*Setup!$C$30),"")</f>
        <v/>
      </c>
      <c r="M128" s="32" t="str">
        <f>IF(AND(ISNUMBER(Roster!$B128),Setup!$B$31="Yes",ISNUMBER(Setup!$C$31)),EDATE(Roster!$B128,12*Setup!$C$31),"")</f>
        <v/>
      </c>
      <c r="N128" s="32" t="str">
        <f>IF(AND(ISNUMBER(Roster!$B128),Setup!$B$32="Yes",ISNUMBER(Setup!$C$32)),EDATE(Roster!$B128,12*Setup!$C$32),"")</f>
        <v/>
      </c>
      <c r="O128" s="32" t="str">
        <f>IF(AND(ISNUMBER(Roster!$B128),Setup!$B$33="Yes",ISNUMBER(Setup!$C$33)),EDATE(Roster!$B128,12*Setup!$C$33),"")</f>
        <v/>
      </c>
      <c r="P128" s="32" t="str">
        <f>IF(AND(ISNUMBER(Roster!$B128),Setup!$B$34="Yes",ISNUMBER(Setup!$C$34)),EDATE(Roster!$B128,12*Setup!$C$34),"")</f>
        <v/>
      </c>
      <c r="R128" t="str">
        <f>IF(B128="","",IF(B128&lt;Setup!$C$5-Setup!$C$6,"",IF(IF(ISNUMBER(Roster!$D128),Setup!$C$20&lt;=Roster!$D128,FALSE),"",IF(OR(IF(Setup!$C$15&lt;=Setup!$C$16,AND(MONTH(B128)&gt;=Setup!$C$15,MONTH(B128)&lt;=Setup!$C$16),OR(MONTH(B128)&gt;=Setup!$C$15,MONTH(B128)&lt;=Setup!$C$16)),IF(Setup!$C$15&lt;=Setup!$C$16,AND(MONTH(WORKDAY(B128,-(Setup!$C$13+Setup!$G$20),Setup!$C$39:$C$50))&gt;=Setup!$C$15,MONTH(WORKDAY(B128,-(Setup!$C$13+Setup!$G$20),Setup!$C$39:$C$50))&lt;=Setup!$C$16),OR(MONTH(WORKDAY(B128,-(Setup!$C$13+Setup!$G$20),Setup!$C$39:$C$50))&gt;=Setup!$C$15,MONTH(WORKDAY(B128,-(Setup!$C$13+Setup!$G$20),Setup!$C$39:$C$50))&lt;=Setup!$C$16))),WORKDAY(B128,-(Setup!$C$13+Setup!$G$20+Setup!$C$14),Setup!$C$39:$C$50),WORKDAY(B128,-(Setup!$C$13+Setup!$G$20),Setup!$C$39:$C$50))+(123*100+1)/10000000)))</f>
        <v/>
      </c>
      <c r="S128" t="str">
        <f>IF(C128="","",IF(C128&lt;Setup!$C$5-Setup!$C$6,"",IF(IF(ISNUMBER(Roster!$D128),Setup!$C$21&lt;=Roster!$D128,FALSE),"",IF(OR(IF(Setup!$C$15&lt;=Setup!$C$16,AND(MONTH(C128)&gt;=Setup!$C$15,MONTH(C128)&lt;=Setup!$C$16),OR(MONTH(C128)&gt;=Setup!$C$15,MONTH(C128)&lt;=Setup!$C$16)),IF(Setup!$C$15&lt;=Setup!$C$16,AND(MONTH(WORKDAY(C128,-(Setup!$C$13+Setup!$G$21),Setup!$C$39:$C$50))&gt;=Setup!$C$15,MONTH(WORKDAY(C128,-(Setup!$C$13+Setup!$G$21),Setup!$C$39:$C$50))&lt;=Setup!$C$16),OR(MONTH(WORKDAY(C128,-(Setup!$C$13+Setup!$G$21),Setup!$C$39:$C$50))&gt;=Setup!$C$15,MONTH(WORKDAY(C128,-(Setup!$C$13+Setup!$G$21),Setup!$C$39:$C$50))&lt;=Setup!$C$16))),WORKDAY(C128,-(Setup!$C$13+Setup!$G$21+Setup!$C$14),Setup!$C$39:$C$50),WORKDAY(C128,-(Setup!$C$13+Setup!$G$21),Setup!$C$39:$C$50))+(123*100+2)/10000000)))</f>
        <v/>
      </c>
      <c r="T128" t="str">
        <f>IF(D128="","",IF(D128&lt;Setup!$C$5-Setup!$C$6,"",IF(IF(ISNUMBER(Roster!$D128),Setup!$C$22&lt;=Roster!$D128,FALSE),"",IF(OR(IF(Setup!$C$15&lt;=Setup!$C$16,AND(MONTH(D128)&gt;=Setup!$C$15,MONTH(D128)&lt;=Setup!$C$16),OR(MONTH(D128)&gt;=Setup!$C$15,MONTH(D128)&lt;=Setup!$C$16)),IF(Setup!$C$15&lt;=Setup!$C$16,AND(MONTH(WORKDAY(D128,-(Setup!$C$13+Setup!$G$22),Setup!$C$39:$C$50))&gt;=Setup!$C$15,MONTH(WORKDAY(D128,-(Setup!$C$13+Setup!$G$22),Setup!$C$39:$C$50))&lt;=Setup!$C$16),OR(MONTH(WORKDAY(D128,-(Setup!$C$13+Setup!$G$22),Setup!$C$39:$C$50))&gt;=Setup!$C$15,MONTH(WORKDAY(D128,-(Setup!$C$13+Setup!$G$22),Setup!$C$39:$C$50))&lt;=Setup!$C$16))),WORKDAY(D128,-(Setup!$C$13+Setup!$G$22+Setup!$C$14),Setup!$C$39:$C$50),WORKDAY(D128,-(Setup!$C$13+Setup!$G$22),Setup!$C$39:$C$50))+(123*100+3)/10000000)))</f>
        <v/>
      </c>
      <c r="U128" t="str">
        <f>IF(E128="","",IF(E128&lt;Setup!$C$5-Setup!$C$6,"",IF(IF(ISNUMBER(Roster!$D128),Setup!$C$23&lt;=Roster!$D128,FALSE),"",IF(OR(IF(Setup!$C$15&lt;=Setup!$C$16,AND(MONTH(E128)&gt;=Setup!$C$15,MONTH(E128)&lt;=Setup!$C$16),OR(MONTH(E128)&gt;=Setup!$C$15,MONTH(E128)&lt;=Setup!$C$16)),IF(Setup!$C$15&lt;=Setup!$C$16,AND(MONTH(WORKDAY(E128,-(Setup!$C$13+Setup!$G$23),Setup!$C$39:$C$50))&gt;=Setup!$C$15,MONTH(WORKDAY(E128,-(Setup!$C$13+Setup!$G$23),Setup!$C$39:$C$50))&lt;=Setup!$C$16),OR(MONTH(WORKDAY(E128,-(Setup!$C$13+Setup!$G$23),Setup!$C$39:$C$50))&gt;=Setup!$C$15,MONTH(WORKDAY(E128,-(Setup!$C$13+Setup!$G$23),Setup!$C$39:$C$50))&lt;=Setup!$C$16))),WORKDAY(E128,-(Setup!$C$13+Setup!$G$23+Setup!$C$14),Setup!$C$39:$C$50),WORKDAY(E128,-(Setup!$C$13+Setup!$G$23),Setup!$C$39:$C$50))+(123*100+4)/10000000)))</f>
        <v/>
      </c>
      <c r="V128" t="str">
        <f>IF(F128="","",IF(F128&lt;Setup!$C$5-Setup!$C$6,"",IF(IF(ISNUMBER(Roster!$D128),Setup!$C$24&lt;=Roster!$D128,FALSE),"",IF(OR(IF(Setup!$C$15&lt;=Setup!$C$16,AND(MONTH(F128)&gt;=Setup!$C$15,MONTH(F128)&lt;=Setup!$C$16),OR(MONTH(F128)&gt;=Setup!$C$15,MONTH(F128)&lt;=Setup!$C$16)),IF(Setup!$C$15&lt;=Setup!$C$16,AND(MONTH(WORKDAY(F128,-(Setup!$C$13+Setup!$G$24),Setup!$C$39:$C$50))&gt;=Setup!$C$15,MONTH(WORKDAY(F128,-(Setup!$C$13+Setup!$G$24),Setup!$C$39:$C$50))&lt;=Setup!$C$16),OR(MONTH(WORKDAY(F128,-(Setup!$C$13+Setup!$G$24),Setup!$C$39:$C$50))&gt;=Setup!$C$15,MONTH(WORKDAY(F128,-(Setup!$C$13+Setup!$G$24),Setup!$C$39:$C$50))&lt;=Setup!$C$16))),WORKDAY(F128,-(Setup!$C$13+Setup!$G$24+Setup!$C$14),Setup!$C$39:$C$50),WORKDAY(F128,-(Setup!$C$13+Setup!$G$24),Setup!$C$39:$C$50))+(123*100+5)/10000000)))</f>
        <v/>
      </c>
      <c r="W128" t="str">
        <f>IF(G128="","",IF(G128&lt;Setup!$C$5-Setup!$C$6,"",IF(IF(ISNUMBER(Roster!$D128),Setup!$C$25&lt;=Roster!$D128,FALSE),"",IF(OR(IF(Setup!$C$15&lt;=Setup!$C$16,AND(MONTH(G128)&gt;=Setup!$C$15,MONTH(G128)&lt;=Setup!$C$16),OR(MONTH(G128)&gt;=Setup!$C$15,MONTH(G128)&lt;=Setup!$C$16)),IF(Setup!$C$15&lt;=Setup!$C$16,AND(MONTH(WORKDAY(G128,-(Setup!$C$13+Setup!$G$25),Setup!$C$39:$C$50))&gt;=Setup!$C$15,MONTH(WORKDAY(G128,-(Setup!$C$13+Setup!$G$25),Setup!$C$39:$C$50))&lt;=Setup!$C$16),OR(MONTH(WORKDAY(G128,-(Setup!$C$13+Setup!$G$25),Setup!$C$39:$C$50))&gt;=Setup!$C$15,MONTH(WORKDAY(G128,-(Setup!$C$13+Setup!$G$25),Setup!$C$39:$C$50))&lt;=Setup!$C$16))),WORKDAY(G128,-(Setup!$C$13+Setup!$G$25+Setup!$C$14),Setup!$C$39:$C$50),WORKDAY(G128,-(Setup!$C$13+Setup!$G$25),Setup!$C$39:$C$50))+(123*100+6)/10000000)))</f>
        <v/>
      </c>
      <c r="X128" t="str">
        <f>IF(H128="","",IF(H128&lt;Setup!$C$5-Setup!$C$6,"",IF(IF(ISNUMBER(Roster!$D128),Setup!$C$26&lt;=Roster!$D128,FALSE),"",IF(OR(IF(Setup!$C$15&lt;=Setup!$C$16,AND(MONTH(H128)&gt;=Setup!$C$15,MONTH(H128)&lt;=Setup!$C$16),OR(MONTH(H128)&gt;=Setup!$C$15,MONTH(H128)&lt;=Setup!$C$16)),IF(Setup!$C$15&lt;=Setup!$C$16,AND(MONTH(WORKDAY(H128,-(Setup!$C$13+Setup!$G$26),Setup!$C$39:$C$50))&gt;=Setup!$C$15,MONTH(WORKDAY(H128,-(Setup!$C$13+Setup!$G$26),Setup!$C$39:$C$50))&lt;=Setup!$C$16),OR(MONTH(WORKDAY(H128,-(Setup!$C$13+Setup!$G$26),Setup!$C$39:$C$50))&gt;=Setup!$C$15,MONTH(WORKDAY(H128,-(Setup!$C$13+Setup!$G$26),Setup!$C$39:$C$50))&lt;=Setup!$C$16))),WORKDAY(H128,-(Setup!$C$13+Setup!$G$26+Setup!$C$14),Setup!$C$39:$C$50),WORKDAY(H128,-(Setup!$C$13+Setup!$G$26),Setup!$C$39:$C$50))+(123*100+7)/10000000)))</f>
        <v/>
      </c>
      <c r="Y128" t="str">
        <f>IF(I128="","",IF(I128&lt;Setup!$C$5-Setup!$C$6,"",IF(IF(ISNUMBER(Roster!$D128),Setup!$C$27&lt;=Roster!$D128,FALSE),"",IF(OR(IF(Setup!$C$15&lt;=Setup!$C$16,AND(MONTH(I128)&gt;=Setup!$C$15,MONTH(I128)&lt;=Setup!$C$16),OR(MONTH(I128)&gt;=Setup!$C$15,MONTH(I128)&lt;=Setup!$C$16)),IF(Setup!$C$15&lt;=Setup!$C$16,AND(MONTH(WORKDAY(I128,-(Setup!$C$13+Setup!$G$27),Setup!$C$39:$C$50))&gt;=Setup!$C$15,MONTH(WORKDAY(I128,-(Setup!$C$13+Setup!$G$27),Setup!$C$39:$C$50))&lt;=Setup!$C$16),OR(MONTH(WORKDAY(I128,-(Setup!$C$13+Setup!$G$27),Setup!$C$39:$C$50))&gt;=Setup!$C$15,MONTH(WORKDAY(I128,-(Setup!$C$13+Setup!$G$27),Setup!$C$39:$C$50))&lt;=Setup!$C$16))),WORKDAY(I128,-(Setup!$C$13+Setup!$G$27+Setup!$C$14),Setup!$C$39:$C$50),WORKDAY(I128,-(Setup!$C$13+Setup!$G$27),Setup!$C$39:$C$50))+(123*100+8)/10000000)))</f>
        <v/>
      </c>
      <c r="Z128" t="str">
        <f>IF(J128="","",IF(J128&lt;Setup!$C$5-Setup!$C$6,"",IF(IF(ISNUMBER(Roster!$D128),Setup!$C$28&lt;=Roster!$D128,FALSE),"",IF(OR(IF(Setup!$C$15&lt;=Setup!$C$16,AND(MONTH(J128)&gt;=Setup!$C$15,MONTH(J128)&lt;=Setup!$C$16),OR(MONTH(J128)&gt;=Setup!$C$15,MONTH(J128)&lt;=Setup!$C$16)),IF(Setup!$C$15&lt;=Setup!$C$16,AND(MONTH(WORKDAY(J128,-(Setup!$C$13+Setup!$G$28),Setup!$C$39:$C$50))&gt;=Setup!$C$15,MONTH(WORKDAY(J128,-(Setup!$C$13+Setup!$G$28),Setup!$C$39:$C$50))&lt;=Setup!$C$16),OR(MONTH(WORKDAY(J128,-(Setup!$C$13+Setup!$G$28),Setup!$C$39:$C$50))&gt;=Setup!$C$15,MONTH(WORKDAY(J128,-(Setup!$C$13+Setup!$G$28),Setup!$C$39:$C$50))&lt;=Setup!$C$16))),WORKDAY(J128,-(Setup!$C$13+Setup!$G$28+Setup!$C$14),Setup!$C$39:$C$50),WORKDAY(J128,-(Setup!$C$13+Setup!$G$28),Setup!$C$39:$C$50))+(123*100+9)/10000000)))</f>
        <v/>
      </c>
      <c r="AA128" t="str">
        <f>IF(K128="","",IF(K128&lt;Setup!$C$5-Setup!$C$6,"",IF(IF(ISNUMBER(Roster!$D128),Setup!$C$29&lt;=Roster!$D128,FALSE),"",IF(OR(IF(Setup!$C$15&lt;=Setup!$C$16,AND(MONTH(K128)&gt;=Setup!$C$15,MONTH(K128)&lt;=Setup!$C$16),OR(MONTH(K128)&gt;=Setup!$C$15,MONTH(K128)&lt;=Setup!$C$16)),IF(Setup!$C$15&lt;=Setup!$C$16,AND(MONTH(WORKDAY(K128,-(Setup!$C$13+Setup!$G$29),Setup!$C$39:$C$50))&gt;=Setup!$C$15,MONTH(WORKDAY(K128,-(Setup!$C$13+Setup!$G$29),Setup!$C$39:$C$50))&lt;=Setup!$C$16),OR(MONTH(WORKDAY(K128,-(Setup!$C$13+Setup!$G$29),Setup!$C$39:$C$50))&gt;=Setup!$C$15,MONTH(WORKDAY(K128,-(Setup!$C$13+Setup!$G$29),Setup!$C$39:$C$50))&lt;=Setup!$C$16))),WORKDAY(K128,-(Setup!$C$13+Setup!$G$29+Setup!$C$14),Setup!$C$39:$C$50),WORKDAY(K128,-(Setup!$C$13+Setup!$G$29),Setup!$C$39:$C$50))+(123*100+10)/10000000)))</f>
        <v/>
      </c>
      <c r="AB128" t="str">
        <f>IF(L128="","",IF(L128&lt;Setup!$C$5-Setup!$C$6,"",IF(IF(ISNUMBER(Roster!$D128),Setup!$C$30&lt;=Roster!$D128,FALSE),"",IF(OR(IF(Setup!$C$15&lt;=Setup!$C$16,AND(MONTH(L128)&gt;=Setup!$C$15,MONTH(L128)&lt;=Setup!$C$16),OR(MONTH(L128)&gt;=Setup!$C$15,MONTH(L128)&lt;=Setup!$C$16)),IF(Setup!$C$15&lt;=Setup!$C$16,AND(MONTH(WORKDAY(L128,-(Setup!$C$13+Setup!$G$30),Setup!$C$39:$C$50))&gt;=Setup!$C$15,MONTH(WORKDAY(L128,-(Setup!$C$13+Setup!$G$30),Setup!$C$39:$C$50))&lt;=Setup!$C$16),OR(MONTH(WORKDAY(L128,-(Setup!$C$13+Setup!$G$30),Setup!$C$39:$C$50))&gt;=Setup!$C$15,MONTH(WORKDAY(L128,-(Setup!$C$13+Setup!$G$30),Setup!$C$39:$C$50))&lt;=Setup!$C$16))),WORKDAY(L128,-(Setup!$C$13+Setup!$G$30+Setup!$C$14),Setup!$C$39:$C$50),WORKDAY(L128,-(Setup!$C$13+Setup!$G$30),Setup!$C$39:$C$50))+(123*100+11)/10000000)))</f>
        <v/>
      </c>
      <c r="AC128" t="str">
        <f>IF(M128="","",IF(M128&lt;Setup!$C$5-Setup!$C$6,"",IF(IF(ISNUMBER(Roster!$D128),Setup!$C$31&lt;=Roster!$D128,FALSE),"",IF(OR(IF(Setup!$C$15&lt;=Setup!$C$16,AND(MONTH(M128)&gt;=Setup!$C$15,MONTH(M128)&lt;=Setup!$C$16),OR(MONTH(M128)&gt;=Setup!$C$15,MONTH(M128)&lt;=Setup!$C$16)),IF(Setup!$C$15&lt;=Setup!$C$16,AND(MONTH(WORKDAY(M128,-(Setup!$C$13+Setup!$G$31),Setup!$C$39:$C$50))&gt;=Setup!$C$15,MONTH(WORKDAY(M128,-(Setup!$C$13+Setup!$G$31),Setup!$C$39:$C$50))&lt;=Setup!$C$16),OR(MONTH(WORKDAY(M128,-(Setup!$C$13+Setup!$G$31),Setup!$C$39:$C$50))&gt;=Setup!$C$15,MONTH(WORKDAY(M128,-(Setup!$C$13+Setup!$G$31),Setup!$C$39:$C$50))&lt;=Setup!$C$16))),WORKDAY(M128,-(Setup!$C$13+Setup!$G$31+Setup!$C$14),Setup!$C$39:$C$50),WORKDAY(M128,-(Setup!$C$13+Setup!$G$31),Setup!$C$39:$C$50))+(123*100+12)/10000000)))</f>
        <v/>
      </c>
      <c r="AD128" t="str">
        <f>IF(N128="","",IF(N128&lt;Setup!$C$5-Setup!$C$6,"",IF(IF(ISNUMBER(Roster!$D128),Setup!$C$32&lt;=Roster!$D128,FALSE),"",IF(OR(IF(Setup!$C$15&lt;=Setup!$C$16,AND(MONTH(N128)&gt;=Setup!$C$15,MONTH(N128)&lt;=Setup!$C$16),OR(MONTH(N128)&gt;=Setup!$C$15,MONTH(N128)&lt;=Setup!$C$16)),IF(Setup!$C$15&lt;=Setup!$C$16,AND(MONTH(WORKDAY(N128,-(Setup!$C$13+Setup!$G$32),Setup!$C$39:$C$50))&gt;=Setup!$C$15,MONTH(WORKDAY(N128,-(Setup!$C$13+Setup!$G$32),Setup!$C$39:$C$50))&lt;=Setup!$C$16),OR(MONTH(WORKDAY(N128,-(Setup!$C$13+Setup!$G$32),Setup!$C$39:$C$50))&gt;=Setup!$C$15,MONTH(WORKDAY(N128,-(Setup!$C$13+Setup!$G$32),Setup!$C$39:$C$50))&lt;=Setup!$C$16))),WORKDAY(N128,-(Setup!$C$13+Setup!$G$32+Setup!$C$14),Setup!$C$39:$C$50),WORKDAY(N128,-(Setup!$C$13+Setup!$G$32),Setup!$C$39:$C$50))+(123*100+13)/10000000)))</f>
        <v/>
      </c>
      <c r="AE128" t="str">
        <f>IF(O128="","",IF(O128&lt;Setup!$C$5-Setup!$C$6,"",IF(IF(ISNUMBER(Roster!$D128),Setup!$C$33&lt;=Roster!$D128,FALSE),"",IF(OR(IF(Setup!$C$15&lt;=Setup!$C$16,AND(MONTH(O128)&gt;=Setup!$C$15,MONTH(O128)&lt;=Setup!$C$16),OR(MONTH(O128)&gt;=Setup!$C$15,MONTH(O128)&lt;=Setup!$C$16)),IF(Setup!$C$15&lt;=Setup!$C$16,AND(MONTH(WORKDAY(O128,-(Setup!$C$13+Setup!$G$33),Setup!$C$39:$C$50))&gt;=Setup!$C$15,MONTH(WORKDAY(O128,-(Setup!$C$13+Setup!$G$33),Setup!$C$39:$C$50))&lt;=Setup!$C$16),OR(MONTH(WORKDAY(O128,-(Setup!$C$13+Setup!$G$33),Setup!$C$39:$C$50))&gt;=Setup!$C$15,MONTH(WORKDAY(O128,-(Setup!$C$13+Setup!$G$33),Setup!$C$39:$C$50))&lt;=Setup!$C$16))),WORKDAY(O128,-(Setup!$C$13+Setup!$G$33+Setup!$C$14),Setup!$C$39:$C$50),WORKDAY(O128,-(Setup!$C$13+Setup!$G$33),Setup!$C$39:$C$50))+(123*100+14)/10000000)))</f>
        <v/>
      </c>
      <c r="AF128" t="str">
        <f>IF(P128="","",IF(P128&lt;Setup!$C$5-Setup!$C$6,"",IF(IF(ISNUMBER(Roster!$D128),Setup!$C$34&lt;=Roster!$D128,FALSE),"",IF(OR(IF(Setup!$C$15&lt;=Setup!$C$16,AND(MONTH(P128)&gt;=Setup!$C$15,MONTH(P128)&lt;=Setup!$C$16),OR(MONTH(P128)&gt;=Setup!$C$15,MONTH(P128)&lt;=Setup!$C$16)),IF(Setup!$C$15&lt;=Setup!$C$16,AND(MONTH(WORKDAY(P128,-(Setup!$C$13+Setup!$G$34),Setup!$C$39:$C$50))&gt;=Setup!$C$15,MONTH(WORKDAY(P128,-(Setup!$C$13+Setup!$G$34),Setup!$C$39:$C$50))&lt;=Setup!$C$16),OR(MONTH(WORKDAY(P128,-(Setup!$C$13+Setup!$G$34),Setup!$C$39:$C$50))&gt;=Setup!$C$15,MONTH(WORKDAY(P128,-(Setup!$C$13+Setup!$G$34),Setup!$C$39:$C$50))&lt;=Setup!$C$16))),WORKDAY(P128,-(Setup!$C$13+Setup!$G$34+Setup!$C$14),Setup!$C$39:$C$50),WORKDAY(P128,-(Setup!$C$13+Setup!$G$34),Setup!$C$39:$C$50))+(123*100+15)/10000000)))</f>
        <v/>
      </c>
      <c r="AH128" t="str">
        <f t="shared" si="9"/>
        <v/>
      </c>
      <c r="AI128" t="str">
        <f t="shared" si="10"/>
        <v/>
      </c>
      <c r="AK128" t="str">
        <f ca="1">IF(123&gt;$AK$2,"",SMALL($R$6:$AF$505,123))</f>
        <v/>
      </c>
      <c r="AL128" t="str">
        <f t="shared" ca="1" si="11"/>
        <v/>
      </c>
      <c r="AM128" t="str">
        <f t="shared" ca="1" si="12"/>
        <v/>
      </c>
      <c r="AN128" t="str">
        <f t="shared" ca="1" si="13"/>
        <v/>
      </c>
      <c r="AP128" t="str">
        <f>IF(ISNUMBER(Roster!$B128),MAX(1,YEAR(Setup!$C$5)-YEAR(Roster!$B128)+IF(EDATE(Roster!$B128,12*(YEAR(Setup!$C$5)-YEAR(Roster!$B128)))&lt;Setup!$C$5,1,0)),"")</f>
        <v/>
      </c>
      <c r="AQ128" s="32" t="str">
        <f>IF(AP128="","",EDATE(Roster!$B128,12*AP128))</f>
        <v/>
      </c>
      <c r="AR128" t="str">
        <f>IF(AQ128="","",IF(AQ128&lt;DATE(YEAR(Setup!$C$5)+1,MONTH(Setup!$C$5),DAY(Setup!$C$5)),AQ128+123/1000,""))</f>
        <v/>
      </c>
      <c r="AS128" t="str">
        <f t="shared" si="14"/>
        <v/>
      </c>
      <c r="AT128" t="str">
        <f>IF(AS128="","",IF(ISNUMBER(Roster!$D128),Roster!$D128&gt;=AP128,FALSE))</f>
        <v/>
      </c>
      <c r="AU128" t="str">
        <f t="shared" si="15"/>
        <v/>
      </c>
      <c r="AV128" t="str">
        <f ca="1">IF(123&gt;$AV$2,"",SMALL($AR$6:$AR$505,123))</f>
        <v/>
      </c>
      <c r="AW128" t="str">
        <f t="shared" ca="1" si="16"/>
        <v/>
      </c>
    </row>
    <row r="129" spans="2:49" x14ac:dyDescent="0.2">
      <c r="B129" s="32" t="str">
        <f>IF(AND(ISNUMBER(Roster!$B129),Setup!$B$20="Yes",ISNUMBER(Setup!$C$20)),EDATE(Roster!$B129,12*Setup!$C$20),"")</f>
        <v/>
      </c>
      <c r="C129" s="32" t="str">
        <f>IF(AND(ISNUMBER(Roster!$B129),Setup!$B$21="Yes",ISNUMBER(Setup!$C$21)),EDATE(Roster!$B129,12*Setup!$C$21),"")</f>
        <v/>
      </c>
      <c r="D129" s="32" t="str">
        <f>IF(AND(ISNUMBER(Roster!$B129),Setup!$B$22="Yes",ISNUMBER(Setup!$C$22)),EDATE(Roster!$B129,12*Setup!$C$22),"")</f>
        <v/>
      </c>
      <c r="E129" s="32" t="str">
        <f>IF(AND(ISNUMBER(Roster!$B129),Setup!$B$23="Yes",ISNUMBER(Setup!$C$23)),EDATE(Roster!$B129,12*Setup!$C$23),"")</f>
        <v/>
      </c>
      <c r="F129" s="32" t="str">
        <f>IF(AND(ISNUMBER(Roster!$B129),Setup!$B$24="Yes",ISNUMBER(Setup!$C$24)),EDATE(Roster!$B129,12*Setup!$C$24),"")</f>
        <v/>
      </c>
      <c r="G129" s="32" t="str">
        <f>IF(AND(ISNUMBER(Roster!$B129),Setup!$B$25="Yes",ISNUMBER(Setup!$C$25)),EDATE(Roster!$B129,12*Setup!$C$25),"")</f>
        <v/>
      </c>
      <c r="H129" s="32" t="str">
        <f>IF(AND(ISNUMBER(Roster!$B129),Setup!$B$26="Yes",ISNUMBER(Setup!$C$26)),EDATE(Roster!$B129,12*Setup!$C$26),"")</f>
        <v/>
      </c>
      <c r="I129" s="32" t="str">
        <f>IF(AND(ISNUMBER(Roster!$B129),Setup!$B$27="Yes",ISNUMBER(Setup!$C$27)),EDATE(Roster!$B129,12*Setup!$C$27),"")</f>
        <v/>
      </c>
      <c r="J129" s="32" t="str">
        <f>IF(AND(ISNUMBER(Roster!$B129),Setup!$B$28="Yes",ISNUMBER(Setup!$C$28)),EDATE(Roster!$B129,12*Setup!$C$28),"")</f>
        <v/>
      </c>
      <c r="K129" s="32" t="str">
        <f>IF(AND(ISNUMBER(Roster!$B129),Setup!$B$29="Yes",ISNUMBER(Setup!$C$29)),EDATE(Roster!$B129,12*Setup!$C$29),"")</f>
        <v/>
      </c>
      <c r="L129" s="32" t="str">
        <f>IF(AND(ISNUMBER(Roster!$B129),Setup!$B$30="Yes",ISNUMBER(Setup!$C$30)),EDATE(Roster!$B129,12*Setup!$C$30),"")</f>
        <v/>
      </c>
      <c r="M129" s="32" t="str">
        <f>IF(AND(ISNUMBER(Roster!$B129),Setup!$B$31="Yes",ISNUMBER(Setup!$C$31)),EDATE(Roster!$B129,12*Setup!$C$31),"")</f>
        <v/>
      </c>
      <c r="N129" s="32" t="str">
        <f>IF(AND(ISNUMBER(Roster!$B129),Setup!$B$32="Yes",ISNUMBER(Setup!$C$32)),EDATE(Roster!$B129,12*Setup!$C$32),"")</f>
        <v/>
      </c>
      <c r="O129" s="32" t="str">
        <f>IF(AND(ISNUMBER(Roster!$B129),Setup!$B$33="Yes",ISNUMBER(Setup!$C$33)),EDATE(Roster!$B129,12*Setup!$C$33),"")</f>
        <v/>
      </c>
      <c r="P129" s="32" t="str">
        <f>IF(AND(ISNUMBER(Roster!$B129),Setup!$B$34="Yes",ISNUMBER(Setup!$C$34)),EDATE(Roster!$B129,12*Setup!$C$34),"")</f>
        <v/>
      </c>
      <c r="R129" t="str">
        <f>IF(B129="","",IF(B129&lt;Setup!$C$5-Setup!$C$6,"",IF(IF(ISNUMBER(Roster!$D129),Setup!$C$20&lt;=Roster!$D129,FALSE),"",IF(OR(IF(Setup!$C$15&lt;=Setup!$C$16,AND(MONTH(B129)&gt;=Setup!$C$15,MONTH(B129)&lt;=Setup!$C$16),OR(MONTH(B129)&gt;=Setup!$C$15,MONTH(B129)&lt;=Setup!$C$16)),IF(Setup!$C$15&lt;=Setup!$C$16,AND(MONTH(WORKDAY(B129,-(Setup!$C$13+Setup!$G$20),Setup!$C$39:$C$50))&gt;=Setup!$C$15,MONTH(WORKDAY(B129,-(Setup!$C$13+Setup!$G$20),Setup!$C$39:$C$50))&lt;=Setup!$C$16),OR(MONTH(WORKDAY(B129,-(Setup!$C$13+Setup!$G$20),Setup!$C$39:$C$50))&gt;=Setup!$C$15,MONTH(WORKDAY(B129,-(Setup!$C$13+Setup!$G$20),Setup!$C$39:$C$50))&lt;=Setup!$C$16))),WORKDAY(B129,-(Setup!$C$13+Setup!$G$20+Setup!$C$14),Setup!$C$39:$C$50),WORKDAY(B129,-(Setup!$C$13+Setup!$G$20),Setup!$C$39:$C$50))+(124*100+1)/10000000)))</f>
        <v/>
      </c>
      <c r="S129" t="str">
        <f>IF(C129="","",IF(C129&lt;Setup!$C$5-Setup!$C$6,"",IF(IF(ISNUMBER(Roster!$D129),Setup!$C$21&lt;=Roster!$D129,FALSE),"",IF(OR(IF(Setup!$C$15&lt;=Setup!$C$16,AND(MONTH(C129)&gt;=Setup!$C$15,MONTH(C129)&lt;=Setup!$C$16),OR(MONTH(C129)&gt;=Setup!$C$15,MONTH(C129)&lt;=Setup!$C$16)),IF(Setup!$C$15&lt;=Setup!$C$16,AND(MONTH(WORKDAY(C129,-(Setup!$C$13+Setup!$G$21),Setup!$C$39:$C$50))&gt;=Setup!$C$15,MONTH(WORKDAY(C129,-(Setup!$C$13+Setup!$G$21),Setup!$C$39:$C$50))&lt;=Setup!$C$16),OR(MONTH(WORKDAY(C129,-(Setup!$C$13+Setup!$G$21),Setup!$C$39:$C$50))&gt;=Setup!$C$15,MONTH(WORKDAY(C129,-(Setup!$C$13+Setup!$G$21),Setup!$C$39:$C$50))&lt;=Setup!$C$16))),WORKDAY(C129,-(Setup!$C$13+Setup!$G$21+Setup!$C$14),Setup!$C$39:$C$50),WORKDAY(C129,-(Setup!$C$13+Setup!$G$21),Setup!$C$39:$C$50))+(124*100+2)/10000000)))</f>
        <v/>
      </c>
      <c r="T129" t="str">
        <f>IF(D129="","",IF(D129&lt;Setup!$C$5-Setup!$C$6,"",IF(IF(ISNUMBER(Roster!$D129),Setup!$C$22&lt;=Roster!$D129,FALSE),"",IF(OR(IF(Setup!$C$15&lt;=Setup!$C$16,AND(MONTH(D129)&gt;=Setup!$C$15,MONTH(D129)&lt;=Setup!$C$16),OR(MONTH(D129)&gt;=Setup!$C$15,MONTH(D129)&lt;=Setup!$C$16)),IF(Setup!$C$15&lt;=Setup!$C$16,AND(MONTH(WORKDAY(D129,-(Setup!$C$13+Setup!$G$22),Setup!$C$39:$C$50))&gt;=Setup!$C$15,MONTH(WORKDAY(D129,-(Setup!$C$13+Setup!$G$22),Setup!$C$39:$C$50))&lt;=Setup!$C$16),OR(MONTH(WORKDAY(D129,-(Setup!$C$13+Setup!$G$22),Setup!$C$39:$C$50))&gt;=Setup!$C$15,MONTH(WORKDAY(D129,-(Setup!$C$13+Setup!$G$22),Setup!$C$39:$C$50))&lt;=Setup!$C$16))),WORKDAY(D129,-(Setup!$C$13+Setup!$G$22+Setup!$C$14),Setup!$C$39:$C$50),WORKDAY(D129,-(Setup!$C$13+Setup!$G$22),Setup!$C$39:$C$50))+(124*100+3)/10000000)))</f>
        <v/>
      </c>
      <c r="U129" t="str">
        <f>IF(E129="","",IF(E129&lt;Setup!$C$5-Setup!$C$6,"",IF(IF(ISNUMBER(Roster!$D129),Setup!$C$23&lt;=Roster!$D129,FALSE),"",IF(OR(IF(Setup!$C$15&lt;=Setup!$C$16,AND(MONTH(E129)&gt;=Setup!$C$15,MONTH(E129)&lt;=Setup!$C$16),OR(MONTH(E129)&gt;=Setup!$C$15,MONTH(E129)&lt;=Setup!$C$16)),IF(Setup!$C$15&lt;=Setup!$C$16,AND(MONTH(WORKDAY(E129,-(Setup!$C$13+Setup!$G$23),Setup!$C$39:$C$50))&gt;=Setup!$C$15,MONTH(WORKDAY(E129,-(Setup!$C$13+Setup!$G$23),Setup!$C$39:$C$50))&lt;=Setup!$C$16),OR(MONTH(WORKDAY(E129,-(Setup!$C$13+Setup!$G$23),Setup!$C$39:$C$50))&gt;=Setup!$C$15,MONTH(WORKDAY(E129,-(Setup!$C$13+Setup!$G$23),Setup!$C$39:$C$50))&lt;=Setup!$C$16))),WORKDAY(E129,-(Setup!$C$13+Setup!$G$23+Setup!$C$14),Setup!$C$39:$C$50),WORKDAY(E129,-(Setup!$C$13+Setup!$G$23),Setup!$C$39:$C$50))+(124*100+4)/10000000)))</f>
        <v/>
      </c>
      <c r="V129" t="str">
        <f>IF(F129="","",IF(F129&lt;Setup!$C$5-Setup!$C$6,"",IF(IF(ISNUMBER(Roster!$D129),Setup!$C$24&lt;=Roster!$D129,FALSE),"",IF(OR(IF(Setup!$C$15&lt;=Setup!$C$16,AND(MONTH(F129)&gt;=Setup!$C$15,MONTH(F129)&lt;=Setup!$C$16),OR(MONTH(F129)&gt;=Setup!$C$15,MONTH(F129)&lt;=Setup!$C$16)),IF(Setup!$C$15&lt;=Setup!$C$16,AND(MONTH(WORKDAY(F129,-(Setup!$C$13+Setup!$G$24),Setup!$C$39:$C$50))&gt;=Setup!$C$15,MONTH(WORKDAY(F129,-(Setup!$C$13+Setup!$G$24),Setup!$C$39:$C$50))&lt;=Setup!$C$16),OR(MONTH(WORKDAY(F129,-(Setup!$C$13+Setup!$G$24),Setup!$C$39:$C$50))&gt;=Setup!$C$15,MONTH(WORKDAY(F129,-(Setup!$C$13+Setup!$G$24),Setup!$C$39:$C$50))&lt;=Setup!$C$16))),WORKDAY(F129,-(Setup!$C$13+Setup!$G$24+Setup!$C$14),Setup!$C$39:$C$50),WORKDAY(F129,-(Setup!$C$13+Setup!$G$24),Setup!$C$39:$C$50))+(124*100+5)/10000000)))</f>
        <v/>
      </c>
      <c r="W129" t="str">
        <f>IF(G129="","",IF(G129&lt;Setup!$C$5-Setup!$C$6,"",IF(IF(ISNUMBER(Roster!$D129),Setup!$C$25&lt;=Roster!$D129,FALSE),"",IF(OR(IF(Setup!$C$15&lt;=Setup!$C$16,AND(MONTH(G129)&gt;=Setup!$C$15,MONTH(G129)&lt;=Setup!$C$16),OR(MONTH(G129)&gt;=Setup!$C$15,MONTH(G129)&lt;=Setup!$C$16)),IF(Setup!$C$15&lt;=Setup!$C$16,AND(MONTH(WORKDAY(G129,-(Setup!$C$13+Setup!$G$25),Setup!$C$39:$C$50))&gt;=Setup!$C$15,MONTH(WORKDAY(G129,-(Setup!$C$13+Setup!$G$25),Setup!$C$39:$C$50))&lt;=Setup!$C$16),OR(MONTH(WORKDAY(G129,-(Setup!$C$13+Setup!$G$25),Setup!$C$39:$C$50))&gt;=Setup!$C$15,MONTH(WORKDAY(G129,-(Setup!$C$13+Setup!$G$25),Setup!$C$39:$C$50))&lt;=Setup!$C$16))),WORKDAY(G129,-(Setup!$C$13+Setup!$G$25+Setup!$C$14),Setup!$C$39:$C$50),WORKDAY(G129,-(Setup!$C$13+Setup!$G$25),Setup!$C$39:$C$50))+(124*100+6)/10000000)))</f>
        <v/>
      </c>
      <c r="X129" t="str">
        <f>IF(H129="","",IF(H129&lt;Setup!$C$5-Setup!$C$6,"",IF(IF(ISNUMBER(Roster!$D129),Setup!$C$26&lt;=Roster!$D129,FALSE),"",IF(OR(IF(Setup!$C$15&lt;=Setup!$C$16,AND(MONTH(H129)&gt;=Setup!$C$15,MONTH(H129)&lt;=Setup!$C$16),OR(MONTH(H129)&gt;=Setup!$C$15,MONTH(H129)&lt;=Setup!$C$16)),IF(Setup!$C$15&lt;=Setup!$C$16,AND(MONTH(WORKDAY(H129,-(Setup!$C$13+Setup!$G$26),Setup!$C$39:$C$50))&gt;=Setup!$C$15,MONTH(WORKDAY(H129,-(Setup!$C$13+Setup!$G$26),Setup!$C$39:$C$50))&lt;=Setup!$C$16),OR(MONTH(WORKDAY(H129,-(Setup!$C$13+Setup!$G$26),Setup!$C$39:$C$50))&gt;=Setup!$C$15,MONTH(WORKDAY(H129,-(Setup!$C$13+Setup!$G$26),Setup!$C$39:$C$50))&lt;=Setup!$C$16))),WORKDAY(H129,-(Setup!$C$13+Setup!$G$26+Setup!$C$14),Setup!$C$39:$C$50),WORKDAY(H129,-(Setup!$C$13+Setup!$G$26),Setup!$C$39:$C$50))+(124*100+7)/10000000)))</f>
        <v/>
      </c>
      <c r="Y129" t="str">
        <f>IF(I129="","",IF(I129&lt;Setup!$C$5-Setup!$C$6,"",IF(IF(ISNUMBER(Roster!$D129),Setup!$C$27&lt;=Roster!$D129,FALSE),"",IF(OR(IF(Setup!$C$15&lt;=Setup!$C$16,AND(MONTH(I129)&gt;=Setup!$C$15,MONTH(I129)&lt;=Setup!$C$16),OR(MONTH(I129)&gt;=Setup!$C$15,MONTH(I129)&lt;=Setup!$C$16)),IF(Setup!$C$15&lt;=Setup!$C$16,AND(MONTH(WORKDAY(I129,-(Setup!$C$13+Setup!$G$27),Setup!$C$39:$C$50))&gt;=Setup!$C$15,MONTH(WORKDAY(I129,-(Setup!$C$13+Setup!$G$27),Setup!$C$39:$C$50))&lt;=Setup!$C$16),OR(MONTH(WORKDAY(I129,-(Setup!$C$13+Setup!$G$27),Setup!$C$39:$C$50))&gt;=Setup!$C$15,MONTH(WORKDAY(I129,-(Setup!$C$13+Setup!$G$27),Setup!$C$39:$C$50))&lt;=Setup!$C$16))),WORKDAY(I129,-(Setup!$C$13+Setup!$G$27+Setup!$C$14),Setup!$C$39:$C$50),WORKDAY(I129,-(Setup!$C$13+Setup!$G$27),Setup!$C$39:$C$50))+(124*100+8)/10000000)))</f>
        <v/>
      </c>
      <c r="Z129" t="str">
        <f>IF(J129="","",IF(J129&lt;Setup!$C$5-Setup!$C$6,"",IF(IF(ISNUMBER(Roster!$D129),Setup!$C$28&lt;=Roster!$D129,FALSE),"",IF(OR(IF(Setup!$C$15&lt;=Setup!$C$16,AND(MONTH(J129)&gt;=Setup!$C$15,MONTH(J129)&lt;=Setup!$C$16),OR(MONTH(J129)&gt;=Setup!$C$15,MONTH(J129)&lt;=Setup!$C$16)),IF(Setup!$C$15&lt;=Setup!$C$16,AND(MONTH(WORKDAY(J129,-(Setup!$C$13+Setup!$G$28),Setup!$C$39:$C$50))&gt;=Setup!$C$15,MONTH(WORKDAY(J129,-(Setup!$C$13+Setup!$G$28),Setup!$C$39:$C$50))&lt;=Setup!$C$16),OR(MONTH(WORKDAY(J129,-(Setup!$C$13+Setup!$G$28),Setup!$C$39:$C$50))&gt;=Setup!$C$15,MONTH(WORKDAY(J129,-(Setup!$C$13+Setup!$G$28),Setup!$C$39:$C$50))&lt;=Setup!$C$16))),WORKDAY(J129,-(Setup!$C$13+Setup!$G$28+Setup!$C$14),Setup!$C$39:$C$50),WORKDAY(J129,-(Setup!$C$13+Setup!$G$28),Setup!$C$39:$C$50))+(124*100+9)/10000000)))</f>
        <v/>
      </c>
      <c r="AA129" t="str">
        <f>IF(K129="","",IF(K129&lt;Setup!$C$5-Setup!$C$6,"",IF(IF(ISNUMBER(Roster!$D129),Setup!$C$29&lt;=Roster!$D129,FALSE),"",IF(OR(IF(Setup!$C$15&lt;=Setup!$C$16,AND(MONTH(K129)&gt;=Setup!$C$15,MONTH(K129)&lt;=Setup!$C$16),OR(MONTH(K129)&gt;=Setup!$C$15,MONTH(K129)&lt;=Setup!$C$16)),IF(Setup!$C$15&lt;=Setup!$C$16,AND(MONTH(WORKDAY(K129,-(Setup!$C$13+Setup!$G$29),Setup!$C$39:$C$50))&gt;=Setup!$C$15,MONTH(WORKDAY(K129,-(Setup!$C$13+Setup!$G$29),Setup!$C$39:$C$50))&lt;=Setup!$C$16),OR(MONTH(WORKDAY(K129,-(Setup!$C$13+Setup!$G$29),Setup!$C$39:$C$50))&gt;=Setup!$C$15,MONTH(WORKDAY(K129,-(Setup!$C$13+Setup!$G$29),Setup!$C$39:$C$50))&lt;=Setup!$C$16))),WORKDAY(K129,-(Setup!$C$13+Setup!$G$29+Setup!$C$14),Setup!$C$39:$C$50),WORKDAY(K129,-(Setup!$C$13+Setup!$G$29),Setup!$C$39:$C$50))+(124*100+10)/10000000)))</f>
        <v/>
      </c>
      <c r="AB129" t="str">
        <f>IF(L129="","",IF(L129&lt;Setup!$C$5-Setup!$C$6,"",IF(IF(ISNUMBER(Roster!$D129),Setup!$C$30&lt;=Roster!$D129,FALSE),"",IF(OR(IF(Setup!$C$15&lt;=Setup!$C$16,AND(MONTH(L129)&gt;=Setup!$C$15,MONTH(L129)&lt;=Setup!$C$16),OR(MONTH(L129)&gt;=Setup!$C$15,MONTH(L129)&lt;=Setup!$C$16)),IF(Setup!$C$15&lt;=Setup!$C$16,AND(MONTH(WORKDAY(L129,-(Setup!$C$13+Setup!$G$30),Setup!$C$39:$C$50))&gt;=Setup!$C$15,MONTH(WORKDAY(L129,-(Setup!$C$13+Setup!$G$30),Setup!$C$39:$C$50))&lt;=Setup!$C$16),OR(MONTH(WORKDAY(L129,-(Setup!$C$13+Setup!$G$30),Setup!$C$39:$C$50))&gt;=Setup!$C$15,MONTH(WORKDAY(L129,-(Setup!$C$13+Setup!$G$30),Setup!$C$39:$C$50))&lt;=Setup!$C$16))),WORKDAY(L129,-(Setup!$C$13+Setup!$G$30+Setup!$C$14),Setup!$C$39:$C$50),WORKDAY(L129,-(Setup!$C$13+Setup!$G$30),Setup!$C$39:$C$50))+(124*100+11)/10000000)))</f>
        <v/>
      </c>
      <c r="AC129" t="str">
        <f>IF(M129="","",IF(M129&lt;Setup!$C$5-Setup!$C$6,"",IF(IF(ISNUMBER(Roster!$D129),Setup!$C$31&lt;=Roster!$D129,FALSE),"",IF(OR(IF(Setup!$C$15&lt;=Setup!$C$16,AND(MONTH(M129)&gt;=Setup!$C$15,MONTH(M129)&lt;=Setup!$C$16),OR(MONTH(M129)&gt;=Setup!$C$15,MONTH(M129)&lt;=Setup!$C$16)),IF(Setup!$C$15&lt;=Setup!$C$16,AND(MONTH(WORKDAY(M129,-(Setup!$C$13+Setup!$G$31),Setup!$C$39:$C$50))&gt;=Setup!$C$15,MONTH(WORKDAY(M129,-(Setup!$C$13+Setup!$G$31),Setup!$C$39:$C$50))&lt;=Setup!$C$16),OR(MONTH(WORKDAY(M129,-(Setup!$C$13+Setup!$G$31),Setup!$C$39:$C$50))&gt;=Setup!$C$15,MONTH(WORKDAY(M129,-(Setup!$C$13+Setup!$G$31),Setup!$C$39:$C$50))&lt;=Setup!$C$16))),WORKDAY(M129,-(Setup!$C$13+Setup!$G$31+Setup!$C$14),Setup!$C$39:$C$50),WORKDAY(M129,-(Setup!$C$13+Setup!$G$31),Setup!$C$39:$C$50))+(124*100+12)/10000000)))</f>
        <v/>
      </c>
      <c r="AD129" t="str">
        <f>IF(N129="","",IF(N129&lt;Setup!$C$5-Setup!$C$6,"",IF(IF(ISNUMBER(Roster!$D129),Setup!$C$32&lt;=Roster!$D129,FALSE),"",IF(OR(IF(Setup!$C$15&lt;=Setup!$C$16,AND(MONTH(N129)&gt;=Setup!$C$15,MONTH(N129)&lt;=Setup!$C$16),OR(MONTH(N129)&gt;=Setup!$C$15,MONTH(N129)&lt;=Setup!$C$16)),IF(Setup!$C$15&lt;=Setup!$C$16,AND(MONTH(WORKDAY(N129,-(Setup!$C$13+Setup!$G$32),Setup!$C$39:$C$50))&gt;=Setup!$C$15,MONTH(WORKDAY(N129,-(Setup!$C$13+Setup!$G$32),Setup!$C$39:$C$50))&lt;=Setup!$C$16),OR(MONTH(WORKDAY(N129,-(Setup!$C$13+Setup!$G$32),Setup!$C$39:$C$50))&gt;=Setup!$C$15,MONTH(WORKDAY(N129,-(Setup!$C$13+Setup!$G$32),Setup!$C$39:$C$50))&lt;=Setup!$C$16))),WORKDAY(N129,-(Setup!$C$13+Setup!$G$32+Setup!$C$14),Setup!$C$39:$C$50),WORKDAY(N129,-(Setup!$C$13+Setup!$G$32),Setup!$C$39:$C$50))+(124*100+13)/10000000)))</f>
        <v/>
      </c>
      <c r="AE129" t="str">
        <f>IF(O129="","",IF(O129&lt;Setup!$C$5-Setup!$C$6,"",IF(IF(ISNUMBER(Roster!$D129),Setup!$C$33&lt;=Roster!$D129,FALSE),"",IF(OR(IF(Setup!$C$15&lt;=Setup!$C$16,AND(MONTH(O129)&gt;=Setup!$C$15,MONTH(O129)&lt;=Setup!$C$16),OR(MONTH(O129)&gt;=Setup!$C$15,MONTH(O129)&lt;=Setup!$C$16)),IF(Setup!$C$15&lt;=Setup!$C$16,AND(MONTH(WORKDAY(O129,-(Setup!$C$13+Setup!$G$33),Setup!$C$39:$C$50))&gt;=Setup!$C$15,MONTH(WORKDAY(O129,-(Setup!$C$13+Setup!$G$33),Setup!$C$39:$C$50))&lt;=Setup!$C$16),OR(MONTH(WORKDAY(O129,-(Setup!$C$13+Setup!$G$33),Setup!$C$39:$C$50))&gt;=Setup!$C$15,MONTH(WORKDAY(O129,-(Setup!$C$13+Setup!$G$33),Setup!$C$39:$C$50))&lt;=Setup!$C$16))),WORKDAY(O129,-(Setup!$C$13+Setup!$G$33+Setup!$C$14),Setup!$C$39:$C$50),WORKDAY(O129,-(Setup!$C$13+Setup!$G$33),Setup!$C$39:$C$50))+(124*100+14)/10000000)))</f>
        <v/>
      </c>
      <c r="AF129" t="str">
        <f>IF(P129="","",IF(P129&lt;Setup!$C$5-Setup!$C$6,"",IF(IF(ISNUMBER(Roster!$D129),Setup!$C$34&lt;=Roster!$D129,FALSE),"",IF(OR(IF(Setup!$C$15&lt;=Setup!$C$16,AND(MONTH(P129)&gt;=Setup!$C$15,MONTH(P129)&lt;=Setup!$C$16),OR(MONTH(P129)&gt;=Setup!$C$15,MONTH(P129)&lt;=Setup!$C$16)),IF(Setup!$C$15&lt;=Setup!$C$16,AND(MONTH(WORKDAY(P129,-(Setup!$C$13+Setup!$G$34),Setup!$C$39:$C$50))&gt;=Setup!$C$15,MONTH(WORKDAY(P129,-(Setup!$C$13+Setup!$G$34),Setup!$C$39:$C$50))&lt;=Setup!$C$16),OR(MONTH(WORKDAY(P129,-(Setup!$C$13+Setup!$G$34),Setup!$C$39:$C$50))&gt;=Setup!$C$15,MONTH(WORKDAY(P129,-(Setup!$C$13+Setup!$G$34),Setup!$C$39:$C$50))&lt;=Setup!$C$16))),WORKDAY(P129,-(Setup!$C$13+Setup!$G$34+Setup!$C$14),Setup!$C$39:$C$50),WORKDAY(P129,-(Setup!$C$13+Setup!$G$34),Setup!$C$39:$C$50))+(124*100+15)/10000000)))</f>
        <v/>
      </c>
      <c r="AH129" t="str">
        <f t="shared" si="9"/>
        <v/>
      </c>
      <c r="AI129" t="str">
        <f t="shared" si="10"/>
        <v/>
      </c>
      <c r="AK129" t="str">
        <f ca="1">IF(124&gt;$AK$2,"",SMALL($R$6:$AF$505,124))</f>
        <v/>
      </c>
      <c r="AL129" t="str">
        <f t="shared" ca="1" si="11"/>
        <v/>
      </c>
      <c r="AM129" t="str">
        <f t="shared" ca="1" si="12"/>
        <v/>
      </c>
      <c r="AN129" t="str">
        <f t="shared" ca="1" si="13"/>
        <v/>
      </c>
      <c r="AP129" t="str">
        <f>IF(ISNUMBER(Roster!$B129),MAX(1,YEAR(Setup!$C$5)-YEAR(Roster!$B129)+IF(EDATE(Roster!$B129,12*(YEAR(Setup!$C$5)-YEAR(Roster!$B129)))&lt;Setup!$C$5,1,0)),"")</f>
        <v/>
      </c>
      <c r="AQ129" s="32" t="str">
        <f>IF(AP129="","",EDATE(Roster!$B129,12*AP129))</f>
        <v/>
      </c>
      <c r="AR129" t="str">
        <f>IF(AQ129="","",IF(AQ129&lt;DATE(YEAR(Setup!$C$5)+1,MONTH(Setup!$C$5),DAY(Setup!$C$5)),AQ129+124/1000,""))</f>
        <v/>
      </c>
      <c r="AS129" t="str">
        <f t="shared" si="14"/>
        <v/>
      </c>
      <c r="AT129" t="str">
        <f>IF(AS129="","",IF(ISNUMBER(Roster!$D129),Roster!$D129&gt;=AP129,FALSE))</f>
        <v/>
      </c>
      <c r="AU129" t="str">
        <f t="shared" si="15"/>
        <v/>
      </c>
      <c r="AV129" t="str">
        <f ca="1">IF(124&gt;$AV$2,"",SMALL($AR$6:$AR$505,124))</f>
        <v/>
      </c>
      <c r="AW129" t="str">
        <f t="shared" ca="1" si="16"/>
        <v/>
      </c>
    </row>
    <row r="130" spans="2:49" x14ac:dyDescent="0.2">
      <c r="B130" s="32" t="str">
        <f>IF(AND(ISNUMBER(Roster!$B130),Setup!$B$20="Yes",ISNUMBER(Setup!$C$20)),EDATE(Roster!$B130,12*Setup!$C$20),"")</f>
        <v/>
      </c>
      <c r="C130" s="32" t="str">
        <f>IF(AND(ISNUMBER(Roster!$B130),Setup!$B$21="Yes",ISNUMBER(Setup!$C$21)),EDATE(Roster!$B130,12*Setup!$C$21),"")</f>
        <v/>
      </c>
      <c r="D130" s="32" t="str">
        <f>IF(AND(ISNUMBER(Roster!$B130),Setup!$B$22="Yes",ISNUMBER(Setup!$C$22)),EDATE(Roster!$B130,12*Setup!$C$22),"")</f>
        <v/>
      </c>
      <c r="E130" s="32" t="str">
        <f>IF(AND(ISNUMBER(Roster!$B130),Setup!$B$23="Yes",ISNUMBER(Setup!$C$23)),EDATE(Roster!$B130,12*Setup!$C$23),"")</f>
        <v/>
      </c>
      <c r="F130" s="32" t="str">
        <f>IF(AND(ISNUMBER(Roster!$B130),Setup!$B$24="Yes",ISNUMBER(Setup!$C$24)),EDATE(Roster!$B130,12*Setup!$C$24),"")</f>
        <v/>
      </c>
      <c r="G130" s="32" t="str">
        <f>IF(AND(ISNUMBER(Roster!$B130),Setup!$B$25="Yes",ISNUMBER(Setup!$C$25)),EDATE(Roster!$B130,12*Setup!$C$25),"")</f>
        <v/>
      </c>
      <c r="H130" s="32" t="str">
        <f>IF(AND(ISNUMBER(Roster!$B130),Setup!$B$26="Yes",ISNUMBER(Setup!$C$26)),EDATE(Roster!$B130,12*Setup!$C$26),"")</f>
        <v/>
      </c>
      <c r="I130" s="32" t="str">
        <f>IF(AND(ISNUMBER(Roster!$B130),Setup!$B$27="Yes",ISNUMBER(Setup!$C$27)),EDATE(Roster!$B130,12*Setup!$C$27),"")</f>
        <v/>
      </c>
      <c r="J130" s="32" t="str">
        <f>IF(AND(ISNUMBER(Roster!$B130),Setup!$B$28="Yes",ISNUMBER(Setup!$C$28)),EDATE(Roster!$B130,12*Setup!$C$28),"")</f>
        <v/>
      </c>
      <c r="K130" s="32" t="str">
        <f>IF(AND(ISNUMBER(Roster!$B130),Setup!$B$29="Yes",ISNUMBER(Setup!$C$29)),EDATE(Roster!$B130,12*Setup!$C$29),"")</f>
        <v/>
      </c>
      <c r="L130" s="32" t="str">
        <f>IF(AND(ISNUMBER(Roster!$B130),Setup!$B$30="Yes",ISNUMBER(Setup!$C$30)),EDATE(Roster!$B130,12*Setup!$C$30),"")</f>
        <v/>
      </c>
      <c r="M130" s="32" t="str">
        <f>IF(AND(ISNUMBER(Roster!$B130),Setup!$B$31="Yes",ISNUMBER(Setup!$C$31)),EDATE(Roster!$B130,12*Setup!$C$31),"")</f>
        <v/>
      </c>
      <c r="N130" s="32" t="str">
        <f>IF(AND(ISNUMBER(Roster!$B130),Setup!$B$32="Yes",ISNUMBER(Setup!$C$32)),EDATE(Roster!$B130,12*Setup!$C$32),"")</f>
        <v/>
      </c>
      <c r="O130" s="32" t="str">
        <f>IF(AND(ISNUMBER(Roster!$B130),Setup!$B$33="Yes",ISNUMBER(Setup!$C$33)),EDATE(Roster!$B130,12*Setup!$C$33),"")</f>
        <v/>
      </c>
      <c r="P130" s="32" t="str">
        <f>IF(AND(ISNUMBER(Roster!$B130),Setup!$B$34="Yes",ISNUMBER(Setup!$C$34)),EDATE(Roster!$B130,12*Setup!$C$34),"")</f>
        <v/>
      </c>
      <c r="R130" t="str">
        <f>IF(B130="","",IF(B130&lt;Setup!$C$5-Setup!$C$6,"",IF(IF(ISNUMBER(Roster!$D130),Setup!$C$20&lt;=Roster!$D130,FALSE),"",IF(OR(IF(Setup!$C$15&lt;=Setup!$C$16,AND(MONTH(B130)&gt;=Setup!$C$15,MONTH(B130)&lt;=Setup!$C$16),OR(MONTH(B130)&gt;=Setup!$C$15,MONTH(B130)&lt;=Setup!$C$16)),IF(Setup!$C$15&lt;=Setup!$C$16,AND(MONTH(WORKDAY(B130,-(Setup!$C$13+Setup!$G$20),Setup!$C$39:$C$50))&gt;=Setup!$C$15,MONTH(WORKDAY(B130,-(Setup!$C$13+Setup!$G$20),Setup!$C$39:$C$50))&lt;=Setup!$C$16),OR(MONTH(WORKDAY(B130,-(Setup!$C$13+Setup!$G$20),Setup!$C$39:$C$50))&gt;=Setup!$C$15,MONTH(WORKDAY(B130,-(Setup!$C$13+Setup!$G$20),Setup!$C$39:$C$50))&lt;=Setup!$C$16))),WORKDAY(B130,-(Setup!$C$13+Setup!$G$20+Setup!$C$14),Setup!$C$39:$C$50),WORKDAY(B130,-(Setup!$C$13+Setup!$G$20),Setup!$C$39:$C$50))+(125*100+1)/10000000)))</f>
        <v/>
      </c>
      <c r="S130" t="str">
        <f>IF(C130="","",IF(C130&lt;Setup!$C$5-Setup!$C$6,"",IF(IF(ISNUMBER(Roster!$D130),Setup!$C$21&lt;=Roster!$D130,FALSE),"",IF(OR(IF(Setup!$C$15&lt;=Setup!$C$16,AND(MONTH(C130)&gt;=Setup!$C$15,MONTH(C130)&lt;=Setup!$C$16),OR(MONTH(C130)&gt;=Setup!$C$15,MONTH(C130)&lt;=Setup!$C$16)),IF(Setup!$C$15&lt;=Setup!$C$16,AND(MONTH(WORKDAY(C130,-(Setup!$C$13+Setup!$G$21),Setup!$C$39:$C$50))&gt;=Setup!$C$15,MONTH(WORKDAY(C130,-(Setup!$C$13+Setup!$G$21),Setup!$C$39:$C$50))&lt;=Setup!$C$16),OR(MONTH(WORKDAY(C130,-(Setup!$C$13+Setup!$G$21),Setup!$C$39:$C$50))&gt;=Setup!$C$15,MONTH(WORKDAY(C130,-(Setup!$C$13+Setup!$G$21),Setup!$C$39:$C$50))&lt;=Setup!$C$16))),WORKDAY(C130,-(Setup!$C$13+Setup!$G$21+Setup!$C$14),Setup!$C$39:$C$50),WORKDAY(C130,-(Setup!$C$13+Setup!$G$21),Setup!$C$39:$C$50))+(125*100+2)/10000000)))</f>
        <v/>
      </c>
      <c r="T130" t="str">
        <f>IF(D130="","",IF(D130&lt;Setup!$C$5-Setup!$C$6,"",IF(IF(ISNUMBER(Roster!$D130),Setup!$C$22&lt;=Roster!$D130,FALSE),"",IF(OR(IF(Setup!$C$15&lt;=Setup!$C$16,AND(MONTH(D130)&gt;=Setup!$C$15,MONTH(D130)&lt;=Setup!$C$16),OR(MONTH(D130)&gt;=Setup!$C$15,MONTH(D130)&lt;=Setup!$C$16)),IF(Setup!$C$15&lt;=Setup!$C$16,AND(MONTH(WORKDAY(D130,-(Setup!$C$13+Setup!$G$22),Setup!$C$39:$C$50))&gt;=Setup!$C$15,MONTH(WORKDAY(D130,-(Setup!$C$13+Setup!$G$22),Setup!$C$39:$C$50))&lt;=Setup!$C$16),OR(MONTH(WORKDAY(D130,-(Setup!$C$13+Setup!$G$22),Setup!$C$39:$C$50))&gt;=Setup!$C$15,MONTH(WORKDAY(D130,-(Setup!$C$13+Setup!$G$22),Setup!$C$39:$C$50))&lt;=Setup!$C$16))),WORKDAY(D130,-(Setup!$C$13+Setup!$G$22+Setup!$C$14),Setup!$C$39:$C$50),WORKDAY(D130,-(Setup!$C$13+Setup!$G$22),Setup!$C$39:$C$50))+(125*100+3)/10000000)))</f>
        <v/>
      </c>
      <c r="U130" t="str">
        <f>IF(E130="","",IF(E130&lt;Setup!$C$5-Setup!$C$6,"",IF(IF(ISNUMBER(Roster!$D130),Setup!$C$23&lt;=Roster!$D130,FALSE),"",IF(OR(IF(Setup!$C$15&lt;=Setup!$C$16,AND(MONTH(E130)&gt;=Setup!$C$15,MONTH(E130)&lt;=Setup!$C$16),OR(MONTH(E130)&gt;=Setup!$C$15,MONTH(E130)&lt;=Setup!$C$16)),IF(Setup!$C$15&lt;=Setup!$C$16,AND(MONTH(WORKDAY(E130,-(Setup!$C$13+Setup!$G$23),Setup!$C$39:$C$50))&gt;=Setup!$C$15,MONTH(WORKDAY(E130,-(Setup!$C$13+Setup!$G$23),Setup!$C$39:$C$50))&lt;=Setup!$C$16),OR(MONTH(WORKDAY(E130,-(Setup!$C$13+Setup!$G$23),Setup!$C$39:$C$50))&gt;=Setup!$C$15,MONTH(WORKDAY(E130,-(Setup!$C$13+Setup!$G$23),Setup!$C$39:$C$50))&lt;=Setup!$C$16))),WORKDAY(E130,-(Setup!$C$13+Setup!$G$23+Setup!$C$14),Setup!$C$39:$C$50),WORKDAY(E130,-(Setup!$C$13+Setup!$G$23),Setup!$C$39:$C$50))+(125*100+4)/10000000)))</f>
        <v/>
      </c>
      <c r="V130" t="str">
        <f>IF(F130="","",IF(F130&lt;Setup!$C$5-Setup!$C$6,"",IF(IF(ISNUMBER(Roster!$D130),Setup!$C$24&lt;=Roster!$D130,FALSE),"",IF(OR(IF(Setup!$C$15&lt;=Setup!$C$16,AND(MONTH(F130)&gt;=Setup!$C$15,MONTH(F130)&lt;=Setup!$C$16),OR(MONTH(F130)&gt;=Setup!$C$15,MONTH(F130)&lt;=Setup!$C$16)),IF(Setup!$C$15&lt;=Setup!$C$16,AND(MONTH(WORKDAY(F130,-(Setup!$C$13+Setup!$G$24),Setup!$C$39:$C$50))&gt;=Setup!$C$15,MONTH(WORKDAY(F130,-(Setup!$C$13+Setup!$G$24),Setup!$C$39:$C$50))&lt;=Setup!$C$16),OR(MONTH(WORKDAY(F130,-(Setup!$C$13+Setup!$G$24),Setup!$C$39:$C$50))&gt;=Setup!$C$15,MONTH(WORKDAY(F130,-(Setup!$C$13+Setup!$G$24),Setup!$C$39:$C$50))&lt;=Setup!$C$16))),WORKDAY(F130,-(Setup!$C$13+Setup!$G$24+Setup!$C$14),Setup!$C$39:$C$50),WORKDAY(F130,-(Setup!$C$13+Setup!$G$24),Setup!$C$39:$C$50))+(125*100+5)/10000000)))</f>
        <v/>
      </c>
      <c r="W130" t="str">
        <f>IF(G130="","",IF(G130&lt;Setup!$C$5-Setup!$C$6,"",IF(IF(ISNUMBER(Roster!$D130),Setup!$C$25&lt;=Roster!$D130,FALSE),"",IF(OR(IF(Setup!$C$15&lt;=Setup!$C$16,AND(MONTH(G130)&gt;=Setup!$C$15,MONTH(G130)&lt;=Setup!$C$16),OR(MONTH(G130)&gt;=Setup!$C$15,MONTH(G130)&lt;=Setup!$C$16)),IF(Setup!$C$15&lt;=Setup!$C$16,AND(MONTH(WORKDAY(G130,-(Setup!$C$13+Setup!$G$25),Setup!$C$39:$C$50))&gt;=Setup!$C$15,MONTH(WORKDAY(G130,-(Setup!$C$13+Setup!$G$25),Setup!$C$39:$C$50))&lt;=Setup!$C$16),OR(MONTH(WORKDAY(G130,-(Setup!$C$13+Setup!$G$25),Setup!$C$39:$C$50))&gt;=Setup!$C$15,MONTH(WORKDAY(G130,-(Setup!$C$13+Setup!$G$25),Setup!$C$39:$C$50))&lt;=Setup!$C$16))),WORKDAY(G130,-(Setup!$C$13+Setup!$G$25+Setup!$C$14),Setup!$C$39:$C$50),WORKDAY(G130,-(Setup!$C$13+Setup!$G$25),Setup!$C$39:$C$50))+(125*100+6)/10000000)))</f>
        <v/>
      </c>
      <c r="X130" t="str">
        <f>IF(H130="","",IF(H130&lt;Setup!$C$5-Setup!$C$6,"",IF(IF(ISNUMBER(Roster!$D130),Setup!$C$26&lt;=Roster!$D130,FALSE),"",IF(OR(IF(Setup!$C$15&lt;=Setup!$C$16,AND(MONTH(H130)&gt;=Setup!$C$15,MONTH(H130)&lt;=Setup!$C$16),OR(MONTH(H130)&gt;=Setup!$C$15,MONTH(H130)&lt;=Setup!$C$16)),IF(Setup!$C$15&lt;=Setup!$C$16,AND(MONTH(WORKDAY(H130,-(Setup!$C$13+Setup!$G$26),Setup!$C$39:$C$50))&gt;=Setup!$C$15,MONTH(WORKDAY(H130,-(Setup!$C$13+Setup!$G$26),Setup!$C$39:$C$50))&lt;=Setup!$C$16),OR(MONTH(WORKDAY(H130,-(Setup!$C$13+Setup!$G$26),Setup!$C$39:$C$50))&gt;=Setup!$C$15,MONTH(WORKDAY(H130,-(Setup!$C$13+Setup!$G$26),Setup!$C$39:$C$50))&lt;=Setup!$C$16))),WORKDAY(H130,-(Setup!$C$13+Setup!$G$26+Setup!$C$14),Setup!$C$39:$C$50),WORKDAY(H130,-(Setup!$C$13+Setup!$G$26),Setup!$C$39:$C$50))+(125*100+7)/10000000)))</f>
        <v/>
      </c>
      <c r="Y130" t="str">
        <f>IF(I130="","",IF(I130&lt;Setup!$C$5-Setup!$C$6,"",IF(IF(ISNUMBER(Roster!$D130),Setup!$C$27&lt;=Roster!$D130,FALSE),"",IF(OR(IF(Setup!$C$15&lt;=Setup!$C$16,AND(MONTH(I130)&gt;=Setup!$C$15,MONTH(I130)&lt;=Setup!$C$16),OR(MONTH(I130)&gt;=Setup!$C$15,MONTH(I130)&lt;=Setup!$C$16)),IF(Setup!$C$15&lt;=Setup!$C$16,AND(MONTH(WORKDAY(I130,-(Setup!$C$13+Setup!$G$27),Setup!$C$39:$C$50))&gt;=Setup!$C$15,MONTH(WORKDAY(I130,-(Setup!$C$13+Setup!$G$27),Setup!$C$39:$C$50))&lt;=Setup!$C$16),OR(MONTH(WORKDAY(I130,-(Setup!$C$13+Setup!$G$27),Setup!$C$39:$C$50))&gt;=Setup!$C$15,MONTH(WORKDAY(I130,-(Setup!$C$13+Setup!$G$27),Setup!$C$39:$C$50))&lt;=Setup!$C$16))),WORKDAY(I130,-(Setup!$C$13+Setup!$G$27+Setup!$C$14),Setup!$C$39:$C$50),WORKDAY(I130,-(Setup!$C$13+Setup!$G$27),Setup!$C$39:$C$50))+(125*100+8)/10000000)))</f>
        <v/>
      </c>
      <c r="Z130" t="str">
        <f>IF(J130="","",IF(J130&lt;Setup!$C$5-Setup!$C$6,"",IF(IF(ISNUMBER(Roster!$D130),Setup!$C$28&lt;=Roster!$D130,FALSE),"",IF(OR(IF(Setup!$C$15&lt;=Setup!$C$16,AND(MONTH(J130)&gt;=Setup!$C$15,MONTH(J130)&lt;=Setup!$C$16),OR(MONTH(J130)&gt;=Setup!$C$15,MONTH(J130)&lt;=Setup!$C$16)),IF(Setup!$C$15&lt;=Setup!$C$16,AND(MONTH(WORKDAY(J130,-(Setup!$C$13+Setup!$G$28),Setup!$C$39:$C$50))&gt;=Setup!$C$15,MONTH(WORKDAY(J130,-(Setup!$C$13+Setup!$G$28),Setup!$C$39:$C$50))&lt;=Setup!$C$16),OR(MONTH(WORKDAY(J130,-(Setup!$C$13+Setup!$G$28),Setup!$C$39:$C$50))&gt;=Setup!$C$15,MONTH(WORKDAY(J130,-(Setup!$C$13+Setup!$G$28),Setup!$C$39:$C$50))&lt;=Setup!$C$16))),WORKDAY(J130,-(Setup!$C$13+Setup!$G$28+Setup!$C$14),Setup!$C$39:$C$50),WORKDAY(J130,-(Setup!$C$13+Setup!$G$28),Setup!$C$39:$C$50))+(125*100+9)/10000000)))</f>
        <v/>
      </c>
      <c r="AA130" t="str">
        <f>IF(K130="","",IF(K130&lt;Setup!$C$5-Setup!$C$6,"",IF(IF(ISNUMBER(Roster!$D130),Setup!$C$29&lt;=Roster!$D130,FALSE),"",IF(OR(IF(Setup!$C$15&lt;=Setup!$C$16,AND(MONTH(K130)&gt;=Setup!$C$15,MONTH(K130)&lt;=Setup!$C$16),OR(MONTH(K130)&gt;=Setup!$C$15,MONTH(K130)&lt;=Setup!$C$16)),IF(Setup!$C$15&lt;=Setup!$C$16,AND(MONTH(WORKDAY(K130,-(Setup!$C$13+Setup!$G$29),Setup!$C$39:$C$50))&gt;=Setup!$C$15,MONTH(WORKDAY(K130,-(Setup!$C$13+Setup!$G$29),Setup!$C$39:$C$50))&lt;=Setup!$C$16),OR(MONTH(WORKDAY(K130,-(Setup!$C$13+Setup!$G$29),Setup!$C$39:$C$50))&gt;=Setup!$C$15,MONTH(WORKDAY(K130,-(Setup!$C$13+Setup!$G$29),Setup!$C$39:$C$50))&lt;=Setup!$C$16))),WORKDAY(K130,-(Setup!$C$13+Setup!$G$29+Setup!$C$14),Setup!$C$39:$C$50),WORKDAY(K130,-(Setup!$C$13+Setup!$G$29),Setup!$C$39:$C$50))+(125*100+10)/10000000)))</f>
        <v/>
      </c>
      <c r="AB130" t="str">
        <f>IF(L130="","",IF(L130&lt;Setup!$C$5-Setup!$C$6,"",IF(IF(ISNUMBER(Roster!$D130),Setup!$C$30&lt;=Roster!$D130,FALSE),"",IF(OR(IF(Setup!$C$15&lt;=Setup!$C$16,AND(MONTH(L130)&gt;=Setup!$C$15,MONTH(L130)&lt;=Setup!$C$16),OR(MONTH(L130)&gt;=Setup!$C$15,MONTH(L130)&lt;=Setup!$C$16)),IF(Setup!$C$15&lt;=Setup!$C$16,AND(MONTH(WORKDAY(L130,-(Setup!$C$13+Setup!$G$30),Setup!$C$39:$C$50))&gt;=Setup!$C$15,MONTH(WORKDAY(L130,-(Setup!$C$13+Setup!$G$30),Setup!$C$39:$C$50))&lt;=Setup!$C$16),OR(MONTH(WORKDAY(L130,-(Setup!$C$13+Setup!$G$30),Setup!$C$39:$C$50))&gt;=Setup!$C$15,MONTH(WORKDAY(L130,-(Setup!$C$13+Setup!$G$30),Setup!$C$39:$C$50))&lt;=Setup!$C$16))),WORKDAY(L130,-(Setup!$C$13+Setup!$G$30+Setup!$C$14),Setup!$C$39:$C$50),WORKDAY(L130,-(Setup!$C$13+Setup!$G$30),Setup!$C$39:$C$50))+(125*100+11)/10000000)))</f>
        <v/>
      </c>
      <c r="AC130" t="str">
        <f>IF(M130="","",IF(M130&lt;Setup!$C$5-Setup!$C$6,"",IF(IF(ISNUMBER(Roster!$D130),Setup!$C$31&lt;=Roster!$D130,FALSE),"",IF(OR(IF(Setup!$C$15&lt;=Setup!$C$16,AND(MONTH(M130)&gt;=Setup!$C$15,MONTH(M130)&lt;=Setup!$C$16),OR(MONTH(M130)&gt;=Setup!$C$15,MONTH(M130)&lt;=Setup!$C$16)),IF(Setup!$C$15&lt;=Setup!$C$16,AND(MONTH(WORKDAY(M130,-(Setup!$C$13+Setup!$G$31),Setup!$C$39:$C$50))&gt;=Setup!$C$15,MONTH(WORKDAY(M130,-(Setup!$C$13+Setup!$G$31),Setup!$C$39:$C$50))&lt;=Setup!$C$16),OR(MONTH(WORKDAY(M130,-(Setup!$C$13+Setup!$G$31),Setup!$C$39:$C$50))&gt;=Setup!$C$15,MONTH(WORKDAY(M130,-(Setup!$C$13+Setup!$G$31),Setup!$C$39:$C$50))&lt;=Setup!$C$16))),WORKDAY(M130,-(Setup!$C$13+Setup!$G$31+Setup!$C$14),Setup!$C$39:$C$50),WORKDAY(M130,-(Setup!$C$13+Setup!$G$31),Setup!$C$39:$C$50))+(125*100+12)/10000000)))</f>
        <v/>
      </c>
      <c r="AD130" t="str">
        <f>IF(N130="","",IF(N130&lt;Setup!$C$5-Setup!$C$6,"",IF(IF(ISNUMBER(Roster!$D130),Setup!$C$32&lt;=Roster!$D130,FALSE),"",IF(OR(IF(Setup!$C$15&lt;=Setup!$C$16,AND(MONTH(N130)&gt;=Setup!$C$15,MONTH(N130)&lt;=Setup!$C$16),OR(MONTH(N130)&gt;=Setup!$C$15,MONTH(N130)&lt;=Setup!$C$16)),IF(Setup!$C$15&lt;=Setup!$C$16,AND(MONTH(WORKDAY(N130,-(Setup!$C$13+Setup!$G$32),Setup!$C$39:$C$50))&gt;=Setup!$C$15,MONTH(WORKDAY(N130,-(Setup!$C$13+Setup!$G$32),Setup!$C$39:$C$50))&lt;=Setup!$C$16),OR(MONTH(WORKDAY(N130,-(Setup!$C$13+Setup!$G$32),Setup!$C$39:$C$50))&gt;=Setup!$C$15,MONTH(WORKDAY(N130,-(Setup!$C$13+Setup!$G$32),Setup!$C$39:$C$50))&lt;=Setup!$C$16))),WORKDAY(N130,-(Setup!$C$13+Setup!$G$32+Setup!$C$14),Setup!$C$39:$C$50),WORKDAY(N130,-(Setup!$C$13+Setup!$G$32),Setup!$C$39:$C$50))+(125*100+13)/10000000)))</f>
        <v/>
      </c>
      <c r="AE130" t="str">
        <f>IF(O130="","",IF(O130&lt;Setup!$C$5-Setup!$C$6,"",IF(IF(ISNUMBER(Roster!$D130),Setup!$C$33&lt;=Roster!$D130,FALSE),"",IF(OR(IF(Setup!$C$15&lt;=Setup!$C$16,AND(MONTH(O130)&gt;=Setup!$C$15,MONTH(O130)&lt;=Setup!$C$16),OR(MONTH(O130)&gt;=Setup!$C$15,MONTH(O130)&lt;=Setup!$C$16)),IF(Setup!$C$15&lt;=Setup!$C$16,AND(MONTH(WORKDAY(O130,-(Setup!$C$13+Setup!$G$33),Setup!$C$39:$C$50))&gt;=Setup!$C$15,MONTH(WORKDAY(O130,-(Setup!$C$13+Setup!$G$33),Setup!$C$39:$C$50))&lt;=Setup!$C$16),OR(MONTH(WORKDAY(O130,-(Setup!$C$13+Setup!$G$33),Setup!$C$39:$C$50))&gt;=Setup!$C$15,MONTH(WORKDAY(O130,-(Setup!$C$13+Setup!$G$33),Setup!$C$39:$C$50))&lt;=Setup!$C$16))),WORKDAY(O130,-(Setup!$C$13+Setup!$G$33+Setup!$C$14),Setup!$C$39:$C$50),WORKDAY(O130,-(Setup!$C$13+Setup!$G$33),Setup!$C$39:$C$50))+(125*100+14)/10000000)))</f>
        <v/>
      </c>
      <c r="AF130" t="str">
        <f>IF(P130="","",IF(P130&lt;Setup!$C$5-Setup!$C$6,"",IF(IF(ISNUMBER(Roster!$D130),Setup!$C$34&lt;=Roster!$D130,FALSE),"",IF(OR(IF(Setup!$C$15&lt;=Setup!$C$16,AND(MONTH(P130)&gt;=Setup!$C$15,MONTH(P130)&lt;=Setup!$C$16),OR(MONTH(P130)&gt;=Setup!$C$15,MONTH(P130)&lt;=Setup!$C$16)),IF(Setup!$C$15&lt;=Setup!$C$16,AND(MONTH(WORKDAY(P130,-(Setup!$C$13+Setup!$G$34),Setup!$C$39:$C$50))&gt;=Setup!$C$15,MONTH(WORKDAY(P130,-(Setup!$C$13+Setup!$G$34),Setup!$C$39:$C$50))&lt;=Setup!$C$16),OR(MONTH(WORKDAY(P130,-(Setup!$C$13+Setup!$G$34),Setup!$C$39:$C$50))&gt;=Setup!$C$15,MONTH(WORKDAY(P130,-(Setup!$C$13+Setup!$G$34),Setup!$C$39:$C$50))&lt;=Setup!$C$16))),WORKDAY(P130,-(Setup!$C$13+Setup!$G$34+Setup!$C$14),Setup!$C$39:$C$50),WORKDAY(P130,-(Setup!$C$13+Setup!$G$34),Setup!$C$39:$C$50))+(125*100+15)/10000000)))</f>
        <v/>
      </c>
      <c r="AH130" t="str">
        <f t="shared" si="9"/>
        <v/>
      </c>
      <c r="AI130" t="str">
        <f t="shared" si="10"/>
        <v/>
      </c>
      <c r="AK130" t="str">
        <f ca="1">IF(125&gt;$AK$2,"",SMALL($R$6:$AF$505,125))</f>
        <v/>
      </c>
      <c r="AL130" t="str">
        <f t="shared" ca="1" si="11"/>
        <v/>
      </c>
      <c r="AM130" t="str">
        <f t="shared" ca="1" si="12"/>
        <v/>
      </c>
      <c r="AN130" t="str">
        <f t="shared" ca="1" si="13"/>
        <v/>
      </c>
      <c r="AP130" t="str">
        <f>IF(ISNUMBER(Roster!$B130),MAX(1,YEAR(Setup!$C$5)-YEAR(Roster!$B130)+IF(EDATE(Roster!$B130,12*(YEAR(Setup!$C$5)-YEAR(Roster!$B130)))&lt;Setup!$C$5,1,0)),"")</f>
        <v/>
      </c>
      <c r="AQ130" s="32" t="str">
        <f>IF(AP130="","",EDATE(Roster!$B130,12*AP130))</f>
        <v/>
      </c>
      <c r="AR130" t="str">
        <f>IF(AQ130="","",IF(AQ130&lt;DATE(YEAR(Setup!$C$5)+1,MONTH(Setup!$C$5),DAY(Setup!$C$5)),AQ130+125/1000,""))</f>
        <v/>
      </c>
      <c r="AS130" t="str">
        <f t="shared" si="14"/>
        <v/>
      </c>
      <c r="AT130" t="str">
        <f>IF(AS130="","",IF(ISNUMBER(Roster!$D130),Roster!$D130&gt;=AP130,FALSE))</f>
        <v/>
      </c>
      <c r="AU130" t="str">
        <f t="shared" si="15"/>
        <v/>
      </c>
      <c r="AV130" t="str">
        <f ca="1">IF(125&gt;$AV$2,"",SMALL($AR$6:$AR$505,125))</f>
        <v/>
      </c>
      <c r="AW130" t="str">
        <f t="shared" ca="1" si="16"/>
        <v/>
      </c>
    </row>
    <row r="131" spans="2:49" x14ac:dyDescent="0.2">
      <c r="B131" s="32" t="str">
        <f>IF(AND(ISNUMBER(Roster!$B131),Setup!$B$20="Yes",ISNUMBER(Setup!$C$20)),EDATE(Roster!$B131,12*Setup!$C$20),"")</f>
        <v/>
      </c>
      <c r="C131" s="32" t="str">
        <f>IF(AND(ISNUMBER(Roster!$B131),Setup!$B$21="Yes",ISNUMBER(Setup!$C$21)),EDATE(Roster!$B131,12*Setup!$C$21),"")</f>
        <v/>
      </c>
      <c r="D131" s="32" t="str">
        <f>IF(AND(ISNUMBER(Roster!$B131),Setup!$B$22="Yes",ISNUMBER(Setup!$C$22)),EDATE(Roster!$B131,12*Setup!$C$22),"")</f>
        <v/>
      </c>
      <c r="E131" s="32" t="str">
        <f>IF(AND(ISNUMBER(Roster!$B131),Setup!$B$23="Yes",ISNUMBER(Setup!$C$23)),EDATE(Roster!$B131,12*Setup!$C$23),"")</f>
        <v/>
      </c>
      <c r="F131" s="32" t="str">
        <f>IF(AND(ISNUMBER(Roster!$B131),Setup!$B$24="Yes",ISNUMBER(Setup!$C$24)),EDATE(Roster!$B131,12*Setup!$C$24),"")</f>
        <v/>
      </c>
      <c r="G131" s="32" t="str">
        <f>IF(AND(ISNUMBER(Roster!$B131),Setup!$B$25="Yes",ISNUMBER(Setup!$C$25)),EDATE(Roster!$B131,12*Setup!$C$25),"")</f>
        <v/>
      </c>
      <c r="H131" s="32" t="str">
        <f>IF(AND(ISNUMBER(Roster!$B131),Setup!$B$26="Yes",ISNUMBER(Setup!$C$26)),EDATE(Roster!$B131,12*Setup!$C$26),"")</f>
        <v/>
      </c>
      <c r="I131" s="32" t="str">
        <f>IF(AND(ISNUMBER(Roster!$B131),Setup!$B$27="Yes",ISNUMBER(Setup!$C$27)),EDATE(Roster!$B131,12*Setup!$C$27),"")</f>
        <v/>
      </c>
      <c r="J131" s="32" t="str">
        <f>IF(AND(ISNUMBER(Roster!$B131),Setup!$B$28="Yes",ISNUMBER(Setup!$C$28)),EDATE(Roster!$B131,12*Setup!$C$28),"")</f>
        <v/>
      </c>
      <c r="K131" s="32" t="str">
        <f>IF(AND(ISNUMBER(Roster!$B131),Setup!$B$29="Yes",ISNUMBER(Setup!$C$29)),EDATE(Roster!$B131,12*Setup!$C$29),"")</f>
        <v/>
      </c>
      <c r="L131" s="32" t="str">
        <f>IF(AND(ISNUMBER(Roster!$B131),Setup!$B$30="Yes",ISNUMBER(Setup!$C$30)),EDATE(Roster!$B131,12*Setup!$C$30),"")</f>
        <v/>
      </c>
      <c r="M131" s="32" t="str">
        <f>IF(AND(ISNUMBER(Roster!$B131),Setup!$B$31="Yes",ISNUMBER(Setup!$C$31)),EDATE(Roster!$B131,12*Setup!$C$31),"")</f>
        <v/>
      </c>
      <c r="N131" s="32" t="str">
        <f>IF(AND(ISNUMBER(Roster!$B131),Setup!$B$32="Yes",ISNUMBER(Setup!$C$32)),EDATE(Roster!$B131,12*Setup!$C$32),"")</f>
        <v/>
      </c>
      <c r="O131" s="32" t="str">
        <f>IF(AND(ISNUMBER(Roster!$B131),Setup!$B$33="Yes",ISNUMBER(Setup!$C$33)),EDATE(Roster!$B131,12*Setup!$C$33),"")</f>
        <v/>
      </c>
      <c r="P131" s="32" t="str">
        <f>IF(AND(ISNUMBER(Roster!$B131),Setup!$B$34="Yes",ISNUMBER(Setup!$C$34)),EDATE(Roster!$B131,12*Setup!$C$34),"")</f>
        <v/>
      </c>
      <c r="R131" t="str">
        <f>IF(B131="","",IF(B131&lt;Setup!$C$5-Setup!$C$6,"",IF(IF(ISNUMBER(Roster!$D131),Setup!$C$20&lt;=Roster!$D131,FALSE),"",IF(OR(IF(Setup!$C$15&lt;=Setup!$C$16,AND(MONTH(B131)&gt;=Setup!$C$15,MONTH(B131)&lt;=Setup!$C$16),OR(MONTH(B131)&gt;=Setup!$C$15,MONTH(B131)&lt;=Setup!$C$16)),IF(Setup!$C$15&lt;=Setup!$C$16,AND(MONTH(WORKDAY(B131,-(Setup!$C$13+Setup!$G$20),Setup!$C$39:$C$50))&gt;=Setup!$C$15,MONTH(WORKDAY(B131,-(Setup!$C$13+Setup!$G$20),Setup!$C$39:$C$50))&lt;=Setup!$C$16),OR(MONTH(WORKDAY(B131,-(Setup!$C$13+Setup!$G$20),Setup!$C$39:$C$50))&gt;=Setup!$C$15,MONTH(WORKDAY(B131,-(Setup!$C$13+Setup!$G$20),Setup!$C$39:$C$50))&lt;=Setup!$C$16))),WORKDAY(B131,-(Setup!$C$13+Setup!$G$20+Setup!$C$14),Setup!$C$39:$C$50),WORKDAY(B131,-(Setup!$C$13+Setup!$G$20),Setup!$C$39:$C$50))+(126*100+1)/10000000)))</f>
        <v/>
      </c>
      <c r="S131" t="str">
        <f>IF(C131="","",IF(C131&lt;Setup!$C$5-Setup!$C$6,"",IF(IF(ISNUMBER(Roster!$D131),Setup!$C$21&lt;=Roster!$D131,FALSE),"",IF(OR(IF(Setup!$C$15&lt;=Setup!$C$16,AND(MONTH(C131)&gt;=Setup!$C$15,MONTH(C131)&lt;=Setup!$C$16),OR(MONTH(C131)&gt;=Setup!$C$15,MONTH(C131)&lt;=Setup!$C$16)),IF(Setup!$C$15&lt;=Setup!$C$16,AND(MONTH(WORKDAY(C131,-(Setup!$C$13+Setup!$G$21),Setup!$C$39:$C$50))&gt;=Setup!$C$15,MONTH(WORKDAY(C131,-(Setup!$C$13+Setup!$G$21),Setup!$C$39:$C$50))&lt;=Setup!$C$16),OR(MONTH(WORKDAY(C131,-(Setup!$C$13+Setup!$G$21),Setup!$C$39:$C$50))&gt;=Setup!$C$15,MONTH(WORKDAY(C131,-(Setup!$C$13+Setup!$G$21),Setup!$C$39:$C$50))&lt;=Setup!$C$16))),WORKDAY(C131,-(Setup!$C$13+Setup!$G$21+Setup!$C$14),Setup!$C$39:$C$50),WORKDAY(C131,-(Setup!$C$13+Setup!$G$21),Setup!$C$39:$C$50))+(126*100+2)/10000000)))</f>
        <v/>
      </c>
      <c r="T131" t="str">
        <f>IF(D131="","",IF(D131&lt;Setup!$C$5-Setup!$C$6,"",IF(IF(ISNUMBER(Roster!$D131),Setup!$C$22&lt;=Roster!$D131,FALSE),"",IF(OR(IF(Setup!$C$15&lt;=Setup!$C$16,AND(MONTH(D131)&gt;=Setup!$C$15,MONTH(D131)&lt;=Setup!$C$16),OR(MONTH(D131)&gt;=Setup!$C$15,MONTH(D131)&lt;=Setup!$C$16)),IF(Setup!$C$15&lt;=Setup!$C$16,AND(MONTH(WORKDAY(D131,-(Setup!$C$13+Setup!$G$22),Setup!$C$39:$C$50))&gt;=Setup!$C$15,MONTH(WORKDAY(D131,-(Setup!$C$13+Setup!$G$22),Setup!$C$39:$C$50))&lt;=Setup!$C$16),OR(MONTH(WORKDAY(D131,-(Setup!$C$13+Setup!$G$22),Setup!$C$39:$C$50))&gt;=Setup!$C$15,MONTH(WORKDAY(D131,-(Setup!$C$13+Setup!$G$22),Setup!$C$39:$C$50))&lt;=Setup!$C$16))),WORKDAY(D131,-(Setup!$C$13+Setup!$G$22+Setup!$C$14),Setup!$C$39:$C$50),WORKDAY(D131,-(Setup!$C$13+Setup!$G$22),Setup!$C$39:$C$50))+(126*100+3)/10000000)))</f>
        <v/>
      </c>
      <c r="U131" t="str">
        <f>IF(E131="","",IF(E131&lt;Setup!$C$5-Setup!$C$6,"",IF(IF(ISNUMBER(Roster!$D131),Setup!$C$23&lt;=Roster!$D131,FALSE),"",IF(OR(IF(Setup!$C$15&lt;=Setup!$C$16,AND(MONTH(E131)&gt;=Setup!$C$15,MONTH(E131)&lt;=Setup!$C$16),OR(MONTH(E131)&gt;=Setup!$C$15,MONTH(E131)&lt;=Setup!$C$16)),IF(Setup!$C$15&lt;=Setup!$C$16,AND(MONTH(WORKDAY(E131,-(Setup!$C$13+Setup!$G$23),Setup!$C$39:$C$50))&gt;=Setup!$C$15,MONTH(WORKDAY(E131,-(Setup!$C$13+Setup!$G$23),Setup!$C$39:$C$50))&lt;=Setup!$C$16),OR(MONTH(WORKDAY(E131,-(Setup!$C$13+Setup!$G$23),Setup!$C$39:$C$50))&gt;=Setup!$C$15,MONTH(WORKDAY(E131,-(Setup!$C$13+Setup!$G$23),Setup!$C$39:$C$50))&lt;=Setup!$C$16))),WORKDAY(E131,-(Setup!$C$13+Setup!$G$23+Setup!$C$14),Setup!$C$39:$C$50),WORKDAY(E131,-(Setup!$C$13+Setup!$G$23),Setup!$C$39:$C$50))+(126*100+4)/10000000)))</f>
        <v/>
      </c>
      <c r="V131" t="str">
        <f>IF(F131="","",IF(F131&lt;Setup!$C$5-Setup!$C$6,"",IF(IF(ISNUMBER(Roster!$D131),Setup!$C$24&lt;=Roster!$D131,FALSE),"",IF(OR(IF(Setup!$C$15&lt;=Setup!$C$16,AND(MONTH(F131)&gt;=Setup!$C$15,MONTH(F131)&lt;=Setup!$C$16),OR(MONTH(F131)&gt;=Setup!$C$15,MONTH(F131)&lt;=Setup!$C$16)),IF(Setup!$C$15&lt;=Setup!$C$16,AND(MONTH(WORKDAY(F131,-(Setup!$C$13+Setup!$G$24),Setup!$C$39:$C$50))&gt;=Setup!$C$15,MONTH(WORKDAY(F131,-(Setup!$C$13+Setup!$G$24),Setup!$C$39:$C$50))&lt;=Setup!$C$16),OR(MONTH(WORKDAY(F131,-(Setup!$C$13+Setup!$G$24),Setup!$C$39:$C$50))&gt;=Setup!$C$15,MONTH(WORKDAY(F131,-(Setup!$C$13+Setup!$G$24),Setup!$C$39:$C$50))&lt;=Setup!$C$16))),WORKDAY(F131,-(Setup!$C$13+Setup!$G$24+Setup!$C$14),Setup!$C$39:$C$50),WORKDAY(F131,-(Setup!$C$13+Setup!$G$24),Setup!$C$39:$C$50))+(126*100+5)/10000000)))</f>
        <v/>
      </c>
      <c r="W131" t="str">
        <f>IF(G131="","",IF(G131&lt;Setup!$C$5-Setup!$C$6,"",IF(IF(ISNUMBER(Roster!$D131),Setup!$C$25&lt;=Roster!$D131,FALSE),"",IF(OR(IF(Setup!$C$15&lt;=Setup!$C$16,AND(MONTH(G131)&gt;=Setup!$C$15,MONTH(G131)&lt;=Setup!$C$16),OR(MONTH(G131)&gt;=Setup!$C$15,MONTH(G131)&lt;=Setup!$C$16)),IF(Setup!$C$15&lt;=Setup!$C$16,AND(MONTH(WORKDAY(G131,-(Setup!$C$13+Setup!$G$25),Setup!$C$39:$C$50))&gt;=Setup!$C$15,MONTH(WORKDAY(G131,-(Setup!$C$13+Setup!$G$25),Setup!$C$39:$C$50))&lt;=Setup!$C$16),OR(MONTH(WORKDAY(G131,-(Setup!$C$13+Setup!$G$25),Setup!$C$39:$C$50))&gt;=Setup!$C$15,MONTH(WORKDAY(G131,-(Setup!$C$13+Setup!$G$25),Setup!$C$39:$C$50))&lt;=Setup!$C$16))),WORKDAY(G131,-(Setup!$C$13+Setup!$G$25+Setup!$C$14),Setup!$C$39:$C$50),WORKDAY(G131,-(Setup!$C$13+Setup!$G$25),Setup!$C$39:$C$50))+(126*100+6)/10000000)))</f>
        <v/>
      </c>
      <c r="X131" t="str">
        <f>IF(H131="","",IF(H131&lt;Setup!$C$5-Setup!$C$6,"",IF(IF(ISNUMBER(Roster!$D131),Setup!$C$26&lt;=Roster!$D131,FALSE),"",IF(OR(IF(Setup!$C$15&lt;=Setup!$C$16,AND(MONTH(H131)&gt;=Setup!$C$15,MONTH(H131)&lt;=Setup!$C$16),OR(MONTH(H131)&gt;=Setup!$C$15,MONTH(H131)&lt;=Setup!$C$16)),IF(Setup!$C$15&lt;=Setup!$C$16,AND(MONTH(WORKDAY(H131,-(Setup!$C$13+Setup!$G$26),Setup!$C$39:$C$50))&gt;=Setup!$C$15,MONTH(WORKDAY(H131,-(Setup!$C$13+Setup!$G$26),Setup!$C$39:$C$50))&lt;=Setup!$C$16),OR(MONTH(WORKDAY(H131,-(Setup!$C$13+Setup!$G$26),Setup!$C$39:$C$50))&gt;=Setup!$C$15,MONTH(WORKDAY(H131,-(Setup!$C$13+Setup!$G$26),Setup!$C$39:$C$50))&lt;=Setup!$C$16))),WORKDAY(H131,-(Setup!$C$13+Setup!$G$26+Setup!$C$14),Setup!$C$39:$C$50),WORKDAY(H131,-(Setup!$C$13+Setup!$G$26),Setup!$C$39:$C$50))+(126*100+7)/10000000)))</f>
        <v/>
      </c>
      <c r="Y131" t="str">
        <f>IF(I131="","",IF(I131&lt;Setup!$C$5-Setup!$C$6,"",IF(IF(ISNUMBER(Roster!$D131),Setup!$C$27&lt;=Roster!$D131,FALSE),"",IF(OR(IF(Setup!$C$15&lt;=Setup!$C$16,AND(MONTH(I131)&gt;=Setup!$C$15,MONTH(I131)&lt;=Setup!$C$16),OR(MONTH(I131)&gt;=Setup!$C$15,MONTH(I131)&lt;=Setup!$C$16)),IF(Setup!$C$15&lt;=Setup!$C$16,AND(MONTH(WORKDAY(I131,-(Setup!$C$13+Setup!$G$27),Setup!$C$39:$C$50))&gt;=Setup!$C$15,MONTH(WORKDAY(I131,-(Setup!$C$13+Setup!$G$27),Setup!$C$39:$C$50))&lt;=Setup!$C$16),OR(MONTH(WORKDAY(I131,-(Setup!$C$13+Setup!$G$27),Setup!$C$39:$C$50))&gt;=Setup!$C$15,MONTH(WORKDAY(I131,-(Setup!$C$13+Setup!$G$27),Setup!$C$39:$C$50))&lt;=Setup!$C$16))),WORKDAY(I131,-(Setup!$C$13+Setup!$G$27+Setup!$C$14),Setup!$C$39:$C$50),WORKDAY(I131,-(Setup!$C$13+Setup!$G$27),Setup!$C$39:$C$50))+(126*100+8)/10000000)))</f>
        <v/>
      </c>
      <c r="Z131" t="str">
        <f>IF(J131="","",IF(J131&lt;Setup!$C$5-Setup!$C$6,"",IF(IF(ISNUMBER(Roster!$D131),Setup!$C$28&lt;=Roster!$D131,FALSE),"",IF(OR(IF(Setup!$C$15&lt;=Setup!$C$16,AND(MONTH(J131)&gt;=Setup!$C$15,MONTH(J131)&lt;=Setup!$C$16),OR(MONTH(J131)&gt;=Setup!$C$15,MONTH(J131)&lt;=Setup!$C$16)),IF(Setup!$C$15&lt;=Setup!$C$16,AND(MONTH(WORKDAY(J131,-(Setup!$C$13+Setup!$G$28),Setup!$C$39:$C$50))&gt;=Setup!$C$15,MONTH(WORKDAY(J131,-(Setup!$C$13+Setup!$G$28),Setup!$C$39:$C$50))&lt;=Setup!$C$16),OR(MONTH(WORKDAY(J131,-(Setup!$C$13+Setup!$G$28),Setup!$C$39:$C$50))&gt;=Setup!$C$15,MONTH(WORKDAY(J131,-(Setup!$C$13+Setup!$G$28),Setup!$C$39:$C$50))&lt;=Setup!$C$16))),WORKDAY(J131,-(Setup!$C$13+Setup!$G$28+Setup!$C$14),Setup!$C$39:$C$50),WORKDAY(J131,-(Setup!$C$13+Setup!$G$28),Setup!$C$39:$C$50))+(126*100+9)/10000000)))</f>
        <v/>
      </c>
      <c r="AA131" t="str">
        <f>IF(K131="","",IF(K131&lt;Setup!$C$5-Setup!$C$6,"",IF(IF(ISNUMBER(Roster!$D131),Setup!$C$29&lt;=Roster!$D131,FALSE),"",IF(OR(IF(Setup!$C$15&lt;=Setup!$C$16,AND(MONTH(K131)&gt;=Setup!$C$15,MONTH(K131)&lt;=Setup!$C$16),OR(MONTH(K131)&gt;=Setup!$C$15,MONTH(K131)&lt;=Setup!$C$16)),IF(Setup!$C$15&lt;=Setup!$C$16,AND(MONTH(WORKDAY(K131,-(Setup!$C$13+Setup!$G$29),Setup!$C$39:$C$50))&gt;=Setup!$C$15,MONTH(WORKDAY(K131,-(Setup!$C$13+Setup!$G$29),Setup!$C$39:$C$50))&lt;=Setup!$C$16),OR(MONTH(WORKDAY(K131,-(Setup!$C$13+Setup!$G$29),Setup!$C$39:$C$50))&gt;=Setup!$C$15,MONTH(WORKDAY(K131,-(Setup!$C$13+Setup!$G$29),Setup!$C$39:$C$50))&lt;=Setup!$C$16))),WORKDAY(K131,-(Setup!$C$13+Setup!$G$29+Setup!$C$14),Setup!$C$39:$C$50),WORKDAY(K131,-(Setup!$C$13+Setup!$G$29),Setup!$C$39:$C$50))+(126*100+10)/10000000)))</f>
        <v/>
      </c>
      <c r="AB131" t="str">
        <f>IF(L131="","",IF(L131&lt;Setup!$C$5-Setup!$C$6,"",IF(IF(ISNUMBER(Roster!$D131),Setup!$C$30&lt;=Roster!$D131,FALSE),"",IF(OR(IF(Setup!$C$15&lt;=Setup!$C$16,AND(MONTH(L131)&gt;=Setup!$C$15,MONTH(L131)&lt;=Setup!$C$16),OR(MONTH(L131)&gt;=Setup!$C$15,MONTH(L131)&lt;=Setup!$C$16)),IF(Setup!$C$15&lt;=Setup!$C$16,AND(MONTH(WORKDAY(L131,-(Setup!$C$13+Setup!$G$30),Setup!$C$39:$C$50))&gt;=Setup!$C$15,MONTH(WORKDAY(L131,-(Setup!$C$13+Setup!$G$30),Setup!$C$39:$C$50))&lt;=Setup!$C$16),OR(MONTH(WORKDAY(L131,-(Setup!$C$13+Setup!$G$30),Setup!$C$39:$C$50))&gt;=Setup!$C$15,MONTH(WORKDAY(L131,-(Setup!$C$13+Setup!$G$30),Setup!$C$39:$C$50))&lt;=Setup!$C$16))),WORKDAY(L131,-(Setup!$C$13+Setup!$G$30+Setup!$C$14),Setup!$C$39:$C$50),WORKDAY(L131,-(Setup!$C$13+Setup!$G$30),Setup!$C$39:$C$50))+(126*100+11)/10000000)))</f>
        <v/>
      </c>
      <c r="AC131" t="str">
        <f>IF(M131="","",IF(M131&lt;Setup!$C$5-Setup!$C$6,"",IF(IF(ISNUMBER(Roster!$D131),Setup!$C$31&lt;=Roster!$D131,FALSE),"",IF(OR(IF(Setup!$C$15&lt;=Setup!$C$16,AND(MONTH(M131)&gt;=Setup!$C$15,MONTH(M131)&lt;=Setup!$C$16),OR(MONTH(M131)&gt;=Setup!$C$15,MONTH(M131)&lt;=Setup!$C$16)),IF(Setup!$C$15&lt;=Setup!$C$16,AND(MONTH(WORKDAY(M131,-(Setup!$C$13+Setup!$G$31),Setup!$C$39:$C$50))&gt;=Setup!$C$15,MONTH(WORKDAY(M131,-(Setup!$C$13+Setup!$G$31),Setup!$C$39:$C$50))&lt;=Setup!$C$16),OR(MONTH(WORKDAY(M131,-(Setup!$C$13+Setup!$G$31),Setup!$C$39:$C$50))&gt;=Setup!$C$15,MONTH(WORKDAY(M131,-(Setup!$C$13+Setup!$G$31),Setup!$C$39:$C$50))&lt;=Setup!$C$16))),WORKDAY(M131,-(Setup!$C$13+Setup!$G$31+Setup!$C$14),Setup!$C$39:$C$50),WORKDAY(M131,-(Setup!$C$13+Setup!$G$31),Setup!$C$39:$C$50))+(126*100+12)/10000000)))</f>
        <v/>
      </c>
      <c r="AD131" t="str">
        <f>IF(N131="","",IF(N131&lt;Setup!$C$5-Setup!$C$6,"",IF(IF(ISNUMBER(Roster!$D131),Setup!$C$32&lt;=Roster!$D131,FALSE),"",IF(OR(IF(Setup!$C$15&lt;=Setup!$C$16,AND(MONTH(N131)&gt;=Setup!$C$15,MONTH(N131)&lt;=Setup!$C$16),OR(MONTH(N131)&gt;=Setup!$C$15,MONTH(N131)&lt;=Setup!$C$16)),IF(Setup!$C$15&lt;=Setup!$C$16,AND(MONTH(WORKDAY(N131,-(Setup!$C$13+Setup!$G$32),Setup!$C$39:$C$50))&gt;=Setup!$C$15,MONTH(WORKDAY(N131,-(Setup!$C$13+Setup!$G$32),Setup!$C$39:$C$50))&lt;=Setup!$C$16),OR(MONTH(WORKDAY(N131,-(Setup!$C$13+Setup!$G$32),Setup!$C$39:$C$50))&gt;=Setup!$C$15,MONTH(WORKDAY(N131,-(Setup!$C$13+Setup!$G$32),Setup!$C$39:$C$50))&lt;=Setup!$C$16))),WORKDAY(N131,-(Setup!$C$13+Setup!$G$32+Setup!$C$14),Setup!$C$39:$C$50),WORKDAY(N131,-(Setup!$C$13+Setup!$G$32),Setup!$C$39:$C$50))+(126*100+13)/10000000)))</f>
        <v/>
      </c>
      <c r="AE131" t="str">
        <f>IF(O131="","",IF(O131&lt;Setup!$C$5-Setup!$C$6,"",IF(IF(ISNUMBER(Roster!$D131),Setup!$C$33&lt;=Roster!$D131,FALSE),"",IF(OR(IF(Setup!$C$15&lt;=Setup!$C$16,AND(MONTH(O131)&gt;=Setup!$C$15,MONTH(O131)&lt;=Setup!$C$16),OR(MONTH(O131)&gt;=Setup!$C$15,MONTH(O131)&lt;=Setup!$C$16)),IF(Setup!$C$15&lt;=Setup!$C$16,AND(MONTH(WORKDAY(O131,-(Setup!$C$13+Setup!$G$33),Setup!$C$39:$C$50))&gt;=Setup!$C$15,MONTH(WORKDAY(O131,-(Setup!$C$13+Setup!$G$33),Setup!$C$39:$C$50))&lt;=Setup!$C$16),OR(MONTH(WORKDAY(O131,-(Setup!$C$13+Setup!$G$33),Setup!$C$39:$C$50))&gt;=Setup!$C$15,MONTH(WORKDAY(O131,-(Setup!$C$13+Setup!$G$33),Setup!$C$39:$C$50))&lt;=Setup!$C$16))),WORKDAY(O131,-(Setup!$C$13+Setup!$G$33+Setup!$C$14),Setup!$C$39:$C$50),WORKDAY(O131,-(Setup!$C$13+Setup!$G$33),Setup!$C$39:$C$50))+(126*100+14)/10000000)))</f>
        <v/>
      </c>
      <c r="AF131" t="str">
        <f>IF(P131="","",IF(P131&lt;Setup!$C$5-Setup!$C$6,"",IF(IF(ISNUMBER(Roster!$D131),Setup!$C$34&lt;=Roster!$D131,FALSE),"",IF(OR(IF(Setup!$C$15&lt;=Setup!$C$16,AND(MONTH(P131)&gt;=Setup!$C$15,MONTH(P131)&lt;=Setup!$C$16),OR(MONTH(P131)&gt;=Setup!$C$15,MONTH(P131)&lt;=Setup!$C$16)),IF(Setup!$C$15&lt;=Setup!$C$16,AND(MONTH(WORKDAY(P131,-(Setup!$C$13+Setup!$G$34),Setup!$C$39:$C$50))&gt;=Setup!$C$15,MONTH(WORKDAY(P131,-(Setup!$C$13+Setup!$G$34),Setup!$C$39:$C$50))&lt;=Setup!$C$16),OR(MONTH(WORKDAY(P131,-(Setup!$C$13+Setup!$G$34),Setup!$C$39:$C$50))&gt;=Setup!$C$15,MONTH(WORKDAY(P131,-(Setup!$C$13+Setup!$G$34),Setup!$C$39:$C$50))&lt;=Setup!$C$16))),WORKDAY(P131,-(Setup!$C$13+Setup!$G$34+Setup!$C$14),Setup!$C$39:$C$50),WORKDAY(P131,-(Setup!$C$13+Setup!$G$34),Setup!$C$39:$C$50))+(126*100+15)/10000000)))</f>
        <v/>
      </c>
      <c r="AH131" t="str">
        <f t="shared" si="9"/>
        <v/>
      </c>
      <c r="AI131" t="str">
        <f t="shared" si="10"/>
        <v/>
      </c>
      <c r="AK131" t="str">
        <f ca="1">IF(126&gt;$AK$2,"",SMALL($R$6:$AF$505,126))</f>
        <v/>
      </c>
      <c r="AL131" t="str">
        <f t="shared" ca="1" si="11"/>
        <v/>
      </c>
      <c r="AM131" t="str">
        <f t="shared" ca="1" si="12"/>
        <v/>
      </c>
      <c r="AN131" t="str">
        <f t="shared" ca="1" si="13"/>
        <v/>
      </c>
      <c r="AP131" t="str">
        <f>IF(ISNUMBER(Roster!$B131),MAX(1,YEAR(Setup!$C$5)-YEAR(Roster!$B131)+IF(EDATE(Roster!$B131,12*(YEAR(Setup!$C$5)-YEAR(Roster!$B131)))&lt;Setup!$C$5,1,0)),"")</f>
        <v/>
      </c>
      <c r="AQ131" s="32" t="str">
        <f>IF(AP131="","",EDATE(Roster!$B131,12*AP131))</f>
        <v/>
      </c>
      <c r="AR131" t="str">
        <f>IF(AQ131="","",IF(AQ131&lt;DATE(YEAR(Setup!$C$5)+1,MONTH(Setup!$C$5),DAY(Setup!$C$5)),AQ131+126/1000,""))</f>
        <v/>
      </c>
      <c r="AS131" t="str">
        <f t="shared" si="14"/>
        <v/>
      </c>
      <c r="AT131" t="str">
        <f>IF(AS131="","",IF(ISNUMBER(Roster!$D131),Roster!$D131&gt;=AP131,FALSE))</f>
        <v/>
      </c>
      <c r="AU131" t="str">
        <f t="shared" si="15"/>
        <v/>
      </c>
      <c r="AV131" t="str">
        <f ca="1">IF(126&gt;$AV$2,"",SMALL($AR$6:$AR$505,126))</f>
        <v/>
      </c>
      <c r="AW131" t="str">
        <f t="shared" ca="1" si="16"/>
        <v/>
      </c>
    </row>
    <row r="132" spans="2:49" x14ac:dyDescent="0.2">
      <c r="B132" s="32" t="str">
        <f>IF(AND(ISNUMBER(Roster!$B132),Setup!$B$20="Yes",ISNUMBER(Setup!$C$20)),EDATE(Roster!$B132,12*Setup!$C$20),"")</f>
        <v/>
      </c>
      <c r="C132" s="32" t="str">
        <f>IF(AND(ISNUMBER(Roster!$B132),Setup!$B$21="Yes",ISNUMBER(Setup!$C$21)),EDATE(Roster!$B132,12*Setup!$C$21),"")</f>
        <v/>
      </c>
      <c r="D132" s="32" t="str">
        <f>IF(AND(ISNUMBER(Roster!$B132),Setup!$B$22="Yes",ISNUMBER(Setup!$C$22)),EDATE(Roster!$B132,12*Setup!$C$22),"")</f>
        <v/>
      </c>
      <c r="E132" s="32" t="str">
        <f>IF(AND(ISNUMBER(Roster!$B132),Setup!$B$23="Yes",ISNUMBER(Setup!$C$23)),EDATE(Roster!$B132,12*Setup!$C$23),"")</f>
        <v/>
      </c>
      <c r="F132" s="32" t="str">
        <f>IF(AND(ISNUMBER(Roster!$B132),Setup!$B$24="Yes",ISNUMBER(Setup!$C$24)),EDATE(Roster!$B132,12*Setup!$C$24),"")</f>
        <v/>
      </c>
      <c r="G132" s="32" t="str">
        <f>IF(AND(ISNUMBER(Roster!$B132),Setup!$B$25="Yes",ISNUMBER(Setup!$C$25)),EDATE(Roster!$B132,12*Setup!$C$25),"")</f>
        <v/>
      </c>
      <c r="H132" s="32" t="str">
        <f>IF(AND(ISNUMBER(Roster!$B132),Setup!$B$26="Yes",ISNUMBER(Setup!$C$26)),EDATE(Roster!$B132,12*Setup!$C$26),"")</f>
        <v/>
      </c>
      <c r="I132" s="32" t="str">
        <f>IF(AND(ISNUMBER(Roster!$B132),Setup!$B$27="Yes",ISNUMBER(Setup!$C$27)),EDATE(Roster!$B132,12*Setup!$C$27),"")</f>
        <v/>
      </c>
      <c r="J132" s="32" t="str">
        <f>IF(AND(ISNUMBER(Roster!$B132),Setup!$B$28="Yes",ISNUMBER(Setup!$C$28)),EDATE(Roster!$B132,12*Setup!$C$28),"")</f>
        <v/>
      </c>
      <c r="K132" s="32" t="str">
        <f>IF(AND(ISNUMBER(Roster!$B132),Setup!$B$29="Yes",ISNUMBER(Setup!$C$29)),EDATE(Roster!$B132,12*Setup!$C$29),"")</f>
        <v/>
      </c>
      <c r="L132" s="32" t="str">
        <f>IF(AND(ISNUMBER(Roster!$B132),Setup!$B$30="Yes",ISNUMBER(Setup!$C$30)),EDATE(Roster!$B132,12*Setup!$C$30),"")</f>
        <v/>
      </c>
      <c r="M132" s="32" t="str">
        <f>IF(AND(ISNUMBER(Roster!$B132),Setup!$B$31="Yes",ISNUMBER(Setup!$C$31)),EDATE(Roster!$B132,12*Setup!$C$31),"")</f>
        <v/>
      </c>
      <c r="N132" s="32" t="str">
        <f>IF(AND(ISNUMBER(Roster!$B132),Setup!$B$32="Yes",ISNUMBER(Setup!$C$32)),EDATE(Roster!$B132,12*Setup!$C$32),"")</f>
        <v/>
      </c>
      <c r="O132" s="32" t="str">
        <f>IF(AND(ISNUMBER(Roster!$B132),Setup!$B$33="Yes",ISNUMBER(Setup!$C$33)),EDATE(Roster!$B132,12*Setup!$C$33),"")</f>
        <v/>
      </c>
      <c r="P132" s="32" t="str">
        <f>IF(AND(ISNUMBER(Roster!$B132),Setup!$B$34="Yes",ISNUMBER(Setup!$C$34)),EDATE(Roster!$B132,12*Setup!$C$34),"")</f>
        <v/>
      </c>
      <c r="R132" t="str">
        <f>IF(B132="","",IF(B132&lt;Setup!$C$5-Setup!$C$6,"",IF(IF(ISNUMBER(Roster!$D132),Setup!$C$20&lt;=Roster!$D132,FALSE),"",IF(OR(IF(Setup!$C$15&lt;=Setup!$C$16,AND(MONTH(B132)&gt;=Setup!$C$15,MONTH(B132)&lt;=Setup!$C$16),OR(MONTH(B132)&gt;=Setup!$C$15,MONTH(B132)&lt;=Setup!$C$16)),IF(Setup!$C$15&lt;=Setup!$C$16,AND(MONTH(WORKDAY(B132,-(Setup!$C$13+Setup!$G$20),Setup!$C$39:$C$50))&gt;=Setup!$C$15,MONTH(WORKDAY(B132,-(Setup!$C$13+Setup!$G$20),Setup!$C$39:$C$50))&lt;=Setup!$C$16),OR(MONTH(WORKDAY(B132,-(Setup!$C$13+Setup!$G$20),Setup!$C$39:$C$50))&gt;=Setup!$C$15,MONTH(WORKDAY(B132,-(Setup!$C$13+Setup!$G$20),Setup!$C$39:$C$50))&lt;=Setup!$C$16))),WORKDAY(B132,-(Setup!$C$13+Setup!$G$20+Setup!$C$14),Setup!$C$39:$C$50),WORKDAY(B132,-(Setup!$C$13+Setup!$G$20),Setup!$C$39:$C$50))+(127*100+1)/10000000)))</f>
        <v/>
      </c>
      <c r="S132" t="str">
        <f>IF(C132="","",IF(C132&lt;Setup!$C$5-Setup!$C$6,"",IF(IF(ISNUMBER(Roster!$D132),Setup!$C$21&lt;=Roster!$D132,FALSE),"",IF(OR(IF(Setup!$C$15&lt;=Setup!$C$16,AND(MONTH(C132)&gt;=Setup!$C$15,MONTH(C132)&lt;=Setup!$C$16),OR(MONTH(C132)&gt;=Setup!$C$15,MONTH(C132)&lt;=Setup!$C$16)),IF(Setup!$C$15&lt;=Setup!$C$16,AND(MONTH(WORKDAY(C132,-(Setup!$C$13+Setup!$G$21),Setup!$C$39:$C$50))&gt;=Setup!$C$15,MONTH(WORKDAY(C132,-(Setup!$C$13+Setup!$G$21),Setup!$C$39:$C$50))&lt;=Setup!$C$16),OR(MONTH(WORKDAY(C132,-(Setup!$C$13+Setup!$G$21),Setup!$C$39:$C$50))&gt;=Setup!$C$15,MONTH(WORKDAY(C132,-(Setup!$C$13+Setup!$G$21),Setup!$C$39:$C$50))&lt;=Setup!$C$16))),WORKDAY(C132,-(Setup!$C$13+Setup!$G$21+Setup!$C$14),Setup!$C$39:$C$50),WORKDAY(C132,-(Setup!$C$13+Setup!$G$21),Setup!$C$39:$C$50))+(127*100+2)/10000000)))</f>
        <v/>
      </c>
      <c r="T132" t="str">
        <f>IF(D132="","",IF(D132&lt;Setup!$C$5-Setup!$C$6,"",IF(IF(ISNUMBER(Roster!$D132),Setup!$C$22&lt;=Roster!$D132,FALSE),"",IF(OR(IF(Setup!$C$15&lt;=Setup!$C$16,AND(MONTH(D132)&gt;=Setup!$C$15,MONTH(D132)&lt;=Setup!$C$16),OR(MONTH(D132)&gt;=Setup!$C$15,MONTH(D132)&lt;=Setup!$C$16)),IF(Setup!$C$15&lt;=Setup!$C$16,AND(MONTH(WORKDAY(D132,-(Setup!$C$13+Setup!$G$22),Setup!$C$39:$C$50))&gt;=Setup!$C$15,MONTH(WORKDAY(D132,-(Setup!$C$13+Setup!$G$22),Setup!$C$39:$C$50))&lt;=Setup!$C$16),OR(MONTH(WORKDAY(D132,-(Setup!$C$13+Setup!$G$22),Setup!$C$39:$C$50))&gt;=Setup!$C$15,MONTH(WORKDAY(D132,-(Setup!$C$13+Setup!$G$22),Setup!$C$39:$C$50))&lt;=Setup!$C$16))),WORKDAY(D132,-(Setup!$C$13+Setup!$G$22+Setup!$C$14),Setup!$C$39:$C$50),WORKDAY(D132,-(Setup!$C$13+Setup!$G$22),Setup!$C$39:$C$50))+(127*100+3)/10000000)))</f>
        <v/>
      </c>
      <c r="U132" t="str">
        <f>IF(E132="","",IF(E132&lt;Setup!$C$5-Setup!$C$6,"",IF(IF(ISNUMBER(Roster!$D132),Setup!$C$23&lt;=Roster!$D132,FALSE),"",IF(OR(IF(Setup!$C$15&lt;=Setup!$C$16,AND(MONTH(E132)&gt;=Setup!$C$15,MONTH(E132)&lt;=Setup!$C$16),OR(MONTH(E132)&gt;=Setup!$C$15,MONTH(E132)&lt;=Setup!$C$16)),IF(Setup!$C$15&lt;=Setup!$C$16,AND(MONTH(WORKDAY(E132,-(Setup!$C$13+Setup!$G$23),Setup!$C$39:$C$50))&gt;=Setup!$C$15,MONTH(WORKDAY(E132,-(Setup!$C$13+Setup!$G$23),Setup!$C$39:$C$50))&lt;=Setup!$C$16),OR(MONTH(WORKDAY(E132,-(Setup!$C$13+Setup!$G$23),Setup!$C$39:$C$50))&gt;=Setup!$C$15,MONTH(WORKDAY(E132,-(Setup!$C$13+Setup!$G$23),Setup!$C$39:$C$50))&lt;=Setup!$C$16))),WORKDAY(E132,-(Setup!$C$13+Setup!$G$23+Setup!$C$14),Setup!$C$39:$C$50),WORKDAY(E132,-(Setup!$C$13+Setup!$G$23),Setup!$C$39:$C$50))+(127*100+4)/10000000)))</f>
        <v/>
      </c>
      <c r="V132" t="str">
        <f>IF(F132="","",IF(F132&lt;Setup!$C$5-Setup!$C$6,"",IF(IF(ISNUMBER(Roster!$D132),Setup!$C$24&lt;=Roster!$D132,FALSE),"",IF(OR(IF(Setup!$C$15&lt;=Setup!$C$16,AND(MONTH(F132)&gt;=Setup!$C$15,MONTH(F132)&lt;=Setup!$C$16),OR(MONTH(F132)&gt;=Setup!$C$15,MONTH(F132)&lt;=Setup!$C$16)),IF(Setup!$C$15&lt;=Setup!$C$16,AND(MONTH(WORKDAY(F132,-(Setup!$C$13+Setup!$G$24),Setup!$C$39:$C$50))&gt;=Setup!$C$15,MONTH(WORKDAY(F132,-(Setup!$C$13+Setup!$G$24),Setup!$C$39:$C$50))&lt;=Setup!$C$16),OR(MONTH(WORKDAY(F132,-(Setup!$C$13+Setup!$G$24),Setup!$C$39:$C$50))&gt;=Setup!$C$15,MONTH(WORKDAY(F132,-(Setup!$C$13+Setup!$G$24),Setup!$C$39:$C$50))&lt;=Setup!$C$16))),WORKDAY(F132,-(Setup!$C$13+Setup!$G$24+Setup!$C$14),Setup!$C$39:$C$50),WORKDAY(F132,-(Setup!$C$13+Setup!$G$24),Setup!$C$39:$C$50))+(127*100+5)/10000000)))</f>
        <v/>
      </c>
      <c r="W132" t="str">
        <f>IF(G132="","",IF(G132&lt;Setup!$C$5-Setup!$C$6,"",IF(IF(ISNUMBER(Roster!$D132),Setup!$C$25&lt;=Roster!$D132,FALSE),"",IF(OR(IF(Setup!$C$15&lt;=Setup!$C$16,AND(MONTH(G132)&gt;=Setup!$C$15,MONTH(G132)&lt;=Setup!$C$16),OR(MONTH(G132)&gt;=Setup!$C$15,MONTH(G132)&lt;=Setup!$C$16)),IF(Setup!$C$15&lt;=Setup!$C$16,AND(MONTH(WORKDAY(G132,-(Setup!$C$13+Setup!$G$25),Setup!$C$39:$C$50))&gt;=Setup!$C$15,MONTH(WORKDAY(G132,-(Setup!$C$13+Setup!$G$25),Setup!$C$39:$C$50))&lt;=Setup!$C$16),OR(MONTH(WORKDAY(G132,-(Setup!$C$13+Setup!$G$25),Setup!$C$39:$C$50))&gt;=Setup!$C$15,MONTH(WORKDAY(G132,-(Setup!$C$13+Setup!$G$25),Setup!$C$39:$C$50))&lt;=Setup!$C$16))),WORKDAY(G132,-(Setup!$C$13+Setup!$G$25+Setup!$C$14),Setup!$C$39:$C$50),WORKDAY(G132,-(Setup!$C$13+Setup!$G$25),Setup!$C$39:$C$50))+(127*100+6)/10000000)))</f>
        <v/>
      </c>
      <c r="X132" t="str">
        <f>IF(H132="","",IF(H132&lt;Setup!$C$5-Setup!$C$6,"",IF(IF(ISNUMBER(Roster!$D132),Setup!$C$26&lt;=Roster!$D132,FALSE),"",IF(OR(IF(Setup!$C$15&lt;=Setup!$C$16,AND(MONTH(H132)&gt;=Setup!$C$15,MONTH(H132)&lt;=Setup!$C$16),OR(MONTH(H132)&gt;=Setup!$C$15,MONTH(H132)&lt;=Setup!$C$16)),IF(Setup!$C$15&lt;=Setup!$C$16,AND(MONTH(WORKDAY(H132,-(Setup!$C$13+Setup!$G$26),Setup!$C$39:$C$50))&gt;=Setup!$C$15,MONTH(WORKDAY(H132,-(Setup!$C$13+Setup!$G$26),Setup!$C$39:$C$50))&lt;=Setup!$C$16),OR(MONTH(WORKDAY(H132,-(Setup!$C$13+Setup!$G$26),Setup!$C$39:$C$50))&gt;=Setup!$C$15,MONTH(WORKDAY(H132,-(Setup!$C$13+Setup!$G$26),Setup!$C$39:$C$50))&lt;=Setup!$C$16))),WORKDAY(H132,-(Setup!$C$13+Setup!$G$26+Setup!$C$14),Setup!$C$39:$C$50),WORKDAY(H132,-(Setup!$C$13+Setup!$G$26),Setup!$C$39:$C$50))+(127*100+7)/10000000)))</f>
        <v/>
      </c>
      <c r="Y132" t="str">
        <f>IF(I132="","",IF(I132&lt;Setup!$C$5-Setup!$C$6,"",IF(IF(ISNUMBER(Roster!$D132),Setup!$C$27&lt;=Roster!$D132,FALSE),"",IF(OR(IF(Setup!$C$15&lt;=Setup!$C$16,AND(MONTH(I132)&gt;=Setup!$C$15,MONTH(I132)&lt;=Setup!$C$16),OR(MONTH(I132)&gt;=Setup!$C$15,MONTH(I132)&lt;=Setup!$C$16)),IF(Setup!$C$15&lt;=Setup!$C$16,AND(MONTH(WORKDAY(I132,-(Setup!$C$13+Setup!$G$27),Setup!$C$39:$C$50))&gt;=Setup!$C$15,MONTH(WORKDAY(I132,-(Setup!$C$13+Setup!$G$27),Setup!$C$39:$C$50))&lt;=Setup!$C$16),OR(MONTH(WORKDAY(I132,-(Setup!$C$13+Setup!$G$27),Setup!$C$39:$C$50))&gt;=Setup!$C$15,MONTH(WORKDAY(I132,-(Setup!$C$13+Setup!$G$27),Setup!$C$39:$C$50))&lt;=Setup!$C$16))),WORKDAY(I132,-(Setup!$C$13+Setup!$G$27+Setup!$C$14),Setup!$C$39:$C$50),WORKDAY(I132,-(Setup!$C$13+Setup!$G$27),Setup!$C$39:$C$50))+(127*100+8)/10000000)))</f>
        <v/>
      </c>
      <c r="Z132" t="str">
        <f>IF(J132="","",IF(J132&lt;Setup!$C$5-Setup!$C$6,"",IF(IF(ISNUMBER(Roster!$D132),Setup!$C$28&lt;=Roster!$D132,FALSE),"",IF(OR(IF(Setup!$C$15&lt;=Setup!$C$16,AND(MONTH(J132)&gt;=Setup!$C$15,MONTH(J132)&lt;=Setup!$C$16),OR(MONTH(J132)&gt;=Setup!$C$15,MONTH(J132)&lt;=Setup!$C$16)),IF(Setup!$C$15&lt;=Setup!$C$16,AND(MONTH(WORKDAY(J132,-(Setup!$C$13+Setup!$G$28),Setup!$C$39:$C$50))&gt;=Setup!$C$15,MONTH(WORKDAY(J132,-(Setup!$C$13+Setup!$G$28),Setup!$C$39:$C$50))&lt;=Setup!$C$16),OR(MONTH(WORKDAY(J132,-(Setup!$C$13+Setup!$G$28),Setup!$C$39:$C$50))&gt;=Setup!$C$15,MONTH(WORKDAY(J132,-(Setup!$C$13+Setup!$G$28),Setup!$C$39:$C$50))&lt;=Setup!$C$16))),WORKDAY(J132,-(Setup!$C$13+Setup!$G$28+Setup!$C$14),Setup!$C$39:$C$50),WORKDAY(J132,-(Setup!$C$13+Setup!$G$28),Setup!$C$39:$C$50))+(127*100+9)/10000000)))</f>
        <v/>
      </c>
      <c r="AA132" t="str">
        <f>IF(K132="","",IF(K132&lt;Setup!$C$5-Setup!$C$6,"",IF(IF(ISNUMBER(Roster!$D132),Setup!$C$29&lt;=Roster!$D132,FALSE),"",IF(OR(IF(Setup!$C$15&lt;=Setup!$C$16,AND(MONTH(K132)&gt;=Setup!$C$15,MONTH(K132)&lt;=Setup!$C$16),OR(MONTH(K132)&gt;=Setup!$C$15,MONTH(K132)&lt;=Setup!$C$16)),IF(Setup!$C$15&lt;=Setup!$C$16,AND(MONTH(WORKDAY(K132,-(Setup!$C$13+Setup!$G$29),Setup!$C$39:$C$50))&gt;=Setup!$C$15,MONTH(WORKDAY(K132,-(Setup!$C$13+Setup!$G$29),Setup!$C$39:$C$50))&lt;=Setup!$C$16),OR(MONTH(WORKDAY(K132,-(Setup!$C$13+Setup!$G$29),Setup!$C$39:$C$50))&gt;=Setup!$C$15,MONTH(WORKDAY(K132,-(Setup!$C$13+Setup!$G$29),Setup!$C$39:$C$50))&lt;=Setup!$C$16))),WORKDAY(K132,-(Setup!$C$13+Setup!$G$29+Setup!$C$14),Setup!$C$39:$C$50),WORKDAY(K132,-(Setup!$C$13+Setup!$G$29),Setup!$C$39:$C$50))+(127*100+10)/10000000)))</f>
        <v/>
      </c>
      <c r="AB132" t="str">
        <f>IF(L132="","",IF(L132&lt;Setup!$C$5-Setup!$C$6,"",IF(IF(ISNUMBER(Roster!$D132),Setup!$C$30&lt;=Roster!$D132,FALSE),"",IF(OR(IF(Setup!$C$15&lt;=Setup!$C$16,AND(MONTH(L132)&gt;=Setup!$C$15,MONTH(L132)&lt;=Setup!$C$16),OR(MONTH(L132)&gt;=Setup!$C$15,MONTH(L132)&lt;=Setup!$C$16)),IF(Setup!$C$15&lt;=Setup!$C$16,AND(MONTH(WORKDAY(L132,-(Setup!$C$13+Setup!$G$30),Setup!$C$39:$C$50))&gt;=Setup!$C$15,MONTH(WORKDAY(L132,-(Setup!$C$13+Setup!$G$30),Setup!$C$39:$C$50))&lt;=Setup!$C$16),OR(MONTH(WORKDAY(L132,-(Setup!$C$13+Setup!$G$30),Setup!$C$39:$C$50))&gt;=Setup!$C$15,MONTH(WORKDAY(L132,-(Setup!$C$13+Setup!$G$30),Setup!$C$39:$C$50))&lt;=Setup!$C$16))),WORKDAY(L132,-(Setup!$C$13+Setup!$G$30+Setup!$C$14),Setup!$C$39:$C$50),WORKDAY(L132,-(Setup!$C$13+Setup!$G$30),Setup!$C$39:$C$50))+(127*100+11)/10000000)))</f>
        <v/>
      </c>
      <c r="AC132" t="str">
        <f>IF(M132="","",IF(M132&lt;Setup!$C$5-Setup!$C$6,"",IF(IF(ISNUMBER(Roster!$D132),Setup!$C$31&lt;=Roster!$D132,FALSE),"",IF(OR(IF(Setup!$C$15&lt;=Setup!$C$16,AND(MONTH(M132)&gt;=Setup!$C$15,MONTH(M132)&lt;=Setup!$C$16),OR(MONTH(M132)&gt;=Setup!$C$15,MONTH(M132)&lt;=Setup!$C$16)),IF(Setup!$C$15&lt;=Setup!$C$16,AND(MONTH(WORKDAY(M132,-(Setup!$C$13+Setup!$G$31),Setup!$C$39:$C$50))&gt;=Setup!$C$15,MONTH(WORKDAY(M132,-(Setup!$C$13+Setup!$G$31),Setup!$C$39:$C$50))&lt;=Setup!$C$16),OR(MONTH(WORKDAY(M132,-(Setup!$C$13+Setup!$G$31),Setup!$C$39:$C$50))&gt;=Setup!$C$15,MONTH(WORKDAY(M132,-(Setup!$C$13+Setup!$G$31),Setup!$C$39:$C$50))&lt;=Setup!$C$16))),WORKDAY(M132,-(Setup!$C$13+Setup!$G$31+Setup!$C$14),Setup!$C$39:$C$50),WORKDAY(M132,-(Setup!$C$13+Setup!$G$31),Setup!$C$39:$C$50))+(127*100+12)/10000000)))</f>
        <v/>
      </c>
      <c r="AD132" t="str">
        <f>IF(N132="","",IF(N132&lt;Setup!$C$5-Setup!$C$6,"",IF(IF(ISNUMBER(Roster!$D132),Setup!$C$32&lt;=Roster!$D132,FALSE),"",IF(OR(IF(Setup!$C$15&lt;=Setup!$C$16,AND(MONTH(N132)&gt;=Setup!$C$15,MONTH(N132)&lt;=Setup!$C$16),OR(MONTH(N132)&gt;=Setup!$C$15,MONTH(N132)&lt;=Setup!$C$16)),IF(Setup!$C$15&lt;=Setup!$C$16,AND(MONTH(WORKDAY(N132,-(Setup!$C$13+Setup!$G$32),Setup!$C$39:$C$50))&gt;=Setup!$C$15,MONTH(WORKDAY(N132,-(Setup!$C$13+Setup!$G$32),Setup!$C$39:$C$50))&lt;=Setup!$C$16),OR(MONTH(WORKDAY(N132,-(Setup!$C$13+Setup!$G$32),Setup!$C$39:$C$50))&gt;=Setup!$C$15,MONTH(WORKDAY(N132,-(Setup!$C$13+Setup!$G$32),Setup!$C$39:$C$50))&lt;=Setup!$C$16))),WORKDAY(N132,-(Setup!$C$13+Setup!$G$32+Setup!$C$14),Setup!$C$39:$C$50),WORKDAY(N132,-(Setup!$C$13+Setup!$G$32),Setup!$C$39:$C$50))+(127*100+13)/10000000)))</f>
        <v/>
      </c>
      <c r="AE132" t="str">
        <f>IF(O132="","",IF(O132&lt;Setup!$C$5-Setup!$C$6,"",IF(IF(ISNUMBER(Roster!$D132),Setup!$C$33&lt;=Roster!$D132,FALSE),"",IF(OR(IF(Setup!$C$15&lt;=Setup!$C$16,AND(MONTH(O132)&gt;=Setup!$C$15,MONTH(O132)&lt;=Setup!$C$16),OR(MONTH(O132)&gt;=Setup!$C$15,MONTH(O132)&lt;=Setup!$C$16)),IF(Setup!$C$15&lt;=Setup!$C$16,AND(MONTH(WORKDAY(O132,-(Setup!$C$13+Setup!$G$33),Setup!$C$39:$C$50))&gt;=Setup!$C$15,MONTH(WORKDAY(O132,-(Setup!$C$13+Setup!$G$33),Setup!$C$39:$C$50))&lt;=Setup!$C$16),OR(MONTH(WORKDAY(O132,-(Setup!$C$13+Setup!$G$33),Setup!$C$39:$C$50))&gt;=Setup!$C$15,MONTH(WORKDAY(O132,-(Setup!$C$13+Setup!$G$33),Setup!$C$39:$C$50))&lt;=Setup!$C$16))),WORKDAY(O132,-(Setup!$C$13+Setup!$G$33+Setup!$C$14),Setup!$C$39:$C$50),WORKDAY(O132,-(Setup!$C$13+Setup!$G$33),Setup!$C$39:$C$50))+(127*100+14)/10000000)))</f>
        <v/>
      </c>
      <c r="AF132" t="str">
        <f>IF(P132="","",IF(P132&lt;Setup!$C$5-Setup!$C$6,"",IF(IF(ISNUMBER(Roster!$D132),Setup!$C$34&lt;=Roster!$D132,FALSE),"",IF(OR(IF(Setup!$C$15&lt;=Setup!$C$16,AND(MONTH(P132)&gt;=Setup!$C$15,MONTH(P132)&lt;=Setup!$C$16),OR(MONTH(P132)&gt;=Setup!$C$15,MONTH(P132)&lt;=Setup!$C$16)),IF(Setup!$C$15&lt;=Setup!$C$16,AND(MONTH(WORKDAY(P132,-(Setup!$C$13+Setup!$G$34),Setup!$C$39:$C$50))&gt;=Setup!$C$15,MONTH(WORKDAY(P132,-(Setup!$C$13+Setup!$G$34),Setup!$C$39:$C$50))&lt;=Setup!$C$16),OR(MONTH(WORKDAY(P132,-(Setup!$C$13+Setup!$G$34),Setup!$C$39:$C$50))&gt;=Setup!$C$15,MONTH(WORKDAY(P132,-(Setup!$C$13+Setup!$G$34),Setup!$C$39:$C$50))&lt;=Setup!$C$16))),WORKDAY(P132,-(Setup!$C$13+Setup!$G$34+Setup!$C$14),Setup!$C$39:$C$50),WORKDAY(P132,-(Setup!$C$13+Setup!$G$34),Setup!$C$39:$C$50))+(127*100+15)/10000000)))</f>
        <v/>
      </c>
      <c r="AH132" t="str">
        <f t="shared" si="9"/>
        <v/>
      </c>
      <c r="AI132" t="str">
        <f t="shared" si="10"/>
        <v/>
      </c>
      <c r="AK132" t="str">
        <f ca="1">IF(127&gt;$AK$2,"",SMALL($R$6:$AF$505,127))</f>
        <v/>
      </c>
      <c r="AL132" t="str">
        <f t="shared" ca="1" si="11"/>
        <v/>
      </c>
      <c r="AM132" t="str">
        <f t="shared" ca="1" si="12"/>
        <v/>
      </c>
      <c r="AN132" t="str">
        <f t="shared" ca="1" si="13"/>
        <v/>
      </c>
      <c r="AP132" t="str">
        <f>IF(ISNUMBER(Roster!$B132),MAX(1,YEAR(Setup!$C$5)-YEAR(Roster!$B132)+IF(EDATE(Roster!$B132,12*(YEAR(Setup!$C$5)-YEAR(Roster!$B132)))&lt;Setup!$C$5,1,0)),"")</f>
        <v/>
      </c>
      <c r="AQ132" s="32" t="str">
        <f>IF(AP132="","",EDATE(Roster!$B132,12*AP132))</f>
        <v/>
      </c>
      <c r="AR132" t="str">
        <f>IF(AQ132="","",IF(AQ132&lt;DATE(YEAR(Setup!$C$5)+1,MONTH(Setup!$C$5),DAY(Setup!$C$5)),AQ132+127/1000,""))</f>
        <v/>
      </c>
      <c r="AS132" t="str">
        <f t="shared" si="14"/>
        <v/>
      </c>
      <c r="AT132" t="str">
        <f>IF(AS132="","",IF(ISNUMBER(Roster!$D132),Roster!$D132&gt;=AP132,FALSE))</f>
        <v/>
      </c>
      <c r="AU132" t="str">
        <f t="shared" si="15"/>
        <v/>
      </c>
      <c r="AV132" t="str">
        <f ca="1">IF(127&gt;$AV$2,"",SMALL($AR$6:$AR$505,127))</f>
        <v/>
      </c>
      <c r="AW132" t="str">
        <f t="shared" ca="1" si="16"/>
        <v/>
      </c>
    </row>
    <row r="133" spans="2:49" x14ac:dyDescent="0.2">
      <c r="B133" s="32" t="str">
        <f>IF(AND(ISNUMBER(Roster!$B133),Setup!$B$20="Yes",ISNUMBER(Setup!$C$20)),EDATE(Roster!$B133,12*Setup!$C$20),"")</f>
        <v/>
      </c>
      <c r="C133" s="32" t="str">
        <f>IF(AND(ISNUMBER(Roster!$B133),Setup!$B$21="Yes",ISNUMBER(Setup!$C$21)),EDATE(Roster!$B133,12*Setup!$C$21),"")</f>
        <v/>
      </c>
      <c r="D133" s="32" t="str">
        <f>IF(AND(ISNUMBER(Roster!$B133),Setup!$B$22="Yes",ISNUMBER(Setup!$C$22)),EDATE(Roster!$B133,12*Setup!$C$22),"")</f>
        <v/>
      </c>
      <c r="E133" s="32" t="str">
        <f>IF(AND(ISNUMBER(Roster!$B133),Setup!$B$23="Yes",ISNUMBER(Setup!$C$23)),EDATE(Roster!$B133,12*Setup!$C$23),"")</f>
        <v/>
      </c>
      <c r="F133" s="32" t="str">
        <f>IF(AND(ISNUMBER(Roster!$B133),Setup!$B$24="Yes",ISNUMBER(Setup!$C$24)),EDATE(Roster!$B133,12*Setup!$C$24),"")</f>
        <v/>
      </c>
      <c r="G133" s="32" t="str">
        <f>IF(AND(ISNUMBER(Roster!$B133),Setup!$B$25="Yes",ISNUMBER(Setup!$C$25)),EDATE(Roster!$B133,12*Setup!$C$25),"")</f>
        <v/>
      </c>
      <c r="H133" s="32" t="str">
        <f>IF(AND(ISNUMBER(Roster!$B133),Setup!$B$26="Yes",ISNUMBER(Setup!$C$26)),EDATE(Roster!$B133,12*Setup!$C$26),"")</f>
        <v/>
      </c>
      <c r="I133" s="32" t="str">
        <f>IF(AND(ISNUMBER(Roster!$B133),Setup!$B$27="Yes",ISNUMBER(Setup!$C$27)),EDATE(Roster!$B133,12*Setup!$C$27),"")</f>
        <v/>
      </c>
      <c r="J133" s="32" t="str">
        <f>IF(AND(ISNUMBER(Roster!$B133),Setup!$B$28="Yes",ISNUMBER(Setup!$C$28)),EDATE(Roster!$B133,12*Setup!$C$28),"")</f>
        <v/>
      </c>
      <c r="K133" s="32" t="str">
        <f>IF(AND(ISNUMBER(Roster!$B133),Setup!$B$29="Yes",ISNUMBER(Setup!$C$29)),EDATE(Roster!$B133,12*Setup!$C$29),"")</f>
        <v/>
      </c>
      <c r="L133" s="32" t="str">
        <f>IF(AND(ISNUMBER(Roster!$B133),Setup!$B$30="Yes",ISNUMBER(Setup!$C$30)),EDATE(Roster!$B133,12*Setup!$C$30),"")</f>
        <v/>
      </c>
      <c r="M133" s="32" t="str">
        <f>IF(AND(ISNUMBER(Roster!$B133),Setup!$B$31="Yes",ISNUMBER(Setup!$C$31)),EDATE(Roster!$B133,12*Setup!$C$31),"")</f>
        <v/>
      </c>
      <c r="N133" s="32" t="str">
        <f>IF(AND(ISNUMBER(Roster!$B133),Setup!$B$32="Yes",ISNUMBER(Setup!$C$32)),EDATE(Roster!$B133,12*Setup!$C$32),"")</f>
        <v/>
      </c>
      <c r="O133" s="32" t="str">
        <f>IF(AND(ISNUMBER(Roster!$B133),Setup!$B$33="Yes",ISNUMBER(Setup!$C$33)),EDATE(Roster!$B133,12*Setup!$C$33),"")</f>
        <v/>
      </c>
      <c r="P133" s="32" t="str">
        <f>IF(AND(ISNUMBER(Roster!$B133),Setup!$B$34="Yes",ISNUMBER(Setup!$C$34)),EDATE(Roster!$B133,12*Setup!$C$34),"")</f>
        <v/>
      </c>
      <c r="R133" t="str">
        <f>IF(B133="","",IF(B133&lt;Setup!$C$5-Setup!$C$6,"",IF(IF(ISNUMBER(Roster!$D133),Setup!$C$20&lt;=Roster!$D133,FALSE),"",IF(OR(IF(Setup!$C$15&lt;=Setup!$C$16,AND(MONTH(B133)&gt;=Setup!$C$15,MONTH(B133)&lt;=Setup!$C$16),OR(MONTH(B133)&gt;=Setup!$C$15,MONTH(B133)&lt;=Setup!$C$16)),IF(Setup!$C$15&lt;=Setup!$C$16,AND(MONTH(WORKDAY(B133,-(Setup!$C$13+Setup!$G$20),Setup!$C$39:$C$50))&gt;=Setup!$C$15,MONTH(WORKDAY(B133,-(Setup!$C$13+Setup!$G$20),Setup!$C$39:$C$50))&lt;=Setup!$C$16),OR(MONTH(WORKDAY(B133,-(Setup!$C$13+Setup!$G$20),Setup!$C$39:$C$50))&gt;=Setup!$C$15,MONTH(WORKDAY(B133,-(Setup!$C$13+Setup!$G$20),Setup!$C$39:$C$50))&lt;=Setup!$C$16))),WORKDAY(B133,-(Setup!$C$13+Setup!$G$20+Setup!$C$14),Setup!$C$39:$C$50),WORKDAY(B133,-(Setup!$C$13+Setup!$G$20),Setup!$C$39:$C$50))+(128*100+1)/10000000)))</f>
        <v/>
      </c>
      <c r="S133" t="str">
        <f>IF(C133="","",IF(C133&lt;Setup!$C$5-Setup!$C$6,"",IF(IF(ISNUMBER(Roster!$D133),Setup!$C$21&lt;=Roster!$D133,FALSE),"",IF(OR(IF(Setup!$C$15&lt;=Setup!$C$16,AND(MONTH(C133)&gt;=Setup!$C$15,MONTH(C133)&lt;=Setup!$C$16),OR(MONTH(C133)&gt;=Setup!$C$15,MONTH(C133)&lt;=Setup!$C$16)),IF(Setup!$C$15&lt;=Setup!$C$16,AND(MONTH(WORKDAY(C133,-(Setup!$C$13+Setup!$G$21),Setup!$C$39:$C$50))&gt;=Setup!$C$15,MONTH(WORKDAY(C133,-(Setup!$C$13+Setup!$G$21),Setup!$C$39:$C$50))&lt;=Setup!$C$16),OR(MONTH(WORKDAY(C133,-(Setup!$C$13+Setup!$G$21),Setup!$C$39:$C$50))&gt;=Setup!$C$15,MONTH(WORKDAY(C133,-(Setup!$C$13+Setup!$G$21),Setup!$C$39:$C$50))&lt;=Setup!$C$16))),WORKDAY(C133,-(Setup!$C$13+Setup!$G$21+Setup!$C$14),Setup!$C$39:$C$50),WORKDAY(C133,-(Setup!$C$13+Setup!$G$21),Setup!$C$39:$C$50))+(128*100+2)/10000000)))</f>
        <v/>
      </c>
      <c r="T133" t="str">
        <f>IF(D133="","",IF(D133&lt;Setup!$C$5-Setup!$C$6,"",IF(IF(ISNUMBER(Roster!$D133),Setup!$C$22&lt;=Roster!$D133,FALSE),"",IF(OR(IF(Setup!$C$15&lt;=Setup!$C$16,AND(MONTH(D133)&gt;=Setup!$C$15,MONTH(D133)&lt;=Setup!$C$16),OR(MONTH(D133)&gt;=Setup!$C$15,MONTH(D133)&lt;=Setup!$C$16)),IF(Setup!$C$15&lt;=Setup!$C$16,AND(MONTH(WORKDAY(D133,-(Setup!$C$13+Setup!$G$22),Setup!$C$39:$C$50))&gt;=Setup!$C$15,MONTH(WORKDAY(D133,-(Setup!$C$13+Setup!$G$22),Setup!$C$39:$C$50))&lt;=Setup!$C$16),OR(MONTH(WORKDAY(D133,-(Setup!$C$13+Setup!$G$22),Setup!$C$39:$C$50))&gt;=Setup!$C$15,MONTH(WORKDAY(D133,-(Setup!$C$13+Setup!$G$22),Setup!$C$39:$C$50))&lt;=Setup!$C$16))),WORKDAY(D133,-(Setup!$C$13+Setup!$G$22+Setup!$C$14),Setup!$C$39:$C$50),WORKDAY(D133,-(Setup!$C$13+Setup!$G$22),Setup!$C$39:$C$50))+(128*100+3)/10000000)))</f>
        <v/>
      </c>
      <c r="U133" t="str">
        <f>IF(E133="","",IF(E133&lt;Setup!$C$5-Setup!$C$6,"",IF(IF(ISNUMBER(Roster!$D133),Setup!$C$23&lt;=Roster!$D133,FALSE),"",IF(OR(IF(Setup!$C$15&lt;=Setup!$C$16,AND(MONTH(E133)&gt;=Setup!$C$15,MONTH(E133)&lt;=Setup!$C$16),OR(MONTH(E133)&gt;=Setup!$C$15,MONTH(E133)&lt;=Setup!$C$16)),IF(Setup!$C$15&lt;=Setup!$C$16,AND(MONTH(WORKDAY(E133,-(Setup!$C$13+Setup!$G$23),Setup!$C$39:$C$50))&gt;=Setup!$C$15,MONTH(WORKDAY(E133,-(Setup!$C$13+Setup!$G$23),Setup!$C$39:$C$50))&lt;=Setup!$C$16),OR(MONTH(WORKDAY(E133,-(Setup!$C$13+Setup!$G$23),Setup!$C$39:$C$50))&gt;=Setup!$C$15,MONTH(WORKDAY(E133,-(Setup!$C$13+Setup!$G$23),Setup!$C$39:$C$50))&lt;=Setup!$C$16))),WORKDAY(E133,-(Setup!$C$13+Setup!$G$23+Setup!$C$14),Setup!$C$39:$C$50),WORKDAY(E133,-(Setup!$C$13+Setup!$G$23),Setup!$C$39:$C$50))+(128*100+4)/10000000)))</f>
        <v/>
      </c>
      <c r="V133" t="str">
        <f>IF(F133="","",IF(F133&lt;Setup!$C$5-Setup!$C$6,"",IF(IF(ISNUMBER(Roster!$D133),Setup!$C$24&lt;=Roster!$D133,FALSE),"",IF(OR(IF(Setup!$C$15&lt;=Setup!$C$16,AND(MONTH(F133)&gt;=Setup!$C$15,MONTH(F133)&lt;=Setup!$C$16),OR(MONTH(F133)&gt;=Setup!$C$15,MONTH(F133)&lt;=Setup!$C$16)),IF(Setup!$C$15&lt;=Setup!$C$16,AND(MONTH(WORKDAY(F133,-(Setup!$C$13+Setup!$G$24),Setup!$C$39:$C$50))&gt;=Setup!$C$15,MONTH(WORKDAY(F133,-(Setup!$C$13+Setup!$G$24),Setup!$C$39:$C$50))&lt;=Setup!$C$16),OR(MONTH(WORKDAY(F133,-(Setup!$C$13+Setup!$G$24),Setup!$C$39:$C$50))&gt;=Setup!$C$15,MONTH(WORKDAY(F133,-(Setup!$C$13+Setup!$G$24),Setup!$C$39:$C$50))&lt;=Setup!$C$16))),WORKDAY(F133,-(Setup!$C$13+Setup!$G$24+Setup!$C$14),Setup!$C$39:$C$50),WORKDAY(F133,-(Setup!$C$13+Setup!$G$24),Setup!$C$39:$C$50))+(128*100+5)/10000000)))</f>
        <v/>
      </c>
      <c r="W133" t="str">
        <f>IF(G133="","",IF(G133&lt;Setup!$C$5-Setup!$C$6,"",IF(IF(ISNUMBER(Roster!$D133),Setup!$C$25&lt;=Roster!$D133,FALSE),"",IF(OR(IF(Setup!$C$15&lt;=Setup!$C$16,AND(MONTH(G133)&gt;=Setup!$C$15,MONTH(G133)&lt;=Setup!$C$16),OR(MONTH(G133)&gt;=Setup!$C$15,MONTH(G133)&lt;=Setup!$C$16)),IF(Setup!$C$15&lt;=Setup!$C$16,AND(MONTH(WORKDAY(G133,-(Setup!$C$13+Setup!$G$25),Setup!$C$39:$C$50))&gt;=Setup!$C$15,MONTH(WORKDAY(G133,-(Setup!$C$13+Setup!$G$25),Setup!$C$39:$C$50))&lt;=Setup!$C$16),OR(MONTH(WORKDAY(G133,-(Setup!$C$13+Setup!$G$25),Setup!$C$39:$C$50))&gt;=Setup!$C$15,MONTH(WORKDAY(G133,-(Setup!$C$13+Setup!$G$25),Setup!$C$39:$C$50))&lt;=Setup!$C$16))),WORKDAY(G133,-(Setup!$C$13+Setup!$G$25+Setup!$C$14),Setup!$C$39:$C$50),WORKDAY(G133,-(Setup!$C$13+Setup!$G$25),Setup!$C$39:$C$50))+(128*100+6)/10000000)))</f>
        <v/>
      </c>
      <c r="X133" t="str">
        <f>IF(H133="","",IF(H133&lt;Setup!$C$5-Setup!$C$6,"",IF(IF(ISNUMBER(Roster!$D133),Setup!$C$26&lt;=Roster!$D133,FALSE),"",IF(OR(IF(Setup!$C$15&lt;=Setup!$C$16,AND(MONTH(H133)&gt;=Setup!$C$15,MONTH(H133)&lt;=Setup!$C$16),OR(MONTH(H133)&gt;=Setup!$C$15,MONTH(H133)&lt;=Setup!$C$16)),IF(Setup!$C$15&lt;=Setup!$C$16,AND(MONTH(WORKDAY(H133,-(Setup!$C$13+Setup!$G$26),Setup!$C$39:$C$50))&gt;=Setup!$C$15,MONTH(WORKDAY(H133,-(Setup!$C$13+Setup!$G$26),Setup!$C$39:$C$50))&lt;=Setup!$C$16),OR(MONTH(WORKDAY(H133,-(Setup!$C$13+Setup!$G$26),Setup!$C$39:$C$50))&gt;=Setup!$C$15,MONTH(WORKDAY(H133,-(Setup!$C$13+Setup!$G$26),Setup!$C$39:$C$50))&lt;=Setup!$C$16))),WORKDAY(H133,-(Setup!$C$13+Setup!$G$26+Setup!$C$14),Setup!$C$39:$C$50),WORKDAY(H133,-(Setup!$C$13+Setup!$G$26),Setup!$C$39:$C$50))+(128*100+7)/10000000)))</f>
        <v/>
      </c>
      <c r="Y133" t="str">
        <f>IF(I133="","",IF(I133&lt;Setup!$C$5-Setup!$C$6,"",IF(IF(ISNUMBER(Roster!$D133),Setup!$C$27&lt;=Roster!$D133,FALSE),"",IF(OR(IF(Setup!$C$15&lt;=Setup!$C$16,AND(MONTH(I133)&gt;=Setup!$C$15,MONTH(I133)&lt;=Setup!$C$16),OR(MONTH(I133)&gt;=Setup!$C$15,MONTH(I133)&lt;=Setup!$C$16)),IF(Setup!$C$15&lt;=Setup!$C$16,AND(MONTH(WORKDAY(I133,-(Setup!$C$13+Setup!$G$27),Setup!$C$39:$C$50))&gt;=Setup!$C$15,MONTH(WORKDAY(I133,-(Setup!$C$13+Setup!$G$27),Setup!$C$39:$C$50))&lt;=Setup!$C$16),OR(MONTH(WORKDAY(I133,-(Setup!$C$13+Setup!$G$27),Setup!$C$39:$C$50))&gt;=Setup!$C$15,MONTH(WORKDAY(I133,-(Setup!$C$13+Setup!$G$27),Setup!$C$39:$C$50))&lt;=Setup!$C$16))),WORKDAY(I133,-(Setup!$C$13+Setup!$G$27+Setup!$C$14),Setup!$C$39:$C$50),WORKDAY(I133,-(Setup!$C$13+Setup!$G$27),Setup!$C$39:$C$50))+(128*100+8)/10000000)))</f>
        <v/>
      </c>
      <c r="Z133" t="str">
        <f>IF(J133="","",IF(J133&lt;Setup!$C$5-Setup!$C$6,"",IF(IF(ISNUMBER(Roster!$D133),Setup!$C$28&lt;=Roster!$D133,FALSE),"",IF(OR(IF(Setup!$C$15&lt;=Setup!$C$16,AND(MONTH(J133)&gt;=Setup!$C$15,MONTH(J133)&lt;=Setup!$C$16),OR(MONTH(J133)&gt;=Setup!$C$15,MONTH(J133)&lt;=Setup!$C$16)),IF(Setup!$C$15&lt;=Setup!$C$16,AND(MONTH(WORKDAY(J133,-(Setup!$C$13+Setup!$G$28),Setup!$C$39:$C$50))&gt;=Setup!$C$15,MONTH(WORKDAY(J133,-(Setup!$C$13+Setup!$G$28),Setup!$C$39:$C$50))&lt;=Setup!$C$16),OR(MONTH(WORKDAY(J133,-(Setup!$C$13+Setup!$G$28),Setup!$C$39:$C$50))&gt;=Setup!$C$15,MONTH(WORKDAY(J133,-(Setup!$C$13+Setup!$G$28),Setup!$C$39:$C$50))&lt;=Setup!$C$16))),WORKDAY(J133,-(Setup!$C$13+Setup!$G$28+Setup!$C$14),Setup!$C$39:$C$50),WORKDAY(J133,-(Setup!$C$13+Setup!$G$28),Setup!$C$39:$C$50))+(128*100+9)/10000000)))</f>
        <v/>
      </c>
      <c r="AA133" t="str">
        <f>IF(K133="","",IF(K133&lt;Setup!$C$5-Setup!$C$6,"",IF(IF(ISNUMBER(Roster!$D133),Setup!$C$29&lt;=Roster!$D133,FALSE),"",IF(OR(IF(Setup!$C$15&lt;=Setup!$C$16,AND(MONTH(K133)&gt;=Setup!$C$15,MONTH(K133)&lt;=Setup!$C$16),OR(MONTH(K133)&gt;=Setup!$C$15,MONTH(K133)&lt;=Setup!$C$16)),IF(Setup!$C$15&lt;=Setup!$C$16,AND(MONTH(WORKDAY(K133,-(Setup!$C$13+Setup!$G$29),Setup!$C$39:$C$50))&gt;=Setup!$C$15,MONTH(WORKDAY(K133,-(Setup!$C$13+Setup!$G$29),Setup!$C$39:$C$50))&lt;=Setup!$C$16),OR(MONTH(WORKDAY(K133,-(Setup!$C$13+Setup!$G$29),Setup!$C$39:$C$50))&gt;=Setup!$C$15,MONTH(WORKDAY(K133,-(Setup!$C$13+Setup!$G$29),Setup!$C$39:$C$50))&lt;=Setup!$C$16))),WORKDAY(K133,-(Setup!$C$13+Setup!$G$29+Setup!$C$14),Setup!$C$39:$C$50),WORKDAY(K133,-(Setup!$C$13+Setup!$G$29),Setup!$C$39:$C$50))+(128*100+10)/10000000)))</f>
        <v/>
      </c>
      <c r="AB133" t="str">
        <f>IF(L133="","",IF(L133&lt;Setup!$C$5-Setup!$C$6,"",IF(IF(ISNUMBER(Roster!$D133),Setup!$C$30&lt;=Roster!$D133,FALSE),"",IF(OR(IF(Setup!$C$15&lt;=Setup!$C$16,AND(MONTH(L133)&gt;=Setup!$C$15,MONTH(L133)&lt;=Setup!$C$16),OR(MONTH(L133)&gt;=Setup!$C$15,MONTH(L133)&lt;=Setup!$C$16)),IF(Setup!$C$15&lt;=Setup!$C$16,AND(MONTH(WORKDAY(L133,-(Setup!$C$13+Setup!$G$30),Setup!$C$39:$C$50))&gt;=Setup!$C$15,MONTH(WORKDAY(L133,-(Setup!$C$13+Setup!$G$30),Setup!$C$39:$C$50))&lt;=Setup!$C$16),OR(MONTH(WORKDAY(L133,-(Setup!$C$13+Setup!$G$30),Setup!$C$39:$C$50))&gt;=Setup!$C$15,MONTH(WORKDAY(L133,-(Setup!$C$13+Setup!$G$30),Setup!$C$39:$C$50))&lt;=Setup!$C$16))),WORKDAY(L133,-(Setup!$C$13+Setup!$G$30+Setup!$C$14),Setup!$C$39:$C$50),WORKDAY(L133,-(Setup!$C$13+Setup!$G$30),Setup!$C$39:$C$50))+(128*100+11)/10000000)))</f>
        <v/>
      </c>
      <c r="AC133" t="str">
        <f>IF(M133="","",IF(M133&lt;Setup!$C$5-Setup!$C$6,"",IF(IF(ISNUMBER(Roster!$D133),Setup!$C$31&lt;=Roster!$D133,FALSE),"",IF(OR(IF(Setup!$C$15&lt;=Setup!$C$16,AND(MONTH(M133)&gt;=Setup!$C$15,MONTH(M133)&lt;=Setup!$C$16),OR(MONTH(M133)&gt;=Setup!$C$15,MONTH(M133)&lt;=Setup!$C$16)),IF(Setup!$C$15&lt;=Setup!$C$16,AND(MONTH(WORKDAY(M133,-(Setup!$C$13+Setup!$G$31),Setup!$C$39:$C$50))&gt;=Setup!$C$15,MONTH(WORKDAY(M133,-(Setup!$C$13+Setup!$G$31),Setup!$C$39:$C$50))&lt;=Setup!$C$16),OR(MONTH(WORKDAY(M133,-(Setup!$C$13+Setup!$G$31),Setup!$C$39:$C$50))&gt;=Setup!$C$15,MONTH(WORKDAY(M133,-(Setup!$C$13+Setup!$G$31),Setup!$C$39:$C$50))&lt;=Setup!$C$16))),WORKDAY(M133,-(Setup!$C$13+Setup!$G$31+Setup!$C$14),Setup!$C$39:$C$50),WORKDAY(M133,-(Setup!$C$13+Setup!$G$31),Setup!$C$39:$C$50))+(128*100+12)/10000000)))</f>
        <v/>
      </c>
      <c r="AD133" t="str">
        <f>IF(N133="","",IF(N133&lt;Setup!$C$5-Setup!$C$6,"",IF(IF(ISNUMBER(Roster!$D133),Setup!$C$32&lt;=Roster!$D133,FALSE),"",IF(OR(IF(Setup!$C$15&lt;=Setup!$C$16,AND(MONTH(N133)&gt;=Setup!$C$15,MONTH(N133)&lt;=Setup!$C$16),OR(MONTH(N133)&gt;=Setup!$C$15,MONTH(N133)&lt;=Setup!$C$16)),IF(Setup!$C$15&lt;=Setup!$C$16,AND(MONTH(WORKDAY(N133,-(Setup!$C$13+Setup!$G$32),Setup!$C$39:$C$50))&gt;=Setup!$C$15,MONTH(WORKDAY(N133,-(Setup!$C$13+Setup!$G$32),Setup!$C$39:$C$50))&lt;=Setup!$C$16),OR(MONTH(WORKDAY(N133,-(Setup!$C$13+Setup!$G$32),Setup!$C$39:$C$50))&gt;=Setup!$C$15,MONTH(WORKDAY(N133,-(Setup!$C$13+Setup!$G$32),Setup!$C$39:$C$50))&lt;=Setup!$C$16))),WORKDAY(N133,-(Setup!$C$13+Setup!$G$32+Setup!$C$14),Setup!$C$39:$C$50),WORKDAY(N133,-(Setup!$C$13+Setup!$G$32),Setup!$C$39:$C$50))+(128*100+13)/10000000)))</f>
        <v/>
      </c>
      <c r="AE133" t="str">
        <f>IF(O133="","",IF(O133&lt;Setup!$C$5-Setup!$C$6,"",IF(IF(ISNUMBER(Roster!$D133),Setup!$C$33&lt;=Roster!$D133,FALSE),"",IF(OR(IF(Setup!$C$15&lt;=Setup!$C$16,AND(MONTH(O133)&gt;=Setup!$C$15,MONTH(O133)&lt;=Setup!$C$16),OR(MONTH(O133)&gt;=Setup!$C$15,MONTH(O133)&lt;=Setup!$C$16)),IF(Setup!$C$15&lt;=Setup!$C$16,AND(MONTH(WORKDAY(O133,-(Setup!$C$13+Setup!$G$33),Setup!$C$39:$C$50))&gt;=Setup!$C$15,MONTH(WORKDAY(O133,-(Setup!$C$13+Setup!$G$33),Setup!$C$39:$C$50))&lt;=Setup!$C$16),OR(MONTH(WORKDAY(O133,-(Setup!$C$13+Setup!$G$33),Setup!$C$39:$C$50))&gt;=Setup!$C$15,MONTH(WORKDAY(O133,-(Setup!$C$13+Setup!$G$33),Setup!$C$39:$C$50))&lt;=Setup!$C$16))),WORKDAY(O133,-(Setup!$C$13+Setup!$G$33+Setup!$C$14),Setup!$C$39:$C$50),WORKDAY(O133,-(Setup!$C$13+Setup!$G$33),Setup!$C$39:$C$50))+(128*100+14)/10000000)))</f>
        <v/>
      </c>
      <c r="AF133" t="str">
        <f>IF(P133="","",IF(P133&lt;Setup!$C$5-Setup!$C$6,"",IF(IF(ISNUMBER(Roster!$D133),Setup!$C$34&lt;=Roster!$D133,FALSE),"",IF(OR(IF(Setup!$C$15&lt;=Setup!$C$16,AND(MONTH(P133)&gt;=Setup!$C$15,MONTH(P133)&lt;=Setup!$C$16),OR(MONTH(P133)&gt;=Setup!$C$15,MONTH(P133)&lt;=Setup!$C$16)),IF(Setup!$C$15&lt;=Setup!$C$16,AND(MONTH(WORKDAY(P133,-(Setup!$C$13+Setup!$G$34),Setup!$C$39:$C$50))&gt;=Setup!$C$15,MONTH(WORKDAY(P133,-(Setup!$C$13+Setup!$G$34),Setup!$C$39:$C$50))&lt;=Setup!$C$16),OR(MONTH(WORKDAY(P133,-(Setup!$C$13+Setup!$G$34),Setup!$C$39:$C$50))&gt;=Setup!$C$15,MONTH(WORKDAY(P133,-(Setup!$C$13+Setup!$G$34),Setup!$C$39:$C$50))&lt;=Setup!$C$16))),WORKDAY(P133,-(Setup!$C$13+Setup!$G$34+Setup!$C$14),Setup!$C$39:$C$50),WORKDAY(P133,-(Setup!$C$13+Setup!$G$34),Setup!$C$39:$C$50))+(128*100+15)/10000000)))</f>
        <v/>
      </c>
      <c r="AH133" t="str">
        <f t="shared" si="9"/>
        <v/>
      </c>
      <c r="AI133" t="str">
        <f t="shared" si="10"/>
        <v/>
      </c>
      <c r="AK133" t="str">
        <f ca="1">IF(128&gt;$AK$2,"",SMALL($R$6:$AF$505,128))</f>
        <v/>
      </c>
      <c r="AL133" t="str">
        <f t="shared" ca="1" si="11"/>
        <v/>
      </c>
      <c r="AM133" t="str">
        <f t="shared" ca="1" si="12"/>
        <v/>
      </c>
      <c r="AN133" t="str">
        <f t="shared" ca="1" si="13"/>
        <v/>
      </c>
      <c r="AP133" t="str">
        <f>IF(ISNUMBER(Roster!$B133),MAX(1,YEAR(Setup!$C$5)-YEAR(Roster!$B133)+IF(EDATE(Roster!$B133,12*(YEAR(Setup!$C$5)-YEAR(Roster!$B133)))&lt;Setup!$C$5,1,0)),"")</f>
        <v/>
      </c>
      <c r="AQ133" s="32" t="str">
        <f>IF(AP133="","",EDATE(Roster!$B133,12*AP133))</f>
        <v/>
      </c>
      <c r="AR133" t="str">
        <f>IF(AQ133="","",IF(AQ133&lt;DATE(YEAR(Setup!$C$5)+1,MONTH(Setup!$C$5),DAY(Setup!$C$5)),AQ133+128/1000,""))</f>
        <v/>
      </c>
      <c r="AS133" t="str">
        <f t="shared" si="14"/>
        <v/>
      </c>
      <c r="AT133" t="str">
        <f>IF(AS133="","",IF(ISNUMBER(Roster!$D133),Roster!$D133&gt;=AP133,FALSE))</f>
        <v/>
      </c>
      <c r="AU133" t="str">
        <f t="shared" si="15"/>
        <v/>
      </c>
      <c r="AV133" t="str">
        <f ca="1">IF(128&gt;$AV$2,"",SMALL($AR$6:$AR$505,128))</f>
        <v/>
      </c>
      <c r="AW133" t="str">
        <f t="shared" ca="1" si="16"/>
        <v/>
      </c>
    </row>
    <row r="134" spans="2:49" x14ac:dyDescent="0.2">
      <c r="B134" s="32" t="str">
        <f>IF(AND(ISNUMBER(Roster!$B134),Setup!$B$20="Yes",ISNUMBER(Setup!$C$20)),EDATE(Roster!$B134,12*Setup!$C$20),"")</f>
        <v/>
      </c>
      <c r="C134" s="32" t="str">
        <f>IF(AND(ISNUMBER(Roster!$B134),Setup!$B$21="Yes",ISNUMBER(Setup!$C$21)),EDATE(Roster!$B134,12*Setup!$C$21),"")</f>
        <v/>
      </c>
      <c r="D134" s="32" t="str">
        <f>IF(AND(ISNUMBER(Roster!$B134),Setup!$B$22="Yes",ISNUMBER(Setup!$C$22)),EDATE(Roster!$B134,12*Setup!$C$22),"")</f>
        <v/>
      </c>
      <c r="E134" s="32" t="str">
        <f>IF(AND(ISNUMBER(Roster!$B134),Setup!$B$23="Yes",ISNUMBER(Setup!$C$23)),EDATE(Roster!$B134,12*Setup!$C$23),"")</f>
        <v/>
      </c>
      <c r="F134" s="32" t="str">
        <f>IF(AND(ISNUMBER(Roster!$B134),Setup!$B$24="Yes",ISNUMBER(Setup!$C$24)),EDATE(Roster!$B134,12*Setup!$C$24),"")</f>
        <v/>
      </c>
      <c r="G134" s="32" t="str">
        <f>IF(AND(ISNUMBER(Roster!$B134),Setup!$B$25="Yes",ISNUMBER(Setup!$C$25)),EDATE(Roster!$B134,12*Setup!$C$25),"")</f>
        <v/>
      </c>
      <c r="H134" s="32" t="str">
        <f>IF(AND(ISNUMBER(Roster!$B134),Setup!$B$26="Yes",ISNUMBER(Setup!$C$26)),EDATE(Roster!$B134,12*Setup!$C$26),"")</f>
        <v/>
      </c>
      <c r="I134" s="32" t="str">
        <f>IF(AND(ISNUMBER(Roster!$B134),Setup!$B$27="Yes",ISNUMBER(Setup!$C$27)),EDATE(Roster!$B134,12*Setup!$C$27),"")</f>
        <v/>
      </c>
      <c r="J134" s="32" t="str">
        <f>IF(AND(ISNUMBER(Roster!$B134),Setup!$B$28="Yes",ISNUMBER(Setup!$C$28)),EDATE(Roster!$B134,12*Setup!$C$28),"")</f>
        <v/>
      </c>
      <c r="K134" s="32" t="str">
        <f>IF(AND(ISNUMBER(Roster!$B134),Setup!$B$29="Yes",ISNUMBER(Setup!$C$29)),EDATE(Roster!$B134,12*Setup!$C$29),"")</f>
        <v/>
      </c>
      <c r="L134" s="32" t="str">
        <f>IF(AND(ISNUMBER(Roster!$B134),Setup!$B$30="Yes",ISNUMBER(Setup!$C$30)),EDATE(Roster!$B134,12*Setup!$C$30),"")</f>
        <v/>
      </c>
      <c r="M134" s="32" t="str">
        <f>IF(AND(ISNUMBER(Roster!$B134),Setup!$B$31="Yes",ISNUMBER(Setup!$C$31)),EDATE(Roster!$B134,12*Setup!$C$31),"")</f>
        <v/>
      </c>
      <c r="N134" s="32" t="str">
        <f>IF(AND(ISNUMBER(Roster!$B134),Setup!$B$32="Yes",ISNUMBER(Setup!$C$32)),EDATE(Roster!$B134,12*Setup!$C$32),"")</f>
        <v/>
      </c>
      <c r="O134" s="32" t="str">
        <f>IF(AND(ISNUMBER(Roster!$B134),Setup!$B$33="Yes",ISNUMBER(Setup!$C$33)),EDATE(Roster!$B134,12*Setup!$C$33),"")</f>
        <v/>
      </c>
      <c r="P134" s="32" t="str">
        <f>IF(AND(ISNUMBER(Roster!$B134),Setup!$B$34="Yes",ISNUMBER(Setup!$C$34)),EDATE(Roster!$B134,12*Setup!$C$34),"")</f>
        <v/>
      </c>
      <c r="R134" t="str">
        <f>IF(B134="","",IF(B134&lt;Setup!$C$5-Setup!$C$6,"",IF(IF(ISNUMBER(Roster!$D134),Setup!$C$20&lt;=Roster!$D134,FALSE),"",IF(OR(IF(Setup!$C$15&lt;=Setup!$C$16,AND(MONTH(B134)&gt;=Setup!$C$15,MONTH(B134)&lt;=Setup!$C$16),OR(MONTH(B134)&gt;=Setup!$C$15,MONTH(B134)&lt;=Setup!$C$16)),IF(Setup!$C$15&lt;=Setup!$C$16,AND(MONTH(WORKDAY(B134,-(Setup!$C$13+Setup!$G$20),Setup!$C$39:$C$50))&gt;=Setup!$C$15,MONTH(WORKDAY(B134,-(Setup!$C$13+Setup!$G$20),Setup!$C$39:$C$50))&lt;=Setup!$C$16),OR(MONTH(WORKDAY(B134,-(Setup!$C$13+Setup!$G$20),Setup!$C$39:$C$50))&gt;=Setup!$C$15,MONTH(WORKDAY(B134,-(Setup!$C$13+Setup!$G$20),Setup!$C$39:$C$50))&lt;=Setup!$C$16))),WORKDAY(B134,-(Setup!$C$13+Setup!$G$20+Setup!$C$14),Setup!$C$39:$C$50),WORKDAY(B134,-(Setup!$C$13+Setup!$G$20),Setup!$C$39:$C$50))+(129*100+1)/10000000)))</f>
        <v/>
      </c>
      <c r="S134" t="str">
        <f>IF(C134="","",IF(C134&lt;Setup!$C$5-Setup!$C$6,"",IF(IF(ISNUMBER(Roster!$D134),Setup!$C$21&lt;=Roster!$D134,FALSE),"",IF(OR(IF(Setup!$C$15&lt;=Setup!$C$16,AND(MONTH(C134)&gt;=Setup!$C$15,MONTH(C134)&lt;=Setup!$C$16),OR(MONTH(C134)&gt;=Setup!$C$15,MONTH(C134)&lt;=Setup!$C$16)),IF(Setup!$C$15&lt;=Setup!$C$16,AND(MONTH(WORKDAY(C134,-(Setup!$C$13+Setup!$G$21),Setup!$C$39:$C$50))&gt;=Setup!$C$15,MONTH(WORKDAY(C134,-(Setup!$C$13+Setup!$G$21),Setup!$C$39:$C$50))&lt;=Setup!$C$16),OR(MONTH(WORKDAY(C134,-(Setup!$C$13+Setup!$G$21),Setup!$C$39:$C$50))&gt;=Setup!$C$15,MONTH(WORKDAY(C134,-(Setup!$C$13+Setup!$G$21),Setup!$C$39:$C$50))&lt;=Setup!$C$16))),WORKDAY(C134,-(Setup!$C$13+Setup!$G$21+Setup!$C$14),Setup!$C$39:$C$50),WORKDAY(C134,-(Setup!$C$13+Setup!$G$21),Setup!$C$39:$C$50))+(129*100+2)/10000000)))</f>
        <v/>
      </c>
      <c r="T134" t="str">
        <f>IF(D134="","",IF(D134&lt;Setup!$C$5-Setup!$C$6,"",IF(IF(ISNUMBER(Roster!$D134),Setup!$C$22&lt;=Roster!$D134,FALSE),"",IF(OR(IF(Setup!$C$15&lt;=Setup!$C$16,AND(MONTH(D134)&gt;=Setup!$C$15,MONTH(D134)&lt;=Setup!$C$16),OR(MONTH(D134)&gt;=Setup!$C$15,MONTH(D134)&lt;=Setup!$C$16)),IF(Setup!$C$15&lt;=Setup!$C$16,AND(MONTH(WORKDAY(D134,-(Setup!$C$13+Setup!$G$22),Setup!$C$39:$C$50))&gt;=Setup!$C$15,MONTH(WORKDAY(D134,-(Setup!$C$13+Setup!$G$22),Setup!$C$39:$C$50))&lt;=Setup!$C$16),OR(MONTH(WORKDAY(D134,-(Setup!$C$13+Setup!$G$22),Setup!$C$39:$C$50))&gt;=Setup!$C$15,MONTH(WORKDAY(D134,-(Setup!$C$13+Setup!$G$22),Setup!$C$39:$C$50))&lt;=Setup!$C$16))),WORKDAY(D134,-(Setup!$C$13+Setup!$G$22+Setup!$C$14),Setup!$C$39:$C$50),WORKDAY(D134,-(Setup!$C$13+Setup!$G$22),Setup!$C$39:$C$50))+(129*100+3)/10000000)))</f>
        <v/>
      </c>
      <c r="U134" t="str">
        <f>IF(E134="","",IF(E134&lt;Setup!$C$5-Setup!$C$6,"",IF(IF(ISNUMBER(Roster!$D134),Setup!$C$23&lt;=Roster!$D134,FALSE),"",IF(OR(IF(Setup!$C$15&lt;=Setup!$C$16,AND(MONTH(E134)&gt;=Setup!$C$15,MONTH(E134)&lt;=Setup!$C$16),OR(MONTH(E134)&gt;=Setup!$C$15,MONTH(E134)&lt;=Setup!$C$16)),IF(Setup!$C$15&lt;=Setup!$C$16,AND(MONTH(WORKDAY(E134,-(Setup!$C$13+Setup!$G$23),Setup!$C$39:$C$50))&gt;=Setup!$C$15,MONTH(WORKDAY(E134,-(Setup!$C$13+Setup!$G$23),Setup!$C$39:$C$50))&lt;=Setup!$C$16),OR(MONTH(WORKDAY(E134,-(Setup!$C$13+Setup!$G$23),Setup!$C$39:$C$50))&gt;=Setup!$C$15,MONTH(WORKDAY(E134,-(Setup!$C$13+Setup!$G$23),Setup!$C$39:$C$50))&lt;=Setup!$C$16))),WORKDAY(E134,-(Setup!$C$13+Setup!$G$23+Setup!$C$14),Setup!$C$39:$C$50),WORKDAY(E134,-(Setup!$C$13+Setup!$G$23),Setup!$C$39:$C$50))+(129*100+4)/10000000)))</f>
        <v/>
      </c>
      <c r="V134" t="str">
        <f>IF(F134="","",IF(F134&lt;Setup!$C$5-Setup!$C$6,"",IF(IF(ISNUMBER(Roster!$D134),Setup!$C$24&lt;=Roster!$D134,FALSE),"",IF(OR(IF(Setup!$C$15&lt;=Setup!$C$16,AND(MONTH(F134)&gt;=Setup!$C$15,MONTH(F134)&lt;=Setup!$C$16),OR(MONTH(F134)&gt;=Setup!$C$15,MONTH(F134)&lt;=Setup!$C$16)),IF(Setup!$C$15&lt;=Setup!$C$16,AND(MONTH(WORKDAY(F134,-(Setup!$C$13+Setup!$G$24),Setup!$C$39:$C$50))&gt;=Setup!$C$15,MONTH(WORKDAY(F134,-(Setup!$C$13+Setup!$G$24),Setup!$C$39:$C$50))&lt;=Setup!$C$16),OR(MONTH(WORKDAY(F134,-(Setup!$C$13+Setup!$G$24),Setup!$C$39:$C$50))&gt;=Setup!$C$15,MONTH(WORKDAY(F134,-(Setup!$C$13+Setup!$G$24),Setup!$C$39:$C$50))&lt;=Setup!$C$16))),WORKDAY(F134,-(Setup!$C$13+Setup!$G$24+Setup!$C$14),Setup!$C$39:$C$50),WORKDAY(F134,-(Setup!$C$13+Setup!$G$24),Setup!$C$39:$C$50))+(129*100+5)/10000000)))</f>
        <v/>
      </c>
      <c r="W134" t="str">
        <f>IF(G134="","",IF(G134&lt;Setup!$C$5-Setup!$C$6,"",IF(IF(ISNUMBER(Roster!$D134),Setup!$C$25&lt;=Roster!$D134,FALSE),"",IF(OR(IF(Setup!$C$15&lt;=Setup!$C$16,AND(MONTH(G134)&gt;=Setup!$C$15,MONTH(G134)&lt;=Setup!$C$16),OR(MONTH(G134)&gt;=Setup!$C$15,MONTH(G134)&lt;=Setup!$C$16)),IF(Setup!$C$15&lt;=Setup!$C$16,AND(MONTH(WORKDAY(G134,-(Setup!$C$13+Setup!$G$25),Setup!$C$39:$C$50))&gt;=Setup!$C$15,MONTH(WORKDAY(G134,-(Setup!$C$13+Setup!$G$25),Setup!$C$39:$C$50))&lt;=Setup!$C$16),OR(MONTH(WORKDAY(G134,-(Setup!$C$13+Setup!$G$25),Setup!$C$39:$C$50))&gt;=Setup!$C$15,MONTH(WORKDAY(G134,-(Setup!$C$13+Setup!$G$25),Setup!$C$39:$C$50))&lt;=Setup!$C$16))),WORKDAY(G134,-(Setup!$C$13+Setup!$G$25+Setup!$C$14),Setup!$C$39:$C$50),WORKDAY(G134,-(Setup!$C$13+Setup!$G$25),Setup!$C$39:$C$50))+(129*100+6)/10000000)))</f>
        <v/>
      </c>
      <c r="X134" t="str">
        <f>IF(H134="","",IF(H134&lt;Setup!$C$5-Setup!$C$6,"",IF(IF(ISNUMBER(Roster!$D134),Setup!$C$26&lt;=Roster!$D134,FALSE),"",IF(OR(IF(Setup!$C$15&lt;=Setup!$C$16,AND(MONTH(H134)&gt;=Setup!$C$15,MONTH(H134)&lt;=Setup!$C$16),OR(MONTH(H134)&gt;=Setup!$C$15,MONTH(H134)&lt;=Setup!$C$16)),IF(Setup!$C$15&lt;=Setup!$C$16,AND(MONTH(WORKDAY(H134,-(Setup!$C$13+Setup!$G$26),Setup!$C$39:$C$50))&gt;=Setup!$C$15,MONTH(WORKDAY(H134,-(Setup!$C$13+Setup!$G$26),Setup!$C$39:$C$50))&lt;=Setup!$C$16),OR(MONTH(WORKDAY(H134,-(Setup!$C$13+Setup!$G$26),Setup!$C$39:$C$50))&gt;=Setup!$C$15,MONTH(WORKDAY(H134,-(Setup!$C$13+Setup!$G$26),Setup!$C$39:$C$50))&lt;=Setup!$C$16))),WORKDAY(H134,-(Setup!$C$13+Setup!$G$26+Setup!$C$14),Setup!$C$39:$C$50),WORKDAY(H134,-(Setup!$C$13+Setup!$G$26),Setup!$C$39:$C$50))+(129*100+7)/10000000)))</f>
        <v/>
      </c>
      <c r="Y134" t="str">
        <f>IF(I134="","",IF(I134&lt;Setup!$C$5-Setup!$C$6,"",IF(IF(ISNUMBER(Roster!$D134),Setup!$C$27&lt;=Roster!$D134,FALSE),"",IF(OR(IF(Setup!$C$15&lt;=Setup!$C$16,AND(MONTH(I134)&gt;=Setup!$C$15,MONTH(I134)&lt;=Setup!$C$16),OR(MONTH(I134)&gt;=Setup!$C$15,MONTH(I134)&lt;=Setup!$C$16)),IF(Setup!$C$15&lt;=Setup!$C$16,AND(MONTH(WORKDAY(I134,-(Setup!$C$13+Setup!$G$27),Setup!$C$39:$C$50))&gt;=Setup!$C$15,MONTH(WORKDAY(I134,-(Setup!$C$13+Setup!$G$27),Setup!$C$39:$C$50))&lt;=Setup!$C$16),OR(MONTH(WORKDAY(I134,-(Setup!$C$13+Setup!$G$27),Setup!$C$39:$C$50))&gt;=Setup!$C$15,MONTH(WORKDAY(I134,-(Setup!$C$13+Setup!$G$27),Setup!$C$39:$C$50))&lt;=Setup!$C$16))),WORKDAY(I134,-(Setup!$C$13+Setup!$G$27+Setup!$C$14),Setup!$C$39:$C$50),WORKDAY(I134,-(Setup!$C$13+Setup!$G$27),Setup!$C$39:$C$50))+(129*100+8)/10000000)))</f>
        <v/>
      </c>
      <c r="Z134" t="str">
        <f>IF(J134="","",IF(J134&lt;Setup!$C$5-Setup!$C$6,"",IF(IF(ISNUMBER(Roster!$D134),Setup!$C$28&lt;=Roster!$D134,FALSE),"",IF(OR(IF(Setup!$C$15&lt;=Setup!$C$16,AND(MONTH(J134)&gt;=Setup!$C$15,MONTH(J134)&lt;=Setup!$C$16),OR(MONTH(J134)&gt;=Setup!$C$15,MONTH(J134)&lt;=Setup!$C$16)),IF(Setup!$C$15&lt;=Setup!$C$16,AND(MONTH(WORKDAY(J134,-(Setup!$C$13+Setup!$G$28),Setup!$C$39:$C$50))&gt;=Setup!$C$15,MONTH(WORKDAY(J134,-(Setup!$C$13+Setup!$G$28),Setup!$C$39:$C$50))&lt;=Setup!$C$16),OR(MONTH(WORKDAY(J134,-(Setup!$C$13+Setup!$G$28),Setup!$C$39:$C$50))&gt;=Setup!$C$15,MONTH(WORKDAY(J134,-(Setup!$C$13+Setup!$G$28),Setup!$C$39:$C$50))&lt;=Setup!$C$16))),WORKDAY(J134,-(Setup!$C$13+Setup!$G$28+Setup!$C$14),Setup!$C$39:$C$50),WORKDAY(J134,-(Setup!$C$13+Setup!$G$28),Setup!$C$39:$C$50))+(129*100+9)/10000000)))</f>
        <v/>
      </c>
      <c r="AA134" t="str">
        <f>IF(K134="","",IF(K134&lt;Setup!$C$5-Setup!$C$6,"",IF(IF(ISNUMBER(Roster!$D134),Setup!$C$29&lt;=Roster!$D134,FALSE),"",IF(OR(IF(Setup!$C$15&lt;=Setup!$C$16,AND(MONTH(K134)&gt;=Setup!$C$15,MONTH(K134)&lt;=Setup!$C$16),OR(MONTH(K134)&gt;=Setup!$C$15,MONTH(K134)&lt;=Setup!$C$16)),IF(Setup!$C$15&lt;=Setup!$C$16,AND(MONTH(WORKDAY(K134,-(Setup!$C$13+Setup!$G$29),Setup!$C$39:$C$50))&gt;=Setup!$C$15,MONTH(WORKDAY(K134,-(Setup!$C$13+Setup!$G$29),Setup!$C$39:$C$50))&lt;=Setup!$C$16),OR(MONTH(WORKDAY(K134,-(Setup!$C$13+Setup!$G$29),Setup!$C$39:$C$50))&gt;=Setup!$C$15,MONTH(WORKDAY(K134,-(Setup!$C$13+Setup!$G$29),Setup!$C$39:$C$50))&lt;=Setup!$C$16))),WORKDAY(K134,-(Setup!$C$13+Setup!$G$29+Setup!$C$14),Setup!$C$39:$C$50),WORKDAY(K134,-(Setup!$C$13+Setup!$G$29),Setup!$C$39:$C$50))+(129*100+10)/10000000)))</f>
        <v/>
      </c>
      <c r="AB134" t="str">
        <f>IF(L134="","",IF(L134&lt;Setup!$C$5-Setup!$C$6,"",IF(IF(ISNUMBER(Roster!$D134),Setup!$C$30&lt;=Roster!$D134,FALSE),"",IF(OR(IF(Setup!$C$15&lt;=Setup!$C$16,AND(MONTH(L134)&gt;=Setup!$C$15,MONTH(L134)&lt;=Setup!$C$16),OR(MONTH(L134)&gt;=Setup!$C$15,MONTH(L134)&lt;=Setup!$C$16)),IF(Setup!$C$15&lt;=Setup!$C$16,AND(MONTH(WORKDAY(L134,-(Setup!$C$13+Setup!$G$30),Setup!$C$39:$C$50))&gt;=Setup!$C$15,MONTH(WORKDAY(L134,-(Setup!$C$13+Setup!$G$30),Setup!$C$39:$C$50))&lt;=Setup!$C$16),OR(MONTH(WORKDAY(L134,-(Setup!$C$13+Setup!$G$30),Setup!$C$39:$C$50))&gt;=Setup!$C$15,MONTH(WORKDAY(L134,-(Setup!$C$13+Setup!$G$30),Setup!$C$39:$C$50))&lt;=Setup!$C$16))),WORKDAY(L134,-(Setup!$C$13+Setup!$G$30+Setup!$C$14),Setup!$C$39:$C$50),WORKDAY(L134,-(Setup!$C$13+Setup!$G$30),Setup!$C$39:$C$50))+(129*100+11)/10000000)))</f>
        <v/>
      </c>
      <c r="AC134" t="str">
        <f>IF(M134="","",IF(M134&lt;Setup!$C$5-Setup!$C$6,"",IF(IF(ISNUMBER(Roster!$D134),Setup!$C$31&lt;=Roster!$D134,FALSE),"",IF(OR(IF(Setup!$C$15&lt;=Setup!$C$16,AND(MONTH(M134)&gt;=Setup!$C$15,MONTH(M134)&lt;=Setup!$C$16),OR(MONTH(M134)&gt;=Setup!$C$15,MONTH(M134)&lt;=Setup!$C$16)),IF(Setup!$C$15&lt;=Setup!$C$16,AND(MONTH(WORKDAY(M134,-(Setup!$C$13+Setup!$G$31),Setup!$C$39:$C$50))&gt;=Setup!$C$15,MONTH(WORKDAY(M134,-(Setup!$C$13+Setup!$G$31),Setup!$C$39:$C$50))&lt;=Setup!$C$16),OR(MONTH(WORKDAY(M134,-(Setup!$C$13+Setup!$G$31),Setup!$C$39:$C$50))&gt;=Setup!$C$15,MONTH(WORKDAY(M134,-(Setup!$C$13+Setup!$G$31),Setup!$C$39:$C$50))&lt;=Setup!$C$16))),WORKDAY(M134,-(Setup!$C$13+Setup!$G$31+Setup!$C$14),Setup!$C$39:$C$50),WORKDAY(M134,-(Setup!$C$13+Setup!$G$31),Setup!$C$39:$C$50))+(129*100+12)/10000000)))</f>
        <v/>
      </c>
      <c r="AD134" t="str">
        <f>IF(N134="","",IF(N134&lt;Setup!$C$5-Setup!$C$6,"",IF(IF(ISNUMBER(Roster!$D134),Setup!$C$32&lt;=Roster!$D134,FALSE),"",IF(OR(IF(Setup!$C$15&lt;=Setup!$C$16,AND(MONTH(N134)&gt;=Setup!$C$15,MONTH(N134)&lt;=Setup!$C$16),OR(MONTH(N134)&gt;=Setup!$C$15,MONTH(N134)&lt;=Setup!$C$16)),IF(Setup!$C$15&lt;=Setup!$C$16,AND(MONTH(WORKDAY(N134,-(Setup!$C$13+Setup!$G$32),Setup!$C$39:$C$50))&gt;=Setup!$C$15,MONTH(WORKDAY(N134,-(Setup!$C$13+Setup!$G$32),Setup!$C$39:$C$50))&lt;=Setup!$C$16),OR(MONTH(WORKDAY(N134,-(Setup!$C$13+Setup!$G$32),Setup!$C$39:$C$50))&gt;=Setup!$C$15,MONTH(WORKDAY(N134,-(Setup!$C$13+Setup!$G$32),Setup!$C$39:$C$50))&lt;=Setup!$C$16))),WORKDAY(N134,-(Setup!$C$13+Setup!$G$32+Setup!$C$14),Setup!$C$39:$C$50),WORKDAY(N134,-(Setup!$C$13+Setup!$G$32),Setup!$C$39:$C$50))+(129*100+13)/10000000)))</f>
        <v/>
      </c>
      <c r="AE134" t="str">
        <f>IF(O134="","",IF(O134&lt;Setup!$C$5-Setup!$C$6,"",IF(IF(ISNUMBER(Roster!$D134),Setup!$C$33&lt;=Roster!$D134,FALSE),"",IF(OR(IF(Setup!$C$15&lt;=Setup!$C$16,AND(MONTH(O134)&gt;=Setup!$C$15,MONTH(O134)&lt;=Setup!$C$16),OR(MONTH(O134)&gt;=Setup!$C$15,MONTH(O134)&lt;=Setup!$C$16)),IF(Setup!$C$15&lt;=Setup!$C$16,AND(MONTH(WORKDAY(O134,-(Setup!$C$13+Setup!$G$33),Setup!$C$39:$C$50))&gt;=Setup!$C$15,MONTH(WORKDAY(O134,-(Setup!$C$13+Setup!$G$33),Setup!$C$39:$C$50))&lt;=Setup!$C$16),OR(MONTH(WORKDAY(O134,-(Setup!$C$13+Setup!$G$33),Setup!$C$39:$C$50))&gt;=Setup!$C$15,MONTH(WORKDAY(O134,-(Setup!$C$13+Setup!$G$33),Setup!$C$39:$C$50))&lt;=Setup!$C$16))),WORKDAY(O134,-(Setup!$C$13+Setup!$G$33+Setup!$C$14),Setup!$C$39:$C$50),WORKDAY(O134,-(Setup!$C$13+Setup!$G$33),Setup!$C$39:$C$50))+(129*100+14)/10000000)))</f>
        <v/>
      </c>
      <c r="AF134" t="str">
        <f>IF(P134="","",IF(P134&lt;Setup!$C$5-Setup!$C$6,"",IF(IF(ISNUMBER(Roster!$D134),Setup!$C$34&lt;=Roster!$D134,FALSE),"",IF(OR(IF(Setup!$C$15&lt;=Setup!$C$16,AND(MONTH(P134)&gt;=Setup!$C$15,MONTH(P134)&lt;=Setup!$C$16),OR(MONTH(P134)&gt;=Setup!$C$15,MONTH(P134)&lt;=Setup!$C$16)),IF(Setup!$C$15&lt;=Setup!$C$16,AND(MONTH(WORKDAY(P134,-(Setup!$C$13+Setup!$G$34),Setup!$C$39:$C$50))&gt;=Setup!$C$15,MONTH(WORKDAY(P134,-(Setup!$C$13+Setup!$G$34),Setup!$C$39:$C$50))&lt;=Setup!$C$16),OR(MONTH(WORKDAY(P134,-(Setup!$C$13+Setup!$G$34),Setup!$C$39:$C$50))&gt;=Setup!$C$15,MONTH(WORKDAY(P134,-(Setup!$C$13+Setup!$G$34),Setup!$C$39:$C$50))&lt;=Setup!$C$16))),WORKDAY(P134,-(Setup!$C$13+Setup!$G$34+Setup!$C$14),Setup!$C$39:$C$50),WORKDAY(P134,-(Setup!$C$13+Setup!$G$34),Setup!$C$39:$C$50))+(129*100+15)/10000000)))</f>
        <v/>
      </c>
      <c r="AH134" t="str">
        <f t="shared" ref="AH134:AH197" si="17">IF(COUNT(R134:AF134)=0,"",MIN(R134:AF134))</f>
        <v/>
      </c>
      <c r="AI134" t="str">
        <f t="shared" ref="AI134:AI197" si="18">IF(AH134="","",MOD(ROUND((AH134-INT(AH134))*10000000,0),100))</f>
        <v/>
      </c>
      <c r="AK134" t="str">
        <f ca="1">IF(129&gt;$AK$2,"",SMALL($R$6:$AF$505,129))</f>
        <v/>
      </c>
      <c r="AL134" t="str">
        <f t="shared" ref="AL134:AL197" ca="1" si="19">IF(AK134="","",ROUND((AK134-INT(AK134))*10000000,0))</f>
        <v/>
      </c>
      <c r="AM134" t="str">
        <f t="shared" ref="AM134:AM197" ca="1" si="20">IF(AL134="","",INT(AL134/100))</f>
        <v/>
      </c>
      <c r="AN134" t="str">
        <f t="shared" ref="AN134:AN197" ca="1" si="21">IF(AL134="","",MOD(AL134,100))</f>
        <v/>
      </c>
      <c r="AP134" t="str">
        <f>IF(ISNUMBER(Roster!$B134),MAX(1,YEAR(Setup!$C$5)-YEAR(Roster!$B134)+IF(EDATE(Roster!$B134,12*(YEAR(Setup!$C$5)-YEAR(Roster!$B134)))&lt;Setup!$C$5,1,0)),"")</f>
        <v/>
      </c>
      <c r="AQ134" s="32" t="str">
        <f>IF(AP134="","",EDATE(Roster!$B134,12*AP134))</f>
        <v/>
      </c>
      <c r="AR134" t="str">
        <f>IF(AQ134="","",IF(AQ134&lt;DATE(YEAR(Setup!$C$5)+1,MONTH(Setup!$C$5),DAY(Setup!$C$5)),AQ134+129/1000,""))</f>
        <v/>
      </c>
      <c r="AS134" t="str">
        <f t="shared" ref="AS134:AS197" si="22">IF(AR134="","",IFERROR(MATCH(AP134,$AY$20:$AY$34,0),""))</f>
        <v/>
      </c>
      <c r="AT134" t="str">
        <f>IF(AS134="","",IF(ISNUMBER(Roster!$D134),Roster!$D134&gt;=AP134,FALSE))</f>
        <v/>
      </c>
      <c r="AU134" t="str">
        <f t="shared" ref="AU134:AU197" si="23">IF(AS134="","",IF(AT134,"",INT(INDEX($R134:$AF134,1,AS134))))</f>
        <v/>
      </c>
      <c r="AV134" t="str">
        <f ca="1">IF(129&gt;$AV$2,"",SMALL($AR$6:$AR$505,129))</f>
        <v/>
      </c>
      <c r="AW134" t="str">
        <f t="shared" ref="AW134:AW197" ca="1" si="24">IF(AV134="","",ROUND((AV134-INT(AV134))*1000,0))</f>
        <v/>
      </c>
    </row>
    <row r="135" spans="2:49" x14ac:dyDescent="0.2">
      <c r="B135" s="32" t="str">
        <f>IF(AND(ISNUMBER(Roster!$B135),Setup!$B$20="Yes",ISNUMBER(Setup!$C$20)),EDATE(Roster!$B135,12*Setup!$C$20),"")</f>
        <v/>
      </c>
      <c r="C135" s="32" t="str">
        <f>IF(AND(ISNUMBER(Roster!$B135),Setup!$B$21="Yes",ISNUMBER(Setup!$C$21)),EDATE(Roster!$B135,12*Setup!$C$21),"")</f>
        <v/>
      </c>
      <c r="D135" s="32" t="str">
        <f>IF(AND(ISNUMBER(Roster!$B135),Setup!$B$22="Yes",ISNUMBER(Setup!$C$22)),EDATE(Roster!$B135,12*Setup!$C$22),"")</f>
        <v/>
      </c>
      <c r="E135" s="32" t="str">
        <f>IF(AND(ISNUMBER(Roster!$B135),Setup!$B$23="Yes",ISNUMBER(Setup!$C$23)),EDATE(Roster!$B135,12*Setup!$C$23),"")</f>
        <v/>
      </c>
      <c r="F135" s="32" t="str">
        <f>IF(AND(ISNUMBER(Roster!$B135),Setup!$B$24="Yes",ISNUMBER(Setup!$C$24)),EDATE(Roster!$B135,12*Setup!$C$24),"")</f>
        <v/>
      </c>
      <c r="G135" s="32" t="str">
        <f>IF(AND(ISNUMBER(Roster!$B135),Setup!$B$25="Yes",ISNUMBER(Setup!$C$25)),EDATE(Roster!$B135,12*Setup!$C$25),"")</f>
        <v/>
      </c>
      <c r="H135" s="32" t="str">
        <f>IF(AND(ISNUMBER(Roster!$B135),Setup!$B$26="Yes",ISNUMBER(Setup!$C$26)),EDATE(Roster!$B135,12*Setup!$C$26),"")</f>
        <v/>
      </c>
      <c r="I135" s="32" t="str">
        <f>IF(AND(ISNUMBER(Roster!$B135),Setup!$B$27="Yes",ISNUMBER(Setup!$C$27)),EDATE(Roster!$B135,12*Setup!$C$27),"")</f>
        <v/>
      </c>
      <c r="J135" s="32" t="str">
        <f>IF(AND(ISNUMBER(Roster!$B135),Setup!$B$28="Yes",ISNUMBER(Setup!$C$28)),EDATE(Roster!$B135,12*Setup!$C$28),"")</f>
        <v/>
      </c>
      <c r="K135" s="32" t="str">
        <f>IF(AND(ISNUMBER(Roster!$B135),Setup!$B$29="Yes",ISNUMBER(Setup!$C$29)),EDATE(Roster!$B135,12*Setup!$C$29),"")</f>
        <v/>
      </c>
      <c r="L135" s="32" t="str">
        <f>IF(AND(ISNUMBER(Roster!$B135),Setup!$B$30="Yes",ISNUMBER(Setup!$C$30)),EDATE(Roster!$B135,12*Setup!$C$30),"")</f>
        <v/>
      </c>
      <c r="M135" s="32" t="str">
        <f>IF(AND(ISNUMBER(Roster!$B135),Setup!$B$31="Yes",ISNUMBER(Setup!$C$31)),EDATE(Roster!$B135,12*Setup!$C$31),"")</f>
        <v/>
      </c>
      <c r="N135" s="32" t="str">
        <f>IF(AND(ISNUMBER(Roster!$B135),Setup!$B$32="Yes",ISNUMBER(Setup!$C$32)),EDATE(Roster!$B135,12*Setup!$C$32),"")</f>
        <v/>
      </c>
      <c r="O135" s="32" t="str">
        <f>IF(AND(ISNUMBER(Roster!$B135),Setup!$B$33="Yes",ISNUMBER(Setup!$C$33)),EDATE(Roster!$B135,12*Setup!$C$33),"")</f>
        <v/>
      </c>
      <c r="P135" s="32" t="str">
        <f>IF(AND(ISNUMBER(Roster!$B135),Setup!$B$34="Yes",ISNUMBER(Setup!$C$34)),EDATE(Roster!$B135,12*Setup!$C$34),"")</f>
        <v/>
      </c>
      <c r="R135" t="str">
        <f>IF(B135="","",IF(B135&lt;Setup!$C$5-Setup!$C$6,"",IF(IF(ISNUMBER(Roster!$D135),Setup!$C$20&lt;=Roster!$D135,FALSE),"",IF(OR(IF(Setup!$C$15&lt;=Setup!$C$16,AND(MONTH(B135)&gt;=Setup!$C$15,MONTH(B135)&lt;=Setup!$C$16),OR(MONTH(B135)&gt;=Setup!$C$15,MONTH(B135)&lt;=Setup!$C$16)),IF(Setup!$C$15&lt;=Setup!$C$16,AND(MONTH(WORKDAY(B135,-(Setup!$C$13+Setup!$G$20),Setup!$C$39:$C$50))&gt;=Setup!$C$15,MONTH(WORKDAY(B135,-(Setup!$C$13+Setup!$G$20),Setup!$C$39:$C$50))&lt;=Setup!$C$16),OR(MONTH(WORKDAY(B135,-(Setup!$C$13+Setup!$G$20),Setup!$C$39:$C$50))&gt;=Setup!$C$15,MONTH(WORKDAY(B135,-(Setup!$C$13+Setup!$G$20),Setup!$C$39:$C$50))&lt;=Setup!$C$16))),WORKDAY(B135,-(Setup!$C$13+Setup!$G$20+Setup!$C$14),Setup!$C$39:$C$50),WORKDAY(B135,-(Setup!$C$13+Setup!$G$20),Setup!$C$39:$C$50))+(130*100+1)/10000000)))</f>
        <v/>
      </c>
      <c r="S135" t="str">
        <f>IF(C135="","",IF(C135&lt;Setup!$C$5-Setup!$C$6,"",IF(IF(ISNUMBER(Roster!$D135),Setup!$C$21&lt;=Roster!$D135,FALSE),"",IF(OR(IF(Setup!$C$15&lt;=Setup!$C$16,AND(MONTH(C135)&gt;=Setup!$C$15,MONTH(C135)&lt;=Setup!$C$16),OR(MONTH(C135)&gt;=Setup!$C$15,MONTH(C135)&lt;=Setup!$C$16)),IF(Setup!$C$15&lt;=Setup!$C$16,AND(MONTH(WORKDAY(C135,-(Setup!$C$13+Setup!$G$21),Setup!$C$39:$C$50))&gt;=Setup!$C$15,MONTH(WORKDAY(C135,-(Setup!$C$13+Setup!$G$21),Setup!$C$39:$C$50))&lt;=Setup!$C$16),OR(MONTH(WORKDAY(C135,-(Setup!$C$13+Setup!$G$21),Setup!$C$39:$C$50))&gt;=Setup!$C$15,MONTH(WORKDAY(C135,-(Setup!$C$13+Setup!$G$21),Setup!$C$39:$C$50))&lt;=Setup!$C$16))),WORKDAY(C135,-(Setup!$C$13+Setup!$G$21+Setup!$C$14),Setup!$C$39:$C$50),WORKDAY(C135,-(Setup!$C$13+Setup!$G$21),Setup!$C$39:$C$50))+(130*100+2)/10000000)))</f>
        <v/>
      </c>
      <c r="T135" t="str">
        <f>IF(D135="","",IF(D135&lt;Setup!$C$5-Setup!$C$6,"",IF(IF(ISNUMBER(Roster!$D135),Setup!$C$22&lt;=Roster!$D135,FALSE),"",IF(OR(IF(Setup!$C$15&lt;=Setup!$C$16,AND(MONTH(D135)&gt;=Setup!$C$15,MONTH(D135)&lt;=Setup!$C$16),OR(MONTH(D135)&gt;=Setup!$C$15,MONTH(D135)&lt;=Setup!$C$16)),IF(Setup!$C$15&lt;=Setup!$C$16,AND(MONTH(WORKDAY(D135,-(Setup!$C$13+Setup!$G$22),Setup!$C$39:$C$50))&gt;=Setup!$C$15,MONTH(WORKDAY(D135,-(Setup!$C$13+Setup!$G$22),Setup!$C$39:$C$50))&lt;=Setup!$C$16),OR(MONTH(WORKDAY(D135,-(Setup!$C$13+Setup!$G$22),Setup!$C$39:$C$50))&gt;=Setup!$C$15,MONTH(WORKDAY(D135,-(Setup!$C$13+Setup!$G$22),Setup!$C$39:$C$50))&lt;=Setup!$C$16))),WORKDAY(D135,-(Setup!$C$13+Setup!$G$22+Setup!$C$14),Setup!$C$39:$C$50),WORKDAY(D135,-(Setup!$C$13+Setup!$G$22),Setup!$C$39:$C$50))+(130*100+3)/10000000)))</f>
        <v/>
      </c>
      <c r="U135" t="str">
        <f>IF(E135="","",IF(E135&lt;Setup!$C$5-Setup!$C$6,"",IF(IF(ISNUMBER(Roster!$D135),Setup!$C$23&lt;=Roster!$D135,FALSE),"",IF(OR(IF(Setup!$C$15&lt;=Setup!$C$16,AND(MONTH(E135)&gt;=Setup!$C$15,MONTH(E135)&lt;=Setup!$C$16),OR(MONTH(E135)&gt;=Setup!$C$15,MONTH(E135)&lt;=Setup!$C$16)),IF(Setup!$C$15&lt;=Setup!$C$16,AND(MONTH(WORKDAY(E135,-(Setup!$C$13+Setup!$G$23),Setup!$C$39:$C$50))&gt;=Setup!$C$15,MONTH(WORKDAY(E135,-(Setup!$C$13+Setup!$G$23),Setup!$C$39:$C$50))&lt;=Setup!$C$16),OR(MONTH(WORKDAY(E135,-(Setup!$C$13+Setup!$G$23),Setup!$C$39:$C$50))&gt;=Setup!$C$15,MONTH(WORKDAY(E135,-(Setup!$C$13+Setup!$G$23),Setup!$C$39:$C$50))&lt;=Setup!$C$16))),WORKDAY(E135,-(Setup!$C$13+Setup!$G$23+Setup!$C$14),Setup!$C$39:$C$50),WORKDAY(E135,-(Setup!$C$13+Setup!$G$23),Setup!$C$39:$C$50))+(130*100+4)/10000000)))</f>
        <v/>
      </c>
      <c r="V135" t="str">
        <f>IF(F135="","",IF(F135&lt;Setup!$C$5-Setup!$C$6,"",IF(IF(ISNUMBER(Roster!$D135),Setup!$C$24&lt;=Roster!$D135,FALSE),"",IF(OR(IF(Setup!$C$15&lt;=Setup!$C$16,AND(MONTH(F135)&gt;=Setup!$C$15,MONTH(F135)&lt;=Setup!$C$16),OR(MONTH(F135)&gt;=Setup!$C$15,MONTH(F135)&lt;=Setup!$C$16)),IF(Setup!$C$15&lt;=Setup!$C$16,AND(MONTH(WORKDAY(F135,-(Setup!$C$13+Setup!$G$24),Setup!$C$39:$C$50))&gt;=Setup!$C$15,MONTH(WORKDAY(F135,-(Setup!$C$13+Setup!$G$24),Setup!$C$39:$C$50))&lt;=Setup!$C$16),OR(MONTH(WORKDAY(F135,-(Setup!$C$13+Setup!$G$24),Setup!$C$39:$C$50))&gt;=Setup!$C$15,MONTH(WORKDAY(F135,-(Setup!$C$13+Setup!$G$24),Setup!$C$39:$C$50))&lt;=Setup!$C$16))),WORKDAY(F135,-(Setup!$C$13+Setup!$G$24+Setup!$C$14),Setup!$C$39:$C$50),WORKDAY(F135,-(Setup!$C$13+Setup!$G$24),Setup!$C$39:$C$50))+(130*100+5)/10000000)))</f>
        <v/>
      </c>
      <c r="W135" t="str">
        <f>IF(G135="","",IF(G135&lt;Setup!$C$5-Setup!$C$6,"",IF(IF(ISNUMBER(Roster!$D135),Setup!$C$25&lt;=Roster!$D135,FALSE),"",IF(OR(IF(Setup!$C$15&lt;=Setup!$C$16,AND(MONTH(G135)&gt;=Setup!$C$15,MONTH(G135)&lt;=Setup!$C$16),OR(MONTH(G135)&gt;=Setup!$C$15,MONTH(G135)&lt;=Setup!$C$16)),IF(Setup!$C$15&lt;=Setup!$C$16,AND(MONTH(WORKDAY(G135,-(Setup!$C$13+Setup!$G$25),Setup!$C$39:$C$50))&gt;=Setup!$C$15,MONTH(WORKDAY(G135,-(Setup!$C$13+Setup!$G$25),Setup!$C$39:$C$50))&lt;=Setup!$C$16),OR(MONTH(WORKDAY(G135,-(Setup!$C$13+Setup!$G$25),Setup!$C$39:$C$50))&gt;=Setup!$C$15,MONTH(WORKDAY(G135,-(Setup!$C$13+Setup!$G$25),Setup!$C$39:$C$50))&lt;=Setup!$C$16))),WORKDAY(G135,-(Setup!$C$13+Setup!$G$25+Setup!$C$14),Setup!$C$39:$C$50),WORKDAY(G135,-(Setup!$C$13+Setup!$G$25),Setup!$C$39:$C$50))+(130*100+6)/10000000)))</f>
        <v/>
      </c>
      <c r="X135" t="str">
        <f>IF(H135="","",IF(H135&lt;Setup!$C$5-Setup!$C$6,"",IF(IF(ISNUMBER(Roster!$D135),Setup!$C$26&lt;=Roster!$D135,FALSE),"",IF(OR(IF(Setup!$C$15&lt;=Setup!$C$16,AND(MONTH(H135)&gt;=Setup!$C$15,MONTH(H135)&lt;=Setup!$C$16),OR(MONTH(H135)&gt;=Setup!$C$15,MONTH(H135)&lt;=Setup!$C$16)),IF(Setup!$C$15&lt;=Setup!$C$16,AND(MONTH(WORKDAY(H135,-(Setup!$C$13+Setup!$G$26),Setup!$C$39:$C$50))&gt;=Setup!$C$15,MONTH(WORKDAY(H135,-(Setup!$C$13+Setup!$G$26),Setup!$C$39:$C$50))&lt;=Setup!$C$16),OR(MONTH(WORKDAY(H135,-(Setup!$C$13+Setup!$G$26),Setup!$C$39:$C$50))&gt;=Setup!$C$15,MONTH(WORKDAY(H135,-(Setup!$C$13+Setup!$G$26),Setup!$C$39:$C$50))&lt;=Setup!$C$16))),WORKDAY(H135,-(Setup!$C$13+Setup!$G$26+Setup!$C$14),Setup!$C$39:$C$50),WORKDAY(H135,-(Setup!$C$13+Setup!$G$26),Setup!$C$39:$C$50))+(130*100+7)/10000000)))</f>
        <v/>
      </c>
      <c r="Y135" t="str">
        <f>IF(I135="","",IF(I135&lt;Setup!$C$5-Setup!$C$6,"",IF(IF(ISNUMBER(Roster!$D135),Setup!$C$27&lt;=Roster!$D135,FALSE),"",IF(OR(IF(Setup!$C$15&lt;=Setup!$C$16,AND(MONTH(I135)&gt;=Setup!$C$15,MONTH(I135)&lt;=Setup!$C$16),OR(MONTH(I135)&gt;=Setup!$C$15,MONTH(I135)&lt;=Setup!$C$16)),IF(Setup!$C$15&lt;=Setup!$C$16,AND(MONTH(WORKDAY(I135,-(Setup!$C$13+Setup!$G$27),Setup!$C$39:$C$50))&gt;=Setup!$C$15,MONTH(WORKDAY(I135,-(Setup!$C$13+Setup!$G$27),Setup!$C$39:$C$50))&lt;=Setup!$C$16),OR(MONTH(WORKDAY(I135,-(Setup!$C$13+Setup!$G$27),Setup!$C$39:$C$50))&gt;=Setup!$C$15,MONTH(WORKDAY(I135,-(Setup!$C$13+Setup!$G$27),Setup!$C$39:$C$50))&lt;=Setup!$C$16))),WORKDAY(I135,-(Setup!$C$13+Setup!$G$27+Setup!$C$14),Setup!$C$39:$C$50),WORKDAY(I135,-(Setup!$C$13+Setup!$G$27),Setup!$C$39:$C$50))+(130*100+8)/10000000)))</f>
        <v/>
      </c>
      <c r="Z135" t="str">
        <f>IF(J135="","",IF(J135&lt;Setup!$C$5-Setup!$C$6,"",IF(IF(ISNUMBER(Roster!$D135),Setup!$C$28&lt;=Roster!$D135,FALSE),"",IF(OR(IF(Setup!$C$15&lt;=Setup!$C$16,AND(MONTH(J135)&gt;=Setup!$C$15,MONTH(J135)&lt;=Setup!$C$16),OR(MONTH(J135)&gt;=Setup!$C$15,MONTH(J135)&lt;=Setup!$C$16)),IF(Setup!$C$15&lt;=Setup!$C$16,AND(MONTH(WORKDAY(J135,-(Setup!$C$13+Setup!$G$28),Setup!$C$39:$C$50))&gt;=Setup!$C$15,MONTH(WORKDAY(J135,-(Setup!$C$13+Setup!$G$28),Setup!$C$39:$C$50))&lt;=Setup!$C$16),OR(MONTH(WORKDAY(J135,-(Setup!$C$13+Setup!$G$28),Setup!$C$39:$C$50))&gt;=Setup!$C$15,MONTH(WORKDAY(J135,-(Setup!$C$13+Setup!$G$28),Setup!$C$39:$C$50))&lt;=Setup!$C$16))),WORKDAY(J135,-(Setup!$C$13+Setup!$G$28+Setup!$C$14),Setup!$C$39:$C$50),WORKDAY(J135,-(Setup!$C$13+Setup!$G$28),Setup!$C$39:$C$50))+(130*100+9)/10000000)))</f>
        <v/>
      </c>
      <c r="AA135" t="str">
        <f>IF(K135="","",IF(K135&lt;Setup!$C$5-Setup!$C$6,"",IF(IF(ISNUMBER(Roster!$D135),Setup!$C$29&lt;=Roster!$D135,FALSE),"",IF(OR(IF(Setup!$C$15&lt;=Setup!$C$16,AND(MONTH(K135)&gt;=Setup!$C$15,MONTH(K135)&lt;=Setup!$C$16),OR(MONTH(K135)&gt;=Setup!$C$15,MONTH(K135)&lt;=Setup!$C$16)),IF(Setup!$C$15&lt;=Setup!$C$16,AND(MONTH(WORKDAY(K135,-(Setup!$C$13+Setup!$G$29),Setup!$C$39:$C$50))&gt;=Setup!$C$15,MONTH(WORKDAY(K135,-(Setup!$C$13+Setup!$G$29),Setup!$C$39:$C$50))&lt;=Setup!$C$16),OR(MONTH(WORKDAY(K135,-(Setup!$C$13+Setup!$G$29),Setup!$C$39:$C$50))&gt;=Setup!$C$15,MONTH(WORKDAY(K135,-(Setup!$C$13+Setup!$G$29),Setup!$C$39:$C$50))&lt;=Setup!$C$16))),WORKDAY(K135,-(Setup!$C$13+Setup!$G$29+Setup!$C$14),Setup!$C$39:$C$50),WORKDAY(K135,-(Setup!$C$13+Setup!$G$29),Setup!$C$39:$C$50))+(130*100+10)/10000000)))</f>
        <v/>
      </c>
      <c r="AB135" t="str">
        <f>IF(L135="","",IF(L135&lt;Setup!$C$5-Setup!$C$6,"",IF(IF(ISNUMBER(Roster!$D135),Setup!$C$30&lt;=Roster!$D135,FALSE),"",IF(OR(IF(Setup!$C$15&lt;=Setup!$C$16,AND(MONTH(L135)&gt;=Setup!$C$15,MONTH(L135)&lt;=Setup!$C$16),OR(MONTH(L135)&gt;=Setup!$C$15,MONTH(L135)&lt;=Setup!$C$16)),IF(Setup!$C$15&lt;=Setup!$C$16,AND(MONTH(WORKDAY(L135,-(Setup!$C$13+Setup!$G$30),Setup!$C$39:$C$50))&gt;=Setup!$C$15,MONTH(WORKDAY(L135,-(Setup!$C$13+Setup!$G$30),Setup!$C$39:$C$50))&lt;=Setup!$C$16),OR(MONTH(WORKDAY(L135,-(Setup!$C$13+Setup!$G$30),Setup!$C$39:$C$50))&gt;=Setup!$C$15,MONTH(WORKDAY(L135,-(Setup!$C$13+Setup!$G$30),Setup!$C$39:$C$50))&lt;=Setup!$C$16))),WORKDAY(L135,-(Setup!$C$13+Setup!$G$30+Setup!$C$14),Setup!$C$39:$C$50),WORKDAY(L135,-(Setup!$C$13+Setup!$G$30),Setup!$C$39:$C$50))+(130*100+11)/10000000)))</f>
        <v/>
      </c>
      <c r="AC135" t="str">
        <f>IF(M135="","",IF(M135&lt;Setup!$C$5-Setup!$C$6,"",IF(IF(ISNUMBER(Roster!$D135),Setup!$C$31&lt;=Roster!$D135,FALSE),"",IF(OR(IF(Setup!$C$15&lt;=Setup!$C$16,AND(MONTH(M135)&gt;=Setup!$C$15,MONTH(M135)&lt;=Setup!$C$16),OR(MONTH(M135)&gt;=Setup!$C$15,MONTH(M135)&lt;=Setup!$C$16)),IF(Setup!$C$15&lt;=Setup!$C$16,AND(MONTH(WORKDAY(M135,-(Setup!$C$13+Setup!$G$31),Setup!$C$39:$C$50))&gt;=Setup!$C$15,MONTH(WORKDAY(M135,-(Setup!$C$13+Setup!$G$31),Setup!$C$39:$C$50))&lt;=Setup!$C$16),OR(MONTH(WORKDAY(M135,-(Setup!$C$13+Setup!$G$31),Setup!$C$39:$C$50))&gt;=Setup!$C$15,MONTH(WORKDAY(M135,-(Setup!$C$13+Setup!$G$31),Setup!$C$39:$C$50))&lt;=Setup!$C$16))),WORKDAY(M135,-(Setup!$C$13+Setup!$G$31+Setup!$C$14),Setup!$C$39:$C$50),WORKDAY(M135,-(Setup!$C$13+Setup!$G$31),Setup!$C$39:$C$50))+(130*100+12)/10000000)))</f>
        <v/>
      </c>
      <c r="AD135" t="str">
        <f>IF(N135="","",IF(N135&lt;Setup!$C$5-Setup!$C$6,"",IF(IF(ISNUMBER(Roster!$D135),Setup!$C$32&lt;=Roster!$D135,FALSE),"",IF(OR(IF(Setup!$C$15&lt;=Setup!$C$16,AND(MONTH(N135)&gt;=Setup!$C$15,MONTH(N135)&lt;=Setup!$C$16),OR(MONTH(N135)&gt;=Setup!$C$15,MONTH(N135)&lt;=Setup!$C$16)),IF(Setup!$C$15&lt;=Setup!$C$16,AND(MONTH(WORKDAY(N135,-(Setup!$C$13+Setup!$G$32),Setup!$C$39:$C$50))&gt;=Setup!$C$15,MONTH(WORKDAY(N135,-(Setup!$C$13+Setup!$G$32),Setup!$C$39:$C$50))&lt;=Setup!$C$16),OR(MONTH(WORKDAY(N135,-(Setup!$C$13+Setup!$G$32),Setup!$C$39:$C$50))&gt;=Setup!$C$15,MONTH(WORKDAY(N135,-(Setup!$C$13+Setup!$G$32),Setup!$C$39:$C$50))&lt;=Setup!$C$16))),WORKDAY(N135,-(Setup!$C$13+Setup!$G$32+Setup!$C$14),Setup!$C$39:$C$50),WORKDAY(N135,-(Setup!$C$13+Setup!$G$32),Setup!$C$39:$C$50))+(130*100+13)/10000000)))</f>
        <v/>
      </c>
      <c r="AE135" t="str">
        <f>IF(O135="","",IF(O135&lt;Setup!$C$5-Setup!$C$6,"",IF(IF(ISNUMBER(Roster!$D135),Setup!$C$33&lt;=Roster!$D135,FALSE),"",IF(OR(IF(Setup!$C$15&lt;=Setup!$C$16,AND(MONTH(O135)&gt;=Setup!$C$15,MONTH(O135)&lt;=Setup!$C$16),OR(MONTH(O135)&gt;=Setup!$C$15,MONTH(O135)&lt;=Setup!$C$16)),IF(Setup!$C$15&lt;=Setup!$C$16,AND(MONTH(WORKDAY(O135,-(Setup!$C$13+Setup!$G$33),Setup!$C$39:$C$50))&gt;=Setup!$C$15,MONTH(WORKDAY(O135,-(Setup!$C$13+Setup!$G$33),Setup!$C$39:$C$50))&lt;=Setup!$C$16),OR(MONTH(WORKDAY(O135,-(Setup!$C$13+Setup!$G$33),Setup!$C$39:$C$50))&gt;=Setup!$C$15,MONTH(WORKDAY(O135,-(Setup!$C$13+Setup!$G$33),Setup!$C$39:$C$50))&lt;=Setup!$C$16))),WORKDAY(O135,-(Setup!$C$13+Setup!$G$33+Setup!$C$14),Setup!$C$39:$C$50),WORKDAY(O135,-(Setup!$C$13+Setup!$G$33),Setup!$C$39:$C$50))+(130*100+14)/10000000)))</f>
        <v/>
      </c>
      <c r="AF135" t="str">
        <f>IF(P135="","",IF(P135&lt;Setup!$C$5-Setup!$C$6,"",IF(IF(ISNUMBER(Roster!$D135),Setup!$C$34&lt;=Roster!$D135,FALSE),"",IF(OR(IF(Setup!$C$15&lt;=Setup!$C$16,AND(MONTH(P135)&gt;=Setup!$C$15,MONTH(P135)&lt;=Setup!$C$16),OR(MONTH(P135)&gt;=Setup!$C$15,MONTH(P135)&lt;=Setup!$C$16)),IF(Setup!$C$15&lt;=Setup!$C$16,AND(MONTH(WORKDAY(P135,-(Setup!$C$13+Setup!$G$34),Setup!$C$39:$C$50))&gt;=Setup!$C$15,MONTH(WORKDAY(P135,-(Setup!$C$13+Setup!$G$34),Setup!$C$39:$C$50))&lt;=Setup!$C$16),OR(MONTH(WORKDAY(P135,-(Setup!$C$13+Setup!$G$34),Setup!$C$39:$C$50))&gt;=Setup!$C$15,MONTH(WORKDAY(P135,-(Setup!$C$13+Setup!$G$34),Setup!$C$39:$C$50))&lt;=Setup!$C$16))),WORKDAY(P135,-(Setup!$C$13+Setup!$G$34+Setup!$C$14),Setup!$C$39:$C$50),WORKDAY(P135,-(Setup!$C$13+Setup!$G$34),Setup!$C$39:$C$50))+(130*100+15)/10000000)))</f>
        <v/>
      </c>
      <c r="AH135" t="str">
        <f t="shared" si="17"/>
        <v/>
      </c>
      <c r="AI135" t="str">
        <f t="shared" si="18"/>
        <v/>
      </c>
      <c r="AK135" t="str">
        <f ca="1">IF(130&gt;$AK$2,"",SMALL($R$6:$AF$505,130))</f>
        <v/>
      </c>
      <c r="AL135" t="str">
        <f t="shared" ca="1" si="19"/>
        <v/>
      </c>
      <c r="AM135" t="str">
        <f t="shared" ca="1" si="20"/>
        <v/>
      </c>
      <c r="AN135" t="str">
        <f t="shared" ca="1" si="21"/>
        <v/>
      </c>
      <c r="AP135" t="str">
        <f>IF(ISNUMBER(Roster!$B135),MAX(1,YEAR(Setup!$C$5)-YEAR(Roster!$B135)+IF(EDATE(Roster!$B135,12*(YEAR(Setup!$C$5)-YEAR(Roster!$B135)))&lt;Setup!$C$5,1,0)),"")</f>
        <v/>
      </c>
      <c r="AQ135" s="32" t="str">
        <f>IF(AP135="","",EDATE(Roster!$B135,12*AP135))</f>
        <v/>
      </c>
      <c r="AR135" t="str">
        <f>IF(AQ135="","",IF(AQ135&lt;DATE(YEAR(Setup!$C$5)+1,MONTH(Setup!$C$5),DAY(Setup!$C$5)),AQ135+130/1000,""))</f>
        <v/>
      </c>
      <c r="AS135" t="str">
        <f t="shared" si="22"/>
        <v/>
      </c>
      <c r="AT135" t="str">
        <f>IF(AS135="","",IF(ISNUMBER(Roster!$D135),Roster!$D135&gt;=AP135,FALSE))</f>
        <v/>
      </c>
      <c r="AU135" t="str">
        <f t="shared" si="23"/>
        <v/>
      </c>
      <c r="AV135" t="str">
        <f ca="1">IF(130&gt;$AV$2,"",SMALL($AR$6:$AR$505,130))</f>
        <v/>
      </c>
      <c r="AW135" t="str">
        <f t="shared" ca="1" si="24"/>
        <v/>
      </c>
    </row>
    <row r="136" spans="2:49" x14ac:dyDescent="0.2">
      <c r="B136" s="32" t="str">
        <f>IF(AND(ISNUMBER(Roster!$B136),Setup!$B$20="Yes",ISNUMBER(Setup!$C$20)),EDATE(Roster!$B136,12*Setup!$C$20),"")</f>
        <v/>
      </c>
      <c r="C136" s="32" t="str">
        <f>IF(AND(ISNUMBER(Roster!$B136),Setup!$B$21="Yes",ISNUMBER(Setup!$C$21)),EDATE(Roster!$B136,12*Setup!$C$21),"")</f>
        <v/>
      </c>
      <c r="D136" s="32" t="str">
        <f>IF(AND(ISNUMBER(Roster!$B136),Setup!$B$22="Yes",ISNUMBER(Setup!$C$22)),EDATE(Roster!$B136,12*Setup!$C$22),"")</f>
        <v/>
      </c>
      <c r="E136" s="32" t="str">
        <f>IF(AND(ISNUMBER(Roster!$B136),Setup!$B$23="Yes",ISNUMBER(Setup!$C$23)),EDATE(Roster!$B136,12*Setup!$C$23),"")</f>
        <v/>
      </c>
      <c r="F136" s="32" t="str">
        <f>IF(AND(ISNUMBER(Roster!$B136),Setup!$B$24="Yes",ISNUMBER(Setup!$C$24)),EDATE(Roster!$B136,12*Setup!$C$24),"")</f>
        <v/>
      </c>
      <c r="G136" s="32" t="str">
        <f>IF(AND(ISNUMBER(Roster!$B136),Setup!$B$25="Yes",ISNUMBER(Setup!$C$25)),EDATE(Roster!$B136,12*Setup!$C$25),"")</f>
        <v/>
      </c>
      <c r="H136" s="32" t="str">
        <f>IF(AND(ISNUMBER(Roster!$B136),Setup!$B$26="Yes",ISNUMBER(Setup!$C$26)),EDATE(Roster!$B136,12*Setup!$C$26),"")</f>
        <v/>
      </c>
      <c r="I136" s="32" t="str">
        <f>IF(AND(ISNUMBER(Roster!$B136),Setup!$B$27="Yes",ISNUMBER(Setup!$C$27)),EDATE(Roster!$B136,12*Setup!$C$27),"")</f>
        <v/>
      </c>
      <c r="J136" s="32" t="str">
        <f>IF(AND(ISNUMBER(Roster!$B136),Setup!$B$28="Yes",ISNUMBER(Setup!$C$28)),EDATE(Roster!$B136,12*Setup!$C$28),"")</f>
        <v/>
      </c>
      <c r="K136" s="32" t="str">
        <f>IF(AND(ISNUMBER(Roster!$B136),Setup!$B$29="Yes",ISNUMBER(Setup!$C$29)),EDATE(Roster!$B136,12*Setup!$C$29),"")</f>
        <v/>
      </c>
      <c r="L136" s="32" t="str">
        <f>IF(AND(ISNUMBER(Roster!$B136),Setup!$B$30="Yes",ISNUMBER(Setup!$C$30)),EDATE(Roster!$B136,12*Setup!$C$30),"")</f>
        <v/>
      </c>
      <c r="M136" s="32" t="str">
        <f>IF(AND(ISNUMBER(Roster!$B136),Setup!$B$31="Yes",ISNUMBER(Setup!$C$31)),EDATE(Roster!$B136,12*Setup!$C$31),"")</f>
        <v/>
      </c>
      <c r="N136" s="32" t="str">
        <f>IF(AND(ISNUMBER(Roster!$B136),Setup!$B$32="Yes",ISNUMBER(Setup!$C$32)),EDATE(Roster!$B136,12*Setup!$C$32),"")</f>
        <v/>
      </c>
      <c r="O136" s="32" t="str">
        <f>IF(AND(ISNUMBER(Roster!$B136),Setup!$B$33="Yes",ISNUMBER(Setup!$C$33)),EDATE(Roster!$B136,12*Setup!$C$33),"")</f>
        <v/>
      </c>
      <c r="P136" s="32" t="str">
        <f>IF(AND(ISNUMBER(Roster!$B136),Setup!$B$34="Yes",ISNUMBER(Setup!$C$34)),EDATE(Roster!$B136,12*Setup!$C$34),"")</f>
        <v/>
      </c>
      <c r="R136" t="str">
        <f>IF(B136="","",IF(B136&lt;Setup!$C$5-Setup!$C$6,"",IF(IF(ISNUMBER(Roster!$D136),Setup!$C$20&lt;=Roster!$D136,FALSE),"",IF(OR(IF(Setup!$C$15&lt;=Setup!$C$16,AND(MONTH(B136)&gt;=Setup!$C$15,MONTH(B136)&lt;=Setup!$C$16),OR(MONTH(B136)&gt;=Setup!$C$15,MONTH(B136)&lt;=Setup!$C$16)),IF(Setup!$C$15&lt;=Setup!$C$16,AND(MONTH(WORKDAY(B136,-(Setup!$C$13+Setup!$G$20),Setup!$C$39:$C$50))&gt;=Setup!$C$15,MONTH(WORKDAY(B136,-(Setup!$C$13+Setup!$G$20),Setup!$C$39:$C$50))&lt;=Setup!$C$16),OR(MONTH(WORKDAY(B136,-(Setup!$C$13+Setup!$G$20),Setup!$C$39:$C$50))&gt;=Setup!$C$15,MONTH(WORKDAY(B136,-(Setup!$C$13+Setup!$G$20),Setup!$C$39:$C$50))&lt;=Setup!$C$16))),WORKDAY(B136,-(Setup!$C$13+Setup!$G$20+Setup!$C$14),Setup!$C$39:$C$50),WORKDAY(B136,-(Setup!$C$13+Setup!$G$20),Setup!$C$39:$C$50))+(131*100+1)/10000000)))</f>
        <v/>
      </c>
      <c r="S136" t="str">
        <f>IF(C136="","",IF(C136&lt;Setup!$C$5-Setup!$C$6,"",IF(IF(ISNUMBER(Roster!$D136),Setup!$C$21&lt;=Roster!$D136,FALSE),"",IF(OR(IF(Setup!$C$15&lt;=Setup!$C$16,AND(MONTH(C136)&gt;=Setup!$C$15,MONTH(C136)&lt;=Setup!$C$16),OR(MONTH(C136)&gt;=Setup!$C$15,MONTH(C136)&lt;=Setup!$C$16)),IF(Setup!$C$15&lt;=Setup!$C$16,AND(MONTH(WORKDAY(C136,-(Setup!$C$13+Setup!$G$21),Setup!$C$39:$C$50))&gt;=Setup!$C$15,MONTH(WORKDAY(C136,-(Setup!$C$13+Setup!$G$21),Setup!$C$39:$C$50))&lt;=Setup!$C$16),OR(MONTH(WORKDAY(C136,-(Setup!$C$13+Setup!$G$21),Setup!$C$39:$C$50))&gt;=Setup!$C$15,MONTH(WORKDAY(C136,-(Setup!$C$13+Setup!$G$21),Setup!$C$39:$C$50))&lt;=Setup!$C$16))),WORKDAY(C136,-(Setup!$C$13+Setup!$G$21+Setup!$C$14),Setup!$C$39:$C$50),WORKDAY(C136,-(Setup!$C$13+Setup!$G$21),Setup!$C$39:$C$50))+(131*100+2)/10000000)))</f>
        <v/>
      </c>
      <c r="T136" t="str">
        <f>IF(D136="","",IF(D136&lt;Setup!$C$5-Setup!$C$6,"",IF(IF(ISNUMBER(Roster!$D136),Setup!$C$22&lt;=Roster!$D136,FALSE),"",IF(OR(IF(Setup!$C$15&lt;=Setup!$C$16,AND(MONTH(D136)&gt;=Setup!$C$15,MONTH(D136)&lt;=Setup!$C$16),OR(MONTH(D136)&gt;=Setup!$C$15,MONTH(D136)&lt;=Setup!$C$16)),IF(Setup!$C$15&lt;=Setup!$C$16,AND(MONTH(WORKDAY(D136,-(Setup!$C$13+Setup!$G$22),Setup!$C$39:$C$50))&gt;=Setup!$C$15,MONTH(WORKDAY(D136,-(Setup!$C$13+Setup!$G$22),Setup!$C$39:$C$50))&lt;=Setup!$C$16),OR(MONTH(WORKDAY(D136,-(Setup!$C$13+Setup!$G$22),Setup!$C$39:$C$50))&gt;=Setup!$C$15,MONTH(WORKDAY(D136,-(Setup!$C$13+Setup!$G$22),Setup!$C$39:$C$50))&lt;=Setup!$C$16))),WORKDAY(D136,-(Setup!$C$13+Setup!$G$22+Setup!$C$14),Setup!$C$39:$C$50),WORKDAY(D136,-(Setup!$C$13+Setup!$G$22),Setup!$C$39:$C$50))+(131*100+3)/10000000)))</f>
        <v/>
      </c>
      <c r="U136" t="str">
        <f>IF(E136="","",IF(E136&lt;Setup!$C$5-Setup!$C$6,"",IF(IF(ISNUMBER(Roster!$D136),Setup!$C$23&lt;=Roster!$D136,FALSE),"",IF(OR(IF(Setup!$C$15&lt;=Setup!$C$16,AND(MONTH(E136)&gt;=Setup!$C$15,MONTH(E136)&lt;=Setup!$C$16),OR(MONTH(E136)&gt;=Setup!$C$15,MONTH(E136)&lt;=Setup!$C$16)),IF(Setup!$C$15&lt;=Setup!$C$16,AND(MONTH(WORKDAY(E136,-(Setup!$C$13+Setup!$G$23),Setup!$C$39:$C$50))&gt;=Setup!$C$15,MONTH(WORKDAY(E136,-(Setup!$C$13+Setup!$G$23),Setup!$C$39:$C$50))&lt;=Setup!$C$16),OR(MONTH(WORKDAY(E136,-(Setup!$C$13+Setup!$G$23),Setup!$C$39:$C$50))&gt;=Setup!$C$15,MONTH(WORKDAY(E136,-(Setup!$C$13+Setup!$G$23),Setup!$C$39:$C$50))&lt;=Setup!$C$16))),WORKDAY(E136,-(Setup!$C$13+Setup!$G$23+Setup!$C$14),Setup!$C$39:$C$50),WORKDAY(E136,-(Setup!$C$13+Setup!$G$23),Setup!$C$39:$C$50))+(131*100+4)/10000000)))</f>
        <v/>
      </c>
      <c r="V136" t="str">
        <f>IF(F136="","",IF(F136&lt;Setup!$C$5-Setup!$C$6,"",IF(IF(ISNUMBER(Roster!$D136),Setup!$C$24&lt;=Roster!$D136,FALSE),"",IF(OR(IF(Setup!$C$15&lt;=Setup!$C$16,AND(MONTH(F136)&gt;=Setup!$C$15,MONTH(F136)&lt;=Setup!$C$16),OR(MONTH(F136)&gt;=Setup!$C$15,MONTH(F136)&lt;=Setup!$C$16)),IF(Setup!$C$15&lt;=Setup!$C$16,AND(MONTH(WORKDAY(F136,-(Setup!$C$13+Setup!$G$24),Setup!$C$39:$C$50))&gt;=Setup!$C$15,MONTH(WORKDAY(F136,-(Setup!$C$13+Setup!$G$24),Setup!$C$39:$C$50))&lt;=Setup!$C$16),OR(MONTH(WORKDAY(F136,-(Setup!$C$13+Setup!$G$24),Setup!$C$39:$C$50))&gt;=Setup!$C$15,MONTH(WORKDAY(F136,-(Setup!$C$13+Setup!$G$24),Setup!$C$39:$C$50))&lt;=Setup!$C$16))),WORKDAY(F136,-(Setup!$C$13+Setup!$G$24+Setup!$C$14),Setup!$C$39:$C$50),WORKDAY(F136,-(Setup!$C$13+Setup!$G$24),Setup!$C$39:$C$50))+(131*100+5)/10000000)))</f>
        <v/>
      </c>
      <c r="W136" t="str">
        <f>IF(G136="","",IF(G136&lt;Setup!$C$5-Setup!$C$6,"",IF(IF(ISNUMBER(Roster!$D136),Setup!$C$25&lt;=Roster!$D136,FALSE),"",IF(OR(IF(Setup!$C$15&lt;=Setup!$C$16,AND(MONTH(G136)&gt;=Setup!$C$15,MONTH(G136)&lt;=Setup!$C$16),OR(MONTH(G136)&gt;=Setup!$C$15,MONTH(G136)&lt;=Setup!$C$16)),IF(Setup!$C$15&lt;=Setup!$C$16,AND(MONTH(WORKDAY(G136,-(Setup!$C$13+Setup!$G$25),Setup!$C$39:$C$50))&gt;=Setup!$C$15,MONTH(WORKDAY(G136,-(Setup!$C$13+Setup!$G$25),Setup!$C$39:$C$50))&lt;=Setup!$C$16),OR(MONTH(WORKDAY(G136,-(Setup!$C$13+Setup!$G$25),Setup!$C$39:$C$50))&gt;=Setup!$C$15,MONTH(WORKDAY(G136,-(Setup!$C$13+Setup!$G$25),Setup!$C$39:$C$50))&lt;=Setup!$C$16))),WORKDAY(G136,-(Setup!$C$13+Setup!$G$25+Setup!$C$14),Setup!$C$39:$C$50),WORKDAY(G136,-(Setup!$C$13+Setup!$G$25),Setup!$C$39:$C$50))+(131*100+6)/10000000)))</f>
        <v/>
      </c>
      <c r="X136" t="str">
        <f>IF(H136="","",IF(H136&lt;Setup!$C$5-Setup!$C$6,"",IF(IF(ISNUMBER(Roster!$D136),Setup!$C$26&lt;=Roster!$D136,FALSE),"",IF(OR(IF(Setup!$C$15&lt;=Setup!$C$16,AND(MONTH(H136)&gt;=Setup!$C$15,MONTH(H136)&lt;=Setup!$C$16),OR(MONTH(H136)&gt;=Setup!$C$15,MONTH(H136)&lt;=Setup!$C$16)),IF(Setup!$C$15&lt;=Setup!$C$16,AND(MONTH(WORKDAY(H136,-(Setup!$C$13+Setup!$G$26),Setup!$C$39:$C$50))&gt;=Setup!$C$15,MONTH(WORKDAY(H136,-(Setup!$C$13+Setup!$G$26),Setup!$C$39:$C$50))&lt;=Setup!$C$16),OR(MONTH(WORKDAY(H136,-(Setup!$C$13+Setup!$G$26),Setup!$C$39:$C$50))&gt;=Setup!$C$15,MONTH(WORKDAY(H136,-(Setup!$C$13+Setup!$G$26),Setup!$C$39:$C$50))&lt;=Setup!$C$16))),WORKDAY(H136,-(Setup!$C$13+Setup!$G$26+Setup!$C$14),Setup!$C$39:$C$50),WORKDAY(H136,-(Setup!$C$13+Setup!$G$26),Setup!$C$39:$C$50))+(131*100+7)/10000000)))</f>
        <v/>
      </c>
      <c r="Y136" t="str">
        <f>IF(I136="","",IF(I136&lt;Setup!$C$5-Setup!$C$6,"",IF(IF(ISNUMBER(Roster!$D136),Setup!$C$27&lt;=Roster!$D136,FALSE),"",IF(OR(IF(Setup!$C$15&lt;=Setup!$C$16,AND(MONTH(I136)&gt;=Setup!$C$15,MONTH(I136)&lt;=Setup!$C$16),OR(MONTH(I136)&gt;=Setup!$C$15,MONTH(I136)&lt;=Setup!$C$16)),IF(Setup!$C$15&lt;=Setup!$C$16,AND(MONTH(WORKDAY(I136,-(Setup!$C$13+Setup!$G$27),Setup!$C$39:$C$50))&gt;=Setup!$C$15,MONTH(WORKDAY(I136,-(Setup!$C$13+Setup!$G$27),Setup!$C$39:$C$50))&lt;=Setup!$C$16),OR(MONTH(WORKDAY(I136,-(Setup!$C$13+Setup!$G$27),Setup!$C$39:$C$50))&gt;=Setup!$C$15,MONTH(WORKDAY(I136,-(Setup!$C$13+Setup!$G$27),Setup!$C$39:$C$50))&lt;=Setup!$C$16))),WORKDAY(I136,-(Setup!$C$13+Setup!$G$27+Setup!$C$14),Setup!$C$39:$C$50),WORKDAY(I136,-(Setup!$C$13+Setup!$G$27),Setup!$C$39:$C$50))+(131*100+8)/10000000)))</f>
        <v/>
      </c>
      <c r="Z136" t="str">
        <f>IF(J136="","",IF(J136&lt;Setup!$C$5-Setup!$C$6,"",IF(IF(ISNUMBER(Roster!$D136),Setup!$C$28&lt;=Roster!$D136,FALSE),"",IF(OR(IF(Setup!$C$15&lt;=Setup!$C$16,AND(MONTH(J136)&gt;=Setup!$C$15,MONTH(J136)&lt;=Setup!$C$16),OR(MONTH(J136)&gt;=Setup!$C$15,MONTH(J136)&lt;=Setup!$C$16)),IF(Setup!$C$15&lt;=Setup!$C$16,AND(MONTH(WORKDAY(J136,-(Setup!$C$13+Setup!$G$28),Setup!$C$39:$C$50))&gt;=Setup!$C$15,MONTH(WORKDAY(J136,-(Setup!$C$13+Setup!$G$28),Setup!$C$39:$C$50))&lt;=Setup!$C$16),OR(MONTH(WORKDAY(J136,-(Setup!$C$13+Setup!$G$28),Setup!$C$39:$C$50))&gt;=Setup!$C$15,MONTH(WORKDAY(J136,-(Setup!$C$13+Setup!$G$28),Setup!$C$39:$C$50))&lt;=Setup!$C$16))),WORKDAY(J136,-(Setup!$C$13+Setup!$G$28+Setup!$C$14),Setup!$C$39:$C$50),WORKDAY(J136,-(Setup!$C$13+Setup!$G$28),Setup!$C$39:$C$50))+(131*100+9)/10000000)))</f>
        <v/>
      </c>
      <c r="AA136" t="str">
        <f>IF(K136="","",IF(K136&lt;Setup!$C$5-Setup!$C$6,"",IF(IF(ISNUMBER(Roster!$D136),Setup!$C$29&lt;=Roster!$D136,FALSE),"",IF(OR(IF(Setup!$C$15&lt;=Setup!$C$16,AND(MONTH(K136)&gt;=Setup!$C$15,MONTH(K136)&lt;=Setup!$C$16),OR(MONTH(K136)&gt;=Setup!$C$15,MONTH(K136)&lt;=Setup!$C$16)),IF(Setup!$C$15&lt;=Setup!$C$16,AND(MONTH(WORKDAY(K136,-(Setup!$C$13+Setup!$G$29),Setup!$C$39:$C$50))&gt;=Setup!$C$15,MONTH(WORKDAY(K136,-(Setup!$C$13+Setup!$G$29),Setup!$C$39:$C$50))&lt;=Setup!$C$16),OR(MONTH(WORKDAY(K136,-(Setup!$C$13+Setup!$G$29),Setup!$C$39:$C$50))&gt;=Setup!$C$15,MONTH(WORKDAY(K136,-(Setup!$C$13+Setup!$G$29),Setup!$C$39:$C$50))&lt;=Setup!$C$16))),WORKDAY(K136,-(Setup!$C$13+Setup!$G$29+Setup!$C$14),Setup!$C$39:$C$50),WORKDAY(K136,-(Setup!$C$13+Setup!$G$29),Setup!$C$39:$C$50))+(131*100+10)/10000000)))</f>
        <v/>
      </c>
      <c r="AB136" t="str">
        <f>IF(L136="","",IF(L136&lt;Setup!$C$5-Setup!$C$6,"",IF(IF(ISNUMBER(Roster!$D136),Setup!$C$30&lt;=Roster!$D136,FALSE),"",IF(OR(IF(Setup!$C$15&lt;=Setup!$C$16,AND(MONTH(L136)&gt;=Setup!$C$15,MONTH(L136)&lt;=Setup!$C$16),OR(MONTH(L136)&gt;=Setup!$C$15,MONTH(L136)&lt;=Setup!$C$16)),IF(Setup!$C$15&lt;=Setup!$C$16,AND(MONTH(WORKDAY(L136,-(Setup!$C$13+Setup!$G$30),Setup!$C$39:$C$50))&gt;=Setup!$C$15,MONTH(WORKDAY(L136,-(Setup!$C$13+Setup!$G$30),Setup!$C$39:$C$50))&lt;=Setup!$C$16),OR(MONTH(WORKDAY(L136,-(Setup!$C$13+Setup!$G$30),Setup!$C$39:$C$50))&gt;=Setup!$C$15,MONTH(WORKDAY(L136,-(Setup!$C$13+Setup!$G$30),Setup!$C$39:$C$50))&lt;=Setup!$C$16))),WORKDAY(L136,-(Setup!$C$13+Setup!$G$30+Setup!$C$14),Setup!$C$39:$C$50),WORKDAY(L136,-(Setup!$C$13+Setup!$G$30),Setup!$C$39:$C$50))+(131*100+11)/10000000)))</f>
        <v/>
      </c>
      <c r="AC136" t="str">
        <f>IF(M136="","",IF(M136&lt;Setup!$C$5-Setup!$C$6,"",IF(IF(ISNUMBER(Roster!$D136),Setup!$C$31&lt;=Roster!$D136,FALSE),"",IF(OR(IF(Setup!$C$15&lt;=Setup!$C$16,AND(MONTH(M136)&gt;=Setup!$C$15,MONTH(M136)&lt;=Setup!$C$16),OR(MONTH(M136)&gt;=Setup!$C$15,MONTH(M136)&lt;=Setup!$C$16)),IF(Setup!$C$15&lt;=Setup!$C$16,AND(MONTH(WORKDAY(M136,-(Setup!$C$13+Setup!$G$31),Setup!$C$39:$C$50))&gt;=Setup!$C$15,MONTH(WORKDAY(M136,-(Setup!$C$13+Setup!$G$31),Setup!$C$39:$C$50))&lt;=Setup!$C$16),OR(MONTH(WORKDAY(M136,-(Setup!$C$13+Setup!$G$31),Setup!$C$39:$C$50))&gt;=Setup!$C$15,MONTH(WORKDAY(M136,-(Setup!$C$13+Setup!$G$31),Setup!$C$39:$C$50))&lt;=Setup!$C$16))),WORKDAY(M136,-(Setup!$C$13+Setup!$G$31+Setup!$C$14),Setup!$C$39:$C$50),WORKDAY(M136,-(Setup!$C$13+Setup!$G$31),Setup!$C$39:$C$50))+(131*100+12)/10000000)))</f>
        <v/>
      </c>
      <c r="AD136" t="str">
        <f>IF(N136="","",IF(N136&lt;Setup!$C$5-Setup!$C$6,"",IF(IF(ISNUMBER(Roster!$D136),Setup!$C$32&lt;=Roster!$D136,FALSE),"",IF(OR(IF(Setup!$C$15&lt;=Setup!$C$16,AND(MONTH(N136)&gt;=Setup!$C$15,MONTH(N136)&lt;=Setup!$C$16),OR(MONTH(N136)&gt;=Setup!$C$15,MONTH(N136)&lt;=Setup!$C$16)),IF(Setup!$C$15&lt;=Setup!$C$16,AND(MONTH(WORKDAY(N136,-(Setup!$C$13+Setup!$G$32),Setup!$C$39:$C$50))&gt;=Setup!$C$15,MONTH(WORKDAY(N136,-(Setup!$C$13+Setup!$G$32),Setup!$C$39:$C$50))&lt;=Setup!$C$16),OR(MONTH(WORKDAY(N136,-(Setup!$C$13+Setup!$G$32),Setup!$C$39:$C$50))&gt;=Setup!$C$15,MONTH(WORKDAY(N136,-(Setup!$C$13+Setup!$G$32),Setup!$C$39:$C$50))&lt;=Setup!$C$16))),WORKDAY(N136,-(Setup!$C$13+Setup!$G$32+Setup!$C$14),Setup!$C$39:$C$50),WORKDAY(N136,-(Setup!$C$13+Setup!$G$32),Setup!$C$39:$C$50))+(131*100+13)/10000000)))</f>
        <v/>
      </c>
      <c r="AE136" t="str">
        <f>IF(O136="","",IF(O136&lt;Setup!$C$5-Setup!$C$6,"",IF(IF(ISNUMBER(Roster!$D136),Setup!$C$33&lt;=Roster!$D136,FALSE),"",IF(OR(IF(Setup!$C$15&lt;=Setup!$C$16,AND(MONTH(O136)&gt;=Setup!$C$15,MONTH(O136)&lt;=Setup!$C$16),OR(MONTH(O136)&gt;=Setup!$C$15,MONTH(O136)&lt;=Setup!$C$16)),IF(Setup!$C$15&lt;=Setup!$C$16,AND(MONTH(WORKDAY(O136,-(Setup!$C$13+Setup!$G$33),Setup!$C$39:$C$50))&gt;=Setup!$C$15,MONTH(WORKDAY(O136,-(Setup!$C$13+Setup!$G$33),Setup!$C$39:$C$50))&lt;=Setup!$C$16),OR(MONTH(WORKDAY(O136,-(Setup!$C$13+Setup!$G$33),Setup!$C$39:$C$50))&gt;=Setup!$C$15,MONTH(WORKDAY(O136,-(Setup!$C$13+Setup!$G$33),Setup!$C$39:$C$50))&lt;=Setup!$C$16))),WORKDAY(O136,-(Setup!$C$13+Setup!$G$33+Setup!$C$14),Setup!$C$39:$C$50),WORKDAY(O136,-(Setup!$C$13+Setup!$G$33),Setup!$C$39:$C$50))+(131*100+14)/10000000)))</f>
        <v/>
      </c>
      <c r="AF136" t="str">
        <f>IF(P136="","",IF(P136&lt;Setup!$C$5-Setup!$C$6,"",IF(IF(ISNUMBER(Roster!$D136),Setup!$C$34&lt;=Roster!$D136,FALSE),"",IF(OR(IF(Setup!$C$15&lt;=Setup!$C$16,AND(MONTH(P136)&gt;=Setup!$C$15,MONTH(P136)&lt;=Setup!$C$16),OR(MONTH(P136)&gt;=Setup!$C$15,MONTH(P136)&lt;=Setup!$C$16)),IF(Setup!$C$15&lt;=Setup!$C$16,AND(MONTH(WORKDAY(P136,-(Setup!$C$13+Setup!$G$34),Setup!$C$39:$C$50))&gt;=Setup!$C$15,MONTH(WORKDAY(P136,-(Setup!$C$13+Setup!$G$34),Setup!$C$39:$C$50))&lt;=Setup!$C$16),OR(MONTH(WORKDAY(P136,-(Setup!$C$13+Setup!$G$34),Setup!$C$39:$C$50))&gt;=Setup!$C$15,MONTH(WORKDAY(P136,-(Setup!$C$13+Setup!$G$34),Setup!$C$39:$C$50))&lt;=Setup!$C$16))),WORKDAY(P136,-(Setup!$C$13+Setup!$G$34+Setup!$C$14),Setup!$C$39:$C$50),WORKDAY(P136,-(Setup!$C$13+Setup!$G$34),Setup!$C$39:$C$50))+(131*100+15)/10000000)))</f>
        <v/>
      </c>
      <c r="AH136" t="str">
        <f t="shared" si="17"/>
        <v/>
      </c>
      <c r="AI136" t="str">
        <f t="shared" si="18"/>
        <v/>
      </c>
      <c r="AK136" t="str">
        <f ca="1">IF(131&gt;$AK$2,"",SMALL($R$6:$AF$505,131))</f>
        <v/>
      </c>
      <c r="AL136" t="str">
        <f t="shared" ca="1" si="19"/>
        <v/>
      </c>
      <c r="AM136" t="str">
        <f t="shared" ca="1" si="20"/>
        <v/>
      </c>
      <c r="AN136" t="str">
        <f t="shared" ca="1" si="21"/>
        <v/>
      </c>
      <c r="AP136" t="str">
        <f>IF(ISNUMBER(Roster!$B136),MAX(1,YEAR(Setup!$C$5)-YEAR(Roster!$B136)+IF(EDATE(Roster!$B136,12*(YEAR(Setup!$C$5)-YEAR(Roster!$B136)))&lt;Setup!$C$5,1,0)),"")</f>
        <v/>
      </c>
      <c r="AQ136" s="32" t="str">
        <f>IF(AP136="","",EDATE(Roster!$B136,12*AP136))</f>
        <v/>
      </c>
      <c r="AR136" t="str">
        <f>IF(AQ136="","",IF(AQ136&lt;DATE(YEAR(Setup!$C$5)+1,MONTH(Setup!$C$5),DAY(Setup!$C$5)),AQ136+131/1000,""))</f>
        <v/>
      </c>
      <c r="AS136" t="str">
        <f t="shared" si="22"/>
        <v/>
      </c>
      <c r="AT136" t="str">
        <f>IF(AS136="","",IF(ISNUMBER(Roster!$D136),Roster!$D136&gt;=AP136,FALSE))</f>
        <v/>
      </c>
      <c r="AU136" t="str">
        <f t="shared" si="23"/>
        <v/>
      </c>
      <c r="AV136" t="str">
        <f ca="1">IF(131&gt;$AV$2,"",SMALL($AR$6:$AR$505,131))</f>
        <v/>
      </c>
      <c r="AW136" t="str">
        <f t="shared" ca="1" si="24"/>
        <v/>
      </c>
    </row>
    <row r="137" spans="2:49" x14ac:dyDescent="0.2">
      <c r="B137" s="32" t="str">
        <f>IF(AND(ISNUMBER(Roster!$B137),Setup!$B$20="Yes",ISNUMBER(Setup!$C$20)),EDATE(Roster!$B137,12*Setup!$C$20),"")</f>
        <v/>
      </c>
      <c r="C137" s="32" t="str">
        <f>IF(AND(ISNUMBER(Roster!$B137),Setup!$B$21="Yes",ISNUMBER(Setup!$C$21)),EDATE(Roster!$B137,12*Setup!$C$21),"")</f>
        <v/>
      </c>
      <c r="D137" s="32" t="str">
        <f>IF(AND(ISNUMBER(Roster!$B137),Setup!$B$22="Yes",ISNUMBER(Setup!$C$22)),EDATE(Roster!$B137,12*Setup!$C$22),"")</f>
        <v/>
      </c>
      <c r="E137" s="32" t="str">
        <f>IF(AND(ISNUMBER(Roster!$B137),Setup!$B$23="Yes",ISNUMBER(Setup!$C$23)),EDATE(Roster!$B137,12*Setup!$C$23),"")</f>
        <v/>
      </c>
      <c r="F137" s="32" t="str">
        <f>IF(AND(ISNUMBER(Roster!$B137),Setup!$B$24="Yes",ISNUMBER(Setup!$C$24)),EDATE(Roster!$B137,12*Setup!$C$24),"")</f>
        <v/>
      </c>
      <c r="G137" s="32" t="str">
        <f>IF(AND(ISNUMBER(Roster!$B137),Setup!$B$25="Yes",ISNUMBER(Setup!$C$25)),EDATE(Roster!$B137,12*Setup!$C$25),"")</f>
        <v/>
      </c>
      <c r="H137" s="32" t="str">
        <f>IF(AND(ISNUMBER(Roster!$B137),Setup!$B$26="Yes",ISNUMBER(Setup!$C$26)),EDATE(Roster!$B137,12*Setup!$C$26),"")</f>
        <v/>
      </c>
      <c r="I137" s="32" t="str">
        <f>IF(AND(ISNUMBER(Roster!$B137),Setup!$B$27="Yes",ISNUMBER(Setup!$C$27)),EDATE(Roster!$B137,12*Setup!$C$27),"")</f>
        <v/>
      </c>
      <c r="J137" s="32" t="str">
        <f>IF(AND(ISNUMBER(Roster!$B137),Setup!$B$28="Yes",ISNUMBER(Setup!$C$28)),EDATE(Roster!$B137,12*Setup!$C$28),"")</f>
        <v/>
      </c>
      <c r="K137" s="32" t="str">
        <f>IF(AND(ISNUMBER(Roster!$B137),Setup!$B$29="Yes",ISNUMBER(Setup!$C$29)),EDATE(Roster!$B137,12*Setup!$C$29),"")</f>
        <v/>
      </c>
      <c r="L137" s="32" t="str">
        <f>IF(AND(ISNUMBER(Roster!$B137),Setup!$B$30="Yes",ISNUMBER(Setup!$C$30)),EDATE(Roster!$B137,12*Setup!$C$30),"")</f>
        <v/>
      </c>
      <c r="M137" s="32" t="str">
        <f>IF(AND(ISNUMBER(Roster!$B137),Setup!$B$31="Yes",ISNUMBER(Setup!$C$31)),EDATE(Roster!$B137,12*Setup!$C$31),"")</f>
        <v/>
      </c>
      <c r="N137" s="32" t="str">
        <f>IF(AND(ISNUMBER(Roster!$B137),Setup!$B$32="Yes",ISNUMBER(Setup!$C$32)),EDATE(Roster!$B137,12*Setup!$C$32),"")</f>
        <v/>
      </c>
      <c r="O137" s="32" t="str">
        <f>IF(AND(ISNUMBER(Roster!$B137),Setup!$B$33="Yes",ISNUMBER(Setup!$C$33)),EDATE(Roster!$B137,12*Setup!$C$33),"")</f>
        <v/>
      </c>
      <c r="P137" s="32" t="str">
        <f>IF(AND(ISNUMBER(Roster!$B137),Setup!$B$34="Yes",ISNUMBER(Setup!$C$34)),EDATE(Roster!$B137,12*Setup!$C$34),"")</f>
        <v/>
      </c>
      <c r="R137" t="str">
        <f>IF(B137="","",IF(B137&lt;Setup!$C$5-Setup!$C$6,"",IF(IF(ISNUMBER(Roster!$D137),Setup!$C$20&lt;=Roster!$D137,FALSE),"",IF(OR(IF(Setup!$C$15&lt;=Setup!$C$16,AND(MONTH(B137)&gt;=Setup!$C$15,MONTH(B137)&lt;=Setup!$C$16),OR(MONTH(B137)&gt;=Setup!$C$15,MONTH(B137)&lt;=Setup!$C$16)),IF(Setup!$C$15&lt;=Setup!$C$16,AND(MONTH(WORKDAY(B137,-(Setup!$C$13+Setup!$G$20),Setup!$C$39:$C$50))&gt;=Setup!$C$15,MONTH(WORKDAY(B137,-(Setup!$C$13+Setup!$G$20),Setup!$C$39:$C$50))&lt;=Setup!$C$16),OR(MONTH(WORKDAY(B137,-(Setup!$C$13+Setup!$G$20),Setup!$C$39:$C$50))&gt;=Setup!$C$15,MONTH(WORKDAY(B137,-(Setup!$C$13+Setup!$G$20),Setup!$C$39:$C$50))&lt;=Setup!$C$16))),WORKDAY(B137,-(Setup!$C$13+Setup!$G$20+Setup!$C$14),Setup!$C$39:$C$50),WORKDAY(B137,-(Setup!$C$13+Setup!$G$20),Setup!$C$39:$C$50))+(132*100+1)/10000000)))</f>
        <v/>
      </c>
      <c r="S137" t="str">
        <f>IF(C137="","",IF(C137&lt;Setup!$C$5-Setup!$C$6,"",IF(IF(ISNUMBER(Roster!$D137),Setup!$C$21&lt;=Roster!$D137,FALSE),"",IF(OR(IF(Setup!$C$15&lt;=Setup!$C$16,AND(MONTH(C137)&gt;=Setup!$C$15,MONTH(C137)&lt;=Setup!$C$16),OR(MONTH(C137)&gt;=Setup!$C$15,MONTH(C137)&lt;=Setup!$C$16)),IF(Setup!$C$15&lt;=Setup!$C$16,AND(MONTH(WORKDAY(C137,-(Setup!$C$13+Setup!$G$21),Setup!$C$39:$C$50))&gt;=Setup!$C$15,MONTH(WORKDAY(C137,-(Setup!$C$13+Setup!$G$21),Setup!$C$39:$C$50))&lt;=Setup!$C$16),OR(MONTH(WORKDAY(C137,-(Setup!$C$13+Setup!$G$21),Setup!$C$39:$C$50))&gt;=Setup!$C$15,MONTH(WORKDAY(C137,-(Setup!$C$13+Setup!$G$21),Setup!$C$39:$C$50))&lt;=Setup!$C$16))),WORKDAY(C137,-(Setup!$C$13+Setup!$G$21+Setup!$C$14),Setup!$C$39:$C$50),WORKDAY(C137,-(Setup!$C$13+Setup!$G$21),Setup!$C$39:$C$50))+(132*100+2)/10000000)))</f>
        <v/>
      </c>
      <c r="T137" t="str">
        <f>IF(D137="","",IF(D137&lt;Setup!$C$5-Setup!$C$6,"",IF(IF(ISNUMBER(Roster!$D137),Setup!$C$22&lt;=Roster!$D137,FALSE),"",IF(OR(IF(Setup!$C$15&lt;=Setup!$C$16,AND(MONTH(D137)&gt;=Setup!$C$15,MONTH(D137)&lt;=Setup!$C$16),OR(MONTH(D137)&gt;=Setup!$C$15,MONTH(D137)&lt;=Setup!$C$16)),IF(Setup!$C$15&lt;=Setup!$C$16,AND(MONTH(WORKDAY(D137,-(Setup!$C$13+Setup!$G$22),Setup!$C$39:$C$50))&gt;=Setup!$C$15,MONTH(WORKDAY(D137,-(Setup!$C$13+Setup!$G$22),Setup!$C$39:$C$50))&lt;=Setup!$C$16),OR(MONTH(WORKDAY(D137,-(Setup!$C$13+Setup!$G$22),Setup!$C$39:$C$50))&gt;=Setup!$C$15,MONTH(WORKDAY(D137,-(Setup!$C$13+Setup!$G$22),Setup!$C$39:$C$50))&lt;=Setup!$C$16))),WORKDAY(D137,-(Setup!$C$13+Setup!$G$22+Setup!$C$14),Setup!$C$39:$C$50),WORKDAY(D137,-(Setup!$C$13+Setup!$G$22),Setup!$C$39:$C$50))+(132*100+3)/10000000)))</f>
        <v/>
      </c>
      <c r="U137" t="str">
        <f>IF(E137="","",IF(E137&lt;Setup!$C$5-Setup!$C$6,"",IF(IF(ISNUMBER(Roster!$D137),Setup!$C$23&lt;=Roster!$D137,FALSE),"",IF(OR(IF(Setup!$C$15&lt;=Setup!$C$16,AND(MONTH(E137)&gt;=Setup!$C$15,MONTH(E137)&lt;=Setup!$C$16),OR(MONTH(E137)&gt;=Setup!$C$15,MONTH(E137)&lt;=Setup!$C$16)),IF(Setup!$C$15&lt;=Setup!$C$16,AND(MONTH(WORKDAY(E137,-(Setup!$C$13+Setup!$G$23),Setup!$C$39:$C$50))&gt;=Setup!$C$15,MONTH(WORKDAY(E137,-(Setup!$C$13+Setup!$G$23),Setup!$C$39:$C$50))&lt;=Setup!$C$16),OR(MONTH(WORKDAY(E137,-(Setup!$C$13+Setup!$G$23),Setup!$C$39:$C$50))&gt;=Setup!$C$15,MONTH(WORKDAY(E137,-(Setup!$C$13+Setup!$G$23),Setup!$C$39:$C$50))&lt;=Setup!$C$16))),WORKDAY(E137,-(Setup!$C$13+Setup!$G$23+Setup!$C$14),Setup!$C$39:$C$50),WORKDAY(E137,-(Setup!$C$13+Setup!$G$23),Setup!$C$39:$C$50))+(132*100+4)/10000000)))</f>
        <v/>
      </c>
      <c r="V137" t="str">
        <f>IF(F137="","",IF(F137&lt;Setup!$C$5-Setup!$C$6,"",IF(IF(ISNUMBER(Roster!$D137),Setup!$C$24&lt;=Roster!$D137,FALSE),"",IF(OR(IF(Setup!$C$15&lt;=Setup!$C$16,AND(MONTH(F137)&gt;=Setup!$C$15,MONTH(F137)&lt;=Setup!$C$16),OR(MONTH(F137)&gt;=Setup!$C$15,MONTH(F137)&lt;=Setup!$C$16)),IF(Setup!$C$15&lt;=Setup!$C$16,AND(MONTH(WORKDAY(F137,-(Setup!$C$13+Setup!$G$24),Setup!$C$39:$C$50))&gt;=Setup!$C$15,MONTH(WORKDAY(F137,-(Setup!$C$13+Setup!$G$24),Setup!$C$39:$C$50))&lt;=Setup!$C$16),OR(MONTH(WORKDAY(F137,-(Setup!$C$13+Setup!$G$24),Setup!$C$39:$C$50))&gt;=Setup!$C$15,MONTH(WORKDAY(F137,-(Setup!$C$13+Setup!$G$24),Setup!$C$39:$C$50))&lt;=Setup!$C$16))),WORKDAY(F137,-(Setup!$C$13+Setup!$G$24+Setup!$C$14),Setup!$C$39:$C$50),WORKDAY(F137,-(Setup!$C$13+Setup!$G$24),Setup!$C$39:$C$50))+(132*100+5)/10000000)))</f>
        <v/>
      </c>
      <c r="W137" t="str">
        <f>IF(G137="","",IF(G137&lt;Setup!$C$5-Setup!$C$6,"",IF(IF(ISNUMBER(Roster!$D137),Setup!$C$25&lt;=Roster!$D137,FALSE),"",IF(OR(IF(Setup!$C$15&lt;=Setup!$C$16,AND(MONTH(G137)&gt;=Setup!$C$15,MONTH(G137)&lt;=Setup!$C$16),OR(MONTH(G137)&gt;=Setup!$C$15,MONTH(G137)&lt;=Setup!$C$16)),IF(Setup!$C$15&lt;=Setup!$C$16,AND(MONTH(WORKDAY(G137,-(Setup!$C$13+Setup!$G$25),Setup!$C$39:$C$50))&gt;=Setup!$C$15,MONTH(WORKDAY(G137,-(Setup!$C$13+Setup!$G$25),Setup!$C$39:$C$50))&lt;=Setup!$C$16),OR(MONTH(WORKDAY(G137,-(Setup!$C$13+Setup!$G$25),Setup!$C$39:$C$50))&gt;=Setup!$C$15,MONTH(WORKDAY(G137,-(Setup!$C$13+Setup!$G$25),Setup!$C$39:$C$50))&lt;=Setup!$C$16))),WORKDAY(G137,-(Setup!$C$13+Setup!$G$25+Setup!$C$14),Setup!$C$39:$C$50),WORKDAY(G137,-(Setup!$C$13+Setup!$G$25),Setup!$C$39:$C$50))+(132*100+6)/10000000)))</f>
        <v/>
      </c>
      <c r="X137" t="str">
        <f>IF(H137="","",IF(H137&lt;Setup!$C$5-Setup!$C$6,"",IF(IF(ISNUMBER(Roster!$D137),Setup!$C$26&lt;=Roster!$D137,FALSE),"",IF(OR(IF(Setup!$C$15&lt;=Setup!$C$16,AND(MONTH(H137)&gt;=Setup!$C$15,MONTH(H137)&lt;=Setup!$C$16),OR(MONTH(H137)&gt;=Setup!$C$15,MONTH(H137)&lt;=Setup!$C$16)),IF(Setup!$C$15&lt;=Setup!$C$16,AND(MONTH(WORKDAY(H137,-(Setup!$C$13+Setup!$G$26),Setup!$C$39:$C$50))&gt;=Setup!$C$15,MONTH(WORKDAY(H137,-(Setup!$C$13+Setup!$G$26),Setup!$C$39:$C$50))&lt;=Setup!$C$16),OR(MONTH(WORKDAY(H137,-(Setup!$C$13+Setup!$G$26),Setup!$C$39:$C$50))&gt;=Setup!$C$15,MONTH(WORKDAY(H137,-(Setup!$C$13+Setup!$G$26),Setup!$C$39:$C$50))&lt;=Setup!$C$16))),WORKDAY(H137,-(Setup!$C$13+Setup!$G$26+Setup!$C$14),Setup!$C$39:$C$50),WORKDAY(H137,-(Setup!$C$13+Setup!$G$26),Setup!$C$39:$C$50))+(132*100+7)/10000000)))</f>
        <v/>
      </c>
      <c r="Y137" t="str">
        <f>IF(I137="","",IF(I137&lt;Setup!$C$5-Setup!$C$6,"",IF(IF(ISNUMBER(Roster!$D137),Setup!$C$27&lt;=Roster!$D137,FALSE),"",IF(OR(IF(Setup!$C$15&lt;=Setup!$C$16,AND(MONTH(I137)&gt;=Setup!$C$15,MONTH(I137)&lt;=Setup!$C$16),OR(MONTH(I137)&gt;=Setup!$C$15,MONTH(I137)&lt;=Setup!$C$16)),IF(Setup!$C$15&lt;=Setup!$C$16,AND(MONTH(WORKDAY(I137,-(Setup!$C$13+Setup!$G$27),Setup!$C$39:$C$50))&gt;=Setup!$C$15,MONTH(WORKDAY(I137,-(Setup!$C$13+Setup!$G$27),Setup!$C$39:$C$50))&lt;=Setup!$C$16),OR(MONTH(WORKDAY(I137,-(Setup!$C$13+Setup!$G$27),Setup!$C$39:$C$50))&gt;=Setup!$C$15,MONTH(WORKDAY(I137,-(Setup!$C$13+Setup!$G$27),Setup!$C$39:$C$50))&lt;=Setup!$C$16))),WORKDAY(I137,-(Setup!$C$13+Setup!$G$27+Setup!$C$14),Setup!$C$39:$C$50),WORKDAY(I137,-(Setup!$C$13+Setup!$G$27),Setup!$C$39:$C$50))+(132*100+8)/10000000)))</f>
        <v/>
      </c>
      <c r="Z137" t="str">
        <f>IF(J137="","",IF(J137&lt;Setup!$C$5-Setup!$C$6,"",IF(IF(ISNUMBER(Roster!$D137),Setup!$C$28&lt;=Roster!$D137,FALSE),"",IF(OR(IF(Setup!$C$15&lt;=Setup!$C$16,AND(MONTH(J137)&gt;=Setup!$C$15,MONTH(J137)&lt;=Setup!$C$16),OR(MONTH(J137)&gt;=Setup!$C$15,MONTH(J137)&lt;=Setup!$C$16)),IF(Setup!$C$15&lt;=Setup!$C$16,AND(MONTH(WORKDAY(J137,-(Setup!$C$13+Setup!$G$28),Setup!$C$39:$C$50))&gt;=Setup!$C$15,MONTH(WORKDAY(J137,-(Setup!$C$13+Setup!$G$28),Setup!$C$39:$C$50))&lt;=Setup!$C$16),OR(MONTH(WORKDAY(J137,-(Setup!$C$13+Setup!$G$28),Setup!$C$39:$C$50))&gt;=Setup!$C$15,MONTH(WORKDAY(J137,-(Setup!$C$13+Setup!$G$28),Setup!$C$39:$C$50))&lt;=Setup!$C$16))),WORKDAY(J137,-(Setup!$C$13+Setup!$G$28+Setup!$C$14),Setup!$C$39:$C$50),WORKDAY(J137,-(Setup!$C$13+Setup!$G$28),Setup!$C$39:$C$50))+(132*100+9)/10000000)))</f>
        <v/>
      </c>
      <c r="AA137" t="str">
        <f>IF(K137="","",IF(K137&lt;Setup!$C$5-Setup!$C$6,"",IF(IF(ISNUMBER(Roster!$D137),Setup!$C$29&lt;=Roster!$D137,FALSE),"",IF(OR(IF(Setup!$C$15&lt;=Setup!$C$16,AND(MONTH(K137)&gt;=Setup!$C$15,MONTH(K137)&lt;=Setup!$C$16),OR(MONTH(K137)&gt;=Setup!$C$15,MONTH(K137)&lt;=Setup!$C$16)),IF(Setup!$C$15&lt;=Setup!$C$16,AND(MONTH(WORKDAY(K137,-(Setup!$C$13+Setup!$G$29),Setup!$C$39:$C$50))&gt;=Setup!$C$15,MONTH(WORKDAY(K137,-(Setup!$C$13+Setup!$G$29),Setup!$C$39:$C$50))&lt;=Setup!$C$16),OR(MONTH(WORKDAY(K137,-(Setup!$C$13+Setup!$G$29),Setup!$C$39:$C$50))&gt;=Setup!$C$15,MONTH(WORKDAY(K137,-(Setup!$C$13+Setup!$G$29),Setup!$C$39:$C$50))&lt;=Setup!$C$16))),WORKDAY(K137,-(Setup!$C$13+Setup!$G$29+Setup!$C$14),Setup!$C$39:$C$50),WORKDAY(K137,-(Setup!$C$13+Setup!$G$29),Setup!$C$39:$C$50))+(132*100+10)/10000000)))</f>
        <v/>
      </c>
      <c r="AB137" t="str">
        <f>IF(L137="","",IF(L137&lt;Setup!$C$5-Setup!$C$6,"",IF(IF(ISNUMBER(Roster!$D137),Setup!$C$30&lt;=Roster!$D137,FALSE),"",IF(OR(IF(Setup!$C$15&lt;=Setup!$C$16,AND(MONTH(L137)&gt;=Setup!$C$15,MONTH(L137)&lt;=Setup!$C$16),OR(MONTH(L137)&gt;=Setup!$C$15,MONTH(L137)&lt;=Setup!$C$16)),IF(Setup!$C$15&lt;=Setup!$C$16,AND(MONTH(WORKDAY(L137,-(Setup!$C$13+Setup!$G$30),Setup!$C$39:$C$50))&gt;=Setup!$C$15,MONTH(WORKDAY(L137,-(Setup!$C$13+Setup!$G$30),Setup!$C$39:$C$50))&lt;=Setup!$C$16),OR(MONTH(WORKDAY(L137,-(Setup!$C$13+Setup!$G$30),Setup!$C$39:$C$50))&gt;=Setup!$C$15,MONTH(WORKDAY(L137,-(Setup!$C$13+Setup!$G$30),Setup!$C$39:$C$50))&lt;=Setup!$C$16))),WORKDAY(L137,-(Setup!$C$13+Setup!$G$30+Setup!$C$14),Setup!$C$39:$C$50),WORKDAY(L137,-(Setup!$C$13+Setup!$G$30),Setup!$C$39:$C$50))+(132*100+11)/10000000)))</f>
        <v/>
      </c>
      <c r="AC137" t="str">
        <f>IF(M137="","",IF(M137&lt;Setup!$C$5-Setup!$C$6,"",IF(IF(ISNUMBER(Roster!$D137),Setup!$C$31&lt;=Roster!$D137,FALSE),"",IF(OR(IF(Setup!$C$15&lt;=Setup!$C$16,AND(MONTH(M137)&gt;=Setup!$C$15,MONTH(M137)&lt;=Setup!$C$16),OR(MONTH(M137)&gt;=Setup!$C$15,MONTH(M137)&lt;=Setup!$C$16)),IF(Setup!$C$15&lt;=Setup!$C$16,AND(MONTH(WORKDAY(M137,-(Setup!$C$13+Setup!$G$31),Setup!$C$39:$C$50))&gt;=Setup!$C$15,MONTH(WORKDAY(M137,-(Setup!$C$13+Setup!$G$31),Setup!$C$39:$C$50))&lt;=Setup!$C$16),OR(MONTH(WORKDAY(M137,-(Setup!$C$13+Setup!$G$31),Setup!$C$39:$C$50))&gt;=Setup!$C$15,MONTH(WORKDAY(M137,-(Setup!$C$13+Setup!$G$31),Setup!$C$39:$C$50))&lt;=Setup!$C$16))),WORKDAY(M137,-(Setup!$C$13+Setup!$G$31+Setup!$C$14),Setup!$C$39:$C$50),WORKDAY(M137,-(Setup!$C$13+Setup!$G$31),Setup!$C$39:$C$50))+(132*100+12)/10000000)))</f>
        <v/>
      </c>
      <c r="AD137" t="str">
        <f>IF(N137="","",IF(N137&lt;Setup!$C$5-Setup!$C$6,"",IF(IF(ISNUMBER(Roster!$D137),Setup!$C$32&lt;=Roster!$D137,FALSE),"",IF(OR(IF(Setup!$C$15&lt;=Setup!$C$16,AND(MONTH(N137)&gt;=Setup!$C$15,MONTH(N137)&lt;=Setup!$C$16),OR(MONTH(N137)&gt;=Setup!$C$15,MONTH(N137)&lt;=Setup!$C$16)),IF(Setup!$C$15&lt;=Setup!$C$16,AND(MONTH(WORKDAY(N137,-(Setup!$C$13+Setup!$G$32),Setup!$C$39:$C$50))&gt;=Setup!$C$15,MONTH(WORKDAY(N137,-(Setup!$C$13+Setup!$G$32),Setup!$C$39:$C$50))&lt;=Setup!$C$16),OR(MONTH(WORKDAY(N137,-(Setup!$C$13+Setup!$G$32),Setup!$C$39:$C$50))&gt;=Setup!$C$15,MONTH(WORKDAY(N137,-(Setup!$C$13+Setup!$G$32),Setup!$C$39:$C$50))&lt;=Setup!$C$16))),WORKDAY(N137,-(Setup!$C$13+Setup!$G$32+Setup!$C$14),Setup!$C$39:$C$50),WORKDAY(N137,-(Setup!$C$13+Setup!$G$32),Setup!$C$39:$C$50))+(132*100+13)/10000000)))</f>
        <v/>
      </c>
      <c r="AE137" t="str">
        <f>IF(O137="","",IF(O137&lt;Setup!$C$5-Setup!$C$6,"",IF(IF(ISNUMBER(Roster!$D137),Setup!$C$33&lt;=Roster!$D137,FALSE),"",IF(OR(IF(Setup!$C$15&lt;=Setup!$C$16,AND(MONTH(O137)&gt;=Setup!$C$15,MONTH(O137)&lt;=Setup!$C$16),OR(MONTH(O137)&gt;=Setup!$C$15,MONTH(O137)&lt;=Setup!$C$16)),IF(Setup!$C$15&lt;=Setup!$C$16,AND(MONTH(WORKDAY(O137,-(Setup!$C$13+Setup!$G$33),Setup!$C$39:$C$50))&gt;=Setup!$C$15,MONTH(WORKDAY(O137,-(Setup!$C$13+Setup!$G$33),Setup!$C$39:$C$50))&lt;=Setup!$C$16),OR(MONTH(WORKDAY(O137,-(Setup!$C$13+Setup!$G$33),Setup!$C$39:$C$50))&gt;=Setup!$C$15,MONTH(WORKDAY(O137,-(Setup!$C$13+Setup!$G$33),Setup!$C$39:$C$50))&lt;=Setup!$C$16))),WORKDAY(O137,-(Setup!$C$13+Setup!$G$33+Setup!$C$14),Setup!$C$39:$C$50),WORKDAY(O137,-(Setup!$C$13+Setup!$G$33),Setup!$C$39:$C$50))+(132*100+14)/10000000)))</f>
        <v/>
      </c>
      <c r="AF137" t="str">
        <f>IF(P137="","",IF(P137&lt;Setup!$C$5-Setup!$C$6,"",IF(IF(ISNUMBER(Roster!$D137),Setup!$C$34&lt;=Roster!$D137,FALSE),"",IF(OR(IF(Setup!$C$15&lt;=Setup!$C$16,AND(MONTH(P137)&gt;=Setup!$C$15,MONTH(P137)&lt;=Setup!$C$16),OR(MONTH(P137)&gt;=Setup!$C$15,MONTH(P137)&lt;=Setup!$C$16)),IF(Setup!$C$15&lt;=Setup!$C$16,AND(MONTH(WORKDAY(P137,-(Setup!$C$13+Setup!$G$34),Setup!$C$39:$C$50))&gt;=Setup!$C$15,MONTH(WORKDAY(P137,-(Setup!$C$13+Setup!$G$34),Setup!$C$39:$C$50))&lt;=Setup!$C$16),OR(MONTH(WORKDAY(P137,-(Setup!$C$13+Setup!$G$34),Setup!$C$39:$C$50))&gt;=Setup!$C$15,MONTH(WORKDAY(P137,-(Setup!$C$13+Setup!$G$34),Setup!$C$39:$C$50))&lt;=Setup!$C$16))),WORKDAY(P137,-(Setup!$C$13+Setup!$G$34+Setup!$C$14),Setup!$C$39:$C$50),WORKDAY(P137,-(Setup!$C$13+Setup!$G$34),Setup!$C$39:$C$50))+(132*100+15)/10000000)))</f>
        <v/>
      </c>
      <c r="AH137" t="str">
        <f t="shared" si="17"/>
        <v/>
      </c>
      <c r="AI137" t="str">
        <f t="shared" si="18"/>
        <v/>
      </c>
      <c r="AK137" t="str">
        <f ca="1">IF(132&gt;$AK$2,"",SMALL($R$6:$AF$505,132))</f>
        <v/>
      </c>
      <c r="AL137" t="str">
        <f t="shared" ca="1" si="19"/>
        <v/>
      </c>
      <c r="AM137" t="str">
        <f t="shared" ca="1" si="20"/>
        <v/>
      </c>
      <c r="AN137" t="str">
        <f t="shared" ca="1" si="21"/>
        <v/>
      </c>
      <c r="AP137" t="str">
        <f>IF(ISNUMBER(Roster!$B137),MAX(1,YEAR(Setup!$C$5)-YEAR(Roster!$B137)+IF(EDATE(Roster!$B137,12*(YEAR(Setup!$C$5)-YEAR(Roster!$B137)))&lt;Setup!$C$5,1,0)),"")</f>
        <v/>
      </c>
      <c r="AQ137" s="32" t="str">
        <f>IF(AP137="","",EDATE(Roster!$B137,12*AP137))</f>
        <v/>
      </c>
      <c r="AR137" t="str">
        <f>IF(AQ137="","",IF(AQ137&lt;DATE(YEAR(Setup!$C$5)+1,MONTH(Setup!$C$5),DAY(Setup!$C$5)),AQ137+132/1000,""))</f>
        <v/>
      </c>
      <c r="AS137" t="str">
        <f t="shared" si="22"/>
        <v/>
      </c>
      <c r="AT137" t="str">
        <f>IF(AS137="","",IF(ISNUMBER(Roster!$D137),Roster!$D137&gt;=AP137,FALSE))</f>
        <v/>
      </c>
      <c r="AU137" t="str">
        <f t="shared" si="23"/>
        <v/>
      </c>
      <c r="AV137" t="str">
        <f ca="1">IF(132&gt;$AV$2,"",SMALL($AR$6:$AR$505,132))</f>
        <v/>
      </c>
      <c r="AW137" t="str">
        <f t="shared" ca="1" si="24"/>
        <v/>
      </c>
    </row>
    <row r="138" spans="2:49" x14ac:dyDescent="0.2">
      <c r="B138" s="32" t="str">
        <f>IF(AND(ISNUMBER(Roster!$B138),Setup!$B$20="Yes",ISNUMBER(Setup!$C$20)),EDATE(Roster!$B138,12*Setup!$C$20),"")</f>
        <v/>
      </c>
      <c r="C138" s="32" t="str">
        <f>IF(AND(ISNUMBER(Roster!$B138),Setup!$B$21="Yes",ISNUMBER(Setup!$C$21)),EDATE(Roster!$B138,12*Setup!$C$21),"")</f>
        <v/>
      </c>
      <c r="D138" s="32" t="str">
        <f>IF(AND(ISNUMBER(Roster!$B138),Setup!$B$22="Yes",ISNUMBER(Setup!$C$22)),EDATE(Roster!$B138,12*Setup!$C$22),"")</f>
        <v/>
      </c>
      <c r="E138" s="32" t="str">
        <f>IF(AND(ISNUMBER(Roster!$B138),Setup!$B$23="Yes",ISNUMBER(Setup!$C$23)),EDATE(Roster!$B138,12*Setup!$C$23),"")</f>
        <v/>
      </c>
      <c r="F138" s="32" t="str">
        <f>IF(AND(ISNUMBER(Roster!$B138),Setup!$B$24="Yes",ISNUMBER(Setup!$C$24)),EDATE(Roster!$B138,12*Setup!$C$24),"")</f>
        <v/>
      </c>
      <c r="G138" s="32" t="str">
        <f>IF(AND(ISNUMBER(Roster!$B138),Setup!$B$25="Yes",ISNUMBER(Setup!$C$25)),EDATE(Roster!$B138,12*Setup!$C$25),"")</f>
        <v/>
      </c>
      <c r="H138" s="32" t="str">
        <f>IF(AND(ISNUMBER(Roster!$B138),Setup!$B$26="Yes",ISNUMBER(Setup!$C$26)),EDATE(Roster!$B138,12*Setup!$C$26),"")</f>
        <v/>
      </c>
      <c r="I138" s="32" t="str">
        <f>IF(AND(ISNUMBER(Roster!$B138),Setup!$B$27="Yes",ISNUMBER(Setup!$C$27)),EDATE(Roster!$B138,12*Setup!$C$27),"")</f>
        <v/>
      </c>
      <c r="J138" s="32" t="str">
        <f>IF(AND(ISNUMBER(Roster!$B138),Setup!$B$28="Yes",ISNUMBER(Setup!$C$28)),EDATE(Roster!$B138,12*Setup!$C$28),"")</f>
        <v/>
      </c>
      <c r="K138" s="32" t="str">
        <f>IF(AND(ISNUMBER(Roster!$B138),Setup!$B$29="Yes",ISNUMBER(Setup!$C$29)),EDATE(Roster!$B138,12*Setup!$C$29),"")</f>
        <v/>
      </c>
      <c r="L138" s="32" t="str">
        <f>IF(AND(ISNUMBER(Roster!$B138),Setup!$B$30="Yes",ISNUMBER(Setup!$C$30)),EDATE(Roster!$B138,12*Setup!$C$30),"")</f>
        <v/>
      </c>
      <c r="M138" s="32" t="str">
        <f>IF(AND(ISNUMBER(Roster!$B138),Setup!$B$31="Yes",ISNUMBER(Setup!$C$31)),EDATE(Roster!$B138,12*Setup!$C$31),"")</f>
        <v/>
      </c>
      <c r="N138" s="32" t="str">
        <f>IF(AND(ISNUMBER(Roster!$B138),Setup!$B$32="Yes",ISNUMBER(Setup!$C$32)),EDATE(Roster!$B138,12*Setup!$C$32),"")</f>
        <v/>
      </c>
      <c r="O138" s="32" t="str">
        <f>IF(AND(ISNUMBER(Roster!$B138),Setup!$B$33="Yes",ISNUMBER(Setup!$C$33)),EDATE(Roster!$B138,12*Setup!$C$33),"")</f>
        <v/>
      </c>
      <c r="P138" s="32" t="str">
        <f>IF(AND(ISNUMBER(Roster!$B138),Setup!$B$34="Yes",ISNUMBER(Setup!$C$34)),EDATE(Roster!$B138,12*Setup!$C$34),"")</f>
        <v/>
      </c>
      <c r="R138" t="str">
        <f>IF(B138="","",IF(B138&lt;Setup!$C$5-Setup!$C$6,"",IF(IF(ISNUMBER(Roster!$D138),Setup!$C$20&lt;=Roster!$D138,FALSE),"",IF(OR(IF(Setup!$C$15&lt;=Setup!$C$16,AND(MONTH(B138)&gt;=Setup!$C$15,MONTH(B138)&lt;=Setup!$C$16),OR(MONTH(B138)&gt;=Setup!$C$15,MONTH(B138)&lt;=Setup!$C$16)),IF(Setup!$C$15&lt;=Setup!$C$16,AND(MONTH(WORKDAY(B138,-(Setup!$C$13+Setup!$G$20),Setup!$C$39:$C$50))&gt;=Setup!$C$15,MONTH(WORKDAY(B138,-(Setup!$C$13+Setup!$G$20),Setup!$C$39:$C$50))&lt;=Setup!$C$16),OR(MONTH(WORKDAY(B138,-(Setup!$C$13+Setup!$G$20),Setup!$C$39:$C$50))&gt;=Setup!$C$15,MONTH(WORKDAY(B138,-(Setup!$C$13+Setup!$G$20),Setup!$C$39:$C$50))&lt;=Setup!$C$16))),WORKDAY(B138,-(Setup!$C$13+Setup!$G$20+Setup!$C$14),Setup!$C$39:$C$50),WORKDAY(B138,-(Setup!$C$13+Setup!$G$20),Setup!$C$39:$C$50))+(133*100+1)/10000000)))</f>
        <v/>
      </c>
      <c r="S138" t="str">
        <f>IF(C138="","",IF(C138&lt;Setup!$C$5-Setup!$C$6,"",IF(IF(ISNUMBER(Roster!$D138),Setup!$C$21&lt;=Roster!$D138,FALSE),"",IF(OR(IF(Setup!$C$15&lt;=Setup!$C$16,AND(MONTH(C138)&gt;=Setup!$C$15,MONTH(C138)&lt;=Setup!$C$16),OR(MONTH(C138)&gt;=Setup!$C$15,MONTH(C138)&lt;=Setup!$C$16)),IF(Setup!$C$15&lt;=Setup!$C$16,AND(MONTH(WORKDAY(C138,-(Setup!$C$13+Setup!$G$21),Setup!$C$39:$C$50))&gt;=Setup!$C$15,MONTH(WORKDAY(C138,-(Setup!$C$13+Setup!$G$21),Setup!$C$39:$C$50))&lt;=Setup!$C$16),OR(MONTH(WORKDAY(C138,-(Setup!$C$13+Setup!$G$21),Setup!$C$39:$C$50))&gt;=Setup!$C$15,MONTH(WORKDAY(C138,-(Setup!$C$13+Setup!$G$21),Setup!$C$39:$C$50))&lt;=Setup!$C$16))),WORKDAY(C138,-(Setup!$C$13+Setup!$G$21+Setup!$C$14),Setup!$C$39:$C$50),WORKDAY(C138,-(Setup!$C$13+Setup!$G$21),Setup!$C$39:$C$50))+(133*100+2)/10000000)))</f>
        <v/>
      </c>
      <c r="T138" t="str">
        <f>IF(D138="","",IF(D138&lt;Setup!$C$5-Setup!$C$6,"",IF(IF(ISNUMBER(Roster!$D138),Setup!$C$22&lt;=Roster!$D138,FALSE),"",IF(OR(IF(Setup!$C$15&lt;=Setup!$C$16,AND(MONTH(D138)&gt;=Setup!$C$15,MONTH(D138)&lt;=Setup!$C$16),OR(MONTH(D138)&gt;=Setup!$C$15,MONTH(D138)&lt;=Setup!$C$16)),IF(Setup!$C$15&lt;=Setup!$C$16,AND(MONTH(WORKDAY(D138,-(Setup!$C$13+Setup!$G$22),Setup!$C$39:$C$50))&gt;=Setup!$C$15,MONTH(WORKDAY(D138,-(Setup!$C$13+Setup!$G$22),Setup!$C$39:$C$50))&lt;=Setup!$C$16),OR(MONTH(WORKDAY(D138,-(Setup!$C$13+Setup!$G$22),Setup!$C$39:$C$50))&gt;=Setup!$C$15,MONTH(WORKDAY(D138,-(Setup!$C$13+Setup!$G$22),Setup!$C$39:$C$50))&lt;=Setup!$C$16))),WORKDAY(D138,-(Setup!$C$13+Setup!$G$22+Setup!$C$14),Setup!$C$39:$C$50),WORKDAY(D138,-(Setup!$C$13+Setup!$G$22),Setup!$C$39:$C$50))+(133*100+3)/10000000)))</f>
        <v/>
      </c>
      <c r="U138" t="str">
        <f>IF(E138="","",IF(E138&lt;Setup!$C$5-Setup!$C$6,"",IF(IF(ISNUMBER(Roster!$D138),Setup!$C$23&lt;=Roster!$D138,FALSE),"",IF(OR(IF(Setup!$C$15&lt;=Setup!$C$16,AND(MONTH(E138)&gt;=Setup!$C$15,MONTH(E138)&lt;=Setup!$C$16),OR(MONTH(E138)&gt;=Setup!$C$15,MONTH(E138)&lt;=Setup!$C$16)),IF(Setup!$C$15&lt;=Setup!$C$16,AND(MONTH(WORKDAY(E138,-(Setup!$C$13+Setup!$G$23),Setup!$C$39:$C$50))&gt;=Setup!$C$15,MONTH(WORKDAY(E138,-(Setup!$C$13+Setup!$G$23),Setup!$C$39:$C$50))&lt;=Setup!$C$16),OR(MONTH(WORKDAY(E138,-(Setup!$C$13+Setup!$G$23),Setup!$C$39:$C$50))&gt;=Setup!$C$15,MONTH(WORKDAY(E138,-(Setup!$C$13+Setup!$G$23),Setup!$C$39:$C$50))&lt;=Setup!$C$16))),WORKDAY(E138,-(Setup!$C$13+Setup!$G$23+Setup!$C$14),Setup!$C$39:$C$50),WORKDAY(E138,-(Setup!$C$13+Setup!$G$23),Setup!$C$39:$C$50))+(133*100+4)/10000000)))</f>
        <v/>
      </c>
      <c r="V138" t="str">
        <f>IF(F138="","",IF(F138&lt;Setup!$C$5-Setup!$C$6,"",IF(IF(ISNUMBER(Roster!$D138),Setup!$C$24&lt;=Roster!$D138,FALSE),"",IF(OR(IF(Setup!$C$15&lt;=Setup!$C$16,AND(MONTH(F138)&gt;=Setup!$C$15,MONTH(F138)&lt;=Setup!$C$16),OR(MONTH(F138)&gt;=Setup!$C$15,MONTH(F138)&lt;=Setup!$C$16)),IF(Setup!$C$15&lt;=Setup!$C$16,AND(MONTH(WORKDAY(F138,-(Setup!$C$13+Setup!$G$24),Setup!$C$39:$C$50))&gt;=Setup!$C$15,MONTH(WORKDAY(F138,-(Setup!$C$13+Setup!$G$24),Setup!$C$39:$C$50))&lt;=Setup!$C$16),OR(MONTH(WORKDAY(F138,-(Setup!$C$13+Setup!$G$24),Setup!$C$39:$C$50))&gt;=Setup!$C$15,MONTH(WORKDAY(F138,-(Setup!$C$13+Setup!$G$24),Setup!$C$39:$C$50))&lt;=Setup!$C$16))),WORKDAY(F138,-(Setup!$C$13+Setup!$G$24+Setup!$C$14),Setup!$C$39:$C$50),WORKDAY(F138,-(Setup!$C$13+Setup!$G$24),Setup!$C$39:$C$50))+(133*100+5)/10000000)))</f>
        <v/>
      </c>
      <c r="W138" t="str">
        <f>IF(G138="","",IF(G138&lt;Setup!$C$5-Setup!$C$6,"",IF(IF(ISNUMBER(Roster!$D138),Setup!$C$25&lt;=Roster!$D138,FALSE),"",IF(OR(IF(Setup!$C$15&lt;=Setup!$C$16,AND(MONTH(G138)&gt;=Setup!$C$15,MONTH(G138)&lt;=Setup!$C$16),OR(MONTH(G138)&gt;=Setup!$C$15,MONTH(G138)&lt;=Setup!$C$16)),IF(Setup!$C$15&lt;=Setup!$C$16,AND(MONTH(WORKDAY(G138,-(Setup!$C$13+Setup!$G$25),Setup!$C$39:$C$50))&gt;=Setup!$C$15,MONTH(WORKDAY(G138,-(Setup!$C$13+Setup!$G$25),Setup!$C$39:$C$50))&lt;=Setup!$C$16),OR(MONTH(WORKDAY(G138,-(Setup!$C$13+Setup!$G$25),Setup!$C$39:$C$50))&gt;=Setup!$C$15,MONTH(WORKDAY(G138,-(Setup!$C$13+Setup!$G$25),Setup!$C$39:$C$50))&lt;=Setup!$C$16))),WORKDAY(G138,-(Setup!$C$13+Setup!$G$25+Setup!$C$14),Setup!$C$39:$C$50),WORKDAY(G138,-(Setup!$C$13+Setup!$G$25),Setup!$C$39:$C$50))+(133*100+6)/10000000)))</f>
        <v/>
      </c>
      <c r="X138" t="str">
        <f>IF(H138="","",IF(H138&lt;Setup!$C$5-Setup!$C$6,"",IF(IF(ISNUMBER(Roster!$D138),Setup!$C$26&lt;=Roster!$D138,FALSE),"",IF(OR(IF(Setup!$C$15&lt;=Setup!$C$16,AND(MONTH(H138)&gt;=Setup!$C$15,MONTH(H138)&lt;=Setup!$C$16),OR(MONTH(H138)&gt;=Setup!$C$15,MONTH(H138)&lt;=Setup!$C$16)),IF(Setup!$C$15&lt;=Setup!$C$16,AND(MONTH(WORKDAY(H138,-(Setup!$C$13+Setup!$G$26),Setup!$C$39:$C$50))&gt;=Setup!$C$15,MONTH(WORKDAY(H138,-(Setup!$C$13+Setup!$G$26),Setup!$C$39:$C$50))&lt;=Setup!$C$16),OR(MONTH(WORKDAY(H138,-(Setup!$C$13+Setup!$G$26),Setup!$C$39:$C$50))&gt;=Setup!$C$15,MONTH(WORKDAY(H138,-(Setup!$C$13+Setup!$G$26),Setup!$C$39:$C$50))&lt;=Setup!$C$16))),WORKDAY(H138,-(Setup!$C$13+Setup!$G$26+Setup!$C$14),Setup!$C$39:$C$50),WORKDAY(H138,-(Setup!$C$13+Setup!$G$26),Setup!$C$39:$C$50))+(133*100+7)/10000000)))</f>
        <v/>
      </c>
      <c r="Y138" t="str">
        <f>IF(I138="","",IF(I138&lt;Setup!$C$5-Setup!$C$6,"",IF(IF(ISNUMBER(Roster!$D138),Setup!$C$27&lt;=Roster!$D138,FALSE),"",IF(OR(IF(Setup!$C$15&lt;=Setup!$C$16,AND(MONTH(I138)&gt;=Setup!$C$15,MONTH(I138)&lt;=Setup!$C$16),OR(MONTH(I138)&gt;=Setup!$C$15,MONTH(I138)&lt;=Setup!$C$16)),IF(Setup!$C$15&lt;=Setup!$C$16,AND(MONTH(WORKDAY(I138,-(Setup!$C$13+Setup!$G$27),Setup!$C$39:$C$50))&gt;=Setup!$C$15,MONTH(WORKDAY(I138,-(Setup!$C$13+Setup!$G$27),Setup!$C$39:$C$50))&lt;=Setup!$C$16),OR(MONTH(WORKDAY(I138,-(Setup!$C$13+Setup!$G$27),Setup!$C$39:$C$50))&gt;=Setup!$C$15,MONTH(WORKDAY(I138,-(Setup!$C$13+Setup!$G$27),Setup!$C$39:$C$50))&lt;=Setup!$C$16))),WORKDAY(I138,-(Setup!$C$13+Setup!$G$27+Setup!$C$14),Setup!$C$39:$C$50),WORKDAY(I138,-(Setup!$C$13+Setup!$G$27),Setup!$C$39:$C$50))+(133*100+8)/10000000)))</f>
        <v/>
      </c>
      <c r="Z138" t="str">
        <f>IF(J138="","",IF(J138&lt;Setup!$C$5-Setup!$C$6,"",IF(IF(ISNUMBER(Roster!$D138),Setup!$C$28&lt;=Roster!$D138,FALSE),"",IF(OR(IF(Setup!$C$15&lt;=Setup!$C$16,AND(MONTH(J138)&gt;=Setup!$C$15,MONTH(J138)&lt;=Setup!$C$16),OR(MONTH(J138)&gt;=Setup!$C$15,MONTH(J138)&lt;=Setup!$C$16)),IF(Setup!$C$15&lt;=Setup!$C$16,AND(MONTH(WORKDAY(J138,-(Setup!$C$13+Setup!$G$28),Setup!$C$39:$C$50))&gt;=Setup!$C$15,MONTH(WORKDAY(J138,-(Setup!$C$13+Setup!$G$28),Setup!$C$39:$C$50))&lt;=Setup!$C$16),OR(MONTH(WORKDAY(J138,-(Setup!$C$13+Setup!$G$28),Setup!$C$39:$C$50))&gt;=Setup!$C$15,MONTH(WORKDAY(J138,-(Setup!$C$13+Setup!$G$28),Setup!$C$39:$C$50))&lt;=Setup!$C$16))),WORKDAY(J138,-(Setup!$C$13+Setup!$G$28+Setup!$C$14),Setup!$C$39:$C$50),WORKDAY(J138,-(Setup!$C$13+Setup!$G$28),Setup!$C$39:$C$50))+(133*100+9)/10000000)))</f>
        <v/>
      </c>
      <c r="AA138" t="str">
        <f>IF(K138="","",IF(K138&lt;Setup!$C$5-Setup!$C$6,"",IF(IF(ISNUMBER(Roster!$D138),Setup!$C$29&lt;=Roster!$D138,FALSE),"",IF(OR(IF(Setup!$C$15&lt;=Setup!$C$16,AND(MONTH(K138)&gt;=Setup!$C$15,MONTH(K138)&lt;=Setup!$C$16),OR(MONTH(K138)&gt;=Setup!$C$15,MONTH(K138)&lt;=Setup!$C$16)),IF(Setup!$C$15&lt;=Setup!$C$16,AND(MONTH(WORKDAY(K138,-(Setup!$C$13+Setup!$G$29),Setup!$C$39:$C$50))&gt;=Setup!$C$15,MONTH(WORKDAY(K138,-(Setup!$C$13+Setup!$G$29),Setup!$C$39:$C$50))&lt;=Setup!$C$16),OR(MONTH(WORKDAY(K138,-(Setup!$C$13+Setup!$G$29),Setup!$C$39:$C$50))&gt;=Setup!$C$15,MONTH(WORKDAY(K138,-(Setup!$C$13+Setup!$G$29),Setup!$C$39:$C$50))&lt;=Setup!$C$16))),WORKDAY(K138,-(Setup!$C$13+Setup!$G$29+Setup!$C$14),Setup!$C$39:$C$50),WORKDAY(K138,-(Setup!$C$13+Setup!$G$29),Setup!$C$39:$C$50))+(133*100+10)/10000000)))</f>
        <v/>
      </c>
      <c r="AB138" t="str">
        <f>IF(L138="","",IF(L138&lt;Setup!$C$5-Setup!$C$6,"",IF(IF(ISNUMBER(Roster!$D138),Setup!$C$30&lt;=Roster!$D138,FALSE),"",IF(OR(IF(Setup!$C$15&lt;=Setup!$C$16,AND(MONTH(L138)&gt;=Setup!$C$15,MONTH(L138)&lt;=Setup!$C$16),OR(MONTH(L138)&gt;=Setup!$C$15,MONTH(L138)&lt;=Setup!$C$16)),IF(Setup!$C$15&lt;=Setup!$C$16,AND(MONTH(WORKDAY(L138,-(Setup!$C$13+Setup!$G$30),Setup!$C$39:$C$50))&gt;=Setup!$C$15,MONTH(WORKDAY(L138,-(Setup!$C$13+Setup!$G$30),Setup!$C$39:$C$50))&lt;=Setup!$C$16),OR(MONTH(WORKDAY(L138,-(Setup!$C$13+Setup!$G$30),Setup!$C$39:$C$50))&gt;=Setup!$C$15,MONTH(WORKDAY(L138,-(Setup!$C$13+Setup!$G$30),Setup!$C$39:$C$50))&lt;=Setup!$C$16))),WORKDAY(L138,-(Setup!$C$13+Setup!$G$30+Setup!$C$14),Setup!$C$39:$C$50),WORKDAY(L138,-(Setup!$C$13+Setup!$G$30),Setup!$C$39:$C$50))+(133*100+11)/10000000)))</f>
        <v/>
      </c>
      <c r="AC138" t="str">
        <f>IF(M138="","",IF(M138&lt;Setup!$C$5-Setup!$C$6,"",IF(IF(ISNUMBER(Roster!$D138),Setup!$C$31&lt;=Roster!$D138,FALSE),"",IF(OR(IF(Setup!$C$15&lt;=Setup!$C$16,AND(MONTH(M138)&gt;=Setup!$C$15,MONTH(M138)&lt;=Setup!$C$16),OR(MONTH(M138)&gt;=Setup!$C$15,MONTH(M138)&lt;=Setup!$C$16)),IF(Setup!$C$15&lt;=Setup!$C$16,AND(MONTH(WORKDAY(M138,-(Setup!$C$13+Setup!$G$31),Setup!$C$39:$C$50))&gt;=Setup!$C$15,MONTH(WORKDAY(M138,-(Setup!$C$13+Setup!$G$31),Setup!$C$39:$C$50))&lt;=Setup!$C$16),OR(MONTH(WORKDAY(M138,-(Setup!$C$13+Setup!$G$31),Setup!$C$39:$C$50))&gt;=Setup!$C$15,MONTH(WORKDAY(M138,-(Setup!$C$13+Setup!$G$31),Setup!$C$39:$C$50))&lt;=Setup!$C$16))),WORKDAY(M138,-(Setup!$C$13+Setup!$G$31+Setup!$C$14),Setup!$C$39:$C$50),WORKDAY(M138,-(Setup!$C$13+Setup!$G$31),Setup!$C$39:$C$50))+(133*100+12)/10000000)))</f>
        <v/>
      </c>
      <c r="AD138" t="str">
        <f>IF(N138="","",IF(N138&lt;Setup!$C$5-Setup!$C$6,"",IF(IF(ISNUMBER(Roster!$D138),Setup!$C$32&lt;=Roster!$D138,FALSE),"",IF(OR(IF(Setup!$C$15&lt;=Setup!$C$16,AND(MONTH(N138)&gt;=Setup!$C$15,MONTH(N138)&lt;=Setup!$C$16),OR(MONTH(N138)&gt;=Setup!$C$15,MONTH(N138)&lt;=Setup!$C$16)),IF(Setup!$C$15&lt;=Setup!$C$16,AND(MONTH(WORKDAY(N138,-(Setup!$C$13+Setup!$G$32),Setup!$C$39:$C$50))&gt;=Setup!$C$15,MONTH(WORKDAY(N138,-(Setup!$C$13+Setup!$G$32),Setup!$C$39:$C$50))&lt;=Setup!$C$16),OR(MONTH(WORKDAY(N138,-(Setup!$C$13+Setup!$G$32),Setup!$C$39:$C$50))&gt;=Setup!$C$15,MONTH(WORKDAY(N138,-(Setup!$C$13+Setup!$G$32),Setup!$C$39:$C$50))&lt;=Setup!$C$16))),WORKDAY(N138,-(Setup!$C$13+Setup!$G$32+Setup!$C$14),Setup!$C$39:$C$50),WORKDAY(N138,-(Setup!$C$13+Setup!$G$32),Setup!$C$39:$C$50))+(133*100+13)/10000000)))</f>
        <v/>
      </c>
      <c r="AE138" t="str">
        <f>IF(O138="","",IF(O138&lt;Setup!$C$5-Setup!$C$6,"",IF(IF(ISNUMBER(Roster!$D138),Setup!$C$33&lt;=Roster!$D138,FALSE),"",IF(OR(IF(Setup!$C$15&lt;=Setup!$C$16,AND(MONTH(O138)&gt;=Setup!$C$15,MONTH(O138)&lt;=Setup!$C$16),OR(MONTH(O138)&gt;=Setup!$C$15,MONTH(O138)&lt;=Setup!$C$16)),IF(Setup!$C$15&lt;=Setup!$C$16,AND(MONTH(WORKDAY(O138,-(Setup!$C$13+Setup!$G$33),Setup!$C$39:$C$50))&gt;=Setup!$C$15,MONTH(WORKDAY(O138,-(Setup!$C$13+Setup!$G$33),Setup!$C$39:$C$50))&lt;=Setup!$C$16),OR(MONTH(WORKDAY(O138,-(Setup!$C$13+Setup!$G$33),Setup!$C$39:$C$50))&gt;=Setup!$C$15,MONTH(WORKDAY(O138,-(Setup!$C$13+Setup!$G$33),Setup!$C$39:$C$50))&lt;=Setup!$C$16))),WORKDAY(O138,-(Setup!$C$13+Setup!$G$33+Setup!$C$14),Setup!$C$39:$C$50),WORKDAY(O138,-(Setup!$C$13+Setup!$G$33),Setup!$C$39:$C$50))+(133*100+14)/10000000)))</f>
        <v/>
      </c>
      <c r="AF138" t="str">
        <f>IF(P138="","",IF(P138&lt;Setup!$C$5-Setup!$C$6,"",IF(IF(ISNUMBER(Roster!$D138),Setup!$C$34&lt;=Roster!$D138,FALSE),"",IF(OR(IF(Setup!$C$15&lt;=Setup!$C$16,AND(MONTH(P138)&gt;=Setup!$C$15,MONTH(P138)&lt;=Setup!$C$16),OR(MONTH(P138)&gt;=Setup!$C$15,MONTH(P138)&lt;=Setup!$C$16)),IF(Setup!$C$15&lt;=Setup!$C$16,AND(MONTH(WORKDAY(P138,-(Setup!$C$13+Setup!$G$34),Setup!$C$39:$C$50))&gt;=Setup!$C$15,MONTH(WORKDAY(P138,-(Setup!$C$13+Setup!$G$34),Setup!$C$39:$C$50))&lt;=Setup!$C$16),OR(MONTH(WORKDAY(P138,-(Setup!$C$13+Setup!$G$34),Setup!$C$39:$C$50))&gt;=Setup!$C$15,MONTH(WORKDAY(P138,-(Setup!$C$13+Setup!$G$34),Setup!$C$39:$C$50))&lt;=Setup!$C$16))),WORKDAY(P138,-(Setup!$C$13+Setup!$G$34+Setup!$C$14),Setup!$C$39:$C$50),WORKDAY(P138,-(Setup!$C$13+Setup!$G$34),Setup!$C$39:$C$50))+(133*100+15)/10000000)))</f>
        <v/>
      </c>
      <c r="AH138" t="str">
        <f t="shared" si="17"/>
        <v/>
      </c>
      <c r="AI138" t="str">
        <f t="shared" si="18"/>
        <v/>
      </c>
      <c r="AK138" t="str">
        <f ca="1">IF(133&gt;$AK$2,"",SMALL($R$6:$AF$505,133))</f>
        <v/>
      </c>
      <c r="AL138" t="str">
        <f t="shared" ca="1" si="19"/>
        <v/>
      </c>
      <c r="AM138" t="str">
        <f t="shared" ca="1" si="20"/>
        <v/>
      </c>
      <c r="AN138" t="str">
        <f t="shared" ca="1" si="21"/>
        <v/>
      </c>
      <c r="AP138" t="str">
        <f>IF(ISNUMBER(Roster!$B138),MAX(1,YEAR(Setup!$C$5)-YEAR(Roster!$B138)+IF(EDATE(Roster!$B138,12*(YEAR(Setup!$C$5)-YEAR(Roster!$B138)))&lt;Setup!$C$5,1,0)),"")</f>
        <v/>
      </c>
      <c r="AQ138" s="32" t="str">
        <f>IF(AP138="","",EDATE(Roster!$B138,12*AP138))</f>
        <v/>
      </c>
      <c r="AR138" t="str">
        <f>IF(AQ138="","",IF(AQ138&lt;DATE(YEAR(Setup!$C$5)+1,MONTH(Setup!$C$5),DAY(Setup!$C$5)),AQ138+133/1000,""))</f>
        <v/>
      </c>
      <c r="AS138" t="str">
        <f t="shared" si="22"/>
        <v/>
      </c>
      <c r="AT138" t="str">
        <f>IF(AS138="","",IF(ISNUMBER(Roster!$D138),Roster!$D138&gt;=AP138,FALSE))</f>
        <v/>
      </c>
      <c r="AU138" t="str">
        <f t="shared" si="23"/>
        <v/>
      </c>
      <c r="AV138" t="str">
        <f ca="1">IF(133&gt;$AV$2,"",SMALL($AR$6:$AR$505,133))</f>
        <v/>
      </c>
      <c r="AW138" t="str">
        <f t="shared" ca="1" si="24"/>
        <v/>
      </c>
    </row>
    <row r="139" spans="2:49" x14ac:dyDescent="0.2">
      <c r="B139" s="32" t="str">
        <f>IF(AND(ISNUMBER(Roster!$B139),Setup!$B$20="Yes",ISNUMBER(Setup!$C$20)),EDATE(Roster!$B139,12*Setup!$C$20),"")</f>
        <v/>
      </c>
      <c r="C139" s="32" t="str">
        <f>IF(AND(ISNUMBER(Roster!$B139),Setup!$B$21="Yes",ISNUMBER(Setup!$C$21)),EDATE(Roster!$B139,12*Setup!$C$21),"")</f>
        <v/>
      </c>
      <c r="D139" s="32" t="str">
        <f>IF(AND(ISNUMBER(Roster!$B139),Setup!$B$22="Yes",ISNUMBER(Setup!$C$22)),EDATE(Roster!$B139,12*Setup!$C$22),"")</f>
        <v/>
      </c>
      <c r="E139" s="32" t="str">
        <f>IF(AND(ISNUMBER(Roster!$B139),Setup!$B$23="Yes",ISNUMBER(Setup!$C$23)),EDATE(Roster!$B139,12*Setup!$C$23),"")</f>
        <v/>
      </c>
      <c r="F139" s="32" t="str">
        <f>IF(AND(ISNUMBER(Roster!$B139),Setup!$B$24="Yes",ISNUMBER(Setup!$C$24)),EDATE(Roster!$B139,12*Setup!$C$24),"")</f>
        <v/>
      </c>
      <c r="G139" s="32" t="str">
        <f>IF(AND(ISNUMBER(Roster!$B139),Setup!$B$25="Yes",ISNUMBER(Setup!$C$25)),EDATE(Roster!$B139,12*Setup!$C$25),"")</f>
        <v/>
      </c>
      <c r="H139" s="32" t="str">
        <f>IF(AND(ISNUMBER(Roster!$B139),Setup!$B$26="Yes",ISNUMBER(Setup!$C$26)),EDATE(Roster!$B139,12*Setup!$C$26),"")</f>
        <v/>
      </c>
      <c r="I139" s="32" t="str">
        <f>IF(AND(ISNUMBER(Roster!$B139),Setup!$B$27="Yes",ISNUMBER(Setup!$C$27)),EDATE(Roster!$B139,12*Setup!$C$27),"")</f>
        <v/>
      </c>
      <c r="J139" s="32" t="str">
        <f>IF(AND(ISNUMBER(Roster!$B139),Setup!$B$28="Yes",ISNUMBER(Setup!$C$28)),EDATE(Roster!$B139,12*Setup!$C$28),"")</f>
        <v/>
      </c>
      <c r="K139" s="32" t="str">
        <f>IF(AND(ISNUMBER(Roster!$B139),Setup!$B$29="Yes",ISNUMBER(Setup!$C$29)),EDATE(Roster!$B139,12*Setup!$C$29),"")</f>
        <v/>
      </c>
      <c r="L139" s="32" t="str">
        <f>IF(AND(ISNUMBER(Roster!$B139),Setup!$B$30="Yes",ISNUMBER(Setup!$C$30)),EDATE(Roster!$B139,12*Setup!$C$30),"")</f>
        <v/>
      </c>
      <c r="M139" s="32" t="str">
        <f>IF(AND(ISNUMBER(Roster!$B139),Setup!$B$31="Yes",ISNUMBER(Setup!$C$31)),EDATE(Roster!$B139,12*Setup!$C$31),"")</f>
        <v/>
      </c>
      <c r="N139" s="32" t="str">
        <f>IF(AND(ISNUMBER(Roster!$B139),Setup!$B$32="Yes",ISNUMBER(Setup!$C$32)),EDATE(Roster!$B139,12*Setup!$C$32),"")</f>
        <v/>
      </c>
      <c r="O139" s="32" t="str">
        <f>IF(AND(ISNUMBER(Roster!$B139),Setup!$B$33="Yes",ISNUMBER(Setup!$C$33)),EDATE(Roster!$B139,12*Setup!$C$33),"")</f>
        <v/>
      </c>
      <c r="P139" s="32" t="str">
        <f>IF(AND(ISNUMBER(Roster!$B139),Setup!$B$34="Yes",ISNUMBER(Setup!$C$34)),EDATE(Roster!$B139,12*Setup!$C$34),"")</f>
        <v/>
      </c>
      <c r="R139" t="str">
        <f>IF(B139="","",IF(B139&lt;Setup!$C$5-Setup!$C$6,"",IF(IF(ISNUMBER(Roster!$D139),Setup!$C$20&lt;=Roster!$D139,FALSE),"",IF(OR(IF(Setup!$C$15&lt;=Setup!$C$16,AND(MONTH(B139)&gt;=Setup!$C$15,MONTH(B139)&lt;=Setup!$C$16),OR(MONTH(B139)&gt;=Setup!$C$15,MONTH(B139)&lt;=Setup!$C$16)),IF(Setup!$C$15&lt;=Setup!$C$16,AND(MONTH(WORKDAY(B139,-(Setup!$C$13+Setup!$G$20),Setup!$C$39:$C$50))&gt;=Setup!$C$15,MONTH(WORKDAY(B139,-(Setup!$C$13+Setup!$G$20),Setup!$C$39:$C$50))&lt;=Setup!$C$16),OR(MONTH(WORKDAY(B139,-(Setup!$C$13+Setup!$G$20),Setup!$C$39:$C$50))&gt;=Setup!$C$15,MONTH(WORKDAY(B139,-(Setup!$C$13+Setup!$G$20),Setup!$C$39:$C$50))&lt;=Setup!$C$16))),WORKDAY(B139,-(Setup!$C$13+Setup!$G$20+Setup!$C$14),Setup!$C$39:$C$50),WORKDAY(B139,-(Setup!$C$13+Setup!$G$20),Setup!$C$39:$C$50))+(134*100+1)/10000000)))</f>
        <v/>
      </c>
      <c r="S139" t="str">
        <f>IF(C139="","",IF(C139&lt;Setup!$C$5-Setup!$C$6,"",IF(IF(ISNUMBER(Roster!$D139),Setup!$C$21&lt;=Roster!$D139,FALSE),"",IF(OR(IF(Setup!$C$15&lt;=Setup!$C$16,AND(MONTH(C139)&gt;=Setup!$C$15,MONTH(C139)&lt;=Setup!$C$16),OR(MONTH(C139)&gt;=Setup!$C$15,MONTH(C139)&lt;=Setup!$C$16)),IF(Setup!$C$15&lt;=Setup!$C$16,AND(MONTH(WORKDAY(C139,-(Setup!$C$13+Setup!$G$21),Setup!$C$39:$C$50))&gt;=Setup!$C$15,MONTH(WORKDAY(C139,-(Setup!$C$13+Setup!$G$21),Setup!$C$39:$C$50))&lt;=Setup!$C$16),OR(MONTH(WORKDAY(C139,-(Setup!$C$13+Setup!$G$21),Setup!$C$39:$C$50))&gt;=Setup!$C$15,MONTH(WORKDAY(C139,-(Setup!$C$13+Setup!$G$21),Setup!$C$39:$C$50))&lt;=Setup!$C$16))),WORKDAY(C139,-(Setup!$C$13+Setup!$G$21+Setup!$C$14),Setup!$C$39:$C$50),WORKDAY(C139,-(Setup!$C$13+Setup!$G$21),Setup!$C$39:$C$50))+(134*100+2)/10000000)))</f>
        <v/>
      </c>
      <c r="T139" t="str">
        <f>IF(D139="","",IF(D139&lt;Setup!$C$5-Setup!$C$6,"",IF(IF(ISNUMBER(Roster!$D139),Setup!$C$22&lt;=Roster!$D139,FALSE),"",IF(OR(IF(Setup!$C$15&lt;=Setup!$C$16,AND(MONTH(D139)&gt;=Setup!$C$15,MONTH(D139)&lt;=Setup!$C$16),OR(MONTH(D139)&gt;=Setup!$C$15,MONTH(D139)&lt;=Setup!$C$16)),IF(Setup!$C$15&lt;=Setup!$C$16,AND(MONTH(WORKDAY(D139,-(Setup!$C$13+Setup!$G$22),Setup!$C$39:$C$50))&gt;=Setup!$C$15,MONTH(WORKDAY(D139,-(Setup!$C$13+Setup!$G$22),Setup!$C$39:$C$50))&lt;=Setup!$C$16),OR(MONTH(WORKDAY(D139,-(Setup!$C$13+Setup!$G$22),Setup!$C$39:$C$50))&gt;=Setup!$C$15,MONTH(WORKDAY(D139,-(Setup!$C$13+Setup!$G$22),Setup!$C$39:$C$50))&lt;=Setup!$C$16))),WORKDAY(D139,-(Setup!$C$13+Setup!$G$22+Setup!$C$14),Setup!$C$39:$C$50),WORKDAY(D139,-(Setup!$C$13+Setup!$G$22),Setup!$C$39:$C$50))+(134*100+3)/10000000)))</f>
        <v/>
      </c>
      <c r="U139" t="str">
        <f>IF(E139="","",IF(E139&lt;Setup!$C$5-Setup!$C$6,"",IF(IF(ISNUMBER(Roster!$D139),Setup!$C$23&lt;=Roster!$D139,FALSE),"",IF(OR(IF(Setup!$C$15&lt;=Setup!$C$16,AND(MONTH(E139)&gt;=Setup!$C$15,MONTH(E139)&lt;=Setup!$C$16),OR(MONTH(E139)&gt;=Setup!$C$15,MONTH(E139)&lt;=Setup!$C$16)),IF(Setup!$C$15&lt;=Setup!$C$16,AND(MONTH(WORKDAY(E139,-(Setup!$C$13+Setup!$G$23),Setup!$C$39:$C$50))&gt;=Setup!$C$15,MONTH(WORKDAY(E139,-(Setup!$C$13+Setup!$G$23),Setup!$C$39:$C$50))&lt;=Setup!$C$16),OR(MONTH(WORKDAY(E139,-(Setup!$C$13+Setup!$G$23),Setup!$C$39:$C$50))&gt;=Setup!$C$15,MONTH(WORKDAY(E139,-(Setup!$C$13+Setup!$G$23),Setup!$C$39:$C$50))&lt;=Setup!$C$16))),WORKDAY(E139,-(Setup!$C$13+Setup!$G$23+Setup!$C$14),Setup!$C$39:$C$50),WORKDAY(E139,-(Setup!$C$13+Setup!$G$23),Setup!$C$39:$C$50))+(134*100+4)/10000000)))</f>
        <v/>
      </c>
      <c r="V139" t="str">
        <f>IF(F139="","",IF(F139&lt;Setup!$C$5-Setup!$C$6,"",IF(IF(ISNUMBER(Roster!$D139),Setup!$C$24&lt;=Roster!$D139,FALSE),"",IF(OR(IF(Setup!$C$15&lt;=Setup!$C$16,AND(MONTH(F139)&gt;=Setup!$C$15,MONTH(F139)&lt;=Setup!$C$16),OR(MONTH(F139)&gt;=Setup!$C$15,MONTH(F139)&lt;=Setup!$C$16)),IF(Setup!$C$15&lt;=Setup!$C$16,AND(MONTH(WORKDAY(F139,-(Setup!$C$13+Setup!$G$24),Setup!$C$39:$C$50))&gt;=Setup!$C$15,MONTH(WORKDAY(F139,-(Setup!$C$13+Setup!$G$24),Setup!$C$39:$C$50))&lt;=Setup!$C$16),OR(MONTH(WORKDAY(F139,-(Setup!$C$13+Setup!$G$24),Setup!$C$39:$C$50))&gt;=Setup!$C$15,MONTH(WORKDAY(F139,-(Setup!$C$13+Setup!$G$24),Setup!$C$39:$C$50))&lt;=Setup!$C$16))),WORKDAY(F139,-(Setup!$C$13+Setup!$G$24+Setup!$C$14),Setup!$C$39:$C$50),WORKDAY(F139,-(Setup!$C$13+Setup!$G$24),Setup!$C$39:$C$50))+(134*100+5)/10000000)))</f>
        <v/>
      </c>
      <c r="W139" t="str">
        <f>IF(G139="","",IF(G139&lt;Setup!$C$5-Setup!$C$6,"",IF(IF(ISNUMBER(Roster!$D139),Setup!$C$25&lt;=Roster!$D139,FALSE),"",IF(OR(IF(Setup!$C$15&lt;=Setup!$C$16,AND(MONTH(G139)&gt;=Setup!$C$15,MONTH(G139)&lt;=Setup!$C$16),OR(MONTH(G139)&gt;=Setup!$C$15,MONTH(G139)&lt;=Setup!$C$16)),IF(Setup!$C$15&lt;=Setup!$C$16,AND(MONTH(WORKDAY(G139,-(Setup!$C$13+Setup!$G$25),Setup!$C$39:$C$50))&gt;=Setup!$C$15,MONTH(WORKDAY(G139,-(Setup!$C$13+Setup!$G$25),Setup!$C$39:$C$50))&lt;=Setup!$C$16),OR(MONTH(WORKDAY(G139,-(Setup!$C$13+Setup!$G$25),Setup!$C$39:$C$50))&gt;=Setup!$C$15,MONTH(WORKDAY(G139,-(Setup!$C$13+Setup!$G$25),Setup!$C$39:$C$50))&lt;=Setup!$C$16))),WORKDAY(G139,-(Setup!$C$13+Setup!$G$25+Setup!$C$14),Setup!$C$39:$C$50),WORKDAY(G139,-(Setup!$C$13+Setup!$G$25),Setup!$C$39:$C$50))+(134*100+6)/10000000)))</f>
        <v/>
      </c>
      <c r="X139" t="str">
        <f>IF(H139="","",IF(H139&lt;Setup!$C$5-Setup!$C$6,"",IF(IF(ISNUMBER(Roster!$D139),Setup!$C$26&lt;=Roster!$D139,FALSE),"",IF(OR(IF(Setup!$C$15&lt;=Setup!$C$16,AND(MONTH(H139)&gt;=Setup!$C$15,MONTH(H139)&lt;=Setup!$C$16),OR(MONTH(H139)&gt;=Setup!$C$15,MONTH(H139)&lt;=Setup!$C$16)),IF(Setup!$C$15&lt;=Setup!$C$16,AND(MONTH(WORKDAY(H139,-(Setup!$C$13+Setup!$G$26),Setup!$C$39:$C$50))&gt;=Setup!$C$15,MONTH(WORKDAY(H139,-(Setup!$C$13+Setup!$G$26),Setup!$C$39:$C$50))&lt;=Setup!$C$16),OR(MONTH(WORKDAY(H139,-(Setup!$C$13+Setup!$G$26),Setup!$C$39:$C$50))&gt;=Setup!$C$15,MONTH(WORKDAY(H139,-(Setup!$C$13+Setup!$G$26),Setup!$C$39:$C$50))&lt;=Setup!$C$16))),WORKDAY(H139,-(Setup!$C$13+Setup!$G$26+Setup!$C$14),Setup!$C$39:$C$50),WORKDAY(H139,-(Setup!$C$13+Setup!$G$26),Setup!$C$39:$C$50))+(134*100+7)/10000000)))</f>
        <v/>
      </c>
      <c r="Y139" t="str">
        <f>IF(I139="","",IF(I139&lt;Setup!$C$5-Setup!$C$6,"",IF(IF(ISNUMBER(Roster!$D139),Setup!$C$27&lt;=Roster!$D139,FALSE),"",IF(OR(IF(Setup!$C$15&lt;=Setup!$C$16,AND(MONTH(I139)&gt;=Setup!$C$15,MONTH(I139)&lt;=Setup!$C$16),OR(MONTH(I139)&gt;=Setup!$C$15,MONTH(I139)&lt;=Setup!$C$16)),IF(Setup!$C$15&lt;=Setup!$C$16,AND(MONTH(WORKDAY(I139,-(Setup!$C$13+Setup!$G$27),Setup!$C$39:$C$50))&gt;=Setup!$C$15,MONTH(WORKDAY(I139,-(Setup!$C$13+Setup!$G$27),Setup!$C$39:$C$50))&lt;=Setup!$C$16),OR(MONTH(WORKDAY(I139,-(Setup!$C$13+Setup!$G$27),Setup!$C$39:$C$50))&gt;=Setup!$C$15,MONTH(WORKDAY(I139,-(Setup!$C$13+Setup!$G$27),Setup!$C$39:$C$50))&lt;=Setup!$C$16))),WORKDAY(I139,-(Setup!$C$13+Setup!$G$27+Setup!$C$14),Setup!$C$39:$C$50),WORKDAY(I139,-(Setup!$C$13+Setup!$G$27),Setup!$C$39:$C$50))+(134*100+8)/10000000)))</f>
        <v/>
      </c>
      <c r="Z139" t="str">
        <f>IF(J139="","",IF(J139&lt;Setup!$C$5-Setup!$C$6,"",IF(IF(ISNUMBER(Roster!$D139),Setup!$C$28&lt;=Roster!$D139,FALSE),"",IF(OR(IF(Setup!$C$15&lt;=Setup!$C$16,AND(MONTH(J139)&gt;=Setup!$C$15,MONTH(J139)&lt;=Setup!$C$16),OR(MONTH(J139)&gt;=Setup!$C$15,MONTH(J139)&lt;=Setup!$C$16)),IF(Setup!$C$15&lt;=Setup!$C$16,AND(MONTH(WORKDAY(J139,-(Setup!$C$13+Setup!$G$28),Setup!$C$39:$C$50))&gt;=Setup!$C$15,MONTH(WORKDAY(J139,-(Setup!$C$13+Setup!$G$28),Setup!$C$39:$C$50))&lt;=Setup!$C$16),OR(MONTH(WORKDAY(J139,-(Setup!$C$13+Setup!$G$28),Setup!$C$39:$C$50))&gt;=Setup!$C$15,MONTH(WORKDAY(J139,-(Setup!$C$13+Setup!$G$28),Setup!$C$39:$C$50))&lt;=Setup!$C$16))),WORKDAY(J139,-(Setup!$C$13+Setup!$G$28+Setup!$C$14),Setup!$C$39:$C$50),WORKDAY(J139,-(Setup!$C$13+Setup!$G$28),Setup!$C$39:$C$50))+(134*100+9)/10000000)))</f>
        <v/>
      </c>
      <c r="AA139" t="str">
        <f>IF(K139="","",IF(K139&lt;Setup!$C$5-Setup!$C$6,"",IF(IF(ISNUMBER(Roster!$D139),Setup!$C$29&lt;=Roster!$D139,FALSE),"",IF(OR(IF(Setup!$C$15&lt;=Setup!$C$16,AND(MONTH(K139)&gt;=Setup!$C$15,MONTH(K139)&lt;=Setup!$C$16),OR(MONTH(K139)&gt;=Setup!$C$15,MONTH(K139)&lt;=Setup!$C$16)),IF(Setup!$C$15&lt;=Setup!$C$16,AND(MONTH(WORKDAY(K139,-(Setup!$C$13+Setup!$G$29),Setup!$C$39:$C$50))&gt;=Setup!$C$15,MONTH(WORKDAY(K139,-(Setup!$C$13+Setup!$G$29),Setup!$C$39:$C$50))&lt;=Setup!$C$16),OR(MONTH(WORKDAY(K139,-(Setup!$C$13+Setup!$G$29),Setup!$C$39:$C$50))&gt;=Setup!$C$15,MONTH(WORKDAY(K139,-(Setup!$C$13+Setup!$G$29),Setup!$C$39:$C$50))&lt;=Setup!$C$16))),WORKDAY(K139,-(Setup!$C$13+Setup!$G$29+Setup!$C$14),Setup!$C$39:$C$50),WORKDAY(K139,-(Setup!$C$13+Setup!$G$29),Setup!$C$39:$C$50))+(134*100+10)/10000000)))</f>
        <v/>
      </c>
      <c r="AB139" t="str">
        <f>IF(L139="","",IF(L139&lt;Setup!$C$5-Setup!$C$6,"",IF(IF(ISNUMBER(Roster!$D139),Setup!$C$30&lt;=Roster!$D139,FALSE),"",IF(OR(IF(Setup!$C$15&lt;=Setup!$C$16,AND(MONTH(L139)&gt;=Setup!$C$15,MONTH(L139)&lt;=Setup!$C$16),OR(MONTH(L139)&gt;=Setup!$C$15,MONTH(L139)&lt;=Setup!$C$16)),IF(Setup!$C$15&lt;=Setup!$C$16,AND(MONTH(WORKDAY(L139,-(Setup!$C$13+Setup!$G$30),Setup!$C$39:$C$50))&gt;=Setup!$C$15,MONTH(WORKDAY(L139,-(Setup!$C$13+Setup!$G$30),Setup!$C$39:$C$50))&lt;=Setup!$C$16),OR(MONTH(WORKDAY(L139,-(Setup!$C$13+Setup!$G$30),Setup!$C$39:$C$50))&gt;=Setup!$C$15,MONTH(WORKDAY(L139,-(Setup!$C$13+Setup!$G$30),Setup!$C$39:$C$50))&lt;=Setup!$C$16))),WORKDAY(L139,-(Setup!$C$13+Setup!$G$30+Setup!$C$14),Setup!$C$39:$C$50),WORKDAY(L139,-(Setup!$C$13+Setup!$G$30),Setup!$C$39:$C$50))+(134*100+11)/10000000)))</f>
        <v/>
      </c>
      <c r="AC139" t="str">
        <f>IF(M139="","",IF(M139&lt;Setup!$C$5-Setup!$C$6,"",IF(IF(ISNUMBER(Roster!$D139),Setup!$C$31&lt;=Roster!$D139,FALSE),"",IF(OR(IF(Setup!$C$15&lt;=Setup!$C$16,AND(MONTH(M139)&gt;=Setup!$C$15,MONTH(M139)&lt;=Setup!$C$16),OR(MONTH(M139)&gt;=Setup!$C$15,MONTH(M139)&lt;=Setup!$C$16)),IF(Setup!$C$15&lt;=Setup!$C$16,AND(MONTH(WORKDAY(M139,-(Setup!$C$13+Setup!$G$31),Setup!$C$39:$C$50))&gt;=Setup!$C$15,MONTH(WORKDAY(M139,-(Setup!$C$13+Setup!$G$31),Setup!$C$39:$C$50))&lt;=Setup!$C$16),OR(MONTH(WORKDAY(M139,-(Setup!$C$13+Setup!$G$31),Setup!$C$39:$C$50))&gt;=Setup!$C$15,MONTH(WORKDAY(M139,-(Setup!$C$13+Setup!$G$31),Setup!$C$39:$C$50))&lt;=Setup!$C$16))),WORKDAY(M139,-(Setup!$C$13+Setup!$G$31+Setup!$C$14),Setup!$C$39:$C$50),WORKDAY(M139,-(Setup!$C$13+Setup!$G$31),Setup!$C$39:$C$50))+(134*100+12)/10000000)))</f>
        <v/>
      </c>
      <c r="AD139" t="str">
        <f>IF(N139="","",IF(N139&lt;Setup!$C$5-Setup!$C$6,"",IF(IF(ISNUMBER(Roster!$D139),Setup!$C$32&lt;=Roster!$D139,FALSE),"",IF(OR(IF(Setup!$C$15&lt;=Setup!$C$16,AND(MONTH(N139)&gt;=Setup!$C$15,MONTH(N139)&lt;=Setup!$C$16),OR(MONTH(N139)&gt;=Setup!$C$15,MONTH(N139)&lt;=Setup!$C$16)),IF(Setup!$C$15&lt;=Setup!$C$16,AND(MONTH(WORKDAY(N139,-(Setup!$C$13+Setup!$G$32),Setup!$C$39:$C$50))&gt;=Setup!$C$15,MONTH(WORKDAY(N139,-(Setup!$C$13+Setup!$G$32),Setup!$C$39:$C$50))&lt;=Setup!$C$16),OR(MONTH(WORKDAY(N139,-(Setup!$C$13+Setup!$G$32),Setup!$C$39:$C$50))&gt;=Setup!$C$15,MONTH(WORKDAY(N139,-(Setup!$C$13+Setup!$G$32),Setup!$C$39:$C$50))&lt;=Setup!$C$16))),WORKDAY(N139,-(Setup!$C$13+Setup!$G$32+Setup!$C$14),Setup!$C$39:$C$50),WORKDAY(N139,-(Setup!$C$13+Setup!$G$32),Setup!$C$39:$C$50))+(134*100+13)/10000000)))</f>
        <v/>
      </c>
      <c r="AE139" t="str">
        <f>IF(O139="","",IF(O139&lt;Setup!$C$5-Setup!$C$6,"",IF(IF(ISNUMBER(Roster!$D139),Setup!$C$33&lt;=Roster!$D139,FALSE),"",IF(OR(IF(Setup!$C$15&lt;=Setup!$C$16,AND(MONTH(O139)&gt;=Setup!$C$15,MONTH(O139)&lt;=Setup!$C$16),OR(MONTH(O139)&gt;=Setup!$C$15,MONTH(O139)&lt;=Setup!$C$16)),IF(Setup!$C$15&lt;=Setup!$C$16,AND(MONTH(WORKDAY(O139,-(Setup!$C$13+Setup!$G$33),Setup!$C$39:$C$50))&gt;=Setup!$C$15,MONTH(WORKDAY(O139,-(Setup!$C$13+Setup!$G$33),Setup!$C$39:$C$50))&lt;=Setup!$C$16),OR(MONTH(WORKDAY(O139,-(Setup!$C$13+Setup!$G$33),Setup!$C$39:$C$50))&gt;=Setup!$C$15,MONTH(WORKDAY(O139,-(Setup!$C$13+Setup!$G$33),Setup!$C$39:$C$50))&lt;=Setup!$C$16))),WORKDAY(O139,-(Setup!$C$13+Setup!$G$33+Setup!$C$14),Setup!$C$39:$C$50),WORKDAY(O139,-(Setup!$C$13+Setup!$G$33),Setup!$C$39:$C$50))+(134*100+14)/10000000)))</f>
        <v/>
      </c>
      <c r="AF139" t="str">
        <f>IF(P139="","",IF(P139&lt;Setup!$C$5-Setup!$C$6,"",IF(IF(ISNUMBER(Roster!$D139),Setup!$C$34&lt;=Roster!$D139,FALSE),"",IF(OR(IF(Setup!$C$15&lt;=Setup!$C$16,AND(MONTH(P139)&gt;=Setup!$C$15,MONTH(P139)&lt;=Setup!$C$16),OR(MONTH(P139)&gt;=Setup!$C$15,MONTH(P139)&lt;=Setup!$C$16)),IF(Setup!$C$15&lt;=Setup!$C$16,AND(MONTH(WORKDAY(P139,-(Setup!$C$13+Setup!$G$34),Setup!$C$39:$C$50))&gt;=Setup!$C$15,MONTH(WORKDAY(P139,-(Setup!$C$13+Setup!$G$34),Setup!$C$39:$C$50))&lt;=Setup!$C$16),OR(MONTH(WORKDAY(P139,-(Setup!$C$13+Setup!$G$34),Setup!$C$39:$C$50))&gt;=Setup!$C$15,MONTH(WORKDAY(P139,-(Setup!$C$13+Setup!$G$34),Setup!$C$39:$C$50))&lt;=Setup!$C$16))),WORKDAY(P139,-(Setup!$C$13+Setup!$G$34+Setup!$C$14),Setup!$C$39:$C$50),WORKDAY(P139,-(Setup!$C$13+Setup!$G$34),Setup!$C$39:$C$50))+(134*100+15)/10000000)))</f>
        <v/>
      </c>
      <c r="AH139" t="str">
        <f t="shared" si="17"/>
        <v/>
      </c>
      <c r="AI139" t="str">
        <f t="shared" si="18"/>
        <v/>
      </c>
      <c r="AK139" t="str">
        <f ca="1">IF(134&gt;$AK$2,"",SMALL($R$6:$AF$505,134))</f>
        <v/>
      </c>
      <c r="AL139" t="str">
        <f t="shared" ca="1" si="19"/>
        <v/>
      </c>
      <c r="AM139" t="str">
        <f t="shared" ca="1" si="20"/>
        <v/>
      </c>
      <c r="AN139" t="str">
        <f t="shared" ca="1" si="21"/>
        <v/>
      </c>
      <c r="AP139" t="str">
        <f>IF(ISNUMBER(Roster!$B139),MAX(1,YEAR(Setup!$C$5)-YEAR(Roster!$B139)+IF(EDATE(Roster!$B139,12*(YEAR(Setup!$C$5)-YEAR(Roster!$B139)))&lt;Setup!$C$5,1,0)),"")</f>
        <v/>
      </c>
      <c r="AQ139" s="32" t="str">
        <f>IF(AP139="","",EDATE(Roster!$B139,12*AP139))</f>
        <v/>
      </c>
      <c r="AR139" t="str">
        <f>IF(AQ139="","",IF(AQ139&lt;DATE(YEAR(Setup!$C$5)+1,MONTH(Setup!$C$5),DAY(Setup!$C$5)),AQ139+134/1000,""))</f>
        <v/>
      </c>
      <c r="AS139" t="str">
        <f t="shared" si="22"/>
        <v/>
      </c>
      <c r="AT139" t="str">
        <f>IF(AS139="","",IF(ISNUMBER(Roster!$D139),Roster!$D139&gt;=AP139,FALSE))</f>
        <v/>
      </c>
      <c r="AU139" t="str">
        <f t="shared" si="23"/>
        <v/>
      </c>
      <c r="AV139" t="str">
        <f ca="1">IF(134&gt;$AV$2,"",SMALL($AR$6:$AR$505,134))</f>
        <v/>
      </c>
      <c r="AW139" t="str">
        <f t="shared" ca="1" si="24"/>
        <v/>
      </c>
    </row>
    <row r="140" spans="2:49" x14ac:dyDescent="0.2">
      <c r="B140" s="32" t="str">
        <f>IF(AND(ISNUMBER(Roster!$B140),Setup!$B$20="Yes",ISNUMBER(Setup!$C$20)),EDATE(Roster!$B140,12*Setup!$C$20),"")</f>
        <v/>
      </c>
      <c r="C140" s="32" t="str">
        <f>IF(AND(ISNUMBER(Roster!$B140),Setup!$B$21="Yes",ISNUMBER(Setup!$C$21)),EDATE(Roster!$B140,12*Setup!$C$21),"")</f>
        <v/>
      </c>
      <c r="D140" s="32" t="str">
        <f>IF(AND(ISNUMBER(Roster!$B140),Setup!$B$22="Yes",ISNUMBER(Setup!$C$22)),EDATE(Roster!$B140,12*Setup!$C$22),"")</f>
        <v/>
      </c>
      <c r="E140" s="32" t="str">
        <f>IF(AND(ISNUMBER(Roster!$B140),Setup!$B$23="Yes",ISNUMBER(Setup!$C$23)),EDATE(Roster!$B140,12*Setup!$C$23),"")</f>
        <v/>
      </c>
      <c r="F140" s="32" t="str">
        <f>IF(AND(ISNUMBER(Roster!$B140),Setup!$B$24="Yes",ISNUMBER(Setup!$C$24)),EDATE(Roster!$B140,12*Setup!$C$24),"")</f>
        <v/>
      </c>
      <c r="G140" s="32" t="str">
        <f>IF(AND(ISNUMBER(Roster!$B140),Setup!$B$25="Yes",ISNUMBER(Setup!$C$25)),EDATE(Roster!$B140,12*Setup!$C$25),"")</f>
        <v/>
      </c>
      <c r="H140" s="32" t="str">
        <f>IF(AND(ISNUMBER(Roster!$B140),Setup!$B$26="Yes",ISNUMBER(Setup!$C$26)),EDATE(Roster!$B140,12*Setup!$C$26),"")</f>
        <v/>
      </c>
      <c r="I140" s="32" t="str">
        <f>IF(AND(ISNUMBER(Roster!$B140),Setup!$B$27="Yes",ISNUMBER(Setup!$C$27)),EDATE(Roster!$B140,12*Setup!$C$27),"")</f>
        <v/>
      </c>
      <c r="J140" s="32" t="str">
        <f>IF(AND(ISNUMBER(Roster!$B140),Setup!$B$28="Yes",ISNUMBER(Setup!$C$28)),EDATE(Roster!$B140,12*Setup!$C$28),"")</f>
        <v/>
      </c>
      <c r="K140" s="32" t="str">
        <f>IF(AND(ISNUMBER(Roster!$B140),Setup!$B$29="Yes",ISNUMBER(Setup!$C$29)),EDATE(Roster!$B140,12*Setup!$C$29),"")</f>
        <v/>
      </c>
      <c r="L140" s="32" t="str">
        <f>IF(AND(ISNUMBER(Roster!$B140),Setup!$B$30="Yes",ISNUMBER(Setup!$C$30)),EDATE(Roster!$B140,12*Setup!$C$30),"")</f>
        <v/>
      </c>
      <c r="M140" s="32" t="str">
        <f>IF(AND(ISNUMBER(Roster!$B140),Setup!$B$31="Yes",ISNUMBER(Setup!$C$31)),EDATE(Roster!$B140,12*Setup!$C$31),"")</f>
        <v/>
      </c>
      <c r="N140" s="32" t="str">
        <f>IF(AND(ISNUMBER(Roster!$B140),Setup!$B$32="Yes",ISNUMBER(Setup!$C$32)),EDATE(Roster!$B140,12*Setup!$C$32),"")</f>
        <v/>
      </c>
      <c r="O140" s="32" t="str">
        <f>IF(AND(ISNUMBER(Roster!$B140),Setup!$B$33="Yes",ISNUMBER(Setup!$C$33)),EDATE(Roster!$B140,12*Setup!$C$33),"")</f>
        <v/>
      </c>
      <c r="P140" s="32" t="str">
        <f>IF(AND(ISNUMBER(Roster!$B140),Setup!$B$34="Yes",ISNUMBER(Setup!$C$34)),EDATE(Roster!$B140,12*Setup!$C$34),"")</f>
        <v/>
      </c>
      <c r="R140" t="str">
        <f>IF(B140="","",IF(B140&lt;Setup!$C$5-Setup!$C$6,"",IF(IF(ISNUMBER(Roster!$D140),Setup!$C$20&lt;=Roster!$D140,FALSE),"",IF(OR(IF(Setup!$C$15&lt;=Setup!$C$16,AND(MONTH(B140)&gt;=Setup!$C$15,MONTH(B140)&lt;=Setup!$C$16),OR(MONTH(B140)&gt;=Setup!$C$15,MONTH(B140)&lt;=Setup!$C$16)),IF(Setup!$C$15&lt;=Setup!$C$16,AND(MONTH(WORKDAY(B140,-(Setup!$C$13+Setup!$G$20),Setup!$C$39:$C$50))&gt;=Setup!$C$15,MONTH(WORKDAY(B140,-(Setup!$C$13+Setup!$G$20),Setup!$C$39:$C$50))&lt;=Setup!$C$16),OR(MONTH(WORKDAY(B140,-(Setup!$C$13+Setup!$G$20),Setup!$C$39:$C$50))&gt;=Setup!$C$15,MONTH(WORKDAY(B140,-(Setup!$C$13+Setup!$G$20),Setup!$C$39:$C$50))&lt;=Setup!$C$16))),WORKDAY(B140,-(Setup!$C$13+Setup!$G$20+Setup!$C$14),Setup!$C$39:$C$50),WORKDAY(B140,-(Setup!$C$13+Setup!$G$20),Setup!$C$39:$C$50))+(135*100+1)/10000000)))</f>
        <v/>
      </c>
      <c r="S140" t="str">
        <f>IF(C140="","",IF(C140&lt;Setup!$C$5-Setup!$C$6,"",IF(IF(ISNUMBER(Roster!$D140),Setup!$C$21&lt;=Roster!$D140,FALSE),"",IF(OR(IF(Setup!$C$15&lt;=Setup!$C$16,AND(MONTH(C140)&gt;=Setup!$C$15,MONTH(C140)&lt;=Setup!$C$16),OR(MONTH(C140)&gt;=Setup!$C$15,MONTH(C140)&lt;=Setup!$C$16)),IF(Setup!$C$15&lt;=Setup!$C$16,AND(MONTH(WORKDAY(C140,-(Setup!$C$13+Setup!$G$21),Setup!$C$39:$C$50))&gt;=Setup!$C$15,MONTH(WORKDAY(C140,-(Setup!$C$13+Setup!$G$21),Setup!$C$39:$C$50))&lt;=Setup!$C$16),OR(MONTH(WORKDAY(C140,-(Setup!$C$13+Setup!$G$21),Setup!$C$39:$C$50))&gt;=Setup!$C$15,MONTH(WORKDAY(C140,-(Setup!$C$13+Setup!$G$21),Setup!$C$39:$C$50))&lt;=Setup!$C$16))),WORKDAY(C140,-(Setup!$C$13+Setup!$G$21+Setup!$C$14),Setup!$C$39:$C$50),WORKDAY(C140,-(Setup!$C$13+Setup!$G$21),Setup!$C$39:$C$50))+(135*100+2)/10000000)))</f>
        <v/>
      </c>
      <c r="T140" t="str">
        <f>IF(D140="","",IF(D140&lt;Setup!$C$5-Setup!$C$6,"",IF(IF(ISNUMBER(Roster!$D140),Setup!$C$22&lt;=Roster!$D140,FALSE),"",IF(OR(IF(Setup!$C$15&lt;=Setup!$C$16,AND(MONTH(D140)&gt;=Setup!$C$15,MONTH(D140)&lt;=Setup!$C$16),OR(MONTH(D140)&gt;=Setup!$C$15,MONTH(D140)&lt;=Setup!$C$16)),IF(Setup!$C$15&lt;=Setup!$C$16,AND(MONTH(WORKDAY(D140,-(Setup!$C$13+Setup!$G$22),Setup!$C$39:$C$50))&gt;=Setup!$C$15,MONTH(WORKDAY(D140,-(Setup!$C$13+Setup!$G$22),Setup!$C$39:$C$50))&lt;=Setup!$C$16),OR(MONTH(WORKDAY(D140,-(Setup!$C$13+Setup!$G$22),Setup!$C$39:$C$50))&gt;=Setup!$C$15,MONTH(WORKDAY(D140,-(Setup!$C$13+Setup!$G$22),Setup!$C$39:$C$50))&lt;=Setup!$C$16))),WORKDAY(D140,-(Setup!$C$13+Setup!$G$22+Setup!$C$14),Setup!$C$39:$C$50),WORKDAY(D140,-(Setup!$C$13+Setup!$G$22),Setup!$C$39:$C$50))+(135*100+3)/10000000)))</f>
        <v/>
      </c>
      <c r="U140" t="str">
        <f>IF(E140="","",IF(E140&lt;Setup!$C$5-Setup!$C$6,"",IF(IF(ISNUMBER(Roster!$D140),Setup!$C$23&lt;=Roster!$D140,FALSE),"",IF(OR(IF(Setup!$C$15&lt;=Setup!$C$16,AND(MONTH(E140)&gt;=Setup!$C$15,MONTH(E140)&lt;=Setup!$C$16),OR(MONTH(E140)&gt;=Setup!$C$15,MONTH(E140)&lt;=Setup!$C$16)),IF(Setup!$C$15&lt;=Setup!$C$16,AND(MONTH(WORKDAY(E140,-(Setup!$C$13+Setup!$G$23),Setup!$C$39:$C$50))&gt;=Setup!$C$15,MONTH(WORKDAY(E140,-(Setup!$C$13+Setup!$G$23),Setup!$C$39:$C$50))&lt;=Setup!$C$16),OR(MONTH(WORKDAY(E140,-(Setup!$C$13+Setup!$G$23),Setup!$C$39:$C$50))&gt;=Setup!$C$15,MONTH(WORKDAY(E140,-(Setup!$C$13+Setup!$G$23),Setup!$C$39:$C$50))&lt;=Setup!$C$16))),WORKDAY(E140,-(Setup!$C$13+Setup!$G$23+Setup!$C$14),Setup!$C$39:$C$50),WORKDAY(E140,-(Setup!$C$13+Setup!$G$23),Setup!$C$39:$C$50))+(135*100+4)/10000000)))</f>
        <v/>
      </c>
      <c r="V140" t="str">
        <f>IF(F140="","",IF(F140&lt;Setup!$C$5-Setup!$C$6,"",IF(IF(ISNUMBER(Roster!$D140),Setup!$C$24&lt;=Roster!$D140,FALSE),"",IF(OR(IF(Setup!$C$15&lt;=Setup!$C$16,AND(MONTH(F140)&gt;=Setup!$C$15,MONTH(F140)&lt;=Setup!$C$16),OR(MONTH(F140)&gt;=Setup!$C$15,MONTH(F140)&lt;=Setup!$C$16)),IF(Setup!$C$15&lt;=Setup!$C$16,AND(MONTH(WORKDAY(F140,-(Setup!$C$13+Setup!$G$24),Setup!$C$39:$C$50))&gt;=Setup!$C$15,MONTH(WORKDAY(F140,-(Setup!$C$13+Setup!$G$24),Setup!$C$39:$C$50))&lt;=Setup!$C$16),OR(MONTH(WORKDAY(F140,-(Setup!$C$13+Setup!$G$24),Setup!$C$39:$C$50))&gt;=Setup!$C$15,MONTH(WORKDAY(F140,-(Setup!$C$13+Setup!$G$24),Setup!$C$39:$C$50))&lt;=Setup!$C$16))),WORKDAY(F140,-(Setup!$C$13+Setup!$G$24+Setup!$C$14),Setup!$C$39:$C$50),WORKDAY(F140,-(Setup!$C$13+Setup!$G$24),Setup!$C$39:$C$50))+(135*100+5)/10000000)))</f>
        <v/>
      </c>
      <c r="W140" t="str">
        <f>IF(G140="","",IF(G140&lt;Setup!$C$5-Setup!$C$6,"",IF(IF(ISNUMBER(Roster!$D140),Setup!$C$25&lt;=Roster!$D140,FALSE),"",IF(OR(IF(Setup!$C$15&lt;=Setup!$C$16,AND(MONTH(G140)&gt;=Setup!$C$15,MONTH(G140)&lt;=Setup!$C$16),OR(MONTH(G140)&gt;=Setup!$C$15,MONTH(G140)&lt;=Setup!$C$16)),IF(Setup!$C$15&lt;=Setup!$C$16,AND(MONTH(WORKDAY(G140,-(Setup!$C$13+Setup!$G$25),Setup!$C$39:$C$50))&gt;=Setup!$C$15,MONTH(WORKDAY(G140,-(Setup!$C$13+Setup!$G$25),Setup!$C$39:$C$50))&lt;=Setup!$C$16),OR(MONTH(WORKDAY(G140,-(Setup!$C$13+Setup!$G$25),Setup!$C$39:$C$50))&gt;=Setup!$C$15,MONTH(WORKDAY(G140,-(Setup!$C$13+Setup!$G$25),Setup!$C$39:$C$50))&lt;=Setup!$C$16))),WORKDAY(G140,-(Setup!$C$13+Setup!$G$25+Setup!$C$14),Setup!$C$39:$C$50),WORKDAY(G140,-(Setup!$C$13+Setup!$G$25),Setup!$C$39:$C$50))+(135*100+6)/10000000)))</f>
        <v/>
      </c>
      <c r="X140" t="str">
        <f>IF(H140="","",IF(H140&lt;Setup!$C$5-Setup!$C$6,"",IF(IF(ISNUMBER(Roster!$D140),Setup!$C$26&lt;=Roster!$D140,FALSE),"",IF(OR(IF(Setup!$C$15&lt;=Setup!$C$16,AND(MONTH(H140)&gt;=Setup!$C$15,MONTH(H140)&lt;=Setup!$C$16),OR(MONTH(H140)&gt;=Setup!$C$15,MONTH(H140)&lt;=Setup!$C$16)),IF(Setup!$C$15&lt;=Setup!$C$16,AND(MONTH(WORKDAY(H140,-(Setup!$C$13+Setup!$G$26),Setup!$C$39:$C$50))&gt;=Setup!$C$15,MONTH(WORKDAY(H140,-(Setup!$C$13+Setup!$G$26),Setup!$C$39:$C$50))&lt;=Setup!$C$16),OR(MONTH(WORKDAY(H140,-(Setup!$C$13+Setup!$G$26),Setup!$C$39:$C$50))&gt;=Setup!$C$15,MONTH(WORKDAY(H140,-(Setup!$C$13+Setup!$G$26),Setup!$C$39:$C$50))&lt;=Setup!$C$16))),WORKDAY(H140,-(Setup!$C$13+Setup!$G$26+Setup!$C$14),Setup!$C$39:$C$50),WORKDAY(H140,-(Setup!$C$13+Setup!$G$26),Setup!$C$39:$C$50))+(135*100+7)/10000000)))</f>
        <v/>
      </c>
      <c r="Y140" t="str">
        <f>IF(I140="","",IF(I140&lt;Setup!$C$5-Setup!$C$6,"",IF(IF(ISNUMBER(Roster!$D140),Setup!$C$27&lt;=Roster!$D140,FALSE),"",IF(OR(IF(Setup!$C$15&lt;=Setup!$C$16,AND(MONTH(I140)&gt;=Setup!$C$15,MONTH(I140)&lt;=Setup!$C$16),OR(MONTH(I140)&gt;=Setup!$C$15,MONTH(I140)&lt;=Setup!$C$16)),IF(Setup!$C$15&lt;=Setup!$C$16,AND(MONTH(WORKDAY(I140,-(Setup!$C$13+Setup!$G$27),Setup!$C$39:$C$50))&gt;=Setup!$C$15,MONTH(WORKDAY(I140,-(Setup!$C$13+Setup!$G$27),Setup!$C$39:$C$50))&lt;=Setup!$C$16),OR(MONTH(WORKDAY(I140,-(Setup!$C$13+Setup!$G$27),Setup!$C$39:$C$50))&gt;=Setup!$C$15,MONTH(WORKDAY(I140,-(Setup!$C$13+Setup!$G$27),Setup!$C$39:$C$50))&lt;=Setup!$C$16))),WORKDAY(I140,-(Setup!$C$13+Setup!$G$27+Setup!$C$14),Setup!$C$39:$C$50),WORKDAY(I140,-(Setup!$C$13+Setup!$G$27),Setup!$C$39:$C$50))+(135*100+8)/10000000)))</f>
        <v/>
      </c>
      <c r="Z140" t="str">
        <f>IF(J140="","",IF(J140&lt;Setup!$C$5-Setup!$C$6,"",IF(IF(ISNUMBER(Roster!$D140),Setup!$C$28&lt;=Roster!$D140,FALSE),"",IF(OR(IF(Setup!$C$15&lt;=Setup!$C$16,AND(MONTH(J140)&gt;=Setup!$C$15,MONTH(J140)&lt;=Setup!$C$16),OR(MONTH(J140)&gt;=Setup!$C$15,MONTH(J140)&lt;=Setup!$C$16)),IF(Setup!$C$15&lt;=Setup!$C$16,AND(MONTH(WORKDAY(J140,-(Setup!$C$13+Setup!$G$28),Setup!$C$39:$C$50))&gt;=Setup!$C$15,MONTH(WORKDAY(J140,-(Setup!$C$13+Setup!$G$28),Setup!$C$39:$C$50))&lt;=Setup!$C$16),OR(MONTH(WORKDAY(J140,-(Setup!$C$13+Setup!$G$28),Setup!$C$39:$C$50))&gt;=Setup!$C$15,MONTH(WORKDAY(J140,-(Setup!$C$13+Setup!$G$28),Setup!$C$39:$C$50))&lt;=Setup!$C$16))),WORKDAY(J140,-(Setup!$C$13+Setup!$G$28+Setup!$C$14),Setup!$C$39:$C$50),WORKDAY(J140,-(Setup!$C$13+Setup!$G$28),Setup!$C$39:$C$50))+(135*100+9)/10000000)))</f>
        <v/>
      </c>
      <c r="AA140" t="str">
        <f>IF(K140="","",IF(K140&lt;Setup!$C$5-Setup!$C$6,"",IF(IF(ISNUMBER(Roster!$D140),Setup!$C$29&lt;=Roster!$D140,FALSE),"",IF(OR(IF(Setup!$C$15&lt;=Setup!$C$16,AND(MONTH(K140)&gt;=Setup!$C$15,MONTH(K140)&lt;=Setup!$C$16),OR(MONTH(K140)&gt;=Setup!$C$15,MONTH(K140)&lt;=Setup!$C$16)),IF(Setup!$C$15&lt;=Setup!$C$16,AND(MONTH(WORKDAY(K140,-(Setup!$C$13+Setup!$G$29),Setup!$C$39:$C$50))&gt;=Setup!$C$15,MONTH(WORKDAY(K140,-(Setup!$C$13+Setup!$G$29),Setup!$C$39:$C$50))&lt;=Setup!$C$16),OR(MONTH(WORKDAY(K140,-(Setup!$C$13+Setup!$G$29),Setup!$C$39:$C$50))&gt;=Setup!$C$15,MONTH(WORKDAY(K140,-(Setup!$C$13+Setup!$G$29),Setup!$C$39:$C$50))&lt;=Setup!$C$16))),WORKDAY(K140,-(Setup!$C$13+Setup!$G$29+Setup!$C$14),Setup!$C$39:$C$50),WORKDAY(K140,-(Setup!$C$13+Setup!$G$29),Setup!$C$39:$C$50))+(135*100+10)/10000000)))</f>
        <v/>
      </c>
      <c r="AB140" t="str">
        <f>IF(L140="","",IF(L140&lt;Setup!$C$5-Setup!$C$6,"",IF(IF(ISNUMBER(Roster!$D140),Setup!$C$30&lt;=Roster!$D140,FALSE),"",IF(OR(IF(Setup!$C$15&lt;=Setup!$C$16,AND(MONTH(L140)&gt;=Setup!$C$15,MONTH(L140)&lt;=Setup!$C$16),OR(MONTH(L140)&gt;=Setup!$C$15,MONTH(L140)&lt;=Setup!$C$16)),IF(Setup!$C$15&lt;=Setup!$C$16,AND(MONTH(WORKDAY(L140,-(Setup!$C$13+Setup!$G$30),Setup!$C$39:$C$50))&gt;=Setup!$C$15,MONTH(WORKDAY(L140,-(Setup!$C$13+Setup!$G$30),Setup!$C$39:$C$50))&lt;=Setup!$C$16),OR(MONTH(WORKDAY(L140,-(Setup!$C$13+Setup!$G$30),Setup!$C$39:$C$50))&gt;=Setup!$C$15,MONTH(WORKDAY(L140,-(Setup!$C$13+Setup!$G$30),Setup!$C$39:$C$50))&lt;=Setup!$C$16))),WORKDAY(L140,-(Setup!$C$13+Setup!$G$30+Setup!$C$14),Setup!$C$39:$C$50),WORKDAY(L140,-(Setup!$C$13+Setup!$G$30),Setup!$C$39:$C$50))+(135*100+11)/10000000)))</f>
        <v/>
      </c>
      <c r="AC140" t="str">
        <f>IF(M140="","",IF(M140&lt;Setup!$C$5-Setup!$C$6,"",IF(IF(ISNUMBER(Roster!$D140),Setup!$C$31&lt;=Roster!$D140,FALSE),"",IF(OR(IF(Setup!$C$15&lt;=Setup!$C$16,AND(MONTH(M140)&gt;=Setup!$C$15,MONTH(M140)&lt;=Setup!$C$16),OR(MONTH(M140)&gt;=Setup!$C$15,MONTH(M140)&lt;=Setup!$C$16)),IF(Setup!$C$15&lt;=Setup!$C$16,AND(MONTH(WORKDAY(M140,-(Setup!$C$13+Setup!$G$31),Setup!$C$39:$C$50))&gt;=Setup!$C$15,MONTH(WORKDAY(M140,-(Setup!$C$13+Setup!$G$31),Setup!$C$39:$C$50))&lt;=Setup!$C$16),OR(MONTH(WORKDAY(M140,-(Setup!$C$13+Setup!$G$31),Setup!$C$39:$C$50))&gt;=Setup!$C$15,MONTH(WORKDAY(M140,-(Setup!$C$13+Setup!$G$31),Setup!$C$39:$C$50))&lt;=Setup!$C$16))),WORKDAY(M140,-(Setup!$C$13+Setup!$G$31+Setup!$C$14),Setup!$C$39:$C$50),WORKDAY(M140,-(Setup!$C$13+Setup!$G$31),Setup!$C$39:$C$50))+(135*100+12)/10000000)))</f>
        <v/>
      </c>
      <c r="AD140" t="str">
        <f>IF(N140="","",IF(N140&lt;Setup!$C$5-Setup!$C$6,"",IF(IF(ISNUMBER(Roster!$D140),Setup!$C$32&lt;=Roster!$D140,FALSE),"",IF(OR(IF(Setup!$C$15&lt;=Setup!$C$16,AND(MONTH(N140)&gt;=Setup!$C$15,MONTH(N140)&lt;=Setup!$C$16),OR(MONTH(N140)&gt;=Setup!$C$15,MONTH(N140)&lt;=Setup!$C$16)),IF(Setup!$C$15&lt;=Setup!$C$16,AND(MONTH(WORKDAY(N140,-(Setup!$C$13+Setup!$G$32),Setup!$C$39:$C$50))&gt;=Setup!$C$15,MONTH(WORKDAY(N140,-(Setup!$C$13+Setup!$G$32),Setup!$C$39:$C$50))&lt;=Setup!$C$16),OR(MONTH(WORKDAY(N140,-(Setup!$C$13+Setup!$G$32),Setup!$C$39:$C$50))&gt;=Setup!$C$15,MONTH(WORKDAY(N140,-(Setup!$C$13+Setup!$G$32),Setup!$C$39:$C$50))&lt;=Setup!$C$16))),WORKDAY(N140,-(Setup!$C$13+Setup!$G$32+Setup!$C$14),Setup!$C$39:$C$50),WORKDAY(N140,-(Setup!$C$13+Setup!$G$32),Setup!$C$39:$C$50))+(135*100+13)/10000000)))</f>
        <v/>
      </c>
      <c r="AE140" t="str">
        <f>IF(O140="","",IF(O140&lt;Setup!$C$5-Setup!$C$6,"",IF(IF(ISNUMBER(Roster!$D140),Setup!$C$33&lt;=Roster!$D140,FALSE),"",IF(OR(IF(Setup!$C$15&lt;=Setup!$C$16,AND(MONTH(O140)&gt;=Setup!$C$15,MONTH(O140)&lt;=Setup!$C$16),OR(MONTH(O140)&gt;=Setup!$C$15,MONTH(O140)&lt;=Setup!$C$16)),IF(Setup!$C$15&lt;=Setup!$C$16,AND(MONTH(WORKDAY(O140,-(Setup!$C$13+Setup!$G$33),Setup!$C$39:$C$50))&gt;=Setup!$C$15,MONTH(WORKDAY(O140,-(Setup!$C$13+Setup!$G$33),Setup!$C$39:$C$50))&lt;=Setup!$C$16),OR(MONTH(WORKDAY(O140,-(Setup!$C$13+Setup!$G$33),Setup!$C$39:$C$50))&gt;=Setup!$C$15,MONTH(WORKDAY(O140,-(Setup!$C$13+Setup!$G$33),Setup!$C$39:$C$50))&lt;=Setup!$C$16))),WORKDAY(O140,-(Setup!$C$13+Setup!$G$33+Setup!$C$14),Setup!$C$39:$C$50),WORKDAY(O140,-(Setup!$C$13+Setup!$G$33),Setup!$C$39:$C$50))+(135*100+14)/10000000)))</f>
        <v/>
      </c>
      <c r="AF140" t="str">
        <f>IF(P140="","",IF(P140&lt;Setup!$C$5-Setup!$C$6,"",IF(IF(ISNUMBER(Roster!$D140),Setup!$C$34&lt;=Roster!$D140,FALSE),"",IF(OR(IF(Setup!$C$15&lt;=Setup!$C$16,AND(MONTH(P140)&gt;=Setup!$C$15,MONTH(P140)&lt;=Setup!$C$16),OR(MONTH(P140)&gt;=Setup!$C$15,MONTH(P140)&lt;=Setup!$C$16)),IF(Setup!$C$15&lt;=Setup!$C$16,AND(MONTH(WORKDAY(P140,-(Setup!$C$13+Setup!$G$34),Setup!$C$39:$C$50))&gt;=Setup!$C$15,MONTH(WORKDAY(P140,-(Setup!$C$13+Setup!$G$34),Setup!$C$39:$C$50))&lt;=Setup!$C$16),OR(MONTH(WORKDAY(P140,-(Setup!$C$13+Setup!$G$34),Setup!$C$39:$C$50))&gt;=Setup!$C$15,MONTH(WORKDAY(P140,-(Setup!$C$13+Setup!$G$34),Setup!$C$39:$C$50))&lt;=Setup!$C$16))),WORKDAY(P140,-(Setup!$C$13+Setup!$G$34+Setup!$C$14),Setup!$C$39:$C$50),WORKDAY(P140,-(Setup!$C$13+Setup!$G$34),Setup!$C$39:$C$50))+(135*100+15)/10000000)))</f>
        <v/>
      </c>
      <c r="AH140" t="str">
        <f t="shared" si="17"/>
        <v/>
      </c>
      <c r="AI140" t="str">
        <f t="shared" si="18"/>
        <v/>
      </c>
      <c r="AK140" t="str">
        <f ca="1">IF(135&gt;$AK$2,"",SMALL($R$6:$AF$505,135))</f>
        <v/>
      </c>
      <c r="AL140" t="str">
        <f t="shared" ca="1" si="19"/>
        <v/>
      </c>
      <c r="AM140" t="str">
        <f t="shared" ca="1" si="20"/>
        <v/>
      </c>
      <c r="AN140" t="str">
        <f t="shared" ca="1" si="21"/>
        <v/>
      </c>
      <c r="AP140" t="str">
        <f>IF(ISNUMBER(Roster!$B140),MAX(1,YEAR(Setup!$C$5)-YEAR(Roster!$B140)+IF(EDATE(Roster!$B140,12*(YEAR(Setup!$C$5)-YEAR(Roster!$B140)))&lt;Setup!$C$5,1,0)),"")</f>
        <v/>
      </c>
      <c r="AQ140" s="32" t="str">
        <f>IF(AP140="","",EDATE(Roster!$B140,12*AP140))</f>
        <v/>
      </c>
      <c r="AR140" t="str">
        <f>IF(AQ140="","",IF(AQ140&lt;DATE(YEAR(Setup!$C$5)+1,MONTH(Setup!$C$5),DAY(Setup!$C$5)),AQ140+135/1000,""))</f>
        <v/>
      </c>
      <c r="AS140" t="str">
        <f t="shared" si="22"/>
        <v/>
      </c>
      <c r="AT140" t="str">
        <f>IF(AS140="","",IF(ISNUMBER(Roster!$D140),Roster!$D140&gt;=AP140,FALSE))</f>
        <v/>
      </c>
      <c r="AU140" t="str">
        <f t="shared" si="23"/>
        <v/>
      </c>
      <c r="AV140" t="str">
        <f ca="1">IF(135&gt;$AV$2,"",SMALL($AR$6:$AR$505,135))</f>
        <v/>
      </c>
      <c r="AW140" t="str">
        <f t="shared" ca="1" si="24"/>
        <v/>
      </c>
    </row>
    <row r="141" spans="2:49" x14ac:dyDescent="0.2">
      <c r="B141" s="32" t="str">
        <f>IF(AND(ISNUMBER(Roster!$B141),Setup!$B$20="Yes",ISNUMBER(Setup!$C$20)),EDATE(Roster!$B141,12*Setup!$C$20),"")</f>
        <v/>
      </c>
      <c r="C141" s="32" t="str">
        <f>IF(AND(ISNUMBER(Roster!$B141),Setup!$B$21="Yes",ISNUMBER(Setup!$C$21)),EDATE(Roster!$B141,12*Setup!$C$21),"")</f>
        <v/>
      </c>
      <c r="D141" s="32" t="str">
        <f>IF(AND(ISNUMBER(Roster!$B141),Setup!$B$22="Yes",ISNUMBER(Setup!$C$22)),EDATE(Roster!$B141,12*Setup!$C$22),"")</f>
        <v/>
      </c>
      <c r="E141" s="32" t="str">
        <f>IF(AND(ISNUMBER(Roster!$B141),Setup!$B$23="Yes",ISNUMBER(Setup!$C$23)),EDATE(Roster!$B141,12*Setup!$C$23),"")</f>
        <v/>
      </c>
      <c r="F141" s="32" t="str">
        <f>IF(AND(ISNUMBER(Roster!$B141),Setup!$B$24="Yes",ISNUMBER(Setup!$C$24)),EDATE(Roster!$B141,12*Setup!$C$24),"")</f>
        <v/>
      </c>
      <c r="G141" s="32" t="str">
        <f>IF(AND(ISNUMBER(Roster!$B141),Setup!$B$25="Yes",ISNUMBER(Setup!$C$25)),EDATE(Roster!$B141,12*Setup!$C$25),"")</f>
        <v/>
      </c>
      <c r="H141" s="32" t="str">
        <f>IF(AND(ISNUMBER(Roster!$B141),Setup!$B$26="Yes",ISNUMBER(Setup!$C$26)),EDATE(Roster!$B141,12*Setup!$C$26),"")</f>
        <v/>
      </c>
      <c r="I141" s="32" t="str">
        <f>IF(AND(ISNUMBER(Roster!$B141),Setup!$B$27="Yes",ISNUMBER(Setup!$C$27)),EDATE(Roster!$B141,12*Setup!$C$27),"")</f>
        <v/>
      </c>
      <c r="J141" s="32" t="str">
        <f>IF(AND(ISNUMBER(Roster!$B141),Setup!$B$28="Yes",ISNUMBER(Setup!$C$28)),EDATE(Roster!$B141,12*Setup!$C$28),"")</f>
        <v/>
      </c>
      <c r="K141" s="32" t="str">
        <f>IF(AND(ISNUMBER(Roster!$B141),Setup!$B$29="Yes",ISNUMBER(Setup!$C$29)),EDATE(Roster!$B141,12*Setup!$C$29),"")</f>
        <v/>
      </c>
      <c r="L141" s="32" t="str">
        <f>IF(AND(ISNUMBER(Roster!$B141),Setup!$B$30="Yes",ISNUMBER(Setup!$C$30)),EDATE(Roster!$B141,12*Setup!$C$30),"")</f>
        <v/>
      </c>
      <c r="M141" s="32" t="str">
        <f>IF(AND(ISNUMBER(Roster!$B141),Setup!$B$31="Yes",ISNUMBER(Setup!$C$31)),EDATE(Roster!$B141,12*Setup!$C$31),"")</f>
        <v/>
      </c>
      <c r="N141" s="32" t="str">
        <f>IF(AND(ISNUMBER(Roster!$B141),Setup!$B$32="Yes",ISNUMBER(Setup!$C$32)),EDATE(Roster!$B141,12*Setup!$C$32),"")</f>
        <v/>
      </c>
      <c r="O141" s="32" t="str">
        <f>IF(AND(ISNUMBER(Roster!$B141),Setup!$B$33="Yes",ISNUMBER(Setup!$C$33)),EDATE(Roster!$B141,12*Setup!$C$33),"")</f>
        <v/>
      </c>
      <c r="P141" s="32" t="str">
        <f>IF(AND(ISNUMBER(Roster!$B141),Setup!$B$34="Yes",ISNUMBER(Setup!$C$34)),EDATE(Roster!$B141,12*Setup!$C$34),"")</f>
        <v/>
      </c>
      <c r="R141" t="str">
        <f>IF(B141="","",IF(B141&lt;Setup!$C$5-Setup!$C$6,"",IF(IF(ISNUMBER(Roster!$D141),Setup!$C$20&lt;=Roster!$D141,FALSE),"",IF(OR(IF(Setup!$C$15&lt;=Setup!$C$16,AND(MONTH(B141)&gt;=Setup!$C$15,MONTH(B141)&lt;=Setup!$C$16),OR(MONTH(B141)&gt;=Setup!$C$15,MONTH(B141)&lt;=Setup!$C$16)),IF(Setup!$C$15&lt;=Setup!$C$16,AND(MONTH(WORKDAY(B141,-(Setup!$C$13+Setup!$G$20),Setup!$C$39:$C$50))&gt;=Setup!$C$15,MONTH(WORKDAY(B141,-(Setup!$C$13+Setup!$G$20),Setup!$C$39:$C$50))&lt;=Setup!$C$16),OR(MONTH(WORKDAY(B141,-(Setup!$C$13+Setup!$G$20),Setup!$C$39:$C$50))&gt;=Setup!$C$15,MONTH(WORKDAY(B141,-(Setup!$C$13+Setup!$G$20),Setup!$C$39:$C$50))&lt;=Setup!$C$16))),WORKDAY(B141,-(Setup!$C$13+Setup!$G$20+Setup!$C$14),Setup!$C$39:$C$50),WORKDAY(B141,-(Setup!$C$13+Setup!$G$20),Setup!$C$39:$C$50))+(136*100+1)/10000000)))</f>
        <v/>
      </c>
      <c r="S141" t="str">
        <f>IF(C141="","",IF(C141&lt;Setup!$C$5-Setup!$C$6,"",IF(IF(ISNUMBER(Roster!$D141),Setup!$C$21&lt;=Roster!$D141,FALSE),"",IF(OR(IF(Setup!$C$15&lt;=Setup!$C$16,AND(MONTH(C141)&gt;=Setup!$C$15,MONTH(C141)&lt;=Setup!$C$16),OR(MONTH(C141)&gt;=Setup!$C$15,MONTH(C141)&lt;=Setup!$C$16)),IF(Setup!$C$15&lt;=Setup!$C$16,AND(MONTH(WORKDAY(C141,-(Setup!$C$13+Setup!$G$21),Setup!$C$39:$C$50))&gt;=Setup!$C$15,MONTH(WORKDAY(C141,-(Setup!$C$13+Setup!$G$21),Setup!$C$39:$C$50))&lt;=Setup!$C$16),OR(MONTH(WORKDAY(C141,-(Setup!$C$13+Setup!$G$21),Setup!$C$39:$C$50))&gt;=Setup!$C$15,MONTH(WORKDAY(C141,-(Setup!$C$13+Setup!$G$21),Setup!$C$39:$C$50))&lt;=Setup!$C$16))),WORKDAY(C141,-(Setup!$C$13+Setup!$G$21+Setup!$C$14),Setup!$C$39:$C$50),WORKDAY(C141,-(Setup!$C$13+Setup!$G$21),Setup!$C$39:$C$50))+(136*100+2)/10000000)))</f>
        <v/>
      </c>
      <c r="T141" t="str">
        <f>IF(D141="","",IF(D141&lt;Setup!$C$5-Setup!$C$6,"",IF(IF(ISNUMBER(Roster!$D141),Setup!$C$22&lt;=Roster!$D141,FALSE),"",IF(OR(IF(Setup!$C$15&lt;=Setup!$C$16,AND(MONTH(D141)&gt;=Setup!$C$15,MONTH(D141)&lt;=Setup!$C$16),OR(MONTH(D141)&gt;=Setup!$C$15,MONTH(D141)&lt;=Setup!$C$16)),IF(Setup!$C$15&lt;=Setup!$C$16,AND(MONTH(WORKDAY(D141,-(Setup!$C$13+Setup!$G$22),Setup!$C$39:$C$50))&gt;=Setup!$C$15,MONTH(WORKDAY(D141,-(Setup!$C$13+Setup!$G$22),Setup!$C$39:$C$50))&lt;=Setup!$C$16),OR(MONTH(WORKDAY(D141,-(Setup!$C$13+Setup!$G$22),Setup!$C$39:$C$50))&gt;=Setup!$C$15,MONTH(WORKDAY(D141,-(Setup!$C$13+Setup!$G$22),Setup!$C$39:$C$50))&lt;=Setup!$C$16))),WORKDAY(D141,-(Setup!$C$13+Setup!$G$22+Setup!$C$14),Setup!$C$39:$C$50),WORKDAY(D141,-(Setup!$C$13+Setup!$G$22),Setup!$C$39:$C$50))+(136*100+3)/10000000)))</f>
        <v/>
      </c>
      <c r="U141" t="str">
        <f>IF(E141="","",IF(E141&lt;Setup!$C$5-Setup!$C$6,"",IF(IF(ISNUMBER(Roster!$D141),Setup!$C$23&lt;=Roster!$D141,FALSE),"",IF(OR(IF(Setup!$C$15&lt;=Setup!$C$16,AND(MONTH(E141)&gt;=Setup!$C$15,MONTH(E141)&lt;=Setup!$C$16),OR(MONTH(E141)&gt;=Setup!$C$15,MONTH(E141)&lt;=Setup!$C$16)),IF(Setup!$C$15&lt;=Setup!$C$16,AND(MONTH(WORKDAY(E141,-(Setup!$C$13+Setup!$G$23),Setup!$C$39:$C$50))&gt;=Setup!$C$15,MONTH(WORKDAY(E141,-(Setup!$C$13+Setup!$G$23),Setup!$C$39:$C$50))&lt;=Setup!$C$16),OR(MONTH(WORKDAY(E141,-(Setup!$C$13+Setup!$G$23),Setup!$C$39:$C$50))&gt;=Setup!$C$15,MONTH(WORKDAY(E141,-(Setup!$C$13+Setup!$G$23),Setup!$C$39:$C$50))&lt;=Setup!$C$16))),WORKDAY(E141,-(Setup!$C$13+Setup!$G$23+Setup!$C$14),Setup!$C$39:$C$50),WORKDAY(E141,-(Setup!$C$13+Setup!$G$23),Setup!$C$39:$C$50))+(136*100+4)/10000000)))</f>
        <v/>
      </c>
      <c r="V141" t="str">
        <f>IF(F141="","",IF(F141&lt;Setup!$C$5-Setup!$C$6,"",IF(IF(ISNUMBER(Roster!$D141),Setup!$C$24&lt;=Roster!$D141,FALSE),"",IF(OR(IF(Setup!$C$15&lt;=Setup!$C$16,AND(MONTH(F141)&gt;=Setup!$C$15,MONTH(F141)&lt;=Setup!$C$16),OR(MONTH(F141)&gt;=Setup!$C$15,MONTH(F141)&lt;=Setup!$C$16)),IF(Setup!$C$15&lt;=Setup!$C$16,AND(MONTH(WORKDAY(F141,-(Setup!$C$13+Setup!$G$24),Setup!$C$39:$C$50))&gt;=Setup!$C$15,MONTH(WORKDAY(F141,-(Setup!$C$13+Setup!$G$24),Setup!$C$39:$C$50))&lt;=Setup!$C$16),OR(MONTH(WORKDAY(F141,-(Setup!$C$13+Setup!$G$24),Setup!$C$39:$C$50))&gt;=Setup!$C$15,MONTH(WORKDAY(F141,-(Setup!$C$13+Setup!$G$24),Setup!$C$39:$C$50))&lt;=Setup!$C$16))),WORKDAY(F141,-(Setup!$C$13+Setup!$G$24+Setup!$C$14),Setup!$C$39:$C$50),WORKDAY(F141,-(Setup!$C$13+Setup!$G$24),Setup!$C$39:$C$50))+(136*100+5)/10000000)))</f>
        <v/>
      </c>
      <c r="W141" t="str">
        <f>IF(G141="","",IF(G141&lt;Setup!$C$5-Setup!$C$6,"",IF(IF(ISNUMBER(Roster!$D141),Setup!$C$25&lt;=Roster!$D141,FALSE),"",IF(OR(IF(Setup!$C$15&lt;=Setup!$C$16,AND(MONTH(G141)&gt;=Setup!$C$15,MONTH(G141)&lt;=Setup!$C$16),OR(MONTH(G141)&gt;=Setup!$C$15,MONTH(G141)&lt;=Setup!$C$16)),IF(Setup!$C$15&lt;=Setup!$C$16,AND(MONTH(WORKDAY(G141,-(Setup!$C$13+Setup!$G$25),Setup!$C$39:$C$50))&gt;=Setup!$C$15,MONTH(WORKDAY(G141,-(Setup!$C$13+Setup!$G$25),Setup!$C$39:$C$50))&lt;=Setup!$C$16),OR(MONTH(WORKDAY(G141,-(Setup!$C$13+Setup!$G$25),Setup!$C$39:$C$50))&gt;=Setup!$C$15,MONTH(WORKDAY(G141,-(Setup!$C$13+Setup!$G$25),Setup!$C$39:$C$50))&lt;=Setup!$C$16))),WORKDAY(G141,-(Setup!$C$13+Setup!$G$25+Setup!$C$14),Setup!$C$39:$C$50),WORKDAY(G141,-(Setup!$C$13+Setup!$G$25),Setup!$C$39:$C$50))+(136*100+6)/10000000)))</f>
        <v/>
      </c>
      <c r="X141" t="str">
        <f>IF(H141="","",IF(H141&lt;Setup!$C$5-Setup!$C$6,"",IF(IF(ISNUMBER(Roster!$D141),Setup!$C$26&lt;=Roster!$D141,FALSE),"",IF(OR(IF(Setup!$C$15&lt;=Setup!$C$16,AND(MONTH(H141)&gt;=Setup!$C$15,MONTH(H141)&lt;=Setup!$C$16),OR(MONTH(H141)&gt;=Setup!$C$15,MONTH(H141)&lt;=Setup!$C$16)),IF(Setup!$C$15&lt;=Setup!$C$16,AND(MONTH(WORKDAY(H141,-(Setup!$C$13+Setup!$G$26),Setup!$C$39:$C$50))&gt;=Setup!$C$15,MONTH(WORKDAY(H141,-(Setup!$C$13+Setup!$G$26),Setup!$C$39:$C$50))&lt;=Setup!$C$16),OR(MONTH(WORKDAY(H141,-(Setup!$C$13+Setup!$G$26),Setup!$C$39:$C$50))&gt;=Setup!$C$15,MONTH(WORKDAY(H141,-(Setup!$C$13+Setup!$G$26),Setup!$C$39:$C$50))&lt;=Setup!$C$16))),WORKDAY(H141,-(Setup!$C$13+Setup!$G$26+Setup!$C$14),Setup!$C$39:$C$50),WORKDAY(H141,-(Setup!$C$13+Setup!$G$26),Setup!$C$39:$C$50))+(136*100+7)/10000000)))</f>
        <v/>
      </c>
      <c r="Y141" t="str">
        <f>IF(I141="","",IF(I141&lt;Setup!$C$5-Setup!$C$6,"",IF(IF(ISNUMBER(Roster!$D141),Setup!$C$27&lt;=Roster!$D141,FALSE),"",IF(OR(IF(Setup!$C$15&lt;=Setup!$C$16,AND(MONTH(I141)&gt;=Setup!$C$15,MONTH(I141)&lt;=Setup!$C$16),OR(MONTH(I141)&gt;=Setup!$C$15,MONTH(I141)&lt;=Setup!$C$16)),IF(Setup!$C$15&lt;=Setup!$C$16,AND(MONTH(WORKDAY(I141,-(Setup!$C$13+Setup!$G$27),Setup!$C$39:$C$50))&gt;=Setup!$C$15,MONTH(WORKDAY(I141,-(Setup!$C$13+Setup!$G$27),Setup!$C$39:$C$50))&lt;=Setup!$C$16),OR(MONTH(WORKDAY(I141,-(Setup!$C$13+Setup!$G$27),Setup!$C$39:$C$50))&gt;=Setup!$C$15,MONTH(WORKDAY(I141,-(Setup!$C$13+Setup!$G$27),Setup!$C$39:$C$50))&lt;=Setup!$C$16))),WORKDAY(I141,-(Setup!$C$13+Setup!$G$27+Setup!$C$14),Setup!$C$39:$C$50),WORKDAY(I141,-(Setup!$C$13+Setup!$G$27),Setup!$C$39:$C$50))+(136*100+8)/10000000)))</f>
        <v/>
      </c>
      <c r="Z141" t="str">
        <f>IF(J141="","",IF(J141&lt;Setup!$C$5-Setup!$C$6,"",IF(IF(ISNUMBER(Roster!$D141),Setup!$C$28&lt;=Roster!$D141,FALSE),"",IF(OR(IF(Setup!$C$15&lt;=Setup!$C$16,AND(MONTH(J141)&gt;=Setup!$C$15,MONTH(J141)&lt;=Setup!$C$16),OR(MONTH(J141)&gt;=Setup!$C$15,MONTH(J141)&lt;=Setup!$C$16)),IF(Setup!$C$15&lt;=Setup!$C$16,AND(MONTH(WORKDAY(J141,-(Setup!$C$13+Setup!$G$28),Setup!$C$39:$C$50))&gt;=Setup!$C$15,MONTH(WORKDAY(J141,-(Setup!$C$13+Setup!$G$28),Setup!$C$39:$C$50))&lt;=Setup!$C$16),OR(MONTH(WORKDAY(J141,-(Setup!$C$13+Setup!$G$28),Setup!$C$39:$C$50))&gt;=Setup!$C$15,MONTH(WORKDAY(J141,-(Setup!$C$13+Setup!$G$28),Setup!$C$39:$C$50))&lt;=Setup!$C$16))),WORKDAY(J141,-(Setup!$C$13+Setup!$G$28+Setup!$C$14),Setup!$C$39:$C$50),WORKDAY(J141,-(Setup!$C$13+Setup!$G$28),Setup!$C$39:$C$50))+(136*100+9)/10000000)))</f>
        <v/>
      </c>
      <c r="AA141" t="str">
        <f>IF(K141="","",IF(K141&lt;Setup!$C$5-Setup!$C$6,"",IF(IF(ISNUMBER(Roster!$D141),Setup!$C$29&lt;=Roster!$D141,FALSE),"",IF(OR(IF(Setup!$C$15&lt;=Setup!$C$16,AND(MONTH(K141)&gt;=Setup!$C$15,MONTH(K141)&lt;=Setup!$C$16),OR(MONTH(K141)&gt;=Setup!$C$15,MONTH(K141)&lt;=Setup!$C$16)),IF(Setup!$C$15&lt;=Setup!$C$16,AND(MONTH(WORKDAY(K141,-(Setup!$C$13+Setup!$G$29),Setup!$C$39:$C$50))&gt;=Setup!$C$15,MONTH(WORKDAY(K141,-(Setup!$C$13+Setup!$G$29),Setup!$C$39:$C$50))&lt;=Setup!$C$16),OR(MONTH(WORKDAY(K141,-(Setup!$C$13+Setup!$G$29),Setup!$C$39:$C$50))&gt;=Setup!$C$15,MONTH(WORKDAY(K141,-(Setup!$C$13+Setup!$G$29),Setup!$C$39:$C$50))&lt;=Setup!$C$16))),WORKDAY(K141,-(Setup!$C$13+Setup!$G$29+Setup!$C$14),Setup!$C$39:$C$50),WORKDAY(K141,-(Setup!$C$13+Setup!$G$29),Setup!$C$39:$C$50))+(136*100+10)/10000000)))</f>
        <v/>
      </c>
      <c r="AB141" t="str">
        <f>IF(L141="","",IF(L141&lt;Setup!$C$5-Setup!$C$6,"",IF(IF(ISNUMBER(Roster!$D141),Setup!$C$30&lt;=Roster!$D141,FALSE),"",IF(OR(IF(Setup!$C$15&lt;=Setup!$C$16,AND(MONTH(L141)&gt;=Setup!$C$15,MONTH(L141)&lt;=Setup!$C$16),OR(MONTH(L141)&gt;=Setup!$C$15,MONTH(L141)&lt;=Setup!$C$16)),IF(Setup!$C$15&lt;=Setup!$C$16,AND(MONTH(WORKDAY(L141,-(Setup!$C$13+Setup!$G$30),Setup!$C$39:$C$50))&gt;=Setup!$C$15,MONTH(WORKDAY(L141,-(Setup!$C$13+Setup!$G$30),Setup!$C$39:$C$50))&lt;=Setup!$C$16),OR(MONTH(WORKDAY(L141,-(Setup!$C$13+Setup!$G$30),Setup!$C$39:$C$50))&gt;=Setup!$C$15,MONTH(WORKDAY(L141,-(Setup!$C$13+Setup!$G$30),Setup!$C$39:$C$50))&lt;=Setup!$C$16))),WORKDAY(L141,-(Setup!$C$13+Setup!$G$30+Setup!$C$14),Setup!$C$39:$C$50),WORKDAY(L141,-(Setup!$C$13+Setup!$G$30),Setup!$C$39:$C$50))+(136*100+11)/10000000)))</f>
        <v/>
      </c>
      <c r="AC141" t="str">
        <f>IF(M141="","",IF(M141&lt;Setup!$C$5-Setup!$C$6,"",IF(IF(ISNUMBER(Roster!$D141),Setup!$C$31&lt;=Roster!$D141,FALSE),"",IF(OR(IF(Setup!$C$15&lt;=Setup!$C$16,AND(MONTH(M141)&gt;=Setup!$C$15,MONTH(M141)&lt;=Setup!$C$16),OR(MONTH(M141)&gt;=Setup!$C$15,MONTH(M141)&lt;=Setup!$C$16)),IF(Setup!$C$15&lt;=Setup!$C$16,AND(MONTH(WORKDAY(M141,-(Setup!$C$13+Setup!$G$31),Setup!$C$39:$C$50))&gt;=Setup!$C$15,MONTH(WORKDAY(M141,-(Setup!$C$13+Setup!$G$31),Setup!$C$39:$C$50))&lt;=Setup!$C$16),OR(MONTH(WORKDAY(M141,-(Setup!$C$13+Setup!$G$31),Setup!$C$39:$C$50))&gt;=Setup!$C$15,MONTH(WORKDAY(M141,-(Setup!$C$13+Setup!$G$31),Setup!$C$39:$C$50))&lt;=Setup!$C$16))),WORKDAY(M141,-(Setup!$C$13+Setup!$G$31+Setup!$C$14),Setup!$C$39:$C$50),WORKDAY(M141,-(Setup!$C$13+Setup!$G$31),Setup!$C$39:$C$50))+(136*100+12)/10000000)))</f>
        <v/>
      </c>
      <c r="AD141" t="str">
        <f>IF(N141="","",IF(N141&lt;Setup!$C$5-Setup!$C$6,"",IF(IF(ISNUMBER(Roster!$D141),Setup!$C$32&lt;=Roster!$D141,FALSE),"",IF(OR(IF(Setup!$C$15&lt;=Setup!$C$16,AND(MONTH(N141)&gt;=Setup!$C$15,MONTH(N141)&lt;=Setup!$C$16),OR(MONTH(N141)&gt;=Setup!$C$15,MONTH(N141)&lt;=Setup!$C$16)),IF(Setup!$C$15&lt;=Setup!$C$16,AND(MONTH(WORKDAY(N141,-(Setup!$C$13+Setup!$G$32),Setup!$C$39:$C$50))&gt;=Setup!$C$15,MONTH(WORKDAY(N141,-(Setup!$C$13+Setup!$G$32),Setup!$C$39:$C$50))&lt;=Setup!$C$16),OR(MONTH(WORKDAY(N141,-(Setup!$C$13+Setup!$G$32),Setup!$C$39:$C$50))&gt;=Setup!$C$15,MONTH(WORKDAY(N141,-(Setup!$C$13+Setup!$G$32),Setup!$C$39:$C$50))&lt;=Setup!$C$16))),WORKDAY(N141,-(Setup!$C$13+Setup!$G$32+Setup!$C$14),Setup!$C$39:$C$50),WORKDAY(N141,-(Setup!$C$13+Setup!$G$32),Setup!$C$39:$C$50))+(136*100+13)/10000000)))</f>
        <v/>
      </c>
      <c r="AE141" t="str">
        <f>IF(O141="","",IF(O141&lt;Setup!$C$5-Setup!$C$6,"",IF(IF(ISNUMBER(Roster!$D141),Setup!$C$33&lt;=Roster!$D141,FALSE),"",IF(OR(IF(Setup!$C$15&lt;=Setup!$C$16,AND(MONTH(O141)&gt;=Setup!$C$15,MONTH(O141)&lt;=Setup!$C$16),OR(MONTH(O141)&gt;=Setup!$C$15,MONTH(O141)&lt;=Setup!$C$16)),IF(Setup!$C$15&lt;=Setup!$C$16,AND(MONTH(WORKDAY(O141,-(Setup!$C$13+Setup!$G$33),Setup!$C$39:$C$50))&gt;=Setup!$C$15,MONTH(WORKDAY(O141,-(Setup!$C$13+Setup!$G$33),Setup!$C$39:$C$50))&lt;=Setup!$C$16),OR(MONTH(WORKDAY(O141,-(Setup!$C$13+Setup!$G$33),Setup!$C$39:$C$50))&gt;=Setup!$C$15,MONTH(WORKDAY(O141,-(Setup!$C$13+Setup!$G$33),Setup!$C$39:$C$50))&lt;=Setup!$C$16))),WORKDAY(O141,-(Setup!$C$13+Setup!$G$33+Setup!$C$14),Setup!$C$39:$C$50),WORKDAY(O141,-(Setup!$C$13+Setup!$G$33),Setup!$C$39:$C$50))+(136*100+14)/10000000)))</f>
        <v/>
      </c>
      <c r="AF141" t="str">
        <f>IF(P141="","",IF(P141&lt;Setup!$C$5-Setup!$C$6,"",IF(IF(ISNUMBER(Roster!$D141),Setup!$C$34&lt;=Roster!$D141,FALSE),"",IF(OR(IF(Setup!$C$15&lt;=Setup!$C$16,AND(MONTH(P141)&gt;=Setup!$C$15,MONTH(P141)&lt;=Setup!$C$16),OR(MONTH(P141)&gt;=Setup!$C$15,MONTH(P141)&lt;=Setup!$C$16)),IF(Setup!$C$15&lt;=Setup!$C$16,AND(MONTH(WORKDAY(P141,-(Setup!$C$13+Setup!$G$34),Setup!$C$39:$C$50))&gt;=Setup!$C$15,MONTH(WORKDAY(P141,-(Setup!$C$13+Setup!$G$34),Setup!$C$39:$C$50))&lt;=Setup!$C$16),OR(MONTH(WORKDAY(P141,-(Setup!$C$13+Setup!$G$34),Setup!$C$39:$C$50))&gt;=Setup!$C$15,MONTH(WORKDAY(P141,-(Setup!$C$13+Setup!$G$34),Setup!$C$39:$C$50))&lt;=Setup!$C$16))),WORKDAY(P141,-(Setup!$C$13+Setup!$G$34+Setup!$C$14),Setup!$C$39:$C$50),WORKDAY(P141,-(Setup!$C$13+Setup!$G$34),Setup!$C$39:$C$50))+(136*100+15)/10000000)))</f>
        <v/>
      </c>
      <c r="AH141" t="str">
        <f t="shared" si="17"/>
        <v/>
      </c>
      <c r="AI141" t="str">
        <f t="shared" si="18"/>
        <v/>
      </c>
      <c r="AK141" t="str">
        <f ca="1">IF(136&gt;$AK$2,"",SMALL($R$6:$AF$505,136))</f>
        <v/>
      </c>
      <c r="AL141" t="str">
        <f t="shared" ca="1" si="19"/>
        <v/>
      </c>
      <c r="AM141" t="str">
        <f t="shared" ca="1" si="20"/>
        <v/>
      </c>
      <c r="AN141" t="str">
        <f t="shared" ca="1" si="21"/>
        <v/>
      </c>
      <c r="AP141" t="str">
        <f>IF(ISNUMBER(Roster!$B141),MAX(1,YEAR(Setup!$C$5)-YEAR(Roster!$B141)+IF(EDATE(Roster!$B141,12*(YEAR(Setup!$C$5)-YEAR(Roster!$B141)))&lt;Setup!$C$5,1,0)),"")</f>
        <v/>
      </c>
      <c r="AQ141" s="32" t="str">
        <f>IF(AP141="","",EDATE(Roster!$B141,12*AP141))</f>
        <v/>
      </c>
      <c r="AR141" t="str">
        <f>IF(AQ141="","",IF(AQ141&lt;DATE(YEAR(Setup!$C$5)+1,MONTH(Setup!$C$5),DAY(Setup!$C$5)),AQ141+136/1000,""))</f>
        <v/>
      </c>
      <c r="AS141" t="str">
        <f t="shared" si="22"/>
        <v/>
      </c>
      <c r="AT141" t="str">
        <f>IF(AS141="","",IF(ISNUMBER(Roster!$D141),Roster!$D141&gt;=AP141,FALSE))</f>
        <v/>
      </c>
      <c r="AU141" t="str">
        <f t="shared" si="23"/>
        <v/>
      </c>
      <c r="AV141" t="str">
        <f ca="1">IF(136&gt;$AV$2,"",SMALL($AR$6:$AR$505,136))</f>
        <v/>
      </c>
      <c r="AW141" t="str">
        <f t="shared" ca="1" si="24"/>
        <v/>
      </c>
    </row>
    <row r="142" spans="2:49" x14ac:dyDescent="0.2">
      <c r="B142" s="32" t="str">
        <f>IF(AND(ISNUMBER(Roster!$B142),Setup!$B$20="Yes",ISNUMBER(Setup!$C$20)),EDATE(Roster!$B142,12*Setup!$C$20),"")</f>
        <v/>
      </c>
      <c r="C142" s="32" t="str">
        <f>IF(AND(ISNUMBER(Roster!$B142),Setup!$B$21="Yes",ISNUMBER(Setup!$C$21)),EDATE(Roster!$B142,12*Setup!$C$21),"")</f>
        <v/>
      </c>
      <c r="D142" s="32" t="str">
        <f>IF(AND(ISNUMBER(Roster!$B142),Setup!$B$22="Yes",ISNUMBER(Setup!$C$22)),EDATE(Roster!$B142,12*Setup!$C$22),"")</f>
        <v/>
      </c>
      <c r="E142" s="32" t="str">
        <f>IF(AND(ISNUMBER(Roster!$B142),Setup!$B$23="Yes",ISNUMBER(Setup!$C$23)),EDATE(Roster!$B142,12*Setup!$C$23),"")</f>
        <v/>
      </c>
      <c r="F142" s="32" t="str">
        <f>IF(AND(ISNUMBER(Roster!$B142),Setup!$B$24="Yes",ISNUMBER(Setup!$C$24)),EDATE(Roster!$B142,12*Setup!$C$24),"")</f>
        <v/>
      </c>
      <c r="G142" s="32" t="str">
        <f>IF(AND(ISNUMBER(Roster!$B142),Setup!$B$25="Yes",ISNUMBER(Setup!$C$25)),EDATE(Roster!$B142,12*Setup!$C$25),"")</f>
        <v/>
      </c>
      <c r="H142" s="32" t="str">
        <f>IF(AND(ISNUMBER(Roster!$B142),Setup!$B$26="Yes",ISNUMBER(Setup!$C$26)),EDATE(Roster!$B142,12*Setup!$C$26),"")</f>
        <v/>
      </c>
      <c r="I142" s="32" t="str">
        <f>IF(AND(ISNUMBER(Roster!$B142),Setup!$B$27="Yes",ISNUMBER(Setup!$C$27)),EDATE(Roster!$B142,12*Setup!$C$27),"")</f>
        <v/>
      </c>
      <c r="J142" s="32" t="str">
        <f>IF(AND(ISNUMBER(Roster!$B142),Setup!$B$28="Yes",ISNUMBER(Setup!$C$28)),EDATE(Roster!$B142,12*Setup!$C$28),"")</f>
        <v/>
      </c>
      <c r="K142" s="32" t="str">
        <f>IF(AND(ISNUMBER(Roster!$B142),Setup!$B$29="Yes",ISNUMBER(Setup!$C$29)),EDATE(Roster!$B142,12*Setup!$C$29),"")</f>
        <v/>
      </c>
      <c r="L142" s="32" t="str">
        <f>IF(AND(ISNUMBER(Roster!$B142),Setup!$B$30="Yes",ISNUMBER(Setup!$C$30)),EDATE(Roster!$B142,12*Setup!$C$30),"")</f>
        <v/>
      </c>
      <c r="M142" s="32" t="str">
        <f>IF(AND(ISNUMBER(Roster!$B142),Setup!$B$31="Yes",ISNUMBER(Setup!$C$31)),EDATE(Roster!$B142,12*Setup!$C$31),"")</f>
        <v/>
      </c>
      <c r="N142" s="32" t="str">
        <f>IF(AND(ISNUMBER(Roster!$B142),Setup!$B$32="Yes",ISNUMBER(Setup!$C$32)),EDATE(Roster!$B142,12*Setup!$C$32),"")</f>
        <v/>
      </c>
      <c r="O142" s="32" t="str">
        <f>IF(AND(ISNUMBER(Roster!$B142),Setup!$B$33="Yes",ISNUMBER(Setup!$C$33)),EDATE(Roster!$B142,12*Setup!$C$33),"")</f>
        <v/>
      </c>
      <c r="P142" s="32" t="str">
        <f>IF(AND(ISNUMBER(Roster!$B142),Setup!$B$34="Yes",ISNUMBER(Setup!$C$34)),EDATE(Roster!$B142,12*Setup!$C$34),"")</f>
        <v/>
      </c>
      <c r="R142" t="str">
        <f>IF(B142="","",IF(B142&lt;Setup!$C$5-Setup!$C$6,"",IF(IF(ISNUMBER(Roster!$D142),Setup!$C$20&lt;=Roster!$D142,FALSE),"",IF(OR(IF(Setup!$C$15&lt;=Setup!$C$16,AND(MONTH(B142)&gt;=Setup!$C$15,MONTH(B142)&lt;=Setup!$C$16),OR(MONTH(B142)&gt;=Setup!$C$15,MONTH(B142)&lt;=Setup!$C$16)),IF(Setup!$C$15&lt;=Setup!$C$16,AND(MONTH(WORKDAY(B142,-(Setup!$C$13+Setup!$G$20),Setup!$C$39:$C$50))&gt;=Setup!$C$15,MONTH(WORKDAY(B142,-(Setup!$C$13+Setup!$G$20),Setup!$C$39:$C$50))&lt;=Setup!$C$16),OR(MONTH(WORKDAY(B142,-(Setup!$C$13+Setup!$G$20),Setup!$C$39:$C$50))&gt;=Setup!$C$15,MONTH(WORKDAY(B142,-(Setup!$C$13+Setup!$G$20),Setup!$C$39:$C$50))&lt;=Setup!$C$16))),WORKDAY(B142,-(Setup!$C$13+Setup!$G$20+Setup!$C$14),Setup!$C$39:$C$50),WORKDAY(B142,-(Setup!$C$13+Setup!$G$20),Setup!$C$39:$C$50))+(137*100+1)/10000000)))</f>
        <v/>
      </c>
      <c r="S142" t="str">
        <f>IF(C142="","",IF(C142&lt;Setup!$C$5-Setup!$C$6,"",IF(IF(ISNUMBER(Roster!$D142),Setup!$C$21&lt;=Roster!$D142,FALSE),"",IF(OR(IF(Setup!$C$15&lt;=Setup!$C$16,AND(MONTH(C142)&gt;=Setup!$C$15,MONTH(C142)&lt;=Setup!$C$16),OR(MONTH(C142)&gt;=Setup!$C$15,MONTH(C142)&lt;=Setup!$C$16)),IF(Setup!$C$15&lt;=Setup!$C$16,AND(MONTH(WORKDAY(C142,-(Setup!$C$13+Setup!$G$21),Setup!$C$39:$C$50))&gt;=Setup!$C$15,MONTH(WORKDAY(C142,-(Setup!$C$13+Setup!$G$21),Setup!$C$39:$C$50))&lt;=Setup!$C$16),OR(MONTH(WORKDAY(C142,-(Setup!$C$13+Setup!$G$21),Setup!$C$39:$C$50))&gt;=Setup!$C$15,MONTH(WORKDAY(C142,-(Setup!$C$13+Setup!$G$21),Setup!$C$39:$C$50))&lt;=Setup!$C$16))),WORKDAY(C142,-(Setup!$C$13+Setup!$G$21+Setup!$C$14),Setup!$C$39:$C$50),WORKDAY(C142,-(Setup!$C$13+Setup!$G$21),Setup!$C$39:$C$50))+(137*100+2)/10000000)))</f>
        <v/>
      </c>
      <c r="T142" t="str">
        <f>IF(D142="","",IF(D142&lt;Setup!$C$5-Setup!$C$6,"",IF(IF(ISNUMBER(Roster!$D142),Setup!$C$22&lt;=Roster!$D142,FALSE),"",IF(OR(IF(Setup!$C$15&lt;=Setup!$C$16,AND(MONTH(D142)&gt;=Setup!$C$15,MONTH(D142)&lt;=Setup!$C$16),OR(MONTH(D142)&gt;=Setup!$C$15,MONTH(D142)&lt;=Setup!$C$16)),IF(Setup!$C$15&lt;=Setup!$C$16,AND(MONTH(WORKDAY(D142,-(Setup!$C$13+Setup!$G$22),Setup!$C$39:$C$50))&gt;=Setup!$C$15,MONTH(WORKDAY(D142,-(Setup!$C$13+Setup!$G$22),Setup!$C$39:$C$50))&lt;=Setup!$C$16),OR(MONTH(WORKDAY(D142,-(Setup!$C$13+Setup!$G$22),Setup!$C$39:$C$50))&gt;=Setup!$C$15,MONTH(WORKDAY(D142,-(Setup!$C$13+Setup!$G$22),Setup!$C$39:$C$50))&lt;=Setup!$C$16))),WORKDAY(D142,-(Setup!$C$13+Setup!$G$22+Setup!$C$14),Setup!$C$39:$C$50),WORKDAY(D142,-(Setup!$C$13+Setup!$G$22),Setup!$C$39:$C$50))+(137*100+3)/10000000)))</f>
        <v/>
      </c>
      <c r="U142" t="str">
        <f>IF(E142="","",IF(E142&lt;Setup!$C$5-Setup!$C$6,"",IF(IF(ISNUMBER(Roster!$D142),Setup!$C$23&lt;=Roster!$D142,FALSE),"",IF(OR(IF(Setup!$C$15&lt;=Setup!$C$16,AND(MONTH(E142)&gt;=Setup!$C$15,MONTH(E142)&lt;=Setup!$C$16),OR(MONTH(E142)&gt;=Setup!$C$15,MONTH(E142)&lt;=Setup!$C$16)),IF(Setup!$C$15&lt;=Setup!$C$16,AND(MONTH(WORKDAY(E142,-(Setup!$C$13+Setup!$G$23),Setup!$C$39:$C$50))&gt;=Setup!$C$15,MONTH(WORKDAY(E142,-(Setup!$C$13+Setup!$G$23),Setup!$C$39:$C$50))&lt;=Setup!$C$16),OR(MONTH(WORKDAY(E142,-(Setup!$C$13+Setup!$G$23),Setup!$C$39:$C$50))&gt;=Setup!$C$15,MONTH(WORKDAY(E142,-(Setup!$C$13+Setup!$G$23),Setup!$C$39:$C$50))&lt;=Setup!$C$16))),WORKDAY(E142,-(Setup!$C$13+Setup!$G$23+Setup!$C$14),Setup!$C$39:$C$50),WORKDAY(E142,-(Setup!$C$13+Setup!$G$23),Setup!$C$39:$C$50))+(137*100+4)/10000000)))</f>
        <v/>
      </c>
      <c r="V142" t="str">
        <f>IF(F142="","",IF(F142&lt;Setup!$C$5-Setup!$C$6,"",IF(IF(ISNUMBER(Roster!$D142),Setup!$C$24&lt;=Roster!$D142,FALSE),"",IF(OR(IF(Setup!$C$15&lt;=Setup!$C$16,AND(MONTH(F142)&gt;=Setup!$C$15,MONTH(F142)&lt;=Setup!$C$16),OR(MONTH(F142)&gt;=Setup!$C$15,MONTH(F142)&lt;=Setup!$C$16)),IF(Setup!$C$15&lt;=Setup!$C$16,AND(MONTH(WORKDAY(F142,-(Setup!$C$13+Setup!$G$24),Setup!$C$39:$C$50))&gt;=Setup!$C$15,MONTH(WORKDAY(F142,-(Setup!$C$13+Setup!$G$24),Setup!$C$39:$C$50))&lt;=Setup!$C$16),OR(MONTH(WORKDAY(F142,-(Setup!$C$13+Setup!$G$24),Setup!$C$39:$C$50))&gt;=Setup!$C$15,MONTH(WORKDAY(F142,-(Setup!$C$13+Setup!$G$24),Setup!$C$39:$C$50))&lt;=Setup!$C$16))),WORKDAY(F142,-(Setup!$C$13+Setup!$G$24+Setup!$C$14),Setup!$C$39:$C$50),WORKDAY(F142,-(Setup!$C$13+Setup!$G$24),Setup!$C$39:$C$50))+(137*100+5)/10000000)))</f>
        <v/>
      </c>
      <c r="W142" t="str">
        <f>IF(G142="","",IF(G142&lt;Setup!$C$5-Setup!$C$6,"",IF(IF(ISNUMBER(Roster!$D142),Setup!$C$25&lt;=Roster!$D142,FALSE),"",IF(OR(IF(Setup!$C$15&lt;=Setup!$C$16,AND(MONTH(G142)&gt;=Setup!$C$15,MONTH(G142)&lt;=Setup!$C$16),OR(MONTH(G142)&gt;=Setup!$C$15,MONTH(G142)&lt;=Setup!$C$16)),IF(Setup!$C$15&lt;=Setup!$C$16,AND(MONTH(WORKDAY(G142,-(Setup!$C$13+Setup!$G$25),Setup!$C$39:$C$50))&gt;=Setup!$C$15,MONTH(WORKDAY(G142,-(Setup!$C$13+Setup!$G$25),Setup!$C$39:$C$50))&lt;=Setup!$C$16),OR(MONTH(WORKDAY(G142,-(Setup!$C$13+Setup!$G$25),Setup!$C$39:$C$50))&gt;=Setup!$C$15,MONTH(WORKDAY(G142,-(Setup!$C$13+Setup!$G$25),Setup!$C$39:$C$50))&lt;=Setup!$C$16))),WORKDAY(G142,-(Setup!$C$13+Setup!$G$25+Setup!$C$14),Setup!$C$39:$C$50),WORKDAY(G142,-(Setup!$C$13+Setup!$G$25),Setup!$C$39:$C$50))+(137*100+6)/10000000)))</f>
        <v/>
      </c>
      <c r="X142" t="str">
        <f>IF(H142="","",IF(H142&lt;Setup!$C$5-Setup!$C$6,"",IF(IF(ISNUMBER(Roster!$D142),Setup!$C$26&lt;=Roster!$D142,FALSE),"",IF(OR(IF(Setup!$C$15&lt;=Setup!$C$16,AND(MONTH(H142)&gt;=Setup!$C$15,MONTH(H142)&lt;=Setup!$C$16),OR(MONTH(H142)&gt;=Setup!$C$15,MONTH(H142)&lt;=Setup!$C$16)),IF(Setup!$C$15&lt;=Setup!$C$16,AND(MONTH(WORKDAY(H142,-(Setup!$C$13+Setup!$G$26),Setup!$C$39:$C$50))&gt;=Setup!$C$15,MONTH(WORKDAY(H142,-(Setup!$C$13+Setup!$G$26),Setup!$C$39:$C$50))&lt;=Setup!$C$16),OR(MONTH(WORKDAY(H142,-(Setup!$C$13+Setup!$G$26),Setup!$C$39:$C$50))&gt;=Setup!$C$15,MONTH(WORKDAY(H142,-(Setup!$C$13+Setup!$G$26),Setup!$C$39:$C$50))&lt;=Setup!$C$16))),WORKDAY(H142,-(Setup!$C$13+Setup!$G$26+Setup!$C$14),Setup!$C$39:$C$50),WORKDAY(H142,-(Setup!$C$13+Setup!$G$26),Setup!$C$39:$C$50))+(137*100+7)/10000000)))</f>
        <v/>
      </c>
      <c r="Y142" t="str">
        <f>IF(I142="","",IF(I142&lt;Setup!$C$5-Setup!$C$6,"",IF(IF(ISNUMBER(Roster!$D142),Setup!$C$27&lt;=Roster!$D142,FALSE),"",IF(OR(IF(Setup!$C$15&lt;=Setup!$C$16,AND(MONTH(I142)&gt;=Setup!$C$15,MONTH(I142)&lt;=Setup!$C$16),OR(MONTH(I142)&gt;=Setup!$C$15,MONTH(I142)&lt;=Setup!$C$16)),IF(Setup!$C$15&lt;=Setup!$C$16,AND(MONTH(WORKDAY(I142,-(Setup!$C$13+Setup!$G$27),Setup!$C$39:$C$50))&gt;=Setup!$C$15,MONTH(WORKDAY(I142,-(Setup!$C$13+Setup!$G$27),Setup!$C$39:$C$50))&lt;=Setup!$C$16),OR(MONTH(WORKDAY(I142,-(Setup!$C$13+Setup!$G$27),Setup!$C$39:$C$50))&gt;=Setup!$C$15,MONTH(WORKDAY(I142,-(Setup!$C$13+Setup!$G$27),Setup!$C$39:$C$50))&lt;=Setup!$C$16))),WORKDAY(I142,-(Setup!$C$13+Setup!$G$27+Setup!$C$14),Setup!$C$39:$C$50),WORKDAY(I142,-(Setup!$C$13+Setup!$G$27),Setup!$C$39:$C$50))+(137*100+8)/10000000)))</f>
        <v/>
      </c>
      <c r="Z142" t="str">
        <f>IF(J142="","",IF(J142&lt;Setup!$C$5-Setup!$C$6,"",IF(IF(ISNUMBER(Roster!$D142),Setup!$C$28&lt;=Roster!$D142,FALSE),"",IF(OR(IF(Setup!$C$15&lt;=Setup!$C$16,AND(MONTH(J142)&gt;=Setup!$C$15,MONTH(J142)&lt;=Setup!$C$16),OR(MONTH(J142)&gt;=Setup!$C$15,MONTH(J142)&lt;=Setup!$C$16)),IF(Setup!$C$15&lt;=Setup!$C$16,AND(MONTH(WORKDAY(J142,-(Setup!$C$13+Setup!$G$28),Setup!$C$39:$C$50))&gt;=Setup!$C$15,MONTH(WORKDAY(J142,-(Setup!$C$13+Setup!$G$28),Setup!$C$39:$C$50))&lt;=Setup!$C$16),OR(MONTH(WORKDAY(J142,-(Setup!$C$13+Setup!$G$28),Setup!$C$39:$C$50))&gt;=Setup!$C$15,MONTH(WORKDAY(J142,-(Setup!$C$13+Setup!$G$28),Setup!$C$39:$C$50))&lt;=Setup!$C$16))),WORKDAY(J142,-(Setup!$C$13+Setup!$G$28+Setup!$C$14),Setup!$C$39:$C$50),WORKDAY(J142,-(Setup!$C$13+Setup!$G$28),Setup!$C$39:$C$50))+(137*100+9)/10000000)))</f>
        <v/>
      </c>
      <c r="AA142" t="str">
        <f>IF(K142="","",IF(K142&lt;Setup!$C$5-Setup!$C$6,"",IF(IF(ISNUMBER(Roster!$D142),Setup!$C$29&lt;=Roster!$D142,FALSE),"",IF(OR(IF(Setup!$C$15&lt;=Setup!$C$16,AND(MONTH(K142)&gt;=Setup!$C$15,MONTH(K142)&lt;=Setup!$C$16),OR(MONTH(K142)&gt;=Setup!$C$15,MONTH(K142)&lt;=Setup!$C$16)),IF(Setup!$C$15&lt;=Setup!$C$16,AND(MONTH(WORKDAY(K142,-(Setup!$C$13+Setup!$G$29),Setup!$C$39:$C$50))&gt;=Setup!$C$15,MONTH(WORKDAY(K142,-(Setup!$C$13+Setup!$G$29),Setup!$C$39:$C$50))&lt;=Setup!$C$16),OR(MONTH(WORKDAY(K142,-(Setup!$C$13+Setup!$G$29),Setup!$C$39:$C$50))&gt;=Setup!$C$15,MONTH(WORKDAY(K142,-(Setup!$C$13+Setup!$G$29),Setup!$C$39:$C$50))&lt;=Setup!$C$16))),WORKDAY(K142,-(Setup!$C$13+Setup!$G$29+Setup!$C$14),Setup!$C$39:$C$50),WORKDAY(K142,-(Setup!$C$13+Setup!$G$29),Setup!$C$39:$C$50))+(137*100+10)/10000000)))</f>
        <v/>
      </c>
      <c r="AB142" t="str">
        <f>IF(L142="","",IF(L142&lt;Setup!$C$5-Setup!$C$6,"",IF(IF(ISNUMBER(Roster!$D142),Setup!$C$30&lt;=Roster!$D142,FALSE),"",IF(OR(IF(Setup!$C$15&lt;=Setup!$C$16,AND(MONTH(L142)&gt;=Setup!$C$15,MONTH(L142)&lt;=Setup!$C$16),OR(MONTH(L142)&gt;=Setup!$C$15,MONTH(L142)&lt;=Setup!$C$16)),IF(Setup!$C$15&lt;=Setup!$C$16,AND(MONTH(WORKDAY(L142,-(Setup!$C$13+Setup!$G$30),Setup!$C$39:$C$50))&gt;=Setup!$C$15,MONTH(WORKDAY(L142,-(Setup!$C$13+Setup!$G$30),Setup!$C$39:$C$50))&lt;=Setup!$C$16),OR(MONTH(WORKDAY(L142,-(Setup!$C$13+Setup!$G$30),Setup!$C$39:$C$50))&gt;=Setup!$C$15,MONTH(WORKDAY(L142,-(Setup!$C$13+Setup!$G$30),Setup!$C$39:$C$50))&lt;=Setup!$C$16))),WORKDAY(L142,-(Setup!$C$13+Setup!$G$30+Setup!$C$14),Setup!$C$39:$C$50),WORKDAY(L142,-(Setup!$C$13+Setup!$G$30),Setup!$C$39:$C$50))+(137*100+11)/10000000)))</f>
        <v/>
      </c>
      <c r="AC142" t="str">
        <f>IF(M142="","",IF(M142&lt;Setup!$C$5-Setup!$C$6,"",IF(IF(ISNUMBER(Roster!$D142),Setup!$C$31&lt;=Roster!$D142,FALSE),"",IF(OR(IF(Setup!$C$15&lt;=Setup!$C$16,AND(MONTH(M142)&gt;=Setup!$C$15,MONTH(M142)&lt;=Setup!$C$16),OR(MONTH(M142)&gt;=Setup!$C$15,MONTH(M142)&lt;=Setup!$C$16)),IF(Setup!$C$15&lt;=Setup!$C$16,AND(MONTH(WORKDAY(M142,-(Setup!$C$13+Setup!$G$31),Setup!$C$39:$C$50))&gt;=Setup!$C$15,MONTH(WORKDAY(M142,-(Setup!$C$13+Setup!$G$31),Setup!$C$39:$C$50))&lt;=Setup!$C$16),OR(MONTH(WORKDAY(M142,-(Setup!$C$13+Setup!$G$31),Setup!$C$39:$C$50))&gt;=Setup!$C$15,MONTH(WORKDAY(M142,-(Setup!$C$13+Setup!$G$31),Setup!$C$39:$C$50))&lt;=Setup!$C$16))),WORKDAY(M142,-(Setup!$C$13+Setup!$G$31+Setup!$C$14),Setup!$C$39:$C$50),WORKDAY(M142,-(Setup!$C$13+Setup!$G$31),Setup!$C$39:$C$50))+(137*100+12)/10000000)))</f>
        <v/>
      </c>
      <c r="AD142" t="str">
        <f>IF(N142="","",IF(N142&lt;Setup!$C$5-Setup!$C$6,"",IF(IF(ISNUMBER(Roster!$D142),Setup!$C$32&lt;=Roster!$D142,FALSE),"",IF(OR(IF(Setup!$C$15&lt;=Setup!$C$16,AND(MONTH(N142)&gt;=Setup!$C$15,MONTH(N142)&lt;=Setup!$C$16),OR(MONTH(N142)&gt;=Setup!$C$15,MONTH(N142)&lt;=Setup!$C$16)),IF(Setup!$C$15&lt;=Setup!$C$16,AND(MONTH(WORKDAY(N142,-(Setup!$C$13+Setup!$G$32),Setup!$C$39:$C$50))&gt;=Setup!$C$15,MONTH(WORKDAY(N142,-(Setup!$C$13+Setup!$G$32),Setup!$C$39:$C$50))&lt;=Setup!$C$16),OR(MONTH(WORKDAY(N142,-(Setup!$C$13+Setup!$G$32),Setup!$C$39:$C$50))&gt;=Setup!$C$15,MONTH(WORKDAY(N142,-(Setup!$C$13+Setup!$G$32),Setup!$C$39:$C$50))&lt;=Setup!$C$16))),WORKDAY(N142,-(Setup!$C$13+Setup!$G$32+Setup!$C$14),Setup!$C$39:$C$50),WORKDAY(N142,-(Setup!$C$13+Setup!$G$32),Setup!$C$39:$C$50))+(137*100+13)/10000000)))</f>
        <v/>
      </c>
      <c r="AE142" t="str">
        <f>IF(O142="","",IF(O142&lt;Setup!$C$5-Setup!$C$6,"",IF(IF(ISNUMBER(Roster!$D142),Setup!$C$33&lt;=Roster!$D142,FALSE),"",IF(OR(IF(Setup!$C$15&lt;=Setup!$C$16,AND(MONTH(O142)&gt;=Setup!$C$15,MONTH(O142)&lt;=Setup!$C$16),OR(MONTH(O142)&gt;=Setup!$C$15,MONTH(O142)&lt;=Setup!$C$16)),IF(Setup!$C$15&lt;=Setup!$C$16,AND(MONTH(WORKDAY(O142,-(Setup!$C$13+Setup!$G$33),Setup!$C$39:$C$50))&gt;=Setup!$C$15,MONTH(WORKDAY(O142,-(Setup!$C$13+Setup!$G$33),Setup!$C$39:$C$50))&lt;=Setup!$C$16),OR(MONTH(WORKDAY(O142,-(Setup!$C$13+Setup!$G$33),Setup!$C$39:$C$50))&gt;=Setup!$C$15,MONTH(WORKDAY(O142,-(Setup!$C$13+Setup!$G$33),Setup!$C$39:$C$50))&lt;=Setup!$C$16))),WORKDAY(O142,-(Setup!$C$13+Setup!$G$33+Setup!$C$14),Setup!$C$39:$C$50),WORKDAY(O142,-(Setup!$C$13+Setup!$G$33),Setup!$C$39:$C$50))+(137*100+14)/10000000)))</f>
        <v/>
      </c>
      <c r="AF142" t="str">
        <f>IF(P142="","",IF(P142&lt;Setup!$C$5-Setup!$C$6,"",IF(IF(ISNUMBER(Roster!$D142),Setup!$C$34&lt;=Roster!$D142,FALSE),"",IF(OR(IF(Setup!$C$15&lt;=Setup!$C$16,AND(MONTH(P142)&gt;=Setup!$C$15,MONTH(P142)&lt;=Setup!$C$16),OR(MONTH(P142)&gt;=Setup!$C$15,MONTH(P142)&lt;=Setup!$C$16)),IF(Setup!$C$15&lt;=Setup!$C$16,AND(MONTH(WORKDAY(P142,-(Setup!$C$13+Setup!$G$34),Setup!$C$39:$C$50))&gt;=Setup!$C$15,MONTH(WORKDAY(P142,-(Setup!$C$13+Setup!$G$34),Setup!$C$39:$C$50))&lt;=Setup!$C$16),OR(MONTH(WORKDAY(P142,-(Setup!$C$13+Setup!$G$34),Setup!$C$39:$C$50))&gt;=Setup!$C$15,MONTH(WORKDAY(P142,-(Setup!$C$13+Setup!$G$34),Setup!$C$39:$C$50))&lt;=Setup!$C$16))),WORKDAY(P142,-(Setup!$C$13+Setup!$G$34+Setup!$C$14),Setup!$C$39:$C$50),WORKDAY(P142,-(Setup!$C$13+Setup!$G$34),Setup!$C$39:$C$50))+(137*100+15)/10000000)))</f>
        <v/>
      </c>
      <c r="AH142" t="str">
        <f t="shared" si="17"/>
        <v/>
      </c>
      <c r="AI142" t="str">
        <f t="shared" si="18"/>
        <v/>
      </c>
      <c r="AK142" t="str">
        <f ca="1">IF(137&gt;$AK$2,"",SMALL($R$6:$AF$505,137))</f>
        <v/>
      </c>
      <c r="AL142" t="str">
        <f t="shared" ca="1" si="19"/>
        <v/>
      </c>
      <c r="AM142" t="str">
        <f t="shared" ca="1" si="20"/>
        <v/>
      </c>
      <c r="AN142" t="str">
        <f t="shared" ca="1" si="21"/>
        <v/>
      </c>
      <c r="AP142" t="str">
        <f>IF(ISNUMBER(Roster!$B142),MAX(1,YEAR(Setup!$C$5)-YEAR(Roster!$B142)+IF(EDATE(Roster!$B142,12*(YEAR(Setup!$C$5)-YEAR(Roster!$B142)))&lt;Setup!$C$5,1,0)),"")</f>
        <v/>
      </c>
      <c r="AQ142" s="32" t="str">
        <f>IF(AP142="","",EDATE(Roster!$B142,12*AP142))</f>
        <v/>
      </c>
      <c r="AR142" t="str">
        <f>IF(AQ142="","",IF(AQ142&lt;DATE(YEAR(Setup!$C$5)+1,MONTH(Setup!$C$5),DAY(Setup!$C$5)),AQ142+137/1000,""))</f>
        <v/>
      </c>
      <c r="AS142" t="str">
        <f t="shared" si="22"/>
        <v/>
      </c>
      <c r="AT142" t="str">
        <f>IF(AS142="","",IF(ISNUMBER(Roster!$D142),Roster!$D142&gt;=AP142,FALSE))</f>
        <v/>
      </c>
      <c r="AU142" t="str">
        <f t="shared" si="23"/>
        <v/>
      </c>
      <c r="AV142" t="str">
        <f ca="1">IF(137&gt;$AV$2,"",SMALL($AR$6:$AR$505,137))</f>
        <v/>
      </c>
      <c r="AW142" t="str">
        <f t="shared" ca="1" si="24"/>
        <v/>
      </c>
    </row>
    <row r="143" spans="2:49" x14ac:dyDescent="0.2">
      <c r="B143" s="32" t="str">
        <f>IF(AND(ISNUMBER(Roster!$B143),Setup!$B$20="Yes",ISNUMBER(Setup!$C$20)),EDATE(Roster!$B143,12*Setup!$C$20),"")</f>
        <v/>
      </c>
      <c r="C143" s="32" t="str">
        <f>IF(AND(ISNUMBER(Roster!$B143),Setup!$B$21="Yes",ISNUMBER(Setup!$C$21)),EDATE(Roster!$B143,12*Setup!$C$21),"")</f>
        <v/>
      </c>
      <c r="D143" s="32" t="str">
        <f>IF(AND(ISNUMBER(Roster!$B143),Setup!$B$22="Yes",ISNUMBER(Setup!$C$22)),EDATE(Roster!$B143,12*Setup!$C$22),"")</f>
        <v/>
      </c>
      <c r="E143" s="32" t="str">
        <f>IF(AND(ISNUMBER(Roster!$B143),Setup!$B$23="Yes",ISNUMBER(Setup!$C$23)),EDATE(Roster!$B143,12*Setup!$C$23),"")</f>
        <v/>
      </c>
      <c r="F143" s="32" t="str">
        <f>IF(AND(ISNUMBER(Roster!$B143),Setup!$B$24="Yes",ISNUMBER(Setup!$C$24)),EDATE(Roster!$B143,12*Setup!$C$24),"")</f>
        <v/>
      </c>
      <c r="G143" s="32" t="str">
        <f>IF(AND(ISNUMBER(Roster!$B143),Setup!$B$25="Yes",ISNUMBER(Setup!$C$25)),EDATE(Roster!$B143,12*Setup!$C$25),"")</f>
        <v/>
      </c>
      <c r="H143" s="32" t="str">
        <f>IF(AND(ISNUMBER(Roster!$B143),Setup!$B$26="Yes",ISNUMBER(Setup!$C$26)),EDATE(Roster!$B143,12*Setup!$C$26),"")</f>
        <v/>
      </c>
      <c r="I143" s="32" t="str">
        <f>IF(AND(ISNUMBER(Roster!$B143),Setup!$B$27="Yes",ISNUMBER(Setup!$C$27)),EDATE(Roster!$B143,12*Setup!$C$27),"")</f>
        <v/>
      </c>
      <c r="J143" s="32" t="str">
        <f>IF(AND(ISNUMBER(Roster!$B143),Setup!$B$28="Yes",ISNUMBER(Setup!$C$28)),EDATE(Roster!$B143,12*Setup!$C$28),"")</f>
        <v/>
      </c>
      <c r="K143" s="32" t="str">
        <f>IF(AND(ISNUMBER(Roster!$B143),Setup!$B$29="Yes",ISNUMBER(Setup!$C$29)),EDATE(Roster!$B143,12*Setup!$C$29),"")</f>
        <v/>
      </c>
      <c r="L143" s="32" t="str">
        <f>IF(AND(ISNUMBER(Roster!$B143),Setup!$B$30="Yes",ISNUMBER(Setup!$C$30)),EDATE(Roster!$B143,12*Setup!$C$30),"")</f>
        <v/>
      </c>
      <c r="M143" s="32" t="str">
        <f>IF(AND(ISNUMBER(Roster!$B143),Setup!$B$31="Yes",ISNUMBER(Setup!$C$31)),EDATE(Roster!$B143,12*Setup!$C$31),"")</f>
        <v/>
      </c>
      <c r="N143" s="32" t="str">
        <f>IF(AND(ISNUMBER(Roster!$B143),Setup!$B$32="Yes",ISNUMBER(Setup!$C$32)),EDATE(Roster!$B143,12*Setup!$C$32),"")</f>
        <v/>
      </c>
      <c r="O143" s="32" t="str">
        <f>IF(AND(ISNUMBER(Roster!$B143),Setup!$B$33="Yes",ISNUMBER(Setup!$C$33)),EDATE(Roster!$B143,12*Setup!$C$33),"")</f>
        <v/>
      </c>
      <c r="P143" s="32" t="str">
        <f>IF(AND(ISNUMBER(Roster!$B143),Setup!$B$34="Yes",ISNUMBER(Setup!$C$34)),EDATE(Roster!$B143,12*Setup!$C$34),"")</f>
        <v/>
      </c>
      <c r="R143" t="str">
        <f>IF(B143="","",IF(B143&lt;Setup!$C$5-Setup!$C$6,"",IF(IF(ISNUMBER(Roster!$D143),Setup!$C$20&lt;=Roster!$D143,FALSE),"",IF(OR(IF(Setup!$C$15&lt;=Setup!$C$16,AND(MONTH(B143)&gt;=Setup!$C$15,MONTH(B143)&lt;=Setup!$C$16),OR(MONTH(B143)&gt;=Setup!$C$15,MONTH(B143)&lt;=Setup!$C$16)),IF(Setup!$C$15&lt;=Setup!$C$16,AND(MONTH(WORKDAY(B143,-(Setup!$C$13+Setup!$G$20),Setup!$C$39:$C$50))&gt;=Setup!$C$15,MONTH(WORKDAY(B143,-(Setup!$C$13+Setup!$G$20),Setup!$C$39:$C$50))&lt;=Setup!$C$16),OR(MONTH(WORKDAY(B143,-(Setup!$C$13+Setup!$G$20),Setup!$C$39:$C$50))&gt;=Setup!$C$15,MONTH(WORKDAY(B143,-(Setup!$C$13+Setup!$G$20),Setup!$C$39:$C$50))&lt;=Setup!$C$16))),WORKDAY(B143,-(Setup!$C$13+Setup!$G$20+Setup!$C$14),Setup!$C$39:$C$50),WORKDAY(B143,-(Setup!$C$13+Setup!$G$20),Setup!$C$39:$C$50))+(138*100+1)/10000000)))</f>
        <v/>
      </c>
      <c r="S143" t="str">
        <f>IF(C143="","",IF(C143&lt;Setup!$C$5-Setup!$C$6,"",IF(IF(ISNUMBER(Roster!$D143),Setup!$C$21&lt;=Roster!$D143,FALSE),"",IF(OR(IF(Setup!$C$15&lt;=Setup!$C$16,AND(MONTH(C143)&gt;=Setup!$C$15,MONTH(C143)&lt;=Setup!$C$16),OR(MONTH(C143)&gt;=Setup!$C$15,MONTH(C143)&lt;=Setup!$C$16)),IF(Setup!$C$15&lt;=Setup!$C$16,AND(MONTH(WORKDAY(C143,-(Setup!$C$13+Setup!$G$21),Setup!$C$39:$C$50))&gt;=Setup!$C$15,MONTH(WORKDAY(C143,-(Setup!$C$13+Setup!$G$21),Setup!$C$39:$C$50))&lt;=Setup!$C$16),OR(MONTH(WORKDAY(C143,-(Setup!$C$13+Setup!$G$21),Setup!$C$39:$C$50))&gt;=Setup!$C$15,MONTH(WORKDAY(C143,-(Setup!$C$13+Setup!$G$21),Setup!$C$39:$C$50))&lt;=Setup!$C$16))),WORKDAY(C143,-(Setup!$C$13+Setup!$G$21+Setup!$C$14),Setup!$C$39:$C$50),WORKDAY(C143,-(Setup!$C$13+Setup!$G$21),Setup!$C$39:$C$50))+(138*100+2)/10000000)))</f>
        <v/>
      </c>
      <c r="T143" t="str">
        <f>IF(D143="","",IF(D143&lt;Setup!$C$5-Setup!$C$6,"",IF(IF(ISNUMBER(Roster!$D143),Setup!$C$22&lt;=Roster!$D143,FALSE),"",IF(OR(IF(Setup!$C$15&lt;=Setup!$C$16,AND(MONTH(D143)&gt;=Setup!$C$15,MONTH(D143)&lt;=Setup!$C$16),OR(MONTH(D143)&gt;=Setup!$C$15,MONTH(D143)&lt;=Setup!$C$16)),IF(Setup!$C$15&lt;=Setup!$C$16,AND(MONTH(WORKDAY(D143,-(Setup!$C$13+Setup!$G$22),Setup!$C$39:$C$50))&gt;=Setup!$C$15,MONTH(WORKDAY(D143,-(Setup!$C$13+Setup!$G$22),Setup!$C$39:$C$50))&lt;=Setup!$C$16),OR(MONTH(WORKDAY(D143,-(Setup!$C$13+Setup!$G$22),Setup!$C$39:$C$50))&gt;=Setup!$C$15,MONTH(WORKDAY(D143,-(Setup!$C$13+Setup!$G$22),Setup!$C$39:$C$50))&lt;=Setup!$C$16))),WORKDAY(D143,-(Setup!$C$13+Setup!$G$22+Setup!$C$14),Setup!$C$39:$C$50),WORKDAY(D143,-(Setup!$C$13+Setup!$G$22),Setup!$C$39:$C$50))+(138*100+3)/10000000)))</f>
        <v/>
      </c>
      <c r="U143" t="str">
        <f>IF(E143="","",IF(E143&lt;Setup!$C$5-Setup!$C$6,"",IF(IF(ISNUMBER(Roster!$D143),Setup!$C$23&lt;=Roster!$D143,FALSE),"",IF(OR(IF(Setup!$C$15&lt;=Setup!$C$16,AND(MONTH(E143)&gt;=Setup!$C$15,MONTH(E143)&lt;=Setup!$C$16),OR(MONTH(E143)&gt;=Setup!$C$15,MONTH(E143)&lt;=Setup!$C$16)),IF(Setup!$C$15&lt;=Setup!$C$16,AND(MONTH(WORKDAY(E143,-(Setup!$C$13+Setup!$G$23),Setup!$C$39:$C$50))&gt;=Setup!$C$15,MONTH(WORKDAY(E143,-(Setup!$C$13+Setup!$G$23),Setup!$C$39:$C$50))&lt;=Setup!$C$16),OR(MONTH(WORKDAY(E143,-(Setup!$C$13+Setup!$G$23),Setup!$C$39:$C$50))&gt;=Setup!$C$15,MONTH(WORKDAY(E143,-(Setup!$C$13+Setup!$G$23),Setup!$C$39:$C$50))&lt;=Setup!$C$16))),WORKDAY(E143,-(Setup!$C$13+Setup!$G$23+Setup!$C$14),Setup!$C$39:$C$50),WORKDAY(E143,-(Setup!$C$13+Setup!$G$23),Setup!$C$39:$C$50))+(138*100+4)/10000000)))</f>
        <v/>
      </c>
      <c r="V143" t="str">
        <f>IF(F143="","",IF(F143&lt;Setup!$C$5-Setup!$C$6,"",IF(IF(ISNUMBER(Roster!$D143),Setup!$C$24&lt;=Roster!$D143,FALSE),"",IF(OR(IF(Setup!$C$15&lt;=Setup!$C$16,AND(MONTH(F143)&gt;=Setup!$C$15,MONTH(F143)&lt;=Setup!$C$16),OR(MONTH(F143)&gt;=Setup!$C$15,MONTH(F143)&lt;=Setup!$C$16)),IF(Setup!$C$15&lt;=Setup!$C$16,AND(MONTH(WORKDAY(F143,-(Setup!$C$13+Setup!$G$24),Setup!$C$39:$C$50))&gt;=Setup!$C$15,MONTH(WORKDAY(F143,-(Setup!$C$13+Setup!$G$24),Setup!$C$39:$C$50))&lt;=Setup!$C$16),OR(MONTH(WORKDAY(F143,-(Setup!$C$13+Setup!$G$24),Setup!$C$39:$C$50))&gt;=Setup!$C$15,MONTH(WORKDAY(F143,-(Setup!$C$13+Setup!$G$24),Setup!$C$39:$C$50))&lt;=Setup!$C$16))),WORKDAY(F143,-(Setup!$C$13+Setup!$G$24+Setup!$C$14),Setup!$C$39:$C$50),WORKDAY(F143,-(Setup!$C$13+Setup!$G$24),Setup!$C$39:$C$50))+(138*100+5)/10000000)))</f>
        <v/>
      </c>
      <c r="W143" t="str">
        <f>IF(G143="","",IF(G143&lt;Setup!$C$5-Setup!$C$6,"",IF(IF(ISNUMBER(Roster!$D143),Setup!$C$25&lt;=Roster!$D143,FALSE),"",IF(OR(IF(Setup!$C$15&lt;=Setup!$C$16,AND(MONTH(G143)&gt;=Setup!$C$15,MONTH(G143)&lt;=Setup!$C$16),OR(MONTH(G143)&gt;=Setup!$C$15,MONTH(G143)&lt;=Setup!$C$16)),IF(Setup!$C$15&lt;=Setup!$C$16,AND(MONTH(WORKDAY(G143,-(Setup!$C$13+Setup!$G$25),Setup!$C$39:$C$50))&gt;=Setup!$C$15,MONTH(WORKDAY(G143,-(Setup!$C$13+Setup!$G$25),Setup!$C$39:$C$50))&lt;=Setup!$C$16),OR(MONTH(WORKDAY(G143,-(Setup!$C$13+Setup!$G$25),Setup!$C$39:$C$50))&gt;=Setup!$C$15,MONTH(WORKDAY(G143,-(Setup!$C$13+Setup!$G$25),Setup!$C$39:$C$50))&lt;=Setup!$C$16))),WORKDAY(G143,-(Setup!$C$13+Setup!$G$25+Setup!$C$14),Setup!$C$39:$C$50),WORKDAY(G143,-(Setup!$C$13+Setup!$G$25),Setup!$C$39:$C$50))+(138*100+6)/10000000)))</f>
        <v/>
      </c>
      <c r="X143" t="str">
        <f>IF(H143="","",IF(H143&lt;Setup!$C$5-Setup!$C$6,"",IF(IF(ISNUMBER(Roster!$D143),Setup!$C$26&lt;=Roster!$D143,FALSE),"",IF(OR(IF(Setup!$C$15&lt;=Setup!$C$16,AND(MONTH(H143)&gt;=Setup!$C$15,MONTH(H143)&lt;=Setup!$C$16),OR(MONTH(H143)&gt;=Setup!$C$15,MONTH(H143)&lt;=Setup!$C$16)),IF(Setup!$C$15&lt;=Setup!$C$16,AND(MONTH(WORKDAY(H143,-(Setup!$C$13+Setup!$G$26),Setup!$C$39:$C$50))&gt;=Setup!$C$15,MONTH(WORKDAY(H143,-(Setup!$C$13+Setup!$G$26),Setup!$C$39:$C$50))&lt;=Setup!$C$16),OR(MONTH(WORKDAY(H143,-(Setup!$C$13+Setup!$G$26),Setup!$C$39:$C$50))&gt;=Setup!$C$15,MONTH(WORKDAY(H143,-(Setup!$C$13+Setup!$G$26),Setup!$C$39:$C$50))&lt;=Setup!$C$16))),WORKDAY(H143,-(Setup!$C$13+Setup!$G$26+Setup!$C$14),Setup!$C$39:$C$50),WORKDAY(H143,-(Setup!$C$13+Setup!$G$26),Setup!$C$39:$C$50))+(138*100+7)/10000000)))</f>
        <v/>
      </c>
      <c r="Y143" t="str">
        <f>IF(I143="","",IF(I143&lt;Setup!$C$5-Setup!$C$6,"",IF(IF(ISNUMBER(Roster!$D143),Setup!$C$27&lt;=Roster!$D143,FALSE),"",IF(OR(IF(Setup!$C$15&lt;=Setup!$C$16,AND(MONTH(I143)&gt;=Setup!$C$15,MONTH(I143)&lt;=Setup!$C$16),OR(MONTH(I143)&gt;=Setup!$C$15,MONTH(I143)&lt;=Setup!$C$16)),IF(Setup!$C$15&lt;=Setup!$C$16,AND(MONTH(WORKDAY(I143,-(Setup!$C$13+Setup!$G$27),Setup!$C$39:$C$50))&gt;=Setup!$C$15,MONTH(WORKDAY(I143,-(Setup!$C$13+Setup!$G$27),Setup!$C$39:$C$50))&lt;=Setup!$C$16),OR(MONTH(WORKDAY(I143,-(Setup!$C$13+Setup!$G$27),Setup!$C$39:$C$50))&gt;=Setup!$C$15,MONTH(WORKDAY(I143,-(Setup!$C$13+Setup!$G$27),Setup!$C$39:$C$50))&lt;=Setup!$C$16))),WORKDAY(I143,-(Setup!$C$13+Setup!$G$27+Setup!$C$14),Setup!$C$39:$C$50),WORKDAY(I143,-(Setup!$C$13+Setup!$G$27),Setup!$C$39:$C$50))+(138*100+8)/10000000)))</f>
        <v/>
      </c>
      <c r="Z143" t="str">
        <f>IF(J143="","",IF(J143&lt;Setup!$C$5-Setup!$C$6,"",IF(IF(ISNUMBER(Roster!$D143),Setup!$C$28&lt;=Roster!$D143,FALSE),"",IF(OR(IF(Setup!$C$15&lt;=Setup!$C$16,AND(MONTH(J143)&gt;=Setup!$C$15,MONTH(J143)&lt;=Setup!$C$16),OR(MONTH(J143)&gt;=Setup!$C$15,MONTH(J143)&lt;=Setup!$C$16)),IF(Setup!$C$15&lt;=Setup!$C$16,AND(MONTH(WORKDAY(J143,-(Setup!$C$13+Setup!$G$28),Setup!$C$39:$C$50))&gt;=Setup!$C$15,MONTH(WORKDAY(J143,-(Setup!$C$13+Setup!$G$28),Setup!$C$39:$C$50))&lt;=Setup!$C$16),OR(MONTH(WORKDAY(J143,-(Setup!$C$13+Setup!$G$28),Setup!$C$39:$C$50))&gt;=Setup!$C$15,MONTH(WORKDAY(J143,-(Setup!$C$13+Setup!$G$28),Setup!$C$39:$C$50))&lt;=Setup!$C$16))),WORKDAY(J143,-(Setup!$C$13+Setup!$G$28+Setup!$C$14),Setup!$C$39:$C$50),WORKDAY(J143,-(Setup!$C$13+Setup!$G$28),Setup!$C$39:$C$50))+(138*100+9)/10000000)))</f>
        <v/>
      </c>
      <c r="AA143" t="str">
        <f>IF(K143="","",IF(K143&lt;Setup!$C$5-Setup!$C$6,"",IF(IF(ISNUMBER(Roster!$D143),Setup!$C$29&lt;=Roster!$D143,FALSE),"",IF(OR(IF(Setup!$C$15&lt;=Setup!$C$16,AND(MONTH(K143)&gt;=Setup!$C$15,MONTH(K143)&lt;=Setup!$C$16),OR(MONTH(K143)&gt;=Setup!$C$15,MONTH(K143)&lt;=Setup!$C$16)),IF(Setup!$C$15&lt;=Setup!$C$16,AND(MONTH(WORKDAY(K143,-(Setup!$C$13+Setup!$G$29),Setup!$C$39:$C$50))&gt;=Setup!$C$15,MONTH(WORKDAY(K143,-(Setup!$C$13+Setup!$G$29),Setup!$C$39:$C$50))&lt;=Setup!$C$16),OR(MONTH(WORKDAY(K143,-(Setup!$C$13+Setup!$G$29),Setup!$C$39:$C$50))&gt;=Setup!$C$15,MONTH(WORKDAY(K143,-(Setup!$C$13+Setup!$G$29),Setup!$C$39:$C$50))&lt;=Setup!$C$16))),WORKDAY(K143,-(Setup!$C$13+Setup!$G$29+Setup!$C$14),Setup!$C$39:$C$50),WORKDAY(K143,-(Setup!$C$13+Setup!$G$29),Setup!$C$39:$C$50))+(138*100+10)/10000000)))</f>
        <v/>
      </c>
      <c r="AB143" t="str">
        <f>IF(L143="","",IF(L143&lt;Setup!$C$5-Setup!$C$6,"",IF(IF(ISNUMBER(Roster!$D143),Setup!$C$30&lt;=Roster!$D143,FALSE),"",IF(OR(IF(Setup!$C$15&lt;=Setup!$C$16,AND(MONTH(L143)&gt;=Setup!$C$15,MONTH(L143)&lt;=Setup!$C$16),OR(MONTH(L143)&gt;=Setup!$C$15,MONTH(L143)&lt;=Setup!$C$16)),IF(Setup!$C$15&lt;=Setup!$C$16,AND(MONTH(WORKDAY(L143,-(Setup!$C$13+Setup!$G$30),Setup!$C$39:$C$50))&gt;=Setup!$C$15,MONTH(WORKDAY(L143,-(Setup!$C$13+Setup!$G$30),Setup!$C$39:$C$50))&lt;=Setup!$C$16),OR(MONTH(WORKDAY(L143,-(Setup!$C$13+Setup!$G$30),Setup!$C$39:$C$50))&gt;=Setup!$C$15,MONTH(WORKDAY(L143,-(Setup!$C$13+Setup!$G$30),Setup!$C$39:$C$50))&lt;=Setup!$C$16))),WORKDAY(L143,-(Setup!$C$13+Setup!$G$30+Setup!$C$14),Setup!$C$39:$C$50),WORKDAY(L143,-(Setup!$C$13+Setup!$G$30),Setup!$C$39:$C$50))+(138*100+11)/10000000)))</f>
        <v/>
      </c>
      <c r="AC143" t="str">
        <f>IF(M143="","",IF(M143&lt;Setup!$C$5-Setup!$C$6,"",IF(IF(ISNUMBER(Roster!$D143),Setup!$C$31&lt;=Roster!$D143,FALSE),"",IF(OR(IF(Setup!$C$15&lt;=Setup!$C$16,AND(MONTH(M143)&gt;=Setup!$C$15,MONTH(M143)&lt;=Setup!$C$16),OR(MONTH(M143)&gt;=Setup!$C$15,MONTH(M143)&lt;=Setup!$C$16)),IF(Setup!$C$15&lt;=Setup!$C$16,AND(MONTH(WORKDAY(M143,-(Setup!$C$13+Setup!$G$31),Setup!$C$39:$C$50))&gt;=Setup!$C$15,MONTH(WORKDAY(M143,-(Setup!$C$13+Setup!$G$31),Setup!$C$39:$C$50))&lt;=Setup!$C$16),OR(MONTH(WORKDAY(M143,-(Setup!$C$13+Setup!$G$31),Setup!$C$39:$C$50))&gt;=Setup!$C$15,MONTH(WORKDAY(M143,-(Setup!$C$13+Setup!$G$31),Setup!$C$39:$C$50))&lt;=Setup!$C$16))),WORKDAY(M143,-(Setup!$C$13+Setup!$G$31+Setup!$C$14),Setup!$C$39:$C$50),WORKDAY(M143,-(Setup!$C$13+Setup!$G$31),Setup!$C$39:$C$50))+(138*100+12)/10000000)))</f>
        <v/>
      </c>
      <c r="AD143" t="str">
        <f>IF(N143="","",IF(N143&lt;Setup!$C$5-Setup!$C$6,"",IF(IF(ISNUMBER(Roster!$D143),Setup!$C$32&lt;=Roster!$D143,FALSE),"",IF(OR(IF(Setup!$C$15&lt;=Setup!$C$16,AND(MONTH(N143)&gt;=Setup!$C$15,MONTH(N143)&lt;=Setup!$C$16),OR(MONTH(N143)&gt;=Setup!$C$15,MONTH(N143)&lt;=Setup!$C$16)),IF(Setup!$C$15&lt;=Setup!$C$16,AND(MONTH(WORKDAY(N143,-(Setup!$C$13+Setup!$G$32),Setup!$C$39:$C$50))&gt;=Setup!$C$15,MONTH(WORKDAY(N143,-(Setup!$C$13+Setup!$G$32),Setup!$C$39:$C$50))&lt;=Setup!$C$16),OR(MONTH(WORKDAY(N143,-(Setup!$C$13+Setup!$G$32),Setup!$C$39:$C$50))&gt;=Setup!$C$15,MONTH(WORKDAY(N143,-(Setup!$C$13+Setup!$G$32),Setup!$C$39:$C$50))&lt;=Setup!$C$16))),WORKDAY(N143,-(Setup!$C$13+Setup!$G$32+Setup!$C$14),Setup!$C$39:$C$50),WORKDAY(N143,-(Setup!$C$13+Setup!$G$32),Setup!$C$39:$C$50))+(138*100+13)/10000000)))</f>
        <v/>
      </c>
      <c r="AE143" t="str">
        <f>IF(O143="","",IF(O143&lt;Setup!$C$5-Setup!$C$6,"",IF(IF(ISNUMBER(Roster!$D143),Setup!$C$33&lt;=Roster!$D143,FALSE),"",IF(OR(IF(Setup!$C$15&lt;=Setup!$C$16,AND(MONTH(O143)&gt;=Setup!$C$15,MONTH(O143)&lt;=Setup!$C$16),OR(MONTH(O143)&gt;=Setup!$C$15,MONTH(O143)&lt;=Setup!$C$16)),IF(Setup!$C$15&lt;=Setup!$C$16,AND(MONTH(WORKDAY(O143,-(Setup!$C$13+Setup!$G$33),Setup!$C$39:$C$50))&gt;=Setup!$C$15,MONTH(WORKDAY(O143,-(Setup!$C$13+Setup!$G$33),Setup!$C$39:$C$50))&lt;=Setup!$C$16),OR(MONTH(WORKDAY(O143,-(Setup!$C$13+Setup!$G$33),Setup!$C$39:$C$50))&gt;=Setup!$C$15,MONTH(WORKDAY(O143,-(Setup!$C$13+Setup!$G$33),Setup!$C$39:$C$50))&lt;=Setup!$C$16))),WORKDAY(O143,-(Setup!$C$13+Setup!$G$33+Setup!$C$14),Setup!$C$39:$C$50),WORKDAY(O143,-(Setup!$C$13+Setup!$G$33),Setup!$C$39:$C$50))+(138*100+14)/10000000)))</f>
        <v/>
      </c>
      <c r="AF143" t="str">
        <f>IF(P143="","",IF(P143&lt;Setup!$C$5-Setup!$C$6,"",IF(IF(ISNUMBER(Roster!$D143),Setup!$C$34&lt;=Roster!$D143,FALSE),"",IF(OR(IF(Setup!$C$15&lt;=Setup!$C$16,AND(MONTH(P143)&gt;=Setup!$C$15,MONTH(P143)&lt;=Setup!$C$16),OR(MONTH(P143)&gt;=Setup!$C$15,MONTH(P143)&lt;=Setup!$C$16)),IF(Setup!$C$15&lt;=Setup!$C$16,AND(MONTH(WORKDAY(P143,-(Setup!$C$13+Setup!$G$34),Setup!$C$39:$C$50))&gt;=Setup!$C$15,MONTH(WORKDAY(P143,-(Setup!$C$13+Setup!$G$34),Setup!$C$39:$C$50))&lt;=Setup!$C$16),OR(MONTH(WORKDAY(P143,-(Setup!$C$13+Setup!$G$34),Setup!$C$39:$C$50))&gt;=Setup!$C$15,MONTH(WORKDAY(P143,-(Setup!$C$13+Setup!$G$34),Setup!$C$39:$C$50))&lt;=Setup!$C$16))),WORKDAY(P143,-(Setup!$C$13+Setup!$G$34+Setup!$C$14),Setup!$C$39:$C$50),WORKDAY(P143,-(Setup!$C$13+Setup!$G$34),Setup!$C$39:$C$50))+(138*100+15)/10000000)))</f>
        <v/>
      </c>
      <c r="AH143" t="str">
        <f t="shared" si="17"/>
        <v/>
      </c>
      <c r="AI143" t="str">
        <f t="shared" si="18"/>
        <v/>
      </c>
      <c r="AK143" t="str">
        <f ca="1">IF(138&gt;$AK$2,"",SMALL($R$6:$AF$505,138))</f>
        <v/>
      </c>
      <c r="AL143" t="str">
        <f t="shared" ca="1" si="19"/>
        <v/>
      </c>
      <c r="AM143" t="str">
        <f t="shared" ca="1" si="20"/>
        <v/>
      </c>
      <c r="AN143" t="str">
        <f t="shared" ca="1" si="21"/>
        <v/>
      </c>
      <c r="AP143" t="str">
        <f>IF(ISNUMBER(Roster!$B143),MAX(1,YEAR(Setup!$C$5)-YEAR(Roster!$B143)+IF(EDATE(Roster!$B143,12*(YEAR(Setup!$C$5)-YEAR(Roster!$B143)))&lt;Setup!$C$5,1,0)),"")</f>
        <v/>
      </c>
      <c r="AQ143" s="32" t="str">
        <f>IF(AP143="","",EDATE(Roster!$B143,12*AP143))</f>
        <v/>
      </c>
      <c r="AR143" t="str">
        <f>IF(AQ143="","",IF(AQ143&lt;DATE(YEAR(Setup!$C$5)+1,MONTH(Setup!$C$5),DAY(Setup!$C$5)),AQ143+138/1000,""))</f>
        <v/>
      </c>
      <c r="AS143" t="str">
        <f t="shared" si="22"/>
        <v/>
      </c>
      <c r="AT143" t="str">
        <f>IF(AS143="","",IF(ISNUMBER(Roster!$D143),Roster!$D143&gt;=AP143,FALSE))</f>
        <v/>
      </c>
      <c r="AU143" t="str">
        <f t="shared" si="23"/>
        <v/>
      </c>
      <c r="AV143" t="str">
        <f ca="1">IF(138&gt;$AV$2,"",SMALL($AR$6:$AR$505,138))</f>
        <v/>
      </c>
      <c r="AW143" t="str">
        <f t="shared" ca="1" si="24"/>
        <v/>
      </c>
    </row>
    <row r="144" spans="2:49" x14ac:dyDescent="0.2">
      <c r="B144" s="32" t="str">
        <f>IF(AND(ISNUMBER(Roster!$B144),Setup!$B$20="Yes",ISNUMBER(Setup!$C$20)),EDATE(Roster!$B144,12*Setup!$C$20),"")</f>
        <v/>
      </c>
      <c r="C144" s="32" t="str">
        <f>IF(AND(ISNUMBER(Roster!$B144),Setup!$B$21="Yes",ISNUMBER(Setup!$C$21)),EDATE(Roster!$B144,12*Setup!$C$21),"")</f>
        <v/>
      </c>
      <c r="D144" s="32" t="str">
        <f>IF(AND(ISNUMBER(Roster!$B144),Setup!$B$22="Yes",ISNUMBER(Setup!$C$22)),EDATE(Roster!$B144,12*Setup!$C$22),"")</f>
        <v/>
      </c>
      <c r="E144" s="32" t="str">
        <f>IF(AND(ISNUMBER(Roster!$B144),Setup!$B$23="Yes",ISNUMBER(Setup!$C$23)),EDATE(Roster!$B144,12*Setup!$C$23),"")</f>
        <v/>
      </c>
      <c r="F144" s="32" t="str">
        <f>IF(AND(ISNUMBER(Roster!$B144),Setup!$B$24="Yes",ISNUMBER(Setup!$C$24)),EDATE(Roster!$B144,12*Setup!$C$24),"")</f>
        <v/>
      </c>
      <c r="G144" s="32" t="str">
        <f>IF(AND(ISNUMBER(Roster!$B144),Setup!$B$25="Yes",ISNUMBER(Setup!$C$25)),EDATE(Roster!$B144,12*Setup!$C$25),"")</f>
        <v/>
      </c>
      <c r="H144" s="32" t="str">
        <f>IF(AND(ISNUMBER(Roster!$B144),Setup!$B$26="Yes",ISNUMBER(Setup!$C$26)),EDATE(Roster!$B144,12*Setup!$C$26),"")</f>
        <v/>
      </c>
      <c r="I144" s="32" t="str">
        <f>IF(AND(ISNUMBER(Roster!$B144),Setup!$B$27="Yes",ISNUMBER(Setup!$C$27)),EDATE(Roster!$B144,12*Setup!$C$27),"")</f>
        <v/>
      </c>
      <c r="J144" s="32" t="str">
        <f>IF(AND(ISNUMBER(Roster!$B144),Setup!$B$28="Yes",ISNUMBER(Setup!$C$28)),EDATE(Roster!$B144,12*Setup!$C$28),"")</f>
        <v/>
      </c>
      <c r="K144" s="32" t="str">
        <f>IF(AND(ISNUMBER(Roster!$B144),Setup!$B$29="Yes",ISNUMBER(Setup!$C$29)),EDATE(Roster!$B144,12*Setup!$C$29),"")</f>
        <v/>
      </c>
      <c r="L144" s="32" t="str">
        <f>IF(AND(ISNUMBER(Roster!$B144),Setup!$B$30="Yes",ISNUMBER(Setup!$C$30)),EDATE(Roster!$B144,12*Setup!$C$30),"")</f>
        <v/>
      </c>
      <c r="M144" s="32" t="str">
        <f>IF(AND(ISNUMBER(Roster!$B144),Setup!$B$31="Yes",ISNUMBER(Setup!$C$31)),EDATE(Roster!$B144,12*Setup!$C$31),"")</f>
        <v/>
      </c>
      <c r="N144" s="32" t="str">
        <f>IF(AND(ISNUMBER(Roster!$B144),Setup!$B$32="Yes",ISNUMBER(Setup!$C$32)),EDATE(Roster!$B144,12*Setup!$C$32),"")</f>
        <v/>
      </c>
      <c r="O144" s="32" t="str">
        <f>IF(AND(ISNUMBER(Roster!$B144),Setup!$B$33="Yes",ISNUMBER(Setup!$C$33)),EDATE(Roster!$B144,12*Setup!$C$33),"")</f>
        <v/>
      </c>
      <c r="P144" s="32" t="str">
        <f>IF(AND(ISNUMBER(Roster!$B144),Setup!$B$34="Yes",ISNUMBER(Setup!$C$34)),EDATE(Roster!$B144,12*Setup!$C$34),"")</f>
        <v/>
      </c>
      <c r="R144" t="str">
        <f>IF(B144="","",IF(B144&lt;Setup!$C$5-Setup!$C$6,"",IF(IF(ISNUMBER(Roster!$D144),Setup!$C$20&lt;=Roster!$D144,FALSE),"",IF(OR(IF(Setup!$C$15&lt;=Setup!$C$16,AND(MONTH(B144)&gt;=Setup!$C$15,MONTH(B144)&lt;=Setup!$C$16),OR(MONTH(B144)&gt;=Setup!$C$15,MONTH(B144)&lt;=Setup!$C$16)),IF(Setup!$C$15&lt;=Setup!$C$16,AND(MONTH(WORKDAY(B144,-(Setup!$C$13+Setup!$G$20),Setup!$C$39:$C$50))&gt;=Setup!$C$15,MONTH(WORKDAY(B144,-(Setup!$C$13+Setup!$G$20),Setup!$C$39:$C$50))&lt;=Setup!$C$16),OR(MONTH(WORKDAY(B144,-(Setup!$C$13+Setup!$G$20),Setup!$C$39:$C$50))&gt;=Setup!$C$15,MONTH(WORKDAY(B144,-(Setup!$C$13+Setup!$G$20),Setup!$C$39:$C$50))&lt;=Setup!$C$16))),WORKDAY(B144,-(Setup!$C$13+Setup!$G$20+Setup!$C$14),Setup!$C$39:$C$50),WORKDAY(B144,-(Setup!$C$13+Setup!$G$20),Setup!$C$39:$C$50))+(139*100+1)/10000000)))</f>
        <v/>
      </c>
      <c r="S144" t="str">
        <f>IF(C144="","",IF(C144&lt;Setup!$C$5-Setup!$C$6,"",IF(IF(ISNUMBER(Roster!$D144),Setup!$C$21&lt;=Roster!$D144,FALSE),"",IF(OR(IF(Setup!$C$15&lt;=Setup!$C$16,AND(MONTH(C144)&gt;=Setup!$C$15,MONTH(C144)&lt;=Setup!$C$16),OR(MONTH(C144)&gt;=Setup!$C$15,MONTH(C144)&lt;=Setup!$C$16)),IF(Setup!$C$15&lt;=Setup!$C$16,AND(MONTH(WORKDAY(C144,-(Setup!$C$13+Setup!$G$21),Setup!$C$39:$C$50))&gt;=Setup!$C$15,MONTH(WORKDAY(C144,-(Setup!$C$13+Setup!$G$21),Setup!$C$39:$C$50))&lt;=Setup!$C$16),OR(MONTH(WORKDAY(C144,-(Setup!$C$13+Setup!$G$21),Setup!$C$39:$C$50))&gt;=Setup!$C$15,MONTH(WORKDAY(C144,-(Setup!$C$13+Setup!$G$21),Setup!$C$39:$C$50))&lt;=Setup!$C$16))),WORKDAY(C144,-(Setup!$C$13+Setup!$G$21+Setup!$C$14),Setup!$C$39:$C$50),WORKDAY(C144,-(Setup!$C$13+Setup!$G$21),Setup!$C$39:$C$50))+(139*100+2)/10000000)))</f>
        <v/>
      </c>
      <c r="T144" t="str">
        <f>IF(D144="","",IF(D144&lt;Setup!$C$5-Setup!$C$6,"",IF(IF(ISNUMBER(Roster!$D144),Setup!$C$22&lt;=Roster!$D144,FALSE),"",IF(OR(IF(Setup!$C$15&lt;=Setup!$C$16,AND(MONTH(D144)&gt;=Setup!$C$15,MONTH(D144)&lt;=Setup!$C$16),OR(MONTH(D144)&gt;=Setup!$C$15,MONTH(D144)&lt;=Setup!$C$16)),IF(Setup!$C$15&lt;=Setup!$C$16,AND(MONTH(WORKDAY(D144,-(Setup!$C$13+Setup!$G$22),Setup!$C$39:$C$50))&gt;=Setup!$C$15,MONTH(WORKDAY(D144,-(Setup!$C$13+Setup!$G$22),Setup!$C$39:$C$50))&lt;=Setup!$C$16),OR(MONTH(WORKDAY(D144,-(Setup!$C$13+Setup!$G$22),Setup!$C$39:$C$50))&gt;=Setup!$C$15,MONTH(WORKDAY(D144,-(Setup!$C$13+Setup!$G$22),Setup!$C$39:$C$50))&lt;=Setup!$C$16))),WORKDAY(D144,-(Setup!$C$13+Setup!$G$22+Setup!$C$14),Setup!$C$39:$C$50),WORKDAY(D144,-(Setup!$C$13+Setup!$G$22),Setup!$C$39:$C$50))+(139*100+3)/10000000)))</f>
        <v/>
      </c>
      <c r="U144" t="str">
        <f>IF(E144="","",IF(E144&lt;Setup!$C$5-Setup!$C$6,"",IF(IF(ISNUMBER(Roster!$D144),Setup!$C$23&lt;=Roster!$D144,FALSE),"",IF(OR(IF(Setup!$C$15&lt;=Setup!$C$16,AND(MONTH(E144)&gt;=Setup!$C$15,MONTH(E144)&lt;=Setup!$C$16),OR(MONTH(E144)&gt;=Setup!$C$15,MONTH(E144)&lt;=Setup!$C$16)),IF(Setup!$C$15&lt;=Setup!$C$16,AND(MONTH(WORKDAY(E144,-(Setup!$C$13+Setup!$G$23),Setup!$C$39:$C$50))&gt;=Setup!$C$15,MONTH(WORKDAY(E144,-(Setup!$C$13+Setup!$G$23),Setup!$C$39:$C$50))&lt;=Setup!$C$16),OR(MONTH(WORKDAY(E144,-(Setup!$C$13+Setup!$G$23),Setup!$C$39:$C$50))&gt;=Setup!$C$15,MONTH(WORKDAY(E144,-(Setup!$C$13+Setup!$G$23),Setup!$C$39:$C$50))&lt;=Setup!$C$16))),WORKDAY(E144,-(Setup!$C$13+Setup!$G$23+Setup!$C$14),Setup!$C$39:$C$50),WORKDAY(E144,-(Setup!$C$13+Setup!$G$23),Setup!$C$39:$C$50))+(139*100+4)/10000000)))</f>
        <v/>
      </c>
      <c r="V144" t="str">
        <f>IF(F144="","",IF(F144&lt;Setup!$C$5-Setup!$C$6,"",IF(IF(ISNUMBER(Roster!$D144),Setup!$C$24&lt;=Roster!$D144,FALSE),"",IF(OR(IF(Setup!$C$15&lt;=Setup!$C$16,AND(MONTH(F144)&gt;=Setup!$C$15,MONTH(F144)&lt;=Setup!$C$16),OR(MONTH(F144)&gt;=Setup!$C$15,MONTH(F144)&lt;=Setup!$C$16)),IF(Setup!$C$15&lt;=Setup!$C$16,AND(MONTH(WORKDAY(F144,-(Setup!$C$13+Setup!$G$24),Setup!$C$39:$C$50))&gt;=Setup!$C$15,MONTH(WORKDAY(F144,-(Setup!$C$13+Setup!$G$24),Setup!$C$39:$C$50))&lt;=Setup!$C$16),OR(MONTH(WORKDAY(F144,-(Setup!$C$13+Setup!$G$24),Setup!$C$39:$C$50))&gt;=Setup!$C$15,MONTH(WORKDAY(F144,-(Setup!$C$13+Setup!$G$24),Setup!$C$39:$C$50))&lt;=Setup!$C$16))),WORKDAY(F144,-(Setup!$C$13+Setup!$G$24+Setup!$C$14),Setup!$C$39:$C$50),WORKDAY(F144,-(Setup!$C$13+Setup!$G$24),Setup!$C$39:$C$50))+(139*100+5)/10000000)))</f>
        <v/>
      </c>
      <c r="W144" t="str">
        <f>IF(G144="","",IF(G144&lt;Setup!$C$5-Setup!$C$6,"",IF(IF(ISNUMBER(Roster!$D144),Setup!$C$25&lt;=Roster!$D144,FALSE),"",IF(OR(IF(Setup!$C$15&lt;=Setup!$C$16,AND(MONTH(G144)&gt;=Setup!$C$15,MONTH(G144)&lt;=Setup!$C$16),OR(MONTH(G144)&gt;=Setup!$C$15,MONTH(G144)&lt;=Setup!$C$16)),IF(Setup!$C$15&lt;=Setup!$C$16,AND(MONTH(WORKDAY(G144,-(Setup!$C$13+Setup!$G$25),Setup!$C$39:$C$50))&gt;=Setup!$C$15,MONTH(WORKDAY(G144,-(Setup!$C$13+Setup!$G$25),Setup!$C$39:$C$50))&lt;=Setup!$C$16),OR(MONTH(WORKDAY(G144,-(Setup!$C$13+Setup!$G$25),Setup!$C$39:$C$50))&gt;=Setup!$C$15,MONTH(WORKDAY(G144,-(Setup!$C$13+Setup!$G$25),Setup!$C$39:$C$50))&lt;=Setup!$C$16))),WORKDAY(G144,-(Setup!$C$13+Setup!$G$25+Setup!$C$14),Setup!$C$39:$C$50),WORKDAY(G144,-(Setup!$C$13+Setup!$G$25),Setup!$C$39:$C$50))+(139*100+6)/10000000)))</f>
        <v/>
      </c>
      <c r="X144" t="str">
        <f>IF(H144="","",IF(H144&lt;Setup!$C$5-Setup!$C$6,"",IF(IF(ISNUMBER(Roster!$D144),Setup!$C$26&lt;=Roster!$D144,FALSE),"",IF(OR(IF(Setup!$C$15&lt;=Setup!$C$16,AND(MONTH(H144)&gt;=Setup!$C$15,MONTH(H144)&lt;=Setup!$C$16),OR(MONTH(H144)&gt;=Setup!$C$15,MONTH(H144)&lt;=Setup!$C$16)),IF(Setup!$C$15&lt;=Setup!$C$16,AND(MONTH(WORKDAY(H144,-(Setup!$C$13+Setup!$G$26),Setup!$C$39:$C$50))&gt;=Setup!$C$15,MONTH(WORKDAY(H144,-(Setup!$C$13+Setup!$G$26),Setup!$C$39:$C$50))&lt;=Setup!$C$16),OR(MONTH(WORKDAY(H144,-(Setup!$C$13+Setup!$G$26),Setup!$C$39:$C$50))&gt;=Setup!$C$15,MONTH(WORKDAY(H144,-(Setup!$C$13+Setup!$G$26),Setup!$C$39:$C$50))&lt;=Setup!$C$16))),WORKDAY(H144,-(Setup!$C$13+Setup!$G$26+Setup!$C$14),Setup!$C$39:$C$50),WORKDAY(H144,-(Setup!$C$13+Setup!$G$26),Setup!$C$39:$C$50))+(139*100+7)/10000000)))</f>
        <v/>
      </c>
      <c r="Y144" t="str">
        <f>IF(I144="","",IF(I144&lt;Setup!$C$5-Setup!$C$6,"",IF(IF(ISNUMBER(Roster!$D144),Setup!$C$27&lt;=Roster!$D144,FALSE),"",IF(OR(IF(Setup!$C$15&lt;=Setup!$C$16,AND(MONTH(I144)&gt;=Setup!$C$15,MONTH(I144)&lt;=Setup!$C$16),OR(MONTH(I144)&gt;=Setup!$C$15,MONTH(I144)&lt;=Setup!$C$16)),IF(Setup!$C$15&lt;=Setup!$C$16,AND(MONTH(WORKDAY(I144,-(Setup!$C$13+Setup!$G$27),Setup!$C$39:$C$50))&gt;=Setup!$C$15,MONTH(WORKDAY(I144,-(Setup!$C$13+Setup!$G$27),Setup!$C$39:$C$50))&lt;=Setup!$C$16),OR(MONTH(WORKDAY(I144,-(Setup!$C$13+Setup!$G$27),Setup!$C$39:$C$50))&gt;=Setup!$C$15,MONTH(WORKDAY(I144,-(Setup!$C$13+Setup!$G$27),Setup!$C$39:$C$50))&lt;=Setup!$C$16))),WORKDAY(I144,-(Setup!$C$13+Setup!$G$27+Setup!$C$14),Setup!$C$39:$C$50),WORKDAY(I144,-(Setup!$C$13+Setup!$G$27),Setup!$C$39:$C$50))+(139*100+8)/10000000)))</f>
        <v/>
      </c>
      <c r="Z144" t="str">
        <f>IF(J144="","",IF(J144&lt;Setup!$C$5-Setup!$C$6,"",IF(IF(ISNUMBER(Roster!$D144),Setup!$C$28&lt;=Roster!$D144,FALSE),"",IF(OR(IF(Setup!$C$15&lt;=Setup!$C$16,AND(MONTH(J144)&gt;=Setup!$C$15,MONTH(J144)&lt;=Setup!$C$16),OR(MONTH(J144)&gt;=Setup!$C$15,MONTH(J144)&lt;=Setup!$C$16)),IF(Setup!$C$15&lt;=Setup!$C$16,AND(MONTH(WORKDAY(J144,-(Setup!$C$13+Setup!$G$28),Setup!$C$39:$C$50))&gt;=Setup!$C$15,MONTH(WORKDAY(J144,-(Setup!$C$13+Setup!$G$28),Setup!$C$39:$C$50))&lt;=Setup!$C$16),OR(MONTH(WORKDAY(J144,-(Setup!$C$13+Setup!$G$28),Setup!$C$39:$C$50))&gt;=Setup!$C$15,MONTH(WORKDAY(J144,-(Setup!$C$13+Setup!$G$28),Setup!$C$39:$C$50))&lt;=Setup!$C$16))),WORKDAY(J144,-(Setup!$C$13+Setup!$G$28+Setup!$C$14),Setup!$C$39:$C$50),WORKDAY(J144,-(Setup!$C$13+Setup!$G$28),Setup!$C$39:$C$50))+(139*100+9)/10000000)))</f>
        <v/>
      </c>
      <c r="AA144" t="str">
        <f>IF(K144="","",IF(K144&lt;Setup!$C$5-Setup!$C$6,"",IF(IF(ISNUMBER(Roster!$D144),Setup!$C$29&lt;=Roster!$D144,FALSE),"",IF(OR(IF(Setup!$C$15&lt;=Setup!$C$16,AND(MONTH(K144)&gt;=Setup!$C$15,MONTH(K144)&lt;=Setup!$C$16),OR(MONTH(K144)&gt;=Setup!$C$15,MONTH(K144)&lt;=Setup!$C$16)),IF(Setup!$C$15&lt;=Setup!$C$16,AND(MONTH(WORKDAY(K144,-(Setup!$C$13+Setup!$G$29),Setup!$C$39:$C$50))&gt;=Setup!$C$15,MONTH(WORKDAY(K144,-(Setup!$C$13+Setup!$G$29),Setup!$C$39:$C$50))&lt;=Setup!$C$16),OR(MONTH(WORKDAY(K144,-(Setup!$C$13+Setup!$G$29),Setup!$C$39:$C$50))&gt;=Setup!$C$15,MONTH(WORKDAY(K144,-(Setup!$C$13+Setup!$G$29),Setup!$C$39:$C$50))&lt;=Setup!$C$16))),WORKDAY(K144,-(Setup!$C$13+Setup!$G$29+Setup!$C$14),Setup!$C$39:$C$50),WORKDAY(K144,-(Setup!$C$13+Setup!$G$29),Setup!$C$39:$C$50))+(139*100+10)/10000000)))</f>
        <v/>
      </c>
      <c r="AB144" t="str">
        <f>IF(L144="","",IF(L144&lt;Setup!$C$5-Setup!$C$6,"",IF(IF(ISNUMBER(Roster!$D144),Setup!$C$30&lt;=Roster!$D144,FALSE),"",IF(OR(IF(Setup!$C$15&lt;=Setup!$C$16,AND(MONTH(L144)&gt;=Setup!$C$15,MONTH(L144)&lt;=Setup!$C$16),OR(MONTH(L144)&gt;=Setup!$C$15,MONTH(L144)&lt;=Setup!$C$16)),IF(Setup!$C$15&lt;=Setup!$C$16,AND(MONTH(WORKDAY(L144,-(Setup!$C$13+Setup!$G$30),Setup!$C$39:$C$50))&gt;=Setup!$C$15,MONTH(WORKDAY(L144,-(Setup!$C$13+Setup!$G$30),Setup!$C$39:$C$50))&lt;=Setup!$C$16),OR(MONTH(WORKDAY(L144,-(Setup!$C$13+Setup!$G$30),Setup!$C$39:$C$50))&gt;=Setup!$C$15,MONTH(WORKDAY(L144,-(Setup!$C$13+Setup!$G$30),Setup!$C$39:$C$50))&lt;=Setup!$C$16))),WORKDAY(L144,-(Setup!$C$13+Setup!$G$30+Setup!$C$14),Setup!$C$39:$C$50),WORKDAY(L144,-(Setup!$C$13+Setup!$G$30),Setup!$C$39:$C$50))+(139*100+11)/10000000)))</f>
        <v/>
      </c>
      <c r="AC144" t="str">
        <f>IF(M144="","",IF(M144&lt;Setup!$C$5-Setup!$C$6,"",IF(IF(ISNUMBER(Roster!$D144),Setup!$C$31&lt;=Roster!$D144,FALSE),"",IF(OR(IF(Setup!$C$15&lt;=Setup!$C$16,AND(MONTH(M144)&gt;=Setup!$C$15,MONTH(M144)&lt;=Setup!$C$16),OR(MONTH(M144)&gt;=Setup!$C$15,MONTH(M144)&lt;=Setup!$C$16)),IF(Setup!$C$15&lt;=Setup!$C$16,AND(MONTH(WORKDAY(M144,-(Setup!$C$13+Setup!$G$31),Setup!$C$39:$C$50))&gt;=Setup!$C$15,MONTH(WORKDAY(M144,-(Setup!$C$13+Setup!$G$31),Setup!$C$39:$C$50))&lt;=Setup!$C$16),OR(MONTH(WORKDAY(M144,-(Setup!$C$13+Setup!$G$31),Setup!$C$39:$C$50))&gt;=Setup!$C$15,MONTH(WORKDAY(M144,-(Setup!$C$13+Setup!$G$31),Setup!$C$39:$C$50))&lt;=Setup!$C$16))),WORKDAY(M144,-(Setup!$C$13+Setup!$G$31+Setup!$C$14),Setup!$C$39:$C$50),WORKDAY(M144,-(Setup!$C$13+Setup!$G$31),Setup!$C$39:$C$50))+(139*100+12)/10000000)))</f>
        <v/>
      </c>
      <c r="AD144" t="str">
        <f>IF(N144="","",IF(N144&lt;Setup!$C$5-Setup!$C$6,"",IF(IF(ISNUMBER(Roster!$D144),Setup!$C$32&lt;=Roster!$D144,FALSE),"",IF(OR(IF(Setup!$C$15&lt;=Setup!$C$16,AND(MONTH(N144)&gt;=Setup!$C$15,MONTH(N144)&lt;=Setup!$C$16),OR(MONTH(N144)&gt;=Setup!$C$15,MONTH(N144)&lt;=Setup!$C$16)),IF(Setup!$C$15&lt;=Setup!$C$16,AND(MONTH(WORKDAY(N144,-(Setup!$C$13+Setup!$G$32),Setup!$C$39:$C$50))&gt;=Setup!$C$15,MONTH(WORKDAY(N144,-(Setup!$C$13+Setup!$G$32),Setup!$C$39:$C$50))&lt;=Setup!$C$16),OR(MONTH(WORKDAY(N144,-(Setup!$C$13+Setup!$G$32),Setup!$C$39:$C$50))&gt;=Setup!$C$15,MONTH(WORKDAY(N144,-(Setup!$C$13+Setup!$G$32),Setup!$C$39:$C$50))&lt;=Setup!$C$16))),WORKDAY(N144,-(Setup!$C$13+Setup!$G$32+Setup!$C$14),Setup!$C$39:$C$50),WORKDAY(N144,-(Setup!$C$13+Setup!$G$32),Setup!$C$39:$C$50))+(139*100+13)/10000000)))</f>
        <v/>
      </c>
      <c r="AE144" t="str">
        <f>IF(O144="","",IF(O144&lt;Setup!$C$5-Setup!$C$6,"",IF(IF(ISNUMBER(Roster!$D144),Setup!$C$33&lt;=Roster!$D144,FALSE),"",IF(OR(IF(Setup!$C$15&lt;=Setup!$C$16,AND(MONTH(O144)&gt;=Setup!$C$15,MONTH(O144)&lt;=Setup!$C$16),OR(MONTH(O144)&gt;=Setup!$C$15,MONTH(O144)&lt;=Setup!$C$16)),IF(Setup!$C$15&lt;=Setup!$C$16,AND(MONTH(WORKDAY(O144,-(Setup!$C$13+Setup!$G$33),Setup!$C$39:$C$50))&gt;=Setup!$C$15,MONTH(WORKDAY(O144,-(Setup!$C$13+Setup!$G$33),Setup!$C$39:$C$50))&lt;=Setup!$C$16),OR(MONTH(WORKDAY(O144,-(Setup!$C$13+Setup!$G$33),Setup!$C$39:$C$50))&gt;=Setup!$C$15,MONTH(WORKDAY(O144,-(Setup!$C$13+Setup!$G$33),Setup!$C$39:$C$50))&lt;=Setup!$C$16))),WORKDAY(O144,-(Setup!$C$13+Setup!$G$33+Setup!$C$14),Setup!$C$39:$C$50),WORKDAY(O144,-(Setup!$C$13+Setup!$G$33),Setup!$C$39:$C$50))+(139*100+14)/10000000)))</f>
        <v/>
      </c>
      <c r="AF144" t="str">
        <f>IF(P144="","",IF(P144&lt;Setup!$C$5-Setup!$C$6,"",IF(IF(ISNUMBER(Roster!$D144),Setup!$C$34&lt;=Roster!$D144,FALSE),"",IF(OR(IF(Setup!$C$15&lt;=Setup!$C$16,AND(MONTH(P144)&gt;=Setup!$C$15,MONTH(P144)&lt;=Setup!$C$16),OR(MONTH(P144)&gt;=Setup!$C$15,MONTH(P144)&lt;=Setup!$C$16)),IF(Setup!$C$15&lt;=Setup!$C$16,AND(MONTH(WORKDAY(P144,-(Setup!$C$13+Setup!$G$34),Setup!$C$39:$C$50))&gt;=Setup!$C$15,MONTH(WORKDAY(P144,-(Setup!$C$13+Setup!$G$34),Setup!$C$39:$C$50))&lt;=Setup!$C$16),OR(MONTH(WORKDAY(P144,-(Setup!$C$13+Setup!$G$34),Setup!$C$39:$C$50))&gt;=Setup!$C$15,MONTH(WORKDAY(P144,-(Setup!$C$13+Setup!$G$34),Setup!$C$39:$C$50))&lt;=Setup!$C$16))),WORKDAY(P144,-(Setup!$C$13+Setup!$G$34+Setup!$C$14),Setup!$C$39:$C$50),WORKDAY(P144,-(Setup!$C$13+Setup!$G$34),Setup!$C$39:$C$50))+(139*100+15)/10000000)))</f>
        <v/>
      </c>
      <c r="AH144" t="str">
        <f t="shared" si="17"/>
        <v/>
      </c>
      <c r="AI144" t="str">
        <f t="shared" si="18"/>
        <v/>
      </c>
      <c r="AK144" t="str">
        <f ca="1">IF(139&gt;$AK$2,"",SMALL($R$6:$AF$505,139))</f>
        <v/>
      </c>
      <c r="AL144" t="str">
        <f t="shared" ca="1" si="19"/>
        <v/>
      </c>
      <c r="AM144" t="str">
        <f t="shared" ca="1" si="20"/>
        <v/>
      </c>
      <c r="AN144" t="str">
        <f t="shared" ca="1" si="21"/>
        <v/>
      </c>
      <c r="AP144" t="str">
        <f>IF(ISNUMBER(Roster!$B144),MAX(1,YEAR(Setup!$C$5)-YEAR(Roster!$B144)+IF(EDATE(Roster!$B144,12*(YEAR(Setup!$C$5)-YEAR(Roster!$B144)))&lt;Setup!$C$5,1,0)),"")</f>
        <v/>
      </c>
      <c r="AQ144" s="32" t="str">
        <f>IF(AP144="","",EDATE(Roster!$B144,12*AP144))</f>
        <v/>
      </c>
      <c r="AR144" t="str">
        <f>IF(AQ144="","",IF(AQ144&lt;DATE(YEAR(Setup!$C$5)+1,MONTH(Setup!$C$5),DAY(Setup!$C$5)),AQ144+139/1000,""))</f>
        <v/>
      </c>
      <c r="AS144" t="str">
        <f t="shared" si="22"/>
        <v/>
      </c>
      <c r="AT144" t="str">
        <f>IF(AS144="","",IF(ISNUMBER(Roster!$D144),Roster!$D144&gt;=AP144,FALSE))</f>
        <v/>
      </c>
      <c r="AU144" t="str">
        <f t="shared" si="23"/>
        <v/>
      </c>
      <c r="AV144" t="str">
        <f ca="1">IF(139&gt;$AV$2,"",SMALL($AR$6:$AR$505,139))</f>
        <v/>
      </c>
      <c r="AW144" t="str">
        <f t="shared" ca="1" si="24"/>
        <v/>
      </c>
    </row>
    <row r="145" spans="2:49" x14ac:dyDescent="0.2">
      <c r="B145" s="32" t="str">
        <f>IF(AND(ISNUMBER(Roster!$B145),Setup!$B$20="Yes",ISNUMBER(Setup!$C$20)),EDATE(Roster!$B145,12*Setup!$C$20),"")</f>
        <v/>
      </c>
      <c r="C145" s="32" t="str">
        <f>IF(AND(ISNUMBER(Roster!$B145),Setup!$B$21="Yes",ISNUMBER(Setup!$C$21)),EDATE(Roster!$B145,12*Setup!$C$21),"")</f>
        <v/>
      </c>
      <c r="D145" s="32" t="str">
        <f>IF(AND(ISNUMBER(Roster!$B145),Setup!$B$22="Yes",ISNUMBER(Setup!$C$22)),EDATE(Roster!$B145,12*Setup!$C$22),"")</f>
        <v/>
      </c>
      <c r="E145" s="32" t="str">
        <f>IF(AND(ISNUMBER(Roster!$B145),Setup!$B$23="Yes",ISNUMBER(Setup!$C$23)),EDATE(Roster!$B145,12*Setup!$C$23),"")</f>
        <v/>
      </c>
      <c r="F145" s="32" t="str">
        <f>IF(AND(ISNUMBER(Roster!$B145),Setup!$B$24="Yes",ISNUMBER(Setup!$C$24)),EDATE(Roster!$B145,12*Setup!$C$24),"")</f>
        <v/>
      </c>
      <c r="G145" s="32" t="str">
        <f>IF(AND(ISNUMBER(Roster!$B145),Setup!$B$25="Yes",ISNUMBER(Setup!$C$25)),EDATE(Roster!$B145,12*Setup!$C$25),"")</f>
        <v/>
      </c>
      <c r="H145" s="32" t="str">
        <f>IF(AND(ISNUMBER(Roster!$B145),Setup!$B$26="Yes",ISNUMBER(Setup!$C$26)),EDATE(Roster!$B145,12*Setup!$C$26),"")</f>
        <v/>
      </c>
      <c r="I145" s="32" t="str">
        <f>IF(AND(ISNUMBER(Roster!$B145),Setup!$B$27="Yes",ISNUMBER(Setup!$C$27)),EDATE(Roster!$B145,12*Setup!$C$27),"")</f>
        <v/>
      </c>
      <c r="J145" s="32" t="str">
        <f>IF(AND(ISNUMBER(Roster!$B145),Setup!$B$28="Yes",ISNUMBER(Setup!$C$28)),EDATE(Roster!$B145,12*Setup!$C$28),"")</f>
        <v/>
      </c>
      <c r="K145" s="32" t="str">
        <f>IF(AND(ISNUMBER(Roster!$B145),Setup!$B$29="Yes",ISNUMBER(Setup!$C$29)),EDATE(Roster!$B145,12*Setup!$C$29),"")</f>
        <v/>
      </c>
      <c r="L145" s="32" t="str">
        <f>IF(AND(ISNUMBER(Roster!$B145),Setup!$B$30="Yes",ISNUMBER(Setup!$C$30)),EDATE(Roster!$B145,12*Setup!$C$30),"")</f>
        <v/>
      </c>
      <c r="M145" s="32" t="str">
        <f>IF(AND(ISNUMBER(Roster!$B145),Setup!$B$31="Yes",ISNUMBER(Setup!$C$31)),EDATE(Roster!$B145,12*Setup!$C$31),"")</f>
        <v/>
      </c>
      <c r="N145" s="32" t="str">
        <f>IF(AND(ISNUMBER(Roster!$B145),Setup!$B$32="Yes",ISNUMBER(Setup!$C$32)),EDATE(Roster!$B145,12*Setup!$C$32),"")</f>
        <v/>
      </c>
      <c r="O145" s="32" t="str">
        <f>IF(AND(ISNUMBER(Roster!$B145),Setup!$B$33="Yes",ISNUMBER(Setup!$C$33)),EDATE(Roster!$B145,12*Setup!$C$33),"")</f>
        <v/>
      </c>
      <c r="P145" s="32" t="str">
        <f>IF(AND(ISNUMBER(Roster!$B145),Setup!$B$34="Yes",ISNUMBER(Setup!$C$34)),EDATE(Roster!$B145,12*Setup!$C$34),"")</f>
        <v/>
      </c>
      <c r="R145" t="str">
        <f>IF(B145="","",IF(B145&lt;Setup!$C$5-Setup!$C$6,"",IF(IF(ISNUMBER(Roster!$D145),Setup!$C$20&lt;=Roster!$D145,FALSE),"",IF(OR(IF(Setup!$C$15&lt;=Setup!$C$16,AND(MONTH(B145)&gt;=Setup!$C$15,MONTH(B145)&lt;=Setup!$C$16),OR(MONTH(B145)&gt;=Setup!$C$15,MONTH(B145)&lt;=Setup!$C$16)),IF(Setup!$C$15&lt;=Setup!$C$16,AND(MONTH(WORKDAY(B145,-(Setup!$C$13+Setup!$G$20),Setup!$C$39:$C$50))&gt;=Setup!$C$15,MONTH(WORKDAY(B145,-(Setup!$C$13+Setup!$G$20),Setup!$C$39:$C$50))&lt;=Setup!$C$16),OR(MONTH(WORKDAY(B145,-(Setup!$C$13+Setup!$G$20),Setup!$C$39:$C$50))&gt;=Setup!$C$15,MONTH(WORKDAY(B145,-(Setup!$C$13+Setup!$G$20),Setup!$C$39:$C$50))&lt;=Setup!$C$16))),WORKDAY(B145,-(Setup!$C$13+Setup!$G$20+Setup!$C$14),Setup!$C$39:$C$50),WORKDAY(B145,-(Setup!$C$13+Setup!$G$20),Setup!$C$39:$C$50))+(140*100+1)/10000000)))</f>
        <v/>
      </c>
      <c r="S145" t="str">
        <f>IF(C145="","",IF(C145&lt;Setup!$C$5-Setup!$C$6,"",IF(IF(ISNUMBER(Roster!$D145),Setup!$C$21&lt;=Roster!$D145,FALSE),"",IF(OR(IF(Setup!$C$15&lt;=Setup!$C$16,AND(MONTH(C145)&gt;=Setup!$C$15,MONTH(C145)&lt;=Setup!$C$16),OR(MONTH(C145)&gt;=Setup!$C$15,MONTH(C145)&lt;=Setup!$C$16)),IF(Setup!$C$15&lt;=Setup!$C$16,AND(MONTH(WORKDAY(C145,-(Setup!$C$13+Setup!$G$21),Setup!$C$39:$C$50))&gt;=Setup!$C$15,MONTH(WORKDAY(C145,-(Setup!$C$13+Setup!$G$21),Setup!$C$39:$C$50))&lt;=Setup!$C$16),OR(MONTH(WORKDAY(C145,-(Setup!$C$13+Setup!$G$21),Setup!$C$39:$C$50))&gt;=Setup!$C$15,MONTH(WORKDAY(C145,-(Setup!$C$13+Setup!$G$21),Setup!$C$39:$C$50))&lt;=Setup!$C$16))),WORKDAY(C145,-(Setup!$C$13+Setup!$G$21+Setup!$C$14),Setup!$C$39:$C$50),WORKDAY(C145,-(Setup!$C$13+Setup!$G$21),Setup!$C$39:$C$50))+(140*100+2)/10000000)))</f>
        <v/>
      </c>
      <c r="T145" t="str">
        <f>IF(D145="","",IF(D145&lt;Setup!$C$5-Setup!$C$6,"",IF(IF(ISNUMBER(Roster!$D145),Setup!$C$22&lt;=Roster!$D145,FALSE),"",IF(OR(IF(Setup!$C$15&lt;=Setup!$C$16,AND(MONTH(D145)&gt;=Setup!$C$15,MONTH(D145)&lt;=Setup!$C$16),OR(MONTH(D145)&gt;=Setup!$C$15,MONTH(D145)&lt;=Setup!$C$16)),IF(Setup!$C$15&lt;=Setup!$C$16,AND(MONTH(WORKDAY(D145,-(Setup!$C$13+Setup!$G$22),Setup!$C$39:$C$50))&gt;=Setup!$C$15,MONTH(WORKDAY(D145,-(Setup!$C$13+Setup!$G$22),Setup!$C$39:$C$50))&lt;=Setup!$C$16),OR(MONTH(WORKDAY(D145,-(Setup!$C$13+Setup!$G$22),Setup!$C$39:$C$50))&gt;=Setup!$C$15,MONTH(WORKDAY(D145,-(Setup!$C$13+Setup!$G$22),Setup!$C$39:$C$50))&lt;=Setup!$C$16))),WORKDAY(D145,-(Setup!$C$13+Setup!$G$22+Setup!$C$14),Setup!$C$39:$C$50),WORKDAY(D145,-(Setup!$C$13+Setup!$G$22),Setup!$C$39:$C$50))+(140*100+3)/10000000)))</f>
        <v/>
      </c>
      <c r="U145" t="str">
        <f>IF(E145="","",IF(E145&lt;Setup!$C$5-Setup!$C$6,"",IF(IF(ISNUMBER(Roster!$D145),Setup!$C$23&lt;=Roster!$D145,FALSE),"",IF(OR(IF(Setup!$C$15&lt;=Setup!$C$16,AND(MONTH(E145)&gt;=Setup!$C$15,MONTH(E145)&lt;=Setup!$C$16),OR(MONTH(E145)&gt;=Setup!$C$15,MONTH(E145)&lt;=Setup!$C$16)),IF(Setup!$C$15&lt;=Setup!$C$16,AND(MONTH(WORKDAY(E145,-(Setup!$C$13+Setup!$G$23),Setup!$C$39:$C$50))&gt;=Setup!$C$15,MONTH(WORKDAY(E145,-(Setup!$C$13+Setup!$G$23),Setup!$C$39:$C$50))&lt;=Setup!$C$16),OR(MONTH(WORKDAY(E145,-(Setup!$C$13+Setup!$G$23),Setup!$C$39:$C$50))&gt;=Setup!$C$15,MONTH(WORKDAY(E145,-(Setup!$C$13+Setup!$G$23),Setup!$C$39:$C$50))&lt;=Setup!$C$16))),WORKDAY(E145,-(Setup!$C$13+Setup!$G$23+Setup!$C$14),Setup!$C$39:$C$50),WORKDAY(E145,-(Setup!$C$13+Setup!$G$23),Setup!$C$39:$C$50))+(140*100+4)/10000000)))</f>
        <v/>
      </c>
      <c r="V145" t="str">
        <f>IF(F145="","",IF(F145&lt;Setup!$C$5-Setup!$C$6,"",IF(IF(ISNUMBER(Roster!$D145),Setup!$C$24&lt;=Roster!$D145,FALSE),"",IF(OR(IF(Setup!$C$15&lt;=Setup!$C$16,AND(MONTH(F145)&gt;=Setup!$C$15,MONTH(F145)&lt;=Setup!$C$16),OR(MONTH(F145)&gt;=Setup!$C$15,MONTH(F145)&lt;=Setup!$C$16)),IF(Setup!$C$15&lt;=Setup!$C$16,AND(MONTH(WORKDAY(F145,-(Setup!$C$13+Setup!$G$24),Setup!$C$39:$C$50))&gt;=Setup!$C$15,MONTH(WORKDAY(F145,-(Setup!$C$13+Setup!$G$24),Setup!$C$39:$C$50))&lt;=Setup!$C$16),OR(MONTH(WORKDAY(F145,-(Setup!$C$13+Setup!$G$24),Setup!$C$39:$C$50))&gt;=Setup!$C$15,MONTH(WORKDAY(F145,-(Setup!$C$13+Setup!$G$24),Setup!$C$39:$C$50))&lt;=Setup!$C$16))),WORKDAY(F145,-(Setup!$C$13+Setup!$G$24+Setup!$C$14),Setup!$C$39:$C$50),WORKDAY(F145,-(Setup!$C$13+Setup!$G$24),Setup!$C$39:$C$50))+(140*100+5)/10000000)))</f>
        <v/>
      </c>
      <c r="W145" t="str">
        <f>IF(G145="","",IF(G145&lt;Setup!$C$5-Setup!$C$6,"",IF(IF(ISNUMBER(Roster!$D145),Setup!$C$25&lt;=Roster!$D145,FALSE),"",IF(OR(IF(Setup!$C$15&lt;=Setup!$C$16,AND(MONTH(G145)&gt;=Setup!$C$15,MONTH(G145)&lt;=Setup!$C$16),OR(MONTH(G145)&gt;=Setup!$C$15,MONTH(G145)&lt;=Setup!$C$16)),IF(Setup!$C$15&lt;=Setup!$C$16,AND(MONTH(WORKDAY(G145,-(Setup!$C$13+Setup!$G$25),Setup!$C$39:$C$50))&gt;=Setup!$C$15,MONTH(WORKDAY(G145,-(Setup!$C$13+Setup!$G$25),Setup!$C$39:$C$50))&lt;=Setup!$C$16),OR(MONTH(WORKDAY(G145,-(Setup!$C$13+Setup!$G$25),Setup!$C$39:$C$50))&gt;=Setup!$C$15,MONTH(WORKDAY(G145,-(Setup!$C$13+Setup!$G$25),Setup!$C$39:$C$50))&lt;=Setup!$C$16))),WORKDAY(G145,-(Setup!$C$13+Setup!$G$25+Setup!$C$14),Setup!$C$39:$C$50),WORKDAY(G145,-(Setup!$C$13+Setup!$G$25),Setup!$C$39:$C$50))+(140*100+6)/10000000)))</f>
        <v/>
      </c>
      <c r="X145" t="str">
        <f>IF(H145="","",IF(H145&lt;Setup!$C$5-Setup!$C$6,"",IF(IF(ISNUMBER(Roster!$D145),Setup!$C$26&lt;=Roster!$D145,FALSE),"",IF(OR(IF(Setup!$C$15&lt;=Setup!$C$16,AND(MONTH(H145)&gt;=Setup!$C$15,MONTH(H145)&lt;=Setup!$C$16),OR(MONTH(H145)&gt;=Setup!$C$15,MONTH(H145)&lt;=Setup!$C$16)),IF(Setup!$C$15&lt;=Setup!$C$16,AND(MONTH(WORKDAY(H145,-(Setup!$C$13+Setup!$G$26),Setup!$C$39:$C$50))&gt;=Setup!$C$15,MONTH(WORKDAY(H145,-(Setup!$C$13+Setup!$G$26),Setup!$C$39:$C$50))&lt;=Setup!$C$16),OR(MONTH(WORKDAY(H145,-(Setup!$C$13+Setup!$G$26),Setup!$C$39:$C$50))&gt;=Setup!$C$15,MONTH(WORKDAY(H145,-(Setup!$C$13+Setup!$G$26),Setup!$C$39:$C$50))&lt;=Setup!$C$16))),WORKDAY(H145,-(Setup!$C$13+Setup!$G$26+Setup!$C$14),Setup!$C$39:$C$50),WORKDAY(H145,-(Setup!$C$13+Setup!$G$26),Setup!$C$39:$C$50))+(140*100+7)/10000000)))</f>
        <v/>
      </c>
      <c r="Y145" t="str">
        <f>IF(I145="","",IF(I145&lt;Setup!$C$5-Setup!$C$6,"",IF(IF(ISNUMBER(Roster!$D145),Setup!$C$27&lt;=Roster!$D145,FALSE),"",IF(OR(IF(Setup!$C$15&lt;=Setup!$C$16,AND(MONTH(I145)&gt;=Setup!$C$15,MONTH(I145)&lt;=Setup!$C$16),OR(MONTH(I145)&gt;=Setup!$C$15,MONTH(I145)&lt;=Setup!$C$16)),IF(Setup!$C$15&lt;=Setup!$C$16,AND(MONTH(WORKDAY(I145,-(Setup!$C$13+Setup!$G$27),Setup!$C$39:$C$50))&gt;=Setup!$C$15,MONTH(WORKDAY(I145,-(Setup!$C$13+Setup!$G$27),Setup!$C$39:$C$50))&lt;=Setup!$C$16),OR(MONTH(WORKDAY(I145,-(Setup!$C$13+Setup!$G$27),Setup!$C$39:$C$50))&gt;=Setup!$C$15,MONTH(WORKDAY(I145,-(Setup!$C$13+Setup!$G$27),Setup!$C$39:$C$50))&lt;=Setup!$C$16))),WORKDAY(I145,-(Setup!$C$13+Setup!$G$27+Setup!$C$14),Setup!$C$39:$C$50),WORKDAY(I145,-(Setup!$C$13+Setup!$G$27),Setup!$C$39:$C$50))+(140*100+8)/10000000)))</f>
        <v/>
      </c>
      <c r="Z145" t="str">
        <f>IF(J145="","",IF(J145&lt;Setup!$C$5-Setup!$C$6,"",IF(IF(ISNUMBER(Roster!$D145),Setup!$C$28&lt;=Roster!$D145,FALSE),"",IF(OR(IF(Setup!$C$15&lt;=Setup!$C$16,AND(MONTH(J145)&gt;=Setup!$C$15,MONTH(J145)&lt;=Setup!$C$16),OR(MONTH(J145)&gt;=Setup!$C$15,MONTH(J145)&lt;=Setup!$C$16)),IF(Setup!$C$15&lt;=Setup!$C$16,AND(MONTH(WORKDAY(J145,-(Setup!$C$13+Setup!$G$28),Setup!$C$39:$C$50))&gt;=Setup!$C$15,MONTH(WORKDAY(J145,-(Setup!$C$13+Setup!$G$28),Setup!$C$39:$C$50))&lt;=Setup!$C$16),OR(MONTH(WORKDAY(J145,-(Setup!$C$13+Setup!$G$28),Setup!$C$39:$C$50))&gt;=Setup!$C$15,MONTH(WORKDAY(J145,-(Setup!$C$13+Setup!$G$28),Setup!$C$39:$C$50))&lt;=Setup!$C$16))),WORKDAY(J145,-(Setup!$C$13+Setup!$G$28+Setup!$C$14),Setup!$C$39:$C$50),WORKDAY(J145,-(Setup!$C$13+Setup!$G$28),Setup!$C$39:$C$50))+(140*100+9)/10000000)))</f>
        <v/>
      </c>
      <c r="AA145" t="str">
        <f>IF(K145="","",IF(K145&lt;Setup!$C$5-Setup!$C$6,"",IF(IF(ISNUMBER(Roster!$D145),Setup!$C$29&lt;=Roster!$D145,FALSE),"",IF(OR(IF(Setup!$C$15&lt;=Setup!$C$16,AND(MONTH(K145)&gt;=Setup!$C$15,MONTH(K145)&lt;=Setup!$C$16),OR(MONTH(K145)&gt;=Setup!$C$15,MONTH(K145)&lt;=Setup!$C$16)),IF(Setup!$C$15&lt;=Setup!$C$16,AND(MONTH(WORKDAY(K145,-(Setup!$C$13+Setup!$G$29),Setup!$C$39:$C$50))&gt;=Setup!$C$15,MONTH(WORKDAY(K145,-(Setup!$C$13+Setup!$G$29),Setup!$C$39:$C$50))&lt;=Setup!$C$16),OR(MONTH(WORKDAY(K145,-(Setup!$C$13+Setup!$G$29),Setup!$C$39:$C$50))&gt;=Setup!$C$15,MONTH(WORKDAY(K145,-(Setup!$C$13+Setup!$G$29),Setup!$C$39:$C$50))&lt;=Setup!$C$16))),WORKDAY(K145,-(Setup!$C$13+Setup!$G$29+Setup!$C$14),Setup!$C$39:$C$50),WORKDAY(K145,-(Setup!$C$13+Setup!$G$29),Setup!$C$39:$C$50))+(140*100+10)/10000000)))</f>
        <v/>
      </c>
      <c r="AB145" t="str">
        <f>IF(L145="","",IF(L145&lt;Setup!$C$5-Setup!$C$6,"",IF(IF(ISNUMBER(Roster!$D145),Setup!$C$30&lt;=Roster!$D145,FALSE),"",IF(OR(IF(Setup!$C$15&lt;=Setup!$C$16,AND(MONTH(L145)&gt;=Setup!$C$15,MONTH(L145)&lt;=Setup!$C$16),OR(MONTH(L145)&gt;=Setup!$C$15,MONTH(L145)&lt;=Setup!$C$16)),IF(Setup!$C$15&lt;=Setup!$C$16,AND(MONTH(WORKDAY(L145,-(Setup!$C$13+Setup!$G$30),Setup!$C$39:$C$50))&gt;=Setup!$C$15,MONTH(WORKDAY(L145,-(Setup!$C$13+Setup!$G$30),Setup!$C$39:$C$50))&lt;=Setup!$C$16),OR(MONTH(WORKDAY(L145,-(Setup!$C$13+Setup!$G$30),Setup!$C$39:$C$50))&gt;=Setup!$C$15,MONTH(WORKDAY(L145,-(Setup!$C$13+Setup!$G$30),Setup!$C$39:$C$50))&lt;=Setup!$C$16))),WORKDAY(L145,-(Setup!$C$13+Setup!$G$30+Setup!$C$14),Setup!$C$39:$C$50),WORKDAY(L145,-(Setup!$C$13+Setup!$G$30),Setup!$C$39:$C$50))+(140*100+11)/10000000)))</f>
        <v/>
      </c>
      <c r="AC145" t="str">
        <f>IF(M145="","",IF(M145&lt;Setup!$C$5-Setup!$C$6,"",IF(IF(ISNUMBER(Roster!$D145),Setup!$C$31&lt;=Roster!$D145,FALSE),"",IF(OR(IF(Setup!$C$15&lt;=Setup!$C$16,AND(MONTH(M145)&gt;=Setup!$C$15,MONTH(M145)&lt;=Setup!$C$16),OR(MONTH(M145)&gt;=Setup!$C$15,MONTH(M145)&lt;=Setup!$C$16)),IF(Setup!$C$15&lt;=Setup!$C$16,AND(MONTH(WORKDAY(M145,-(Setup!$C$13+Setup!$G$31),Setup!$C$39:$C$50))&gt;=Setup!$C$15,MONTH(WORKDAY(M145,-(Setup!$C$13+Setup!$G$31),Setup!$C$39:$C$50))&lt;=Setup!$C$16),OR(MONTH(WORKDAY(M145,-(Setup!$C$13+Setup!$G$31),Setup!$C$39:$C$50))&gt;=Setup!$C$15,MONTH(WORKDAY(M145,-(Setup!$C$13+Setup!$G$31),Setup!$C$39:$C$50))&lt;=Setup!$C$16))),WORKDAY(M145,-(Setup!$C$13+Setup!$G$31+Setup!$C$14),Setup!$C$39:$C$50),WORKDAY(M145,-(Setup!$C$13+Setup!$G$31),Setup!$C$39:$C$50))+(140*100+12)/10000000)))</f>
        <v/>
      </c>
      <c r="AD145" t="str">
        <f>IF(N145="","",IF(N145&lt;Setup!$C$5-Setup!$C$6,"",IF(IF(ISNUMBER(Roster!$D145),Setup!$C$32&lt;=Roster!$D145,FALSE),"",IF(OR(IF(Setup!$C$15&lt;=Setup!$C$16,AND(MONTH(N145)&gt;=Setup!$C$15,MONTH(N145)&lt;=Setup!$C$16),OR(MONTH(N145)&gt;=Setup!$C$15,MONTH(N145)&lt;=Setup!$C$16)),IF(Setup!$C$15&lt;=Setup!$C$16,AND(MONTH(WORKDAY(N145,-(Setup!$C$13+Setup!$G$32),Setup!$C$39:$C$50))&gt;=Setup!$C$15,MONTH(WORKDAY(N145,-(Setup!$C$13+Setup!$G$32),Setup!$C$39:$C$50))&lt;=Setup!$C$16),OR(MONTH(WORKDAY(N145,-(Setup!$C$13+Setup!$G$32),Setup!$C$39:$C$50))&gt;=Setup!$C$15,MONTH(WORKDAY(N145,-(Setup!$C$13+Setup!$G$32),Setup!$C$39:$C$50))&lt;=Setup!$C$16))),WORKDAY(N145,-(Setup!$C$13+Setup!$G$32+Setup!$C$14),Setup!$C$39:$C$50),WORKDAY(N145,-(Setup!$C$13+Setup!$G$32),Setup!$C$39:$C$50))+(140*100+13)/10000000)))</f>
        <v/>
      </c>
      <c r="AE145" t="str">
        <f>IF(O145="","",IF(O145&lt;Setup!$C$5-Setup!$C$6,"",IF(IF(ISNUMBER(Roster!$D145),Setup!$C$33&lt;=Roster!$D145,FALSE),"",IF(OR(IF(Setup!$C$15&lt;=Setup!$C$16,AND(MONTH(O145)&gt;=Setup!$C$15,MONTH(O145)&lt;=Setup!$C$16),OR(MONTH(O145)&gt;=Setup!$C$15,MONTH(O145)&lt;=Setup!$C$16)),IF(Setup!$C$15&lt;=Setup!$C$16,AND(MONTH(WORKDAY(O145,-(Setup!$C$13+Setup!$G$33),Setup!$C$39:$C$50))&gt;=Setup!$C$15,MONTH(WORKDAY(O145,-(Setup!$C$13+Setup!$G$33),Setup!$C$39:$C$50))&lt;=Setup!$C$16),OR(MONTH(WORKDAY(O145,-(Setup!$C$13+Setup!$G$33),Setup!$C$39:$C$50))&gt;=Setup!$C$15,MONTH(WORKDAY(O145,-(Setup!$C$13+Setup!$G$33),Setup!$C$39:$C$50))&lt;=Setup!$C$16))),WORKDAY(O145,-(Setup!$C$13+Setup!$G$33+Setup!$C$14),Setup!$C$39:$C$50),WORKDAY(O145,-(Setup!$C$13+Setup!$G$33),Setup!$C$39:$C$50))+(140*100+14)/10000000)))</f>
        <v/>
      </c>
      <c r="AF145" t="str">
        <f>IF(P145="","",IF(P145&lt;Setup!$C$5-Setup!$C$6,"",IF(IF(ISNUMBER(Roster!$D145),Setup!$C$34&lt;=Roster!$D145,FALSE),"",IF(OR(IF(Setup!$C$15&lt;=Setup!$C$16,AND(MONTH(P145)&gt;=Setup!$C$15,MONTH(P145)&lt;=Setup!$C$16),OR(MONTH(P145)&gt;=Setup!$C$15,MONTH(P145)&lt;=Setup!$C$16)),IF(Setup!$C$15&lt;=Setup!$C$16,AND(MONTH(WORKDAY(P145,-(Setup!$C$13+Setup!$G$34),Setup!$C$39:$C$50))&gt;=Setup!$C$15,MONTH(WORKDAY(P145,-(Setup!$C$13+Setup!$G$34),Setup!$C$39:$C$50))&lt;=Setup!$C$16),OR(MONTH(WORKDAY(P145,-(Setup!$C$13+Setup!$G$34),Setup!$C$39:$C$50))&gt;=Setup!$C$15,MONTH(WORKDAY(P145,-(Setup!$C$13+Setup!$G$34),Setup!$C$39:$C$50))&lt;=Setup!$C$16))),WORKDAY(P145,-(Setup!$C$13+Setup!$G$34+Setup!$C$14),Setup!$C$39:$C$50),WORKDAY(P145,-(Setup!$C$13+Setup!$G$34),Setup!$C$39:$C$50))+(140*100+15)/10000000)))</f>
        <v/>
      </c>
      <c r="AH145" t="str">
        <f t="shared" si="17"/>
        <v/>
      </c>
      <c r="AI145" t="str">
        <f t="shared" si="18"/>
        <v/>
      </c>
      <c r="AK145" t="str">
        <f ca="1">IF(140&gt;$AK$2,"",SMALL($R$6:$AF$505,140))</f>
        <v/>
      </c>
      <c r="AL145" t="str">
        <f t="shared" ca="1" si="19"/>
        <v/>
      </c>
      <c r="AM145" t="str">
        <f t="shared" ca="1" si="20"/>
        <v/>
      </c>
      <c r="AN145" t="str">
        <f t="shared" ca="1" si="21"/>
        <v/>
      </c>
      <c r="AP145" t="str">
        <f>IF(ISNUMBER(Roster!$B145),MAX(1,YEAR(Setup!$C$5)-YEAR(Roster!$B145)+IF(EDATE(Roster!$B145,12*(YEAR(Setup!$C$5)-YEAR(Roster!$B145)))&lt;Setup!$C$5,1,0)),"")</f>
        <v/>
      </c>
      <c r="AQ145" s="32" t="str">
        <f>IF(AP145="","",EDATE(Roster!$B145,12*AP145))</f>
        <v/>
      </c>
      <c r="AR145" t="str">
        <f>IF(AQ145="","",IF(AQ145&lt;DATE(YEAR(Setup!$C$5)+1,MONTH(Setup!$C$5),DAY(Setup!$C$5)),AQ145+140/1000,""))</f>
        <v/>
      </c>
      <c r="AS145" t="str">
        <f t="shared" si="22"/>
        <v/>
      </c>
      <c r="AT145" t="str">
        <f>IF(AS145="","",IF(ISNUMBER(Roster!$D145),Roster!$D145&gt;=AP145,FALSE))</f>
        <v/>
      </c>
      <c r="AU145" t="str">
        <f t="shared" si="23"/>
        <v/>
      </c>
      <c r="AV145" t="str">
        <f ca="1">IF(140&gt;$AV$2,"",SMALL($AR$6:$AR$505,140))</f>
        <v/>
      </c>
      <c r="AW145" t="str">
        <f t="shared" ca="1" si="24"/>
        <v/>
      </c>
    </row>
    <row r="146" spans="2:49" x14ac:dyDescent="0.2">
      <c r="B146" s="32" t="str">
        <f>IF(AND(ISNUMBER(Roster!$B146),Setup!$B$20="Yes",ISNUMBER(Setup!$C$20)),EDATE(Roster!$B146,12*Setup!$C$20),"")</f>
        <v/>
      </c>
      <c r="C146" s="32" t="str">
        <f>IF(AND(ISNUMBER(Roster!$B146),Setup!$B$21="Yes",ISNUMBER(Setup!$C$21)),EDATE(Roster!$B146,12*Setup!$C$21),"")</f>
        <v/>
      </c>
      <c r="D146" s="32" t="str">
        <f>IF(AND(ISNUMBER(Roster!$B146),Setup!$B$22="Yes",ISNUMBER(Setup!$C$22)),EDATE(Roster!$B146,12*Setup!$C$22),"")</f>
        <v/>
      </c>
      <c r="E146" s="32" t="str">
        <f>IF(AND(ISNUMBER(Roster!$B146),Setup!$B$23="Yes",ISNUMBER(Setup!$C$23)),EDATE(Roster!$B146,12*Setup!$C$23),"")</f>
        <v/>
      </c>
      <c r="F146" s="32" t="str">
        <f>IF(AND(ISNUMBER(Roster!$B146),Setup!$B$24="Yes",ISNUMBER(Setup!$C$24)),EDATE(Roster!$B146,12*Setup!$C$24),"")</f>
        <v/>
      </c>
      <c r="G146" s="32" t="str">
        <f>IF(AND(ISNUMBER(Roster!$B146),Setup!$B$25="Yes",ISNUMBER(Setup!$C$25)),EDATE(Roster!$B146,12*Setup!$C$25),"")</f>
        <v/>
      </c>
      <c r="H146" s="32" t="str">
        <f>IF(AND(ISNUMBER(Roster!$B146),Setup!$B$26="Yes",ISNUMBER(Setup!$C$26)),EDATE(Roster!$B146,12*Setup!$C$26),"")</f>
        <v/>
      </c>
      <c r="I146" s="32" t="str">
        <f>IF(AND(ISNUMBER(Roster!$B146),Setup!$B$27="Yes",ISNUMBER(Setup!$C$27)),EDATE(Roster!$B146,12*Setup!$C$27),"")</f>
        <v/>
      </c>
      <c r="J146" s="32" t="str">
        <f>IF(AND(ISNUMBER(Roster!$B146),Setup!$B$28="Yes",ISNUMBER(Setup!$C$28)),EDATE(Roster!$B146,12*Setup!$C$28),"")</f>
        <v/>
      </c>
      <c r="K146" s="32" t="str">
        <f>IF(AND(ISNUMBER(Roster!$B146),Setup!$B$29="Yes",ISNUMBER(Setup!$C$29)),EDATE(Roster!$B146,12*Setup!$C$29),"")</f>
        <v/>
      </c>
      <c r="L146" s="32" t="str">
        <f>IF(AND(ISNUMBER(Roster!$B146),Setup!$B$30="Yes",ISNUMBER(Setup!$C$30)),EDATE(Roster!$B146,12*Setup!$C$30),"")</f>
        <v/>
      </c>
      <c r="M146" s="32" t="str">
        <f>IF(AND(ISNUMBER(Roster!$B146),Setup!$B$31="Yes",ISNUMBER(Setup!$C$31)),EDATE(Roster!$B146,12*Setup!$C$31),"")</f>
        <v/>
      </c>
      <c r="N146" s="32" t="str">
        <f>IF(AND(ISNUMBER(Roster!$B146),Setup!$B$32="Yes",ISNUMBER(Setup!$C$32)),EDATE(Roster!$B146,12*Setup!$C$32),"")</f>
        <v/>
      </c>
      <c r="O146" s="32" t="str">
        <f>IF(AND(ISNUMBER(Roster!$B146),Setup!$B$33="Yes",ISNUMBER(Setup!$C$33)),EDATE(Roster!$B146,12*Setup!$C$33),"")</f>
        <v/>
      </c>
      <c r="P146" s="32" t="str">
        <f>IF(AND(ISNUMBER(Roster!$B146),Setup!$B$34="Yes",ISNUMBER(Setup!$C$34)),EDATE(Roster!$B146,12*Setup!$C$34),"")</f>
        <v/>
      </c>
      <c r="R146" t="str">
        <f>IF(B146="","",IF(B146&lt;Setup!$C$5-Setup!$C$6,"",IF(IF(ISNUMBER(Roster!$D146),Setup!$C$20&lt;=Roster!$D146,FALSE),"",IF(OR(IF(Setup!$C$15&lt;=Setup!$C$16,AND(MONTH(B146)&gt;=Setup!$C$15,MONTH(B146)&lt;=Setup!$C$16),OR(MONTH(B146)&gt;=Setup!$C$15,MONTH(B146)&lt;=Setup!$C$16)),IF(Setup!$C$15&lt;=Setup!$C$16,AND(MONTH(WORKDAY(B146,-(Setup!$C$13+Setup!$G$20),Setup!$C$39:$C$50))&gt;=Setup!$C$15,MONTH(WORKDAY(B146,-(Setup!$C$13+Setup!$G$20),Setup!$C$39:$C$50))&lt;=Setup!$C$16),OR(MONTH(WORKDAY(B146,-(Setup!$C$13+Setup!$G$20),Setup!$C$39:$C$50))&gt;=Setup!$C$15,MONTH(WORKDAY(B146,-(Setup!$C$13+Setup!$G$20),Setup!$C$39:$C$50))&lt;=Setup!$C$16))),WORKDAY(B146,-(Setup!$C$13+Setup!$G$20+Setup!$C$14),Setup!$C$39:$C$50),WORKDAY(B146,-(Setup!$C$13+Setup!$G$20),Setup!$C$39:$C$50))+(141*100+1)/10000000)))</f>
        <v/>
      </c>
      <c r="S146" t="str">
        <f>IF(C146="","",IF(C146&lt;Setup!$C$5-Setup!$C$6,"",IF(IF(ISNUMBER(Roster!$D146),Setup!$C$21&lt;=Roster!$D146,FALSE),"",IF(OR(IF(Setup!$C$15&lt;=Setup!$C$16,AND(MONTH(C146)&gt;=Setup!$C$15,MONTH(C146)&lt;=Setup!$C$16),OR(MONTH(C146)&gt;=Setup!$C$15,MONTH(C146)&lt;=Setup!$C$16)),IF(Setup!$C$15&lt;=Setup!$C$16,AND(MONTH(WORKDAY(C146,-(Setup!$C$13+Setup!$G$21),Setup!$C$39:$C$50))&gt;=Setup!$C$15,MONTH(WORKDAY(C146,-(Setup!$C$13+Setup!$G$21),Setup!$C$39:$C$50))&lt;=Setup!$C$16),OR(MONTH(WORKDAY(C146,-(Setup!$C$13+Setup!$G$21),Setup!$C$39:$C$50))&gt;=Setup!$C$15,MONTH(WORKDAY(C146,-(Setup!$C$13+Setup!$G$21),Setup!$C$39:$C$50))&lt;=Setup!$C$16))),WORKDAY(C146,-(Setup!$C$13+Setup!$G$21+Setup!$C$14),Setup!$C$39:$C$50),WORKDAY(C146,-(Setup!$C$13+Setup!$G$21),Setup!$C$39:$C$50))+(141*100+2)/10000000)))</f>
        <v/>
      </c>
      <c r="T146" t="str">
        <f>IF(D146="","",IF(D146&lt;Setup!$C$5-Setup!$C$6,"",IF(IF(ISNUMBER(Roster!$D146),Setup!$C$22&lt;=Roster!$D146,FALSE),"",IF(OR(IF(Setup!$C$15&lt;=Setup!$C$16,AND(MONTH(D146)&gt;=Setup!$C$15,MONTH(D146)&lt;=Setup!$C$16),OR(MONTH(D146)&gt;=Setup!$C$15,MONTH(D146)&lt;=Setup!$C$16)),IF(Setup!$C$15&lt;=Setup!$C$16,AND(MONTH(WORKDAY(D146,-(Setup!$C$13+Setup!$G$22),Setup!$C$39:$C$50))&gt;=Setup!$C$15,MONTH(WORKDAY(D146,-(Setup!$C$13+Setup!$G$22),Setup!$C$39:$C$50))&lt;=Setup!$C$16),OR(MONTH(WORKDAY(D146,-(Setup!$C$13+Setup!$G$22),Setup!$C$39:$C$50))&gt;=Setup!$C$15,MONTH(WORKDAY(D146,-(Setup!$C$13+Setup!$G$22),Setup!$C$39:$C$50))&lt;=Setup!$C$16))),WORKDAY(D146,-(Setup!$C$13+Setup!$G$22+Setup!$C$14),Setup!$C$39:$C$50),WORKDAY(D146,-(Setup!$C$13+Setup!$G$22),Setup!$C$39:$C$50))+(141*100+3)/10000000)))</f>
        <v/>
      </c>
      <c r="U146" t="str">
        <f>IF(E146="","",IF(E146&lt;Setup!$C$5-Setup!$C$6,"",IF(IF(ISNUMBER(Roster!$D146),Setup!$C$23&lt;=Roster!$D146,FALSE),"",IF(OR(IF(Setup!$C$15&lt;=Setup!$C$16,AND(MONTH(E146)&gt;=Setup!$C$15,MONTH(E146)&lt;=Setup!$C$16),OR(MONTH(E146)&gt;=Setup!$C$15,MONTH(E146)&lt;=Setup!$C$16)),IF(Setup!$C$15&lt;=Setup!$C$16,AND(MONTH(WORKDAY(E146,-(Setup!$C$13+Setup!$G$23),Setup!$C$39:$C$50))&gt;=Setup!$C$15,MONTH(WORKDAY(E146,-(Setup!$C$13+Setup!$G$23),Setup!$C$39:$C$50))&lt;=Setup!$C$16),OR(MONTH(WORKDAY(E146,-(Setup!$C$13+Setup!$G$23),Setup!$C$39:$C$50))&gt;=Setup!$C$15,MONTH(WORKDAY(E146,-(Setup!$C$13+Setup!$G$23),Setup!$C$39:$C$50))&lt;=Setup!$C$16))),WORKDAY(E146,-(Setup!$C$13+Setup!$G$23+Setup!$C$14),Setup!$C$39:$C$50),WORKDAY(E146,-(Setup!$C$13+Setup!$G$23),Setup!$C$39:$C$50))+(141*100+4)/10000000)))</f>
        <v/>
      </c>
      <c r="V146" t="str">
        <f>IF(F146="","",IF(F146&lt;Setup!$C$5-Setup!$C$6,"",IF(IF(ISNUMBER(Roster!$D146),Setup!$C$24&lt;=Roster!$D146,FALSE),"",IF(OR(IF(Setup!$C$15&lt;=Setup!$C$16,AND(MONTH(F146)&gt;=Setup!$C$15,MONTH(F146)&lt;=Setup!$C$16),OR(MONTH(F146)&gt;=Setup!$C$15,MONTH(F146)&lt;=Setup!$C$16)),IF(Setup!$C$15&lt;=Setup!$C$16,AND(MONTH(WORKDAY(F146,-(Setup!$C$13+Setup!$G$24),Setup!$C$39:$C$50))&gt;=Setup!$C$15,MONTH(WORKDAY(F146,-(Setup!$C$13+Setup!$G$24),Setup!$C$39:$C$50))&lt;=Setup!$C$16),OR(MONTH(WORKDAY(F146,-(Setup!$C$13+Setup!$G$24),Setup!$C$39:$C$50))&gt;=Setup!$C$15,MONTH(WORKDAY(F146,-(Setup!$C$13+Setup!$G$24),Setup!$C$39:$C$50))&lt;=Setup!$C$16))),WORKDAY(F146,-(Setup!$C$13+Setup!$G$24+Setup!$C$14),Setup!$C$39:$C$50),WORKDAY(F146,-(Setup!$C$13+Setup!$G$24),Setup!$C$39:$C$50))+(141*100+5)/10000000)))</f>
        <v/>
      </c>
      <c r="W146" t="str">
        <f>IF(G146="","",IF(G146&lt;Setup!$C$5-Setup!$C$6,"",IF(IF(ISNUMBER(Roster!$D146),Setup!$C$25&lt;=Roster!$D146,FALSE),"",IF(OR(IF(Setup!$C$15&lt;=Setup!$C$16,AND(MONTH(G146)&gt;=Setup!$C$15,MONTH(G146)&lt;=Setup!$C$16),OR(MONTH(G146)&gt;=Setup!$C$15,MONTH(G146)&lt;=Setup!$C$16)),IF(Setup!$C$15&lt;=Setup!$C$16,AND(MONTH(WORKDAY(G146,-(Setup!$C$13+Setup!$G$25),Setup!$C$39:$C$50))&gt;=Setup!$C$15,MONTH(WORKDAY(G146,-(Setup!$C$13+Setup!$G$25),Setup!$C$39:$C$50))&lt;=Setup!$C$16),OR(MONTH(WORKDAY(G146,-(Setup!$C$13+Setup!$G$25),Setup!$C$39:$C$50))&gt;=Setup!$C$15,MONTH(WORKDAY(G146,-(Setup!$C$13+Setup!$G$25),Setup!$C$39:$C$50))&lt;=Setup!$C$16))),WORKDAY(G146,-(Setup!$C$13+Setup!$G$25+Setup!$C$14),Setup!$C$39:$C$50),WORKDAY(G146,-(Setup!$C$13+Setup!$G$25),Setup!$C$39:$C$50))+(141*100+6)/10000000)))</f>
        <v/>
      </c>
      <c r="X146" t="str">
        <f>IF(H146="","",IF(H146&lt;Setup!$C$5-Setup!$C$6,"",IF(IF(ISNUMBER(Roster!$D146),Setup!$C$26&lt;=Roster!$D146,FALSE),"",IF(OR(IF(Setup!$C$15&lt;=Setup!$C$16,AND(MONTH(H146)&gt;=Setup!$C$15,MONTH(H146)&lt;=Setup!$C$16),OR(MONTH(H146)&gt;=Setup!$C$15,MONTH(H146)&lt;=Setup!$C$16)),IF(Setup!$C$15&lt;=Setup!$C$16,AND(MONTH(WORKDAY(H146,-(Setup!$C$13+Setup!$G$26),Setup!$C$39:$C$50))&gt;=Setup!$C$15,MONTH(WORKDAY(H146,-(Setup!$C$13+Setup!$G$26),Setup!$C$39:$C$50))&lt;=Setup!$C$16),OR(MONTH(WORKDAY(H146,-(Setup!$C$13+Setup!$G$26),Setup!$C$39:$C$50))&gt;=Setup!$C$15,MONTH(WORKDAY(H146,-(Setup!$C$13+Setup!$G$26),Setup!$C$39:$C$50))&lt;=Setup!$C$16))),WORKDAY(H146,-(Setup!$C$13+Setup!$G$26+Setup!$C$14),Setup!$C$39:$C$50),WORKDAY(H146,-(Setup!$C$13+Setup!$G$26),Setup!$C$39:$C$50))+(141*100+7)/10000000)))</f>
        <v/>
      </c>
      <c r="Y146" t="str">
        <f>IF(I146="","",IF(I146&lt;Setup!$C$5-Setup!$C$6,"",IF(IF(ISNUMBER(Roster!$D146),Setup!$C$27&lt;=Roster!$D146,FALSE),"",IF(OR(IF(Setup!$C$15&lt;=Setup!$C$16,AND(MONTH(I146)&gt;=Setup!$C$15,MONTH(I146)&lt;=Setup!$C$16),OR(MONTH(I146)&gt;=Setup!$C$15,MONTH(I146)&lt;=Setup!$C$16)),IF(Setup!$C$15&lt;=Setup!$C$16,AND(MONTH(WORKDAY(I146,-(Setup!$C$13+Setup!$G$27),Setup!$C$39:$C$50))&gt;=Setup!$C$15,MONTH(WORKDAY(I146,-(Setup!$C$13+Setup!$G$27),Setup!$C$39:$C$50))&lt;=Setup!$C$16),OR(MONTH(WORKDAY(I146,-(Setup!$C$13+Setup!$G$27),Setup!$C$39:$C$50))&gt;=Setup!$C$15,MONTH(WORKDAY(I146,-(Setup!$C$13+Setup!$G$27),Setup!$C$39:$C$50))&lt;=Setup!$C$16))),WORKDAY(I146,-(Setup!$C$13+Setup!$G$27+Setup!$C$14),Setup!$C$39:$C$50),WORKDAY(I146,-(Setup!$C$13+Setup!$G$27),Setup!$C$39:$C$50))+(141*100+8)/10000000)))</f>
        <v/>
      </c>
      <c r="Z146" t="str">
        <f>IF(J146="","",IF(J146&lt;Setup!$C$5-Setup!$C$6,"",IF(IF(ISNUMBER(Roster!$D146),Setup!$C$28&lt;=Roster!$D146,FALSE),"",IF(OR(IF(Setup!$C$15&lt;=Setup!$C$16,AND(MONTH(J146)&gt;=Setup!$C$15,MONTH(J146)&lt;=Setup!$C$16),OR(MONTH(J146)&gt;=Setup!$C$15,MONTH(J146)&lt;=Setup!$C$16)),IF(Setup!$C$15&lt;=Setup!$C$16,AND(MONTH(WORKDAY(J146,-(Setup!$C$13+Setup!$G$28),Setup!$C$39:$C$50))&gt;=Setup!$C$15,MONTH(WORKDAY(J146,-(Setup!$C$13+Setup!$G$28),Setup!$C$39:$C$50))&lt;=Setup!$C$16),OR(MONTH(WORKDAY(J146,-(Setup!$C$13+Setup!$G$28),Setup!$C$39:$C$50))&gt;=Setup!$C$15,MONTH(WORKDAY(J146,-(Setup!$C$13+Setup!$G$28),Setup!$C$39:$C$50))&lt;=Setup!$C$16))),WORKDAY(J146,-(Setup!$C$13+Setup!$G$28+Setup!$C$14),Setup!$C$39:$C$50),WORKDAY(J146,-(Setup!$C$13+Setup!$G$28),Setup!$C$39:$C$50))+(141*100+9)/10000000)))</f>
        <v/>
      </c>
      <c r="AA146" t="str">
        <f>IF(K146="","",IF(K146&lt;Setup!$C$5-Setup!$C$6,"",IF(IF(ISNUMBER(Roster!$D146),Setup!$C$29&lt;=Roster!$D146,FALSE),"",IF(OR(IF(Setup!$C$15&lt;=Setup!$C$16,AND(MONTH(K146)&gt;=Setup!$C$15,MONTH(K146)&lt;=Setup!$C$16),OR(MONTH(K146)&gt;=Setup!$C$15,MONTH(K146)&lt;=Setup!$C$16)),IF(Setup!$C$15&lt;=Setup!$C$16,AND(MONTH(WORKDAY(K146,-(Setup!$C$13+Setup!$G$29),Setup!$C$39:$C$50))&gt;=Setup!$C$15,MONTH(WORKDAY(K146,-(Setup!$C$13+Setup!$G$29),Setup!$C$39:$C$50))&lt;=Setup!$C$16),OR(MONTH(WORKDAY(K146,-(Setup!$C$13+Setup!$G$29),Setup!$C$39:$C$50))&gt;=Setup!$C$15,MONTH(WORKDAY(K146,-(Setup!$C$13+Setup!$G$29),Setup!$C$39:$C$50))&lt;=Setup!$C$16))),WORKDAY(K146,-(Setup!$C$13+Setup!$G$29+Setup!$C$14),Setup!$C$39:$C$50),WORKDAY(K146,-(Setup!$C$13+Setup!$G$29),Setup!$C$39:$C$50))+(141*100+10)/10000000)))</f>
        <v/>
      </c>
      <c r="AB146" t="str">
        <f>IF(L146="","",IF(L146&lt;Setup!$C$5-Setup!$C$6,"",IF(IF(ISNUMBER(Roster!$D146),Setup!$C$30&lt;=Roster!$D146,FALSE),"",IF(OR(IF(Setup!$C$15&lt;=Setup!$C$16,AND(MONTH(L146)&gt;=Setup!$C$15,MONTH(L146)&lt;=Setup!$C$16),OR(MONTH(L146)&gt;=Setup!$C$15,MONTH(L146)&lt;=Setup!$C$16)),IF(Setup!$C$15&lt;=Setup!$C$16,AND(MONTH(WORKDAY(L146,-(Setup!$C$13+Setup!$G$30),Setup!$C$39:$C$50))&gt;=Setup!$C$15,MONTH(WORKDAY(L146,-(Setup!$C$13+Setup!$G$30),Setup!$C$39:$C$50))&lt;=Setup!$C$16),OR(MONTH(WORKDAY(L146,-(Setup!$C$13+Setup!$G$30),Setup!$C$39:$C$50))&gt;=Setup!$C$15,MONTH(WORKDAY(L146,-(Setup!$C$13+Setup!$G$30),Setup!$C$39:$C$50))&lt;=Setup!$C$16))),WORKDAY(L146,-(Setup!$C$13+Setup!$G$30+Setup!$C$14),Setup!$C$39:$C$50),WORKDAY(L146,-(Setup!$C$13+Setup!$G$30),Setup!$C$39:$C$50))+(141*100+11)/10000000)))</f>
        <v/>
      </c>
      <c r="AC146" t="str">
        <f>IF(M146="","",IF(M146&lt;Setup!$C$5-Setup!$C$6,"",IF(IF(ISNUMBER(Roster!$D146),Setup!$C$31&lt;=Roster!$D146,FALSE),"",IF(OR(IF(Setup!$C$15&lt;=Setup!$C$16,AND(MONTH(M146)&gt;=Setup!$C$15,MONTH(M146)&lt;=Setup!$C$16),OR(MONTH(M146)&gt;=Setup!$C$15,MONTH(M146)&lt;=Setup!$C$16)),IF(Setup!$C$15&lt;=Setup!$C$16,AND(MONTH(WORKDAY(M146,-(Setup!$C$13+Setup!$G$31),Setup!$C$39:$C$50))&gt;=Setup!$C$15,MONTH(WORKDAY(M146,-(Setup!$C$13+Setup!$G$31),Setup!$C$39:$C$50))&lt;=Setup!$C$16),OR(MONTH(WORKDAY(M146,-(Setup!$C$13+Setup!$G$31),Setup!$C$39:$C$50))&gt;=Setup!$C$15,MONTH(WORKDAY(M146,-(Setup!$C$13+Setup!$G$31),Setup!$C$39:$C$50))&lt;=Setup!$C$16))),WORKDAY(M146,-(Setup!$C$13+Setup!$G$31+Setup!$C$14),Setup!$C$39:$C$50),WORKDAY(M146,-(Setup!$C$13+Setup!$G$31),Setup!$C$39:$C$50))+(141*100+12)/10000000)))</f>
        <v/>
      </c>
      <c r="AD146" t="str">
        <f>IF(N146="","",IF(N146&lt;Setup!$C$5-Setup!$C$6,"",IF(IF(ISNUMBER(Roster!$D146),Setup!$C$32&lt;=Roster!$D146,FALSE),"",IF(OR(IF(Setup!$C$15&lt;=Setup!$C$16,AND(MONTH(N146)&gt;=Setup!$C$15,MONTH(N146)&lt;=Setup!$C$16),OR(MONTH(N146)&gt;=Setup!$C$15,MONTH(N146)&lt;=Setup!$C$16)),IF(Setup!$C$15&lt;=Setup!$C$16,AND(MONTH(WORKDAY(N146,-(Setup!$C$13+Setup!$G$32),Setup!$C$39:$C$50))&gt;=Setup!$C$15,MONTH(WORKDAY(N146,-(Setup!$C$13+Setup!$G$32),Setup!$C$39:$C$50))&lt;=Setup!$C$16),OR(MONTH(WORKDAY(N146,-(Setup!$C$13+Setup!$G$32),Setup!$C$39:$C$50))&gt;=Setup!$C$15,MONTH(WORKDAY(N146,-(Setup!$C$13+Setup!$G$32),Setup!$C$39:$C$50))&lt;=Setup!$C$16))),WORKDAY(N146,-(Setup!$C$13+Setup!$G$32+Setup!$C$14),Setup!$C$39:$C$50),WORKDAY(N146,-(Setup!$C$13+Setup!$G$32),Setup!$C$39:$C$50))+(141*100+13)/10000000)))</f>
        <v/>
      </c>
      <c r="AE146" t="str">
        <f>IF(O146="","",IF(O146&lt;Setup!$C$5-Setup!$C$6,"",IF(IF(ISNUMBER(Roster!$D146),Setup!$C$33&lt;=Roster!$D146,FALSE),"",IF(OR(IF(Setup!$C$15&lt;=Setup!$C$16,AND(MONTH(O146)&gt;=Setup!$C$15,MONTH(O146)&lt;=Setup!$C$16),OR(MONTH(O146)&gt;=Setup!$C$15,MONTH(O146)&lt;=Setup!$C$16)),IF(Setup!$C$15&lt;=Setup!$C$16,AND(MONTH(WORKDAY(O146,-(Setup!$C$13+Setup!$G$33),Setup!$C$39:$C$50))&gt;=Setup!$C$15,MONTH(WORKDAY(O146,-(Setup!$C$13+Setup!$G$33),Setup!$C$39:$C$50))&lt;=Setup!$C$16),OR(MONTH(WORKDAY(O146,-(Setup!$C$13+Setup!$G$33),Setup!$C$39:$C$50))&gt;=Setup!$C$15,MONTH(WORKDAY(O146,-(Setup!$C$13+Setup!$G$33),Setup!$C$39:$C$50))&lt;=Setup!$C$16))),WORKDAY(O146,-(Setup!$C$13+Setup!$G$33+Setup!$C$14),Setup!$C$39:$C$50),WORKDAY(O146,-(Setup!$C$13+Setup!$G$33),Setup!$C$39:$C$50))+(141*100+14)/10000000)))</f>
        <v/>
      </c>
      <c r="AF146" t="str">
        <f>IF(P146="","",IF(P146&lt;Setup!$C$5-Setup!$C$6,"",IF(IF(ISNUMBER(Roster!$D146),Setup!$C$34&lt;=Roster!$D146,FALSE),"",IF(OR(IF(Setup!$C$15&lt;=Setup!$C$16,AND(MONTH(P146)&gt;=Setup!$C$15,MONTH(P146)&lt;=Setup!$C$16),OR(MONTH(P146)&gt;=Setup!$C$15,MONTH(P146)&lt;=Setup!$C$16)),IF(Setup!$C$15&lt;=Setup!$C$16,AND(MONTH(WORKDAY(P146,-(Setup!$C$13+Setup!$G$34),Setup!$C$39:$C$50))&gt;=Setup!$C$15,MONTH(WORKDAY(P146,-(Setup!$C$13+Setup!$G$34),Setup!$C$39:$C$50))&lt;=Setup!$C$16),OR(MONTH(WORKDAY(P146,-(Setup!$C$13+Setup!$G$34),Setup!$C$39:$C$50))&gt;=Setup!$C$15,MONTH(WORKDAY(P146,-(Setup!$C$13+Setup!$G$34),Setup!$C$39:$C$50))&lt;=Setup!$C$16))),WORKDAY(P146,-(Setup!$C$13+Setup!$G$34+Setup!$C$14),Setup!$C$39:$C$50),WORKDAY(P146,-(Setup!$C$13+Setup!$G$34),Setup!$C$39:$C$50))+(141*100+15)/10000000)))</f>
        <v/>
      </c>
      <c r="AH146" t="str">
        <f t="shared" si="17"/>
        <v/>
      </c>
      <c r="AI146" t="str">
        <f t="shared" si="18"/>
        <v/>
      </c>
      <c r="AK146" t="str">
        <f ca="1">IF(141&gt;$AK$2,"",SMALL($R$6:$AF$505,141))</f>
        <v/>
      </c>
      <c r="AL146" t="str">
        <f t="shared" ca="1" si="19"/>
        <v/>
      </c>
      <c r="AM146" t="str">
        <f t="shared" ca="1" si="20"/>
        <v/>
      </c>
      <c r="AN146" t="str">
        <f t="shared" ca="1" si="21"/>
        <v/>
      </c>
      <c r="AP146" t="str">
        <f>IF(ISNUMBER(Roster!$B146),MAX(1,YEAR(Setup!$C$5)-YEAR(Roster!$B146)+IF(EDATE(Roster!$B146,12*(YEAR(Setup!$C$5)-YEAR(Roster!$B146)))&lt;Setup!$C$5,1,0)),"")</f>
        <v/>
      </c>
      <c r="AQ146" s="32" t="str">
        <f>IF(AP146="","",EDATE(Roster!$B146,12*AP146))</f>
        <v/>
      </c>
      <c r="AR146" t="str">
        <f>IF(AQ146="","",IF(AQ146&lt;DATE(YEAR(Setup!$C$5)+1,MONTH(Setup!$C$5),DAY(Setup!$C$5)),AQ146+141/1000,""))</f>
        <v/>
      </c>
      <c r="AS146" t="str">
        <f t="shared" si="22"/>
        <v/>
      </c>
      <c r="AT146" t="str">
        <f>IF(AS146="","",IF(ISNUMBER(Roster!$D146),Roster!$D146&gt;=AP146,FALSE))</f>
        <v/>
      </c>
      <c r="AU146" t="str">
        <f t="shared" si="23"/>
        <v/>
      </c>
      <c r="AV146" t="str">
        <f ca="1">IF(141&gt;$AV$2,"",SMALL($AR$6:$AR$505,141))</f>
        <v/>
      </c>
      <c r="AW146" t="str">
        <f t="shared" ca="1" si="24"/>
        <v/>
      </c>
    </row>
    <row r="147" spans="2:49" x14ac:dyDescent="0.2">
      <c r="B147" s="32" t="str">
        <f>IF(AND(ISNUMBER(Roster!$B147),Setup!$B$20="Yes",ISNUMBER(Setup!$C$20)),EDATE(Roster!$B147,12*Setup!$C$20),"")</f>
        <v/>
      </c>
      <c r="C147" s="32" t="str">
        <f>IF(AND(ISNUMBER(Roster!$B147),Setup!$B$21="Yes",ISNUMBER(Setup!$C$21)),EDATE(Roster!$B147,12*Setup!$C$21),"")</f>
        <v/>
      </c>
      <c r="D147" s="32" t="str">
        <f>IF(AND(ISNUMBER(Roster!$B147),Setup!$B$22="Yes",ISNUMBER(Setup!$C$22)),EDATE(Roster!$B147,12*Setup!$C$22),"")</f>
        <v/>
      </c>
      <c r="E147" s="32" t="str">
        <f>IF(AND(ISNUMBER(Roster!$B147),Setup!$B$23="Yes",ISNUMBER(Setup!$C$23)),EDATE(Roster!$B147,12*Setup!$C$23),"")</f>
        <v/>
      </c>
      <c r="F147" s="32" t="str">
        <f>IF(AND(ISNUMBER(Roster!$B147),Setup!$B$24="Yes",ISNUMBER(Setup!$C$24)),EDATE(Roster!$B147,12*Setup!$C$24),"")</f>
        <v/>
      </c>
      <c r="G147" s="32" t="str">
        <f>IF(AND(ISNUMBER(Roster!$B147),Setup!$B$25="Yes",ISNUMBER(Setup!$C$25)),EDATE(Roster!$B147,12*Setup!$C$25),"")</f>
        <v/>
      </c>
      <c r="H147" s="32" t="str">
        <f>IF(AND(ISNUMBER(Roster!$B147),Setup!$B$26="Yes",ISNUMBER(Setup!$C$26)),EDATE(Roster!$B147,12*Setup!$C$26),"")</f>
        <v/>
      </c>
      <c r="I147" s="32" t="str">
        <f>IF(AND(ISNUMBER(Roster!$B147),Setup!$B$27="Yes",ISNUMBER(Setup!$C$27)),EDATE(Roster!$B147,12*Setup!$C$27),"")</f>
        <v/>
      </c>
      <c r="J147" s="32" t="str">
        <f>IF(AND(ISNUMBER(Roster!$B147),Setup!$B$28="Yes",ISNUMBER(Setup!$C$28)),EDATE(Roster!$B147,12*Setup!$C$28),"")</f>
        <v/>
      </c>
      <c r="K147" s="32" t="str">
        <f>IF(AND(ISNUMBER(Roster!$B147),Setup!$B$29="Yes",ISNUMBER(Setup!$C$29)),EDATE(Roster!$B147,12*Setup!$C$29),"")</f>
        <v/>
      </c>
      <c r="L147" s="32" t="str">
        <f>IF(AND(ISNUMBER(Roster!$B147),Setup!$B$30="Yes",ISNUMBER(Setup!$C$30)),EDATE(Roster!$B147,12*Setup!$C$30),"")</f>
        <v/>
      </c>
      <c r="M147" s="32" t="str">
        <f>IF(AND(ISNUMBER(Roster!$B147),Setup!$B$31="Yes",ISNUMBER(Setup!$C$31)),EDATE(Roster!$B147,12*Setup!$C$31),"")</f>
        <v/>
      </c>
      <c r="N147" s="32" t="str">
        <f>IF(AND(ISNUMBER(Roster!$B147),Setup!$B$32="Yes",ISNUMBER(Setup!$C$32)),EDATE(Roster!$B147,12*Setup!$C$32),"")</f>
        <v/>
      </c>
      <c r="O147" s="32" t="str">
        <f>IF(AND(ISNUMBER(Roster!$B147),Setup!$B$33="Yes",ISNUMBER(Setup!$C$33)),EDATE(Roster!$B147,12*Setup!$C$33),"")</f>
        <v/>
      </c>
      <c r="P147" s="32" t="str">
        <f>IF(AND(ISNUMBER(Roster!$B147),Setup!$B$34="Yes",ISNUMBER(Setup!$C$34)),EDATE(Roster!$B147,12*Setup!$C$34),"")</f>
        <v/>
      </c>
      <c r="R147" t="str">
        <f>IF(B147="","",IF(B147&lt;Setup!$C$5-Setup!$C$6,"",IF(IF(ISNUMBER(Roster!$D147),Setup!$C$20&lt;=Roster!$D147,FALSE),"",IF(OR(IF(Setup!$C$15&lt;=Setup!$C$16,AND(MONTH(B147)&gt;=Setup!$C$15,MONTH(B147)&lt;=Setup!$C$16),OR(MONTH(B147)&gt;=Setup!$C$15,MONTH(B147)&lt;=Setup!$C$16)),IF(Setup!$C$15&lt;=Setup!$C$16,AND(MONTH(WORKDAY(B147,-(Setup!$C$13+Setup!$G$20),Setup!$C$39:$C$50))&gt;=Setup!$C$15,MONTH(WORKDAY(B147,-(Setup!$C$13+Setup!$G$20),Setup!$C$39:$C$50))&lt;=Setup!$C$16),OR(MONTH(WORKDAY(B147,-(Setup!$C$13+Setup!$G$20),Setup!$C$39:$C$50))&gt;=Setup!$C$15,MONTH(WORKDAY(B147,-(Setup!$C$13+Setup!$G$20),Setup!$C$39:$C$50))&lt;=Setup!$C$16))),WORKDAY(B147,-(Setup!$C$13+Setup!$G$20+Setup!$C$14),Setup!$C$39:$C$50),WORKDAY(B147,-(Setup!$C$13+Setup!$G$20),Setup!$C$39:$C$50))+(142*100+1)/10000000)))</f>
        <v/>
      </c>
      <c r="S147" t="str">
        <f>IF(C147="","",IF(C147&lt;Setup!$C$5-Setup!$C$6,"",IF(IF(ISNUMBER(Roster!$D147),Setup!$C$21&lt;=Roster!$D147,FALSE),"",IF(OR(IF(Setup!$C$15&lt;=Setup!$C$16,AND(MONTH(C147)&gt;=Setup!$C$15,MONTH(C147)&lt;=Setup!$C$16),OR(MONTH(C147)&gt;=Setup!$C$15,MONTH(C147)&lt;=Setup!$C$16)),IF(Setup!$C$15&lt;=Setup!$C$16,AND(MONTH(WORKDAY(C147,-(Setup!$C$13+Setup!$G$21),Setup!$C$39:$C$50))&gt;=Setup!$C$15,MONTH(WORKDAY(C147,-(Setup!$C$13+Setup!$G$21),Setup!$C$39:$C$50))&lt;=Setup!$C$16),OR(MONTH(WORKDAY(C147,-(Setup!$C$13+Setup!$G$21),Setup!$C$39:$C$50))&gt;=Setup!$C$15,MONTH(WORKDAY(C147,-(Setup!$C$13+Setup!$G$21),Setup!$C$39:$C$50))&lt;=Setup!$C$16))),WORKDAY(C147,-(Setup!$C$13+Setup!$G$21+Setup!$C$14),Setup!$C$39:$C$50),WORKDAY(C147,-(Setup!$C$13+Setup!$G$21),Setup!$C$39:$C$50))+(142*100+2)/10000000)))</f>
        <v/>
      </c>
      <c r="T147" t="str">
        <f>IF(D147="","",IF(D147&lt;Setup!$C$5-Setup!$C$6,"",IF(IF(ISNUMBER(Roster!$D147),Setup!$C$22&lt;=Roster!$D147,FALSE),"",IF(OR(IF(Setup!$C$15&lt;=Setup!$C$16,AND(MONTH(D147)&gt;=Setup!$C$15,MONTH(D147)&lt;=Setup!$C$16),OR(MONTH(D147)&gt;=Setup!$C$15,MONTH(D147)&lt;=Setup!$C$16)),IF(Setup!$C$15&lt;=Setup!$C$16,AND(MONTH(WORKDAY(D147,-(Setup!$C$13+Setup!$G$22),Setup!$C$39:$C$50))&gt;=Setup!$C$15,MONTH(WORKDAY(D147,-(Setup!$C$13+Setup!$G$22),Setup!$C$39:$C$50))&lt;=Setup!$C$16),OR(MONTH(WORKDAY(D147,-(Setup!$C$13+Setup!$G$22),Setup!$C$39:$C$50))&gt;=Setup!$C$15,MONTH(WORKDAY(D147,-(Setup!$C$13+Setup!$G$22),Setup!$C$39:$C$50))&lt;=Setup!$C$16))),WORKDAY(D147,-(Setup!$C$13+Setup!$G$22+Setup!$C$14),Setup!$C$39:$C$50),WORKDAY(D147,-(Setup!$C$13+Setup!$G$22),Setup!$C$39:$C$50))+(142*100+3)/10000000)))</f>
        <v/>
      </c>
      <c r="U147" t="str">
        <f>IF(E147="","",IF(E147&lt;Setup!$C$5-Setup!$C$6,"",IF(IF(ISNUMBER(Roster!$D147),Setup!$C$23&lt;=Roster!$D147,FALSE),"",IF(OR(IF(Setup!$C$15&lt;=Setup!$C$16,AND(MONTH(E147)&gt;=Setup!$C$15,MONTH(E147)&lt;=Setup!$C$16),OR(MONTH(E147)&gt;=Setup!$C$15,MONTH(E147)&lt;=Setup!$C$16)),IF(Setup!$C$15&lt;=Setup!$C$16,AND(MONTH(WORKDAY(E147,-(Setup!$C$13+Setup!$G$23),Setup!$C$39:$C$50))&gt;=Setup!$C$15,MONTH(WORKDAY(E147,-(Setup!$C$13+Setup!$G$23),Setup!$C$39:$C$50))&lt;=Setup!$C$16),OR(MONTH(WORKDAY(E147,-(Setup!$C$13+Setup!$G$23),Setup!$C$39:$C$50))&gt;=Setup!$C$15,MONTH(WORKDAY(E147,-(Setup!$C$13+Setup!$G$23),Setup!$C$39:$C$50))&lt;=Setup!$C$16))),WORKDAY(E147,-(Setup!$C$13+Setup!$G$23+Setup!$C$14),Setup!$C$39:$C$50),WORKDAY(E147,-(Setup!$C$13+Setup!$G$23),Setup!$C$39:$C$50))+(142*100+4)/10000000)))</f>
        <v/>
      </c>
      <c r="V147" t="str">
        <f>IF(F147="","",IF(F147&lt;Setup!$C$5-Setup!$C$6,"",IF(IF(ISNUMBER(Roster!$D147),Setup!$C$24&lt;=Roster!$D147,FALSE),"",IF(OR(IF(Setup!$C$15&lt;=Setup!$C$16,AND(MONTH(F147)&gt;=Setup!$C$15,MONTH(F147)&lt;=Setup!$C$16),OR(MONTH(F147)&gt;=Setup!$C$15,MONTH(F147)&lt;=Setup!$C$16)),IF(Setup!$C$15&lt;=Setup!$C$16,AND(MONTH(WORKDAY(F147,-(Setup!$C$13+Setup!$G$24),Setup!$C$39:$C$50))&gt;=Setup!$C$15,MONTH(WORKDAY(F147,-(Setup!$C$13+Setup!$G$24),Setup!$C$39:$C$50))&lt;=Setup!$C$16),OR(MONTH(WORKDAY(F147,-(Setup!$C$13+Setup!$G$24),Setup!$C$39:$C$50))&gt;=Setup!$C$15,MONTH(WORKDAY(F147,-(Setup!$C$13+Setup!$G$24),Setup!$C$39:$C$50))&lt;=Setup!$C$16))),WORKDAY(F147,-(Setup!$C$13+Setup!$G$24+Setup!$C$14),Setup!$C$39:$C$50),WORKDAY(F147,-(Setup!$C$13+Setup!$G$24),Setup!$C$39:$C$50))+(142*100+5)/10000000)))</f>
        <v/>
      </c>
      <c r="W147" t="str">
        <f>IF(G147="","",IF(G147&lt;Setup!$C$5-Setup!$C$6,"",IF(IF(ISNUMBER(Roster!$D147),Setup!$C$25&lt;=Roster!$D147,FALSE),"",IF(OR(IF(Setup!$C$15&lt;=Setup!$C$16,AND(MONTH(G147)&gt;=Setup!$C$15,MONTH(G147)&lt;=Setup!$C$16),OR(MONTH(G147)&gt;=Setup!$C$15,MONTH(G147)&lt;=Setup!$C$16)),IF(Setup!$C$15&lt;=Setup!$C$16,AND(MONTH(WORKDAY(G147,-(Setup!$C$13+Setup!$G$25),Setup!$C$39:$C$50))&gt;=Setup!$C$15,MONTH(WORKDAY(G147,-(Setup!$C$13+Setup!$G$25),Setup!$C$39:$C$50))&lt;=Setup!$C$16),OR(MONTH(WORKDAY(G147,-(Setup!$C$13+Setup!$G$25),Setup!$C$39:$C$50))&gt;=Setup!$C$15,MONTH(WORKDAY(G147,-(Setup!$C$13+Setup!$G$25),Setup!$C$39:$C$50))&lt;=Setup!$C$16))),WORKDAY(G147,-(Setup!$C$13+Setup!$G$25+Setup!$C$14),Setup!$C$39:$C$50),WORKDAY(G147,-(Setup!$C$13+Setup!$G$25),Setup!$C$39:$C$50))+(142*100+6)/10000000)))</f>
        <v/>
      </c>
      <c r="X147" t="str">
        <f>IF(H147="","",IF(H147&lt;Setup!$C$5-Setup!$C$6,"",IF(IF(ISNUMBER(Roster!$D147),Setup!$C$26&lt;=Roster!$D147,FALSE),"",IF(OR(IF(Setup!$C$15&lt;=Setup!$C$16,AND(MONTH(H147)&gt;=Setup!$C$15,MONTH(H147)&lt;=Setup!$C$16),OR(MONTH(H147)&gt;=Setup!$C$15,MONTH(H147)&lt;=Setup!$C$16)),IF(Setup!$C$15&lt;=Setup!$C$16,AND(MONTH(WORKDAY(H147,-(Setup!$C$13+Setup!$G$26),Setup!$C$39:$C$50))&gt;=Setup!$C$15,MONTH(WORKDAY(H147,-(Setup!$C$13+Setup!$G$26),Setup!$C$39:$C$50))&lt;=Setup!$C$16),OR(MONTH(WORKDAY(H147,-(Setup!$C$13+Setup!$G$26),Setup!$C$39:$C$50))&gt;=Setup!$C$15,MONTH(WORKDAY(H147,-(Setup!$C$13+Setup!$G$26),Setup!$C$39:$C$50))&lt;=Setup!$C$16))),WORKDAY(H147,-(Setup!$C$13+Setup!$G$26+Setup!$C$14),Setup!$C$39:$C$50),WORKDAY(H147,-(Setup!$C$13+Setup!$G$26),Setup!$C$39:$C$50))+(142*100+7)/10000000)))</f>
        <v/>
      </c>
      <c r="Y147" t="str">
        <f>IF(I147="","",IF(I147&lt;Setup!$C$5-Setup!$C$6,"",IF(IF(ISNUMBER(Roster!$D147),Setup!$C$27&lt;=Roster!$D147,FALSE),"",IF(OR(IF(Setup!$C$15&lt;=Setup!$C$16,AND(MONTH(I147)&gt;=Setup!$C$15,MONTH(I147)&lt;=Setup!$C$16),OR(MONTH(I147)&gt;=Setup!$C$15,MONTH(I147)&lt;=Setup!$C$16)),IF(Setup!$C$15&lt;=Setup!$C$16,AND(MONTH(WORKDAY(I147,-(Setup!$C$13+Setup!$G$27),Setup!$C$39:$C$50))&gt;=Setup!$C$15,MONTH(WORKDAY(I147,-(Setup!$C$13+Setup!$G$27),Setup!$C$39:$C$50))&lt;=Setup!$C$16),OR(MONTH(WORKDAY(I147,-(Setup!$C$13+Setup!$G$27),Setup!$C$39:$C$50))&gt;=Setup!$C$15,MONTH(WORKDAY(I147,-(Setup!$C$13+Setup!$G$27),Setup!$C$39:$C$50))&lt;=Setup!$C$16))),WORKDAY(I147,-(Setup!$C$13+Setup!$G$27+Setup!$C$14),Setup!$C$39:$C$50),WORKDAY(I147,-(Setup!$C$13+Setup!$G$27),Setup!$C$39:$C$50))+(142*100+8)/10000000)))</f>
        <v/>
      </c>
      <c r="Z147" t="str">
        <f>IF(J147="","",IF(J147&lt;Setup!$C$5-Setup!$C$6,"",IF(IF(ISNUMBER(Roster!$D147),Setup!$C$28&lt;=Roster!$D147,FALSE),"",IF(OR(IF(Setup!$C$15&lt;=Setup!$C$16,AND(MONTH(J147)&gt;=Setup!$C$15,MONTH(J147)&lt;=Setup!$C$16),OR(MONTH(J147)&gt;=Setup!$C$15,MONTH(J147)&lt;=Setup!$C$16)),IF(Setup!$C$15&lt;=Setup!$C$16,AND(MONTH(WORKDAY(J147,-(Setup!$C$13+Setup!$G$28),Setup!$C$39:$C$50))&gt;=Setup!$C$15,MONTH(WORKDAY(J147,-(Setup!$C$13+Setup!$G$28),Setup!$C$39:$C$50))&lt;=Setup!$C$16),OR(MONTH(WORKDAY(J147,-(Setup!$C$13+Setup!$G$28),Setup!$C$39:$C$50))&gt;=Setup!$C$15,MONTH(WORKDAY(J147,-(Setup!$C$13+Setup!$G$28),Setup!$C$39:$C$50))&lt;=Setup!$C$16))),WORKDAY(J147,-(Setup!$C$13+Setup!$G$28+Setup!$C$14),Setup!$C$39:$C$50),WORKDAY(J147,-(Setup!$C$13+Setup!$G$28),Setup!$C$39:$C$50))+(142*100+9)/10000000)))</f>
        <v/>
      </c>
      <c r="AA147" t="str">
        <f>IF(K147="","",IF(K147&lt;Setup!$C$5-Setup!$C$6,"",IF(IF(ISNUMBER(Roster!$D147),Setup!$C$29&lt;=Roster!$D147,FALSE),"",IF(OR(IF(Setup!$C$15&lt;=Setup!$C$16,AND(MONTH(K147)&gt;=Setup!$C$15,MONTH(K147)&lt;=Setup!$C$16),OR(MONTH(K147)&gt;=Setup!$C$15,MONTH(K147)&lt;=Setup!$C$16)),IF(Setup!$C$15&lt;=Setup!$C$16,AND(MONTH(WORKDAY(K147,-(Setup!$C$13+Setup!$G$29),Setup!$C$39:$C$50))&gt;=Setup!$C$15,MONTH(WORKDAY(K147,-(Setup!$C$13+Setup!$G$29),Setup!$C$39:$C$50))&lt;=Setup!$C$16),OR(MONTH(WORKDAY(K147,-(Setup!$C$13+Setup!$G$29),Setup!$C$39:$C$50))&gt;=Setup!$C$15,MONTH(WORKDAY(K147,-(Setup!$C$13+Setup!$G$29),Setup!$C$39:$C$50))&lt;=Setup!$C$16))),WORKDAY(K147,-(Setup!$C$13+Setup!$G$29+Setup!$C$14),Setup!$C$39:$C$50),WORKDAY(K147,-(Setup!$C$13+Setup!$G$29),Setup!$C$39:$C$50))+(142*100+10)/10000000)))</f>
        <v/>
      </c>
      <c r="AB147" t="str">
        <f>IF(L147="","",IF(L147&lt;Setup!$C$5-Setup!$C$6,"",IF(IF(ISNUMBER(Roster!$D147),Setup!$C$30&lt;=Roster!$D147,FALSE),"",IF(OR(IF(Setup!$C$15&lt;=Setup!$C$16,AND(MONTH(L147)&gt;=Setup!$C$15,MONTH(L147)&lt;=Setup!$C$16),OR(MONTH(L147)&gt;=Setup!$C$15,MONTH(L147)&lt;=Setup!$C$16)),IF(Setup!$C$15&lt;=Setup!$C$16,AND(MONTH(WORKDAY(L147,-(Setup!$C$13+Setup!$G$30),Setup!$C$39:$C$50))&gt;=Setup!$C$15,MONTH(WORKDAY(L147,-(Setup!$C$13+Setup!$G$30),Setup!$C$39:$C$50))&lt;=Setup!$C$16),OR(MONTH(WORKDAY(L147,-(Setup!$C$13+Setup!$G$30),Setup!$C$39:$C$50))&gt;=Setup!$C$15,MONTH(WORKDAY(L147,-(Setup!$C$13+Setup!$G$30),Setup!$C$39:$C$50))&lt;=Setup!$C$16))),WORKDAY(L147,-(Setup!$C$13+Setup!$G$30+Setup!$C$14),Setup!$C$39:$C$50),WORKDAY(L147,-(Setup!$C$13+Setup!$G$30),Setup!$C$39:$C$50))+(142*100+11)/10000000)))</f>
        <v/>
      </c>
      <c r="AC147" t="str">
        <f>IF(M147="","",IF(M147&lt;Setup!$C$5-Setup!$C$6,"",IF(IF(ISNUMBER(Roster!$D147),Setup!$C$31&lt;=Roster!$D147,FALSE),"",IF(OR(IF(Setup!$C$15&lt;=Setup!$C$16,AND(MONTH(M147)&gt;=Setup!$C$15,MONTH(M147)&lt;=Setup!$C$16),OR(MONTH(M147)&gt;=Setup!$C$15,MONTH(M147)&lt;=Setup!$C$16)),IF(Setup!$C$15&lt;=Setup!$C$16,AND(MONTH(WORKDAY(M147,-(Setup!$C$13+Setup!$G$31),Setup!$C$39:$C$50))&gt;=Setup!$C$15,MONTH(WORKDAY(M147,-(Setup!$C$13+Setup!$G$31),Setup!$C$39:$C$50))&lt;=Setup!$C$16),OR(MONTH(WORKDAY(M147,-(Setup!$C$13+Setup!$G$31),Setup!$C$39:$C$50))&gt;=Setup!$C$15,MONTH(WORKDAY(M147,-(Setup!$C$13+Setup!$G$31),Setup!$C$39:$C$50))&lt;=Setup!$C$16))),WORKDAY(M147,-(Setup!$C$13+Setup!$G$31+Setup!$C$14),Setup!$C$39:$C$50),WORKDAY(M147,-(Setup!$C$13+Setup!$G$31),Setup!$C$39:$C$50))+(142*100+12)/10000000)))</f>
        <v/>
      </c>
      <c r="AD147" t="str">
        <f>IF(N147="","",IF(N147&lt;Setup!$C$5-Setup!$C$6,"",IF(IF(ISNUMBER(Roster!$D147),Setup!$C$32&lt;=Roster!$D147,FALSE),"",IF(OR(IF(Setup!$C$15&lt;=Setup!$C$16,AND(MONTH(N147)&gt;=Setup!$C$15,MONTH(N147)&lt;=Setup!$C$16),OR(MONTH(N147)&gt;=Setup!$C$15,MONTH(N147)&lt;=Setup!$C$16)),IF(Setup!$C$15&lt;=Setup!$C$16,AND(MONTH(WORKDAY(N147,-(Setup!$C$13+Setup!$G$32),Setup!$C$39:$C$50))&gt;=Setup!$C$15,MONTH(WORKDAY(N147,-(Setup!$C$13+Setup!$G$32),Setup!$C$39:$C$50))&lt;=Setup!$C$16),OR(MONTH(WORKDAY(N147,-(Setup!$C$13+Setup!$G$32),Setup!$C$39:$C$50))&gt;=Setup!$C$15,MONTH(WORKDAY(N147,-(Setup!$C$13+Setup!$G$32),Setup!$C$39:$C$50))&lt;=Setup!$C$16))),WORKDAY(N147,-(Setup!$C$13+Setup!$G$32+Setup!$C$14),Setup!$C$39:$C$50),WORKDAY(N147,-(Setup!$C$13+Setup!$G$32),Setup!$C$39:$C$50))+(142*100+13)/10000000)))</f>
        <v/>
      </c>
      <c r="AE147" t="str">
        <f>IF(O147="","",IF(O147&lt;Setup!$C$5-Setup!$C$6,"",IF(IF(ISNUMBER(Roster!$D147),Setup!$C$33&lt;=Roster!$D147,FALSE),"",IF(OR(IF(Setup!$C$15&lt;=Setup!$C$16,AND(MONTH(O147)&gt;=Setup!$C$15,MONTH(O147)&lt;=Setup!$C$16),OR(MONTH(O147)&gt;=Setup!$C$15,MONTH(O147)&lt;=Setup!$C$16)),IF(Setup!$C$15&lt;=Setup!$C$16,AND(MONTH(WORKDAY(O147,-(Setup!$C$13+Setup!$G$33),Setup!$C$39:$C$50))&gt;=Setup!$C$15,MONTH(WORKDAY(O147,-(Setup!$C$13+Setup!$G$33),Setup!$C$39:$C$50))&lt;=Setup!$C$16),OR(MONTH(WORKDAY(O147,-(Setup!$C$13+Setup!$G$33),Setup!$C$39:$C$50))&gt;=Setup!$C$15,MONTH(WORKDAY(O147,-(Setup!$C$13+Setup!$G$33),Setup!$C$39:$C$50))&lt;=Setup!$C$16))),WORKDAY(O147,-(Setup!$C$13+Setup!$G$33+Setup!$C$14),Setup!$C$39:$C$50),WORKDAY(O147,-(Setup!$C$13+Setup!$G$33),Setup!$C$39:$C$50))+(142*100+14)/10000000)))</f>
        <v/>
      </c>
      <c r="AF147" t="str">
        <f>IF(P147="","",IF(P147&lt;Setup!$C$5-Setup!$C$6,"",IF(IF(ISNUMBER(Roster!$D147),Setup!$C$34&lt;=Roster!$D147,FALSE),"",IF(OR(IF(Setup!$C$15&lt;=Setup!$C$16,AND(MONTH(P147)&gt;=Setup!$C$15,MONTH(P147)&lt;=Setup!$C$16),OR(MONTH(P147)&gt;=Setup!$C$15,MONTH(P147)&lt;=Setup!$C$16)),IF(Setup!$C$15&lt;=Setup!$C$16,AND(MONTH(WORKDAY(P147,-(Setup!$C$13+Setup!$G$34),Setup!$C$39:$C$50))&gt;=Setup!$C$15,MONTH(WORKDAY(P147,-(Setup!$C$13+Setup!$G$34),Setup!$C$39:$C$50))&lt;=Setup!$C$16),OR(MONTH(WORKDAY(P147,-(Setup!$C$13+Setup!$G$34),Setup!$C$39:$C$50))&gt;=Setup!$C$15,MONTH(WORKDAY(P147,-(Setup!$C$13+Setup!$G$34),Setup!$C$39:$C$50))&lt;=Setup!$C$16))),WORKDAY(P147,-(Setup!$C$13+Setup!$G$34+Setup!$C$14),Setup!$C$39:$C$50),WORKDAY(P147,-(Setup!$C$13+Setup!$G$34),Setup!$C$39:$C$50))+(142*100+15)/10000000)))</f>
        <v/>
      </c>
      <c r="AH147" t="str">
        <f t="shared" si="17"/>
        <v/>
      </c>
      <c r="AI147" t="str">
        <f t="shared" si="18"/>
        <v/>
      </c>
      <c r="AK147" t="str">
        <f ca="1">IF(142&gt;$AK$2,"",SMALL($R$6:$AF$505,142))</f>
        <v/>
      </c>
      <c r="AL147" t="str">
        <f t="shared" ca="1" si="19"/>
        <v/>
      </c>
      <c r="AM147" t="str">
        <f t="shared" ca="1" si="20"/>
        <v/>
      </c>
      <c r="AN147" t="str">
        <f t="shared" ca="1" si="21"/>
        <v/>
      </c>
      <c r="AP147" t="str">
        <f>IF(ISNUMBER(Roster!$B147),MAX(1,YEAR(Setup!$C$5)-YEAR(Roster!$B147)+IF(EDATE(Roster!$B147,12*(YEAR(Setup!$C$5)-YEAR(Roster!$B147)))&lt;Setup!$C$5,1,0)),"")</f>
        <v/>
      </c>
      <c r="AQ147" s="32" t="str">
        <f>IF(AP147="","",EDATE(Roster!$B147,12*AP147))</f>
        <v/>
      </c>
      <c r="AR147" t="str">
        <f>IF(AQ147="","",IF(AQ147&lt;DATE(YEAR(Setup!$C$5)+1,MONTH(Setup!$C$5),DAY(Setup!$C$5)),AQ147+142/1000,""))</f>
        <v/>
      </c>
      <c r="AS147" t="str">
        <f t="shared" si="22"/>
        <v/>
      </c>
      <c r="AT147" t="str">
        <f>IF(AS147="","",IF(ISNUMBER(Roster!$D147),Roster!$D147&gt;=AP147,FALSE))</f>
        <v/>
      </c>
      <c r="AU147" t="str">
        <f t="shared" si="23"/>
        <v/>
      </c>
      <c r="AV147" t="str">
        <f ca="1">IF(142&gt;$AV$2,"",SMALL($AR$6:$AR$505,142))</f>
        <v/>
      </c>
      <c r="AW147" t="str">
        <f t="shared" ca="1" si="24"/>
        <v/>
      </c>
    </row>
    <row r="148" spans="2:49" x14ac:dyDescent="0.2">
      <c r="B148" s="32" t="str">
        <f>IF(AND(ISNUMBER(Roster!$B148),Setup!$B$20="Yes",ISNUMBER(Setup!$C$20)),EDATE(Roster!$B148,12*Setup!$C$20),"")</f>
        <v/>
      </c>
      <c r="C148" s="32" t="str">
        <f>IF(AND(ISNUMBER(Roster!$B148),Setup!$B$21="Yes",ISNUMBER(Setup!$C$21)),EDATE(Roster!$B148,12*Setup!$C$21),"")</f>
        <v/>
      </c>
      <c r="D148" s="32" t="str">
        <f>IF(AND(ISNUMBER(Roster!$B148),Setup!$B$22="Yes",ISNUMBER(Setup!$C$22)),EDATE(Roster!$B148,12*Setup!$C$22),"")</f>
        <v/>
      </c>
      <c r="E148" s="32" t="str">
        <f>IF(AND(ISNUMBER(Roster!$B148),Setup!$B$23="Yes",ISNUMBER(Setup!$C$23)),EDATE(Roster!$B148,12*Setup!$C$23),"")</f>
        <v/>
      </c>
      <c r="F148" s="32" t="str">
        <f>IF(AND(ISNUMBER(Roster!$B148),Setup!$B$24="Yes",ISNUMBER(Setup!$C$24)),EDATE(Roster!$B148,12*Setup!$C$24),"")</f>
        <v/>
      </c>
      <c r="G148" s="32" t="str">
        <f>IF(AND(ISNUMBER(Roster!$B148),Setup!$B$25="Yes",ISNUMBER(Setup!$C$25)),EDATE(Roster!$B148,12*Setup!$C$25),"")</f>
        <v/>
      </c>
      <c r="H148" s="32" t="str">
        <f>IF(AND(ISNUMBER(Roster!$B148),Setup!$B$26="Yes",ISNUMBER(Setup!$C$26)),EDATE(Roster!$B148,12*Setup!$C$26),"")</f>
        <v/>
      </c>
      <c r="I148" s="32" t="str">
        <f>IF(AND(ISNUMBER(Roster!$B148),Setup!$B$27="Yes",ISNUMBER(Setup!$C$27)),EDATE(Roster!$B148,12*Setup!$C$27),"")</f>
        <v/>
      </c>
      <c r="J148" s="32" t="str">
        <f>IF(AND(ISNUMBER(Roster!$B148),Setup!$B$28="Yes",ISNUMBER(Setup!$C$28)),EDATE(Roster!$B148,12*Setup!$C$28),"")</f>
        <v/>
      </c>
      <c r="K148" s="32" t="str">
        <f>IF(AND(ISNUMBER(Roster!$B148),Setup!$B$29="Yes",ISNUMBER(Setup!$C$29)),EDATE(Roster!$B148,12*Setup!$C$29),"")</f>
        <v/>
      </c>
      <c r="L148" s="32" t="str">
        <f>IF(AND(ISNUMBER(Roster!$B148),Setup!$B$30="Yes",ISNUMBER(Setup!$C$30)),EDATE(Roster!$B148,12*Setup!$C$30),"")</f>
        <v/>
      </c>
      <c r="M148" s="32" t="str">
        <f>IF(AND(ISNUMBER(Roster!$B148),Setup!$B$31="Yes",ISNUMBER(Setup!$C$31)),EDATE(Roster!$B148,12*Setup!$C$31),"")</f>
        <v/>
      </c>
      <c r="N148" s="32" t="str">
        <f>IF(AND(ISNUMBER(Roster!$B148),Setup!$B$32="Yes",ISNUMBER(Setup!$C$32)),EDATE(Roster!$B148,12*Setup!$C$32),"")</f>
        <v/>
      </c>
      <c r="O148" s="32" t="str">
        <f>IF(AND(ISNUMBER(Roster!$B148),Setup!$B$33="Yes",ISNUMBER(Setup!$C$33)),EDATE(Roster!$B148,12*Setup!$C$33),"")</f>
        <v/>
      </c>
      <c r="P148" s="32" t="str">
        <f>IF(AND(ISNUMBER(Roster!$B148),Setup!$B$34="Yes",ISNUMBER(Setup!$C$34)),EDATE(Roster!$B148,12*Setup!$C$34),"")</f>
        <v/>
      </c>
      <c r="R148" t="str">
        <f>IF(B148="","",IF(B148&lt;Setup!$C$5-Setup!$C$6,"",IF(IF(ISNUMBER(Roster!$D148),Setup!$C$20&lt;=Roster!$D148,FALSE),"",IF(OR(IF(Setup!$C$15&lt;=Setup!$C$16,AND(MONTH(B148)&gt;=Setup!$C$15,MONTH(B148)&lt;=Setup!$C$16),OR(MONTH(B148)&gt;=Setup!$C$15,MONTH(B148)&lt;=Setup!$C$16)),IF(Setup!$C$15&lt;=Setup!$C$16,AND(MONTH(WORKDAY(B148,-(Setup!$C$13+Setup!$G$20),Setup!$C$39:$C$50))&gt;=Setup!$C$15,MONTH(WORKDAY(B148,-(Setup!$C$13+Setup!$G$20),Setup!$C$39:$C$50))&lt;=Setup!$C$16),OR(MONTH(WORKDAY(B148,-(Setup!$C$13+Setup!$G$20),Setup!$C$39:$C$50))&gt;=Setup!$C$15,MONTH(WORKDAY(B148,-(Setup!$C$13+Setup!$G$20),Setup!$C$39:$C$50))&lt;=Setup!$C$16))),WORKDAY(B148,-(Setup!$C$13+Setup!$G$20+Setup!$C$14),Setup!$C$39:$C$50),WORKDAY(B148,-(Setup!$C$13+Setup!$G$20),Setup!$C$39:$C$50))+(143*100+1)/10000000)))</f>
        <v/>
      </c>
      <c r="S148" t="str">
        <f>IF(C148="","",IF(C148&lt;Setup!$C$5-Setup!$C$6,"",IF(IF(ISNUMBER(Roster!$D148),Setup!$C$21&lt;=Roster!$D148,FALSE),"",IF(OR(IF(Setup!$C$15&lt;=Setup!$C$16,AND(MONTH(C148)&gt;=Setup!$C$15,MONTH(C148)&lt;=Setup!$C$16),OR(MONTH(C148)&gt;=Setup!$C$15,MONTH(C148)&lt;=Setup!$C$16)),IF(Setup!$C$15&lt;=Setup!$C$16,AND(MONTH(WORKDAY(C148,-(Setup!$C$13+Setup!$G$21),Setup!$C$39:$C$50))&gt;=Setup!$C$15,MONTH(WORKDAY(C148,-(Setup!$C$13+Setup!$G$21),Setup!$C$39:$C$50))&lt;=Setup!$C$16),OR(MONTH(WORKDAY(C148,-(Setup!$C$13+Setup!$G$21),Setup!$C$39:$C$50))&gt;=Setup!$C$15,MONTH(WORKDAY(C148,-(Setup!$C$13+Setup!$G$21),Setup!$C$39:$C$50))&lt;=Setup!$C$16))),WORKDAY(C148,-(Setup!$C$13+Setup!$G$21+Setup!$C$14),Setup!$C$39:$C$50),WORKDAY(C148,-(Setup!$C$13+Setup!$G$21),Setup!$C$39:$C$50))+(143*100+2)/10000000)))</f>
        <v/>
      </c>
      <c r="T148" t="str">
        <f>IF(D148="","",IF(D148&lt;Setup!$C$5-Setup!$C$6,"",IF(IF(ISNUMBER(Roster!$D148),Setup!$C$22&lt;=Roster!$D148,FALSE),"",IF(OR(IF(Setup!$C$15&lt;=Setup!$C$16,AND(MONTH(D148)&gt;=Setup!$C$15,MONTH(D148)&lt;=Setup!$C$16),OR(MONTH(D148)&gt;=Setup!$C$15,MONTH(D148)&lt;=Setup!$C$16)),IF(Setup!$C$15&lt;=Setup!$C$16,AND(MONTH(WORKDAY(D148,-(Setup!$C$13+Setup!$G$22),Setup!$C$39:$C$50))&gt;=Setup!$C$15,MONTH(WORKDAY(D148,-(Setup!$C$13+Setup!$G$22),Setup!$C$39:$C$50))&lt;=Setup!$C$16),OR(MONTH(WORKDAY(D148,-(Setup!$C$13+Setup!$G$22),Setup!$C$39:$C$50))&gt;=Setup!$C$15,MONTH(WORKDAY(D148,-(Setup!$C$13+Setup!$G$22),Setup!$C$39:$C$50))&lt;=Setup!$C$16))),WORKDAY(D148,-(Setup!$C$13+Setup!$G$22+Setup!$C$14),Setup!$C$39:$C$50),WORKDAY(D148,-(Setup!$C$13+Setup!$G$22),Setup!$C$39:$C$50))+(143*100+3)/10000000)))</f>
        <v/>
      </c>
      <c r="U148" t="str">
        <f>IF(E148="","",IF(E148&lt;Setup!$C$5-Setup!$C$6,"",IF(IF(ISNUMBER(Roster!$D148),Setup!$C$23&lt;=Roster!$D148,FALSE),"",IF(OR(IF(Setup!$C$15&lt;=Setup!$C$16,AND(MONTH(E148)&gt;=Setup!$C$15,MONTH(E148)&lt;=Setup!$C$16),OR(MONTH(E148)&gt;=Setup!$C$15,MONTH(E148)&lt;=Setup!$C$16)),IF(Setup!$C$15&lt;=Setup!$C$16,AND(MONTH(WORKDAY(E148,-(Setup!$C$13+Setup!$G$23),Setup!$C$39:$C$50))&gt;=Setup!$C$15,MONTH(WORKDAY(E148,-(Setup!$C$13+Setup!$G$23),Setup!$C$39:$C$50))&lt;=Setup!$C$16),OR(MONTH(WORKDAY(E148,-(Setup!$C$13+Setup!$G$23),Setup!$C$39:$C$50))&gt;=Setup!$C$15,MONTH(WORKDAY(E148,-(Setup!$C$13+Setup!$G$23),Setup!$C$39:$C$50))&lt;=Setup!$C$16))),WORKDAY(E148,-(Setup!$C$13+Setup!$G$23+Setup!$C$14),Setup!$C$39:$C$50),WORKDAY(E148,-(Setup!$C$13+Setup!$G$23),Setup!$C$39:$C$50))+(143*100+4)/10000000)))</f>
        <v/>
      </c>
      <c r="V148" t="str">
        <f>IF(F148="","",IF(F148&lt;Setup!$C$5-Setup!$C$6,"",IF(IF(ISNUMBER(Roster!$D148),Setup!$C$24&lt;=Roster!$D148,FALSE),"",IF(OR(IF(Setup!$C$15&lt;=Setup!$C$16,AND(MONTH(F148)&gt;=Setup!$C$15,MONTH(F148)&lt;=Setup!$C$16),OR(MONTH(F148)&gt;=Setup!$C$15,MONTH(F148)&lt;=Setup!$C$16)),IF(Setup!$C$15&lt;=Setup!$C$16,AND(MONTH(WORKDAY(F148,-(Setup!$C$13+Setup!$G$24),Setup!$C$39:$C$50))&gt;=Setup!$C$15,MONTH(WORKDAY(F148,-(Setup!$C$13+Setup!$G$24),Setup!$C$39:$C$50))&lt;=Setup!$C$16),OR(MONTH(WORKDAY(F148,-(Setup!$C$13+Setup!$G$24),Setup!$C$39:$C$50))&gt;=Setup!$C$15,MONTH(WORKDAY(F148,-(Setup!$C$13+Setup!$G$24),Setup!$C$39:$C$50))&lt;=Setup!$C$16))),WORKDAY(F148,-(Setup!$C$13+Setup!$G$24+Setup!$C$14),Setup!$C$39:$C$50),WORKDAY(F148,-(Setup!$C$13+Setup!$G$24),Setup!$C$39:$C$50))+(143*100+5)/10000000)))</f>
        <v/>
      </c>
      <c r="W148" t="str">
        <f>IF(G148="","",IF(G148&lt;Setup!$C$5-Setup!$C$6,"",IF(IF(ISNUMBER(Roster!$D148),Setup!$C$25&lt;=Roster!$D148,FALSE),"",IF(OR(IF(Setup!$C$15&lt;=Setup!$C$16,AND(MONTH(G148)&gt;=Setup!$C$15,MONTH(G148)&lt;=Setup!$C$16),OR(MONTH(G148)&gt;=Setup!$C$15,MONTH(G148)&lt;=Setup!$C$16)),IF(Setup!$C$15&lt;=Setup!$C$16,AND(MONTH(WORKDAY(G148,-(Setup!$C$13+Setup!$G$25),Setup!$C$39:$C$50))&gt;=Setup!$C$15,MONTH(WORKDAY(G148,-(Setup!$C$13+Setup!$G$25),Setup!$C$39:$C$50))&lt;=Setup!$C$16),OR(MONTH(WORKDAY(G148,-(Setup!$C$13+Setup!$G$25),Setup!$C$39:$C$50))&gt;=Setup!$C$15,MONTH(WORKDAY(G148,-(Setup!$C$13+Setup!$G$25),Setup!$C$39:$C$50))&lt;=Setup!$C$16))),WORKDAY(G148,-(Setup!$C$13+Setup!$G$25+Setup!$C$14),Setup!$C$39:$C$50),WORKDAY(G148,-(Setup!$C$13+Setup!$G$25),Setup!$C$39:$C$50))+(143*100+6)/10000000)))</f>
        <v/>
      </c>
      <c r="X148" t="str">
        <f>IF(H148="","",IF(H148&lt;Setup!$C$5-Setup!$C$6,"",IF(IF(ISNUMBER(Roster!$D148),Setup!$C$26&lt;=Roster!$D148,FALSE),"",IF(OR(IF(Setup!$C$15&lt;=Setup!$C$16,AND(MONTH(H148)&gt;=Setup!$C$15,MONTH(H148)&lt;=Setup!$C$16),OR(MONTH(H148)&gt;=Setup!$C$15,MONTH(H148)&lt;=Setup!$C$16)),IF(Setup!$C$15&lt;=Setup!$C$16,AND(MONTH(WORKDAY(H148,-(Setup!$C$13+Setup!$G$26),Setup!$C$39:$C$50))&gt;=Setup!$C$15,MONTH(WORKDAY(H148,-(Setup!$C$13+Setup!$G$26),Setup!$C$39:$C$50))&lt;=Setup!$C$16),OR(MONTH(WORKDAY(H148,-(Setup!$C$13+Setup!$G$26),Setup!$C$39:$C$50))&gt;=Setup!$C$15,MONTH(WORKDAY(H148,-(Setup!$C$13+Setup!$G$26),Setup!$C$39:$C$50))&lt;=Setup!$C$16))),WORKDAY(H148,-(Setup!$C$13+Setup!$G$26+Setup!$C$14),Setup!$C$39:$C$50),WORKDAY(H148,-(Setup!$C$13+Setup!$G$26),Setup!$C$39:$C$50))+(143*100+7)/10000000)))</f>
        <v/>
      </c>
      <c r="Y148" t="str">
        <f>IF(I148="","",IF(I148&lt;Setup!$C$5-Setup!$C$6,"",IF(IF(ISNUMBER(Roster!$D148),Setup!$C$27&lt;=Roster!$D148,FALSE),"",IF(OR(IF(Setup!$C$15&lt;=Setup!$C$16,AND(MONTH(I148)&gt;=Setup!$C$15,MONTH(I148)&lt;=Setup!$C$16),OR(MONTH(I148)&gt;=Setup!$C$15,MONTH(I148)&lt;=Setup!$C$16)),IF(Setup!$C$15&lt;=Setup!$C$16,AND(MONTH(WORKDAY(I148,-(Setup!$C$13+Setup!$G$27),Setup!$C$39:$C$50))&gt;=Setup!$C$15,MONTH(WORKDAY(I148,-(Setup!$C$13+Setup!$G$27),Setup!$C$39:$C$50))&lt;=Setup!$C$16),OR(MONTH(WORKDAY(I148,-(Setup!$C$13+Setup!$G$27),Setup!$C$39:$C$50))&gt;=Setup!$C$15,MONTH(WORKDAY(I148,-(Setup!$C$13+Setup!$G$27),Setup!$C$39:$C$50))&lt;=Setup!$C$16))),WORKDAY(I148,-(Setup!$C$13+Setup!$G$27+Setup!$C$14),Setup!$C$39:$C$50),WORKDAY(I148,-(Setup!$C$13+Setup!$G$27),Setup!$C$39:$C$50))+(143*100+8)/10000000)))</f>
        <v/>
      </c>
      <c r="Z148" t="str">
        <f>IF(J148="","",IF(J148&lt;Setup!$C$5-Setup!$C$6,"",IF(IF(ISNUMBER(Roster!$D148),Setup!$C$28&lt;=Roster!$D148,FALSE),"",IF(OR(IF(Setup!$C$15&lt;=Setup!$C$16,AND(MONTH(J148)&gt;=Setup!$C$15,MONTH(J148)&lt;=Setup!$C$16),OR(MONTH(J148)&gt;=Setup!$C$15,MONTH(J148)&lt;=Setup!$C$16)),IF(Setup!$C$15&lt;=Setup!$C$16,AND(MONTH(WORKDAY(J148,-(Setup!$C$13+Setup!$G$28),Setup!$C$39:$C$50))&gt;=Setup!$C$15,MONTH(WORKDAY(J148,-(Setup!$C$13+Setup!$G$28),Setup!$C$39:$C$50))&lt;=Setup!$C$16),OR(MONTH(WORKDAY(J148,-(Setup!$C$13+Setup!$G$28),Setup!$C$39:$C$50))&gt;=Setup!$C$15,MONTH(WORKDAY(J148,-(Setup!$C$13+Setup!$G$28),Setup!$C$39:$C$50))&lt;=Setup!$C$16))),WORKDAY(J148,-(Setup!$C$13+Setup!$G$28+Setup!$C$14),Setup!$C$39:$C$50),WORKDAY(J148,-(Setup!$C$13+Setup!$G$28),Setup!$C$39:$C$50))+(143*100+9)/10000000)))</f>
        <v/>
      </c>
      <c r="AA148" t="str">
        <f>IF(K148="","",IF(K148&lt;Setup!$C$5-Setup!$C$6,"",IF(IF(ISNUMBER(Roster!$D148),Setup!$C$29&lt;=Roster!$D148,FALSE),"",IF(OR(IF(Setup!$C$15&lt;=Setup!$C$16,AND(MONTH(K148)&gt;=Setup!$C$15,MONTH(K148)&lt;=Setup!$C$16),OR(MONTH(K148)&gt;=Setup!$C$15,MONTH(K148)&lt;=Setup!$C$16)),IF(Setup!$C$15&lt;=Setup!$C$16,AND(MONTH(WORKDAY(K148,-(Setup!$C$13+Setup!$G$29),Setup!$C$39:$C$50))&gt;=Setup!$C$15,MONTH(WORKDAY(K148,-(Setup!$C$13+Setup!$G$29),Setup!$C$39:$C$50))&lt;=Setup!$C$16),OR(MONTH(WORKDAY(K148,-(Setup!$C$13+Setup!$G$29),Setup!$C$39:$C$50))&gt;=Setup!$C$15,MONTH(WORKDAY(K148,-(Setup!$C$13+Setup!$G$29),Setup!$C$39:$C$50))&lt;=Setup!$C$16))),WORKDAY(K148,-(Setup!$C$13+Setup!$G$29+Setup!$C$14),Setup!$C$39:$C$50),WORKDAY(K148,-(Setup!$C$13+Setup!$G$29),Setup!$C$39:$C$50))+(143*100+10)/10000000)))</f>
        <v/>
      </c>
      <c r="AB148" t="str">
        <f>IF(L148="","",IF(L148&lt;Setup!$C$5-Setup!$C$6,"",IF(IF(ISNUMBER(Roster!$D148),Setup!$C$30&lt;=Roster!$D148,FALSE),"",IF(OR(IF(Setup!$C$15&lt;=Setup!$C$16,AND(MONTH(L148)&gt;=Setup!$C$15,MONTH(L148)&lt;=Setup!$C$16),OR(MONTH(L148)&gt;=Setup!$C$15,MONTH(L148)&lt;=Setup!$C$16)),IF(Setup!$C$15&lt;=Setup!$C$16,AND(MONTH(WORKDAY(L148,-(Setup!$C$13+Setup!$G$30),Setup!$C$39:$C$50))&gt;=Setup!$C$15,MONTH(WORKDAY(L148,-(Setup!$C$13+Setup!$G$30),Setup!$C$39:$C$50))&lt;=Setup!$C$16),OR(MONTH(WORKDAY(L148,-(Setup!$C$13+Setup!$G$30),Setup!$C$39:$C$50))&gt;=Setup!$C$15,MONTH(WORKDAY(L148,-(Setup!$C$13+Setup!$G$30),Setup!$C$39:$C$50))&lt;=Setup!$C$16))),WORKDAY(L148,-(Setup!$C$13+Setup!$G$30+Setup!$C$14),Setup!$C$39:$C$50),WORKDAY(L148,-(Setup!$C$13+Setup!$G$30),Setup!$C$39:$C$50))+(143*100+11)/10000000)))</f>
        <v/>
      </c>
      <c r="AC148" t="str">
        <f>IF(M148="","",IF(M148&lt;Setup!$C$5-Setup!$C$6,"",IF(IF(ISNUMBER(Roster!$D148),Setup!$C$31&lt;=Roster!$D148,FALSE),"",IF(OR(IF(Setup!$C$15&lt;=Setup!$C$16,AND(MONTH(M148)&gt;=Setup!$C$15,MONTH(M148)&lt;=Setup!$C$16),OR(MONTH(M148)&gt;=Setup!$C$15,MONTH(M148)&lt;=Setup!$C$16)),IF(Setup!$C$15&lt;=Setup!$C$16,AND(MONTH(WORKDAY(M148,-(Setup!$C$13+Setup!$G$31),Setup!$C$39:$C$50))&gt;=Setup!$C$15,MONTH(WORKDAY(M148,-(Setup!$C$13+Setup!$G$31),Setup!$C$39:$C$50))&lt;=Setup!$C$16),OR(MONTH(WORKDAY(M148,-(Setup!$C$13+Setup!$G$31),Setup!$C$39:$C$50))&gt;=Setup!$C$15,MONTH(WORKDAY(M148,-(Setup!$C$13+Setup!$G$31),Setup!$C$39:$C$50))&lt;=Setup!$C$16))),WORKDAY(M148,-(Setup!$C$13+Setup!$G$31+Setup!$C$14),Setup!$C$39:$C$50),WORKDAY(M148,-(Setup!$C$13+Setup!$G$31),Setup!$C$39:$C$50))+(143*100+12)/10000000)))</f>
        <v/>
      </c>
      <c r="AD148" t="str">
        <f>IF(N148="","",IF(N148&lt;Setup!$C$5-Setup!$C$6,"",IF(IF(ISNUMBER(Roster!$D148),Setup!$C$32&lt;=Roster!$D148,FALSE),"",IF(OR(IF(Setup!$C$15&lt;=Setup!$C$16,AND(MONTH(N148)&gt;=Setup!$C$15,MONTH(N148)&lt;=Setup!$C$16),OR(MONTH(N148)&gt;=Setup!$C$15,MONTH(N148)&lt;=Setup!$C$16)),IF(Setup!$C$15&lt;=Setup!$C$16,AND(MONTH(WORKDAY(N148,-(Setup!$C$13+Setup!$G$32),Setup!$C$39:$C$50))&gt;=Setup!$C$15,MONTH(WORKDAY(N148,-(Setup!$C$13+Setup!$G$32),Setup!$C$39:$C$50))&lt;=Setup!$C$16),OR(MONTH(WORKDAY(N148,-(Setup!$C$13+Setup!$G$32),Setup!$C$39:$C$50))&gt;=Setup!$C$15,MONTH(WORKDAY(N148,-(Setup!$C$13+Setup!$G$32),Setup!$C$39:$C$50))&lt;=Setup!$C$16))),WORKDAY(N148,-(Setup!$C$13+Setup!$G$32+Setup!$C$14),Setup!$C$39:$C$50),WORKDAY(N148,-(Setup!$C$13+Setup!$G$32),Setup!$C$39:$C$50))+(143*100+13)/10000000)))</f>
        <v/>
      </c>
      <c r="AE148" t="str">
        <f>IF(O148="","",IF(O148&lt;Setup!$C$5-Setup!$C$6,"",IF(IF(ISNUMBER(Roster!$D148),Setup!$C$33&lt;=Roster!$D148,FALSE),"",IF(OR(IF(Setup!$C$15&lt;=Setup!$C$16,AND(MONTH(O148)&gt;=Setup!$C$15,MONTH(O148)&lt;=Setup!$C$16),OR(MONTH(O148)&gt;=Setup!$C$15,MONTH(O148)&lt;=Setup!$C$16)),IF(Setup!$C$15&lt;=Setup!$C$16,AND(MONTH(WORKDAY(O148,-(Setup!$C$13+Setup!$G$33),Setup!$C$39:$C$50))&gt;=Setup!$C$15,MONTH(WORKDAY(O148,-(Setup!$C$13+Setup!$G$33),Setup!$C$39:$C$50))&lt;=Setup!$C$16),OR(MONTH(WORKDAY(O148,-(Setup!$C$13+Setup!$G$33),Setup!$C$39:$C$50))&gt;=Setup!$C$15,MONTH(WORKDAY(O148,-(Setup!$C$13+Setup!$G$33),Setup!$C$39:$C$50))&lt;=Setup!$C$16))),WORKDAY(O148,-(Setup!$C$13+Setup!$G$33+Setup!$C$14),Setup!$C$39:$C$50),WORKDAY(O148,-(Setup!$C$13+Setup!$G$33),Setup!$C$39:$C$50))+(143*100+14)/10000000)))</f>
        <v/>
      </c>
      <c r="AF148" t="str">
        <f>IF(P148="","",IF(P148&lt;Setup!$C$5-Setup!$C$6,"",IF(IF(ISNUMBER(Roster!$D148),Setup!$C$34&lt;=Roster!$D148,FALSE),"",IF(OR(IF(Setup!$C$15&lt;=Setup!$C$16,AND(MONTH(P148)&gt;=Setup!$C$15,MONTH(P148)&lt;=Setup!$C$16),OR(MONTH(P148)&gt;=Setup!$C$15,MONTH(P148)&lt;=Setup!$C$16)),IF(Setup!$C$15&lt;=Setup!$C$16,AND(MONTH(WORKDAY(P148,-(Setup!$C$13+Setup!$G$34),Setup!$C$39:$C$50))&gt;=Setup!$C$15,MONTH(WORKDAY(P148,-(Setup!$C$13+Setup!$G$34),Setup!$C$39:$C$50))&lt;=Setup!$C$16),OR(MONTH(WORKDAY(P148,-(Setup!$C$13+Setup!$G$34),Setup!$C$39:$C$50))&gt;=Setup!$C$15,MONTH(WORKDAY(P148,-(Setup!$C$13+Setup!$G$34),Setup!$C$39:$C$50))&lt;=Setup!$C$16))),WORKDAY(P148,-(Setup!$C$13+Setup!$G$34+Setup!$C$14),Setup!$C$39:$C$50),WORKDAY(P148,-(Setup!$C$13+Setup!$G$34),Setup!$C$39:$C$50))+(143*100+15)/10000000)))</f>
        <v/>
      </c>
      <c r="AH148" t="str">
        <f t="shared" si="17"/>
        <v/>
      </c>
      <c r="AI148" t="str">
        <f t="shared" si="18"/>
        <v/>
      </c>
      <c r="AK148" t="str">
        <f ca="1">IF(143&gt;$AK$2,"",SMALL($R$6:$AF$505,143))</f>
        <v/>
      </c>
      <c r="AL148" t="str">
        <f t="shared" ca="1" si="19"/>
        <v/>
      </c>
      <c r="AM148" t="str">
        <f t="shared" ca="1" si="20"/>
        <v/>
      </c>
      <c r="AN148" t="str">
        <f t="shared" ca="1" si="21"/>
        <v/>
      </c>
      <c r="AP148" t="str">
        <f>IF(ISNUMBER(Roster!$B148),MAX(1,YEAR(Setup!$C$5)-YEAR(Roster!$B148)+IF(EDATE(Roster!$B148,12*(YEAR(Setup!$C$5)-YEAR(Roster!$B148)))&lt;Setup!$C$5,1,0)),"")</f>
        <v/>
      </c>
      <c r="AQ148" s="32" t="str">
        <f>IF(AP148="","",EDATE(Roster!$B148,12*AP148))</f>
        <v/>
      </c>
      <c r="AR148" t="str">
        <f>IF(AQ148="","",IF(AQ148&lt;DATE(YEAR(Setup!$C$5)+1,MONTH(Setup!$C$5),DAY(Setup!$C$5)),AQ148+143/1000,""))</f>
        <v/>
      </c>
      <c r="AS148" t="str">
        <f t="shared" si="22"/>
        <v/>
      </c>
      <c r="AT148" t="str">
        <f>IF(AS148="","",IF(ISNUMBER(Roster!$D148),Roster!$D148&gt;=AP148,FALSE))</f>
        <v/>
      </c>
      <c r="AU148" t="str">
        <f t="shared" si="23"/>
        <v/>
      </c>
      <c r="AV148" t="str">
        <f ca="1">IF(143&gt;$AV$2,"",SMALL($AR$6:$AR$505,143))</f>
        <v/>
      </c>
      <c r="AW148" t="str">
        <f t="shared" ca="1" si="24"/>
        <v/>
      </c>
    </row>
    <row r="149" spans="2:49" x14ac:dyDescent="0.2">
      <c r="B149" s="32" t="str">
        <f>IF(AND(ISNUMBER(Roster!$B149),Setup!$B$20="Yes",ISNUMBER(Setup!$C$20)),EDATE(Roster!$B149,12*Setup!$C$20),"")</f>
        <v/>
      </c>
      <c r="C149" s="32" t="str">
        <f>IF(AND(ISNUMBER(Roster!$B149),Setup!$B$21="Yes",ISNUMBER(Setup!$C$21)),EDATE(Roster!$B149,12*Setup!$C$21),"")</f>
        <v/>
      </c>
      <c r="D149" s="32" t="str">
        <f>IF(AND(ISNUMBER(Roster!$B149),Setup!$B$22="Yes",ISNUMBER(Setup!$C$22)),EDATE(Roster!$B149,12*Setup!$C$22),"")</f>
        <v/>
      </c>
      <c r="E149" s="32" t="str">
        <f>IF(AND(ISNUMBER(Roster!$B149),Setup!$B$23="Yes",ISNUMBER(Setup!$C$23)),EDATE(Roster!$B149,12*Setup!$C$23),"")</f>
        <v/>
      </c>
      <c r="F149" s="32" t="str">
        <f>IF(AND(ISNUMBER(Roster!$B149),Setup!$B$24="Yes",ISNUMBER(Setup!$C$24)),EDATE(Roster!$B149,12*Setup!$C$24),"")</f>
        <v/>
      </c>
      <c r="G149" s="32" t="str">
        <f>IF(AND(ISNUMBER(Roster!$B149),Setup!$B$25="Yes",ISNUMBER(Setup!$C$25)),EDATE(Roster!$B149,12*Setup!$C$25),"")</f>
        <v/>
      </c>
      <c r="H149" s="32" t="str">
        <f>IF(AND(ISNUMBER(Roster!$B149),Setup!$B$26="Yes",ISNUMBER(Setup!$C$26)),EDATE(Roster!$B149,12*Setup!$C$26),"")</f>
        <v/>
      </c>
      <c r="I149" s="32" t="str">
        <f>IF(AND(ISNUMBER(Roster!$B149),Setup!$B$27="Yes",ISNUMBER(Setup!$C$27)),EDATE(Roster!$B149,12*Setup!$C$27),"")</f>
        <v/>
      </c>
      <c r="J149" s="32" t="str">
        <f>IF(AND(ISNUMBER(Roster!$B149),Setup!$B$28="Yes",ISNUMBER(Setup!$C$28)),EDATE(Roster!$B149,12*Setup!$C$28),"")</f>
        <v/>
      </c>
      <c r="K149" s="32" t="str">
        <f>IF(AND(ISNUMBER(Roster!$B149),Setup!$B$29="Yes",ISNUMBER(Setup!$C$29)),EDATE(Roster!$B149,12*Setup!$C$29),"")</f>
        <v/>
      </c>
      <c r="L149" s="32" t="str">
        <f>IF(AND(ISNUMBER(Roster!$B149),Setup!$B$30="Yes",ISNUMBER(Setup!$C$30)),EDATE(Roster!$B149,12*Setup!$C$30),"")</f>
        <v/>
      </c>
      <c r="M149" s="32" t="str">
        <f>IF(AND(ISNUMBER(Roster!$B149),Setup!$B$31="Yes",ISNUMBER(Setup!$C$31)),EDATE(Roster!$B149,12*Setup!$C$31),"")</f>
        <v/>
      </c>
      <c r="N149" s="32" t="str">
        <f>IF(AND(ISNUMBER(Roster!$B149),Setup!$B$32="Yes",ISNUMBER(Setup!$C$32)),EDATE(Roster!$B149,12*Setup!$C$32),"")</f>
        <v/>
      </c>
      <c r="O149" s="32" t="str">
        <f>IF(AND(ISNUMBER(Roster!$B149),Setup!$B$33="Yes",ISNUMBER(Setup!$C$33)),EDATE(Roster!$B149,12*Setup!$C$33),"")</f>
        <v/>
      </c>
      <c r="P149" s="32" t="str">
        <f>IF(AND(ISNUMBER(Roster!$B149),Setup!$B$34="Yes",ISNUMBER(Setup!$C$34)),EDATE(Roster!$B149,12*Setup!$C$34),"")</f>
        <v/>
      </c>
      <c r="R149" t="str">
        <f>IF(B149="","",IF(B149&lt;Setup!$C$5-Setup!$C$6,"",IF(IF(ISNUMBER(Roster!$D149),Setup!$C$20&lt;=Roster!$D149,FALSE),"",IF(OR(IF(Setup!$C$15&lt;=Setup!$C$16,AND(MONTH(B149)&gt;=Setup!$C$15,MONTH(B149)&lt;=Setup!$C$16),OR(MONTH(B149)&gt;=Setup!$C$15,MONTH(B149)&lt;=Setup!$C$16)),IF(Setup!$C$15&lt;=Setup!$C$16,AND(MONTH(WORKDAY(B149,-(Setup!$C$13+Setup!$G$20),Setup!$C$39:$C$50))&gt;=Setup!$C$15,MONTH(WORKDAY(B149,-(Setup!$C$13+Setup!$G$20),Setup!$C$39:$C$50))&lt;=Setup!$C$16),OR(MONTH(WORKDAY(B149,-(Setup!$C$13+Setup!$G$20),Setup!$C$39:$C$50))&gt;=Setup!$C$15,MONTH(WORKDAY(B149,-(Setup!$C$13+Setup!$G$20),Setup!$C$39:$C$50))&lt;=Setup!$C$16))),WORKDAY(B149,-(Setup!$C$13+Setup!$G$20+Setup!$C$14),Setup!$C$39:$C$50),WORKDAY(B149,-(Setup!$C$13+Setup!$G$20),Setup!$C$39:$C$50))+(144*100+1)/10000000)))</f>
        <v/>
      </c>
      <c r="S149" t="str">
        <f>IF(C149="","",IF(C149&lt;Setup!$C$5-Setup!$C$6,"",IF(IF(ISNUMBER(Roster!$D149),Setup!$C$21&lt;=Roster!$D149,FALSE),"",IF(OR(IF(Setup!$C$15&lt;=Setup!$C$16,AND(MONTH(C149)&gt;=Setup!$C$15,MONTH(C149)&lt;=Setup!$C$16),OR(MONTH(C149)&gt;=Setup!$C$15,MONTH(C149)&lt;=Setup!$C$16)),IF(Setup!$C$15&lt;=Setup!$C$16,AND(MONTH(WORKDAY(C149,-(Setup!$C$13+Setup!$G$21),Setup!$C$39:$C$50))&gt;=Setup!$C$15,MONTH(WORKDAY(C149,-(Setup!$C$13+Setup!$G$21),Setup!$C$39:$C$50))&lt;=Setup!$C$16),OR(MONTH(WORKDAY(C149,-(Setup!$C$13+Setup!$G$21),Setup!$C$39:$C$50))&gt;=Setup!$C$15,MONTH(WORKDAY(C149,-(Setup!$C$13+Setup!$G$21),Setup!$C$39:$C$50))&lt;=Setup!$C$16))),WORKDAY(C149,-(Setup!$C$13+Setup!$G$21+Setup!$C$14),Setup!$C$39:$C$50),WORKDAY(C149,-(Setup!$C$13+Setup!$G$21),Setup!$C$39:$C$50))+(144*100+2)/10000000)))</f>
        <v/>
      </c>
      <c r="T149" t="str">
        <f>IF(D149="","",IF(D149&lt;Setup!$C$5-Setup!$C$6,"",IF(IF(ISNUMBER(Roster!$D149),Setup!$C$22&lt;=Roster!$D149,FALSE),"",IF(OR(IF(Setup!$C$15&lt;=Setup!$C$16,AND(MONTH(D149)&gt;=Setup!$C$15,MONTH(D149)&lt;=Setup!$C$16),OR(MONTH(D149)&gt;=Setup!$C$15,MONTH(D149)&lt;=Setup!$C$16)),IF(Setup!$C$15&lt;=Setup!$C$16,AND(MONTH(WORKDAY(D149,-(Setup!$C$13+Setup!$G$22),Setup!$C$39:$C$50))&gt;=Setup!$C$15,MONTH(WORKDAY(D149,-(Setup!$C$13+Setup!$G$22),Setup!$C$39:$C$50))&lt;=Setup!$C$16),OR(MONTH(WORKDAY(D149,-(Setup!$C$13+Setup!$G$22),Setup!$C$39:$C$50))&gt;=Setup!$C$15,MONTH(WORKDAY(D149,-(Setup!$C$13+Setup!$G$22),Setup!$C$39:$C$50))&lt;=Setup!$C$16))),WORKDAY(D149,-(Setup!$C$13+Setup!$G$22+Setup!$C$14),Setup!$C$39:$C$50),WORKDAY(D149,-(Setup!$C$13+Setup!$G$22),Setup!$C$39:$C$50))+(144*100+3)/10000000)))</f>
        <v/>
      </c>
      <c r="U149" t="str">
        <f>IF(E149="","",IF(E149&lt;Setup!$C$5-Setup!$C$6,"",IF(IF(ISNUMBER(Roster!$D149),Setup!$C$23&lt;=Roster!$D149,FALSE),"",IF(OR(IF(Setup!$C$15&lt;=Setup!$C$16,AND(MONTH(E149)&gt;=Setup!$C$15,MONTH(E149)&lt;=Setup!$C$16),OR(MONTH(E149)&gt;=Setup!$C$15,MONTH(E149)&lt;=Setup!$C$16)),IF(Setup!$C$15&lt;=Setup!$C$16,AND(MONTH(WORKDAY(E149,-(Setup!$C$13+Setup!$G$23),Setup!$C$39:$C$50))&gt;=Setup!$C$15,MONTH(WORKDAY(E149,-(Setup!$C$13+Setup!$G$23),Setup!$C$39:$C$50))&lt;=Setup!$C$16),OR(MONTH(WORKDAY(E149,-(Setup!$C$13+Setup!$G$23),Setup!$C$39:$C$50))&gt;=Setup!$C$15,MONTH(WORKDAY(E149,-(Setup!$C$13+Setup!$G$23),Setup!$C$39:$C$50))&lt;=Setup!$C$16))),WORKDAY(E149,-(Setup!$C$13+Setup!$G$23+Setup!$C$14),Setup!$C$39:$C$50),WORKDAY(E149,-(Setup!$C$13+Setup!$G$23),Setup!$C$39:$C$50))+(144*100+4)/10000000)))</f>
        <v/>
      </c>
      <c r="V149" t="str">
        <f>IF(F149="","",IF(F149&lt;Setup!$C$5-Setup!$C$6,"",IF(IF(ISNUMBER(Roster!$D149),Setup!$C$24&lt;=Roster!$D149,FALSE),"",IF(OR(IF(Setup!$C$15&lt;=Setup!$C$16,AND(MONTH(F149)&gt;=Setup!$C$15,MONTH(F149)&lt;=Setup!$C$16),OR(MONTH(F149)&gt;=Setup!$C$15,MONTH(F149)&lt;=Setup!$C$16)),IF(Setup!$C$15&lt;=Setup!$C$16,AND(MONTH(WORKDAY(F149,-(Setup!$C$13+Setup!$G$24),Setup!$C$39:$C$50))&gt;=Setup!$C$15,MONTH(WORKDAY(F149,-(Setup!$C$13+Setup!$G$24),Setup!$C$39:$C$50))&lt;=Setup!$C$16),OR(MONTH(WORKDAY(F149,-(Setup!$C$13+Setup!$G$24),Setup!$C$39:$C$50))&gt;=Setup!$C$15,MONTH(WORKDAY(F149,-(Setup!$C$13+Setup!$G$24),Setup!$C$39:$C$50))&lt;=Setup!$C$16))),WORKDAY(F149,-(Setup!$C$13+Setup!$G$24+Setup!$C$14),Setup!$C$39:$C$50),WORKDAY(F149,-(Setup!$C$13+Setup!$G$24),Setup!$C$39:$C$50))+(144*100+5)/10000000)))</f>
        <v/>
      </c>
      <c r="W149" t="str">
        <f>IF(G149="","",IF(G149&lt;Setup!$C$5-Setup!$C$6,"",IF(IF(ISNUMBER(Roster!$D149),Setup!$C$25&lt;=Roster!$D149,FALSE),"",IF(OR(IF(Setup!$C$15&lt;=Setup!$C$16,AND(MONTH(G149)&gt;=Setup!$C$15,MONTH(G149)&lt;=Setup!$C$16),OR(MONTH(G149)&gt;=Setup!$C$15,MONTH(G149)&lt;=Setup!$C$16)),IF(Setup!$C$15&lt;=Setup!$C$16,AND(MONTH(WORKDAY(G149,-(Setup!$C$13+Setup!$G$25),Setup!$C$39:$C$50))&gt;=Setup!$C$15,MONTH(WORKDAY(G149,-(Setup!$C$13+Setup!$G$25),Setup!$C$39:$C$50))&lt;=Setup!$C$16),OR(MONTH(WORKDAY(G149,-(Setup!$C$13+Setup!$G$25),Setup!$C$39:$C$50))&gt;=Setup!$C$15,MONTH(WORKDAY(G149,-(Setup!$C$13+Setup!$G$25),Setup!$C$39:$C$50))&lt;=Setup!$C$16))),WORKDAY(G149,-(Setup!$C$13+Setup!$G$25+Setup!$C$14),Setup!$C$39:$C$50),WORKDAY(G149,-(Setup!$C$13+Setup!$G$25),Setup!$C$39:$C$50))+(144*100+6)/10000000)))</f>
        <v/>
      </c>
      <c r="X149" t="str">
        <f>IF(H149="","",IF(H149&lt;Setup!$C$5-Setup!$C$6,"",IF(IF(ISNUMBER(Roster!$D149),Setup!$C$26&lt;=Roster!$D149,FALSE),"",IF(OR(IF(Setup!$C$15&lt;=Setup!$C$16,AND(MONTH(H149)&gt;=Setup!$C$15,MONTH(H149)&lt;=Setup!$C$16),OR(MONTH(H149)&gt;=Setup!$C$15,MONTH(H149)&lt;=Setup!$C$16)),IF(Setup!$C$15&lt;=Setup!$C$16,AND(MONTH(WORKDAY(H149,-(Setup!$C$13+Setup!$G$26),Setup!$C$39:$C$50))&gt;=Setup!$C$15,MONTH(WORKDAY(H149,-(Setup!$C$13+Setup!$G$26),Setup!$C$39:$C$50))&lt;=Setup!$C$16),OR(MONTH(WORKDAY(H149,-(Setup!$C$13+Setup!$G$26),Setup!$C$39:$C$50))&gt;=Setup!$C$15,MONTH(WORKDAY(H149,-(Setup!$C$13+Setup!$G$26),Setup!$C$39:$C$50))&lt;=Setup!$C$16))),WORKDAY(H149,-(Setup!$C$13+Setup!$G$26+Setup!$C$14),Setup!$C$39:$C$50),WORKDAY(H149,-(Setup!$C$13+Setup!$G$26),Setup!$C$39:$C$50))+(144*100+7)/10000000)))</f>
        <v/>
      </c>
      <c r="Y149" t="str">
        <f>IF(I149="","",IF(I149&lt;Setup!$C$5-Setup!$C$6,"",IF(IF(ISNUMBER(Roster!$D149),Setup!$C$27&lt;=Roster!$D149,FALSE),"",IF(OR(IF(Setup!$C$15&lt;=Setup!$C$16,AND(MONTH(I149)&gt;=Setup!$C$15,MONTH(I149)&lt;=Setup!$C$16),OR(MONTH(I149)&gt;=Setup!$C$15,MONTH(I149)&lt;=Setup!$C$16)),IF(Setup!$C$15&lt;=Setup!$C$16,AND(MONTH(WORKDAY(I149,-(Setup!$C$13+Setup!$G$27),Setup!$C$39:$C$50))&gt;=Setup!$C$15,MONTH(WORKDAY(I149,-(Setup!$C$13+Setup!$G$27),Setup!$C$39:$C$50))&lt;=Setup!$C$16),OR(MONTH(WORKDAY(I149,-(Setup!$C$13+Setup!$G$27),Setup!$C$39:$C$50))&gt;=Setup!$C$15,MONTH(WORKDAY(I149,-(Setup!$C$13+Setup!$G$27),Setup!$C$39:$C$50))&lt;=Setup!$C$16))),WORKDAY(I149,-(Setup!$C$13+Setup!$G$27+Setup!$C$14),Setup!$C$39:$C$50),WORKDAY(I149,-(Setup!$C$13+Setup!$G$27),Setup!$C$39:$C$50))+(144*100+8)/10000000)))</f>
        <v/>
      </c>
      <c r="Z149" t="str">
        <f>IF(J149="","",IF(J149&lt;Setup!$C$5-Setup!$C$6,"",IF(IF(ISNUMBER(Roster!$D149),Setup!$C$28&lt;=Roster!$D149,FALSE),"",IF(OR(IF(Setup!$C$15&lt;=Setup!$C$16,AND(MONTH(J149)&gt;=Setup!$C$15,MONTH(J149)&lt;=Setup!$C$16),OR(MONTH(J149)&gt;=Setup!$C$15,MONTH(J149)&lt;=Setup!$C$16)),IF(Setup!$C$15&lt;=Setup!$C$16,AND(MONTH(WORKDAY(J149,-(Setup!$C$13+Setup!$G$28),Setup!$C$39:$C$50))&gt;=Setup!$C$15,MONTH(WORKDAY(J149,-(Setup!$C$13+Setup!$G$28),Setup!$C$39:$C$50))&lt;=Setup!$C$16),OR(MONTH(WORKDAY(J149,-(Setup!$C$13+Setup!$G$28),Setup!$C$39:$C$50))&gt;=Setup!$C$15,MONTH(WORKDAY(J149,-(Setup!$C$13+Setup!$G$28),Setup!$C$39:$C$50))&lt;=Setup!$C$16))),WORKDAY(J149,-(Setup!$C$13+Setup!$G$28+Setup!$C$14),Setup!$C$39:$C$50),WORKDAY(J149,-(Setup!$C$13+Setup!$G$28),Setup!$C$39:$C$50))+(144*100+9)/10000000)))</f>
        <v/>
      </c>
      <c r="AA149" t="str">
        <f>IF(K149="","",IF(K149&lt;Setup!$C$5-Setup!$C$6,"",IF(IF(ISNUMBER(Roster!$D149),Setup!$C$29&lt;=Roster!$D149,FALSE),"",IF(OR(IF(Setup!$C$15&lt;=Setup!$C$16,AND(MONTH(K149)&gt;=Setup!$C$15,MONTH(K149)&lt;=Setup!$C$16),OR(MONTH(K149)&gt;=Setup!$C$15,MONTH(K149)&lt;=Setup!$C$16)),IF(Setup!$C$15&lt;=Setup!$C$16,AND(MONTH(WORKDAY(K149,-(Setup!$C$13+Setup!$G$29),Setup!$C$39:$C$50))&gt;=Setup!$C$15,MONTH(WORKDAY(K149,-(Setup!$C$13+Setup!$G$29),Setup!$C$39:$C$50))&lt;=Setup!$C$16),OR(MONTH(WORKDAY(K149,-(Setup!$C$13+Setup!$G$29),Setup!$C$39:$C$50))&gt;=Setup!$C$15,MONTH(WORKDAY(K149,-(Setup!$C$13+Setup!$G$29),Setup!$C$39:$C$50))&lt;=Setup!$C$16))),WORKDAY(K149,-(Setup!$C$13+Setup!$G$29+Setup!$C$14),Setup!$C$39:$C$50),WORKDAY(K149,-(Setup!$C$13+Setup!$G$29),Setup!$C$39:$C$50))+(144*100+10)/10000000)))</f>
        <v/>
      </c>
      <c r="AB149" t="str">
        <f>IF(L149="","",IF(L149&lt;Setup!$C$5-Setup!$C$6,"",IF(IF(ISNUMBER(Roster!$D149),Setup!$C$30&lt;=Roster!$D149,FALSE),"",IF(OR(IF(Setup!$C$15&lt;=Setup!$C$16,AND(MONTH(L149)&gt;=Setup!$C$15,MONTH(L149)&lt;=Setup!$C$16),OR(MONTH(L149)&gt;=Setup!$C$15,MONTH(L149)&lt;=Setup!$C$16)),IF(Setup!$C$15&lt;=Setup!$C$16,AND(MONTH(WORKDAY(L149,-(Setup!$C$13+Setup!$G$30),Setup!$C$39:$C$50))&gt;=Setup!$C$15,MONTH(WORKDAY(L149,-(Setup!$C$13+Setup!$G$30),Setup!$C$39:$C$50))&lt;=Setup!$C$16),OR(MONTH(WORKDAY(L149,-(Setup!$C$13+Setup!$G$30),Setup!$C$39:$C$50))&gt;=Setup!$C$15,MONTH(WORKDAY(L149,-(Setup!$C$13+Setup!$G$30),Setup!$C$39:$C$50))&lt;=Setup!$C$16))),WORKDAY(L149,-(Setup!$C$13+Setup!$G$30+Setup!$C$14),Setup!$C$39:$C$50),WORKDAY(L149,-(Setup!$C$13+Setup!$G$30),Setup!$C$39:$C$50))+(144*100+11)/10000000)))</f>
        <v/>
      </c>
      <c r="AC149" t="str">
        <f>IF(M149="","",IF(M149&lt;Setup!$C$5-Setup!$C$6,"",IF(IF(ISNUMBER(Roster!$D149),Setup!$C$31&lt;=Roster!$D149,FALSE),"",IF(OR(IF(Setup!$C$15&lt;=Setup!$C$16,AND(MONTH(M149)&gt;=Setup!$C$15,MONTH(M149)&lt;=Setup!$C$16),OR(MONTH(M149)&gt;=Setup!$C$15,MONTH(M149)&lt;=Setup!$C$16)),IF(Setup!$C$15&lt;=Setup!$C$16,AND(MONTH(WORKDAY(M149,-(Setup!$C$13+Setup!$G$31),Setup!$C$39:$C$50))&gt;=Setup!$C$15,MONTH(WORKDAY(M149,-(Setup!$C$13+Setup!$G$31),Setup!$C$39:$C$50))&lt;=Setup!$C$16),OR(MONTH(WORKDAY(M149,-(Setup!$C$13+Setup!$G$31),Setup!$C$39:$C$50))&gt;=Setup!$C$15,MONTH(WORKDAY(M149,-(Setup!$C$13+Setup!$G$31),Setup!$C$39:$C$50))&lt;=Setup!$C$16))),WORKDAY(M149,-(Setup!$C$13+Setup!$G$31+Setup!$C$14),Setup!$C$39:$C$50),WORKDAY(M149,-(Setup!$C$13+Setup!$G$31),Setup!$C$39:$C$50))+(144*100+12)/10000000)))</f>
        <v/>
      </c>
      <c r="AD149" t="str">
        <f>IF(N149="","",IF(N149&lt;Setup!$C$5-Setup!$C$6,"",IF(IF(ISNUMBER(Roster!$D149),Setup!$C$32&lt;=Roster!$D149,FALSE),"",IF(OR(IF(Setup!$C$15&lt;=Setup!$C$16,AND(MONTH(N149)&gt;=Setup!$C$15,MONTH(N149)&lt;=Setup!$C$16),OR(MONTH(N149)&gt;=Setup!$C$15,MONTH(N149)&lt;=Setup!$C$16)),IF(Setup!$C$15&lt;=Setup!$C$16,AND(MONTH(WORKDAY(N149,-(Setup!$C$13+Setup!$G$32),Setup!$C$39:$C$50))&gt;=Setup!$C$15,MONTH(WORKDAY(N149,-(Setup!$C$13+Setup!$G$32),Setup!$C$39:$C$50))&lt;=Setup!$C$16),OR(MONTH(WORKDAY(N149,-(Setup!$C$13+Setup!$G$32),Setup!$C$39:$C$50))&gt;=Setup!$C$15,MONTH(WORKDAY(N149,-(Setup!$C$13+Setup!$G$32),Setup!$C$39:$C$50))&lt;=Setup!$C$16))),WORKDAY(N149,-(Setup!$C$13+Setup!$G$32+Setup!$C$14),Setup!$C$39:$C$50),WORKDAY(N149,-(Setup!$C$13+Setup!$G$32),Setup!$C$39:$C$50))+(144*100+13)/10000000)))</f>
        <v/>
      </c>
      <c r="AE149" t="str">
        <f>IF(O149="","",IF(O149&lt;Setup!$C$5-Setup!$C$6,"",IF(IF(ISNUMBER(Roster!$D149),Setup!$C$33&lt;=Roster!$D149,FALSE),"",IF(OR(IF(Setup!$C$15&lt;=Setup!$C$16,AND(MONTH(O149)&gt;=Setup!$C$15,MONTH(O149)&lt;=Setup!$C$16),OR(MONTH(O149)&gt;=Setup!$C$15,MONTH(O149)&lt;=Setup!$C$16)),IF(Setup!$C$15&lt;=Setup!$C$16,AND(MONTH(WORKDAY(O149,-(Setup!$C$13+Setup!$G$33),Setup!$C$39:$C$50))&gt;=Setup!$C$15,MONTH(WORKDAY(O149,-(Setup!$C$13+Setup!$G$33),Setup!$C$39:$C$50))&lt;=Setup!$C$16),OR(MONTH(WORKDAY(O149,-(Setup!$C$13+Setup!$G$33),Setup!$C$39:$C$50))&gt;=Setup!$C$15,MONTH(WORKDAY(O149,-(Setup!$C$13+Setup!$G$33),Setup!$C$39:$C$50))&lt;=Setup!$C$16))),WORKDAY(O149,-(Setup!$C$13+Setup!$G$33+Setup!$C$14),Setup!$C$39:$C$50),WORKDAY(O149,-(Setup!$C$13+Setup!$G$33),Setup!$C$39:$C$50))+(144*100+14)/10000000)))</f>
        <v/>
      </c>
      <c r="AF149" t="str">
        <f>IF(P149="","",IF(P149&lt;Setup!$C$5-Setup!$C$6,"",IF(IF(ISNUMBER(Roster!$D149),Setup!$C$34&lt;=Roster!$D149,FALSE),"",IF(OR(IF(Setup!$C$15&lt;=Setup!$C$16,AND(MONTH(P149)&gt;=Setup!$C$15,MONTH(P149)&lt;=Setup!$C$16),OR(MONTH(P149)&gt;=Setup!$C$15,MONTH(P149)&lt;=Setup!$C$16)),IF(Setup!$C$15&lt;=Setup!$C$16,AND(MONTH(WORKDAY(P149,-(Setup!$C$13+Setup!$G$34),Setup!$C$39:$C$50))&gt;=Setup!$C$15,MONTH(WORKDAY(P149,-(Setup!$C$13+Setup!$G$34),Setup!$C$39:$C$50))&lt;=Setup!$C$16),OR(MONTH(WORKDAY(P149,-(Setup!$C$13+Setup!$G$34),Setup!$C$39:$C$50))&gt;=Setup!$C$15,MONTH(WORKDAY(P149,-(Setup!$C$13+Setup!$G$34),Setup!$C$39:$C$50))&lt;=Setup!$C$16))),WORKDAY(P149,-(Setup!$C$13+Setup!$G$34+Setup!$C$14),Setup!$C$39:$C$50),WORKDAY(P149,-(Setup!$C$13+Setup!$G$34),Setup!$C$39:$C$50))+(144*100+15)/10000000)))</f>
        <v/>
      </c>
      <c r="AH149" t="str">
        <f t="shared" si="17"/>
        <v/>
      </c>
      <c r="AI149" t="str">
        <f t="shared" si="18"/>
        <v/>
      </c>
      <c r="AK149" t="str">
        <f ca="1">IF(144&gt;$AK$2,"",SMALL($R$6:$AF$505,144))</f>
        <v/>
      </c>
      <c r="AL149" t="str">
        <f t="shared" ca="1" si="19"/>
        <v/>
      </c>
      <c r="AM149" t="str">
        <f t="shared" ca="1" si="20"/>
        <v/>
      </c>
      <c r="AN149" t="str">
        <f t="shared" ca="1" si="21"/>
        <v/>
      </c>
      <c r="AP149" t="str">
        <f>IF(ISNUMBER(Roster!$B149),MAX(1,YEAR(Setup!$C$5)-YEAR(Roster!$B149)+IF(EDATE(Roster!$B149,12*(YEAR(Setup!$C$5)-YEAR(Roster!$B149)))&lt;Setup!$C$5,1,0)),"")</f>
        <v/>
      </c>
      <c r="AQ149" s="32" t="str">
        <f>IF(AP149="","",EDATE(Roster!$B149,12*AP149))</f>
        <v/>
      </c>
      <c r="AR149" t="str">
        <f>IF(AQ149="","",IF(AQ149&lt;DATE(YEAR(Setup!$C$5)+1,MONTH(Setup!$C$5),DAY(Setup!$C$5)),AQ149+144/1000,""))</f>
        <v/>
      </c>
      <c r="AS149" t="str">
        <f t="shared" si="22"/>
        <v/>
      </c>
      <c r="AT149" t="str">
        <f>IF(AS149="","",IF(ISNUMBER(Roster!$D149),Roster!$D149&gt;=AP149,FALSE))</f>
        <v/>
      </c>
      <c r="AU149" t="str">
        <f t="shared" si="23"/>
        <v/>
      </c>
      <c r="AV149" t="str">
        <f ca="1">IF(144&gt;$AV$2,"",SMALL($AR$6:$AR$505,144))</f>
        <v/>
      </c>
      <c r="AW149" t="str">
        <f t="shared" ca="1" si="24"/>
        <v/>
      </c>
    </row>
    <row r="150" spans="2:49" x14ac:dyDescent="0.2">
      <c r="B150" s="32" t="str">
        <f>IF(AND(ISNUMBER(Roster!$B150),Setup!$B$20="Yes",ISNUMBER(Setup!$C$20)),EDATE(Roster!$B150,12*Setup!$C$20),"")</f>
        <v/>
      </c>
      <c r="C150" s="32" t="str">
        <f>IF(AND(ISNUMBER(Roster!$B150),Setup!$B$21="Yes",ISNUMBER(Setup!$C$21)),EDATE(Roster!$B150,12*Setup!$C$21),"")</f>
        <v/>
      </c>
      <c r="D150" s="32" t="str">
        <f>IF(AND(ISNUMBER(Roster!$B150),Setup!$B$22="Yes",ISNUMBER(Setup!$C$22)),EDATE(Roster!$B150,12*Setup!$C$22),"")</f>
        <v/>
      </c>
      <c r="E150" s="32" t="str">
        <f>IF(AND(ISNUMBER(Roster!$B150),Setup!$B$23="Yes",ISNUMBER(Setup!$C$23)),EDATE(Roster!$B150,12*Setup!$C$23),"")</f>
        <v/>
      </c>
      <c r="F150" s="32" t="str">
        <f>IF(AND(ISNUMBER(Roster!$B150),Setup!$B$24="Yes",ISNUMBER(Setup!$C$24)),EDATE(Roster!$B150,12*Setup!$C$24),"")</f>
        <v/>
      </c>
      <c r="G150" s="32" t="str">
        <f>IF(AND(ISNUMBER(Roster!$B150),Setup!$B$25="Yes",ISNUMBER(Setup!$C$25)),EDATE(Roster!$B150,12*Setup!$C$25),"")</f>
        <v/>
      </c>
      <c r="H150" s="32" t="str">
        <f>IF(AND(ISNUMBER(Roster!$B150),Setup!$B$26="Yes",ISNUMBER(Setup!$C$26)),EDATE(Roster!$B150,12*Setup!$C$26),"")</f>
        <v/>
      </c>
      <c r="I150" s="32" t="str">
        <f>IF(AND(ISNUMBER(Roster!$B150),Setup!$B$27="Yes",ISNUMBER(Setup!$C$27)),EDATE(Roster!$B150,12*Setup!$C$27),"")</f>
        <v/>
      </c>
      <c r="J150" s="32" t="str">
        <f>IF(AND(ISNUMBER(Roster!$B150),Setup!$B$28="Yes",ISNUMBER(Setup!$C$28)),EDATE(Roster!$B150,12*Setup!$C$28),"")</f>
        <v/>
      </c>
      <c r="K150" s="32" t="str">
        <f>IF(AND(ISNUMBER(Roster!$B150),Setup!$B$29="Yes",ISNUMBER(Setup!$C$29)),EDATE(Roster!$B150,12*Setup!$C$29),"")</f>
        <v/>
      </c>
      <c r="L150" s="32" t="str">
        <f>IF(AND(ISNUMBER(Roster!$B150),Setup!$B$30="Yes",ISNUMBER(Setup!$C$30)),EDATE(Roster!$B150,12*Setup!$C$30),"")</f>
        <v/>
      </c>
      <c r="M150" s="32" t="str">
        <f>IF(AND(ISNUMBER(Roster!$B150),Setup!$B$31="Yes",ISNUMBER(Setup!$C$31)),EDATE(Roster!$B150,12*Setup!$C$31),"")</f>
        <v/>
      </c>
      <c r="N150" s="32" t="str">
        <f>IF(AND(ISNUMBER(Roster!$B150),Setup!$B$32="Yes",ISNUMBER(Setup!$C$32)),EDATE(Roster!$B150,12*Setup!$C$32),"")</f>
        <v/>
      </c>
      <c r="O150" s="32" t="str">
        <f>IF(AND(ISNUMBER(Roster!$B150),Setup!$B$33="Yes",ISNUMBER(Setup!$C$33)),EDATE(Roster!$B150,12*Setup!$C$33),"")</f>
        <v/>
      </c>
      <c r="P150" s="32" t="str">
        <f>IF(AND(ISNUMBER(Roster!$B150),Setup!$B$34="Yes",ISNUMBER(Setup!$C$34)),EDATE(Roster!$B150,12*Setup!$C$34),"")</f>
        <v/>
      </c>
      <c r="R150" t="str">
        <f>IF(B150="","",IF(B150&lt;Setup!$C$5-Setup!$C$6,"",IF(IF(ISNUMBER(Roster!$D150),Setup!$C$20&lt;=Roster!$D150,FALSE),"",IF(OR(IF(Setup!$C$15&lt;=Setup!$C$16,AND(MONTH(B150)&gt;=Setup!$C$15,MONTH(B150)&lt;=Setup!$C$16),OR(MONTH(B150)&gt;=Setup!$C$15,MONTH(B150)&lt;=Setup!$C$16)),IF(Setup!$C$15&lt;=Setup!$C$16,AND(MONTH(WORKDAY(B150,-(Setup!$C$13+Setup!$G$20),Setup!$C$39:$C$50))&gt;=Setup!$C$15,MONTH(WORKDAY(B150,-(Setup!$C$13+Setup!$G$20),Setup!$C$39:$C$50))&lt;=Setup!$C$16),OR(MONTH(WORKDAY(B150,-(Setup!$C$13+Setup!$G$20),Setup!$C$39:$C$50))&gt;=Setup!$C$15,MONTH(WORKDAY(B150,-(Setup!$C$13+Setup!$G$20),Setup!$C$39:$C$50))&lt;=Setup!$C$16))),WORKDAY(B150,-(Setup!$C$13+Setup!$G$20+Setup!$C$14),Setup!$C$39:$C$50),WORKDAY(B150,-(Setup!$C$13+Setup!$G$20),Setup!$C$39:$C$50))+(145*100+1)/10000000)))</f>
        <v/>
      </c>
      <c r="S150" t="str">
        <f>IF(C150="","",IF(C150&lt;Setup!$C$5-Setup!$C$6,"",IF(IF(ISNUMBER(Roster!$D150),Setup!$C$21&lt;=Roster!$D150,FALSE),"",IF(OR(IF(Setup!$C$15&lt;=Setup!$C$16,AND(MONTH(C150)&gt;=Setup!$C$15,MONTH(C150)&lt;=Setup!$C$16),OR(MONTH(C150)&gt;=Setup!$C$15,MONTH(C150)&lt;=Setup!$C$16)),IF(Setup!$C$15&lt;=Setup!$C$16,AND(MONTH(WORKDAY(C150,-(Setup!$C$13+Setup!$G$21),Setup!$C$39:$C$50))&gt;=Setup!$C$15,MONTH(WORKDAY(C150,-(Setup!$C$13+Setup!$G$21),Setup!$C$39:$C$50))&lt;=Setup!$C$16),OR(MONTH(WORKDAY(C150,-(Setup!$C$13+Setup!$G$21),Setup!$C$39:$C$50))&gt;=Setup!$C$15,MONTH(WORKDAY(C150,-(Setup!$C$13+Setup!$G$21),Setup!$C$39:$C$50))&lt;=Setup!$C$16))),WORKDAY(C150,-(Setup!$C$13+Setup!$G$21+Setup!$C$14),Setup!$C$39:$C$50),WORKDAY(C150,-(Setup!$C$13+Setup!$G$21),Setup!$C$39:$C$50))+(145*100+2)/10000000)))</f>
        <v/>
      </c>
      <c r="T150" t="str">
        <f>IF(D150="","",IF(D150&lt;Setup!$C$5-Setup!$C$6,"",IF(IF(ISNUMBER(Roster!$D150),Setup!$C$22&lt;=Roster!$D150,FALSE),"",IF(OR(IF(Setup!$C$15&lt;=Setup!$C$16,AND(MONTH(D150)&gt;=Setup!$C$15,MONTH(D150)&lt;=Setup!$C$16),OR(MONTH(D150)&gt;=Setup!$C$15,MONTH(D150)&lt;=Setup!$C$16)),IF(Setup!$C$15&lt;=Setup!$C$16,AND(MONTH(WORKDAY(D150,-(Setup!$C$13+Setup!$G$22),Setup!$C$39:$C$50))&gt;=Setup!$C$15,MONTH(WORKDAY(D150,-(Setup!$C$13+Setup!$G$22),Setup!$C$39:$C$50))&lt;=Setup!$C$16),OR(MONTH(WORKDAY(D150,-(Setup!$C$13+Setup!$G$22),Setup!$C$39:$C$50))&gt;=Setup!$C$15,MONTH(WORKDAY(D150,-(Setup!$C$13+Setup!$G$22),Setup!$C$39:$C$50))&lt;=Setup!$C$16))),WORKDAY(D150,-(Setup!$C$13+Setup!$G$22+Setup!$C$14),Setup!$C$39:$C$50),WORKDAY(D150,-(Setup!$C$13+Setup!$G$22),Setup!$C$39:$C$50))+(145*100+3)/10000000)))</f>
        <v/>
      </c>
      <c r="U150" t="str">
        <f>IF(E150="","",IF(E150&lt;Setup!$C$5-Setup!$C$6,"",IF(IF(ISNUMBER(Roster!$D150),Setup!$C$23&lt;=Roster!$D150,FALSE),"",IF(OR(IF(Setup!$C$15&lt;=Setup!$C$16,AND(MONTH(E150)&gt;=Setup!$C$15,MONTH(E150)&lt;=Setup!$C$16),OR(MONTH(E150)&gt;=Setup!$C$15,MONTH(E150)&lt;=Setup!$C$16)),IF(Setup!$C$15&lt;=Setup!$C$16,AND(MONTH(WORKDAY(E150,-(Setup!$C$13+Setup!$G$23),Setup!$C$39:$C$50))&gt;=Setup!$C$15,MONTH(WORKDAY(E150,-(Setup!$C$13+Setup!$G$23),Setup!$C$39:$C$50))&lt;=Setup!$C$16),OR(MONTH(WORKDAY(E150,-(Setup!$C$13+Setup!$G$23),Setup!$C$39:$C$50))&gt;=Setup!$C$15,MONTH(WORKDAY(E150,-(Setup!$C$13+Setup!$G$23),Setup!$C$39:$C$50))&lt;=Setup!$C$16))),WORKDAY(E150,-(Setup!$C$13+Setup!$G$23+Setup!$C$14),Setup!$C$39:$C$50),WORKDAY(E150,-(Setup!$C$13+Setup!$G$23),Setup!$C$39:$C$50))+(145*100+4)/10000000)))</f>
        <v/>
      </c>
      <c r="V150" t="str">
        <f>IF(F150="","",IF(F150&lt;Setup!$C$5-Setup!$C$6,"",IF(IF(ISNUMBER(Roster!$D150),Setup!$C$24&lt;=Roster!$D150,FALSE),"",IF(OR(IF(Setup!$C$15&lt;=Setup!$C$16,AND(MONTH(F150)&gt;=Setup!$C$15,MONTH(F150)&lt;=Setup!$C$16),OR(MONTH(F150)&gt;=Setup!$C$15,MONTH(F150)&lt;=Setup!$C$16)),IF(Setup!$C$15&lt;=Setup!$C$16,AND(MONTH(WORKDAY(F150,-(Setup!$C$13+Setup!$G$24),Setup!$C$39:$C$50))&gt;=Setup!$C$15,MONTH(WORKDAY(F150,-(Setup!$C$13+Setup!$G$24),Setup!$C$39:$C$50))&lt;=Setup!$C$16),OR(MONTH(WORKDAY(F150,-(Setup!$C$13+Setup!$G$24),Setup!$C$39:$C$50))&gt;=Setup!$C$15,MONTH(WORKDAY(F150,-(Setup!$C$13+Setup!$G$24),Setup!$C$39:$C$50))&lt;=Setup!$C$16))),WORKDAY(F150,-(Setup!$C$13+Setup!$G$24+Setup!$C$14),Setup!$C$39:$C$50),WORKDAY(F150,-(Setup!$C$13+Setup!$G$24),Setup!$C$39:$C$50))+(145*100+5)/10000000)))</f>
        <v/>
      </c>
      <c r="W150" t="str">
        <f>IF(G150="","",IF(G150&lt;Setup!$C$5-Setup!$C$6,"",IF(IF(ISNUMBER(Roster!$D150),Setup!$C$25&lt;=Roster!$D150,FALSE),"",IF(OR(IF(Setup!$C$15&lt;=Setup!$C$16,AND(MONTH(G150)&gt;=Setup!$C$15,MONTH(G150)&lt;=Setup!$C$16),OR(MONTH(G150)&gt;=Setup!$C$15,MONTH(G150)&lt;=Setup!$C$16)),IF(Setup!$C$15&lt;=Setup!$C$16,AND(MONTH(WORKDAY(G150,-(Setup!$C$13+Setup!$G$25),Setup!$C$39:$C$50))&gt;=Setup!$C$15,MONTH(WORKDAY(G150,-(Setup!$C$13+Setup!$G$25),Setup!$C$39:$C$50))&lt;=Setup!$C$16),OR(MONTH(WORKDAY(G150,-(Setup!$C$13+Setup!$G$25),Setup!$C$39:$C$50))&gt;=Setup!$C$15,MONTH(WORKDAY(G150,-(Setup!$C$13+Setup!$G$25),Setup!$C$39:$C$50))&lt;=Setup!$C$16))),WORKDAY(G150,-(Setup!$C$13+Setup!$G$25+Setup!$C$14),Setup!$C$39:$C$50),WORKDAY(G150,-(Setup!$C$13+Setup!$G$25),Setup!$C$39:$C$50))+(145*100+6)/10000000)))</f>
        <v/>
      </c>
      <c r="X150" t="str">
        <f>IF(H150="","",IF(H150&lt;Setup!$C$5-Setup!$C$6,"",IF(IF(ISNUMBER(Roster!$D150),Setup!$C$26&lt;=Roster!$D150,FALSE),"",IF(OR(IF(Setup!$C$15&lt;=Setup!$C$16,AND(MONTH(H150)&gt;=Setup!$C$15,MONTH(H150)&lt;=Setup!$C$16),OR(MONTH(H150)&gt;=Setup!$C$15,MONTH(H150)&lt;=Setup!$C$16)),IF(Setup!$C$15&lt;=Setup!$C$16,AND(MONTH(WORKDAY(H150,-(Setup!$C$13+Setup!$G$26),Setup!$C$39:$C$50))&gt;=Setup!$C$15,MONTH(WORKDAY(H150,-(Setup!$C$13+Setup!$G$26),Setup!$C$39:$C$50))&lt;=Setup!$C$16),OR(MONTH(WORKDAY(H150,-(Setup!$C$13+Setup!$G$26),Setup!$C$39:$C$50))&gt;=Setup!$C$15,MONTH(WORKDAY(H150,-(Setup!$C$13+Setup!$G$26),Setup!$C$39:$C$50))&lt;=Setup!$C$16))),WORKDAY(H150,-(Setup!$C$13+Setup!$G$26+Setup!$C$14),Setup!$C$39:$C$50),WORKDAY(H150,-(Setup!$C$13+Setup!$G$26),Setup!$C$39:$C$50))+(145*100+7)/10000000)))</f>
        <v/>
      </c>
      <c r="Y150" t="str">
        <f>IF(I150="","",IF(I150&lt;Setup!$C$5-Setup!$C$6,"",IF(IF(ISNUMBER(Roster!$D150),Setup!$C$27&lt;=Roster!$D150,FALSE),"",IF(OR(IF(Setup!$C$15&lt;=Setup!$C$16,AND(MONTH(I150)&gt;=Setup!$C$15,MONTH(I150)&lt;=Setup!$C$16),OR(MONTH(I150)&gt;=Setup!$C$15,MONTH(I150)&lt;=Setup!$C$16)),IF(Setup!$C$15&lt;=Setup!$C$16,AND(MONTH(WORKDAY(I150,-(Setup!$C$13+Setup!$G$27),Setup!$C$39:$C$50))&gt;=Setup!$C$15,MONTH(WORKDAY(I150,-(Setup!$C$13+Setup!$G$27),Setup!$C$39:$C$50))&lt;=Setup!$C$16),OR(MONTH(WORKDAY(I150,-(Setup!$C$13+Setup!$G$27),Setup!$C$39:$C$50))&gt;=Setup!$C$15,MONTH(WORKDAY(I150,-(Setup!$C$13+Setup!$G$27),Setup!$C$39:$C$50))&lt;=Setup!$C$16))),WORKDAY(I150,-(Setup!$C$13+Setup!$G$27+Setup!$C$14),Setup!$C$39:$C$50),WORKDAY(I150,-(Setup!$C$13+Setup!$G$27),Setup!$C$39:$C$50))+(145*100+8)/10000000)))</f>
        <v/>
      </c>
      <c r="Z150" t="str">
        <f>IF(J150="","",IF(J150&lt;Setup!$C$5-Setup!$C$6,"",IF(IF(ISNUMBER(Roster!$D150),Setup!$C$28&lt;=Roster!$D150,FALSE),"",IF(OR(IF(Setup!$C$15&lt;=Setup!$C$16,AND(MONTH(J150)&gt;=Setup!$C$15,MONTH(J150)&lt;=Setup!$C$16),OR(MONTH(J150)&gt;=Setup!$C$15,MONTH(J150)&lt;=Setup!$C$16)),IF(Setup!$C$15&lt;=Setup!$C$16,AND(MONTH(WORKDAY(J150,-(Setup!$C$13+Setup!$G$28),Setup!$C$39:$C$50))&gt;=Setup!$C$15,MONTH(WORKDAY(J150,-(Setup!$C$13+Setup!$G$28),Setup!$C$39:$C$50))&lt;=Setup!$C$16),OR(MONTH(WORKDAY(J150,-(Setup!$C$13+Setup!$G$28),Setup!$C$39:$C$50))&gt;=Setup!$C$15,MONTH(WORKDAY(J150,-(Setup!$C$13+Setup!$G$28),Setup!$C$39:$C$50))&lt;=Setup!$C$16))),WORKDAY(J150,-(Setup!$C$13+Setup!$G$28+Setup!$C$14),Setup!$C$39:$C$50),WORKDAY(J150,-(Setup!$C$13+Setup!$G$28),Setup!$C$39:$C$50))+(145*100+9)/10000000)))</f>
        <v/>
      </c>
      <c r="AA150" t="str">
        <f>IF(K150="","",IF(K150&lt;Setup!$C$5-Setup!$C$6,"",IF(IF(ISNUMBER(Roster!$D150),Setup!$C$29&lt;=Roster!$D150,FALSE),"",IF(OR(IF(Setup!$C$15&lt;=Setup!$C$16,AND(MONTH(K150)&gt;=Setup!$C$15,MONTH(K150)&lt;=Setup!$C$16),OR(MONTH(K150)&gt;=Setup!$C$15,MONTH(K150)&lt;=Setup!$C$16)),IF(Setup!$C$15&lt;=Setup!$C$16,AND(MONTH(WORKDAY(K150,-(Setup!$C$13+Setup!$G$29),Setup!$C$39:$C$50))&gt;=Setup!$C$15,MONTH(WORKDAY(K150,-(Setup!$C$13+Setup!$G$29),Setup!$C$39:$C$50))&lt;=Setup!$C$16),OR(MONTH(WORKDAY(K150,-(Setup!$C$13+Setup!$G$29),Setup!$C$39:$C$50))&gt;=Setup!$C$15,MONTH(WORKDAY(K150,-(Setup!$C$13+Setup!$G$29),Setup!$C$39:$C$50))&lt;=Setup!$C$16))),WORKDAY(K150,-(Setup!$C$13+Setup!$G$29+Setup!$C$14),Setup!$C$39:$C$50),WORKDAY(K150,-(Setup!$C$13+Setup!$G$29),Setup!$C$39:$C$50))+(145*100+10)/10000000)))</f>
        <v/>
      </c>
      <c r="AB150" t="str">
        <f>IF(L150="","",IF(L150&lt;Setup!$C$5-Setup!$C$6,"",IF(IF(ISNUMBER(Roster!$D150),Setup!$C$30&lt;=Roster!$D150,FALSE),"",IF(OR(IF(Setup!$C$15&lt;=Setup!$C$16,AND(MONTH(L150)&gt;=Setup!$C$15,MONTH(L150)&lt;=Setup!$C$16),OR(MONTH(L150)&gt;=Setup!$C$15,MONTH(L150)&lt;=Setup!$C$16)),IF(Setup!$C$15&lt;=Setup!$C$16,AND(MONTH(WORKDAY(L150,-(Setup!$C$13+Setup!$G$30),Setup!$C$39:$C$50))&gt;=Setup!$C$15,MONTH(WORKDAY(L150,-(Setup!$C$13+Setup!$G$30),Setup!$C$39:$C$50))&lt;=Setup!$C$16),OR(MONTH(WORKDAY(L150,-(Setup!$C$13+Setup!$G$30),Setup!$C$39:$C$50))&gt;=Setup!$C$15,MONTH(WORKDAY(L150,-(Setup!$C$13+Setup!$G$30),Setup!$C$39:$C$50))&lt;=Setup!$C$16))),WORKDAY(L150,-(Setup!$C$13+Setup!$G$30+Setup!$C$14),Setup!$C$39:$C$50),WORKDAY(L150,-(Setup!$C$13+Setup!$G$30),Setup!$C$39:$C$50))+(145*100+11)/10000000)))</f>
        <v/>
      </c>
      <c r="AC150" t="str">
        <f>IF(M150="","",IF(M150&lt;Setup!$C$5-Setup!$C$6,"",IF(IF(ISNUMBER(Roster!$D150),Setup!$C$31&lt;=Roster!$D150,FALSE),"",IF(OR(IF(Setup!$C$15&lt;=Setup!$C$16,AND(MONTH(M150)&gt;=Setup!$C$15,MONTH(M150)&lt;=Setup!$C$16),OR(MONTH(M150)&gt;=Setup!$C$15,MONTH(M150)&lt;=Setup!$C$16)),IF(Setup!$C$15&lt;=Setup!$C$16,AND(MONTH(WORKDAY(M150,-(Setup!$C$13+Setup!$G$31),Setup!$C$39:$C$50))&gt;=Setup!$C$15,MONTH(WORKDAY(M150,-(Setup!$C$13+Setup!$G$31),Setup!$C$39:$C$50))&lt;=Setup!$C$16),OR(MONTH(WORKDAY(M150,-(Setup!$C$13+Setup!$G$31),Setup!$C$39:$C$50))&gt;=Setup!$C$15,MONTH(WORKDAY(M150,-(Setup!$C$13+Setup!$G$31),Setup!$C$39:$C$50))&lt;=Setup!$C$16))),WORKDAY(M150,-(Setup!$C$13+Setup!$G$31+Setup!$C$14),Setup!$C$39:$C$50),WORKDAY(M150,-(Setup!$C$13+Setup!$G$31),Setup!$C$39:$C$50))+(145*100+12)/10000000)))</f>
        <v/>
      </c>
      <c r="AD150" t="str">
        <f>IF(N150="","",IF(N150&lt;Setup!$C$5-Setup!$C$6,"",IF(IF(ISNUMBER(Roster!$D150),Setup!$C$32&lt;=Roster!$D150,FALSE),"",IF(OR(IF(Setup!$C$15&lt;=Setup!$C$16,AND(MONTH(N150)&gt;=Setup!$C$15,MONTH(N150)&lt;=Setup!$C$16),OR(MONTH(N150)&gt;=Setup!$C$15,MONTH(N150)&lt;=Setup!$C$16)),IF(Setup!$C$15&lt;=Setup!$C$16,AND(MONTH(WORKDAY(N150,-(Setup!$C$13+Setup!$G$32),Setup!$C$39:$C$50))&gt;=Setup!$C$15,MONTH(WORKDAY(N150,-(Setup!$C$13+Setup!$G$32),Setup!$C$39:$C$50))&lt;=Setup!$C$16),OR(MONTH(WORKDAY(N150,-(Setup!$C$13+Setup!$G$32),Setup!$C$39:$C$50))&gt;=Setup!$C$15,MONTH(WORKDAY(N150,-(Setup!$C$13+Setup!$G$32),Setup!$C$39:$C$50))&lt;=Setup!$C$16))),WORKDAY(N150,-(Setup!$C$13+Setup!$G$32+Setup!$C$14),Setup!$C$39:$C$50),WORKDAY(N150,-(Setup!$C$13+Setup!$G$32),Setup!$C$39:$C$50))+(145*100+13)/10000000)))</f>
        <v/>
      </c>
      <c r="AE150" t="str">
        <f>IF(O150="","",IF(O150&lt;Setup!$C$5-Setup!$C$6,"",IF(IF(ISNUMBER(Roster!$D150),Setup!$C$33&lt;=Roster!$D150,FALSE),"",IF(OR(IF(Setup!$C$15&lt;=Setup!$C$16,AND(MONTH(O150)&gt;=Setup!$C$15,MONTH(O150)&lt;=Setup!$C$16),OR(MONTH(O150)&gt;=Setup!$C$15,MONTH(O150)&lt;=Setup!$C$16)),IF(Setup!$C$15&lt;=Setup!$C$16,AND(MONTH(WORKDAY(O150,-(Setup!$C$13+Setup!$G$33),Setup!$C$39:$C$50))&gt;=Setup!$C$15,MONTH(WORKDAY(O150,-(Setup!$C$13+Setup!$G$33),Setup!$C$39:$C$50))&lt;=Setup!$C$16),OR(MONTH(WORKDAY(O150,-(Setup!$C$13+Setup!$G$33),Setup!$C$39:$C$50))&gt;=Setup!$C$15,MONTH(WORKDAY(O150,-(Setup!$C$13+Setup!$G$33),Setup!$C$39:$C$50))&lt;=Setup!$C$16))),WORKDAY(O150,-(Setup!$C$13+Setup!$G$33+Setup!$C$14),Setup!$C$39:$C$50),WORKDAY(O150,-(Setup!$C$13+Setup!$G$33),Setup!$C$39:$C$50))+(145*100+14)/10000000)))</f>
        <v/>
      </c>
      <c r="AF150" t="str">
        <f>IF(P150="","",IF(P150&lt;Setup!$C$5-Setup!$C$6,"",IF(IF(ISNUMBER(Roster!$D150),Setup!$C$34&lt;=Roster!$D150,FALSE),"",IF(OR(IF(Setup!$C$15&lt;=Setup!$C$16,AND(MONTH(P150)&gt;=Setup!$C$15,MONTH(P150)&lt;=Setup!$C$16),OR(MONTH(P150)&gt;=Setup!$C$15,MONTH(P150)&lt;=Setup!$C$16)),IF(Setup!$C$15&lt;=Setup!$C$16,AND(MONTH(WORKDAY(P150,-(Setup!$C$13+Setup!$G$34),Setup!$C$39:$C$50))&gt;=Setup!$C$15,MONTH(WORKDAY(P150,-(Setup!$C$13+Setup!$G$34),Setup!$C$39:$C$50))&lt;=Setup!$C$16),OR(MONTH(WORKDAY(P150,-(Setup!$C$13+Setup!$G$34),Setup!$C$39:$C$50))&gt;=Setup!$C$15,MONTH(WORKDAY(P150,-(Setup!$C$13+Setup!$G$34),Setup!$C$39:$C$50))&lt;=Setup!$C$16))),WORKDAY(P150,-(Setup!$C$13+Setup!$G$34+Setup!$C$14),Setup!$C$39:$C$50),WORKDAY(P150,-(Setup!$C$13+Setup!$G$34),Setup!$C$39:$C$50))+(145*100+15)/10000000)))</f>
        <v/>
      </c>
      <c r="AH150" t="str">
        <f t="shared" si="17"/>
        <v/>
      </c>
      <c r="AI150" t="str">
        <f t="shared" si="18"/>
        <v/>
      </c>
      <c r="AK150" t="str">
        <f ca="1">IF(145&gt;$AK$2,"",SMALL($R$6:$AF$505,145))</f>
        <v/>
      </c>
      <c r="AL150" t="str">
        <f t="shared" ca="1" si="19"/>
        <v/>
      </c>
      <c r="AM150" t="str">
        <f t="shared" ca="1" si="20"/>
        <v/>
      </c>
      <c r="AN150" t="str">
        <f t="shared" ca="1" si="21"/>
        <v/>
      </c>
      <c r="AP150" t="str">
        <f>IF(ISNUMBER(Roster!$B150),MAX(1,YEAR(Setup!$C$5)-YEAR(Roster!$B150)+IF(EDATE(Roster!$B150,12*(YEAR(Setup!$C$5)-YEAR(Roster!$B150)))&lt;Setup!$C$5,1,0)),"")</f>
        <v/>
      </c>
      <c r="AQ150" s="32" t="str">
        <f>IF(AP150="","",EDATE(Roster!$B150,12*AP150))</f>
        <v/>
      </c>
      <c r="AR150" t="str">
        <f>IF(AQ150="","",IF(AQ150&lt;DATE(YEAR(Setup!$C$5)+1,MONTH(Setup!$C$5),DAY(Setup!$C$5)),AQ150+145/1000,""))</f>
        <v/>
      </c>
      <c r="AS150" t="str">
        <f t="shared" si="22"/>
        <v/>
      </c>
      <c r="AT150" t="str">
        <f>IF(AS150="","",IF(ISNUMBER(Roster!$D150),Roster!$D150&gt;=AP150,FALSE))</f>
        <v/>
      </c>
      <c r="AU150" t="str">
        <f t="shared" si="23"/>
        <v/>
      </c>
      <c r="AV150" t="str">
        <f ca="1">IF(145&gt;$AV$2,"",SMALL($AR$6:$AR$505,145))</f>
        <v/>
      </c>
      <c r="AW150" t="str">
        <f t="shared" ca="1" si="24"/>
        <v/>
      </c>
    </row>
    <row r="151" spans="2:49" x14ac:dyDescent="0.2">
      <c r="B151" s="32" t="str">
        <f>IF(AND(ISNUMBER(Roster!$B151),Setup!$B$20="Yes",ISNUMBER(Setup!$C$20)),EDATE(Roster!$B151,12*Setup!$C$20),"")</f>
        <v/>
      </c>
      <c r="C151" s="32" t="str">
        <f>IF(AND(ISNUMBER(Roster!$B151),Setup!$B$21="Yes",ISNUMBER(Setup!$C$21)),EDATE(Roster!$B151,12*Setup!$C$21),"")</f>
        <v/>
      </c>
      <c r="D151" s="32" t="str">
        <f>IF(AND(ISNUMBER(Roster!$B151),Setup!$B$22="Yes",ISNUMBER(Setup!$C$22)),EDATE(Roster!$B151,12*Setup!$C$22),"")</f>
        <v/>
      </c>
      <c r="E151" s="32" t="str">
        <f>IF(AND(ISNUMBER(Roster!$B151),Setup!$B$23="Yes",ISNUMBER(Setup!$C$23)),EDATE(Roster!$B151,12*Setup!$C$23),"")</f>
        <v/>
      </c>
      <c r="F151" s="32" t="str">
        <f>IF(AND(ISNUMBER(Roster!$B151),Setup!$B$24="Yes",ISNUMBER(Setup!$C$24)),EDATE(Roster!$B151,12*Setup!$C$24),"")</f>
        <v/>
      </c>
      <c r="G151" s="32" t="str">
        <f>IF(AND(ISNUMBER(Roster!$B151),Setup!$B$25="Yes",ISNUMBER(Setup!$C$25)),EDATE(Roster!$B151,12*Setup!$C$25),"")</f>
        <v/>
      </c>
      <c r="H151" s="32" t="str">
        <f>IF(AND(ISNUMBER(Roster!$B151),Setup!$B$26="Yes",ISNUMBER(Setup!$C$26)),EDATE(Roster!$B151,12*Setup!$C$26),"")</f>
        <v/>
      </c>
      <c r="I151" s="32" t="str">
        <f>IF(AND(ISNUMBER(Roster!$B151),Setup!$B$27="Yes",ISNUMBER(Setup!$C$27)),EDATE(Roster!$B151,12*Setup!$C$27),"")</f>
        <v/>
      </c>
      <c r="J151" s="32" t="str">
        <f>IF(AND(ISNUMBER(Roster!$B151),Setup!$B$28="Yes",ISNUMBER(Setup!$C$28)),EDATE(Roster!$B151,12*Setup!$C$28),"")</f>
        <v/>
      </c>
      <c r="K151" s="32" t="str">
        <f>IF(AND(ISNUMBER(Roster!$B151),Setup!$B$29="Yes",ISNUMBER(Setup!$C$29)),EDATE(Roster!$B151,12*Setup!$C$29),"")</f>
        <v/>
      </c>
      <c r="L151" s="32" t="str">
        <f>IF(AND(ISNUMBER(Roster!$B151),Setup!$B$30="Yes",ISNUMBER(Setup!$C$30)),EDATE(Roster!$B151,12*Setup!$C$30),"")</f>
        <v/>
      </c>
      <c r="M151" s="32" t="str">
        <f>IF(AND(ISNUMBER(Roster!$B151),Setup!$B$31="Yes",ISNUMBER(Setup!$C$31)),EDATE(Roster!$B151,12*Setup!$C$31),"")</f>
        <v/>
      </c>
      <c r="N151" s="32" t="str">
        <f>IF(AND(ISNUMBER(Roster!$B151),Setup!$B$32="Yes",ISNUMBER(Setup!$C$32)),EDATE(Roster!$B151,12*Setup!$C$32),"")</f>
        <v/>
      </c>
      <c r="O151" s="32" t="str">
        <f>IF(AND(ISNUMBER(Roster!$B151),Setup!$B$33="Yes",ISNUMBER(Setup!$C$33)),EDATE(Roster!$B151,12*Setup!$C$33),"")</f>
        <v/>
      </c>
      <c r="P151" s="32" t="str">
        <f>IF(AND(ISNUMBER(Roster!$B151),Setup!$B$34="Yes",ISNUMBER(Setup!$C$34)),EDATE(Roster!$B151,12*Setup!$C$34),"")</f>
        <v/>
      </c>
      <c r="R151" t="str">
        <f>IF(B151="","",IF(B151&lt;Setup!$C$5-Setup!$C$6,"",IF(IF(ISNUMBER(Roster!$D151),Setup!$C$20&lt;=Roster!$D151,FALSE),"",IF(OR(IF(Setup!$C$15&lt;=Setup!$C$16,AND(MONTH(B151)&gt;=Setup!$C$15,MONTH(B151)&lt;=Setup!$C$16),OR(MONTH(B151)&gt;=Setup!$C$15,MONTH(B151)&lt;=Setup!$C$16)),IF(Setup!$C$15&lt;=Setup!$C$16,AND(MONTH(WORKDAY(B151,-(Setup!$C$13+Setup!$G$20),Setup!$C$39:$C$50))&gt;=Setup!$C$15,MONTH(WORKDAY(B151,-(Setup!$C$13+Setup!$G$20),Setup!$C$39:$C$50))&lt;=Setup!$C$16),OR(MONTH(WORKDAY(B151,-(Setup!$C$13+Setup!$G$20),Setup!$C$39:$C$50))&gt;=Setup!$C$15,MONTH(WORKDAY(B151,-(Setup!$C$13+Setup!$G$20),Setup!$C$39:$C$50))&lt;=Setup!$C$16))),WORKDAY(B151,-(Setup!$C$13+Setup!$G$20+Setup!$C$14),Setup!$C$39:$C$50),WORKDAY(B151,-(Setup!$C$13+Setup!$G$20),Setup!$C$39:$C$50))+(146*100+1)/10000000)))</f>
        <v/>
      </c>
      <c r="S151" t="str">
        <f>IF(C151="","",IF(C151&lt;Setup!$C$5-Setup!$C$6,"",IF(IF(ISNUMBER(Roster!$D151),Setup!$C$21&lt;=Roster!$D151,FALSE),"",IF(OR(IF(Setup!$C$15&lt;=Setup!$C$16,AND(MONTH(C151)&gt;=Setup!$C$15,MONTH(C151)&lt;=Setup!$C$16),OR(MONTH(C151)&gt;=Setup!$C$15,MONTH(C151)&lt;=Setup!$C$16)),IF(Setup!$C$15&lt;=Setup!$C$16,AND(MONTH(WORKDAY(C151,-(Setup!$C$13+Setup!$G$21),Setup!$C$39:$C$50))&gt;=Setup!$C$15,MONTH(WORKDAY(C151,-(Setup!$C$13+Setup!$G$21),Setup!$C$39:$C$50))&lt;=Setup!$C$16),OR(MONTH(WORKDAY(C151,-(Setup!$C$13+Setup!$G$21),Setup!$C$39:$C$50))&gt;=Setup!$C$15,MONTH(WORKDAY(C151,-(Setup!$C$13+Setup!$G$21),Setup!$C$39:$C$50))&lt;=Setup!$C$16))),WORKDAY(C151,-(Setup!$C$13+Setup!$G$21+Setup!$C$14),Setup!$C$39:$C$50),WORKDAY(C151,-(Setup!$C$13+Setup!$G$21),Setup!$C$39:$C$50))+(146*100+2)/10000000)))</f>
        <v/>
      </c>
      <c r="T151" t="str">
        <f>IF(D151="","",IF(D151&lt;Setup!$C$5-Setup!$C$6,"",IF(IF(ISNUMBER(Roster!$D151),Setup!$C$22&lt;=Roster!$D151,FALSE),"",IF(OR(IF(Setup!$C$15&lt;=Setup!$C$16,AND(MONTH(D151)&gt;=Setup!$C$15,MONTH(D151)&lt;=Setup!$C$16),OR(MONTH(D151)&gt;=Setup!$C$15,MONTH(D151)&lt;=Setup!$C$16)),IF(Setup!$C$15&lt;=Setup!$C$16,AND(MONTH(WORKDAY(D151,-(Setup!$C$13+Setup!$G$22),Setup!$C$39:$C$50))&gt;=Setup!$C$15,MONTH(WORKDAY(D151,-(Setup!$C$13+Setup!$G$22),Setup!$C$39:$C$50))&lt;=Setup!$C$16),OR(MONTH(WORKDAY(D151,-(Setup!$C$13+Setup!$G$22),Setup!$C$39:$C$50))&gt;=Setup!$C$15,MONTH(WORKDAY(D151,-(Setup!$C$13+Setup!$G$22),Setup!$C$39:$C$50))&lt;=Setup!$C$16))),WORKDAY(D151,-(Setup!$C$13+Setup!$G$22+Setup!$C$14),Setup!$C$39:$C$50),WORKDAY(D151,-(Setup!$C$13+Setup!$G$22),Setup!$C$39:$C$50))+(146*100+3)/10000000)))</f>
        <v/>
      </c>
      <c r="U151" t="str">
        <f>IF(E151="","",IF(E151&lt;Setup!$C$5-Setup!$C$6,"",IF(IF(ISNUMBER(Roster!$D151),Setup!$C$23&lt;=Roster!$D151,FALSE),"",IF(OR(IF(Setup!$C$15&lt;=Setup!$C$16,AND(MONTH(E151)&gt;=Setup!$C$15,MONTH(E151)&lt;=Setup!$C$16),OR(MONTH(E151)&gt;=Setup!$C$15,MONTH(E151)&lt;=Setup!$C$16)),IF(Setup!$C$15&lt;=Setup!$C$16,AND(MONTH(WORKDAY(E151,-(Setup!$C$13+Setup!$G$23),Setup!$C$39:$C$50))&gt;=Setup!$C$15,MONTH(WORKDAY(E151,-(Setup!$C$13+Setup!$G$23),Setup!$C$39:$C$50))&lt;=Setup!$C$16),OR(MONTH(WORKDAY(E151,-(Setup!$C$13+Setup!$G$23),Setup!$C$39:$C$50))&gt;=Setup!$C$15,MONTH(WORKDAY(E151,-(Setup!$C$13+Setup!$G$23),Setup!$C$39:$C$50))&lt;=Setup!$C$16))),WORKDAY(E151,-(Setup!$C$13+Setup!$G$23+Setup!$C$14),Setup!$C$39:$C$50),WORKDAY(E151,-(Setup!$C$13+Setup!$G$23),Setup!$C$39:$C$50))+(146*100+4)/10000000)))</f>
        <v/>
      </c>
      <c r="V151" t="str">
        <f>IF(F151="","",IF(F151&lt;Setup!$C$5-Setup!$C$6,"",IF(IF(ISNUMBER(Roster!$D151),Setup!$C$24&lt;=Roster!$D151,FALSE),"",IF(OR(IF(Setup!$C$15&lt;=Setup!$C$16,AND(MONTH(F151)&gt;=Setup!$C$15,MONTH(F151)&lt;=Setup!$C$16),OR(MONTH(F151)&gt;=Setup!$C$15,MONTH(F151)&lt;=Setup!$C$16)),IF(Setup!$C$15&lt;=Setup!$C$16,AND(MONTH(WORKDAY(F151,-(Setup!$C$13+Setup!$G$24),Setup!$C$39:$C$50))&gt;=Setup!$C$15,MONTH(WORKDAY(F151,-(Setup!$C$13+Setup!$G$24),Setup!$C$39:$C$50))&lt;=Setup!$C$16),OR(MONTH(WORKDAY(F151,-(Setup!$C$13+Setup!$G$24),Setup!$C$39:$C$50))&gt;=Setup!$C$15,MONTH(WORKDAY(F151,-(Setup!$C$13+Setup!$G$24),Setup!$C$39:$C$50))&lt;=Setup!$C$16))),WORKDAY(F151,-(Setup!$C$13+Setup!$G$24+Setup!$C$14),Setup!$C$39:$C$50),WORKDAY(F151,-(Setup!$C$13+Setup!$G$24),Setup!$C$39:$C$50))+(146*100+5)/10000000)))</f>
        <v/>
      </c>
      <c r="W151" t="str">
        <f>IF(G151="","",IF(G151&lt;Setup!$C$5-Setup!$C$6,"",IF(IF(ISNUMBER(Roster!$D151),Setup!$C$25&lt;=Roster!$D151,FALSE),"",IF(OR(IF(Setup!$C$15&lt;=Setup!$C$16,AND(MONTH(G151)&gt;=Setup!$C$15,MONTH(G151)&lt;=Setup!$C$16),OR(MONTH(G151)&gt;=Setup!$C$15,MONTH(G151)&lt;=Setup!$C$16)),IF(Setup!$C$15&lt;=Setup!$C$16,AND(MONTH(WORKDAY(G151,-(Setup!$C$13+Setup!$G$25),Setup!$C$39:$C$50))&gt;=Setup!$C$15,MONTH(WORKDAY(G151,-(Setup!$C$13+Setup!$G$25),Setup!$C$39:$C$50))&lt;=Setup!$C$16),OR(MONTH(WORKDAY(G151,-(Setup!$C$13+Setup!$G$25),Setup!$C$39:$C$50))&gt;=Setup!$C$15,MONTH(WORKDAY(G151,-(Setup!$C$13+Setup!$G$25),Setup!$C$39:$C$50))&lt;=Setup!$C$16))),WORKDAY(G151,-(Setup!$C$13+Setup!$G$25+Setup!$C$14),Setup!$C$39:$C$50),WORKDAY(G151,-(Setup!$C$13+Setup!$G$25),Setup!$C$39:$C$50))+(146*100+6)/10000000)))</f>
        <v/>
      </c>
      <c r="X151" t="str">
        <f>IF(H151="","",IF(H151&lt;Setup!$C$5-Setup!$C$6,"",IF(IF(ISNUMBER(Roster!$D151),Setup!$C$26&lt;=Roster!$D151,FALSE),"",IF(OR(IF(Setup!$C$15&lt;=Setup!$C$16,AND(MONTH(H151)&gt;=Setup!$C$15,MONTH(H151)&lt;=Setup!$C$16),OR(MONTH(H151)&gt;=Setup!$C$15,MONTH(H151)&lt;=Setup!$C$16)),IF(Setup!$C$15&lt;=Setup!$C$16,AND(MONTH(WORKDAY(H151,-(Setup!$C$13+Setup!$G$26),Setup!$C$39:$C$50))&gt;=Setup!$C$15,MONTH(WORKDAY(H151,-(Setup!$C$13+Setup!$G$26),Setup!$C$39:$C$50))&lt;=Setup!$C$16),OR(MONTH(WORKDAY(H151,-(Setup!$C$13+Setup!$G$26),Setup!$C$39:$C$50))&gt;=Setup!$C$15,MONTH(WORKDAY(H151,-(Setup!$C$13+Setup!$G$26),Setup!$C$39:$C$50))&lt;=Setup!$C$16))),WORKDAY(H151,-(Setup!$C$13+Setup!$G$26+Setup!$C$14),Setup!$C$39:$C$50),WORKDAY(H151,-(Setup!$C$13+Setup!$G$26),Setup!$C$39:$C$50))+(146*100+7)/10000000)))</f>
        <v/>
      </c>
      <c r="Y151" t="str">
        <f>IF(I151="","",IF(I151&lt;Setup!$C$5-Setup!$C$6,"",IF(IF(ISNUMBER(Roster!$D151),Setup!$C$27&lt;=Roster!$D151,FALSE),"",IF(OR(IF(Setup!$C$15&lt;=Setup!$C$16,AND(MONTH(I151)&gt;=Setup!$C$15,MONTH(I151)&lt;=Setup!$C$16),OR(MONTH(I151)&gt;=Setup!$C$15,MONTH(I151)&lt;=Setup!$C$16)),IF(Setup!$C$15&lt;=Setup!$C$16,AND(MONTH(WORKDAY(I151,-(Setup!$C$13+Setup!$G$27),Setup!$C$39:$C$50))&gt;=Setup!$C$15,MONTH(WORKDAY(I151,-(Setup!$C$13+Setup!$G$27),Setup!$C$39:$C$50))&lt;=Setup!$C$16),OR(MONTH(WORKDAY(I151,-(Setup!$C$13+Setup!$G$27),Setup!$C$39:$C$50))&gt;=Setup!$C$15,MONTH(WORKDAY(I151,-(Setup!$C$13+Setup!$G$27),Setup!$C$39:$C$50))&lt;=Setup!$C$16))),WORKDAY(I151,-(Setup!$C$13+Setup!$G$27+Setup!$C$14),Setup!$C$39:$C$50),WORKDAY(I151,-(Setup!$C$13+Setup!$G$27),Setup!$C$39:$C$50))+(146*100+8)/10000000)))</f>
        <v/>
      </c>
      <c r="Z151" t="str">
        <f>IF(J151="","",IF(J151&lt;Setup!$C$5-Setup!$C$6,"",IF(IF(ISNUMBER(Roster!$D151),Setup!$C$28&lt;=Roster!$D151,FALSE),"",IF(OR(IF(Setup!$C$15&lt;=Setup!$C$16,AND(MONTH(J151)&gt;=Setup!$C$15,MONTH(J151)&lt;=Setup!$C$16),OR(MONTH(J151)&gt;=Setup!$C$15,MONTH(J151)&lt;=Setup!$C$16)),IF(Setup!$C$15&lt;=Setup!$C$16,AND(MONTH(WORKDAY(J151,-(Setup!$C$13+Setup!$G$28),Setup!$C$39:$C$50))&gt;=Setup!$C$15,MONTH(WORKDAY(J151,-(Setup!$C$13+Setup!$G$28),Setup!$C$39:$C$50))&lt;=Setup!$C$16),OR(MONTH(WORKDAY(J151,-(Setup!$C$13+Setup!$G$28),Setup!$C$39:$C$50))&gt;=Setup!$C$15,MONTH(WORKDAY(J151,-(Setup!$C$13+Setup!$G$28),Setup!$C$39:$C$50))&lt;=Setup!$C$16))),WORKDAY(J151,-(Setup!$C$13+Setup!$G$28+Setup!$C$14),Setup!$C$39:$C$50),WORKDAY(J151,-(Setup!$C$13+Setup!$G$28),Setup!$C$39:$C$50))+(146*100+9)/10000000)))</f>
        <v/>
      </c>
      <c r="AA151" t="str">
        <f>IF(K151="","",IF(K151&lt;Setup!$C$5-Setup!$C$6,"",IF(IF(ISNUMBER(Roster!$D151),Setup!$C$29&lt;=Roster!$D151,FALSE),"",IF(OR(IF(Setup!$C$15&lt;=Setup!$C$16,AND(MONTH(K151)&gt;=Setup!$C$15,MONTH(K151)&lt;=Setup!$C$16),OR(MONTH(K151)&gt;=Setup!$C$15,MONTH(K151)&lt;=Setup!$C$16)),IF(Setup!$C$15&lt;=Setup!$C$16,AND(MONTH(WORKDAY(K151,-(Setup!$C$13+Setup!$G$29),Setup!$C$39:$C$50))&gt;=Setup!$C$15,MONTH(WORKDAY(K151,-(Setup!$C$13+Setup!$G$29),Setup!$C$39:$C$50))&lt;=Setup!$C$16),OR(MONTH(WORKDAY(K151,-(Setup!$C$13+Setup!$G$29),Setup!$C$39:$C$50))&gt;=Setup!$C$15,MONTH(WORKDAY(K151,-(Setup!$C$13+Setup!$G$29),Setup!$C$39:$C$50))&lt;=Setup!$C$16))),WORKDAY(K151,-(Setup!$C$13+Setup!$G$29+Setup!$C$14),Setup!$C$39:$C$50),WORKDAY(K151,-(Setup!$C$13+Setup!$G$29),Setup!$C$39:$C$50))+(146*100+10)/10000000)))</f>
        <v/>
      </c>
      <c r="AB151" t="str">
        <f>IF(L151="","",IF(L151&lt;Setup!$C$5-Setup!$C$6,"",IF(IF(ISNUMBER(Roster!$D151),Setup!$C$30&lt;=Roster!$D151,FALSE),"",IF(OR(IF(Setup!$C$15&lt;=Setup!$C$16,AND(MONTH(L151)&gt;=Setup!$C$15,MONTH(L151)&lt;=Setup!$C$16),OR(MONTH(L151)&gt;=Setup!$C$15,MONTH(L151)&lt;=Setup!$C$16)),IF(Setup!$C$15&lt;=Setup!$C$16,AND(MONTH(WORKDAY(L151,-(Setup!$C$13+Setup!$G$30),Setup!$C$39:$C$50))&gt;=Setup!$C$15,MONTH(WORKDAY(L151,-(Setup!$C$13+Setup!$G$30),Setup!$C$39:$C$50))&lt;=Setup!$C$16),OR(MONTH(WORKDAY(L151,-(Setup!$C$13+Setup!$G$30),Setup!$C$39:$C$50))&gt;=Setup!$C$15,MONTH(WORKDAY(L151,-(Setup!$C$13+Setup!$G$30),Setup!$C$39:$C$50))&lt;=Setup!$C$16))),WORKDAY(L151,-(Setup!$C$13+Setup!$G$30+Setup!$C$14),Setup!$C$39:$C$50),WORKDAY(L151,-(Setup!$C$13+Setup!$G$30),Setup!$C$39:$C$50))+(146*100+11)/10000000)))</f>
        <v/>
      </c>
      <c r="AC151" t="str">
        <f>IF(M151="","",IF(M151&lt;Setup!$C$5-Setup!$C$6,"",IF(IF(ISNUMBER(Roster!$D151),Setup!$C$31&lt;=Roster!$D151,FALSE),"",IF(OR(IF(Setup!$C$15&lt;=Setup!$C$16,AND(MONTH(M151)&gt;=Setup!$C$15,MONTH(M151)&lt;=Setup!$C$16),OR(MONTH(M151)&gt;=Setup!$C$15,MONTH(M151)&lt;=Setup!$C$16)),IF(Setup!$C$15&lt;=Setup!$C$16,AND(MONTH(WORKDAY(M151,-(Setup!$C$13+Setup!$G$31),Setup!$C$39:$C$50))&gt;=Setup!$C$15,MONTH(WORKDAY(M151,-(Setup!$C$13+Setup!$G$31),Setup!$C$39:$C$50))&lt;=Setup!$C$16),OR(MONTH(WORKDAY(M151,-(Setup!$C$13+Setup!$G$31),Setup!$C$39:$C$50))&gt;=Setup!$C$15,MONTH(WORKDAY(M151,-(Setup!$C$13+Setup!$G$31),Setup!$C$39:$C$50))&lt;=Setup!$C$16))),WORKDAY(M151,-(Setup!$C$13+Setup!$G$31+Setup!$C$14),Setup!$C$39:$C$50),WORKDAY(M151,-(Setup!$C$13+Setup!$G$31),Setup!$C$39:$C$50))+(146*100+12)/10000000)))</f>
        <v/>
      </c>
      <c r="AD151" t="str">
        <f>IF(N151="","",IF(N151&lt;Setup!$C$5-Setup!$C$6,"",IF(IF(ISNUMBER(Roster!$D151),Setup!$C$32&lt;=Roster!$D151,FALSE),"",IF(OR(IF(Setup!$C$15&lt;=Setup!$C$16,AND(MONTH(N151)&gt;=Setup!$C$15,MONTH(N151)&lt;=Setup!$C$16),OR(MONTH(N151)&gt;=Setup!$C$15,MONTH(N151)&lt;=Setup!$C$16)),IF(Setup!$C$15&lt;=Setup!$C$16,AND(MONTH(WORKDAY(N151,-(Setup!$C$13+Setup!$G$32),Setup!$C$39:$C$50))&gt;=Setup!$C$15,MONTH(WORKDAY(N151,-(Setup!$C$13+Setup!$G$32),Setup!$C$39:$C$50))&lt;=Setup!$C$16),OR(MONTH(WORKDAY(N151,-(Setup!$C$13+Setup!$G$32),Setup!$C$39:$C$50))&gt;=Setup!$C$15,MONTH(WORKDAY(N151,-(Setup!$C$13+Setup!$G$32),Setup!$C$39:$C$50))&lt;=Setup!$C$16))),WORKDAY(N151,-(Setup!$C$13+Setup!$G$32+Setup!$C$14),Setup!$C$39:$C$50),WORKDAY(N151,-(Setup!$C$13+Setup!$G$32),Setup!$C$39:$C$50))+(146*100+13)/10000000)))</f>
        <v/>
      </c>
      <c r="AE151" t="str">
        <f>IF(O151="","",IF(O151&lt;Setup!$C$5-Setup!$C$6,"",IF(IF(ISNUMBER(Roster!$D151),Setup!$C$33&lt;=Roster!$D151,FALSE),"",IF(OR(IF(Setup!$C$15&lt;=Setup!$C$16,AND(MONTH(O151)&gt;=Setup!$C$15,MONTH(O151)&lt;=Setup!$C$16),OR(MONTH(O151)&gt;=Setup!$C$15,MONTH(O151)&lt;=Setup!$C$16)),IF(Setup!$C$15&lt;=Setup!$C$16,AND(MONTH(WORKDAY(O151,-(Setup!$C$13+Setup!$G$33),Setup!$C$39:$C$50))&gt;=Setup!$C$15,MONTH(WORKDAY(O151,-(Setup!$C$13+Setup!$G$33),Setup!$C$39:$C$50))&lt;=Setup!$C$16),OR(MONTH(WORKDAY(O151,-(Setup!$C$13+Setup!$G$33),Setup!$C$39:$C$50))&gt;=Setup!$C$15,MONTH(WORKDAY(O151,-(Setup!$C$13+Setup!$G$33),Setup!$C$39:$C$50))&lt;=Setup!$C$16))),WORKDAY(O151,-(Setup!$C$13+Setup!$G$33+Setup!$C$14),Setup!$C$39:$C$50),WORKDAY(O151,-(Setup!$C$13+Setup!$G$33),Setup!$C$39:$C$50))+(146*100+14)/10000000)))</f>
        <v/>
      </c>
      <c r="AF151" t="str">
        <f>IF(P151="","",IF(P151&lt;Setup!$C$5-Setup!$C$6,"",IF(IF(ISNUMBER(Roster!$D151),Setup!$C$34&lt;=Roster!$D151,FALSE),"",IF(OR(IF(Setup!$C$15&lt;=Setup!$C$16,AND(MONTH(P151)&gt;=Setup!$C$15,MONTH(P151)&lt;=Setup!$C$16),OR(MONTH(P151)&gt;=Setup!$C$15,MONTH(P151)&lt;=Setup!$C$16)),IF(Setup!$C$15&lt;=Setup!$C$16,AND(MONTH(WORKDAY(P151,-(Setup!$C$13+Setup!$G$34),Setup!$C$39:$C$50))&gt;=Setup!$C$15,MONTH(WORKDAY(P151,-(Setup!$C$13+Setup!$G$34),Setup!$C$39:$C$50))&lt;=Setup!$C$16),OR(MONTH(WORKDAY(P151,-(Setup!$C$13+Setup!$G$34),Setup!$C$39:$C$50))&gt;=Setup!$C$15,MONTH(WORKDAY(P151,-(Setup!$C$13+Setup!$G$34),Setup!$C$39:$C$50))&lt;=Setup!$C$16))),WORKDAY(P151,-(Setup!$C$13+Setup!$G$34+Setup!$C$14),Setup!$C$39:$C$50),WORKDAY(P151,-(Setup!$C$13+Setup!$G$34),Setup!$C$39:$C$50))+(146*100+15)/10000000)))</f>
        <v/>
      </c>
      <c r="AH151" t="str">
        <f t="shared" si="17"/>
        <v/>
      </c>
      <c r="AI151" t="str">
        <f t="shared" si="18"/>
        <v/>
      </c>
      <c r="AK151" t="str">
        <f ca="1">IF(146&gt;$AK$2,"",SMALL($R$6:$AF$505,146))</f>
        <v/>
      </c>
      <c r="AL151" t="str">
        <f t="shared" ca="1" si="19"/>
        <v/>
      </c>
      <c r="AM151" t="str">
        <f t="shared" ca="1" si="20"/>
        <v/>
      </c>
      <c r="AN151" t="str">
        <f t="shared" ca="1" si="21"/>
        <v/>
      </c>
      <c r="AP151" t="str">
        <f>IF(ISNUMBER(Roster!$B151),MAX(1,YEAR(Setup!$C$5)-YEAR(Roster!$B151)+IF(EDATE(Roster!$B151,12*(YEAR(Setup!$C$5)-YEAR(Roster!$B151)))&lt;Setup!$C$5,1,0)),"")</f>
        <v/>
      </c>
      <c r="AQ151" s="32" t="str">
        <f>IF(AP151="","",EDATE(Roster!$B151,12*AP151))</f>
        <v/>
      </c>
      <c r="AR151" t="str">
        <f>IF(AQ151="","",IF(AQ151&lt;DATE(YEAR(Setup!$C$5)+1,MONTH(Setup!$C$5),DAY(Setup!$C$5)),AQ151+146/1000,""))</f>
        <v/>
      </c>
      <c r="AS151" t="str">
        <f t="shared" si="22"/>
        <v/>
      </c>
      <c r="AT151" t="str">
        <f>IF(AS151="","",IF(ISNUMBER(Roster!$D151),Roster!$D151&gt;=AP151,FALSE))</f>
        <v/>
      </c>
      <c r="AU151" t="str">
        <f t="shared" si="23"/>
        <v/>
      </c>
      <c r="AV151" t="str">
        <f ca="1">IF(146&gt;$AV$2,"",SMALL($AR$6:$AR$505,146))</f>
        <v/>
      </c>
      <c r="AW151" t="str">
        <f t="shared" ca="1" si="24"/>
        <v/>
      </c>
    </row>
    <row r="152" spans="2:49" x14ac:dyDescent="0.2">
      <c r="B152" s="32" t="str">
        <f>IF(AND(ISNUMBER(Roster!$B152),Setup!$B$20="Yes",ISNUMBER(Setup!$C$20)),EDATE(Roster!$B152,12*Setup!$C$20),"")</f>
        <v/>
      </c>
      <c r="C152" s="32" t="str">
        <f>IF(AND(ISNUMBER(Roster!$B152),Setup!$B$21="Yes",ISNUMBER(Setup!$C$21)),EDATE(Roster!$B152,12*Setup!$C$21),"")</f>
        <v/>
      </c>
      <c r="D152" s="32" t="str">
        <f>IF(AND(ISNUMBER(Roster!$B152),Setup!$B$22="Yes",ISNUMBER(Setup!$C$22)),EDATE(Roster!$B152,12*Setup!$C$22),"")</f>
        <v/>
      </c>
      <c r="E152" s="32" t="str">
        <f>IF(AND(ISNUMBER(Roster!$B152),Setup!$B$23="Yes",ISNUMBER(Setup!$C$23)),EDATE(Roster!$B152,12*Setup!$C$23),"")</f>
        <v/>
      </c>
      <c r="F152" s="32" t="str">
        <f>IF(AND(ISNUMBER(Roster!$B152),Setup!$B$24="Yes",ISNUMBER(Setup!$C$24)),EDATE(Roster!$B152,12*Setup!$C$24),"")</f>
        <v/>
      </c>
      <c r="G152" s="32" t="str">
        <f>IF(AND(ISNUMBER(Roster!$B152),Setup!$B$25="Yes",ISNUMBER(Setup!$C$25)),EDATE(Roster!$B152,12*Setup!$C$25),"")</f>
        <v/>
      </c>
      <c r="H152" s="32" t="str">
        <f>IF(AND(ISNUMBER(Roster!$B152),Setup!$B$26="Yes",ISNUMBER(Setup!$C$26)),EDATE(Roster!$B152,12*Setup!$C$26),"")</f>
        <v/>
      </c>
      <c r="I152" s="32" t="str">
        <f>IF(AND(ISNUMBER(Roster!$B152),Setup!$B$27="Yes",ISNUMBER(Setup!$C$27)),EDATE(Roster!$B152,12*Setup!$C$27),"")</f>
        <v/>
      </c>
      <c r="J152" s="32" t="str">
        <f>IF(AND(ISNUMBER(Roster!$B152),Setup!$B$28="Yes",ISNUMBER(Setup!$C$28)),EDATE(Roster!$B152,12*Setup!$C$28),"")</f>
        <v/>
      </c>
      <c r="K152" s="32" t="str">
        <f>IF(AND(ISNUMBER(Roster!$B152),Setup!$B$29="Yes",ISNUMBER(Setup!$C$29)),EDATE(Roster!$B152,12*Setup!$C$29),"")</f>
        <v/>
      </c>
      <c r="L152" s="32" t="str">
        <f>IF(AND(ISNUMBER(Roster!$B152),Setup!$B$30="Yes",ISNUMBER(Setup!$C$30)),EDATE(Roster!$B152,12*Setup!$C$30),"")</f>
        <v/>
      </c>
      <c r="M152" s="32" t="str">
        <f>IF(AND(ISNUMBER(Roster!$B152),Setup!$B$31="Yes",ISNUMBER(Setup!$C$31)),EDATE(Roster!$B152,12*Setup!$C$31),"")</f>
        <v/>
      </c>
      <c r="N152" s="32" t="str">
        <f>IF(AND(ISNUMBER(Roster!$B152),Setup!$B$32="Yes",ISNUMBER(Setup!$C$32)),EDATE(Roster!$B152,12*Setup!$C$32),"")</f>
        <v/>
      </c>
      <c r="O152" s="32" t="str">
        <f>IF(AND(ISNUMBER(Roster!$B152),Setup!$B$33="Yes",ISNUMBER(Setup!$C$33)),EDATE(Roster!$B152,12*Setup!$C$33),"")</f>
        <v/>
      </c>
      <c r="P152" s="32" t="str">
        <f>IF(AND(ISNUMBER(Roster!$B152),Setup!$B$34="Yes",ISNUMBER(Setup!$C$34)),EDATE(Roster!$B152,12*Setup!$C$34),"")</f>
        <v/>
      </c>
      <c r="R152" t="str">
        <f>IF(B152="","",IF(B152&lt;Setup!$C$5-Setup!$C$6,"",IF(IF(ISNUMBER(Roster!$D152),Setup!$C$20&lt;=Roster!$D152,FALSE),"",IF(OR(IF(Setup!$C$15&lt;=Setup!$C$16,AND(MONTH(B152)&gt;=Setup!$C$15,MONTH(B152)&lt;=Setup!$C$16),OR(MONTH(B152)&gt;=Setup!$C$15,MONTH(B152)&lt;=Setup!$C$16)),IF(Setup!$C$15&lt;=Setup!$C$16,AND(MONTH(WORKDAY(B152,-(Setup!$C$13+Setup!$G$20),Setup!$C$39:$C$50))&gt;=Setup!$C$15,MONTH(WORKDAY(B152,-(Setup!$C$13+Setup!$G$20),Setup!$C$39:$C$50))&lt;=Setup!$C$16),OR(MONTH(WORKDAY(B152,-(Setup!$C$13+Setup!$G$20),Setup!$C$39:$C$50))&gt;=Setup!$C$15,MONTH(WORKDAY(B152,-(Setup!$C$13+Setup!$G$20),Setup!$C$39:$C$50))&lt;=Setup!$C$16))),WORKDAY(B152,-(Setup!$C$13+Setup!$G$20+Setup!$C$14),Setup!$C$39:$C$50),WORKDAY(B152,-(Setup!$C$13+Setup!$G$20),Setup!$C$39:$C$50))+(147*100+1)/10000000)))</f>
        <v/>
      </c>
      <c r="S152" t="str">
        <f>IF(C152="","",IF(C152&lt;Setup!$C$5-Setup!$C$6,"",IF(IF(ISNUMBER(Roster!$D152),Setup!$C$21&lt;=Roster!$D152,FALSE),"",IF(OR(IF(Setup!$C$15&lt;=Setup!$C$16,AND(MONTH(C152)&gt;=Setup!$C$15,MONTH(C152)&lt;=Setup!$C$16),OR(MONTH(C152)&gt;=Setup!$C$15,MONTH(C152)&lt;=Setup!$C$16)),IF(Setup!$C$15&lt;=Setup!$C$16,AND(MONTH(WORKDAY(C152,-(Setup!$C$13+Setup!$G$21),Setup!$C$39:$C$50))&gt;=Setup!$C$15,MONTH(WORKDAY(C152,-(Setup!$C$13+Setup!$G$21),Setup!$C$39:$C$50))&lt;=Setup!$C$16),OR(MONTH(WORKDAY(C152,-(Setup!$C$13+Setup!$G$21),Setup!$C$39:$C$50))&gt;=Setup!$C$15,MONTH(WORKDAY(C152,-(Setup!$C$13+Setup!$G$21),Setup!$C$39:$C$50))&lt;=Setup!$C$16))),WORKDAY(C152,-(Setup!$C$13+Setup!$G$21+Setup!$C$14),Setup!$C$39:$C$50),WORKDAY(C152,-(Setup!$C$13+Setup!$G$21),Setup!$C$39:$C$50))+(147*100+2)/10000000)))</f>
        <v/>
      </c>
      <c r="T152" t="str">
        <f>IF(D152="","",IF(D152&lt;Setup!$C$5-Setup!$C$6,"",IF(IF(ISNUMBER(Roster!$D152),Setup!$C$22&lt;=Roster!$D152,FALSE),"",IF(OR(IF(Setup!$C$15&lt;=Setup!$C$16,AND(MONTH(D152)&gt;=Setup!$C$15,MONTH(D152)&lt;=Setup!$C$16),OR(MONTH(D152)&gt;=Setup!$C$15,MONTH(D152)&lt;=Setup!$C$16)),IF(Setup!$C$15&lt;=Setup!$C$16,AND(MONTH(WORKDAY(D152,-(Setup!$C$13+Setup!$G$22),Setup!$C$39:$C$50))&gt;=Setup!$C$15,MONTH(WORKDAY(D152,-(Setup!$C$13+Setup!$G$22),Setup!$C$39:$C$50))&lt;=Setup!$C$16),OR(MONTH(WORKDAY(D152,-(Setup!$C$13+Setup!$G$22),Setup!$C$39:$C$50))&gt;=Setup!$C$15,MONTH(WORKDAY(D152,-(Setup!$C$13+Setup!$G$22),Setup!$C$39:$C$50))&lt;=Setup!$C$16))),WORKDAY(D152,-(Setup!$C$13+Setup!$G$22+Setup!$C$14),Setup!$C$39:$C$50),WORKDAY(D152,-(Setup!$C$13+Setup!$G$22),Setup!$C$39:$C$50))+(147*100+3)/10000000)))</f>
        <v/>
      </c>
      <c r="U152" t="str">
        <f>IF(E152="","",IF(E152&lt;Setup!$C$5-Setup!$C$6,"",IF(IF(ISNUMBER(Roster!$D152),Setup!$C$23&lt;=Roster!$D152,FALSE),"",IF(OR(IF(Setup!$C$15&lt;=Setup!$C$16,AND(MONTH(E152)&gt;=Setup!$C$15,MONTH(E152)&lt;=Setup!$C$16),OR(MONTH(E152)&gt;=Setup!$C$15,MONTH(E152)&lt;=Setup!$C$16)),IF(Setup!$C$15&lt;=Setup!$C$16,AND(MONTH(WORKDAY(E152,-(Setup!$C$13+Setup!$G$23),Setup!$C$39:$C$50))&gt;=Setup!$C$15,MONTH(WORKDAY(E152,-(Setup!$C$13+Setup!$G$23),Setup!$C$39:$C$50))&lt;=Setup!$C$16),OR(MONTH(WORKDAY(E152,-(Setup!$C$13+Setup!$G$23),Setup!$C$39:$C$50))&gt;=Setup!$C$15,MONTH(WORKDAY(E152,-(Setup!$C$13+Setup!$G$23),Setup!$C$39:$C$50))&lt;=Setup!$C$16))),WORKDAY(E152,-(Setup!$C$13+Setup!$G$23+Setup!$C$14),Setup!$C$39:$C$50),WORKDAY(E152,-(Setup!$C$13+Setup!$G$23),Setup!$C$39:$C$50))+(147*100+4)/10000000)))</f>
        <v/>
      </c>
      <c r="V152" t="str">
        <f>IF(F152="","",IF(F152&lt;Setup!$C$5-Setup!$C$6,"",IF(IF(ISNUMBER(Roster!$D152),Setup!$C$24&lt;=Roster!$D152,FALSE),"",IF(OR(IF(Setup!$C$15&lt;=Setup!$C$16,AND(MONTH(F152)&gt;=Setup!$C$15,MONTH(F152)&lt;=Setup!$C$16),OR(MONTH(F152)&gt;=Setup!$C$15,MONTH(F152)&lt;=Setup!$C$16)),IF(Setup!$C$15&lt;=Setup!$C$16,AND(MONTH(WORKDAY(F152,-(Setup!$C$13+Setup!$G$24),Setup!$C$39:$C$50))&gt;=Setup!$C$15,MONTH(WORKDAY(F152,-(Setup!$C$13+Setup!$G$24),Setup!$C$39:$C$50))&lt;=Setup!$C$16),OR(MONTH(WORKDAY(F152,-(Setup!$C$13+Setup!$G$24),Setup!$C$39:$C$50))&gt;=Setup!$C$15,MONTH(WORKDAY(F152,-(Setup!$C$13+Setup!$G$24),Setup!$C$39:$C$50))&lt;=Setup!$C$16))),WORKDAY(F152,-(Setup!$C$13+Setup!$G$24+Setup!$C$14),Setup!$C$39:$C$50),WORKDAY(F152,-(Setup!$C$13+Setup!$G$24),Setup!$C$39:$C$50))+(147*100+5)/10000000)))</f>
        <v/>
      </c>
      <c r="W152" t="str">
        <f>IF(G152="","",IF(G152&lt;Setup!$C$5-Setup!$C$6,"",IF(IF(ISNUMBER(Roster!$D152),Setup!$C$25&lt;=Roster!$D152,FALSE),"",IF(OR(IF(Setup!$C$15&lt;=Setup!$C$16,AND(MONTH(G152)&gt;=Setup!$C$15,MONTH(G152)&lt;=Setup!$C$16),OR(MONTH(G152)&gt;=Setup!$C$15,MONTH(G152)&lt;=Setup!$C$16)),IF(Setup!$C$15&lt;=Setup!$C$16,AND(MONTH(WORKDAY(G152,-(Setup!$C$13+Setup!$G$25),Setup!$C$39:$C$50))&gt;=Setup!$C$15,MONTH(WORKDAY(G152,-(Setup!$C$13+Setup!$G$25),Setup!$C$39:$C$50))&lt;=Setup!$C$16),OR(MONTH(WORKDAY(G152,-(Setup!$C$13+Setup!$G$25),Setup!$C$39:$C$50))&gt;=Setup!$C$15,MONTH(WORKDAY(G152,-(Setup!$C$13+Setup!$G$25),Setup!$C$39:$C$50))&lt;=Setup!$C$16))),WORKDAY(G152,-(Setup!$C$13+Setup!$G$25+Setup!$C$14),Setup!$C$39:$C$50),WORKDAY(G152,-(Setup!$C$13+Setup!$G$25),Setup!$C$39:$C$50))+(147*100+6)/10000000)))</f>
        <v/>
      </c>
      <c r="X152" t="str">
        <f>IF(H152="","",IF(H152&lt;Setup!$C$5-Setup!$C$6,"",IF(IF(ISNUMBER(Roster!$D152),Setup!$C$26&lt;=Roster!$D152,FALSE),"",IF(OR(IF(Setup!$C$15&lt;=Setup!$C$16,AND(MONTH(H152)&gt;=Setup!$C$15,MONTH(H152)&lt;=Setup!$C$16),OR(MONTH(H152)&gt;=Setup!$C$15,MONTH(H152)&lt;=Setup!$C$16)),IF(Setup!$C$15&lt;=Setup!$C$16,AND(MONTH(WORKDAY(H152,-(Setup!$C$13+Setup!$G$26),Setup!$C$39:$C$50))&gt;=Setup!$C$15,MONTH(WORKDAY(H152,-(Setup!$C$13+Setup!$G$26),Setup!$C$39:$C$50))&lt;=Setup!$C$16),OR(MONTH(WORKDAY(H152,-(Setup!$C$13+Setup!$G$26),Setup!$C$39:$C$50))&gt;=Setup!$C$15,MONTH(WORKDAY(H152,-(Setup!$C$13+Setup!$G$26),Setup!$C$39:$C$50))&lt;=Setup!$C$16))),WORKDAY(H152,-(Setup!$C$13+Setup!$G$26+Setup!$C$14),Setup!$C$39:$C$50),WORKDAY(H152,-(Setup!$C$13+Setup!$G$26),Setup!$C$39:$C$50))+(147*100+7)/10000000)))</f>
        <v/>
      </c>
      <c r="Y152" t="str">
        <f>IF(I152="","",IF(I152&lt;Setup!$C$5-Setup!$C$6,"",IF(IF(ISNUMBER(Roster!$D152),Setup!$C$27&lt;=Roster!$D152,FALSE),"",IF(OR(IF(Setup!$C$15&lt;=Setup!$C$16,AND(MONTH(I152)&gt;=Setup!$C$15,MONTH(I152)&lt;=Setup!$C$16),OR(MONTH(I152)&gt;=Setup!$C$15,MONTH(I152)&lt;=Setup!$C$16)),IF(Setup!$C$15&lt;=Setup!$C$16,AND(MONTH(WORKDAY(I152,-(Setup!$C$13+Setup!$G$27),Setup!$C$39:$C$50))&gt;=Setup!$C$15,MONTH(WORKDAY(I152,-(Setup!$C$13+Setup!$G$27),Setup!$C$39:$C$50))&lt;=Setup!$C$16),OR(MONTH(WORKDAY(I152,-(Setup!$C$13+Setup!$G$27),Setup!$C$39:$C$50))&gt;=Setup!$C$15,MONTH(WORKDAY(I152,-(Setup!$C$13+Setup!$G$27),Setup!$C$39:$C$50))&lt;=Setup!$C$16))),WORKDAY(I152,-(Setup!$C$13+Setup!$G$27+Setup!$C$14),Setup!$C$39:$C$50),WORKDAY(I152,-(Setup!$C$13+Setup!$G$27),Setup!$C$39:$C$50))+(147*100+8)/10000000)))</f>
        <v/>
      </c>
      <c r="Z152" t="str">
        <f>IF(J152="","",IF(J152&lt;Setup!$C$5-Setup!$C$6,"",IF(IF(ISNUMBER(Roster!$D152),Setup!$C$28&lt;=Roster!$D152,FALSE),"",IF(OR(IF(Setup!$C$15&lt;=Setup!$C$16,AND(MONTH(J152)&gt;=Setup!$C$15,MONTH(J152)&lt;=Setup!$C$16),OR(MONTH(J152)&gt;=Setup!$C$15,MONTH(J152)&lt;=Setup!$C$16)),IF(Setup!$C$15&lt;=Setup!$C$16,AND(MONTH(WORKDAY(J152,-(Setup!$C$13+Setup!$G$28),Setup!$C$39:$C$50))&gt;=Setup!$C$15,MONTH(WORKDAY(J152,-(Setup!$C$13+Setup!$G$28),Setup!$C$39:$C$50))&lt;=Setup!$C$16),OR(MONTH(WORKDAY(J152,-(Setup!$C$13+Setup!$G$28),Setup!$C$39:$C$50))&gt;=Setup!$C$15,MONTH(WORKDAY(J152,-(Setup!$C$13+Setup!$G$28),Setup!$C$39:$C$50))&lt;=Setup!$C$16))),WORKDAY(J152,-(Setup!$C$13+Setup!$G$28+Setup!$C$14),Setup!$C$39:$C$50),WORKDAY(J152,-(Setup!$C$13+Setup!$G$28),Setup!$C$39:$C$50))+(147*100+9)/10000000)))</f>
        <v/>
      </c>
      <c r="AA152" t="str">
        <f>IF(K152="","",IF(K152&lt;Setup!$C$5-Setup!$C$6,"",IF(IF(ISNUMBER(Roster!$D152),Setup!$C$29&lt;=Roster!$D152,FALSE),"",IF(OR(IF(Setup!$C$15&lt;=Setup!$C$16,AND(MONTH(K152)&gt;=Setup!$C$15,MONTH(K152)&lt;=Setup!$C$16),OR(MONTH(K152)&gt;=Setup!$C$15,MONTH(K152)&lt;=Setup!$C$16)),IF(Setup!$C$15&lt;=Setup!$C$16,AND(MONTH(WORKDAY(K152,-(Setup!$C$13+Setup!$G$29),Setup!$C$39:$C$50))&gt;=Setup!$C$15,MONTH(WORKDAY(K152,-(Setup!$C$13+Setup!$G$29),Setup!$C$39:$C$50))&lt;=Setup!$C$16),OR(MONTH(WORKDAY(K152,-(Setup!$C$13+Setup!$G$29),Setup!$C$39:$C$50))&gt;=Setup!$C$15,MONTH(WORKDAY(K152,-(Setup!$C$13+Setup!$G$29),Setup!$C$39:$C$50))&lt;=Setup!$C$16))),WORKDAY(K152,-(Setup!$C$13+Setup!$G$29+Setup!$C$14),Setup!$C$39:$C$50),WORKDAY(K152,-(Setup!$C$13+Setup!$G$29),Setup!$C$39:$C$50))+(147*100+10)/10000000)))</f>
        <v/>
      </c>
      <c r="AB152" t="str">
        <f>IF(L152="","",IF(L152&lt;Setup!$C$5-Setup!$C$6,"",IF(IF(ISNUMBER(Roster!$D152),Setup!$C$30&lt;=Roster!$D152,FALSE),"",IF(OR(IF(Setup!$C$15&lt;=Setup!$C$16,AND(MONTH(L152)&gt;=Setup!$C$15,MONTH(L152)&lt;=Setup!$C$16),OR(MONTH(L152)&gt;=Setup!$C$15,MONTH(L152)&lt;=Setup!$C$16)),IF(Setup!$C$15&lt;=Setup!$C$16,AND(MONTH(WORKDAY(L152,-(Setup!$C$13+Setup!$G$30),Setup!$C$39:$C$50))&gt;=Setup!$C$15,MONTH(WORKDAY(L152,-(Setup!$C$13+Setup!$G$30),Setup!$C$39:$C$50))&lt;=Setup!$C$16),OR(MONTH(WORKDAY(L152,-(Setup!$C$13+Setup!$G$30),Setup!$C$39:$C$50))&gt;=Setup!$C$15,MONTH(WORKDAY(L152,-(Setup!$C$13+Setup!$G$30),Setup!$C$39:$C$50))&lt;=Setup!$C$16))),WORKDAY(L152,-(Setup!$C$13+Setup!$G$30+Setup!$C$14),Setup!$C$39:$C$50),WORKDAY(L152,-(Setup!$C$13+Setup!$G$30),Setup!$C$39:$C$50))+(147*100+11)/10000000)))</f>
        <v/>
      </c>
      <c r="AC152" t="str">
        <f>IF(M152="","",IF(M152&lt;Setup!$C$5-Setup!$C$6,"",IF(IF(ISNUMBER(Roster!$D152),Setup!$C$31&lt;=Roster!$D152,FALSE),"",IF(OR(IF(Setup!$C$15&lt;=Setup!$C$16,AND(MONTH(M152)&gt;=Setup!$C$15,MONTH(M152)&lt;=Setup!$C$16),OR(MONTH(M152)&gt;=Setup!$C$15,MONTH(M152)&lt;=Setup!$C$16)),IF(Setup!$C$15&lt;=Setup!$C$16,AND(MONTH(WORKDAY(M152,-(Setup!$C$13+Setup!$G$31),Setup!$C$39:$C$50))&gt;=Setup!$C$15,MONTH(WORKDAY(M152,-(Setup!$C$13+Setup!$G$31),Setup!$C$39:$C$50))&lt;=Setup!$C$16),OR(MONTH(WORKDAY(M152,-(Setup!$C$13+Setup!$G$31),Setup!$C$39:$C$50))&gt;=Setup!$C$15,MONTH(WORKDAY(M152,-(Setup!$C$13+Setup!$G$31),Setup!$C$39:$C$50))&lt;=Setup!$C$16))),WORKDAY(M152,-(Setup!$C$13+Setup!$G$31+Setup!$C$14),Setup!$C$39:$C$50),WORKDAY(M152,-(Setup!$C$13+Setup!$G$31),Setup!$C$39:$C$50))+(147*100+12)/10000000)))</f>
        <v/>
      </c>
      <c r="AD152" t="str">
        <f>IF(N152="","",IF(N152&lt;Setup!$C$5-Setup!$C$6,"",IF(IF(ISNUMBER(Roster!$D152),Setup!$C$32&lt;=Roster!$D152,FALSE),"",IF(OR(IF(Setup!$C$15&lt;=Setup!$C$16,AND(MONTH(N152)&gt;=Setup!$C$15,MONTH(N152)&lt;=Setup!$C$16),OR(MONTH(N152)&gt;=Setup!$C$15,MONTH(N152)&lt;=Setup!$C$16)),IF(Setup!$C$15&lt;=Setup!$C$16,AND(MONTH(WORKDAY(N152,-(Setup!$C$13+Setup!$G$32),Setup!$C$39:$C$50))&gt;=Setup!$C$15,MONTH(WORKDAY(N152,-(Setup!$C$13+Setup!$G$32),Setup!$C$39:$C$50))&lt;=Setup!$C$16),OR(MONTH(WORKDAY(N152,-(Setup!$C$13+Setup!$G$32),Setup!$C$39:$C$50))&gt;=Setup!$C$15,MONTH(WORKDAY(N152,-(Setup!$C$13+Setup!$G$32),Setup!$C$39:$C$50))&lt;=Setup!$C$16))),WORKDAY(N152,-(Setup!$C$13+Setup!$G$32+Setup!$C$14),Setup!$C$39:$C$50),WORKDAY(N152,-(Setup!$C$13+Setup!$G$32),Setup!$C$39:$C$50))+(147*100+13)/10000000)))</f>
        <v/>
      </c>
      <c r="AE152" t="str">
        <f>IF(O152="","",IF(O152&lt;Setup!$C$5-Setup!$C$6,"",IF(IF(ISNUMBER(Roster!$D152),Setup!$C$33&lt;=Roster!$D152,FALSE),"",IF(OR(IF(Setup!$C$15&lt;=Setup!$C$16,AND(MONTH(O152)&gt;=Setup!$C$15,MONTH(O152)&lt;=Setup!$C$16),OR(MONTH(O152)&gt;=Setup!$C$15,MONTH(O152)&lt;=Setup!$C$16)),IF(Setup!$C$15&lt;=Setup!$C$16,AND(MONTH(WORKDAY(O152,-(Setup!$C$13+Setup!$G$33),Setup!$C$39:$C$50))&gt;=Setup!$C$15,MONTH(WORKDAY(O152,-(Setup!$C$13+Setup!$G$33),Setup!$C$39:$C$50))&lt;=Setup!$C$16),OR(MONTH(WORKDAY(O152,-(Setup!$C$13+Setup!$G$33),Setup!$C$39:$C$50))&gt;=Setup!$C$15,MONTH(WORKDAY(O152,-(Setup!$C$13+Setup!$G$33),Setup!$C$39:$C$50))&lt;=Setup!$C$16))),WORKDAY(O152,-(Setup!$C$13+Setup!$G$33+Setup!$C$14),Setup!$C$39:$C$50),WORKDAY(O152,-(Setup!$C$13+Setup!$G$33),Setup!$C$39:$C$50))+(147*100+14)/10000000)))</f>
        <v/>
      </c>
      <c r="AF152" t="str">
        <f>IF(P152="","",IF(P152&lt;Setup!$C$5-Setup!$C$6,"",IF(IF(ISNUMBER(Roster!$D152),Setup!$C$34&lt;=Roster!$D152,FALSE),"",IF(OR(IF(Setup!$C$15&lt;=Setup!$C$16,AND(MONTH(P152)&gt;=Setup!$C$15,MONTH(P152)&lt;=Setup!$C$16),OR(MONTH(P152)&gt;=Setup!$C$15,MONTH(P152)&lt;=Setup!$C$16)),IF(Setup!$C$15&lt;=Setup!$C$16,AND(MONTH(WORKDAY(P152,-(Setup!$C$13+Setup!$G$34),Setup!$C$39:$C$50))&gt;=Setup!$C$15,MONTH(WORKDAY(P152,-(Setup!$C$13+Setup!$G$34),Setup!$C$39:$C$50))&lt;=Setup!$C$16),OR(MONTH(WORKDAY(P152,-(Setup!$C$13+Setup!$G$34),Setup!$C$39:$C$50))&gt;=Setup!$C$15,MONTH(WORKDAY(P152,-(Setup!$C$13+Setup!$G$34),Setup!$C$39:$C$50))&lt;=Setup!$C$16))),WORKDAY(P152,-(Setup!$C$13+Setup!$G$34+Setup!$C$14),Setup!$C$39:$C$50),WORKDAY(P152,-(Setup!$C$13+Setup!$G$34),Setup!$C$39:$C$50))+(147*100+15)/10000000)))</f>
        <v/>
      </c>
      <c r="AH152" t="str">
        <f t="shared" si="17"/>
        <v/>
      </c>
      <c r="AI152" t="str">
        <f t="shared" si="18"/>
        <v/>
      </c>
      <c r="AK152" t="str">
        <f ca="1">IF(147&gt;$AK$2,"",SMALL($R$6:$AF$505,147))</f>
        <v/>
      </c>
      <c r="AL152" t="str">
        <f t="shared" ca="1" si="19"/>
        <v/>
      </c>
      <c r="AM152" t="str">
        <f t="shared" ca="1" si="20"/>
        <v/>
      </c>
      <c r="AN152" t="str">
        <f t="shared" ca="1" si="21"/>
        <v/>
      </c>
      <c r="AP152" t="str">
        <f>IF(ISNUMBER(Roster!$B152),MAX(1,YEAR(Setup!$C$5)-YEAR(Roster!$B152)+IF(EDATE(Roster!$B152,12*(YEAR(Setup!$C$5)-YEAR(Roster!$B152)))&lt;Setup!$C$5,1,0)),"")</f>
        <v/>
      </c>
      <c r="AQ152" s="32" t="str">
        <f>IF(AP152="","",EDATE(Roster!$B152,12*AP152))</f>
        <v/>
      </c>
      <c r="AR152" t="str">
        <f>IF(AQ152="","",IF(AQ152&lt;DATE(YEAR(Setup!$C$5)+1,MONTH(Setup!$C$5),DAY(Setup!$C$5)),AQ152+147/1000,""))</f>
        <v/>
      </c>
      <c r="AS152" t="str">
        <f t="shared" si="22"/>
        <v/>
      </c>
      <c r="AT152" t="str">
        <f>IF(AS152="","",IF(ISNUMBER(Roster!$D152),Roster!$D152&gt;=AP152,FALSE))</f>
        <v/>
      </c>
      <c r="AU152" t="str">
        <f t="shared" si="23"/>
        <v/>
      </c>
      <c r="AV152" t="str">
        <f ca="1">IF(147&gt;$AV$2,"",SMALL($AR$6:$AR$505,147))</f>
        <v/>
      </c>
      <c r="AW152" t="str">
        <f t="shared" ca="1" si="24"/>
        <v/>
      </c>
    </row>
    <row r="153" spans="2:49" x14ac:dyDescent="0.2">
      <c r="B153" s="32" t="str">
        <f>IF(AND(ISNUMBER(Roster!$B153),Setup!$B$20="Yes",ISNUMBER(Setup!$C$20)),EDATE(Roster!$B153,12*Setup!$C$20),"")</f>
        <v/>
      </c>
      <c r="C153" s="32" t="str">
        <f>IF(AND(ISNUMBER(Roster!$B153),Setup!$B$21="Yes",ISNUMBER(Setup!$C$21)),EDATE(Roster!$B153,12*Setup!$C$21),"")</f>
        <v/>
      </c>
      <c r="D153" s="32" t="str">
        <f>IF(AND(ISNUMBER(Roster!$B153),Setup!$B$22="Yes",ISNUMBER(Setup!$C$22)),EDATE(Roster!$B153,12*Setup!$C$22),"")</f>
        <v/>
      </c>
      <c r="E153" s="32" t="str">
        <f>IF(AND(ISNUMBER(Roster!$B153),Setup!$B$23="Yes",ISNUMBER(Setup!$C$23)),EDATE(Roster!$B153,12*Setup!$C$23),"")</f>
        <v/>
      </c>
      <c r="F153" s="32" t="str">
        <f>IF(AND(ISNUMBER(Roster!$B153),Setup!$B$24="Yes",ISNUMBER(Setup!$C$24)),EDATE(Roster!$B153,12*Setup!$C$24),"")</f>
        <v/>
      </c>
      <c r="G153" s="32" t="str">
        <f>IF(AND(ISNUMBER(Roster!$B153),Setup!$B$25="Yes",ISNUMBER(Setup!$C$25)),EDATE(Roster!$B153,12*Setup!$C$25),"")</f>
        <v/>
      </c>
      <c r="H153" s="32" t="str">
        <f>IF(AND(ISNUMBER(Roster!$B153),Setup!$B$26="Yes",ISNUMBER(Setup!$C$26)),EDATE(Roster!$B153,12*Setup!$C$26),"")</f>
        <v/>
      </c>
      <c r="I153" s="32" t="str">
        <f>IF(AND(ISNUMBER(Roster!$B153),Setup!$B$27="Yes",ISNUMBER(Setup!$C$27)),EDATE(Roster!$B153,12*Setup!$C$27),"")</f>
        <v/>
      </c>
      <c r="J153" s="32" t="str">
        <f>IF(AND(ISNUMBER(Roster!$B153),Setup!$B$28="Yes",ISNUMBER(Setup!$C$28)),EDATE(Roster!$B153,12*Setup!$C$28),"")</f>
        <v/>
      </c>
      <c r="K153" s="32" t="str">
        <f>IF(AND(ISNUMBER(Roster!$B153),Setup!$B$29="Yes",ISNUMBER(Setup!$C$29)),EDATE(Roster!$B153,12*Setup!$C$29),"")</f>
        <v/>
      </c>
      <c r="L153" s="32" t="str">
        <f>IF(AND(ISNUMBER(Roster!$B153),Setup!$B$30="Yes",ISNUMBER(Setup!$C$30)),EDATE(Roster!$B153,12*Setup!$C$30),"")</f>
        <v/>
      </c>
      <c r="M153" s="32" t="str">
        <f>IF(AND(ISNUMBER(Roster!$B153),Setup!$B$31="Yes",ISNUMBER(Setup!$C$31)),EDATE(Roster!$B153,12*Setup!$C$31),"")</f>
        <v/>
      </c>
      <c r="N153" s="32" t="str">
        <f>IF(AND(ISNUMBER(Roster!$B153),Setup!$B$32="Yes",ISNUMBER(Setup!$C$32)),EDATE(Roster!$B153,12*Setup!$C$32),"")</f>
        <v/>
      </c>
      <c r="O153" s="32" t="str">
        <f>IF(AND(ISNUMBER(Roster!$B153),Setup!$B$33="Yes",ISNUMBER(Setup!$C$33)),EDATE(Roster!$B153,12*Setup!$C$33),"")</f>
        <v/>
      </c>
      <c r="P153" s="32" t="str">
        <f>IF(AND(ISNUMBER(Roster!$B153),Setup!$B$34="Yes",ISNUMBER(Setup!$C$34)),EDATE(Roster!$B153,12*Setup!$C$34),"")</f>
        <v/>
      </c>
      <c r="R153" t="str">
        <f>IF(B153="","",IF(B153&lt;Setup!$C$5-Setup!$C$6,"",IF(IF(ISNUMBER(Roster!$D153),Setup!$C$20&lt;=Roster!$D153,FALSE),"",IF(OR(IF(Setup!$C$15&lt;=Setup!$C$16,AND(MONTH(B153)&gt;=Setup!$C$15,MONTH(B153)&lt;=Setup!$C$16),OR(MONTH(B153)&gt;=Setup!$C$15,MONTH(B153)&lt;=Setup!$C$16)),IF(Setup!$C$15&lt;=Setup!$C$16,AND(MONTH(WORKDAY(B153,-(Setup!$C$13+Setup!$G$20),Setup!$C$39:$C$50))&gt;=Setup!$C$15,MONTH(WORKDAY(B153,-(Setup!$C$13+Setup!$G$20),Setup!$C$39:$C$50))&lt;=Setup!$C$16),OR(MONTH(WORKDAY(B153,-(Setup!$C$13+Setup!$G$20),Setup!$C$39:$C$50))&gt;=Setup!$C$15,MONTH(WORKDAY(B153,-(Setup!$C$13+Setup!$G$20),Setup!$C$39:$C$50))&lt;=Setup!$C$16))),WORKDAY(B153,-(Setup!$C$13+Setup!$G$20+Setup!$C$14),Setup!$C$39:$C$50),WORKDAY(B153,-(Setup!$C$13+Setup!$G$20),Setup!$C$39:$C$50))+(148*100+1)/10000000)))</f>
        <v/>
      </c>
      <c r="S153" t="str">
        <f>IF(C153="","",IF(C153&lt;Setup!$C$5-Setup!$C$6,"",IF(IF(ISNUMBER(Roster!$D153),Setup!$C$21&lt;=Roster!$D153,FALSE),"",IF(OR(IF(Setup!$C$15&lt;=Setup!$C$16,AND(MONTH(C153)&gt;=Setup!$C$15,MONTH(C153)&lt;=Setup!$C$16),OR(MONTH(C153)&gt;=Setup!$C$15,MONTH(C153)&lt;=Setup!$C$16)),IF(Setup!$C$15&lt;=Setup!$C$16,AND(MONTH(WORKDAY(C153,-(Setup!$C$13+Setup!$G$21),Setup!$C$39:$C$50))&gt;=Setup!$C$15,MONTH(WORKDAY(C153,-(Setup!$C$13+Setup!$G$21),Setup!$C$39:$C$50))&lt;=Setup!$C$16),OR(MONTH(WORKDAY(C153,-(Setup!$C$13+Setup!$G$21),Setup!$C$39:$C$50))&gt;=Setup!$C$15,MONTH(WORKDAY(C153,-(Setup!$C$13+Setup!$G$21),Setup!$C$39:$C$50))&lt;=Setup!$C$16))),WORKDAY(C153,-(Setup!$C$13+Setup!$G$21+Setup!$C$14),Setup!$C$39:$C$50),WORKDAY(C153,-(Setup!$C$13+Setup!$G$21),Setup!$C$39:$C$50))+(148*100+2)/10000000)))</f>
        <v/>
      </c>
      <c r="T153" t="str">
        <f>IF(D153="","",IF(D153&lt;Setup!$C$5-Setup!$C$6,"",IF(IF(ISNUMBER(Roster!$D153),Setup!$C$22&lt;=Roster!$D153,FALSE),"",IF(OR(IF(Setup!$C$15&lt;=Setup!$C$16,AND(MONTH(D153)&gt;=Setup!$C$15,MONTH(D153)&lt;=Setup!$C$16),OR(MONTH(D153)&gt;=Setup!$C$15,MONTH(D153)&lt;=Setup!$C$16)),IF(Setup!$C$15&lt;=Setup!$C$16,AND(MONTH(WORKDAY(D153,-(Setup!$C$13+Setup!$G$22),Setup!$C$39:$C$50))&gt;=Setup!$C$15,MONTH(WORKDAY(D153,-(Setup!$C$13+Setup!$G$22),Setup!$C$39:$C$50))&lt;=Setup!$C$16),OR(MONTH(WORKDAY(D153,-(Setup!$C$13+Setup!$G$22),Setup!$C$39:$C$50))&gt;=Setup!$C$15,MONTH(WORKDAY(D153,-(Setup!$C$13+Setup!$G$22),Setup!$C$39:$C$50))&lt;=Setup!$C$16))),WORKDAY(D153,-(Setup!$C$13+Setup!$G$22+Setup!$C$14),Setup!$C$39:$C$50),WORKDAY(D153,-(Setup!$C$13+Setup!$G$22),Setup!$C$39:$C$50))+(148*100+3)/10000000)))</f>
        <v/>
      </c>
      <c r="U153" t="str">
        <f>IF(E153="","",IF(E153&lt;Setup!$C$5-Setup!$C$6,"",IF(IF(ISNUMBER(Roster!$D153),Setup!$C$23&lt;=Roster!$D153,FALSE),"",IF(OR(IF(Setup!$C$15&lt;=Setup!$C$16,AND(MONTH(E153)&gt;=Setup!$C$15,MONTH(E153)&lt;=Setup!$C$16),OR(MONTH(E153)&gt;=Setup!$C$15,MONTH(E153)&lt;=Setup!$C$16)),IF(Setup!$C$15&lt;=Setup!$C$16,AND(MONTH(WORKDAY(E153,-(Setup!$C$13+Setup!$G$23),Setup!$C$39:$C$50))&gt;=Setup!$C$15,MONTH(WORKDAY(E153,-(Setup!$C$13+Setup!$G$23),Setup!$C$39:$C$50))&lt;=Setup!$C$16),OR(MONTH(WORKDAY(E153,-(Setup!$C$13+Setup!$G$23),Setup!$C$39:$C$50))&gt;=Setup!$C$15,MONTH(WORKDAY(E153,-(Setup!$C$13+Setup!$G$23),Setup!$C$39:$C$50))&lt;=Setup!$C$16))),WORKDAY(E153,-(Setup!$C$13+Setup!$G$23+Setup!$C$14),Setup!$C$39:$C$50),WORKDAY(E153,-(Setup!$C$13+Setup!$G$23),Setup!$C$39:$C$50))+(148*100+4)/10000000)))</f>
        <v/>
      </c>
      <c r="V153" t="str">
        <f>IF(F153="","",IF(F153&lt;Setup!$C$5-Setup!$C$6,"",IF(IF(ISNUMBER(Roster!$D153),Setup!$C$24&lt;=Roster!$D153,FALSE),"",IF(OR(IF(Setup!$C$15&lt;=Setup!$C$16,AND(MONTH(F153)&gt;=Setup!$C$15,MONTH(F153)&lt;=Setup!$C$16),OR(MONTH(F153)&gt;=Setup!$C$15,MONTH(F153)&lt;=Setup!$C$16)),IF(Setup!$C$15&lt;=Setup!$C$16,AND(MONTH(WORKDAY(F153,-(Setup!$C$13+Setup!$G$24),Setup!$C$39:$C$50))&gt;=Setup!$C$15,MONTH(WORKDAY(F153,-(Setup!$C$13+Setup!$G$24),Setup!$C$39:$C$50))&lt;=Setup!$C$16),OR(MONTH(WORKDAY(F153,-(Setup!$C$13+Setup!$G$24),Setup!$C$39:$C$50))&gt;=Setup!$C$15,MONTH(WORKDAY(F153,-(Setup!$C$13+Setup!$G$24),Setup!$C$39:$C$50))&lt;=Setup!$C$16))),WORKDAY(F153,-(Setup!$C$13+Setup!$G$24+Setup!$C$14),Setup!$C$39:$C$50),WORKDAY(F153,-(Setup!$C$13+Setup!$G$24),Setup!$C$39:$C$50))+(148*100+5)/10000000)))</f>
        <v/>
      </c>
      <c r="W153" t="str">
        <f>IF(G153="","",IF(G153&lt;Setup!$C$5-Setup!$C$6,"",IF(IF(ISNUMBER(Roster!$D153),Setup!$C$25&lt;=Roster!$D153,FALSE),"",IF(OR(IF(Setup!$C$15&lt;=Setup!$C$16,AND(MONTH(G153)&gt;=Setup!$C$15,MONTH(G153)&lt;=Setup!$C$16),OR(MONTH(G153)&gt;=Setup!$C$15,MONTH(G153)&lt;=Setup!$C$16)),IF(Setup!$C$15&lt;=Setup!$C$16,AND(MONTH(WORKDAY(G153,-(Setup!$C$13+Setup!$G$25),Setup!$C$39:$C$50))&gt;=Setup!$C$15,MONTH(WORKDAY(G153,-(Setup!$C$13+Setup!$G$25),Setup!$C$39:$C$50))&lt;=Setup!$C$16),OR(MONTH(WORKDAY(G153,-(Setup!$C$13+Setup!$G$25),Setup!$C$39:$C$50))&gt;=Setup!$C$15,MONTH(WORKDAY(G153,-(Setup!$C$13+Setup!$G$25),Setup!$C$39:$C$50))&lt;=Setup!$C$16))),WORKDAY(G153,-(Setup!$C$13+Setup!$G$25+Setup!$C$14),Setup!$C$39:$C$50),WORKDAY(G153,-(Setup!$C$13+Setup!$G$25),Setup!$C$39:$C$50))+(148*100+6)/10000000)))</f>
        <v/>
      </c>
      <c r="X153" t="str">
        <f>IF(H153="","",IF(H153&lt;Setup!$C$5-Setup!$C$6,"",IF(IF(ISNUMBER(Roster!$D153),Setup!$C$26&lt;=Roster!$D153,FALSE),"",IF(OR(IF(Setup!$C$15&lt;=Setup!$C$16,AND(MONTH(H153)&gt;=Setup!$C$15,MONTH(H153)&lt;=Setup!$C$16),OR(MONTH(H153)&gt;=Setup!$C$15,MONTH(H153)&lt;=Setup!$C$16)),IF(Setup!$C$15&lt;=Setup!$C$16,AND(MONTH(WORKDAY(H153,-(Setup!$C$13+Setup!$G$26),Setup!$C$39:$C$50))&gt;=Setup!$C$15,MONTH(WORKDAY(H153,-(Setup!$C$13+Setup!$G$26),Setup!$C$39:$C$50))&lt;=Setup!$C$16),OR(MONTH(WORKDAY(H153,-(Setup!$C$13+Setup!$G$26),Setup!$C$39:$C$50))&gt;=Setup!$C$15,MONTH(WORKDAY(H153,-(Setup!$C$13+Setup!$G$26),Setup!$C$39:$C$50))&lt;=Setup!$C$16))),WORKDAY(H153,-(Setup!$C$13+Setup!$G$26+Setup!$C$14),Setup!$C$39:$C$50),WORKDAY(H153,-(Setup!$C$13+Setup!$G$26),Setup!$C$39:$C$50))+(148*100+7)/10000000)))</f>
        <v/>
      </c>
      <c r="Y153" t="str">
        <f>IF(I153="","",IF(I153&lt;Setup!$C$5-Setup!$C$6,"",IF(IF(ISNUMBER(Roster!$D153),Setup!$C$27&lt;=Roster!$D153,FALSE),"",IF(OR(IF(Setup!$C$15&lt;=Setup!$C$16,AND(MONTH(I153)&gt;=Setup!$C$15,MONTH(I153)&lt;=Setup!$C$16),OR(MONTH(I153)&gt;=Setup!$C$15,MONTH(I153)&lt;=Setup!$C$16)),IF(Setup!$C$15&lt;=Setup!$C$16,AND(MONTH(WORKDAY(I153,-(Setup!$C$13+Setup!$G$27),Setup!$C$39:$C$50))&gt;=Setup!$C$15,MONTH(WORKDAY(I153,-(Setup!$C$13+Setup!$G$27),Setup!$C$39:$C$50))&lt;=Setup!$C$16),OR(MONTH(WORKDAY(I153,-(Setup!$C$13+Setup!$G$27),Setup!$C$39:$C$50))&gt;=Setup!$C$15,MONTH(WORKDAY(I153,-(Setup!$C$13+Setup!$G$27),Setup!$C$39:$C$50))&lt;=Setup!$C$16))),WORKDAY(I153,-(Setup!$C$13+Setup!$G$27+Setup!$C$14),Setup!$C$39:$C$50),WORKDAY(I153,-(Setup!$C$13+Setup!$G$27),Setup!$C$39:$C$50))+(148*100+8)/10000000)))</f>
        <v/>
      </c>
      <c r="Z153" t="str">
        <f>IF(J153="","",IF(J153&lt;Setup!$C$5-Setup!$C$6,"",IF(IF(ISNUMBER(Roster!$D153),Setup!$C$28&lt;=Roster!$D153,FALSE),"",IF(OR(IF(Setup!$C$15&lt;=Setup!$C$16,AND(MONTH(J153)&gt;=Setup!$C$15,MONTH(J153)&lt;=Setup!$C$16),OR(MONTH(J153)&gt;=Setup!$C$15,MONTH(J153)&lt;=Setup!$C$16)),IF(Setup!$C$15&lt;=Setup!$C$16,AND(MONTH(WORKDAY(J153,-(Setup!$C$13+Setup!$G$28),Setup!$C$39:$C$50))&gt;=Setup!$C$15,MONTH(WORKDAY(J153,-(Setup!$C$13+Setup!$G$28),Setup!$C$39:$C$50))&lt;=Setup!$C$16),OR(MONTH(WORKDAY(J153,-(Setup!$C$13+Setup!$G$28),Setup!$C$39:$C$50))&gt;=Setup!$C$15,MONTH(WORKDAY(J153,-(Setup!$C$13+Setup!$G$28),Setup!$C$39:$C$50))&lt;=Setup!$C$16))),WORKDAY(J153,-(Setup!$C$13+Setup!$G$28+Setup!$C$14),Setup!$C$39:$C$50),WORKDAY(J153,-(Setup!$C$13+Setup!$G$28),Setup!$C$39:$C$50))+(148*100+9)/10000000)))</f>
        <v/>
      </c>
      <c r="AA153" t="str">
        <f>IF(K153="","",IF(K153&lt;Setup!$C$5-Setup!$C$6,"",IF(IF(ISNUMBER(Roster!$D153),Setup!$C$29&lt;=Roster!$D153,FALSE),"",IF(OR(IF(Setup!$C$15&lt;=Setup!$C$16,AND(MONTH(K153)&gt;=Setup!$C$15,MONTH(K153)&lt;=Setup!$C$16),OR(MONTH(K153)&gt;=Setup!$C$15,MONTH(K153)&lt;=Setup!$C$16)),IF(Setup!$C$15&lt;=Setup!$C$16,AND(MONTH(WORKDAY(K153,-(Setup!$C$13+Setup!$G$29),Setup!$C$39:$C$50))&gt;=Setup!$C$15,MONTH(WORKDAY(K153,-(Setup!$C$13+Setup!$G$29),Setup!$C$39:$C$50))&lt;=Setup!$C$16),OR(MONTH(WORKDAY(K153,-(Setup!$C$13+Setup!$G$29),Setup!$C$39:$C$50))&gt;=Setup!$C$15,MONTH(WORKDAY(K153,-(Setup!$C$13+Setup!$G$29),Setup!$C$39:$C$50))&lt;=Setup!$C$16))),WORKDAY(K153,-(Setup!$C$13+Setup!$G$29+Setup!$C$14),Setup!$C$39:$C$50),WORKDAY(K153,-(Setup!$C$13+Setup!$G$29),Setup!$C$39:$C$50))+(148*100+10)/10000000)))</f>
        <v/>
      </c>
      <c r="AB153" t="str">
        <f>IF(L153="","",IF(L153&lt;Setup!$C$5-Setup!$C$6,"",IF(IF(ISNUMBER(Roster!$D153),Setup!$C$30&lt;=Roster!$D153,FALSE),"",IF(OR(IF(Setup!$C$15&lt;=Setup!$C$16,AND(MONTH(L153)&gt;=Setup!$C$15,MONTH(L153)&lt;=Setup!$C$16),OR(MONTH(L153)&gt;=Setup!$C$15,MONTH(L153)&lt;=Setup!$C$16)),IF(Setup!$C$15&lt;=Setup!$C$16,AND(MONTH(WORKDAY(L153,-(Setup!$C$13+Setup!$G$30),Setup!$C$39:$C$50))&gt;=Setup!$C$15,MONTH(WORKDAY(L153,-(Setup!$C$13+Setup!$G$30),Setup!$C$39:$C$50))&lt;=Setup!$C$16),OR(MONTH(WORKDAY(L153,-(Setup!$C$13+Setup!$G$30),Setup!$C$39:$C$50))&gt;=Setup!$C$15,MONTH(WORKDAY(L153,-(Setup!$C$13+Setup!$G$30),Setup!$C$39:$C$50))&lt;=Setup!$C$16))),WORKDAY(L153,-(Setup!$C$13+Setup!$G$30+Setup!$C$14),Setup!$C$39:$C$50),WORKDAY(L153,-(Setup!$C$13+Setup!$G$30),Setup!$C$39:$C$50))+(148*100+11)/10000000)))</f>
        <v/>
      </c>
      <c r="AC153" t="str">
        <f>IF(M153="","",IF(M153&lt;Setup!$C$5-Setup!$C$6,"",IF(IF(ISNUMBER(Roster!$D153),Setup!$C$31&lt;=Roster!$D153,FALSE),"",IF(OR(IF(Setup!$C$15&lt;=Setup!$C$16,AND(MONTH(M153)&gt;=Setup!$C$15,MONTH(M153)&lt;=Setup!$C$16),OR(MONTH(M153)&gt;=Setup!$C$15,MONTH(M153)&lt;=Setup!$C$16)),IF(Setup!$C$15&lt;=Setup!$C$16,AND(MONTH(WORKDAY(M153,-(Setup!$C$13+Setup!$G$31),Setup!$C$39:$C$50))&gt;=Setup!$C$15,MONTH(WORKDAY(M153,-(Setup!$C$13+Setup!$G$31),Setup!$C$39:$C$50))&lt;=Setup!$C$16),OR(MONTH(WORKDAY(M153,-(Setup!$C$13+Setup!$G$31),Setup!$C$39:$C$50))&gt;=Setup!$C$15,MONTH(WORKDAY(M153,-(Setup!$C$13+Setup!$G$31),Setup!$C$39:$C$50))&lt;=Setup!$C$16))),WORKDAY(M153,-(Setup!$C$13+Setup!$G$31+Setup!$C$14),Setup!$C$39:$C$50),WORKDAY(M153,-(Setup!$C$13+Setup!$G$31),Setup!$C$39:$C$50))+(148*100+12)/10000000)))</f>
        <v/>
      </c>
      <c r="AD153" t="str">
        <f>IF(N153="","",IF(N153&lt;Setup!$C$5-Setup!$C$6,"",IF(IF(ISNUMBER(Roster!$D153),Setup!$C$32&lt;=Roster!$D153,FALSE),"",IF(OR(IF(Setup!$C$15&lt;=Setup!$C$16,AND(MONTH(N153)&gt;=Setup!$C$15,MONTH(N153)&lt;=Setup!$C$16),OR(MONTH(N153)&gt;=Setup!$C$15,MONTH(N153)&lt;=Setup!$C$16)),IF(Setup!$C$15&lt;=Setup!$C$16,AND(MONTH(WORKDAY(N153,-(Setup!$C$13+Setup!$G$32),Setup!$C$39:$C$50))&gt;=Setup!$C$15,MONTH(WORKDAY(N153,-(Setup!$C$13+Setup!$G$32),Setup!$C$39:$C$50))&lt;=Setup!$C$16),OR(MONTH(WORKDAY(N153,-(Setup!$C$13+Setup!$G$32),Setup!$C$39:$C$50))&gt;=Setup!$C$15,MONTH(WORKDAY(N153,-(Setup!$C$13+Setup!$G$32),Setup!$C$39:$C$50))&lt;=Setup!$C$16))),WORKDAY(N153,-(Setup!$C$13+Setup!$G$32+Setup!$C$14),Setup!$C$39:$C$50),WORKDAY(N153,-(Setup!$C$13+Setup!$G$32),Setup!$C$39:$C$50))+(148*100+13)/10000000)))</f>
        <v/>
      </c>
      <c r="AE153" t="str">
        <f>IF(O153="","",IF(O153&lt;Setup!$C$5-Setup!$C$6,"",IF(IF(ISNUMBER(Roster!$D153),Setup!$C$33&lt;=Roster!$D153,FALSE),"",IF(OR(IF(Setup!$C$15&lt;=Setup!$C$16,AND(MONTH(O153)&gt;=Setup!$C$15,MONTH(O153)&lt;=Setup!$C$16),OR(MONTH(O153)&gt;=Setup!$C$15,MONTH(O153)&lt;=Setup!$C$16)),IF(Setup!$C$15&lt;=Setup!$C$16,AND(MONTH(WORKDAY(O153,-(Setup!$C$13+Setup!$G$33),Setup!$C$39:$C$50))&gt;=Setup!$C$15,MONTH(WORKDAY(O153,-(Setup!$C$13+Setup!$G$33),Setup!$C$39:$C$50))&lt;=Setup!$C$16),OR(MONTH(WORKDAY(O153,-(Setup!$C$13+Setup!$G$33),Setup!$C$39:$C$50))&gt;=Setup!$C$15,MONTH(WORKDAY(O153,-(Setup!$C$13+Setup!$G$33),Setup!$C$39:$C$50))&lt;=Setup!$C$16))),WORKDAY(O153,-(Setup!$C$13+Setup!$G$33+Setup!$C$14),Setup!$C$39:$C$50),WORKDAY(O153,-(Setup!$C$13+Setup!$G$33),Setup!$C$39:$C$50))+(148*100+14)/10000000)))</f>
        <v/>
      </c>
      <c r="AF153" t="str">
        <f>IF(P153="","",IF(P153&lt;Setup!$C$5-Setup!$C$6,"",IF(IF(ISNUMBER(Roster!$D153),Setup!$C$34&lt;=Roster!$D153,FALSE),"",IF(OR(IF(Setup!$C$15&lt;=Setup!$C$16,AND(MONTH(P153)&gt;=Setup!$C$15,MONTH(P153)&lt;=Setup!$C$16),OR(MONTH(P153)&gt;=Setup!$C$15,MONTH(P153)&lt;=Setup!$C$16)),IF(Setup!$C$15&lt;=Setup!$C$16,AND(MONTH(WORKDAY(P153,-(Setup!$C$13+Setup!$G$34),Setup!$C$39:$C$50))&gt;=Setup!$C$15,MONTH(WORKDAY(P153,-(Setup!$C$13+Setup!$G$34),Setup!$C$39:$C$50))&lt;=Setup!$C$16),OR(MONTH(WORKDAY(P153,-(Setup!$C$13+Setup!$G$34),Setup!$C$39:$C$50))&gt;=Setup!$C$15,MONTH(WORKDAY(P153,-(Setup!$C$13+Setup!$G$34),Setup!$C$39:$C$50))&lt;=Setup!$C$16))),WORKDAY(P153,-(Setup!$C$13+Setup!$G$34+Setup!$C$14),Setup!$C$39:$C$50),WORKDAY(P153,-(Setup!$C$13+Setup!$G$34),Setup!$C$39:$C$50))+(148*100+15)/10000000)))</f>
        <v/>
      </c>
      <c r="AH153" t="str">
        <f t="shared" si="17"/>
        <v/>
      </c>
      <c r="AI153" t="str">
        <f t="shared" si="18"/>
        <v/>
      </c>
      <c r="AK153" t="str">
        <f ca="1">IF(148&gt;$AK$2,"",SMALL($R$6:$AF$505,148))</f>
        <v/>
      </c>
      <c r="AL153" t="str">
        <f t="shared" ca="1" si="19"/>
        <v/>
      </c>
      <c r="AM153" t="str">
        <f t="shared" ca="1" si="20"/>
        <v/>
      </c>
      <c r="AN153" t="str">
        <f t="shared" ca="1" si="21"/>
        <v/>
      </c>
      <c r="AP153" t="str">
        <f>IF(ISNUMBER(Roster!$B153),MAX(1,YEAR(Setup!$C$5)-YEAR(Roster!$B153)+IF(EDATE(Roster!$B153,12*(YEAR(Setup!$C$5)-YEAR(Roster!$B153)))&lt;Setup!$C$5,1,0)),"")</f>
        <v/>
      </c>
      <c r="AQ153" s="32" t="str">
        <f>IF(AP153="","",EDATE(Roster!$B153,12*AP153))</f>
        <v/>
      </c>
      <c r="AR153" t="str">
        <f>IF(AQ153="","",IF(AQ153&lt;DATE(YEAR(Setup!$C$5)+1,MONTH(Setup!$C$5),DAY(Setup!$C$5)),AQ153+148/1000,""))</f>
        <v/>
      </c>
      <c r="AS153" t="str">
        <f t="shared" si="22"/>
        <v/>
      </c>
      <c r="AT153" t="str">
        <f>IF(AS153="","",IF(ISNUMBER(Roster!$D153),Roster!$D153&gt;=AP153,FALSE))</f>
        <v/>
      </c>
      <c r="AU153" t="str">
        <f t="shared" si="23"/>
        <v/>
      </c>
      <c r="AV153" t="str">
        <f ca="1">IF(148&gt;$AV$2,"",SMALL($AR$6:$AR$505,148))</f>
        <v/>
      </c>
      <c r="AW153" t="str">
        <f t="shared" ca="1" si="24"/>
        <v/>
      </c>
    </row>
    <row r="154" spans="2:49" x14ac:dyDescent="0.2">
      <c r="B154" s="32" t="str">
        <f>IF(AND(ISNUMBER(Roster!$B154),Setup!$B$20="Yes",ISNUMBER(Setup!$C$20)),EDATE(Roster!$B154,12*Setup!$C$20),"")</f>
        <v/>
      </c>
      <c r="C154" s="32" t="str">
        <f>IF(AND(ISNUMBER(Roster!$B154),Setup!$B$21="Yes",ISNUMBER(Setup!$C$21)),EDATE(Roster!$B154,12*Setup!$C$21),"")</f>
        <v/>
      </c>
      <c r="D154" s="32" t="str">
        <f>IF(AND(ISNUMBER(Roster!$B154),Setup!$B$22="Yes",ISNUMBER(Setup!$C$22)),EDATE(Roster!$B154,12*Setup!$C$22),"")</f>
        <v/>
      </c>
      <c r="E154" s="32" t="str">
        <f>IF(AND(ISNUMBER(Roster!$B154),Setup!$B$23="Yes",ISNUMBER(Setup!$C$23)),EDATE(Roster!$B154,12*Setup!$C$23),"")</f>
        <v/>
      </c>
      <c r="F154" s="32" t="str">
        <f>IF(AND(ISNUMBER(Roster!$B154),Setup!$B$24="Yes",ISNUMBER(Setup!$C$24)),EDATE(Roster!$B154,12*Setup!$C$24),"")</f>
        <v/>
      </c>
      <c r="G154" s="32" t="str">
        <f>IF(AND(ISNUMBER(Roster!$B154),Setup!$B$25="Yes",ISNUMBER(Setup!$C$25)),EDATE(Roster!$B154,12*Setup!$C$25),"")</f>
        <v/>
      </c>
      <c r="H154" s="32" t="str">
        <f>IF(AND(ISNUMBER(Roster!$B154),Setup!$B$26="Yes",ISNUMBER(Setup!$C$26)),EDATE(Roster!$B154,12*Setup!$C$26),"")</f>
        <v/>
      </c>
      <c r="I154" s="32" t="str">
        <f>IF(AND(ISNUMBER(Roster!$B154),Setup!$B$27="Yes",ISNUMBER(Setup!$C$27)),EDATE(Roster!$B154,12*Setup!$C$27),"")</f>
        <v/>
      </c>
      <c r="J154" s="32" t="str">
        <f>IF(AND(ISNUMBER(Roster!$B154),Setup!$B$28="Yes",ISNUMBER(Setup!$C$28)),EDATE(Roster!$B154,12*Setup!$C$28),"")</f>
        <v/>
      </c>
      <c r="K154" s="32" t="str">
        <f>IF(AND(ISNUMBER(Roster!$B154),Setup!$B$29="Yes",ISNUMBER(Setup!$C$29)),EDATE(Roster!$B154,12*Setup!$C$29),"")</f>
        <v/>
      </c>
      <c r="L154" s="32" t="str">
        <f>IF(AND(ISNUMBER(Roster!$B154),Setup!$B$30="Yes",ISNUMBER(Setup!$C$30)),EDATE(Roster!$B154,12*Setup!$C$30),"")</f>
        <v/>
      </c>
      <c r="M154" s="32" t="str">
        <f>IF(AND(ISNUMBER(Roster!$B154),Setup!$B$31="Yes",ISNUMBER(Setup!$C$31)),EDATE(Roster!$B154,12*Setup!$C$31),"")</f>
        <v/>
      </c>
      <c r="N154" s="32" t="str">
        <f>IF(AND(ISNUMBER(Roster!$B154),Setup!$B$32="Yes",ISNUMBER(Setup!$C$32)),EDATE(Roster!$B154,12*Setup!$C$32),"")</f>
        <v/>
      </c>
      <c r="O154" s="32" t="str">
        <f>IF(AND(ISNUMBER(Roster!$B154),Setup!$B$33="Yes",ISNUMBER(Setup!$C$33)),EDATE(Roster!$B154,12*Setup!$C$33),"")</f>
        <v/>
      </c>
      <c r="P154" s="32" t="str">
        <f>IF(AND(ISNUMBER(Roster!$B154),Setup!$B$34="Yes",ISNUMBER(Setup!$C$34)),EDATE(Roster!$B154,12*Setup!$C$34),"")</f>
        <v/>
      </c>
      <c r="R154" t="str">
        <f>IF(B154="","",IF(B154&lt;Setup!$C$5-Setup!$C$6,"",IF(IF(ISNUMBER(Roster!$D154),Setup!$C$20&lt;=Roster!$D154,FALSE),"",IF(OR(IF(Setup!$C$15&lt;=Setup!$C$16,AND(MONTH(B154)&gt;=Setup!$C$15,MONTH(B154)&lt;=Setup!$C$16),OR(MONTH(B154)&gt;=Setup!$C$15,MONTH(B154)&lt;=Setup!$C$16)),IF(Setup!$C$15&lt;=Setup!$C$16,AND(MONTH(WORKDAY(B154,-(Setup!$C$13+Setup!$G$20),Setup!$C$39:$C$50))&gt;=Setup!$C$15,MONTH(WORKDAY(B154,-(Setup!$C$13+Setup!$G$20),Setup!$C$39:$C$50))&lt;=Setup!$C$16),OR(MONTH(WORKDAY(B154,-(Setup!$C$13+Setup!$G$20),Setup!$C$39:$C$50))&gt;=Setup!$C$15,MONTH(WORKDAY(B154,-(Setup!$C$13+Setup!$G$20),Setup!$C$39:$C$50))&lt;=Setup!$C$16))),WORKDAY(B154,-(Setup!$C$13+Setup!$G$20+Setup!$C$14),Setup!$C$39:$C$50),WORKDAY(B154,-(Setup!$C$13+Setup!$G$20),Setup!$C$39:$C$50))+(149*100+1)/10000000)))</f>
        <v/>
      </c>
      <c r="S154" t="str">
        <f>IF(C154="","",IF(C154&lt;Setup!$C$5-Setup!$C$6,"",IF(IF(ISNUMBER(Roster!$D154),Setup!$C$21&lt;=Roster!$D154,FALSE),"",IF(OR(IF(Setup!$C$15&lt;=Setup!$C$16,AND(MONTH(C154)&gt;=Setup!$C$15,MONTH(C154)&lt;=Setup!$C$16),OR(MONTH(C154)&gt;=Setup!$C$15,MONTH(C154)&lt;=Setup!$C$16)),IF(Setup!$C$15&lt;=Setup!$C$16,AND(MONTH(WORKDAY(C154,-(Setup!$C$13+Setup!$G$21),Setup!$C$39:$C$50))&gt;=Setup!$C$15,MONTH(WORKDAY(C154,-(Setup!$C$13+Setup!$G$21),Setup!$C$39:$C$50))&lt;=Setup!$C$16),OR(MONTH(WORKDAY(C154,-(Setup!$C$13+Setup!$G$21),Setup!$C$39:$C$50))&gt;=Setup!$C$15,MONTH(WORKDAY(C154,-(Setup!$C$13+Setup!$G$21),Setup!$C$39:$C$50))&lt;=Setup!$C$16))),WORKDAY(C154,-(Setup!$C$13+Setup!$G$21+Setup!$C$14),Setup!$C$39:$C$50),WORKDAY(C154,-(Setup!$C$13+Setup!$G$21),Setup!$C$39:$C$50))+(149*100+2)/10000000)))</f>
        <v/>
      </c>
      <c r="T154" t="str">
        <f>IF(D154="","",IF(D154&lt;Setup!$C$5-Setup!$C$6,"",IF(IF(ISNUMBER(Roster!$D154),Setup!$C$22&lt;=Roster!$D154,FALSE),"",IF(OR(IF(Setup!$C$15&lt;=Setup!$C$16,AND(MONTH(D154)&gt;=Setup!$C$15,MONTH(D154)&lt;=Setup!$C$16),OR(MONTH(D154)&gt;=Setup!$C$15,MONTH(D154)&lt;=Setup!$C$16)),IF(Setup!$C$15&lt;=Setup!$C$16,AND(MONTH(WORKDAY(D154,-(Setup!$C$13+Setup!$G$22),Setup!$C$39:$C$50))&gt;=Setup!$C$15,MONTH(WORKDAY(D154,-(Setup!$C$13+Setup!$G$22),Setup!$C$39:$C$50))&lt;=Setup!$C$16),OR(MONTH(WORKDAY(D154,-(Setup!$C$13+Setup!$G$22),Setup!$C$39:$C$50))&gt;=Setup!$C$15,MONTH(WORKDAY(D154,-(Setup!$C$13+Setup!$G$22),Setup!$C$39:$C$50))&lt;=Setup!$C$16))),WORKDAY(D154,-(Setup!$C$13+Setup!$G$22+Setup!$C$14),Setup!$C$39:$C$50),WORKDAY(D154,-(Setup!$C$13+Setup!$G$22),Setup!$C$39:$C$50))+(149*100+3)/10000000)))</f>
        <v/>
      </c>
      <c r="U154" t="str">
        <f>IF(E154="","",IF(E154&lt;Setup!$C$5-Setup!$C$6,"",IF(IF(ISNUMBER(Roster!$D154),Setup!$C$23&lt;=Roster!$D154,FALSE),"",IF(OR(IF(Setup!$C$15&lt;=Setup!$C$16,AND(MONTH(E154)&gt;=Setup!$C$15,MONTH(E154)&lt;=Setup!$C$16),OR(MONTH(E154)&gt;=Setup!$C$15,MONTH(E154)&lt;=Setup!$C$16)),IF(Setup!$C$15&lt;=Setup!$C$16,AND(MONTH(WORKDAY(E154,-(Setup!$C$13+Setup!$G$23),Setup!$C$39:$C$50))&gt;=Setup!$C$15,MONTH(WORKDAY(E154,-(Setup!$C$13+Setup!$G$23),Setup!$C$39:$C$50))&lt;=Setup!$C$16),OR(MONTH(WORKDAY(E154,-(Setup!$C$13+Setup!$G$23),Setup!$C$39:$C$50))&gt;=Setup!$C$15,MONTH(WORKDAY(E154,-(Setup!$C$13+Setup!$G$23),Setup!$C$39:$C$50))&lt;=Setup!$C$16))),WORKDAY(E154,-(Setup!$C$13+Setup!$G$23+Setup!$C$14),Setup!$C$39:$C$50),WORKDAY(E154,-(Setup!$C$13+Setup!$G$23),Setup!$C$39:$C$50))+(149*100+4)/10000000)))</f>
        <v/>
      </c>
      <c r="V154" t="str">
        <f>IF(F154="","",IF(F154&lt;Setup!$C$5-Setup!$C$6,"",IF(IF(ISNUMBER(Roster!$D154),Setup!$C$24&lt;=Roster!$D154,FALSE),"",IF(OR(IF(Setup!$C$15&lt;=Setup!$C$16,AND(MONTH(F154)&gt;=Setup!$C$15,MONTH(F154)&lt;=Setup!$C$16),OR(MONTH(F154)&gt;=Setup!$C$15,MONTH(F154)&lt;=Setup!$C$16)),IF(Setup!$C$15&lt;=Setup!$C$16,AND(MONTH(WORKDAY(F154,-(Setup!$C$13+Setup!$G$24),Setup!$C$39:$C$50))&gt;=Setup!$C$15,MONTH(WORKDAY(F154,-(Setup!$C$13+Setup!$G$24),Setup!$C$39:$C$50))&lt;=Setup!$C$16),OR(MONTH(WORKDAY(F154,-(Setup!$C$13+Setup!$G$24),Setup!$C$39:$C$50))&gt;=Setup!$C$15,MONTH(WORKDAY(F154,-(Setup!$C$13+Setup!$G$24),Setup!$C$39:$C$50))&lt;=Setup!$C$16))),WORKDAY(F154,-(Setup!$C$13+Setup!$G$24+Setup!$C$14),Setup!$C$39:$C$50),WORKDAY(F154,-(Setup!$C$13+Setup!$G$24),Setup!$C$39:$C$50))+(149*100+5)/10000000)))</f>
        <v/>
      </c>
      <c r="W154" t="str">
        <f>IF(G154="","",IF(G154&lt;Setup!$C$5-Setup!$C$6,"",IF(IF(ISNUMBER(Roster!$D154),Setup!$C$25&lt;=Roster!$D154,FALSE),"",IF(OR(IF(Setup!$C$15&lt;=Setup!$C$16,AND(MONTH(G154)&gt;=Setup!$C$15,MONTH(G154)&lt;=Setup!$C$16),OR(MONTH(G154)&gt;=Setup!$C$15,MONTH(G154)&lt;=Setup!$C$16)),IF(Setup!$C$15&lt;=Setup!$C$16,AND(MONTH(WORKDAY(G154,-(Setup!$C$13+Setup!$G$25),Setup!$C$39:$C$50))&gt;=Setup!$C$15,MONTH(WORKDAY(G154,-(Setup!$C$13+Setup!$G$25),Setup!$C$39:$C$50))&lt;=Setup!$C$16),OR(MONTH(WORKDAY(G154,-(Setup!$C$13+Setup!$G$25),Setup!$C$39:$C$50))&gt;=Setup!$C$15,MONTH(WORKDAY(G154,-(Setup!$C$13+Setup!$G$25),Setup!$C$39:$C$50))&lt;=Setup!$C$16))),WORKDAY(G154,-(Setup!$C$13+Setup!$G$25+Setup!$C$14),Setup!$C$39:$C$50),WORKDAY(G154,-(Setup!$C$13+Setup!$G$25),Setup!$C$39:$C$50))+(149*100+6)/10000000)))</f>
        <v/>
      </c>
      <c r="X154" t="str">
        <f>IF(H154="","",IF(H154&lt;Setup!$C$5-Setup!$C$6,"",IF(IF(ISNUMBER(Roster!$D154),Setup!$C$26&lt;=Roster!$D154,FALSE),"",IF(OR(IF(Setup!$C$15&lt;=Setup!$C$16,AND(MONTH(H154)&gt;=Setup!$C$15,MONTH(H154)&lt;=Setup!$C$16),OR(MONTH(H154)&gt;=Setup!$C$15,MONTH(H154)&lt;=Setup!$C$16)),IF(Setup!$C$15&lt;=Setup!$C$16,AND(MONTH(WORKDAY(H154,-(Setup!$C$13+Setup!$G$26),Setup!$C$39:$C$50))&gt;=Setup!$C$15,MONTH(WORKDAY(H154,-(Setup!$C$13+Setup!$G$26),Setup!$C$39:$C$50))&lt;=Setup!$C$16),OR(MONTH(WORKDAY(H154,-(Setup!$C$13+Setup!$G$26),Setup!$C$39:$C$50))&gt;=Setup!$C$15,MONTH(WORKDAY(H154,-(Setup!$C$13+Setup!$G$26),Setup!$C$39:$C$50))&lt;=Setup!$C$16))),WORKDAY(H154,-(Setup!$C$13+Setup!$G$26+Setup!$C$14),Setup!$C$39:$C$50),WORKDAY(H154,-(Setup!$C$13+Setup!$G$26),Setup!$C$39:$C$50))+(149*100+7)/10000000)))</f>
        <v/>
      </c>
      <c r="Y154" t="str">
        <f>IF(I154="","",IF(I154&lt;Setup!$C$5-Setup!$C$6,"",IF(IF(ISNUMBER(Roster!$D154),Setup!$C$27&lt;=Roster!$D154,FALSE),"",IF(OR(IF(Setup!$C$15&lt;=Setup!$C$16,AND(MONTH(I154)&gt;=Setup!$C$15,MONTH(I154)&lt;=Setup!$C$16),OR(MONTH(I154)&gt;=Setup!$C$15,MONTH(I154)&lt;=Setup!$C$16)),IF(Setup!$C$15&lt;=Setup!$C$16,AND(MONTH(WORKDAY(I154,-(Setup!$C$13+Setup!$G$27),Setup!$C$39:$C$50))&gt;=Setup!$C$15,MONTH(WORKDAY(I154,-(Setup!$C$13+Setup!$G$27),Setup!$C$39:$C$50))&lt;=Setup!$C$16),OR(MONTH(WORKDAY(I154,-(Setup!$C$13+Setup!$G$27),Setup!$C$39:$C$50))&gt;=Setup!$C$15,MONTH(WORKDAY(I154,-(Setup!$C$13+Setup!$G$27),Setup!$C$39:$C$50))&lt;=Setup!$C$16))),WORKDAY(I154,-(Setup!$C$13+Setup!$G$27+Setup!$C$14),Setup!$C$39:$C$50),WORKDAY(I154,-(Setup!$C$13+Setup!$G$27),Setup!$C$39:$C$50))+(149*100+8)/10000000)))</f>
        <v/>
      </c>
      <c r="Z154" t="str">
        <f>IF(J154="","",IF(J154&lt;Setup!$C$5-Setup!$C$6,"",IF(IF(ISNUMBER(Roster!$D154),Setup!$C$28&lt;=Roster!$D154,FALSE),"",IF(OR(IF(Setup!$C$15&lt;=Setup!$C$16,AND(MONTH(J154)&gt;=Setup!$C$15,MONTH(J154)&lt;=Setup!$C$16),OR(MONTH(J154)&gt;=Setup!$C$15,MONTH(J154)&lt;=Setup!$C$16)),IF(Setup!$C$15&lt;=Setup!$C$16,AND(MONTH(WORKDAY(J154,-(Setup!$C$13+Setup!$G$28),Setup!$C$39:$C$50))&gt;=Setup!$C$15,MONTH(WORKDAY(J154,-(Setup!$C$13+Setup!$G$28),Setup!$C$39:$C$50))&lt;=Setup!$C$16),OR(MONTH(WORKDAY(J154,-(Setup!$C$13+Setup!$G$28),Setup!$C$39:$C$50))&gt;=Setup!$C$15,MONTH(WORKDAY(J154,-(Setup!$C$13+Setup!$G$28),Setup!$C$39:$C$50))&lt;=Setup!$C$16))),WORKDAY(J154,-(Setup!$C$13+Setup!$G$28+Setup!$C$14),Setup!$C$39:$C$50),WORKDAY(J154,-(Setup!$C$13+Setup!$G$28),Setup!$C$39:$C$50))+(149*100+9)/10000000)))</f>
        <v/>
      </c>
      <c r="AA154" t="str">
        <f>IF(K154="","",IF(K154&lt;Setup!$C$5-Setup!$C$6,"",IF(IF(ISNUMBER(Roster!$D154),Setup!$C$29&lt;=Roster!$D154,FALSE),"",IF(OR(IF(Setup!$C$15&lt;=Setup!$C$16,AND(MONTH(K154)&gt;=Setup!$C$15,MONTH(K154)&lt;=Setup!$C$16),OR(MONTH(K154)&gt;=Setup!$C$15,MONTH(K154)&lt;=Setup!$C$16)),IF(Setup!$C$15&lt;=Setup!$C$16,AND(MONTH(WORKDAY(K154,-(Setup!$C$13+Setup!$G$29),Setup!$C$39:$C$50))&gt;=Setup!$C$15,MONTH(WORKDAY(K154,-(Setup!$C$13+Setup!$G$29),Setup!$C$39:$C$50))&lt;=Setup!$C$16),OR(MONTH(WORKDAY(K154,-(Setup!$C$13+Setup!$G$29),Setup!$C$39:$C$50))&gt;=Setup!$C$15,MONTH(WORKDAY(K154,-(Setup!$C$13+Setup!$G$29),Setup!$C$39:$C$50))&lt;=Setup!$C$16))),WORKDAY(K154,-(Setup!$C$13+Setup!$G$29+Setup!$C$14),Setup!$C$39:$C$50),WORKDAY(K154,-(Setup!$C$13+Setup!$G$29),Setup!$C$39:$C$50))+(149*100+10)/10000000)))</f>
        <v/>
      </c>
      <c r="AB154" t="str">
        <f>IF(L154="","",IF(L154&lt;Setup!$C$5-Setup!$C$6,"",IF(IF(ISNUMBER(Roster!$D154),Setup!$C$30&lt;=Roster!$D154,FALSE),"",IF(OR(IF(Setup!$C$15&lt;=Setup!$C$16,AND(MONTH(L154)&gt;=Setup!$C$15,MONTH(L154)&lt;=Setup!$C$16),OR(MONTH(L154)&gt;=Setup!$C$15,MONTH(L154)&lt;=Setup!$C$16)),IF(Setup!$C$15&lt;=Setup!$C$16,AND(MONTH(WORKDAY(L154,-(Setup!$C$13+Setup!$G$30),Setup!$C$39:$C$50))&gt;=Setup!$C$15,MONTH(WORKDAY(L154,-(Setup!$C$13+Setup!$G$30),Setup!$C$39:$C$50))&lt;=Setup!$C$16),OR(MONTH(WORKDAY(L154,-(Setup!$C$13+Setup!$G$30),Setup!$C$39:$C$50))&gt;=Setup!$C$15,MONTH(WORKDAY(L154,-(Setup!$C$13+Setup!$G$30),Setup!$C$39:$C$50))&lt;=Setup!$C$16))),WORKDAY(L154,-(Setup!$C$13+Setup!$G$30+Setup!$C$14),Setup!$C$39:$C$50),WORKDAY(L154,-(Setup!$C$13+Setup!$G$30),Setup!$C$39:$C$50))+(149*100+11)/10000000)))</f>
        <v/>
      </c>
      <c r="AC154" t="str">
        <f>IF(M154="","",IF(M154&lt;Setup!$C$5-Setup!$C$6,"",IF(IF(ISNUMBER(Roster!$D154),Setup!$C$31&lt;=Roster!$D154,FALSE),"",IF(OR(IF(Setup!$C$15&lt;=Setup!$C$16,AND(MONTH(M154)&gt;=Setup!$C$15,MONTH(M154)&lt;=Setup!$C$16),OR(MONTH(M154)&gt;=Setup!$C$15,MONTH(M154)&lt;=Setup!$C$16)),IF(Setup!$C$15&lt;=Setup!$C$16,AND(MONTH(WORKDAY(M154,-(Setup!$C$13+Setup!$G$31),Setup!$C$39:$C$50))&gt;=Setup!$C$15,MONTH(WORKDAY(M154,-(Setup!$C$13+Setup!$G$31),Setup!$C$39:$C$50))&lt;=Setup!$C$16),OR(MONTH(WORKDAY(M154,-(Setup!$C$13+Setup!$G$31),Setup!$C$39:$C$50))&gt;=Setup!$C$15,MONTH(WORKDAY(M154,-(Setup!$C$13+Setup!$G$31),Setup!$C$39:$C$50))&lt;=Setup!$C$16))),WORKDAY(M154,-(Setup!$C$13+Setup!$G$31+Setup!$C$14),Setup!$C$39:$C$50),WORKDAY(M154,-(Setup!$C$13+Setup!$G$31),Setup!$C$39:$C$50))+(149*100+12)/10000000)))</f>
        <v/>
      </c>
      <c r="AD154" t="str">
        <f>IF(N154="","",IF(N154&lt;Setup!$C$5-Setup!$C$6,"",IF(IF(ISNUMBER(Roster!$D154),Setup!$C$32&lt;=Roster!$D154,FALSE),"",IF(OR(IF(Setup!$C$15&lt;=Setup!$C$16,AND(MONTH(N154)&gt;=Setup!$C$15,MONTH(N154)&lt;=Setup!$C$16),OR(MONTH(N154)&gt;=Setup!$C$15,MONTH(N154)&lt;=Setup!$C$16)),IF(Setup!$C$15&lt;=Setup!$C$16,AND(MONTH(WORKDAY(N154,-(Setup!$C$13+Setup!$G$32),Setup!$C$39:$C$50))&gt;=Setup!$C$15,MONTH(WORKDAY(N154,-(Setup!$C$13+Setup!$G$32),Setup!$C$39:$C$50))&lt;=Setup!$C$16),OR(MONTH(WORKDAY(N154,-(Setup!$C$13+Setup!$G$32),Setup!$C$39:$C$50))&gt;=Setup!$C$15,MONTH(WORKDAY(N154,-(Setup!$C$13+Setup!$G$32),Setup!$C$39:$C$50))&lt;=Setup!$C$16))),WORKDAY(N154,-(Setup!$C$13+Setup!$G$32+Setup!$C$14),Setup!$C$39:$C$50),WORKDAY(N154,-(Setup!$C$13+Setup!$G$32),Setup!$C$39:$C$50))+(149*100+13)/10000000)))</f>
        <v/>
      </c>
      <c r="AE154" t="str">
        <f>IF(O154="","",IF(O154&lt;Setup!$C$5-Setup!$C$6,"",IF(IF(ISNUMBER(Roster!$D154),Setup!$C$33&lt;=Roster!$D154,FALSE),"",IF(OR(IF(Setup!$C$15&lt;=Setup!$C$16,AND(MONTH(O154)&gt;=Setup!$C$15,MONTH(O154)&lt;=Setup!$C$16),OR(MONTH(O154)&gt;=Setup!$C$15,MONTH(O154)&lt;=Setup!$C$16)),IF(Setup!$C$15&lt;=Setup!$C$16,AND(MONTH(WORKDAY(O154,-(Setup!$C$13+Setup!$G$33),Setup!$C$39:$C$50))&gt;=Setup!$C$15,MONTH(WORKDAY(O154,-(Setup!$C$13+Setup!$G$33),Setup!$C$39:$C$50))&lt;=Setup!$C$16),OR(MONTH(WORKDAY(O154,-(Setup!$C$13+Setup!$G$33),Setup!$C$39:$C$50))&gt;=Setup!$C$15,MONTH(WORKDAY(O154,-(Setup!$C$13+Setup!$G$33),Setup!$C$39:$C$50))&lt;=Setup!$C$16))),WORKDAY(O154,-(Setup!$C$13+Setup!$G$33+Setup!$C$14),Setup!$C$39:$C$50),WORKDAY(O154,-(Setup!$C$13+Setup!$G$33),Setup!$C$39:$C$50))+(149*100+14)/10000000)))</f>
        <v/>
      </c>
      <c r="AF154" t="str">
        <f>IF(P154="","",IF(P154&lt;Setup!$C$5-Setup!$C$6,"",IF(IF(ISNUMBER(Roster!$D154),Setup!$C$34&lt;=Roster!$D154,FALSE),"",IF(OR(IF(Setup!$C$15&lt;=Setup!$C$16,AND(MONTH(P154)&gt;=Setup!$C$15,MONTH(P154)&lt;=Setup!$C$16),OR(MONTH(P154)&gt;=Setup!$C$15,MONTH(P154)&lt;=Setup!$C$16)),IF(Setup!$C$15&lt;=Setup!$C$16,AND(MONTH(WORKDAY(P154,-(Setup!$C$13+Setup!$G$34),Setup!$C$39:$C$50))&gt;=Setup!$C$15,MONTH(WORKDAY(P154,-(Setup!$C$13+Setup!$G$34),Setup!$C$39:$C$50))&lt;=Setup!$C$16),OR(MONTH(WORKDAY(P154,-(Setup!$C$13+Setup!$G$34),Setup!$C$39:$C$50))&gt;=Setup!$C$15,MONTH(WORKDAY(P154,-(Setup!$C$13+Setup!$G$34),Setup!$C$39:$C$50))&lt;=Setup!$C$16))),WORKDAY(P154,-(Setup!$C$13+Setup!$G$34+Setup!$C$14),Setup!$C$39:$C$50),WORKDAY(P154,-(Setup!$C$13+Setup!$G$34),Setup!$C$39:$C$50))+(149*100+15)/10000000)))</f>
        <v/>
      </c>
      <c r="AH154" t="str">
        <f t="shared" si="17"/>
        <v/>
      </c>
      <c r="AI154" t="str">
        <f t="shared" si="18"/>
        <v/>
      </c>
      <c r="AK154" t="str">
        <f ca="1">IF(149&gt;$AK$2,"",SMALL($R$6:$AF$505,149))</f>
        <v/>
      </c>
      <c r="AL154" t="str">
        <f t="shared" ca="1" si="19"/>
        <v/>
      </c>
      <c r="AM154" t="str">
        <f t="shared" ca="1" si="20"/>
        <v/>
      </c>
      <c r="AN154" t="str">
        <f t="shared" ca="1" si="21"/>
        <v/>
      </c>
      <c r="AP154" t="str">
        <f>IF(ISNUMBER(Roster!$B154),MAX(1,YEAR(Setup!$C$5)-YEAR(Roster!$B154)+IF(EDATE(Roster!$B154,12*(YEAR(Setup!$C$5)-YEAR(Roster!$B154)))&lt;Setup!$C$5,1,0)),"")</f>
        <v/>
      </c>
      <c r="AQ154" s="32" t="str">
        <f>IF(AP154="","",EDATE(Roster!$B154,12*AP154))</f>
        <v/>
      </c>
      <c r="AR154" t="str">
        <f>IF(AQ154="","",IF(AQ154&lt;DATE(YEAR(Setup!$C$5)+1,MONTH(Setup!$C$5),DAY(Setup!$C$5)),AQ154+149/1000,""))</f>
        <v/>
      </c>
      <c r="AS154" t="str">
        <f t="shared" si="22"/>
        <v/>
      </c>
      <c r="AT154" t="str">
        <f>IF(AS154="","",IF(ISNUMBER(Roster!$D154),Roster!$D154&gt;=AP154,FALSE))</f>
        <v/>
      </c>
      <c r="AU154" t="str">
        <f t="shared" si="23"/>
        <v/>
      </c>
      <c r="AV154" t="str">
        <f ca="1">IF(149&gt;$AV$2,"",SMALL($AR$6:$AR$505,149))</f>
        <v/>
      </c>
      <c r="AW154" t="str">
        <f t="shared" ca="1" si="24"/>
        <v/>
      </c>
    </row>
    <row r="155" spans="2:49" x14ac:dyDescent="0.2">
      <c r="B155" s="32" t="str">
        <f>IF(AND(ISNUMBER(Roster!$B155),Setup!$B$20="Yes",ISNUMBER(Setup!$C$20)),EDATE(Roster!$B155,12*Setup!$C$20),"")</f>
        <v/>
      </c>
      <c r="C155" s="32" t="str">
        <f>IF(AND(ISNUMBER(Roster!$B155),Setup!$B$21="Yes",ISNUMBER(Setup!$C$21)),EDATE(Roster!$B155,12*Setup!$C$21),"")</f>
        <v/>
      </c>
      <c r="D155" s="32" t="str">
        <f>IF(AND(ISNUMBER(Roster!$B155),Setup!$B$22="Yes",ISNUMBER(Setup!$C$22)),EDATE(Roster!$B155,12*Setup!$C$22),"")</f>
        <v/>
      </c>
      <c r="E155" s="32" t="str">
        <f>IF(AND(ISNUMBER(Roster!$B155),Setup!$B$23="Yes",ISNUMBER(Setup!$C$23)),EDATE(Roster!$B155,12*Setup!$C$23),"")</f>
        <v/>
      </c>
      <c r="F155" s="32" t="str">
        <f>IF(AND(ISNUMBER(Roster!$B155),Setup!$B$24="Yes",ISNUMBER(Setup!$C$24)),EDATE(Roster!$B155,12*Setup!$C$24),"")</f>
        <v/>
      </c>
      <c r="G155" s="32" t="str">
        <f>IF(AND(ISNUMBER(Roster!$B155),Setup!$B$25="Yes",ISNUMBER(Setup!$C$25)),EDATE(Roster!$B155,12*Setup!$C$25),"")</f>
        <v/>
      </c>
      <c r="H155" s="32" t="str">
        <f>IF(AND(ISNUMBER(Roster!$B155),Setup!$B$26="Yes",ISNUMBER(Setup!$C$26)),EDATE(Roster!$B155,12*Setup!$C$26),"")</f>
        <v/>
      </c>
      <c r="I155" s="32" t="str">
        <f>IF(AND(ISNUMBER(Roster!$B155),Setup!$B$27="Yes",ISNUMBER(Setup!$C$27)),EDATE(Roster!$B155,12*Setup!$C$27),"")</f>
        <v/>
      </c>
      <c r="J155" s="32" t="str">
        <f>IF(AND(ISNUMBER(Roster!$B155),Setup!$B$28="Yes",ISNUMBER(Setup!$C$28)),EDATE(Roster!$B155,12*Setup!$C$28),"")</f>
        <v/>
      </c>
      <c r="K155" s="32" t="str">
        <f>IF(AND(ISNUMBER(Roster!$B155),Setup!$B$29="Yes",ISNUMBER(Setup!$C$29)),EDATE(Roster!$B155,12*Setup!$C$29),"")</f>
        <v/>
      </c>
      <c r="L155" s="32" t="str">
        <f>IF(AND(ISNUMBER(Roster!$B155),Setup!$B$30="Yes",ISNUMBER(Setup!$C$30)),EDATE(Roster!$B155,12*Setup!$C$30),"")</f>
        <v/>
      </c>
      <c r="M155" s="32" t="str">
        <f>IF(AND(ISNUMBER(Roster!$B155),Setup!$B$31="Yes",ISNUMBER(Setup!$C$31)),EDATE(Roster!$B155,12*Setup!$C$31),"")</f>
        <v/>
      </c>
      <c r="N155" s="32" t="str">
        <f>IF(AND(ISNUMBER(Roster!$B155),Setup!$B$32="Yes",ISNUMBER(Setup!$C$32)),EDATE(Roster!$B155,12*Setup!$C$32),"")</f>
        <v/>
      </c>
      <c r="O155" s="32" t="str">
        <f>IF(AND(ISNUMBER(Roster!$B155),Setup!$B$33="Yes",ISNUMBER(Setup!$C$33)),EDATE(Roster!$B155,12*Setup!$C$33),"")</f>
        <v/>
      </c>
      <c r="P155" s="32" t="str">
        <f>IF(AND(ISNUMBER(Roster!$B155),Setup!$B$34="Yes",ISNUMBER(Setup!$C$34)),EDATE(Roster!$B155,12*Setup!$C$34),"")</f>
        <v/>
      </c>
      <c r="R155" t="str">
        <f>IF(B155="","",IF(B155&lt;Setup!$C$5-Setup!$C$6,"",IF(IF(ISNUMBER(Roster!$D155),Setup!$C$20&lt;=Roster!$D155,FALSE),"",IF(OR(IF(Setup!$C$15&lt;=Setup!$C$16,AND(MONTH(B155)&gt;=Setup!$C$15,MONTH(B155)&lt;=Setup!$C$16),OR(MONTH(B155)&gt;=Setup!$C$15,MONTH(B155)&lt;=Setup!$C$16)),IF(Setup!$C$15&lt;=Setup!$C$16,AND(MONTH(WORKDAY(B155,-(Setup!$C$13+Setup!$G$20),Setup!$C$39:$C$50))&gt;=Setup!$C$15,MONTH(WORKDAY(B155,-(Setup!$C$13+Setup!$G$20),Setup!$C$39:$C$50))&lt;=Setup!$C$16),OR(MONTH(WORKDAY(B155,-(Setup!$C$13+Setup!$G$20),Setup!$C$39:$C$50))&gt;=Setup!$C$15,MONTH(WORKDAY(B155,-(Setup!$C$13+Setup!$G$20),Setup!$C$39:$C$50))&lt;=Setup!$C$16))),WORKDAY(B155,-(Setup!$C$13+Setup!$G$20+Setup!$C$14),Setup!$C$39:$C$50),WORKDAY(B155,-(Setup!$C$13+Setup!$G$20),Setup!$C$39:$C$50))+(150*100+1)/10000000)))</f>
        <v/>
      </c>
      <c r="S155" t="str">
        <f>IF(C155="","",IF(C155&lt;Setup!$C$5-Setup!$C$6,"",IF(IF(ISNUMBER(Roster!$D155),Setup!$C$21&lt;=Roster!$D155,FALSE),"",IF(OR(IF(Setup!$C$15&lt;=Setup!$C$16,AND(MONTH(C155)&gt;=Setup!$C$15,MONTH(C155)&lt;=Setup!$C$16),OR(MONTH(C155)&gt;=Setup!$C$15,MONTH(C155)&lt;=Setup!$C$16)),IF(Setup!$C$15&lt;=Setup!$C$16,AND(MONTH(WORKDAY(C155,-(Setup!$C$13+Setup!$G$21),Setup!$C$39:$C$50))&gt;=Setup!$C$15,MONTH(WORKDAY(C155,-(Setup!$C$13+Setup!$G$21),Setup!$C$39:$C$50))&lt;=Setup!$C$16),OR(MONTH(WORKDAY(C155,-(Setup!$C$13+Setup!$G$21),Setup!$C$39:$C$50))&gt;=Setup!$C$15,MONTH(WORKDAY(C155,-(Setup!$C$13+Setup!$G$21),Setup!$C$39:$C$50))&lt;=Setup!$C$16))),WORKDAY(C155,-(Setup!$C$13+Setup!$G$21+Setup!$C$14),Setup!$C$39:$C$50),WORKDAY(C155,-(Setup!$C$13+Setup!$G$21),Setup!$C$39:$C$50))+(150*100+2)/10000000)))</f>
        <v/>
      </c>
      <c r="T155" t="str">
        <f>IF(D155="","",IF(D155&lt;Setup!$C$5-Setup!$C$6,"",IF(IF(ISNUMBER(Roster!$D155),Setup!$C$22&lt;=Roster!$D155,FALSE),"",IF(OR(IF(Setup!$C$15&lt;=Setup!$C$16,AND(MONTH(D155)&gt;=Setup!$C$15,MONTH(D155)&lt;=Setup!$C$16),OR(MONTH(D155)&gt;=Setup!$C$15,MONTH(D155)&lt;=Setup!$C$16)),IF(Setup!$C$15&lt;=Setup!$C$16,AND(MONTH(WORKDAY(D155,-(Setup!$C$13+Setup!$G$22),Setup!$C$39:$C$50))&gt;=Setup!$C$15,MONTH(WORKDAY(D155,-(Setup!$C$13+Setup!$G$22),Setup!$C$39:$C$50))&lt;=Setup!$C$16),OR(MONTH(WORKDAY(D155,-(Setup!$C$13+Setup!$G$22),Setup!$C$39:$C$50))&gt;=Setup!$C$15,MONTH(WORKDAY(D155,-(Setup!$C$13+Setup!$G$22),Setup!$C$39:$C$50))&lt;=Setup!$C$16))),WORKDAY(D155,-(Setup!$C$13+Setup!$G$22+Setup!$C$14),Setup!$C$39:$C$50),WORKDAY(D155,-(Setup!$C$13+Setup!$G$22),Setup!$C$39:$C$50))+(150*100+3)/10000000)))</f>
        <v/>
      </c>
      <c r="U155" t="str">
        <f>IF(E155="","",IF(E155&lt;Setup!$C$5-Setup!$C$6,"",IF(IF(ISNUMBER(Roster!$D155),Setup!$C$23&lt;=Roster!$D155,FALSE),"",IF(OR(IF(Setup!$C$15&lt;=Setup!$C$16,AND(MONTH(E155)&gt;=Setup!$C$15,MONTH(E155)&lt;=Setup!$C$16),OR(MONTH(E155)&gt;=Setup!$C$15,MONTH(E155)&lt;=Setup!$C$16)),IF(Setup!$C$15&lt;=Setup!$C$16,AND(MONTH(WORKDAY(E155,-(Setup!$C$13+Setup!$G$23),Setup!$C$39:$C$50))&gt;=Setup!$C$15,MONTH(WORKDAY(E155,-(Setup!$C$13+Setup!$G$23),Setup!$C$39:$C$50))&lt;=Setup!$C$16),OR(MONTH(WORKDAY(E155,-(Setup!$C$13+Setup!$G$23),Setup!$C$39:$C$50))&gt;=Setup!$C$15,MONTH(WORKDAY(E155,-(Setup!$C$13+Setup!$G$23),Setup!$C$39:$C$50))&lt;=Setup!$C$16))),WORKDAY(E155,-(Setup!$C$13+Setup!$G$23+Setup!$C$14),Setup!$C$39:$C$50),WORKDAY(E155,-(Setup!$C$13+Setup!$G$23),Setup!$C$39:$C$50))+(150*100+4)/10000000)))</f>
        <v/>
      </c>
      <c r="V155" t="str">
        <f>IF(F155="","",IF(F155&lt;Setup!$C$5-Setup!$C$6,"",IF(IF(ISNUMBER(Roster!$D155),Setup!$C$24&lt;=Roster!$D155,FALSE),"",IF(OR(IF(Setup!$C$15&lt;=Setup!$C$16,AND(MONTH(F155)&gt;=Setup!$C$15,MONTH(F155)&lt;=Setup!$C$16),OR(MONTH(F155)&gt;=Setup!$C$15,MONTH(F155)&lt;=Setup!$C$16)),IF(Setup!$C$15&lt;=Setup!$C$16,AND(MONTH(WORKDAY(F155,-(Setup!$C$13+Setup!$G$24),Setup!$C$39:$C$50))&gt;=Setup!$C$15,MONTH(WORKDAY(F155,-(Setup!$C$13+Setup!$G$24),Setup!$C$39:$C$50))&lt;=Setup!$C$16),OR(MONTH(WORKDAY(F155,-(Setup!$C$13+Setup!$G$24),Setup!$C$39:$C$50))&gt;=Setup!$C$15,MONTH(WORKDAY(F155,-(Setup!$C$13+Setup!$G$24),Setup!$C$39:$C$50))&lt;=Setup!$C$16))),WORKDAY(F155,-(Setup!$C$13+Setup!$G$24+Setup!$C$14),Setup!$C$39:$C$50),WORKDAY(F155,-(Setup!$C$13+Setup!$G$24),Setup!$C$39:$C$50))+(150*100+5)/10000000)))</f>
        <v/>
      </c>
      <c r="W155" t="str">
        <f>IF(G155="","",IF(G155&lt;Setup!$C$5-Setup!$C$6,"",IF(IF(ISNUMBER(Roster!$D155),Setup!$C$25&lt;=Roster!$D155,FALSE),"",IF(OR(IF(Setup!$C$15&lt;=Setup!$C$16,AND(MONTH(G155)&gt;=Setup!$C$15,MONTH(G155)&lt;=Setup!$C$16),OR(MONTH(G155)&gt;=Setup!$C$15,MONTH(G155)&lt;=Setup!$C$16)),IF(Setup!$C$15&lt;=Setup!$C$16,AND(MONTH(WORKDAY(G155,-(Setup!$C$13+Setup!$G$25),Setup!$C$39:$C$50))&gt;=Setup!$C$15,MONTH(WORKDAY(G155,-(Setup!$C$13+Setup!$G$25),Setup!$C$39:$C$50))&lt;=Setup!$C$16),OR(MONTH(WORKDAY(G155,-(Setup!$C$13+Setup!$G$25),Setup!$C$39:$C$50))&gt;=Setup!$C$15,MONTH(WORKDAY(G155,-(Setup!$C$13+Setup!$G$25),Setup!$C$39:$C$50))&lt;=Setup!$C$16))),WORKDAY(G155,-(Setup!$C$13+Setup!$G$25+Setup!$C$14),Setup!$C$39:$C$50),WORKDAY(G155,-(Setup!$C$13+Setup!$G$25),Setup!$C$39:$C$50))+(150*100+6)/10000000)))</f>
        <v/>
      </c>
      <c r="X155" t="str">
        <f>IF(H155="","",IF(H155&lt;Setup!$C$5-Setup!$C$6,"",IF(IF(ISNUMBER(Roster!$D155),Setup!$C$26&lt;=Roster!$D155,FALSE),"",IF(OR(IF(Setup!$C$15&lt;=Setup!$C$16,AND(MONTH(H155)&gt;=Setup!$C$15,MONTH(H155)&lt;=Setup!$C$16),OR(MONTH(H155)&gt;=Setup!$C$15,MONTH(H155)&lt;=Setup!$C$16)),IF(Setup!$C$15&lt;=Setup!$C$16,AND(MONTH(WORKDAY(H155,-(Setup!$C$13+Setup!$G$26),Setup!$C$39:$C$50))&gt;=Setup!$C$15,MONTH(WORKDAY(H155,-(Setup!$C$13+Setup!$G$26),Setup!$C$39:$C$50))&lt;=Setup!$C$16),OR(MONTH(WORKDAY(H155,-(Setup!$C$13+Setup!$G$26),Setup!$C$39:$C$50))&gt;=Setup!$C$15,MONTH(WORKDAY(H155,-(Setup!$C$13+Setup!$G$26),Setup!$C$39:$C$50))&lt;=Setup!$C$16))),WORKDAY(H155,-(Setup!$C$13+Setup!$G$26+Setup!$C$14),Setup!$C$39:$C$50),WORKDAY(H155,-(Setup!$C$13+Setup!$G$26),Setup!$C$39:$C$50))+(150*100+7)/10000000)))</f>
        <v/>
      </c>
      <c r="Y155" t="str">
        <f>IF(I155="","",IF(I155&lt;Setup!$C$5-Setup!$C$6,"",IF(IF(ISNUMBER(Roster!$D155),Setup!$C$27&lt;=Roster!$D155,FALSE),"",IF(OR(IF(Setup!$C$15&lt;=Setup!$C$16,AND(MONTH(I155)&gt;=Setup!$C$15,MONTH(I155)&lt;=Setup!$C$16),OR(MONTH(I155)&gt;=Setup!$C$15,MONTH(I155)&lt;=Setup!$C$16)),IF(Setup!$C$15&lt;=Setup!$C$16,AND(MONTH(WORKDAY(I155,-(Setup!$C$13+Setup!$G$27),Setup!$C$39:$C$50))&gt;=Setup!$C$15,MONTH(WORKDAY(I155,-(Setup!$C$13+Setup!$G$27),Setup!$C$39:$C$50))&lt;=Setup!$C$16),OR(MONTH(WORKDAY(I155,-(Setup!$C$13+Setup!$G$27),Setup!$C$39:$C$50))&gt;=Setup!$C$15,MONTH(WORKDAY(I155,-(Setup!$C$13+Setup!$G$27),Setup!$C$39:$C$50))&lt;=Setup!$C$16))),WORKDAY(I155,-(Setup!$C$13+Setup!$G$27+Setup!$C$14),Setup!$C$39:$C$50),WORKDAY(I155,-(Setup!$C$13+Setup!$G$27),Setup!$C$39:$C$50))+(150*100+8)/10000000)))</f>
        <v/>
      </c>
      <c r="Z155" t="str">
        <f>IF(J155="","",IF(J155&lt;Setup!$C$5-Setup!$C$6,"",IF(IF(ISNUMBER(Roster!$D155),Setup!$C$28&lt;=Roster!$D155,FALSE),"",IF(OR(IF(Setup!$C$15&lt;=Setup!$C$16,AND(MONTH(J155)&gt;=Setup!$C$15,MONTH(J155)&lt;=Setup!$C$16),OR(MONTH(J155)&gt;=Setup!$C$15,MONTH(J155)&lt;=Setup!$C$16)),IF(Setup!$C$15&lt;=Setup!$C$16,AND(MONTH(WORKDAY(J155,-(Setup!$C$13+Setup!$G$28),Setup!$C$39:$C$50))&gt;=Setup!$C$15,MONTH(WORKDAY(J155,-(Setup!$C$13+Setup!$G$28),Setup!$C$39:$C$50))&lt;=Setup!$C$16),OR(MONTH(WORKDAY(J155,-(Setup!$C$13+Setup!$G$28),Setup!$C$39:$C$50))&gt;=Setup!$C$15,MONTH(WORKDAY(J155,-(Setup!$C$13+Setup!$G$28),Setup!$C$39:$C$50))&lt;=Setup!$C$16))),WORKDAY(J155,-(Setup!$C$13+Setup!$G$28+Setup!$C$14),Setup!$C$39:$C$50),WORKDAY(J155,-(Setup!$C$13+Setup!$G$28),Setup!$C$39:$C$50))+(150*100+9)/10000000)))</f>
        <v/>
      </c>
      <c r="AA155" t="str">
        <f>IF(K155="","",IF(K155&lt;Setup!$C$5-Setup!$C$6,"",IF(IF(ISNUMBER(Roster!$D155),Setup!$C$29&lt;=Roster!$D155,FALSE),"",IF(OR(IF(Setup!$C$15&lt;=Setup!$C$16,AND(MONTH(K155)&gt;=Setup!$C$15,MONTH(K155)&lt;=Setup!$C$16),OR(MONTH(K155)&gt;=Setup!$C$15,MONTH(K155)&lt;=Setup!$C$16)),IF(Setup!$C$15&lt;=Setup!$C$16,AND(MONTH(WORKDAY(K155,-(Setup!$C$13+Setup!$G$29),Setup!$C$39:$C$50))&gt;=Setup!$C$15,MONTH(WORKDAY(K155,-(Setup!$C$13+Setup!$G$29),Setup!$C$39:$C$50))&lt;=Setup!$C$16),OR(MONTH(WORKDAY(K155,-(Setup!$C$13+Setup!$G$29),Setup!$C$39:$C$50))&gt;=Setup!$C$15,MONTH(WORKDAY(K155,-(Setup!$C$13+Setup!$G$29),Setup!$C$39:$C$50))&lt;=Setup!$C$16))),WORKDAY(K155,-(Setup!$C$13+Setup!$G$29+Setup!$C$14),Setup!$C$39:$C$50),WORKDAY(K155,-(Setup!$C$13+Setup!$G$29),Setup!$C$39:$C$50))+(150*100+10)/10000000)))</f>
        <v/>
      </c>
      <c r="AB155" t="str">
        <f>IF(L155="","",IF(L155&lt;Setup!$C$5-Setup!$C$6,"",IF(IF(ISNUMBER(Roster!$D155),Setup!$C$30&lt;=Roster!$D155,FALSE),"",IF(OR(IF(Setup!$C$15&lt;=Setup!$C$16,AND(MONTH(L155)&gt;=Setup!$C$15,MONTH(L155)&lt;=Setup!$C$16),OR(MONTH(L155)&gt;=Setup!$C$15,MONTH(L155)&lt;=Setup!$C$16)),IF(Setup!$C$15&lt;=Setup!$C$16,AND(MONTH(WORKDAY(L155,-(Setup!$C$13+Setup!$G$30),Setup!$C$39:$C$50))&gt;=Setup!$C$15,MONTH(WORKDAY(L155,-(Setup!$C$13+Setup!$G$30),Setup!$C$39:$C$50))&lt;=Setup!$C$16),OR(MONTH(WORKDAY(L155,-(Setup!$C$13+Setup!$G$30),Setup!$C$39:$C$50))&gt;=Setup!$C$15,MONTH(WORKDAY(L155,-(Setup!$C$13+Setup!$G$30),Setup!$C$39:$C$50))&lt;=Setup!$C$16))),WORKDAY(L155,-(Setup!$C$13+Setup!$G$30+Setup!$C$14),Setup!$C$39:$C$50),WORKDAY(L155,-(Setup!$C$13+Setup!$G$30),Setup!$C$39:$C$50))+(150*100+11)/10000000)))</f>
        <v/>
      </c>
      <c r="AC155" t="str">
        <f>IF(M155="","",IF(M155&lt;Setup!$C$5-Setup!$C$6,"",IF(IF(ISNUMBER(Roster!$D155),Setup!$C$31&lt;=Roster!$D155,FALSE),"",IF(OR(IF(Setup!$C$15&lt;=Setup!$C$16,AND(MONTH(M155)&gt;=Setup!$C$15,MONTH(M155)&lt;=Setup!$C$16),OR(MONTH(M155)&gt;=Setup!$C$15,MONTH(M155)&lt;=Setup!$C$16)),IF(Setup!$C$15&lt;=Setup!$C$16,AND(MONTH(WORKDAY(M155,-(Setup!$C$13+Setup!$G$31),Setup!$C$39:$C$50))&gt;=Setup!$C$15,MONTH(WORKDAY(M155,-(Setup!$C$13+Setup!$G$31),Setup!$C$39:$C$50))&lt;=Setup!$C$16),OR(MONTH(WORKDAY(M155,-(Setup!$C$13+Setup!$G$31),Setup!$C$39:$C$50))&gt;=Setup!$C$15,MONTH(WORKDAY(M155,-(Setup!$C$13+Setup!$G$31),Setup!$C$39:$C$50))&lt;=Setup!$C$16))),WORKDAY(M155,-(Setup!$C$13+Setup!$G$31+Setup!$C$14),Setup!$C$39:$C$50),WORKDAY(M155,-(Setup!$C$13+Setup!$G$31),Setup!$C$39:$C$50))+(150*100+12)/10000000)))</f>
        <v/>
      </c>
      <c r="AD155" t="str">
        <f>IF(N155="","",IF(N155&lt;Setup!$C$5-Setup!$C$6,"",IF(IF(ISNUMBER(Roster!$D155),Setup!$C$32&lt;=Roster!$D155,FALSE),"",IF(OR(IF(Setup!$C$15&lt;=Setup!$C$16,AND(MONTH(N155)&gt;=Setup!$C$15,MONTH(N155)&lt;=Setup!$C$16),OR(MONTH(N155)&gt;=Setup!$C$15,MONTH(N155)&lt;=Setup!$C$16)),IF(Setup!$C$15&lt;=Setup!$C$16,AND(MONTH(WORKDAY(N155,-(Setup!$C$13+Setup!$G$32),Setup!$C$39:$C$50))&gt;=Setup!$C$15,MONTH(WORKDAY(N155,-(Setup!$C$13+Setup!$G$32),Setup!$C$39:$C$50))&lt;=Setup!$C$16),OR(MONTH(WORKDAY(N155,-(Setup!$C$13+Setup!$G$32),Setup!$C$39:$C$50))&gt;=Setup!$C$15,MONTH(WORKDAY(N155,-(Setup!$C$13+Setup!$G$32),Setup!$C$39:$C$50))&lt;=Setup!$C$16))),WORKDAY(N155,-(Setup!$C$13+Setup!$G$32+Setup!$C$14),Setup!$C$39:$C$50),WORKDAY(N155,-(Setup!$C$13+Setup!$G$32),Setup!$C$39:$C$50))+(150*100+13)/10000000)))</f>
        <v/>
      </c>
      <c r="AE155" t="str">
        <f>IF(O155="","",IF(O155&lt;Setup!$C$5-Setup!$C$6,"",IF(IF(ISNUMBER(Roster!$D155),Setup!$C$33&lt;=Roster!$D155,FALSE),"",IF(OR(IF(Setup!$C$15&lt;=Setup!$C$16,AND(MONTH(O155)&gt;=Setup!$C$15,MONTH(O155)&lt;=Setup!$C$16),OR(MONTH(O155)&gt;=Setup!$C$15,MONTH(O155)&lt;=Setup!$C$16)),IF(Setup!$C$15&lt;=Setup!$C$16,AND(MONTH(WORKDAY(O155,-(Setup!$C$13+Setup!$G$33),Setup!$C$39:$C$50))&gt;=Setup!$C$15,MONTH(WORKDAY(O155,-(Setup!$C$13+Setup!$G$33),Setup!$C$39:$C$50))&lt;=Setup!$C$16),OR(MONTH(WORKDAY(O155,-(Setup!$C$13+Setup!$G$33),Setup!$C$39:$C$50))&gt;=Setup!$C$15,MONTH(WORKDAY(O155,-(Setup!$C$13+Setup!$G$33),Setup!$C$39:$C$50))&lt;=Setup!$C$16))),WORKDAY(O155,-(Setup!$C$13+Setup!$G$33+Setup!$C$14),Setup!$C$39:$C$50),WORKDAY(O155,-(Setup!$C$13+Setup!$G$33),Setup!$C$39:$C$50))+(150*100+14)/10000000)))</f>
        <v/>
      </c>
      <c r="AF155" t="str">
        <f>IF(P155="","",IF(P155&lt;Setup!$C$5-Setup!$C$6,"",IF(IF(ISNUMBER(Roster!$D155),Setup!$C$34&lt;=Roster!$D155,FALSE),"",IF(OR(IF(Setup!$C$15&lt;=Setup!$C$16,AND(MONTH(P155)&gt;=Setup!$C$15,MONTH(P155)&lt;=Setup!$C$16),OR(MONTH(P155)&gt;=Setup!$C$15,MONTH(P155)&lt;=Setup!$C$16)),IF(Setup!$C$15&lt;=Setup!$C$16,AND(MONTH(WORKDAY(P155,-(Setup!$C$13+Setup!$G$34),Setup!$C$39:$C$50))&gt;=Setup!$C$15,MONTH(WORKDAY(P155,-(Setup!$C$13+Setup!$G$34),Setup!$C$39:$C$50))&lt;=Setup!$C$16),OR(MONTH(WORKDAY(P155,-(Setup!$C$13+Setup!$G$34),Setup!$C$39:$C$50))&gt;=Setup!$C$15,MONTH(WORKDAY(P155,-(Setup!$C$13+Setup!$G$34),Setup!$C$39:$C$50))&lt;=Setup!$C$16))),WORKDAY(P155,-(Setup!$C$13+Setup!$G$34+Setup!$C$14),Setup!$C$39:$C$50),WORKDAY(P155,-(Setup!$C$13+Setup!$G$34),Setup!$C$39:$C$50))+(150*100+15)/10000000)))</f>
        <v/>
      </c>
      <c r="AH155" t="str">
        <f t="shared" si="17"/>
        <v/>
      </c>
      <c r="AI155" t="str">
        <f t="shared" si="18"/>
        <v/>
      </c>
      <c r="AK155" t="str">
        <f ca="1">IF(150&gt;$AK$2,"",SMALL($R$6:$AF$505,150))</f>
        <v/>
      </c>
      <c r="AL155" t="str">
        <f t="shared" ca="1" si="19"/>
        <v/>
      </c>
      <c r="AM155" t="str">
        <f t="shared" ca="1" si="20"/>
        <v/>
      </c>
      <c r="AN155" t="str">
        <f t="shared" ca="1" si="21"/>
        <v/>
      </c>
      <c r="AP155" t="str">
        <f>IF(ISNUMBER(Roster!$B155),MAX(1,YEAR(Setup!$C$5)-YEAR(Roster!$B155)+IF(EDATE(Roster!$B155,12*(YEAR(Setup!$C$5)-YEAR(Roster!$B155)))&lt;Setup!$C$5,1,0)),"")</f>
        <v/>
      </c>
      <c r="AQ155" s="32" t="str">
        <f>IF(AP155="","",EDATE(Roster!$B155,12*AP155))</f>
        <v/>
      </c>
      <c r="AR155" t="str">
        <f>IF(AQ155="","",IF(AQ155&lt;DATE(YEAR(Setup!$C$5)+1,MONTH(Setup!$C$5),DAY(Setup!$C$5)),AQ155+150/1000,""))</f>
        <v/>
      </c>
      <c r="AS155" t="str">
        <f t="shared" si="22"/>
        <v/>
      </c>
      <c r="AT155" t="str">
        <f>IF(AS155="","",IF(ISNUMBER(Roster!$D155),Roster!$D155&gt;=AP155,FALSE))</f>
        <v/>
      </c>
      <c r="AU155" t="str">
        <f t="shared" si="23"/>
        <v/>
      </c>
      <c r="AV155" t="str">
        <f ca="1">IF(150&gt;$AV$2,"",SMALL($AR$6:$AR$505,150))</f>
        <v/>
      </c>
      <c r="AW155" t="str">
        <f t="shared" ca="1" si="24"/>
        <v/>
      </c>
    </row>
    <row r="156" spans="2:49" x14ac:dyDescent="0.2">
      <c r="B156" s="32" t="str">
        <f>IF(AND(ISNUMBER(Roster!$B156),Setup!$B$20="Yes",ISNUMBER(Setup!$C$20)),EDATE(Roster!$B156,12*Setup!$C$20),"")</f>
        <v/>
      </c>
      <c r="C156" s="32" t="str">
        <f>IF(AND(ISNUMBER(Roster!$B156),Setup!$B$21="Yes",ISNUMBER(Setup!$C$21)),EDATE(Roster!$B156,12*Setup!$C$21),"")</f>
        <v/>
      </c>
      <c r="D156" s="32" t="str">
        <f>IF(AND(ISNUMBER(Roster!$B156),Setup!$B$22="Yes",ISNUMBER(Setup!$C$22)),EDATE(Roster!$B156,12*Setup!$C$22),"")</f>
        <v/>
      </c>
      <c r="E156" s="32" t="str">
        <f>IF(AND(ISNUMBER(Roster!$B156),Setup!$B$23="Yes",ISNUMBER(Setup!$C$23)),EDATE(Roster!$B156,12*Setup!$C$23),"")</f>
        <v/>
      </c>
      <c r="F156" s="32" t="str">
        <f>IF(AND(ISNUMBER(Roster!$B156),Setup!$B$24="Yes",ISNUMBER(Setup!$C$24)),EDATE(Roster!$B156,12*Setup!$C$24),"")</f>
        <v/>
      </c>
      <c r="G156" s="32" t="str">
        <f>IF(AND(ISNUMBER(Roster!$B156),Setup!$B$25="Yes",ISNUMBER(Setup!$C$25)),EDATE(Roster!$B156,12*Setup!$C$25),"")</f>
        <v/>
      </c>
      <c r="H156" s="32" t="str">
        <f>IF(AND(ISNUMBER(Roster!$B156),Setup!$B$26="Yes",ISNUMBER(Setup!$C$26)),EDATE(Roster!$B156,12*Setup!$C$26),"")</f>
        <v/>
      </c>
      <c r="I156" s="32" t="str">
        <f>IF(AND(ISNUMBER(Roster!$B156),Setup!$B$27="Yes",ISNUMBER(Setup!$C$27)),EDATE(Roster!$B156,12*Setup!$C$27),"")</f>
        <v/>
      </c>
      <c r="J156" s="32" t="str">
        <f>IF(AND(ISNUMBER(Roster!$B156),Setup!$B$28="Yes",ISNUMBER(Setup!$C$28)),EDATE(Roster!$B156,12*Setup!$C$28),"")</f>
        <v/>
      </c>
      <c r="K156" s="32" t="str">
        <f>IF(AND(ISNUMBER(Roster!$B156),Setup!$B$29="Yes",ISNUMBER(Setup!$C$29)),EDATE(Roster!$B156,12*Setup!$C$29),"")</f>
        <v/>
      </c>
      <c r="L156" s="32" t="str">
        <f>IF(AND(ISNUMBER(Roster!$B156),Setup!$B$30="Yes",ISNUMBER(Setup!$C$30)),EDATE(Roster!$B156,12*Setup!$C$30),"")</f>
        <v/>
      </c>
      <c r="M156" s="32" t="str">
        <f>IF(AND(ISNUMBER(Roster!$B156),Setup!$B$31="Yes",ISNUMBER(Setup!$C$31)),EDATE(Roster!$B156,12*Setup!$C$31),"")</f>
        <v/>
      </c>
      <c r="N156" s="32" t="str">
        <f>IF(AND(ISNUMBER(Roster!$B156),Setup!$B$32="Yes",ISNUMBER(Setup!$C$32)),EDATE(Roster!$B156,12*Setup!$C$32),"")</f>
        <v/>
      </c>
      <c r="O156" s="32" t="str">
        <f>IF(AND(ISNUMBER(Roster!$B156),Setup!$B$33="Yes",ISNUMBER(Setup!$C$33)),EDATE(Roster!$B156,12*Setup!$C$33),"")</f>
        <v/>
      </c>
      <c r="P156" s="32" t="str">
        <f>IF(AND(ISNUMBER(Roster!$B156),Setup!$B$34="Yes",ISNUMBER(Setup!$C$34)),EDATE(Roster!$B156,12*Setup!$C$34),"")</f>
        <v/>
      </c>
      <c r="R156" t="str">
        <f>IF(B156="","",IF(B156&lt;Setup!$C$5-Setup!$C$6,"",IF(IF(ISNUMBER(Roster!$D156),Setup!$C$20&lt;=Roster!$D156,FALSE),"",IF(OR(IF(Setup!$C$15&lt;=Setup!$C$16,AND(MONTH(B156)&gt;=Setup!$C$15,MONTH(B156)&lt;=Setup!$C$16),OR(MONTH(B156)&gt;=Setup!$C$15,MONTH(B156)&lt;=Setup!$C$16)),IF(Setup!$C$15&lt;=Setup!$C$16,AND(MONTH(WORKDAY(B156,-(Setup!$C$13+Setup!$G$20),Setup!$C$39:$C$50))&gt;=Setup!$C$15,MONTH(WORKDAY(B156,-(Setup!$C$13+Setup!$G$20),Setup!$C$39:$C$50))&lt;=Setup!$C$16),OR(MONTH(WORKDAY(B156,-(Setup!$C$13+Setup!$G$20),Setup!$C$39:$C$50))&gt;=Setup!$C$15,MONTH(WORKDAY(B156,-(Setup!$C$13+Setup!$G$20),Setup!$C$39:$C$50))&lt;=Setup!$C$16))),WORKDAY(B156,-(Setup!$C$13+Setup!$G$20+Setup!$C$14),Setup!$C$39:$C$50),WORKDAY(B156,-(Setup!$C$13+Setup!$G$20),Setup!$C$39:$C$50))+(151*100+1)/10000000)))</f>
        <v/>
      </c>
      <c r="S156" t="str">
        <f>IF(C156="","",IF(C156&lt;Setup!$C$5-Setup!$C$6,"",IF(IF(ISNUMBER(Roster!$D156),Setup!$C$21&lt;=Roster!$D156,FALSE),"",IF(OR(IF(Setup!$C$15&lt;=Setup!$C$16,AND(MONTH(C156)&gt;=Setup!$C$15,MONTH(C156)&lt;=Setup!$C$16),OR(MONTH(C156)&gt;=Setup!$C$15,MONTH(C156)&lt;=Setup!$C$16)),IF(Setup!$C$15&lt;=Setup!$C$16,AND(MONTH(WORKDAY(C156,-(Setup!$C$13+Setup!$G$21),Setup!$C$39:$C$50))&gt;=Setup!$C$15,MONTH(WORKDAY(C156,-(Setup!$C$13+Setup!$G$21),Setup!$C$39:$C$50))&lt;=Setup!$C$16),OR(MONTH(WORKDAY(C156,-(Setup!$C$13+Setup!$G$21),Setup!$C$39:$C$50))&gt;=Setup!$C$15,MONTH(WORKDAY(C156,-(Setup!$C$13+Setup!$G$21),Setup!$C$39:$C$50))&lt;=Setup!$C$16))),WORKDAY(C156,-(Setup!$C$13+Setup!$G$21+Setup!$C$14),Setup!$C$39:$C$50),WORKDAY(C156,-(Setup!$C$13+Setup!$G$21),Setup!$C$39:$C$50))+(151*100+2)/10000000)))</f>
        <v/>
      </c>
      <c r="T156" t="str">
        <f>IF(D156="","",IF(D156&lt;Setup!$C$5-Setup!$C$6,"",IF(IF(ISNUMBER(Roster!$D156),Setup!$C$22&lt;=Roster!$D156,FALSE),"",IF(OR(IF(Setup!$C$15&lt;=Setup!$C$16,AND(MONTH(D156)&gt;=Setup!$C$15,MONTH(D156)&lt;=Setup!$C$16),OR(MONTH(D156)&gt;=Setup!$C$15,MONTH(D156)&lt;=Setup!$C$16)),IF(Setup!$C$15&lt;=Setup!$C$16,AND(MONTH(WORKDAY(D156,-(Setup!$C$13+Setup!$G$22),Setup!$C$39:$C$50))&gt;=Setup!$C$15,MONTH(WORKDAY(D156,-(Setup!$C$13+Setup!$G$22),Setup!$C$39:$C$50))&lt;=Setup!$C$16),OR(MONTH(WORKDAY(D156,-(Setup!$C$13+Setup!$G$22),Setup!$C$39:$C$50))&gt;=Setup!$C$15,MONTH(WORKDAY(D156,-(Setup!$C$13+Setup!$G$22),Setup!$C$39:$C$50))&lt;=Setup!$C$16))),WORKDAY(D156,-(Setup!$C$13+Setup!$G$22+Setup!$C$14),Setup!$C$39:$C$50),WORKDAY(D156,-(Setup!$C$13+Setup!$G$22),Setup!$C$39:$C$50))+(151*100+3)/10000000)))</f>
        <v/>
      </c>
      <c r="U156" t="str">
        <f>IF(E156="","",IF(E156&lt;Setup!$C$5-Setup!$C$6,"",IF(IF(ISNUMBER(Roster!$D156),Setup!$C$23&lt;=Roster!$D156,FALSE),"",IF(OR(IF(Setup!$C$15&lt;=Setup!$C$16,AND(MONTH(E156)&gt;=Setup!$C$15,MONTH(E156)&lt;=Setup!$C$16),OR(MONTH(E156)&gt;=Setup!$C$15,MONTH(E156)&lt;=Setup!$C$16)),IF(Setup!$C$15&lt;=Setup!$C$16,AND(MONTH(WORKDAY(E156,-(Setup!$C$13+Setup!$G$23),Setup!$C$39:$C$50))&gt;=Setup!$C$15,MONTH(WORKDAY(E156,-(Setup!$C$13+Setup!$G$23),Setup!$C$39:$C$50))&lt;=Setup!$C$16),OR(MONTH(WORKDAY(E156,-(Setup!$C$13+Setup!$G$23),Setup!$C$39:$C$50))&gt;=Setup!$C$15,MONTH(WORKDAY(E156,-(Setup!$C$13+Setup!$G$23),Setup!$C$39:$C$50))&lt;=Setup!$C$16))),WORKDAY(E156,-(Setup!$C$13+Setup!$G$23+Setup!$C$14),Setup!$C$39:$C$50),WORKDAY(E156,-(Setup!$C$13+Setup!$G$23),Setup!$C$39:$C$50))+(151*100+4)/10000000)))</f>
        <v/>
      </c>
      <c r="V156" t="str">
        <f>IF(F156="","",IF(F156&lt;Setup!$C$5-Setup!$C$6,"",IF(IF(ISNUMBER(Roster!$D156),Setup!$C$24&lt;=Roster!$D156,FALSE),"",IF(OR(IF(Setup!$C$15&lt;=Setup!$C$16,AND(MONTH(F156)&gt;=Setup!$C$15,MONTH(F156)&lt;=Setup!$C$16),OR(MONTH(F156)&gt;=Setup!$C$15,MONTH(F156)&lt;=Setup!$C$16)),IF(Setup!$C$15&lt;=Setup!$C$16,AND(MONTH(WORKDAY(F156,-(Setup!$C$13+Setup!$G$24),Setup!$C$39:$C$50))&gt;=Setup!$C$15,MONTH(WORKDAY(F156,-(Setup!$C$13+Setup!$G$24),Setup!$C$39:$C$50))&lt;=Setup!$C$16),OR(MONTH(WORKDAY(F156,-(Setup!$C$13+Setup!$G$24),Setup!$C$39:$C$50))&gt;=Setup!$C$15,MONTH(WORKDAY(F156,-(Setup!$C$13+Setup!$G$24),Setup!$C$39:$C$50))&lt;=Setup!$C$16))),WORKDAY(F156,-(Setup!$C$13+Setup!$G$24+Setup!$C$14),Setup!$C$39:$C$50),WORKDAY(F156,-(Setup!$C$13+Setup!$G$24),Setup!$C$39:$C$50))+(151*100+5)/10000000)))</f>
        <v/>
      </c>
      <c r="W156" t="str">
        <f>IF(G156="","",IF(G156&lt;Setup!$C$5-Setup!$C$6,"",IF(IF(ISNUMBER(Roster!$D156),Setup!$C$25&lt;=Roster!$D156,FALSE),"",IF(OR(IF(Setup!$C$15&lt;=Setup!$C$16,AND(MONTH(G156)&gt;=Setup!$C$15,MONTH(G156)&lt;=Setup!$C$16),OR(MONTH(G156)&gt;=Setup!$C$15,MONTH(G156)&lt;=Setup!$C$16)),IF(Setup!$C$15&lt;=Setup!$C$16,AND(MONTH(WORKDAY(G156,-(Setup!$C$13+Setup!$G$25),Setup!$C$39:$C$50))&gt;=Setup!$C$15,MONTH(WORKDAY(G156,-(Setup!$C$13+Setup!$G$25),Setup!$C$39:$C$50))&lt;=Setup!$C$16),OR(MONTH(WORKDAY(G156,-(Setup!$C$13+Setup!$G$25),Setup!$C$39:$C$50))&gt;=Setup!$C$15,MONTH(WORKDAY(G156,-(Setup!$C$13+Setup!$G$25),Setup!$C$39:$C$50))&lt;=Setup!$C$16))),WORKDAY(G156,-(Setup!$C$13+Setup!$G$25+Setup!$C$14),Setup!$C$39:$C$50),WORKDAY(G156,-(Setup!$C$13+Setup!$G$25),Setup!$C$39:$C$50))+(151*100+6)/10000000)))</f>
        <v/>
      </c>
      <c r="X156" t="str">
        <f>IF(H156="","",IF(H156&lt;Setup!$C$5-Setup!$C$6,"",IF(IF(ISNUMBER(Roster!$D156),Setup!$C$26&lt;=Roster!$D156,FALSE),"",IF(OR(IF(Setup!$C$15&lt;=Setup!$C$16,AND(MONTH(H156)&gt;=Setup!$C$15,MONTH(H156)&lt;=Setup!$C$16),OR(MONTH(H156)&gt;=Setup!$C$15,MONTH(H156)&lt;=Setup!$C$16)),IF(Setup!$C$15&lt;=Setup!$C$16,AND(MONTH(WORKDAY(H156,-(Setup!$C$13+Setup!$G$26),Setup!$C$39:$C$50))&gt;=Setup!$C$15,MONTH(WORKDAY(H156,-(Setup!$C$13+Setup!$G$26),Setup!$C$39:$C$50))&lt;=Setup!$C$16),OR(MONTH(WORKDAY(H156,-(Setup!$C$13+Setup!$G$26),Setup!$C$39:$C$50))&gt;=Setup!$C$15,MONTH(WORKDAY(H156,-(Setup!$C$13+Setup!$G$26),Setup!$C$39:$C$50))&lt;=Setup!$C$16))),WORKDAY(H156,-(Setup!$C$13+Setup!$G$26+Setup!$C$14),Setup!$C$39:$C$50),WORKDAY(H156,-(Setup!$C$13+Setup!$G$26),Setup!$C$39:$C$50))+(151*100+7)/10000000)))</f>
        <v/>
      </c>
      <c r="Y156" t="str">
        <f>IF(I156="","",IF(I156&lt;Setup!$C$5-Setup!$C$6,"",IF(IF(ISNUMBER(Roster!$D156),Setup!$C$27&lt;=Roster!$D156,FALSE),"",IF(OR(IF(Setup!$C$15&lt;=Setup!$C$16,AND(MONTH(I156)&gt;=Setup!$C$15,MONTH(I156)&lt;=Setup!$C$16),OR(MONTH(I156)&gt;=Setup!$C$15,MONTH(I156)&lt;=Setup!$C$16)),IF(Setup!$C$15&lt;=Setup!$C$16,AND(MONTH(WORKDAY(I156,-(Setup!$C$13+Setup!$G$27),Setup!$C$39:$C$50))&gt;=Setup!$C$15,MONTH(WORKDAY(I156,-(Setup!$C$13+Setup!$G$27),Setup!$C$39:$C$50))&lt;=Setup!$C$16),OR(MONTH(WORKDAY(I156,-(Setup!$C$13+Setup!$G$27),Setup!$C$39:$C$50))&gt;=Setup!$C$15,MONTH(WORKDAY(I156,-(Setup!$C$13+Setup!$G$27),Setup!$C$39:$C$50))&lt;=Setup!$C$16))),WORKDAY(I156,-(Setup!$C$13+Setup!$G$27+Setup!$C$14),Setup!$C$39:$C$50),WORKDAY(I156,-(Setup!$C$13+Setup!$G$27),Setup!$C$39:$C$50))+(151*100+8)/10000000)))</f>
        <v/>
      </c>
      <c r="Z156" t="str">
        <f>IF(J156="","",IF(J156&lt;Setup!$C$5-Setup!$C$6,"",IF(IF(ISNUMBER(Roster!$D156),Setup!$C$28&lt;=Roster!$D156,FALSE),"",IF(OR(IF(Setup!$C$15&lt;=Setup!$C$16,AND(MONTH(J156)&gt;=Setup!$C$15,MONTH(J156)&lt;=Setup!$C$16),OR(MONTH(J156)&gt;=Setup!$C$15,MONTH(J156)&lt;=Setup!$C$16)),IF(Setup!$C$15&lt;=Setup!$C$16,AND(MONTH(WORKDAY(J156,-(Setup!$C$13+Setup!$G$28),Setup!$C$39:$C$50))&gt;=Setup!$C$15,MONTH(WORKDAY(J156,-(Setup!$C$13+Setup!$G$28),Setup!$C$39:$C$50))&lt;=Setup!$C$16),OR(MONTH(WORKDAY(J156,-(Setup!$C$13+Setup!$G$28),Setup!$C$39:$C$50))&gt;=Setup!$C$15,MONTH(WORKDAY(J156,-(Setup!$C$13+Setup!$G$28),Setup!$C$39:$C$50))&lt;=Setup!$C$16))),WORKDAY(J156,-(Setup!$C$13+Setup!$G$28+Setup!$C$14),Setup!$C$39:$C$50),WORKDAY(J156,-(Setup!$C$13+Setup!$G$28),Setup!$C$39:$C$50))+(151*100+9)/10000000)))</f>
        <v/>
      </c>
      <c r="AA156" t="str">
        <f>IF(K156="","",IF(K156&lt;Setup!$C$5-Setup!$C$6,"",IF(IF(ISNUMBER(Roster!$D156),Setup!$C$29&lt;=Roster!$D156,FALSE),"",IF(OR(IF(Setup!$C$15&lt;=Setup!$C$16,AND(MONTH(K156)&gt;=Setup!$C$15,MONTH(K156)&lt;=Setup!$C$16),OR(MONTH(K156)&gt;=Setup!$C$15,MONTH(K156)&lt;=Setup!$C$16)),IF(Setup!$C$15&lt;=Setup!$C$16,AND(MONTH(WORKDAY(K156,-(Setup!$C$13+Setup!$G$29),Setup!$C$39:$C$50))&gt;=Setup!$C$15,MONTH(WORKDAY(K156,-(Setup!$C$13+Setup!$G$29),Setup!$C$39:$C$50))&lt;=Setup!$C$16),OR(MONTH(WORKDAY(K156,-(Setup!$C$13+Setup!$G$29),Setup!$C$39:$C$50))&gt;=Setup!$C$15,MONTH(WORKDAY(K156,-(Setup!$C$13+Setup!$G$29),Setup!$C$39:$C$50))&lt;=Setup!$C$16))),WORKDAY(K156,-(Setup!$C$13+Setup!$G$29+Setup!$C$14),Setup!$C$39:$C$50),WORKDAY(K156,-(Setup!$C$13+Setup!$G$29),Setup!$C$39:$C$50))+(151*100+10)/10000000)))</f>
        <v/>
      </c>
      <c r="AB156" t="str">
        <f>IF(L156="","",IF(L156&lt;Setup!$C$5-Setup!$C$6,"",IF(IF(ISNUMBER(Roster!$D156),Setup!$C$30&lt;=Roster!$D156,FALSE),"",IF(OR(IF(Setup!$C$15&lt;=Setup!$C$16,AND(MONTH(L156)&gt;=Setup!$C$15,MONTH(L156)&lt;=Setup!$C$16),OR(MONTH(L156)&gt;=Setup!$C$15,MONTH(L156)&lt;=Setup!$C$16)),IF(Setup!$C$15&lt;=Setup!$C$16,AND(MONTH(WORKDAY(L156,-(Setup!$C$13+Setup!$G$30),Setup!$C$39:$C$50))&gt;=Setup!$C$15,MONTH(WORKDAY(L156,-(Setup!$C$13+Setup!$G$30),Setup!$C$39:$C$50))&lt;=Setup!$C$16),OR(MONTH(WORKDAY(L156,-(Setup!$C$13+Setup!$G$30),Setup!$C$39:$C$50))&gt;=Setup!$C$15,MONTH(WORKDAY(L156,-(Setup!$C$13+Setup!$G$30),Setup!$C$39:$C$50))&lt;=Setup!$C$16))),WORKDAY(L156,-(Setup!$C$13+Setup!$G$30+Setup!$C$14),Setup!$C$39:$C$50),WORKDAY(L156,-(Setup!$C$13+Setup!$G$30),Setup!$C$39:$C$50))+(151*100+11)/10000000)))</f>
        <v/>
      </c>
      <c r="AC156" t="str">
        <f>IF(M156="","",IF(M156&lt;Setup!$C$5-Setup!$C$6,"",IF(IF(ISNUMBER(Roster!$D156),Setup!$C$31&lt;=Roster!$D156,FALSE),"",IF(OR(IF(Setup!$C$15&lt;=Setup!$C$16,AND(MONTH(M156)&gt;=Setup!$C$15,MONTH(M156)&lt;=Setup!$C$16),OR(MONTH(M156)&gt;=Setup!$C$15,MONTH(M156)&lt;=Setup!$C$16)),IF(Setup!$C$15&lt;=Setup!$C$16,AND(MONTH(WORKDAY(M156,-(Setup!$C$13+Setup!$G$31),Setup!$C$39:$C$50))&gt;=Setup!$C$15,MONTH(WORKDAY(M156,-(Setup!$C$13+Setup!$G$31),Setup!$C$39:$C$50))&lt;=Setup!$C$16),OR(MONTH(WORKDAY(M156,-(Setup!$C$13+Setup!$G$31),Setup!$C$39:$C$50))&gt;=Setup!$C$15,MONTH(WORKDAY(M156,-(Setup!$C$13+Setup!$G$31),Setup!$C$39:$C$50))&lt;=Setup!$C$16))),WORKDAY(M156,-(Setup!$C$13+Setup!$G$31+Setup!$C$14),Setup!$C$39:$C$50),WORKDAY(M156,-(Setup!$C$13+Setup!$G$31),Setup!$C$39:$C$50))+(151*100+12)/10000000)))</f>
        <v/>
      </c>
      <c r="AD156" t="str">
        <f>IF(N156="","",IF(N156&lt;Setup!$C$5-Setup!$C$6,"",IF(IF(ISNUMBER(Roster!$D156),Setup!$C$32&lt;=Roster!$D156,FALSE),"",IF(OR(IF(Setup!$C$15&lt;=Setup!$C$16,AND(MONTH(N156)&gt;=Setup!$C$15,MONTH(N156)&lt;=Setup!$C$16),OR(MONTH(N156)&gt;=Setup!$C$15,MONTH(N156)&lt;=Setup!$C$16)),IF(Setup!$C$15&lt;=Setup!$C$16,AND(MONTH(WORKDAY(N156,-(Setup!$C$13+Setup!$G$32),Setup!$C$39:$C$50))&gt;=Setup!$C$15,MONTH(WORKDAY(N156,-(Setup!$C$13+Setup!$G$32),Setup!$C$39:$C$50))&lt;=Setup!$C$16),OR(MONTH(WORKDAY(N156,-(Setup!$C$13+Setup!$G$32),Setup!$C$39:$C$50))&gt;=Setup!$C$15,MONTH(WORKDAY(N156,-(Setup!$C$13+Setup!$G$32),Setup!$C$39:$C$50))&lt;=Setup!$C$16))),WORKDAY(N156,-(Setup!$C$13+Setup!$G$32+Setup!$C$14),Setup!$C$39:$C$50),WORKDAY(N156,-(Setup!$C$13+Setup!$G$32),Setup!$C$39:$C$50))+(151*100+13)/10000000)))</f>
        <v/>
      </c>
      <c r="AE156" t="str">
        <f>IF(O156="","",IF(O156&lt;Setup!$C$5-Setup!$C$6,"",IF(IF(ISNUMBER(Roster!$D156),Setup!$C$33&lt;=Roster!$D156,FALSE),"",IF(OR(IF(Setup!$C$15&lt;=Setup!$C$16,AND(MONTH(O156)&gt;=Setup!$C$15,MONTH(O156)&lt;=Setup!$C$16),OR(MONTH(O156)&gt;=Setup!$C$15,MONTH(O156)&lt;=Setup!$C$16)),IF(Setup!$C$15&lt;=Setup!$C$16,AND(MONTH(WORKDAY(O156,-(Setup!$C$13+Setup!$G$33),Setup!$C$39:$C$50))&gt;=Setup!$C$15,MONTH(WORKDAY(O156,-(Setup!$C$13+Setup!$G$33),Setup!$C$39:$C$50))&lt;=Setup!$C$16),OR(MONTH(WORKDAY(O156,-(Setup!$C$13+Setup!$G$33),Setup!$C$39:$C$50))&gt;=Setup!$C$15,MONTH(WORKDAY(O156,-(Setup!$C$13+Setup!$G$33),Setup!$C$39:$C$50))&lt;=Setup!$C$16))),WORKDAY(O156,-(Setup!$C$13+Setup!$G$33+Setup!$C$14),Setup!$C$39:$C$50),WORKDAY(O156,-(Setup!$C$13+Setup!$G$33),Setup!$C$39:$C$50))+(151*100+14)/10000000)))</f>
        <v/>
      </c>
      <c r="AF156" t="str">
        <f>IF(P156="","",IF(P156&lt;Setup!$C$5-Setup!$C$6,"",IF(IF(ISNUMBER(Roster!$D156),Setup!$C$34&lt;=Roster!$D156,FALSE),"",IF(OR(IF(Setup!$C$15&lt;=Setup!$C$16,AND(MONTH(P156)&gt;=Setup!$C$15,MONTH(P156)&lt;=Setup!$C$16),OR(MONTH(P156)&gt;=Setup!$C$15,MONTH(P156)&lt;=Setup!$C$16)),IF(Setup!$C$15&lt;=Setup!$C$16,AND(MONTH(WORKDAY(P156,-(Setup!$C$13+Setup!$G$34),Setup!$C$39:$C$50))&gt;=Setup!$C$15,MONTH(WORKDAY(P156,-(Setup!$C$13+Setup!$G$34),Setup!$C$39:$C$50))&lt;=Setup!$C$16),OR(MONTH(WORKDAY(P156,-(Setup!$C$13+Setup!$G$34),Setup!$C$39:$C$50))&gt;=Setup!$C$15,MONTH(WORKDAY(P156,-(Setup!$C$13+Setup!$G$34),Setup!$C$39:$C$50))&lt;=Setup!$C$16))),WORKDAY(P156,-(Setup!$C$13+Setup!$G$34+Setup!$C$14),Setup!$C$39:$C$50),WORKDAY(P156,-(Setup!$C$13+Setup!$G$34),Setup!$C$39:$C$50))+(151*100+15)/10000000)))</f>
        <v/>
      </c>
      <c r="AH156" t="str">
        <f t="shared" si="17"/>
        <v/>
      </c>
      <c r="AI156" t="str">
        <f t="shared" si="18"/>
        <v/>
      </c>
      <c r="AK156" t="str">
        <f ca="1">IF(151&gt;$AK$2,"",SMALL($R$6:$AF$505,151))</f>
        <v/>
      </c>
      <c r="AL156" t="str">
        <f t="shared" ca="1" si="19"/>
        <v/>
      </c>
      <c r="AM156" t="str">
        <f t="shared" ca="1" si="20"/>
        <v/>
      </c>
      <c r="AN156" t="str">
        <f t="shared" ca="1" si="21"/>
        <v/>
      </c>
      <c r="AP156" t="str">
        <f>IF(ISNUMBER(Roster!$B156),MAX(1,YEAR(Setup!$C$5)-YEAR(Roster!$B156)+IF(EDATE(Roster!$B156,12*(YEAR(Setup!$C$5)-YEAR(Roster!$B156)))&lt;Setup!$C$5,1,0)),"")</f>
        <v/>
      </c>
      <c r="AQ156" s="32" t="str">
        <f>IF(AP156="","",EDATE(Roster!$B156,12*AP156))</f>
        <v/>
      </c>
      <c r="AR156" t="str">
        <f>IF(AQ156="","",IF(AQ156&lt;DATE(YEAR(Setup!$C$5)+1,MONTH(Setup!$C$5),DAY(Setup!$C$5)),AQ156+151/1000,""))</f>
        <v/>
      </c>
      <c r="AS156" t="str">
        <f t="shared" si="22"/>
        <v/>
      </c>
      <c r="AT156" t="str">
        <f>IF(AS156="","",IF(ISNUMBER(Roster!$D156),Roster!$D156&gt;=AP156,FALSE))</f>
        <v/>
      </c>
      <c r="AU156" t="str">
        <f t="shared" si="23"/>
        <v/>
      </c>
      <c r="AV156" t="str">
        <f ca="1">IF(151&gt;$AV$2,"",SMALL($AR$6:$AR$505,151))</f>
        <v/>
      </c>
      <c r="AW156" t="str">
        <f t="shared" ca="1" si="24"/>
        <v/>
      </c>
    </row>
    <row r="157" spans="2:49" x14ac:dyDescent="0.2">
      <c r="B157" s="32" t="str">
        <f>IF(AND(ISNUMBER(Roster!$B157),Setup!$B$20="Yes",ISNUMBER(Setup!$C$20)),EDATE(Roster!$B157,12*Setup!$C$20),"")</f>
        <v/>
      </c>
      <c r="C157" s="32" t="str">
        <f>IF(AND(ISNUMBER(Roster!$B157),Setup!$B$21="Yes",ISNUMBER(Setup!$C$21)),EDATE(Roster!$B157,12*Setup!$C$21),"")</f>
        <v/>
      </c>
      <c r="D157" s="32" t="str">
        <f>IF(AND(ISNUMBER(Roster!$B157),Setup!$B$22="Yes",ISNUMBER(Setup!$C$22)),EDATE(Roster!$B157,12*Setup!$C$22),"")</f>
        <v/>
      </c>
      <c r="E157" s="32" t="str">
        <f>IF(AND(ISNUMBER(Roster!$B157),Setup!$B$23="Yes",ISNUMBER(Setup!$C$23)),EDATE(Roster!$B157,12*Setup!$C$23),"")</f>
        <v/>
      </c>
      <c r="F157" s="32" t="str">
        <f>IF(AND(ISNUMBER(Roster!$B157),Setup!$B$24="Yes",ISNUMBER(Setup!$C$24)),EDATE(Roster!$B157,12*Setup!$C$24),"")</f>
        <v/>
      </c>
      <c r="G157" s="32" t="str">
        <f>IF(AND(ISNUMBER(Roster!$B157),Setup!$B$25="Yes",ISNUMBER(Setup!$C$25)),EDATE(Roster!$B157,12*Setup!$C$25),"")</f>
        <v/>
      </c>
      <c r="H157" s="32" t="str">
        <f>IF(AND(ISNUMBER(Roster!$B157),Setup!$B$26="Yes",ISNUMBER(Setup!$C$26)),EDATE(Roster!$B157,12*Setup!$C$26),"")</f>
        <v/>
      </c>
      <c r="I157" s="32" t="str">
        <f>IF(AND(ISNUMBER(Roster!$B157),Setup!$B$27="Yes",ISNUMBER(Setup!$C$27)),EDATE(Roster!$B157,12*Setup!$C$27),"")</f>
        <v/>
      </c>
      <c r="J157" s="32" t="str">
        <f>IF(AND(ISNUMBER(Roster!$B157),Setup!$B$28="Yes",ISNUMBER(Setup!$C$28)),EDATE(Roster!$B157,12*Setup!$C$28),"")</f>
        <v/>
      </c>
      <c r="K157" s="32" t="str">
        <f>IF(AND(ISNUMBER(Roster!$B157),Setup!$B$29="Yes",ISNUMBER(Setup!$C$29)),EDATE(Roster!$B157,12*Setup!$C$29),"")</f>
        <v/>
      </c>
      <c r="L157" s="32" t="str">
        <f>IF(AND(ISNUMBER(Roster!$B157),Setup!$B$30="Yes",ISNUMBER(Setup!$C$30)),EDATE(Roster!$B157,12*Setup!$C$30),"")</f>
        <v/>
      </c>
      <c r="M157" s="32" t="str">
        <f>IF(AND(ISNUMBER(Roster!$B157),Setup!$B$31="Yes",ISNUMBER(Setup!$C$31)),EDATE(Roster!$B157,12*Setup!$C$31),"")</f>
        <v/>
      </c>
      <c r="N157" s="32" t="str">
        <f>IF(AND(ISNUMBER(Roster!$B157),Setup!$B$32="Yes",ISNUMBER(Setup!$C$32)),EDATE(Roster!$B157,12*Setup!$C$32),"")</f>
        <v/>
      </c>
      <c r="O157" s="32" t="str">
        <f>IF(AND(ISNUMBER(Roster!$B157),Setup!$B$33="Yes",ISNUMBER(Setup!$C$33)),EDATE(Roster!$B157,12*Setup!$C$33),"")</f>
        <v/>
      </c>
      <c r="P157" s="32" t="str">
        <f>IF(AND(ISNUMBER(Roster!$B157),Setup!$B$34="Yes",ISNUMBER(Setup!$C$34)),EDATE(Roster!$B157,12*Setup!$C$34),"")</f>
        <v/>
      </c>
      <c r="R157" t="str">
        <f>IF(B157="","",IF(B157&lt;Setup!$C$5-Setup!$C$6,"",IF(IF(ISNUMBER(Roster!$D157),Setup!$C$20&lt;=Roster!$D157,FALSE),"",IF(OR(IF(Setup!$C$15&lt;=Setup!$C$16,AND(MONTH(B157)&gt;=Setup!$C$15,MONTH(B157)&lt;=Setup!$C$16),OR(MONTH(B157)&gt;=Setup!$C$15,MONTH(B157)&lt;=Setup!$C$16)),IF(Setup!$C$15&lt;=Setup!$C$16,AND(MONTH(WORKDAY(B157,-(Setup!$C$13+Setup!$G$20),Setup!$C$39:$C$50))&gt;=Setup!$C$15,MONTH(WORKDAY(B157,-(Setup!$C$13+Setup!$G$20),Setup!$C$39:$C$50))&lt;=Setup!$C$16),OR(MONTH(WORKDAY(B157,-(Setup!$C$13+Setup!$G$20),Setup!$C$39:$C$50))&gt;=Setup!$C$15,MONTH(WORKDAY(B157,-(Setup!$C$13+Setup!$G$20),Setup!$C$39:$C$50))&lt;=Setup!$C$16))),WORKDAY(B157,-(Setup!$C$13+Setup!$G$20+Setup!$C$14),Setup!$C$39:$C$50),WORKDAY(B157,-(Setup!$C$13+Setup!$G$20),Setup!$C$39:$C$50))+(152*100+1)/10000000)))</f>
        <v/>
      </c>
      <c r="S157" t="str">
        <f>IF(C157="","",IF(C157&lt;Setup!$C$5-Setup!$C$6,"",IF(IF(ISNUMBER(Roster!$D157),Setup!$C$21&lt;=Roster!$D157,FALSE),"",IF(OR(IF(Setup!$C$15&lt;=Setup!$C$16,AND(MONTH(C157)&gt;=Setup!$C$15,MONTH(C157)&lt;=Setup!$C$16),OR(MONTH(C157)&gt;=Setup!$C$15,MONTH(C157)&lt;=Setup!$C$16)),IF(Setup!$C$15&lt;=Setup!$C$16,AND(MONTH(WORKDAY(C157,-(Setup!$C$13+Setup!$G$21),Setup!$C$39:$C$50))&gt;=Setup!$C$15,MONTH(WORKDAY(C157,-(Setup!$C$13+Setup!$G$21),Setup!$C$39:$C$50))&lt;=Setup!$C$16),OR(MONTH(WORKDAY(C157,-(Setup!$C$13+Setup!$G$21),Setup!$C$39:$C$50))&gt;=Setup!$C$15,MONTH(WORKDAY(C157,-(Setup!$C$13+Setup!$G$21),Setup!$C$39:$C$50))&lt;=Setup!$C$16))),WORKDAY(C157,-(Setup!$C$13+Setup!$G$21+Setup!$C$14),Setup!$C$39:$C$50),WORKDAY(C157,-(Setup!$C$13+Setup!$G$21),Setup!$C$39:$C$50))+(152*100+2)/10000000)))</f>
        <v/>
      </c>
      <c r="T157" t="str">
        <f>IF(D157="","",IF(D157&lt;Setup!$C$5-Setup!$C$6,"",IF(IF(ISNUMBER(Roster!$D157),Setup!$C$22&lt;=Roster!$D157,FALSE),"",IF(OR(IF(Setup!$C$15&lt;=Setup!$C$16,AND(MONTH(D157)&gt;=Setup!$C$15,MONTH(D157)&lt;=Setup!$C$16),OR(MONTH(D157)&gt;=Setup!$C$15,MONTH(D157)&lt;=Setup!$C$16)),IF(Setup!$C$15&lt;=Setup!$C$16,AND(MONTH(WORKDAY(D157,-(Setup!$C$13+Setup!$G$22),Setup!$C$39:$C$50))&gt;=Setup!$C$15,MONTH(WORKDAY(D157,-(Setup!$C$13+Setup!$G$22),Setup!$C$39:$C$50))&lt;=Setup!$C$16),OR(MONTH(WORKDAY(D157,-(Setup!$C$13+Setup!$G$22),Setup!$C$39:$C$50))&gt;=Setup!$C$15,MONTH(WORKDAY(D157,-(Setup!$C$13+Setup!$G$22),Setup!$C$39:$C$50))&lt;=Setup!$C$16))),WORKDAY(D157,-(Setup!$C$13+Setup!$G$22+Setup!$C$14),Setup!$C$39:$C$50),WORKDAY(D157,-(Setup!$C$13+Setup!$G$22),Setup!$C$39:$C$50))+(152*100+3)/10000000)))</f>
        <v/>
      </c>
      <c r="U157" t="str">
        <f>IF(E157="","",IF(E157&lt;Setup!$C$5-Setup!$C$6,"",IF(IF(ISNUMBER(Roster!$D157),Setup!$C$23&lt;=Roster!$D157,FALSE),"",IF(OR(IF(Setup!$C$15&lt;=Setup!$C$16,AND(MONTH(E157)&gt;=Setup!$C$15,MONTH(E157)&lt;=Setup!$C$16),OR(MONTH(E157)&gt;=Setup!$C$15,MONTH(E157)&lt;=Setup!$C$16)),IF(Setup!$C$15&lt;=Setup!$C$16,AND(MONTH(WORKDAY(E157,-(Setup!$C$13+Setup!$G$23),Setup!$C$39:$C$50))&gt;=Setup!$C$15,MONTH(WORKDAY(E157,-(Setup!$C$13+Setup!$G$23),Setup!$C$39:$C$50))&lt;=Setup!$C$16),OR(MONTH(WORKDAY(E157,-(Setup!$C$13+Setup!$G$23),Setup!$C$39:$C$50))&gt;=Setup!$C$15,MONTH(WORKDAY(E157,-(Setup!$C$13+Setup!$G$23),Setup!$C$39:$C$50))&lt;=Setup!$C$16))),WORKDAY(E157,-(Setup!$C$13+Setup!$G$23+Setup!$C$14),Setup!$C$39:$C$50),WORKDAY(E157,-(Setup!$C$13+Setup!$G$23),Setup!$C$39:$C$50))+(152*100+4)/10000000)))</f>
        <v/>
      </c>
      <c r="V157" t="str">
        <f>IF(F157="","",IF(F157&lt;Setup!$C$5-Setup!$C$6,"",IF(IF(ISNUMBER(Roster!$D157),Setup!$C$24&lt;=Roster!$D157,FALSE),"",IF(OR(IF(Setup!$C$15&lt;=Setup!$C$16,AND(MONTH(F157)&gt;=Setup!$C$15,MONTH(F157)&lt;=Setup!$C$16),OR(MONTH(F157)&gt;=Setup!$C$15,MONTH(F157)&lt;=Setup!$C$16)),IF(Setup!$C$15&lt;=Setup!$C$16,AND(MONTH(WORKDAY(F157,-(Setup!$C$13+Setup!$G$24),Setup!$C$39:$C$50))&gt;=Setup!$C$15,MONTH(WORKDAY(F157,-(Setup!$C$13+Setup!$G$24),Setup!$C$39:$C$50))&lt;=Setup!$C$16),OR(MONTH(WORKDAY(F157,-(Setup!$C$13+Setup!$G$24),Setup!$C$39:$C$50))&gt;=Setup!$C$15,MONTH(WORKDAY(F157,-(Setup!$C$13+Setup!$G$24),Setup!$C$39:$C$50))&lt;=Setup!$C$16))),WORKDAY(F157,-(Setup!$C$13+Setup!$G$24+Setup!$C$14),Setup!$C$39:$C$50),WORKDAY(F157,-(Setup!$C$13+Setup!$G$24),Setup!$C$39:$C$50))+(152*100+5)/10000000)))</f>
        <v/>
      </c>
      <c r="W157" t="str">
        <f>IF(G157="","",IF(G157&lt;Setup!$C$5-Setup!$C$6,"",IF(IF(ISNUMBER(Roster!$D157),Setup!$C$25&lt;=Roster!$D157,FALSE),"",IF(OR(IF(Setup!$C$15&lt;=Setup!$C$16,AND(MONTH(G157)&gt;=Setup!$C$15,MONTH(G157)&lt;=Setup!$C$16),OR(MONTH(G157)&gt;=Setup!$C$15,MONTH(G157)&lt;=Setup!$C$16)),IF(Setup!$C$15&lt;=Setup!$C$16,AND(MONTH(WORKDAY(G157,-(Setup!$C$13+Setup!$G$25),Setup!$C$39:$C$50))&gt;=Setup!$C$15,MONTH(WORKDAY(G157,-(Setup!$C$13+Setup!$G$25),Setup!$C$39:$C$50))&lt;=Setup!$C$16),OR(MONTH(WORKDAY(G157,-(Setup!$C$13+Setup!$G$25),Setup!$C$39:$C$50))&gt;=Setup!$C$15,MONTH(WORKDAY(G157,-(Setup!$C$13+Setup!$G$25),Setup!$C$39:$C$50))&lt;=Setup!$C$16))),WORKDAY(G157,-(Setup!$C$13+Setup!$G$25+Setup!$C$14),Setup!$C$39:$C$50),WORKDAY(G157,-(Setup!$C$13+Setup!$G$25),Setup!$C$39:$C$50))+(152*100+6)/10000000)))</f>
        <v/>
      </c>
      <c r="X157" t="str">
        <f>IF(H157="","",IF(H157&lt;Setup!$C$5-Setup!$C$6,"",IF(IF(ISNUMBER(Roster!$D157),Setup!$C$26&lt;=Roster!$D157,FALSE),"",IF(OR(IF(Setup!$C$15&lt;=Setup!$C$16,AND(MONTH(H157)&gt;=Setup!$C$15,MONTH(H157)&lt;=Setup!$C$16),OR(MONTH(H157)&gt;=Setup!$C$15,MONTH(H157)&lt;=Setup!$C$16)),IF(Setup!$C$15&lt;=Setup!$C$16,AND(MONTH(WORKDAY(H157,-(Setup!$C$13+Setup!$G$26),Setup!$C$39:$C$50))&gt;=Setup!$C$15,MONTH(WORKDAY(H157,-(Setup!$C$13+Setup!$G$26),Setup!$C$39:$C$50))&lt;=Setup!$C$16),OR(MONTH(WORKDAY(H157,-(Setup!$C$13+Setup!$G$26),Setup!$C$39:$C$50))&gt;=Setup!$C$15,MONTH(WORKDAY(H157,-(Setup!$C$13+Setup!$G$26),Setup!$C$39:$C$50))&lt;=Setup!$C$16))),WORKDAY(H157,-(Setup!$C$13+Setup!$G$26+Setup!$C$14),Setup!$C$39:$C$50),WORKDAY(H157,-(Setup!$C$13+Setup!$G$26),Setup!$C$39:$C$50))+(152*100+7)/10000000)))</f>
        <v/>
      </c>
      <c r="Y157" t="str">
        <f>IF(I157="","",IF(I157&lt;Setup!$C$5-Setup!$C$6,"",IF(IF(ISNUMBER(Roster!$D157),Setup!$C$27&lt;=Roster!$D157,FALSE),"",IF(OR(IF(Setup!$C$15&lt;=Setup!$C$16,AND(MONTH(I157)&gt;=Setup!$C$15,MONTH(I157)&lt;=Setup!$C$16),OR(MONTH(I157)&gt;=Setup!$C$15,MONTH(I157)&lt;=Setup!$C$16)),IF(Setup!$C$15&lt;=Setup!$C$16,AND(MONTH(WORKDAY(I157,-(Setup!$C$13+Setup!$G$27),Setup!$C$39:$C$50))&gt;=Setup!$C$15,MONTH(WORKDAY(I157,-(Setup!$C$13+Setup!$G$27),Setup!$C$39:$C$50))&lt;=Setup!$C$16),OR(MONTH(WORKDAY(I157,-(Setup!$C$13+Setup!$G$27),Setup!$C$39:$C$50))&gt;=Setup!$C$15,MONTH(WORKDAY(I157,-(Setup!$C$13+Setup!$G$27),Setup!$C$39:$C$50))&lt;=Setup!$C$16))),WORKDAY(I157,-(Setup!$C$13+Setup!$G$27+Setup!$C$14),Setup!$C$39:$C$50),WORKDAY(I157,-(Setup!$C$13+Setup!$G$27),Setup!$C$39:$C$50))+(152*100+8)/10000000)))</f>
        <v/>
      </c>
      <c r="Z157" t="str">
        <f>IF(J157="","",IF(J157&lt;Setup!$C$5-Setup!$C$6,"",IF(IF(ISNUMBER(Roster!$D157),Setup!$C$28&lt;=Roster!$D157,FALSE),"",IF(OR(IF(Setup!$C$15&lt;=Setup!$C$16,AND(MONTH(J157)&gt;=Setup!$C$15,MONTH(J157)&lt;=Setup!$C$16),OR(MONTH(J157)&gt;=Setup!$C$15,MONTH(J157)&lt;=Setup!$C$16)),IF(Setup!$C$15&lt;=Setup!$C$16,AND(MONTH(WORKDAY(J157,-(Setup!$C$13+Setup!$G$28),Setup!$C$39:$C$50))&gt;=Setup!$C$15,MONTH(WORKDAY(J157,-(Setup!$C$13+Setup!$G$28),Setup!$C$39:$C$50))&lt;=Setup!$C$16),OR(MONTH(WORKDAY(J157,-(Setup!$C$13+Setup!$G$28),Setup!$C$39:$C$50))&gt;=Setup!$C$15,MONTH(WORKDAY(J157,-(Setup!$C$13+Setup!$G$28),Setup!$C$39:$C$50))&lt;=Setup!$C$16))),WORKDAY(J157,-(Setup!$C$13+Setup!$G$28+Setup!$C$14),Setup!$C$39:$C$50),WORKDAY(J157,-(Setup!$C$13+Setup!$G$28),Setup!$C$39:$C$50))+(152*100+9)/10000000)))</f>
        <v/>
      </c>
      <c r="AA157" t="str">
        <f>IF(K157="","",IF(K157&lt;Setup!$C$5-Setup!$C$6,"",IF(IF(ISNUMBER(Roster!$D157),Setup!$C$29&lt;=Roster!$D157,FALSE),"",IF(OR(IF(Setup!$C$15&lt;=Setup!$C$16,AND(MONTH(K157)&gt;=Setup!$C$15,MONTH(K157)&lt;=Setup!$C$16),OR(MONTH(K157)&gt;=Setup!$C$15,MONTH(K157)&lt;=Setup!$C$16)),IF(Setup!$C$15&lt;=Setup!$C$16,AND(MONTH(WORKDAY(K157,-(Setup!$C$13+Setup!$G$29),Setup!$C$39:$C$50))&gt;=Setup!$C$15,MONTH(WORKDAY(K157,-(Setup!$C$13+Setup!$G$29),Setup!$C$39:$C$50))&lt;=Setup!$C$16),OR(MONTH(WORKDAY(K157,-(Setup!$C$13+Setup!$G$29),Setup!$C$39:$C$50))&gt;=Setup!$C$15,MONTH(WORKDAY(K157,-(Setup!$C$13+Setup!$G$29),Setup!$C$39:$C$50))&lt;=Setup!$C$16))),WORKDAY(K157,-(Setup!$C$13+Setup!$G$29+Setup!$C$14),Setup!$C$39:$C$50),WORKDAY(K157,-(Setup!$C$13+Setup!$G$29),Setup!$C$39:$C$50))+(152*100+10)/10000000)))</f>
        <v/>
      </c>
      <c r="AB157" t="str">
        <f>IF(L157="","",IF(L157&lt;Setup!$C$5-Setup!$C$6,"",IF(IF(ISNUMBER(Roster!$D157),Setup!$C$30&lt;=Roster!$D157,FALSE),"",IF(OR(IF(Setup!$C$15&lt;=Setup!$C$16,AND(MONTH(L157)&gt;=Setup!$C$15,MONTH(L157)&lt;=Setup!$C$16),OR(MONTH(L157)&gt;=Setup!$C$15,MONTH(L157)&lt;=Setup!$C$16)),IF(Setup!$C$15&lt;=Setup!$C$16,AND(MONTH(WORKDAY(L157,-(Setup!$C$13+Setup!$G$30),Setup!$C$39:$C$50))&gt;=Setup!$C$15,MONTH(WORKDAY(L157,-(Setup!$C$13+Setup!$G$30),Setup!$C$39:$C$50))&lt;=Setup!$C$16),OR(MONTH(WORKDAY(L157,-(Setup!$C$13+Setup!$G$30),Setup!$C$39:$C$50))&gt;=Setup!$C$15,MONTH(WORKDAY(L157,-(Setup!$C$13+Setup!$G$30),Setup!$C$39:$C$50))&lt;=Setup!$C$16))),WORKDAY(L157,-(Setup!$C$13+Setup!$G$30+Setup!$C$14),Setup!$C$39:$C$50),WORKDAY(L157,-(Setup!$C$13+Setup!$G$30),Setup!$C$39:$C$50))+(152*100+11)/10000000)))</f>
        <v/>
      </c>
      <c r="AC157" t="str">
        <f>IF(M157="","",IF(M157&lt;Setup!$C$5-Setup!$C$6,"",IF(IF(ISNUMBER(Roster!$D157),Setup!$C$31&lt;=Roster!$D157,FALSE),"",IF(OR(IF(Setup!$C$15&lt;=Setup!$C$16,AND(MONTH(M157)&gt;=Setup!$C$15,MONTH(M157)&lt;=Setup!$C$16),OR(MONTH(M157)&gt;=Setup!$C$15,MONTH(M157)&lt;=Setup!$C$16)),IF(Setup!$C$15&lt;=Setup!$C$16,AND(MONTH(WORKDAY(M157,-(Setup!$C$13+Setup!$G$31),Setup!$C$39:$C$50))&gt;=Setup!$C$15,MONTH(WORKDAY(M157,-(Setup!$C$13+Setup!$G$31),Setup!$C$39:$C$50))&lt;=Setup!$C$16),OR(MONTH(WORKDAY(M157,-(Setup!$C$13+Setup!$G$31),Setup!$C$39:$C$50))&gt;=Setup!$C$15,MONTH(WORKDAY(M157,-(Setup!$C$13+Setup!$G$31),Setup!$C$39:$C$50))&lt;=Setup!$C$16))),WORKDAY(M157,-(Setup!$C$13+Setup!$G$31+Setup!$C$14),Setup!$C$39:$C$50),WORKDAY(M157,-(Setup!$C$13+Setup!$G$31),Setup!$C$39:$C$50))+(152*100+12)/10000000)))</f>
        <v/>
      </c>
      <c r="AD157" t="str">
        <f>IF(N157="","",IF(N157&lt;Setup!$C$5-Setup!$C$6,"",IF(IF(ISNUMBER(Roster!$D157),Setup!$C$32&lt;=Roster!$D157,FALSE),"",IF(OR(IF(Setup!$C$15&lt;=Setup!$C$16,AND(MONTH(N157)&gt;=Setup!$C$15,MONTH(N157)&lt;=Setup!$C$16),OR(MONTH(N157)&gt;=Setup!$C$15,MONTH(N157)&lt;=Setup!$C$16)),IF(Setup!$C$15&lt;=Setup!$C$16,AND(MONTH(WORKDAY(N157,-(Setup!$C$13+Setup!$G$32),Setup!$C$39:$C$50))&gt;=Setup!$C$15,MONTH(WORKDAY(N157,-(Setup!$C$13+Setup!$G$32),Setup!$C$39:$C$50))&lt;=Setup!$C$16),OR(MONTH(WORKDAY(N157,-(Setup!$C$13+Setup!$G$32),Setup!$C$39:$C$50))&gt;=Setup!$C$15,MONTH(WORKDAY(N157,-(Setup!$C$13+Setup!$G$32),Setup!$C$39:$C$50))&lt;=Setup!$C$16))),WORKDAY(N157,-(Setup!$C$13+Setup!$G$32+Setup!$C$14),Setup!$C$39:$C$50),WORKDAY(N157,-(Setup!$C$13+Setup!$G$32),Setup!$C$39:$C$50))+(152*100+13)/10000000)))</f>
        <v/>
      </c>
      <c r="AE157" t="str">
        <f>IF(O157="","",IF(O157&lt;Setup!$C$5-Setup!$C$6,"",IF(IF(ISNUMBER(Roster!$D157),Setup!$C$33&lt;=Roster!$D157,FALSE),"",IF(OR(IF(Setup!$C$15&lt;=Setup!$C$16,AND(MONTH(O157)&gt;=Setup!$C$15,MONTH(O157)&lt;=Setup!$C$16),OR(MONTH(O157)&gt;=Setup!$C$15,MONTH(O157)&lt;=Setup!$C$16)),IF(Setup!$C$15&lt;=Setup!$C$16,AND(MONTH(WORKDAY(O157,-(Setup!$C$13+Setup!$G$33),Setup!$C$39:$C$50))&gt;=Setup!$C$15,MONTH(WORKDAY(O157,-(Setup!$C$13+Setup!$G$33),Setup!$C$39:$C$50))&lt;=Setup!$C$16),OR(MONTH(WORKDAY(O157,-(Setup!$C$13+Setup!$G$33),Setup!$C$39:$C$50))&gt;=Setup!$C$15,MONTH(WORKDAY(O157,-(Setup!$C$13+Setup!$G$33),Setup!$C$39:$C$50))&lt;=Setup!$C$16))),WORKDAY(O157,-(Setup!$C$13+Setup!$G$33+Setup!$C$14),Setup!$C$39:$C$50),WORKDAY(O157,-(Setup!$C$13+Setup!$G$33),Setup!$C$39:$C$50))+(152*100+14)/10000000)))</f>
        <v/>
      </c>
      <c r="AF157" t="str">
        <f>IF(P157="","",IF(P157&lt;Setup!$C$5-Setup!$C$6,"",IF(IF(ISNUMBER(Roster!$D157),Setup!$C$34&lt;=Roster!$D157,FALSE),"",IF(OR(IF(Setup!$C$15&lt;=Setup!$C$16,AND(MONTH(P157)&gt;=Setup!$C$15,MONTH(P157)&lt;=Setup!$C$16),OR(MONTH(P157)&gt;=Setup!$C$15,MONTH(P157)&lt;=Setup!$C$16)),IF(Setup!$C$15&lt;=Setup!$C$16,AND(MONTH(WORKDAY(P157,-(Setup!$C$13+Setup!$G$34),Setup!$C$39:$C$50))&gt;=Setup!$C$15,MONTH(WORKDAY(P157,-(Setup!$C$13+Setup!$G$34),Setup!$C$39:$C$50))&lt;=Setup!$C$16),OR(MONTH(WORKDAY(P157,-(Setup!$C$13+Setup!$G$34),Setup!$C$39:$C$50))&gt;=Setup!$C$15,MONTH(WORKDAY(P157,-(Setup!$C$13+Setup!$G$34),Setup!$C$39:$C$50))&lt;=Setup!$C$16))),WORKDAY(P157,-(Setup!$C$13+Setup!$G$34+Setup!$C$14),Setup!$C$39:$C$50),WORKDAY(P157,-(Setup!$C$13+Setup!$G$34),Setup!$C$39:$C$50))+(152*100+15)/10000000)))</f>
        <v/>
      </c>
      <c r="AH157" t="str">
        <f t="shared" si="17"/>
        <v/>
      </c>
      <c r="AI157" t="str">
        <f t="shared" si="18"/>
        <v/>
      </c>
      <c r="AK157" t="str">
        <f ca="1">IF(152&gt;$AK$2,"",SMALL($R$6:$AF$505,152))</f>
        <v/>
      </c>
      <c r="AL157" t="str">
        <f t="shared" ca="1" si="19"/>
        <v/>
      </c>
      <c r="AM157" t="str">
        <f t="shared" ca="1" si="20"/>
        <v/>
      </c>
      <c r="AN157" t="str">
        <f t="shared" ca="1" si="21"/>
        <v/>
      </c>
      <c r="AP157" t="str">
        <f>IF(ISNUMBER(Roster!$B157),MAX(1,YEAR(Setup!$C$5)-YEAR(Roster!$B157)+IF(EDATE(Roster!$B157,12*(YEAR(Setup!$C$5)-YEAR(Roster!$B157)))&lt;Setup!$C$5,1,0)),"")</f>
        <v/>
      </c>
      <c r="AQ157" s="32" t="str">
        <f>IF(AP157="","",EDATE(Roster!$B157,12*AP157))</f>
        <v/>
      </c>
      <c r="AR157" t="str">
        <f>IF(AQ157="","",IF(AQ157&lt;DATE(YEAR(Setup!$C$5)+1,MONTH(Setup!$C$5),DAY(Setup!$C$5)),AQ157+152/1000,""))</f>
        <v/>
      </c>
      <c r="AS157" t="str">
        <f t="shared" si="22"/>
        <v/>
      </c>
      <c r="AT157" t="str">
        <f>IF(AS157="","",IF(ISNUMBER(Roster!$D157),Roster!$D157&gt;=AP157,FALSE))</f>
        <v/>
      </c>
      <c r="AU157" t="str">
        <f t="shared" si="23"/>
        <v/>
      </c>
      <c r="AV157" t="str">
        <f ca="1">IF(152&gt;$AV$2,"",SMALL($AR$6:$AR$505,152))</f>
        <v/>
      </c>
      <c r="AW157" t="str">
        <f t="shared" ca="1" si="24"/>
        <v/>
      </c>
    </row>
    <row r="158" spans="2:49" x14ac:dyDescent="0.2">
      <c r="B158" s="32" t="str">
        <f>IF(AND(ISNUMBER(Roster!$B158),Setup!$B$20="Yes",ISNUMBER(Setup!$C$20)),EDATE(Roster!$B158,12*Setup!$C$20),"")</f>
        <v/>
      </c>
      <c r="C158" s="32" t="str">
        <f>IF(AND(ISNUMBER(Roster!$B158),Setup!$B$21="Yes",ISNUMBER(Setup!$C$21)),EDATE(Roster!$B158,12*Setup!$C$21),"")</f>
        <v/>
      </c>
      <c r="D158" s="32" t="str">
        <f>IF(AND(ISNUMBER(Roster!$B158),Setup!$B$22="Yes",ISNUMBER(Setup!$C$22)),EDATE(Roster!$B158,12*Setup!$C$22),"")</f>
        <v/>
      </c>
      <c r="E158" s="32" t="str">
        <f>IF(AND(ISNUMBER(Roster!$B158),Setup!$B$23="Yes",ISNUMBER(Setup!$C$23)),EDATE(Roster!$B158,12*Setup!$C$23),"")</f>
        <v/>
      </c>
      <c r="F158" s="32" t="str">
        <f>IF(AND(ISNUMBER(Roster!$B158),Setup!$B$24="Yes",ISNUMBER(Setup!$C$24)),EDATE(Roster!$B158,12*Setup!$C$24),"")</f>
        <v/>
      </c>
      <c r="G158" s="32" t="str">
        <f>IF(AND(ISNUMBER(Roster!$B158),Setup!$B$25="Yes",ISNUMBER(Setup!$C$25)),EDATE(Roster!$B158,12*Setup!$C$25),"")</f>
        <v/>
      </c>
      <c r="H158" s="32" t="str">
        <f>IF(AND(ISNUMBER(Roster!$B158),Setup!$B$26="Yes",ISNUMBER(Setup!$C$26)),EDATE(Roster!$B158,12*Setup!$C$26),"")</f>
        <v/>
      </c>
      <c r="I158" s="32" t="str">
        <f>IF(AND(ISNUMBER(Roster!$B158),Setup!$B$27="Yes",ISNUMBER(Setup!$C$27)),EDATE(Roster!$B158,12*Setup!$C$27),"")</f>
        <v/>
      </c>
      <c r="J158" s="32" t="str">
        <f>IF(AND(ISNUMBER(Roster!$B158),Setup!$B$28="Yes",ISNUMBER(Setup!$C$28)),EDATE(Roster!$B158,12*Setup!$C$28),"")</f>
        <v/>
      </c>
      <c r="K158" s="32" t="str">
        <f>IF(AND(ISNUMBER(Roster!$B158),Setup!$B$29="Yes",ISNUMBER(Setup!$C$29)),EDATE(Roster!$B158,12*Setup!$C$29),"")</f>
        <v/>
      </c>
      <c r="L158" s="32" t="str">
        <f>IF(AND(ISNUMBER(Roster!$B158),Setup!$B$30="Yes",ISNUMBER(Setup!$C$30)),EDATE(Roster!$B158,12*Setup!$C$30),"")</f>
        <v/>
      </c>
      <c r="M158" s="32" t="str">
        <f>IF(AND(ISNUMBER(Roster!$B158),Setup!$B$31="Yes",ISNUMBER(Setup!$C$31)),EDATE(Roster!$B158,12*Setup!$C$31),"")</f>
        <v/>
      </c>
      <c r="N158" s="32" t="str">
        <f>IF(AND(ISNUMBER(Roster!$B158),Setup!$B$32="Yes",ISNUMBER(Setup!$C$32)),EDATE(Roster!$B158,12*Setup!$C$32),"")</f>
        <v/>
      </c>
      <c r="O158" s="32" t="str">
        <f>IF(AND(ISNUMBER(Roster!$B158),Setup!$B$33="Yes",ISNUMBER(Setup!$C$33)),EDATE(Roster!$B158,12*Setup!$C$33),"")</f>
        <v/>
      </c>
      <c r="P158" s="32" t="str">
        <f>IF(AND(ISNUMBER(Roster!$B158),Setup!$B$34="Yes",ISNUMBER(Setup!$C$34)),EDATE(Roster!$B158,12*Setup!$C$34),"")</f>
        <v/>
      </c>
      <c r="R158" t="str">
        <f>IF(B158="","",IF(B158&lt;Setup!$C$5-Setup!$C$6,"",IF(IF(ISNUMBER(Roster!$D158),Setup!$C$20&lt;=Roster!$D158,FALSE),"",IF(OR(IF(Setup!$C$15&lt;=Setup!$C$16,AND(MONTH(B158)&gt;=Setup!$C$15,MONTH(B158)&lt;=Setup!$C$16),OR(MONTH(B158)&gt;=Setup!$C$15,MONTH(B158)&lt;=Setup!$C$16)),IF(Setup!$C$15&lt;=Setup!$C$16,AND(MONTH(WORKDAY(B158,-(Setup!$C$13+Setup!$G$20),Setup!$C$39:$C$50))&gt;=Setup!$C$15,MONTH(WORKDAY(B158,-(Setup!$C$13+Setup!$G$20),Setup!$C$39:$C$50))&lt;=Setup!$C$16),OR(MONTH(WORKDAY(B158,-(Setup!$C$13+Setup!$G$20),Setup!$C$39:$C$50))&gt;=Setup!$C$15,MONTH(WORKDAY(B158,-(Setup!$C$13+Setup!$G$20),Setup!$C$39:$C$50))&lt;=Setup!$C$16))),WORKDAY(B158,-(Setup!$C$13+Setup!$G$20+Setup!$C$14),Setup!$C$39:$C$50),WORKDAY(B158,-(Setup!$C$13+Setup!$G$20),Setup!$C$39:$C$50))+(153*100+1)/10000000)))</f>
        <v/>
      </c>
      <c r="S158" t="str">
        <f>IF(C158="","",IF(C158&lt;Setup!$C$5-Setup!$C$6,"",IF(IF(ISNUMBER(Roster!$D158),Setup!$C$21&lt;=Roster!$D158,FALSE),"",IF(OR(IF(Setup!$C$15&lt;=Setup!$C$16,AND(MONTH(C158)&gt;=Setup!$C$15,MONTH(C158)&lt;=Setup!$C$16),OR(MONTH(C158)&gt;=Setup!$C$15,MONTH(C158)&lt;=Setup!$C$16)),IF(Setup!$C$15&lt;=Setup!$C$16,AND(MONTH(WORKDAY(C158,-(Setup!$C$13+Setup!$G$21),Setup!$C$39:$C$50))&gt;=Setup!$C$15,MONTH(WORKDAY(C158,-(Setup!$C$13+Setup!$G$21),Setup!$C$39:$C$50))&lt;=Setup!$C$16),OR(MONTH(WORKDAY(C158,-(Setup!$C$13+Setup!$G$21),Setup!$C$39:$C$50))&gt;=Setup!$C$15,MONTH(WORKDAY(C158,-(Setup!$C$13+Setup!$G$21),Setup!$C$39:$C$50))&lt;=Setup!$C$16))),WORKDAY(C158,-(Setup!$C$13+Setup!$G$21+Setup!$C$14),Setup!$C$39:$C$50),WORKDAY(C158,-(Setup!$C$13+Setup!$G$21),Setup!$C$39:$C$50))+(153*100+2)/10000000)))</f>
        <v/>
      </c>
      <c r="T158" t="str">
        <f>IF(D158="","",IF(D158&lt;Setup!$C$5-Setup!$C$6,"",IF(IF(ISNUMBER(Roster!$D158),Setup!$C$22&lt;=Roster!$D158,FALSE),"",IF(OR(IF(Setup!$C$15&lt;=Setup!$C$16,AND(MONTH(D158)&gt;=Setup!$C$15,MONTH(D158)&lt;=Setup!$C$16),OR(MONTH(D158)&gt;=Setup!$C$15,MONTH(D158)&lt;=Setup!$C$16)),IF(Setup!$C$15&lt;=Setup!$C$16,AND(MONTH(WORKDAY(D158,-(Setup!$C$13+Setup!$G$22),Setup!$C$39:$C$50))&gt;=Setup!$C$15,MONTH(WORKDAY(D158,-(Setup!$C$13+Setup!$G$22),Setup!$C$39:$C$50))&lt;=Setup!$C$16),OR(MONTH(WORKDAY(D158,-(Setup!$C$13+Setup!$G$22),Setup!$C$39:$C$50))&gt;=Setup!$C$15,MONTH(WORKDAY(D158,-(Setup!$C$13+Setup!$G$22),Setup!$C$39:$C$50))&lt;=Setup!$C$16))),WORKDAY(D158,-(Setup!$C$13+Setup!$G$22+Setup!$C$14),Setup!$C$39:$C$50),WORKDAY(D158,-(Setup!$C$13+Setup!$G$22),Setup!$C$39:$C$50))+(153*100+3)/10000000)))</f>
        <v/>
      </c>
      <c r="U158" t="str">
        <f>IF(E158="","",IF(E158&lt;Setup!$C$5-Setup!$C$6,"",IF(IF(ISNUMBER(Roster!$D158),Setup!$C$23&lt;=Roster!$D158,FALSE),"",IF(OR(IF(Setup!$C$15&lt;=Setup!$C$16,AND(MONTH(E158)&gt;=Setup!$C$15,MONTH(E158)&lt;=Setup!$C$16),OR(MONTH(E158)&gt;=Setup!$C$15,MONTH(E158)&lt;=Setup!$C$16)),IF(Setup!$C$15&lt;=Setup!$C$16,AND(MONTH(WORKDAY(E158,-(Setup!$C$13+Setup!$G$23),Setup!$C$39:$C$50))&gt;=Setup!$C$15,MONTH(WORKDAY(E158,-(Setup!$C$13+Setup!$G$23),Setup!$C$39:$C$50))&lt;=Setup!$C$16),OR(MONTH(WORKDAY(E158,-(Setup!$C$13+Setup!$G$23),Setup!$C$39:$C$50))&gt;=Setup!$C$15,MONTH(WORKDAY(E158,-(Setup!$C$13+Setup!$G$23),Setup!$C$39:$C$50))&lt;=Setup!$C$16))),WORKDAY(E158,-(Setup!$C$13+Setup!$G$23+Setup!$C$14),Setup!$C$39:$C$50),WORKDAY(E158,-(Setup!$C$13+Setup!$G$23),Setup!$C$39:$C$50))+(153*100+4)/10000000)))</f>
        <v/>
      </c>
      <c r="V158" t="str">
        <f>IF(F158="","",IF(F158&lt;Setup!$C$5-Setup!$C$6,"",IF(IF(ISNUMBER(Roster!$D158),Setup!$C$24&lt;=Roster!$D158,FALSE),"",IF(OR(IF(Setup!$C$15&lt;=Setup!$C$16,AND(MONTH(F158)&gt;=Setup!$C$15,MONTH(F158)&lt;=Setup!$C$16),OR(MONTH(F158)&gt;=Setup!$C$15,MONTH(F158)&lt;=Setup!$C$16)),IF(Setup!$C$15&lt;=Setup!$C$16,AND(MONTH(WORKDAY(F158,-(Setup!$C$13+Setup!$G$24),Setup!$C$39:$C$50))&gt;=Setup!$C$15,MONTH(WORKDAY(F158,-(Setup!$C$13+Setup!$G$24),Setup!$C$39:$C$50))&lt;=Setup!$C$16),OR(MONTH(WORKDAY(F158,-(Setup!$C$13+Setup!$G$24),Setup!$C$39:$C$50))&gt;=Setup!$C$15,MONTH(WORKDAY(F158,-(Setup!$C$13+Setup!$G$24),Setup!$C$39:$C$50))&lt;=Setup!$C$16))),WORKDAY(F158,-(Setup!$C$13+Setup!$G$24+Setup!$C$14),Setup!$C$39:$C$50),WORKDAY(F158,-(Setup!$C$13+Setup!$G$24),Setup!$C$39:$C$50))+(153*100+5)/10000000)))</f>
        <v/>
      </c>
      <c r="W158" t="str">
        <f>IF(G158="","",IF(G158&lt;Setup!$C$5-Setup!$C$6,"",IF(IF(ISNUMBER(Roster!$D158),Setup!$C$25&lt;=Roster!$D158,FALSE),"",IF(OR(IF(Setup!$C$15&lt;=Setup!$C$16,AND(MONTH(G158)&gt;=Setup!$C$15,MONTH(G158)&lt;=Setup!$C$16),OR(MONTH(G158)&gt;=Setup!$C$15,MONTH(G158)&lt;=Setup!$C$16)),IF(Setup!$C$15&lt;=Setup!$C$16,AND(MONTH(WORKDAY(G158,-(Setup!$C$13+Setup!$G$25),Setup!$C$39:$C$50))&gt;=Setup!$C$15,MONTH(WORKDAY(G158,-(Setup!$C$13+Setup!$G$25),Setup!$C$39:$C$50))&lt;=Setup!$C$16),OR(MONTH(WORKDAY(G158,-(Setup!$C$13+Setup!$G$25),Setup!$C$39:$C$50))&gt;=Setup!$C$15,MONTH(WORKDAY(G158,-(Setup!$C$13+Setup!$G$25),Setup!$C$39:$C$50))&lt;=Setup!$C$16))),WORKDAY(G158,-(Setup!$C$13+Setup!$G$25+Setup!$C$14),Setup!$C$39:$C$50),WORKDAY(G158,-(Setup!$C$13+Setup!$G$25),Setup!$C$39:$C$50))+(153*100+6)/10000000)))</f>
        <v/>
      </c>
      <c r="X158" t="str">
        <f>IF(H158="","",IF(H158&lt;Setup!$C$5-Setup!$C$6,"",IF(IF(ISNUMBER(Roster!$D158),Setup!$C$26&lt;=Roster!$D158,FALSE),"",IF(OR(IF(Setup!$C$15&lt;=Setup!$C$16,AND(MONTH(H158)&gt;=Setup!$C$15,MONTH(H158)&lt;=Setup!$C$16),OR(MONTH(H158)&gt;=Setup!$C$15,MONTH(H158)&lt;=Setup!$C$16)),IF(Setup!$C$15&lt;=Setup!$C$16,AND(MONTH(WORKDAY(H158,-(Setup!$C$13+Setup!$G$26),Setup!$C$39:$C$50))&gt;=Setup!$C$15,MONTH(WORKDAY(H158,-(Setup!$C$13+Setup!$G$26),Setup!$C$39:$C$50))&lt;=Setup!$C$16),OR(MONTH(WORKDAY(H158,-(Setup!$C$13+Setup!$G$26),Setup!$C$39:$C$50))&gt;=Setup!$C$15,MONTH(WORKDAY(H158,-(Setup!$C$13+Setup!$G$26),Setup!$C$39:$C$50))&lt;=Setup!$C$16))),WORKDAY(H158,-(Setup!$C$13+Setup!$G$26+Setup!$C$14),Setup!$C$39:$C$50),WORKDAY(H158,-(Setup!$C$13+Setup!$G$26),Setup!$C$39:$C$50))+(153*100+7)/10000000)))</f>
        <v/>
      </c>
      <c r="Y158" t="str">
        <f>IF(I158="","",IF(I158&lt;Setup!$C$5-Setup!$C$6,"",IF(IF(ISNUMBER(Roster!$D158),Setup!$C$27&lt;=Roster!$D158,FALSE),"",IF(OR(IF(Setup!$C$15&lt;=Setup!$C$16,AND(MONTH(I158)&gt;=Setup!$C$15,MONTH(I158)&lt;=Setup!$C$16),OR(MONTH(I158)&gt;=Setup!$C$15,MONTH(I158)&lt;=Setup!$C$16)),IF(Setup!$C$15&lt;=Setup!$C$16,AND(MONTH(WORKDAY(I158,-(Setup!$C$13+Setup!$G$27),Setup!$C$39:$C$50))&gt;=Setup!$C$15,MONTH(WORKDAY(I158,-(Setup!$C$13+Setup!$G$27),Setup!$C$39:$C$50))&lt;=Setup!$C$16),OR(MONTH(WORKDAY(I158,-(Setup!$C$13+Setup!$G$27),Setup!$C$39:$C$50))&gt;=Setup!$C$15,MONTH(WORKDAY(I158,-(Setup!$C$13+Setup!$G$27),Setup!$C$39:$C$50))&lt;=Setup!$C$16))),WORKDAY(I158,-(Setup!$C$13+Setup!$G$27+Setup!$C$14),Setup!$C$39:$C$50),WORKDAY(I158,-(Setup!$C$13+Setup!$G$27),Setup!$C$39:$C$50))+(153*100+8)/10000000)))</f>
        <v/>
      </c>
      <c r="Z158" t="str">
        <f>IF(J158="","",IF(J158&lt;Setup!$C$5-Setup!$C$6,"",IF(IF(ISNUMBER(Roster!$D158),Setup!$C$28&lt;=Roster!$D158,FALSE),"",IF(OR(IF(Setup!$C$15&lt;=Setup!$C$16,AND(MONTH(J158)&gt;=Setup!$C$15,MONTH(J158)&lt;=Setup!$C$16),OR(MONTH(J158)&gt;=Setup!$C$15,MONTH(J158)&lt;=Setup!$C$16)),IF(Setup!$C$15&lt;=Setup!$C$16,AND(MONTH(WORKDAY(J158,-(Setup!$C$13+Setup!$G$28),Setup!$C$39:$C$50))&gt;=Setup!$C$15,MONTH(WORKDAY(J158,-(Setup!$C$13+Setup!$G$28),Setup!$C$39:$C$50))&lt;=Setup!$C$16),OR(MONTH(WORKDAY(J158,-(Setup!$C$13+Setup!$G$28),Setup!$C$39:$C$50))&gt;=Setup!$C$15,MONTH(WORKDAY(J158,-(Setup!$C$13+Setup!$G$28),Setup!$C$39:$C$50))&lt;=Setup!$C$16))),WORKDAY(J158,-(Setup!$C$13+Setup!$G$28+Setup!$C$14),Setup!$C$39:$C$50),WORKDAY(J158,-(Setup!$C$13+Setup!$G$28),Setup!$C$39:$C$50))+(153*100+9)/10000000)))</f>
        <v/>
      </c>
      <c r="AA158" t="str">
        <f>IF(K158="","",IF(K158&lt;Setup!$C$5-Setup!$C$6,"",IF(IF(ISNUMBER(Roster!$D158),Setup!$C$29&lt;=Roster!$D158,FALSE),"",IF(OR(IF(Setup!$C$15&lt;=Setup!$C$16,AND(MONTH(K158)&gt;=Setup!$C$15,MONTH(K158)&lt;=Setup!$C$16),OR(MONTH(K158)&gt;=Setup!$C$15,MONTH(K158)&lt;=Setup!$C$16)),IF(Setup!$C$15&lt;=Setup!$C$16,AND(MONTH(WORKDAY(K158,-(Setup!$C$13+Setup!$G$29),Setup!$C$39:$C$50))&gt;=Setup!$C$15,MONTH(WORKDAY(K158,-(Setup!$C$13+Setup!$G$29),Setup!$C$39:$C$50))&lt;=Setup!$C$16),OR(MONTH(WORKDAY(K158,-(Setup!$C$13+Setup!$G$29),Setup!$C$39:$C$50))&gt;=Setup!$C$15,MONTH(WORKDAY(K158,-(Setup!$C$13+Setup!$G$29),Setup!$C$39:$C$50))&lt;=Setup!$C$16))),WORKDAY(K158,-(Setup!$C$13+Setup!$G$29+Setup!$C$14),Setup!$C$39:$C$50),WORKDAY(K158,-(Setup!$C$13+Setup!$G$29),Setup!$C$39:$C$50))+(153*100+10)/10000000)))</f>
        <v/>
      </c>
      <c r="AB158" t="str">
        <f>IF(L158="","",IF(L158&lt;Setup!$C$5-Setup!$C$6,"",IF(IF(ISNUMBER(Roster!$D158),Setup!$C$30&lt;=Roster!$D158,FALSE),"",IF(OR(IF(Setup!$C$15&lt;=Setup!$C$16,AND(MONTH(L158)&gt;=Setup!$C$15,MONTH(L158)&lt;=Setup!$C$16),OR(MONTH(L158)&gt;=Setup!$C$15,MONTH(L158)&lt;=Setup!$C$16)),IF(Setup!$C$15&lt;=Setup!$C$16,AND(MONTH(WORKDAY(L158,-(Setup!$C$13+Setup!$G$30),Setup!$C$39:$C$50))&gt;=Setup!$C$15,MONTH(WORKDAY(L158,-(Setup!$C$13+Setup!$G$30),Setup!$C$39:$C$50))&lt;=Setup!$C$16),OR(MONTH(WORKDAY(L158,-(Setup!$C$13+Setup!$G$30),Setup!$C$39:$C$50))&gt;=Setup!$C$15,MONTH(WORKDAY(L158,-(Setup!$C$13+Setup!$G$30),Setup!$C$39:$C$50))&lt;=Setup!$C$16))),WORKDAY(L158,-(Setup!$C$13+Setup!$G$30+Setup!$C$14),Setup!$C$39:$C$50),WORKDAY(L158,-(Setup!$C$13+Setup!$G$30),Setup!$C$39:$C$50))+(153*100+11)/10000000)))</f>
        <v/>
      </c>
      <c r="AC158" t="str">
        <f>IF(M158="","",IF(M158&lt;Setup!$C$5-Setup!$C$6,"",IF(IF(ISNUMBER(Roster!$D158),Setup!$C$31&lt;=Roster!$D158,FALSE),"",IF(OR(IF(Setup!$C$15&lt;=Setup!$C$16,AND(MONTH(M158)&gt;=Setup!$C$15,MONTH(M158)&lt;=Setup!$C$16),OR(MONTH(M158)&gt;=Setup!$C$15,MONTH(M158)&lt;=Setup!$C$16)),IF(Setup!$C$15&lt;=Setup!$C$16,AND(MONTH(WORKDAY(M158,-(Setup!$C$13+Setup!$G$31),Setup!$C$39:$C$50))&gt;=Setup!$C$15,MONTH(WORKDAY(M158,-(Setup!$C$13+Setup!$G$31),Setup!$C$39:$C$50))&lt;=Setup!$C$16),OR(MONTH(WORKDAY(M158,-(Setup!$C$13+Setup!$G$31),Setup!$C$39:$C$50))&gt;=Setup!$C$15,MONTH(WORKDAY(M158,-(Setup!$C$13+Setup!$G$31),Setup!$C$39:$C$50))&lt;=Setup!$C$16))),WORKDAY(M158,-(Setup!$C$13+Setup!$G$31+Setup!$C$14),Setup!$C$39:$C$50),WORKDAY(M158,-(Setup!$C$13+Setup!$G$31),Setup!$C$39:$C$50))+(153*100+12)/10000000)))</f>
        <v/>
      </c>
      <c r="AD158" t="str">
        <f>IF(N158="","",IF(N158&lt;Setup!$C$5-Setup!$C$6,"",IF(IF(ISNUMBER(Roster!$D158),Setup!$C$32&lt;=Roster!$D158,FALSE),"",IF(OR(IF(Setup!$C$15&lt;=Setup!$C$16,AND(MONTH(N158)&gt;=Setup!$C$15,MONTH(N158)&lt;=Setup!$C$16),OR(MONTH(N158)&gt;=Setup!$C$15,MONTH(N158)&lt;=Setup!$C$16)),IF(Setup!$C$15&lt;=Setup!$C$16,AND(MONTH(WORKDAY(N158,-(Setup!$C$13+Setup!$G$32),Setup!$C$39:$C$50))&gt;=Setup!$C$15,MONTH(WORKDAY(N158,-(Setup!$C$13+Setup!$G$32),Setup!$C$39:$C$50))&lt;=Setup!$C$16),OR(MONTH(WORKDAY(N158,-(Setup!$C$13+Setup!$G$32),Setup!$C$39:$C$50))&gt;=Setup!$C$15,MONTH(WORKDAY(N158,-(Setup!$C$13+Setup!$G$32),Setup!$C$39:$C$50))&lt;=Setup!$C$16))),WORKDAY(N158,-(Setup!$C$13+Setup!$G$32+Setup!$C$14),Setup!$C$39:$C$50),WORKDAY(N158,-(Setup!$C$13+Setup!$G$32),Setup!$C$39:$C$50))+(153*100+13)/10000000)))</f>
        <v/>
      </c>
      <c r="AE158" t="str">
        <f>IF(O158="","",IF(O158&lt;Setup!$C$5-Setup!$C$6,"",IF(IF(ISNUMBER(Roster!$D158),Setup!$C$33&lt;=Roster!$D158,FALSE),"",IF(OR(IF(Setup!$C$15&lt;=Setup!$C$16,AND(MONTH(O158)&gt;=Setup!$C$15,MONTH(O158)&lt;=Setup!$C$16),OR(MONTH(O158)&gt;=Setup!$C$15,MONTH(O158)&lt;=Setup!$C$16)),IF(Setup!$C$15&lt;=Setup!$C$16,AND(MONTH(WORKDAY(O158,-(Setup!$C$13+Setup!$G$33),Setup!$C$39:$C$50))&gt;=Setup!$C$15,MONTH(WORKDAY(O158,-(Setup!$C$13+Setup!$G$33),Setup!$C$39:$C$50))&lt;=Setup!$C$16),OR(MONTH(WORKDAY(O158,-(Setup!$C$13+Setup!$G$33),Setup!$C$39:$C$50))&gt;=Setup!$C$15,MONTH(WORKDAY(O158,-(Setup!$C$13+Setup!$G$33),Setup!$C$39:$C$50))&lt;=Setup!$C$16))),WORKDAY(O158,-(Setup!$C$13+Setup!$G$33+Setup!$C$14),Setup!$C$39:$C$50),WORKDAY(O158,-(Setup!$C$13+Setup!$G$33),Setup!$C$39:$C$50))+(153*100+14)/10000000)))</f>
        <v/>
      </c>
      <c r="AF158" t="str">
        <f>IF(P158="","",IF(P158&lt;Setup!$C$5-Setup!$C$6,"",IF(IF(ISNUMBER(Roster!$D158),Setup!$C$34&lt;=Roster!$D158,FALSE),"",IF(OR(IF(Setup!$C$15&lt;=Setup!$C$16,AND(MONTH(P158)&gt;=Setup!$C$15,MONTH(P158)&lt;=Setup!$C$16),OR(MONTH(P158)&gt;=Setup!$C$15,MONTH(P158)&lt;=Setup!$C$16)),IF(Setup!$C$15&lt;=Setup!$C$16,AND(MONTH(WORKDAY(P158,-(Setup!$C$13+Setup!$G$34),Setup!$C$39:$C$50))&gt;=Setup!$C$15,MONTH(WORKDAY(P158,-(Setup!$C$13+Setup!$G$34),Setup!$C$39:$C$50))&lt;=Setup!$C$16),OR(MONTH(WORKDAY(P158,-(Setup!$C$13+Setup!$G$34),Setup!$C$39:$C$50))&gt;=Setup!$C$15,MONTH(WORKDAY(P158,-(Setup!$C$13+Setup!$G$34),Setup!$C$39:$C$50))&lt;=Setup!$C$16))),WORKDAY(P158,-(Setup!$C$13+Setup!$G$34+Setup!$C$14),Setup!$C$39:$C$50),WORKDAY(P158,-(Setup!$C$13+Setup!$G$34),Setup!$C$39:$C$50))+(153*100+15)/10000000)))</f>
        <v/>
      </c>
      <c r="AH158" t="str">
        <f t="shared" si="17"/>
        <v/>
      </c>
      <c r="AI158" t="str">
        <f t="shared" si="18"/>
        <v/>
      </c>
      <c r="AK158" t="str">
        <f ca="1">IF(153&gt;$AK$2,"",SMALL($R$6:$AF$505,153))</f>
        <v/>
      </c>
      <c r="AL158" t="str">
        <f t="shared" ca="1" si="19"/>
        <v/>
      </c>
      <c r="AM158" t="str">
        <f t="shared" ca="1" si="20"/>
        <v/>
      </c>
      <c r="AN158" t="str">
        <f t="shared" ca="1" si="21"/>
        <v/>
      </c>
      <c r="AP158" t="str">
        <f>IF(ISNUMBER(Roster!$B158),MAX(1,YEAR(Setup!$C$5)-YEAR(Roster!$B158)+IF(EDATE(Roster!$B158,12*(YEAR(Setup!$C$5)-YEAR(Roster!$B158)))&lt;Setup!$C$5,1,0)),"")</f>
        <v/>
      </c>
      <c r="AQ158" s="32" t="str">
        <f>IF(AP158="","",EDATE(Roster!$B158,12*AP158))</f>
        <v/>
      </c>
      <c r="AR158" t="str">
        <f>IF(AQ158="","",IF(AQ158&lt;DATE(YEAR(Setup!$C$5)+1,MONTH(Setup!$C$5),DAY(Setup!$C$5)),AQ158+153/1000,""))</f>
        <v/>
      </c>
      <c r="AS158" t="str">
        <f t="shared" si="22"/>
        <v/>
      </c>
      <c r="AT158" t="str">
        <f>IF(AS158="","",IF(ISNUMBER(Roster!$D158),Roster!$D158&gt;=AP158,FALSE))</f>
        <v/>
      </c>
      <c r="AU158" t="str">
        <f t="shared" si="23"/>
        <v/>
      </c>
      <c r="AV158" t="str">
        <f ca="1">IF(153&gt;$AV$2,"",SMALL($AR$6:$AR$505,153))</f>
        <v/>
      </c>
      <c r="AW158" t="str">
        <f t="shared" ca="1" si="24"/>
        <v/>
      </c>
    </row>
    <row r="159" spans="2:49" x14ac:dyDescent="0.2">
      <c r="B159" s="32" t="str">
        <f>IF(AND(ISNUMBER(Roster!$B159),Setup!$B$20="Yes",ISNUMBER(Setup!$C$20)),EDATE(Roster!$B159,12*Setup!$C$20),"")</f>
        <v/>
      </c>
      <c r="C159" s="32" t="str">
        <f>IF(AND(ISNUMBER(Roster!$B159),Setup!$B$21="Yes",ISNUMBER(Setup!$C$21)),EDATE(Roster!$B159,12*Setup!$C$21),"")</f>
        <v/>
      </c>
      <c r="D159" s="32" t="str">
        <f>IF(AND(ISNUMBER(Roster!$B159),Setup!$B$22="Yes",ISNUMBER(Setup!$C$22)),EDATE(Roster!$B159,12*Setup!$C$22),"")</f>
        <v/>
      </c>
      <c r="E159" s="32" t="str">
        <f>IF(AND(ISNUMBER(Roster!$B159),Setup!$B$23="Yes",ISNUMBER(Setup!$C$23)),EDATE(Roster!$B159,12*Setup!$C$23),"")</f>
        <v/>
      </c>
      <c r="F159" s="32" t="str">
        <f>IF(AND(ISNUMBER(Roster!$B159),Setup!$B$24="Yes",ISNUMBER(Setup!$C$24)),EDATE(Roster!$B159,12*Setup!$C$24),"")</f>
        <v/>
      </c>
      <c r="G159" s="32" t="str">
        <f>IF(AND(ISNUMBER(Roster!$B159),Setup!$B$25="Yes",ISNUMBER(Setup!$C$25)),EDATE(Roster!$B159,12*Setup!$C$25),"")</f>
        <v/>
      </c>
      <c r="H159" s="32" t="str">
        <f>IF(AND(ISNUMBER(Roster!$B159),Setup!$B$26="Yes",ISNUMBER(Setup!$C$26)),EDATE(Roster!$B159,12*Setup!$C$26),"")</f>
        <v/>
      </c>
      <c r="I159" s="32" t="str">
        <f>IF(AND(ISNUMBER(Roster!$B159),Setup!$B$27="Yes",ISNUMBER(Setup!$C$27)),EDATE(Roster!$B159,12*Setup!$C$27),"")</f>
        <v/>
      </c>
      <c r="J159" s="32" t="str">
        <f>IF(AND(ISNUMBER(Roster!$B159),Setup!$B$28="Yes",ISNUMBER(Setup!$C$28)),EDATE(Roster!$B159,12*Setup!$C$28),"")</f>
        <v/>
      </c>
      <c r="K159" s="32" t="str">
        <f>IF(AND(ISNUMBER(Roster!$B159),Setup!$B$29="Yes",ISNUMBER(Setup!$C$29)),EDATE(Roster!$B159,12*Setup!$C$29),"")</f>
        <v/>
      </c>
      <c r="L159" s="32" t="str">
        <f>IF(AND(ISNUMBER(Roster!$B159),Setup!$B$30="Yes",ISNUMBER(Setup!$C$30)),EDATE(Roster!$B159,12*Setup!$C$30),"")</f>
        <v/>
      </c>
      <c r="M159" s="32" t="str">
        <f>IF(AND(ISNUMBER(Roster!$B159),Setup!$B$31="Yes",ISNUMBER(Setup!$C$31)),EDATE(Roster!$B159,12*Setup!$C$31),"")</f>
        <v/>
      </c>
      <c r="N159" s="32" t="str">
        <f>IF(AND(ISNUMBER(Roster!$B159),Setup!$B$32="Yes",ISNUMBER(Setup!$C$32)),EDATE(Roster!$B159,12*Setup!$C$32),"")</f>
        <v/>
      </c>
      <c r="O159" s="32" t="str">
        <f>IF(AND(ISNUMBER(Roster!$B159),Setup!$B$33="Yes",ISNUMBER(Setup!$C$33)),EDATE(Roster!$B159,12*Setup!$C$33),"")</f>
        <v/>
      </c>
      <c r="P159" s="32" t="str">
        <f>IF(AND(ISNUMBER(Roster!$B159),Setup!$B$34="Yes",ISNUMBER(Setup!$C$34)),EDATE(Roster!$B159,12*Setup!$C$34),"")</f>
        <v/>
      </c>
      <c r="R159" t="str">
        <f>IF(B159="","",IF(B159&lt;Setup!$C$5-Setup!$C$6,"",IF(IF(ISNUMBER(Roster!$D159),Setup!$C$20&lt;=Roster!$D159,FALSE),"",IF(OR(IF(Setup!$C$15&lt;=Setup!$C$16,AND(MONTH(B159)&gt;=Setup!$C$15,MONTH(B159)&lt;=Setup!$C$16),OR(MONTH(B159)&gt;=Setup!$C$15,MONTH(B159)&lt;=Setup!$C$16)),IF(Setup!$C$15&lt;=Setup!$C$16,AND(MONTH(WORKDAY(B159,-(Setup!$C$13+Setup!$G$20),Setup!$C$39:$C$50))&gt;=Setup!$C$15,MONTH(WORKDAY(B159,-(Setup!$C$13+Setup!$G$20),Setup!$C$39:$C$50))&lt;=Setup!$C$16),OR(MONTH(WORKDAY(B159,-(Setup!$C$13+Setup!$G$20),Setup!$C$39:$C$50))&gt;=Setup!$C$15,MONTH(WORKDAY(B159,-(Setup!$C$13+Setup!$G$20),Setup!$C$39:$C$50))&lt;=Setup!$C$16))),WORKDAY(B159,-(Setup!$C$13+Setup!$G$20+Setup!$C$14),Setup!$C$39:$C$50),WORKDAY(B159,-(Setup!$C$13+Setup!$G$20),Setup!$C$39:$C$50))+(154*100+1)/10000000)))</f>
        <v/>
      </c>
      <c r="S159" t="str">
        <f>IF(C159="","",IF(C159&lt;Setup!$C$5-Setup!$C$6,"",IF(IF(ISNUMBER(Roster!$D159),Setup!$C$21&lt;=Roster!$D159,FALSE),"",IF(OR(IF(Setup!$C$15&lt;=Setup!$C$16,AND(MONTH(C159)&gt;=Setup!$C$15,MONTH(C159)&lt;=Setup!$C$16),OR(MONTH(C159)&gt;=Setup!$C$15,MONTH(C159)&lt;=Setup!$C$16)),IF(Setup!$C$15&lt;=Setup!$C$16,AND(MONTH(WORKDAY(C159,-(Setup!$C$13+Setup!$G$21),Setup!$C$39:$C$50))&gt;=Setup!$C$15,MONTH(WORKDAY(C159,-(Setup!$C$13+Setup!$G$21),Setup!$C$39:$C$50))&lt;=Setup!$C$16),OR(MONTH(WORKDAY(C159,-(Setup!$C$13+Setup!$G$21),Setup!$C$39:$C$50))&gt;=Setup!$C$15,MONTH(WORKDAY(C159,-(Setup!$C$13+Setup!$G$21),Setup!$C$39:$C$50))&lt;=Setup!$C$16))),WORKDAY(C159,-(Setup!$C$13+Setup!$G$21+Setup!$C$14),Setup!$C$39:$C$50),WORKDAY(C159,-(Setup!$C$13+Setup!$G$21),Setup!$C$39:$C$50))+(154*100+2)/10000000)))</f>
        <v/>
      </c>
      <c r="T159" t="str">
        <f>IF(D159="","",IF(D159&lt;Setup!$C$5-Setup!$C$6,"",IF(IF(ISNUMBER(Roster!$D159),Setup!$C$22&lt;=Roster!$D159,FALSE),"",IF(OR(IF(Setup!$C$15&lt;=Setup!$C$16,AND(MONTH(D159)&gt;=Setup!$C$15,MONTH(D159)&lt;=Setup!$C$16),OR(MONTH(D159)&gt;=Setup!$C$15,MONTH(D159)&lt;=Setup!$C$16)),IF(Setup!$C$15&lt;=Setup!$C$16,AND(MONTH(WORKDAY(D159,-(Setup!$C$13+Setup!$G$22),Setup!$C$39:$C$50))&gt;=Setup!$C$15,MONTH(WORKDAY(D159,-(Setup!$C$13+Setup!$G$22),Setup!$C$39:$C$50))&lt;=Setup!$C$16),OR(MONTH(WORKDAY(D159,-(Setup!$C$13+Setup!$G$22),Setup!$C$39:$C$50))&gt;=Setup!$C$15,MONTH(WORKDAY(D159,-(Setup!$C$13+Setup!$G$22),Setup!$C$39:$C$50))&lt;=Setup!$C$16))),WORKDAY(D159,-(Setup!$C$13+Setup!$G$22+Setup!$C$14),Setup!$C$39:$C$50),WORKDAY(D159,-(Setup!$C$13+Setup!$G$22),Setup!$C$39:$C$50))+(154*100+3)/10000000)))</f>
        <v/>
      </c>
      <c r="U159" t="str">
        <f>IF(E159="","",IF(E159&lt;Setup!$C$5-Setup!$C$6,"",IF(IF(ISNUMBER(Roster!$D159),Setup!$C$23&lt;=Roster!$D159,FALSE),"",IF(OR(IF(Setup!$C$15&lt;=Setup!$C$16,AND(MONTH(E159)&gt;=Setup!$C$15,MONTH(E159)&lt;=Setup!$C$16),OR(MONTH(E159)&gt;=Setup!$C$15,MONTH(E159)&lt;=Setup!$C$16)),IF(Setup!$C$15&lt;=Setup!$C$16,AND(MONTH(WORKDAY(E159,-(Setup!$C$13+Setup!$G$23),Setup!$C$39:$C$50))&gt;=Setup!$C$15,MONTH(WORKDAY(E159,-(Setup!$C$13+Setup!$G$23),Setup!$C$39:$C$50))&lt;=Setup!$C$16),OR(MONTH(WORKDAY(E159,-(Setup!$C$13+Setup!$G$23),Setup!$C$39:$C$50))&gt;=Setup!$C$15,MONTH(WORKDAY(E159,-(Setup!$C$13+Setup!$G$23),Setup!$C$39:$C$50))&lt;=Setup!$C$16))),WORKDAY(E159,-(Setup!$C$13+Setup!$G$23+Setup!$C$14),Setup!$C$39:$C$50),WORKDAY(E159,-(Setup!$C$13+Setup!$G$23),Setup!$C$39:$C$50))+(154*100+4)/10000000)))</f>
        <v/>
      </c>
      <c r="V159" t="str">
        <f>IF(F159="","",IF(F159&lt;Setup!$C$5-Setup!$C$6,"",IF(IF(ISNUMBER(Roster!$D159),Setup!$C$24&lt;=Roster!$D159,FALSE),"",IF(OR(IF(Setup!$C$15&lt;=Setup!$C$16,AND(MONTH(F159)&gt;=Setup!$C$15,MONTH(F159)&lt;=Setup!$C$16),OR(MONTH(F159)&gt;=Setup!$C$15,MONTH(F159)&lt;=Setup!$C$16)),IF(Setup!$C$15&lt;=Setup!$C$16,AND(MONTH(WORKDAY(F159,-(Setup!$C$13+Setup!$G$24),Setup!$C$39:$C$50))&gt;=Setup!$C$15,MONTH(WORKDAY(F159,-(Setup!$C$13+Setup!$G$24),Setup!$C$39:$C$50))&lt;=Setup!$C$16),OR(MONTH(WORKDAY(F159,-(Setup!$C$13+Setup!$G$24),Setup!$C$39:$C$50))&gt;=Setup!$C$15,MONTH(WORKDAY(F159,-(Setup!$C$13+Setup!$G$24),Setup!$C$39:$C$50))&lt;=Setup!$C$16))),WORKDAY(F159,-(Setup!$C$13+Setup!$G$24+Setup!$C$14),Setup!$C$39:$C$50),WORKDAY(F159,-(Setup!$C$13+Setup!$G$24),Setup!$C$39:$C$50))+(154*100+5)/10000000)))</f>
        <v/>
      </c>
      <c r="W159" t="str">
        <f>IF(G159="","",IF(G159&lt;Setup!$C$5-Setup!$C$6,"",IF(IF(ISNUMBER(Roster!$D159),Setup!$C$25&lt;=Roster!$D159,FALSE),"",IF(OR(IF(Setup!$C$15&lt;=Setup!$C$16,AND(MONTH(G159)&gt;=Setup!$C$15,MONTH(G159)&lt;=Setup!$C$16),OR(MONTH(G159)&gt;=Setup!$C$15,MONTH(G159)&lt;=Setup!$C$16)),IF(Setup!$C$15&lt;=Setup!$C$16,AND(MONTH(WORKDAY(G159,-(Setup!$C$13+Setup!$G$25),Setup!$C$39:$C$50))&gt;=Setup!$C$15,MONTH(WORKDAY(G159,-(Setup!$C$13+Setup!$G$25),Setup!$C$39:$C$50))&lt;=Setup!$C$16),OR(MONTH(WORKDAY(G159,-(Setup!$C$13+Setup!$G$25),Setup!$C$39:$C$50))&gt;=Setup!$C$15,MONTH(WORKDAY(G159,-(Setup!$C$13+Setup!$G$25),Setup!$C$39:$C$50))&lt;=Setup!$C$16))),WORKDAY(G159,-(Setup!$C$13+Setup!$G$25+Setup!$C$14),Setup!$C$39:$C$50),WORKDAY(G159,-(Setup!$C$13+Setup!$G$25),Setup!$C$39:$C$50))+(154*100+6)/10000000)))</f>
        <v/>
      </c>
      <c r="X159" t="str">
        <f>IF(H159="","",IF(H159&lt;Setup!$C$5-Setup!$C$6,"",IF(IF(ISNUMBER(Roster!$D159),Setup!$C$26&lt;=Roster!$D159,FALSE),"",IF(OR(IF(Setup!$C$15&lt;=Setup!$C$16,AND(MONTH(H159)&gt;=Setup!$C$15,MONTH(H159)&lt;=Setup!$C$16),OR(MONTH(H159)&gt;=Setup!$C$15,MONTH(H159)&lt;=Setup!$C$16)),IF(Setup!$C$15&lt;=Setup!$C$16,AND(MONTH(WORKDAY(H159,-(Setup!$C$13+Setup!$G$26),Setup!$C$39:$C$50))&gt;=Setup!$C$15,MONTH(WORKDAY(H159,-(Setup!$C$13+Setup!$G$26),Setup!$C$39:$C$50))&lt;=Setup!$C$16),OR(MONTH(WORKDAY(H159,-(Setup!$C$13+Setup!$G$26),Setup!$C$39:$C$50))&gt;=Setup!$C$15,MONTH(WORKDAY(H159,-(Setup!$C$13+Setup!$G$26),Setup!$C$39:$C$50))&lt;=Setup!$C$16))),WORKDAY(H159,-(Setup!$C$13+Setup!$G$26+Setup!$C$14),Setup!$C$39:$C$50),WORKDAY(H159,-(Setup!$C$13+Setup!$G$26),Setup!$C$39:$C$50))+(154*100+7)/10000000)))</f>
        <v/>
      </c>
      <c r="Y159" t="str">
        <f>IF(I159="","",IF(I159&lt;Setup!$C$5-Setup!$C$6,"",IF(IF(ISNUMBER(Roster!$D159),Setup!$C$27&lt;=Roster!$D159,FALSE),"",IF(OR(IF(Setup!$C$15&lt;=Setup!$C$16,AND(MONTH(I159)&gt;=Setup!$C$15,MONTH(I159)&lt;=Setup!$C$16),OR(MONTH(I159)&gt;=Setup!$C$15,MONTH(I159)&lt;=Setup!$C$16)),IF(Setup!$C$15&lt;=Setup!$C$16,AND(MONTH(WORKDAY(I159,-(Setup!$C$13+Setup!$G$27),Setup!$C$39:$C$50))&gt;=Setup!$C$15,MONTH(WORKDAY(I159,-(Setup!$C$13+Setup!$G$27),Setup!$C$39:$C$50))&lt;=Setup!$C$16),OR(MONTH(WORKDAY(I159,-(Setup!$C$13+Setup!$G$27),Setup!$C$39:$C$50))&gt;=Setup!$C$15,MONTH(WORKDAY(I159,-(Setup!$C$13+Setup!$G$27),Setup!$C$39:$C$50))&lt;=Setup!$C$16))),WORKDAY(I159,-(Setup!$C$13+Setup!$G$27+Setup!$C$14),Setup!$C$39:$C$50),WORKDAY(I159,-(Setup!$C$13+Setup!$G$27),Setup!$C$39:$C$50))+(154*100+8)/10000000)))</f>
        <v/>
      </c>
      <c r="Z159" t="str">
        <f>IF(J159="","",IF(J159&lt;Setup!$C$5-Setup!$C$6,"",IF(IF(ISNUMBER(Roster!$D159),Setup!$C$28&lt;=Roster!$D159,FALSE),"",IF(OR(IF(Setup!$C$15&lt;=Setup!$C$16,AND(MONTH(J159)&gt;=Setup!$C$15,MONTH(J159)&lt;=Setup!$C$16),OR(MONTH(J159)&gt;=Setup!$C$15,MONTH(J159)&lt;=Setup!$C$16)),IF(Setup!$C$15&lt;=Setup!$C$16,AND(MONTH(WORKDAY(J159,-(Setup!$C$13+Setup!$G$28),Setup!$C$39:$C$50))&gt;=Setup!$C$15,MONTH(WORKDAY(J159,-(Setup!$C$13+Setup!$G$28),Setup!$C$39:$C$50))&lt;=Setup!$C$16),OR(MONTH(WORKDAY(J159,-(Setup!$C$13+Setup!$G$28),Setup!$C$39:$C$50))&gt;=Setup!$C$15,MONTH(WORKDAY(J159,-(Setup!$C$13+Setup!$G$28),Setup!$C$39:$C$50))&lt;=Setup!$C$16))),WORKDAY(J159,-(Setup!$C$13+Setup!$G$28+Setup!$C$14),Setup!$C$39:$C$50),WORKDAY(J159,-(Setup!$C$13+Setup!$G$28),Setup!$C$39:$C$50))+(154*100+9)/10000000)))</f>
        <v/>
      </c>
      <c r="AA159" t="str">
        <f>IF(K159="","",IF(K159&lt;Setup!$C$5-Setup!$C$6,"",IF(IF(ISNUMBER(Roster!$D159),Setup!$C$29&lt;=Roster!$D159,FALSE),"",IF(OR(IF(Setup!$C$15&lt;=Setup!$C$16,AND(MONTH(K159)&gt;=Setup!$C$15,MONTH(K159)&lt;=Setup!$C$16),OR(MONTH(K159)&gt;=Setup!$C$15,MONTH(K159)&lt;=Setup!$C$16)),IF(Setup!$C$15&lt;=Setup!$C$16,AND(MONTH(WORKDAY(K159,-(Setup!$C$13+Setup!$G$29),Setup!$C$39:$C$50))&gt;=Setup!$C$15,MONTH(WORKDAY(K159,-(Setup!$C$13+Setup!$G$29),Setup!$C$39:$C$50))&lt;=Setup!$C$16),OR(MONTH(WORKDAY(K159,-(Setup!$C$13+Setup!$G$29),Setup!$C$39:$C$50))&gt;=Setup!$C$15,MONTH(WORKDAY(K159,-(Setup!$C$13+Setup!$G$29),Setup!$C$39:$C$50))&lt;=Setup!$C$16))),WORKDAY(K159,-(Setup!$C$13+Setup!$G$29+Setup!$C$14),Setup!$C$39:$C$50),WORKDAY(K159,-(Setup!$C$13+Setup!$G$29),Setup!$C$39:$C$50))+(154*100+10)/10000000)))</f>
        <v/>
      </c>
      <c r="AB159" t="str">
        <f>IF(L159="","",IF(L159&lt;Setup!$C$5-Setup!$C$6,"",IF(IF(ISNUMBER(Roster!$D159),Setup!$C$30&lt;=Roster!$D159,FALSE),"",IF(OR(IF(Setup!$C$15&lt;=Setup!$C$16,AND(MONTH(L159)&gt;=Setup!$C$15,MONTH(L159)&lt;=Setup!$C$16),OR(MONTH(L159)&gt;=Setup!$C$15,MONTH(L159)&lt;=Setup!$C$16)),IF(Setup!$C$15&lt;=Setup!$C$16,AND(MONTH(WORKDAY(L159,-(Setup!$C$13+Setup!$G$30),Setup!$C$39:$C$50))&gt;=Setup!$C$15,MONTH(WORKDAY(L159,-(Setup!$C$13+Setup!$G$30),Setup!$C$39:$C$50))&lt;=Setup!$C$16),OR(MONTH(WORKDAY(L159,-(Setup!$C$13+Setup!$G$30),Setup!$C$39:$C$50))&gt;=Setup!$C$15,MONTH(WORKDAY(L159,-(Setup!$C$13+Setup!$G$30),Setup!$C$39:$C$50))&lt;=Setup!$C$16))),WORKDAY(L159,-(Setup!$C$13+Setup!$G$30+Setup!$C$14),Setup!$C$39:$C$50),WORKDAY(L159,-(Setup!$C$13+Setup!$G$30),Setup!$C$39:$C$50))+(154*100+11)/10000000)))</f>
        <v/>
      </c>
      <c r="AC159" t="str">
        <f>IF(M159="","",IF(M159&lt;Setup!$C$5-Setup!$C$6,"",IF(IF(ISNUMBER(Roster!$D159),Setup!$C$31&lt;=Roster!$D159,FALSE),"",IF(OR(IF(Setup!$C$15&lt;=Setup!$C$16,AND(MONTH(M159)&gt;=Setup!$C$15,MONTH(M159)&lt;=Setup!$C$16),OR(MONTH(M159)&gt;=Setup!$C$15,MONTH(M159)&lt;=Setup!$C$16)),IF(Setup!$C$15&lt;=Setup!$C$16,AND(MONTH(WORKDAY(M159,-(Setup!$C$13+Setup!$G$31),Setup!$C$39:$C$50))&gt;=Setup!$C$15,MONTH(WORKDAY(M159,-(Setup!$C$13+Setup!$G$31),Setup!$C$39:$C$50))&lt;=Setup!$C$16),OR(MONTH(WORKDAY(M159,-(Setup!$C$13+Setup!$G$31),Setup!$C$39:$C$50))&gt;=Setup!$C$15,MONTH(WORKDAY(M159,-(Setup!$C$13+Setup!$G$31),Setup!$C$39:$C$50))&lt;=Setup!$C$16))),WORKDAY(M159,-(Setup!$C$13+Setup!$G$31+Setup!$C$14),Setup!$C$39:$C$50),WORKDAY(M159,-(Setup!$C$13+Setup!$G$31),Setup!$C$39:$C$50))+(154*100+12)/10000000)))</f>
        <v/>
      </c>
      <c r="AD159" t="str">
        <f>IF(N159="","",IF(N159&lt;Setup!$C$5-Setup!$C$6,"",IF(IF(ISNUMBER(Roster!$D159),Setup!$C$32&lt;=Roster!$D159,FALSE),"",IF(OR(IF(Setup!$C$15&lt;=Setup!$C$16,AND(MONTH(N159)&gt;=Setup!$C$15,MONTH(N159)&lt;=Setup!$C$16),OR(MONTH(N159)&gt;=Setup!$C$15,MONTH(N159)&lt;=Setup!$C$16)),IF(Setup!$C$15&lt;=Setup!$C$16,AND(MONTH(WORKDAY(N159,-(Setup!$C$13+Setup!$G$32),Setup!$C$39:$C$50))&gt;=Setup!$C$15,MONTH(WORKDAY(N159,-(Setup!$C$13+Setup!$G$32),Setup!$C$39:$C$50))&lt;=Setup!$C$16),OR(MONTH(WORKDAY(N159,-(Setup!$C$13+Setup!$G$32),Setup!$C$39:$C$50))&gt;=Setup!$C$15,MONTH(WORKDAY(N159,-(Setup!$C$13+Setup!$G$32),Setup!$C$39:$C$50))&lt;=Setup!$C$16))),WORKDAY(N159,-(Setup!$C$13+Setup!$G$32+Setup!$C$14),Setup!$C$39:$C$50),WORKDAY(N159,-(Setup!$C$13+Setup!$G$32),Setup!$C$39:$C$50))+(154*100+13)/10000000)))</f>
        <v/>
      </c>
      <c r="AE159" t="str">
        <f>IF(O159="","",IF(O159&lt;Setup!$C$5-Setup!$C$6,"",IF(IF(ISNUMBER(Roster!$D159),Setup!$C$33&lt;=Roster!$D159,FALSE),"",IF(OR(IF(Setup!$C$15&lt;=Setup!$C$16,AND(MONTH(O159)&gt;=Setup!$C$15,MONTH(O159)&lt;=Setup!$C$16),OR(MONTH(O159)&gt;=Setup!$C$15,MONTH(O159)&lt;=Setup!$C$16)),IF(Setup!$C$15&lt;=Setup!$C$16,AND(MONTH(WORKDAY(O159,-(Setup!$C$13+Setup!$G$33),Setup!$C$39:$C$50))&gt;=Setup!$C$15,MONTH(WORKDAY(O159,-(Setup!$C$13+Setup!$G$33),Setup!$C$39:$C$50))&lt;=Setup!$C$16),OR(MONTH(WORKDAY(O159,-(Setup!$C$13+Setup!$G$33),Setup!$C$39:$C$50))&gt;=Setup!$C$15,MONTH(WORKDAY(O159,-(Setup!$C$13+Setup!$G$33),Setup!$C$39:$C$50))&lt;=Setup!$C$16))),WORKDAY(O159,-(Setup!$C$13+Setup!$G$33+Setup!$C$14),Setup!$C$39:$C$50),WORKDAY(O159,-(Setup!$C$13+Setup!$G$33),Setup!$C$39:$C$50))+(154*100+14)/10000000)))</f>
        <v/>
      </c>
      <c r="AF159" t="str">
        <f>IF(P159="","",IF(P159&lt;Setup!$C$5-Setup!$C$6,"",IF(IF(ISNUMBER(Roster!$D159),Setup!$C$34&lt;=Roster!$D159,FALSE),"",IF(OR(IF(Setup!$C$15&lt;=Setup!$C$16,AND(MONTH(P159)&gt;=Setup!$C$15,MONTH(P159)&lt;=Setup!$C$16),OR(MONTH(P159)&gt;=Setup!$C$15,MONTH(P159)&lt;=Setup!$C$16)),IF(Setup!$C$15&lt;=Setup!$C$16,AND(MONTH(WORKDAY(P159,-(Setup!$C$13+Setup!$G$34),Setup!$C$39:$C$50))&gt;=Setup!$C$15,MONTH(WORKDAY(P159,-(Setup!$C$13+Setup!$G$34),Setup!$C$39:$C$50))&lt;=Setup!$C$16),OR(MONTH(WORKDAY(P159,-(Setup!$C$13+Setup!$G$34),Setup!$C$39:$C$50))&gt;=Setup!$C$15,MONTH(WORKDAY(P159,-(Setup!$C$13+Setup!$G$34),Setup!$C$39:$C$50))&lt;=Setup!$C$16))),WORKDAY(P159,-(Setup!$C$13+Setup!$G$34+Setup!$C$14),Setup!$C$39:$C$50),WORKDAY(P159,-(Setup!$C$13+Setup!$G$34),Setup!$C$39:$C$50))+(154*100+15)/10000000)))</f>
        <v/>
      </c>
      <c r="AH159" t="str">
        <f t="shared" si="17"/>
        <v/>
      </c>
      <c r="AI159" t="str">
        <f t="shared" si="18"/>
        <v/>
      </c>
      <c r="AK159" t="str">
        <f ca="1">IF(154&gt;$AK$2,"",SMALL($R$6:$AF$505,154))</f>
        <v/>
      </c>
      <c r="AL159" t="str">
        <f t="shared" ca="1" si="19"/>
        <v/>
      </c>
      <c r="AM159" t="str">
        <f t="shared" ca="1" si="20"/>
        <v/>
      </c>
      <c r="AN159" t="str">
        <f t="shared" ca="1" si="21"/>
        <v/>
      </c>
      <c r="AP159" t="str">
        <f>IF(ISNUMBER(Roster!$B159),MAX(1,YEAR(Setup!$C$5)-YEAR(Roster!$B159)+IF(EDATE(Roster!$B159,12*(YEAR(Setup!$C$5)-YEAR(Roster!$B159)))&lt;Setup!$C$5,1,0)),"")</f>
        <v/>
      </c>
      <c r="AQ159" s="32" t="str">
        <f>IF(AP159="","",EDATE(Roster!$B159,12*AP159))</f>
        <v/>
      </c>
      <c r="AR159" t="str">
        <f>IF(AQ159="","",IF(AQ159&lt;DATE(YEAR(Setup!$C$5)+1,MONTH(Setup!$C$5),DAY(Setup!$C$5)),AQ159+154/1000,""))</f>
        <v/>
      </c>
      <c r="AS159" t="str">
        <f t="shared" si="22"/>
        <v/>
      </c>
      <c r="AT159" t="str">
        <f>IF(AS159="","",IF(ISNUMBER(Roster!$D159),Roster!$D159&gt;=AP159,FALSE))</f>
        <v/>
      </c>
      <c r="AU159" t="str">
        <f t="shared" si="23"/>
        <v/>
      </c>
      <c r="AV159" t="str">
        <f ca="1">IF(154&gt;$AV$2,"",SMALL($AR$6:$AR$505,154))</f>
        <v/>
      </c>
      <c r="AW159" t="str">
        <f t="shared" ca="1" si="24"/>
        <v/>
      </c>
    </row>
    <row r="160" spans="2:49" x14ac:dyDescent="0.2">
      <c r="B160" s="32" t="str">
        <f>IF(AND(ISNUMBER(Roster!$B160),Setup!$B$20="Yes",ISNUMBER(Setup!$C$20)),EDATE(Roster!$B160,12*Setup!$C$20),"")</f>
        <v/>
      </c>
      <c r="C160" s="32" t="str">
        <f>IF(AND(ISNUMBER(Roster!$B160),Setup!$B$21="Yes",ISNUMBER(Setup!$C$21)),EDATE(Roster!$B160,12*Setup!$C$21),"")</f>
        <v/>
      </c>
      <c r="D160" s="32" t="str">
        <f>IF(AND(ISNUMBER(Roster!$B160),Setup!$B$22="Yes",ISNUMBER(Setup!$C$22)),EDATE(Roster!$B160,12*Setup!$C$22),"")</f>
        <v/>
      </c>
      <c r="E160" s="32" t="str">
        <f>IF(AND(ISNUMBER(Roster!$B160),Setup!$B$23="Yes",ISNUMBER(Setup!$C$23)),EDATE(Roster!$B160,12*Setup!$C$23),"")</f>
        <v/>
      </c>
      <c r="F160" s="32" t="str">
        <f>IF(AND(ISNUMBER(Roster!$B160),Setup!$B$24="Yes",ISNUMBER(Setup!$C$24)),EDATE(Roster!$B160,12*Setup!$C$24),"")</f>
        <v/>
      </c>
      <c r="G160" s="32" t="str">
        <f>IF(AND(ISNUMBER(Roster!$B160),Setup!$B$25="Yes",ISNUMBER(Setup!$C$25)),EDATE(Roster!$B160,12*Setup!$C$25),"")</f>
        <v/>
      </c>
      <c r="H160" s="32" t="str">
        <f>IF(AND(ISNUMBER(Roster!$B160),Setup!$B$26="Yes",ISNUMBER(Setup!$C$26)),EDATE(Roster!$B160,12*Setup!$C$26),"")</f>
        <v/>
      </c>
      <c r="I160" s="32" t="str">
        <f>IF(AND(ISNUMBER(Roster!$B160),Setup!$B$27="Yes",ISNUMBER(Setup!$C$27)),EDATE(Roster!$B160,12*Setup!$C$27),"")</f>
        <v/>
      </c>
      <c r="J160" s="32" t="str">
        <f>IF(AND(ISNUMBER(Roster!$B160),Setup!$B$28="Yes",ISNUMBER(Setup!$C$28)),EDATE(Roster!$B160,12*Setup!$C$28),"")</f>
        <v/>
      </c>
      <c r="K160" s="32" t="str">
        <f>IF(AND(ISNUMBER(Roster!$B160),Setup!$B$29="Yes",ISNUMBER(Setup!$C$29)),EDATE(Roster!$B160,12*Setup!$C$29),"")</f>
        <v/>
      </c>
      <c r="L160" s="32" t="str">
        <f>IF(AND(ISNUMBER(Roster!$B160),Setup!$B$30="Yes",ISNUMBER(Setup!$C$30)),EDATE(Roster!$B160,12*Setup!$C$30),"")</f>
        <v/>
      </c>
      <c r="M160" s="32" t="str">
        <f>IF(AND(ISNUMBER(Roster!$B160),Setup!$B$31="Yes",ISNUMBER(Setup!$C$31)),EDATE(Roster!$B160,12*Setup!$C$31),"")</f>
        <v/>
      </c>
      <c r="N160" s="32" t="str">
        <f>IF(AND(ISNUMBER(Roster!$B160),Setup!$B$32="Yes",ISNUMBER(Setup!$C$32)),EDATE(Roster!$B160,12*Setup!$C$32),"")</f>
        <v/>
      </c>
      <c r="O160" s="32" t="str">
        <f>IF(AND(ISNUMBER(Roster!$B160),Setup!$B$33="Yes",ISNUMBER(Setup!$C$33)),EDATE(Roster!$B160,12*Setup!$C$33),"")</f>
        <v/>
      </c>
      <c r="P160" s="32" t="str">
        <f>IF(AND(ISNUMBER(Roster!$B160),Setup!$B$34="Yes",ISNUMBER(Setup!$C$34)),EDATE(Roster!$B160,12*Setup!$C$34),"")</f>
        <v/>
      </c>
      <c r="R160" t="str">
        <f>IF(B160="","",IF(B160&lt;Setup!$C$5-Setup!$C$6,"",IF(IF(ISNUMBER(Roster!$D160),Setup!$C$20&lt;=Roster!$D160,FALSE),"",IF(OR(IF(Setup!$C$15&lt;=Setup!$C$16,AND(MONTH(B160)&gt;=Setup!$C$15,MONTH(B160)&lt;=Setup!$C$16),OR(MONTH(B160)&gt;=Setup!$C$15,MONTH(B160)&lt;=Setup!$C$16)),IF(Setup!$C$15&lt;=Setup!$C$16,AND(MONTH(WORKDAY(B160,-(Setup!$C$13+Setup!$G$20),Setup!$C$39:$C$50))&gt;=Setup!$C$15,MONTH(WORKDAY(B160,-(Setup!$C$13+Setup!$G$20),Setup!$C$39:$C$50))&lt;=Setup!$C$16),OR(MONTH(WORKDAY(B160,-(Setup!$C$13+Setup!$G$20),Setup!$C$39:$C$50))&gt;=Setup!$C$15,MONTH(WORKDAY(B160,-(Setup!$C$13+Setup!$G$20),Setup!$C$39:$C$50))&lt;=Setup!$C$16))),WORKDAY(B160,-(Setup!$C$13+Setup!$G$20+Setup!$C$14),Setup!$C$39:$C$50),WORKDAY(B160,-(Setup!$C$13+Setup!$G$20),Setup!$C$39:$C$50))+(155*100+1)/10000000)))</f>
        <v/>
      </c>
      <c r="S160" t="str">
        <f>IF(C160="","",IF(C160&lt;Setup!$C$5-Setup!$C$6,"",IF(IF(ISNUMBER(Roster!$D160),Setup!$C$21&lt;=Roster!$D160,FALSE),"",IF(OR(IF(Setup!$C$15&lt;=Setup!$C$16,AND(MONTH(C160)&gt;=Setup!$C$15,MONTH(C160)&lt;=Setup!$C$16),OR(MONTH(C160)&gt;=Setup!$C$15,MONTH(C160)&lt;=Setup!$C$16)),IF(Setup!$C$15&lt;=Setup!$C$16,AND(MONTH(WORKDAY(C160,-(Setup!$C$13+Setup!$G$21),Setup!$C$39:$C$50))&gt;=Setup!$C$15,MONTH(WORKDAY(C160,-(Setup!$C$13+Setup!$G$21),Setup!$C$39:$C$50))&lt;=Setup!$C$16),OR(MONTH(WORKDAY(C160,-(Setup!$C$13+Setup!$G$21),Setup!$C$39:$C$50))&gt;=Setup!$C$15,MONTH(WORKDAY(C160,-(Setup!$C$13+Setup!$G$21),Setup!$C$39:$C$50))&lt;=Setup!$C$16))),WORKDAY(C160,-(Setup!$C$13+Setup!$G$21+Setup!$C$14),Setup!$C$39:$C$50),WORKDAY(C160,-(Setup!$C$13+Setup!$G$21),Setup!$C$39:$C$50))+(155*100+2)/10000000)))</f>
        <v/>
      </c>
      <c r="T160" t="str">
        <f>IF(D160="","",IF(D160&lt;Setup!$C$5-Setup!$C$6,"",IF(IF(ISNUMBER(Roster!$D160),Setup!$C$22&lt;=Roster!$D160,FALSE),"",IF(OR(IF(Setup!$C$15&lt;=Setup!$C$16,AND(MONTH(D160)&gt;=Setup!$C$15,MONTH(D160)&lt;=Setup!$C$16),OR(MONTH(D160)&gt;=Setup!$C$15,MONTH(D160)&lt;=Setup!$C$16)),IF(Setup!$C$15&lt;=Setup!$C$16,AND(MONTH(WORKDAY(D160,-(Setup!$C$13+Setup!$G$22),Setup!$C$39:$C$50))&gt;=Setup!$C$15,MONTH(WORKDAY(D160,-(Setup!$C$13+Setup!$G$22),Setup!$C$39:$C$50))&lt;=Setup!$C$16),OR(MONTH(WORKDAY(D160,-(Setup!$C$13+Setup!$G$22),Setup!$C$39:$C$50))&gt;=Setup!$C$15,MONTH(WORKDAY(D160,-(Setup!$C$13+Setup!$G$22),Setup!$C$39:$C$50))&lt;=Setup!$C$16))),WORKDAY(D160,-(Setup!$C$13+Setup!$G$22+Setup!$C$14),Setup!$C$39:$C$50),WORKDAY(D160,-(Setup!$C$13+Setup!$G$22),Setup!$C$39:$C$50))+(155*100+3)/10000000)))</f>
        <v/>
      </c>
      <c r="U160" t="str">
        <f>IF(E160="","",IF(E160&lt;Setup!$C$5-Setup!$C$6,"",IF(IF(ISNUMBER(Roster!$D160),Setup!$C$23&lt;=Roster!$D160,FALSE),"",IF(OR(IF(Setup!$C$15&lt;=Setup!$C$16,AND(MONTH(E160)&gt;=Setup!$C$15,MONTH(E160)&lt;=Setup!$C$16),OR(MONTH(E160)&gt;=Setup!$C$15,MONTH(E160)&lt;=Setup!$C$16)),IF(Setup!$C$15&lt;=Setup!$C$16,AND(MONTH(WORKDAY(E160,-(Setup!$C$13+Setup!$G$23),Setup!$C$39:$C$50))&gt;=Setup!$C$15,MONTH(WORKDAY(E160,-(Setup!$C$13+Setup!$G$23),Setup!$C$39:$C$50))&lt;=Setup!$C$16),OR(MONTH(WORKDAY(E160,-(Setup!$C$13+Setup!$G$23),Setup!$C$39:$C$50))&gt;=Setup!$C$15,MONTH(WORKDAY(E160,-(Setup!$C$13+Setup!$G$23),Setup!$C$39:$C$50))&lt;=Setup!$C$16))),WORKDAY(E160,-(Setup!$C$13+Setup!$G$23+Setup!$C$14),Setup!$C$39:$C$50),WORKDAY(E160,-(Setup!$C$13+Setup!$G$23),Setup!$C$39:$C$50))+(155*100+4)/10000000)))</f>
        <v/>
      </c>
      <c r="V160" t="str">
        <f>IF(F160="","",IF(F160&lt;Setup!$C$5-Setup!$C$6,"",IF(IF(ISNUMBER(Roster!$D160),Setup!$C$24&lt;=Roster!$D160,FALSE),"",IF(OR(IF(Setup!$C$15&lt;=Setup!$C$16,AND(MONTH(F160)&gt;=Setup!$C$15,MONTH(F160)&lt;=Setup!$C$16),OR(MONTH(F160)&gt;=Setup!$C$15,MONTH(F160)&lt;=Setup!$C$16)),IF(Setup!$C$15&lt;=Setup!$C$16,AND(MONTH(WORKDAY(F160,-(Setup!$C$13+Setup!$G$24),Setup!$C$39:$C$50))&gt;=Setup!$C$15,MONTH(WORKDAY(F160,-(Setup!$C$13+Setup!$G$24),Setup!$C$39:$C$50))&lt;=Setup!$C$16),OR(MONTH(WORKDAY(F160,-(Setup!$C$13+Setup!$G$24),Setup!$C$39:$C$50))&gt;=Setup!$C$15,MONTH(WORKDAY(F160,-(Setup!$C$13+Setup!$G$24),Setup!$C$39:$C$50))&lt;=Setup!$C$16))),WORKDAY(F160,-(Setup!$C$13+Setup!$G$24+Setup!$C$14),Setup!$C$39:$C$50),WORKDAY(F160,-(Setup!$C$13+Setup!$G$24),Setup!$C$39:$C$50))+(155*100+5)/10000000)))</f>
        <v/>
      </c>
      <c r="W160" t="str">
        <f>IF(G160="","",IF(G160&lt;Setup!$C$5-Setup!$C$6,"",IF(IF(ISNUMBER(Roster!$D160),Setup!$C$25&lt;=Roster!$D160,FALSE),"",IF(OR(IF(Setup!$C$15&lt;=Setup!$C$16,AND(MONTH(G160)&gt;=Setup!$C$15,MONTH(G160)&lt;=Setup!$C$16),OR(MONTH(G160)&gt;=Setup!$C$15,MONTH(G160)&lt;=Setup!$C$16)),IF(Setup!$C$15&lt;=Setup!$C$16,AND(MONTH(WORKDAY(G160,-(Setup!$C$13+Setup!$G$25),Setup!$C$39:$C$50))&gt;=Setup!$C$15,MONTH(WORKDAY(G160,-(Setup!$C$13+Setup!$G$25),Setup!$C$39:$C$50))&lt;=Setup!$C$16),OR(MONTH(WORKDAY(G160,-(Setup!$C$13+Setup!$G$25),Setup!$C$39:$C$50))&gt;=Setup!$C$15,MONTH(WORKDAY(G160,-(Setup!$C$13+Setup!$G$25),Setup!$C$39:$C$50))&lt;=Setup!$C$16))),WORKDAY(G160,-(Setup!$C$13+Setup!$G$25+Setup!$C$14),Setup!$C$39:$C$50),WORKDAY(G160,-(Setup!$C$13+Setup!$G$25),Setup!$C$39:$C$50))+(155*100+6)/10000000)))</f>
        <v/>
      </c>
      <c r="X160" t="str">
        <f>IF(H160="","",IF(H160&lt;Setup!$C$5-Setup!$C$6,"",IF(IF(ISNUMBER(Roster!$D160),Setup!$C$26&lt;=Roster!$D160,FALSE),"",IF(OR(IF(Setup!$C$15&lt;=Setup!$C$16,AND(MONTH(H160)&gt;=Setup!$C$15,MONTH(H160)&lt;=Setup!$C$16),OR(MONTH(H160)&gt;=Setup!$C$15,MONTH(H160)&lt;=Setup!$C$16)),IF(Setup!$C$15&lt;=Setup!$C$16,AND(MONTH(WORKDAY(H160,-(Setup!$C$13+Setup!$G$26),Setup!$C$39:$C$50))&gt;=Setup!$C$15,MONTH(WORKDAY(H160,-(Setup!$C$13+Setup!$G$26),Setup!$C$39:$C$50))&lt;=Setup!$C$16),OR(MONTH(WORKDAY(H160,-(Setup!$C$13+Setup!$G$26),Setup!$C$39:$C$50))&gt;=Setup!$C$15,MONTH(WORKDAY(H160,-(Setup!$C$13+Setup!$G$26),Setup!$C$39:$C$50))&lt;=Setup!$C$16))),WORKDAY(H160,-(Setup!$C$13+Setup!$G$26+Setup!$C$14),Setup!$C$39:$C$50),WORKDAY(H160,-(Setup!$C$13+Setup!$G$26),Setup!$C$39:$C$50))+(155*100+7)/10000000)))</f>
        <v/>
      </c>
      <c r="Y160" t="str">
        <f>IF(I160="","",IF(I160&lt;Setup!$C$5-Setup!$C$6,"",IF(IF(ISNUMBER(Roster!$D160),Setup!$C$27&lt;=Roster!$D160,FALSE),"",IF(OR(IF(Setup!$C$15&lt;=Setup!$C$16,AND(MONTH(I160)&gt;=Setup!$C$15,MONTH(I160)&lt;=Setup!$C$16),OR(MONTH(I160)&gt;=Setup!$C$15,MONTH(I160)&lt;=Setup!$C$16)),IF(Setup!$C$15&lt;=Setup!$C$16,AND(MONTH(WORKDAY(I160,-(Setup!$C$13+Setup!$G$27),Setup!$C$39:$C$50))&gt;=Setup!$C$15,MONTH(WORKDAY(I160,-(Setup!$C$13+Setup!$G$27),Setup!$C$39:$C$50))&lt;=Setup!$C$16),OR(MONTH(WORKDAY(I160,-(Setup!$C$13+Setup!$G$27),Setup!$C$39:$C$50))&gt;=Setup!$C$15,MONTH(WORKDAY(I160,-(Setup!$C$13+Setup!$G$27),Setup!$C$39:$C$50))&lt;=Setup!$C$16))),WORKDAY(I160,-(Setup!$C$13+Setup!$G$27+Setup!$C$14),Setup!$C$39:$C$50),WORKDAY(I160,-(Setup!$C$13+Setup!$G$27),Setup!$C$39:$C$50))+(155*100+8)/10000000)))</f>
        <v/>
      </c>
      <c r="Z160" t="str">
        <f>IF(J160="","",IF(J160&lt;Setup!$C$5-Setup!$C$6,"",IF(IF(ISNUMBER(Roster!$D160),Setup!$C$28&lt;=Roster!$D160,FALSE),"",IF(OR(IF(Setup!$C$15&lt;=Setup!$C$16,AND(MONTH(J160)&gt;=Setup!$C$15,MONTH(J160)&lt;=Setup!$C$16),OR(MONTH(J160)&gt;=Setup!$C$15,MONTH(J160)&lt;=Setup!$C$16)),IF(Setup!$C$15&lt;=Setup!$C$16,AND(MONTH(WORKDAY(J160,-(Setup!$C$13+Setup!$G$28),Setup!$C$39:$C$50))&gt;=Setup!$C$15,MONTH(WORKDAY(J160,-(Setup!$C$13+Setup!$G$28),Setup!$C$39:$C$50))&lt;=Setup!$C$16),OR(MONTH(WORKDAY(J160,-(Setup!$C$13+Setup!$G$28),Setup!$C$39:$C$50))&gt;=Setup!$C$15,MONTH(WORKDAY(J160,-(Setup!$C$13+Setup!$G$28),Setup!$C$39:$C$50))&lt;=Setup!$C$16))),WORKDAY(J160,-(Setup!$C$13+Setup!$G$28+Setup!$C$14),Setup!$C$39:$C$50),WORKDAY(J160,-(Setup!$C$13+Setup!$G$28),Setup!$C$39:$C$50))+(155*100+9)/10000000)))</f>
        <v/>
      </c>
      <c r="AA160" t="str">
        <f>IF(K160="","",IF(K160&lt;Setup!$C$5-Setup!$C$6,"",IF(IF(ISNUMBER(Roster!$D160),Setup!$C$29&lt;=Roster!$D160,FALSE),"",IF(OR(IF(Setup!$C$15&lt;=Setup!$C$16,AND(MONTH(K160)&gt;=Setup!$C$15,MONTH(K160)&lt;=Setup!$C$16),OR(MONTH(K160)&gt;=Setup!$C$15,MONTH(K160)&lt;=Setup!$C$16)),IF(Setup!$C$15&lt;=Setup!$C$16,AND(MONTH(WORKDAY(K160,-(Setup!$C$13+Setup!$G$29),Setup!$C$39:$C$50))&gt;=Setup!$C$15,MONTH(WORKDAY(K160,-(Setup!$C$13+Setup!$G$29),Setup!$C$39:$C$50))&lt;=Setup!$C$16),OR(MONTH(WORKDAY(K160,-(Setup!$C$13+Setup!$G$29),Setup!$C$39:$C$50))&gt;=Setup!$C$15,MONTH(WORKDAY(K160,-(Setup!$C$13+Setup!$G$29),Setup!$C$39:$C$50))&lt;=Setup!$C$16))),WORKDAY(K160,-(Setup!$C$13+Setup!$G$29+Setup!$C$14),Setup!$C$39:$C$50),WORKDAY(K160,-(Setup!$C$13+Setup!$G$29),Setup!$C$39:$C$50))+(155*100+10)/10000000)))</f>
        <v/>
      </c>
      <c r="AB160" t="str">
        <f>IF(L160="","",IF(L160&lt;Setup!$C$5-Setup!$C$6,"",IF(IF(ISNUMBER(Roster!$D160),Setup!$C$30&lt;=Roster!$D160,FALSE),"",IF(OR(IF(Setup!$C$15&lt;=Setup!$C$16,AND(MONTH(L160)&gt;=Setup!$C$15,MONTH(L160)&lt;=Setup!$C$16),OR(MONTH(L160)&gt;=Setup!$C$15,MONTH(L160)&lt;=Setup!$C$16)),IF(Setup!$C$15&lt;=Setup!$C$16,AND(MONTH(WORKDAY(L160,-(Setup!$C$13+Setup!$G$30),Setup!$C$39:$C$50))&gt;=Setup!$C$15,MONTH(WORKDAY(L160,-(Setup!$C$13+Setup!$G$30),Setup!$C$39:$C$50))&lt;=Setup!$C$16),OR(MONTH(WORKDAY(L160,-(Setup!$C$13+Setup!$G$30),Setup!$C$39:$C$50))&gt;=Setup!$C$15,MONTH(WORKDAY(L160,-(Setup!$C$13+Setup!$G$30),Setup!$C$39:$C$50))&lt;=Setup!$C$16))),WORKDAY(L160,-(Setup!$C$13+Setup!$G$30+Setup!$C$14),Setup!$C$39:$C$50),WORKDAY(L160,-(Setup!$C$13+Setup!$G$30),Setup!$C$39:$C$50))+(155*100+11)/10000000)))</f>
        <v/>
      </c>
      <c r="AC160" t="str">
        <f>IF(M160="","",IF(M160&lt;Setup!$C$5-Setup!$C$6,"",IF(IF(ISNUMBER(Roster!$D160),Setup!$C$31&lt;=Roster!$D160,FALSE),"",IF(OR(IF(Setup!$C$15&lt;=Setup!$C$16,AND(MONTH(M160)&gt;=Setup!$C$15,MONTH(M160)&lt;=Setup!$C$16),OR(MONTH(M160)&gt;=Setup!$C$15,MONTH(M160)&lt;=Setup!$C$16)),IF(Setup!$C$15&lt;=Setup!$C$16,AND(MONTH(WORKDAY(M160,-(Setup!$C$13+Setup!$G$31),Setup!$C$39:$C$50))&gt;=Setup!$C$15,MONTH(WORKDAY(M160,-(Setup!$C$13+Setup!$G$31),Setup!$C$39:$C$50))&lt;=Setup!$C$16),OR(MONTH(WORKDAY(M160,-(Setup!$C$13+Setup!$G$31),Setup!$C$39:$C$50))&gt;=Setup!$C$15,MONTH(WORKDAY(M160,-(Setup!$C$13+Setup!$G$31),Setup!$C$39:$C$50))&lt;=Setup!$C$16))),WORKDAY(M160,-(Setup!$C$13+Setup!$G$31+Setup!$C$14),Setup!$C$39:$C$50),WORKDAY(M160,-(Setup!$C$13+Setup!$G$31),Setup!$C$39:$C$50))+(155*100+12)/10000000)))</f>
        <v/>
      </c>
      <c r="AD160" t="str">
        <f>IF(N160="","",IF(N160&lt;Setup!$C$5-Setup!$C$6,"",IF(IF(ISNUMBER(Roster!$D160),Setup!$C$32&lt;=Roster!$D160,FALSE),"",IF(OR(IF(Setup!$C$15&lt;=Setup!$C$16,AND(MONTH(N160)&gt;=Setup!$C$15,MONTH(N160)&lt;=Setup!$C$16),OR(MONTH(N160)&gt;=Setup!$C$15,MONTH(N160)&lt;=Setup!$C$16)),IF(Setup!$C$15&lt;=Setup!$C$16,AND(MONTH(WORKDAY(N160,-(Setup!$C$13+Setup!$G$32),Setup!$C$39:$C$50))&gt;=Setup!$C$15,MONTH(WORKDAY(N160,-(Setup!$C$13+Setup!$G$32),Setup!$C$39:$C$50))&lt;=Setup!$C$16),OR(MONTH(WORKDAY(N160,-(Setup!$C$13+Setup!$G$32),Setup!$C$39:$C$50))&gt;=Setup!$C$15,MONTH(WORKDAY(N160,-(Setup!$C$13+Setup!$G$32),Setup!$C$39:$C$50))&lt;=Setup!$C$16))),WORKDAY(N160,-(Setup!$C$13+Setup!$G$32+Setup!$C$14),Setup!$C$39:$C$50),WORKDAY(N160,-(Setup!$C$13+Setup!$G$32),Setup!$C$39:$C$50))+(155*100+13)/10000000)))</f>
        <v/>
      </c>
      <c r="AE160" t="str">
        <f>IF(O160="","",IF(O160&lt;Setup!$C$5-Setup!$C$6,"",IF(IF(ISNUMBER(Roster!$D160),Setup!$C$33&lt;=Roster!$D160,FALSE),"",IF(OR(IF(Setup!$C$15&lt;=Setup!$C$16,AND(MONTH(O160)&gt;=Setup!$C$15,MONTH(O160)&lt;=Setup!$C$16),OR(MONTH(O160)&gt;=Setup!$C$15,MONTH(O160)&lt;=Setup!$C$16)),IF(Setup!$C$15&lt;=Setup!$C$16,AND(MONTH(WORKDAY(O160,-(Setup!$C$13+Setup!$G$33),Setup!$C$39:$C$50))&gt;=Setup!$C$15,MONTH(WORKDAY(O160,-(Setup!$C$13+Setup!$G$33),Setup!$C$39:$C$50))&lt;=Setup!$C$16),OR(MONTH(WORKDAY(O160,-(Setup!$C$13+Setup!$G$33),Setup!$C$39:$C$50))&gt;=Setup!$C$15,MONTH(WORKDAY(O160,-(Setup!$C$13+Setup!$G$33),Setup!$C$39:$C$50))&lt;=Setup!$C$16))),WORKDAY(O160,-(Setup!$C$13+Setup!$G$33+Setup!$C$14),Setup!$C$39:$C$50),WORKDAY(O160,-(Setup!$C$13+Setup!$G$33),Setup!$C$39:$C$50))+(155*100+14)/10000000)))</f>
        <v/>
      </c>
      <c r="AF160" t="str">
        <f>IF(P160="","",IF(P160&lt;Setup!$C$5-Setup!$C$6,"",IF(IF(ISNUMBER(Roster!$D160),Setup!$C$34&lt;=Roster!$D160,FALSE),"",IF(OR(IF(Setup!$C$15&lt;=Setup!$C$16,AND(MONTH(P160)&gt;=Setup!$C$15,MONTH(P160)&lt;=Setup!$C$16),OR(MONTH(P160)&gt;=Setup!$C$15,MONTH(P160)&lt;=Setup!$C$16)),IF(Setup!$C$15&lt;=Setup!$C$16,AND(MONTH(WORKDAY(P160,-(Setup!$C$13+Setup!$G$34),Setup!$C$39:$C$50))&gt;=Setup!$C$15,MONTH(WORKDAY(P160,-(Setup!$C$13+Setup!$G$34),Setup!$C$39:$C$50))&lt;=Setup!$C$16),OR(MONTH(WORKDAY(P160,-(Setup!$C$13+Setup!$G$34),Setup!$C$39:$C$50))&gt;=Setup!$C$15,MONTH(WORKDAY(P160,-(Setup!$C$13+Setup!$G$34),Setup!$C$39:$C$50))&lt;=Setup!$C$16))),WORKDAY(P160,-(Setup!$C$13+Setup!$G$34+Setup!$C$14),Setup!$C$39:$C$50),WORKDAY(P160,-(Setup!$C$13+Setup!$G$34),Setup!$C$39:$C$50))+(155*100+15)/10000000)))</f>
        <v/>
      </c>
      <c r="AH160" t="str">
        <f t="shared" si="17"/>
        <v/>
      </c>
      <c r="AI160" t="str">
        <f t="shared" si="18"/>
        <v/>
      </c>
      <c r="AK160" t="str">
        <f ca="1">IF(155&gt;$AK$2,"",SMALL($R$6:$AF$505,155))</f>
        <v/>
      </c>
      <c r="AL160" t="str">
        <f t="shared" ca="1" si="19"/>
        <v/>
      </c>
      <c r="AM160" t="str">
        <f t="shared" ca="1" si="20"/>
        <v/>
      </c>
      <c r="AN160" t="str">
        <f t="shared" ca="1" si="21"/>
        <v/>
      </c>
      <c r="AP160" t="str">
        <f>IF(ISNUMBER(Roster!$B160),MAX(1,YEAR(Setup!$C$5)-YEAR(Roster!$B160)+IF(EDATE(Roster!$B160,12*(YEAR(Setup!$C$5)-YEAR(Roster!$B160)))&lt;Setup!$C$5,1,0)),"")</f>
        <v/>
      </c>
      <c r="AQ160" s="32" t="str">
        <f>IF(AP160="","",EDATE(Roster!$B160,12*AP160))</f>
        <v/>
      </c>
      <c r="AR160" t="str">
        <f>IF(AQ160="","",IF(AQ160&lt;DATE(YEAR(Setup!$C$5)+1,MONTH(Setup!$C$5),DAY(Setup!$C$5)),AQ160+155/1000,""))</f>
        <v/>
      </c>
      <c r="AS160" t="str">
        <f t="shared" si="22"/>
        <v/>
      </c>
      <c r="AT160" t="str">
        <f>IF(AS160="","",IF(ISNUMBER(Roster!$D160),Roster!$D160&gt;=AP160,FALSE))</f>
        <v/>
      </c>
      <c r="AU160" t="str">
        <f t="shared" si="23"/>
        <v/>
      </c>
      <c r="AV160" t="str">
        <f ca="1">IF(155&gt;$AV$2,"",SMALL($AR$6:$AR$505,155))</f>
        <v/>
      </c>
      <c r="AW160" t="str">
        <f t="shared" ca="1" si="24"/>
        <v/>
      </c>
    </row>
    <row r="161" spans="2:49" x14ac:dyDescent="0.2">
      <c r="B161" s="32" t="str">
        <f>IF(AND(ISNUMBER(Roster!$B161),Setup!$B$20="Yes",ISNUMBER(Setup!$C$20)),EDATE(Roster!$B161,12*Setup!$C$20),"")</f>
        <v/>
      </c>
      <c r="C161" s="32" t="str">
        <f>IF(AND(ISNUMBER(Roster!$B161),Setup!$B$21="Yes",ISNUMBER(Setup!$C$21)),EDATE(Roster!$B161,12*Setup!$C$21),"")</f>
        <v/>
      </c>
      <c r="D161" s="32" t="str">
        <f>IF(AND(ISNUMBER(Roster!$B161),Setup!$B$22="Yes",ISNUMBER(Setup!$C$22)),EDATE(Roster!$B161,12*Setup!$C$22),"")</f>
        <v/>
      </c>
      <c r="E161" s="32" t="str">
        <f>IF(AND(ISNUMBER(Roster!$B161),Setup!$B$23="Yes",ISNUMBER(Setup!$C$23)),EDATE(Roster!$B161,12*Setup!$C$23),"")</f>
        <v/>
      </c>
      <c r="F161" s="32" t="str">
        <f>IF(AND(ISNUMBER(Roster!$B161),Setup!$B$24="Yes",ISNUMBER(Setup!$C$24)),EDATE(Roster!$B161,12*Setup!$C$24),"")</f>
        <v/>
      </c>
      <c r="G161" s="32" t="str">
        <f>IF(AND(ISNUMBER(Roster!$B161),Setup!$B$25="Yes",ISNUMBER(Setup!$C$25)),EDATE(Roster!$B161,12*Setup!$C$25),"")</f>
        <v/>
      </c>
      <c r="H161" s="32" t="str">
        <f>IF(AND(ISNUMBER(Roster!$B161),Setup!$B$26="Yes",ISNUMBER(Setup!$C$26)),EDATE(Roster!$B161,12*Setup!$C$26),"")</f>
        <v/>
      </c>
      <c r="I161" s="32" t="str">
        <f>IF(AND(ISNUMBER(Roster!$B161),Setup!$B$27="Yes",ISNUMBER(Setup!$C$27)),EDATE(Roster!$B161,12*Setup!$C$27),"")</f>
        <v/>
      </c>
      <c r="J161" s="32" t="str">
        <f>IF(AND(ISNUMBER(Roster!$B161),Setup!$B$28="Yes",ISNUMBER(Setup!$C$28)),EDATE(Roster!$B161,12*Setup!$C$28),"")</f>
        <v/>
      </c>
      <c r="K161" s="32" t="str">
        <f>IF(AND(ISNUMBER(Roster!$B161),Setup!$B$29="Yes",ISNUMBER(Setup!$C$29)),EDATE(Roster!$B161,12*Setup!$C$29),"")</f>
        <v/>
      </c>
      <c r="L161" s="32" t="str">
        <f>IF(AND(ISNUMBER(Roster!$B161),Setup!$B$30="Yes",ISNUMBER(Setup!$C$30)),EDATE(Roster!$B161,12*Setup!$C$30),"")</f>
        <v/>
      </c>
      <c r="M161" s="32" t="str">
        <f>IF(AND(ISNUMBER(Roster!$B161),Setup!$B$31="Yes",ISNUMBER(Setup!$C$31)),EDATE(Roster!$B161,12*Setup!$C$31),"")</f>
        <v/>
      </c>
      <c r="N161" s="32" t="str">
        <f>IF(AND(ISNUMBER(Roster!$B161),Setup!$B$32="Yes",ISNUMBER(Setup!$C$32)),EDATE(Roster!$B161,12*Setup!$C$32),"")</f>
        <v/>
      </c>
      <c r="O161" s="32" t="str">
        <f>IF(AND(ISNUMBER(Roster!$B161),Setup!$B$33="Yes",ISNUMBER(Setup!$C$33)),EDATE(Roster!$B161,12*Setup!$C$33),"")</f>
        <v/>
      </c>
      <c r="P161" s="32" t="str">
        <f>IF(AND(ISNUMBER(Roster!$B161),Setup!$B$34="Yes",ISNUMBER(Setup!$C$34)),EDATE(Roster!$B161,12*Setup!$C$34),"")</f>
        <v/>
      </c>
      <c r="R161" t="str">
        <f>IF(B161="","",IF(B161&lt;Setup!$C$5-Setup!$C$6,"",IF(IF(ISNUMBER(Roster!$D161),Setup!$C$20&lt;=Roster!$D161,FALSE),"",IF(OR(IF(Setup!$C$15&lt;=Setup!$C$16,AND(MONTH(B161)&gt;=Setup!$C$15,MONTH(B161)&lt;=Setup!$C$16),OR(MONTH(B161)&gt;=Setup!$C$15,MONTH(B161)&lt;=Setup!$C$16)),IF(Setup!$C$15&lt;=Setup!$C$16,AND(MONTH(WORKDAY(B161,-(Setup!$C$13+Setup!$G$20),Setup!$C$39:$C$50))&gt;=Setup!$C$15,MONTH(WORKDAY(B161,-(Setup!$C$13+Setup!$G$20),Setup!$C$39:$C$50))&lt;=Setup!$C$16),OR(MONTH(WORKDAY(B161,-(Setup!$C$13+Setup!$G$20),Setup!$C$39:$C$50))&gt;=Setup!$C$15,MONTH(WORKDAY(B161,-(Setup!$C$13+Setup!$G$20),Setup!$C$39:$C$50))&lt;=Setup!$C$16))),WORKDAY(B161,-(Setup!$C$13+Setup!$G$20+Setup!$C$14),Setup!$C$39:$C$50),WORKDAY(B161,-(Setup!$C$13+Setup!$G$20),Setup!$C$39:$C$50))+(156*100+1)/10000000)))</f>
        <v/>
      </c>
      <c r="S161" t="str">
        <f>IF(C161="","",IF(C161&lt;Setup!$C$5-Setup!$C$6,"",IF(IF(ISNUMBER(Roster!$D161),Setup!$C$21&lt;=Roster!$D161,FALSE),"",IF(OR(IF(Setup!$C$15&lt;=Setup!$C$16,AND(MONTH(C161)&gt;=Setup!$C$15,MONTH(C161)&lt;=Setup!$C$16),OR(MONTH(C161)&gt;=Setup!$C$15,MONTH(C161)&lt;=Setup!$C$16)),IF(Setup!$C$15&lt;=Setup!$C$16,AND(MONTH(WORKDAY(C161,-(Setup!$C$13+Setup!$G$21),Setup!$C$39:$C$50))&gt;=Setup!$C$15,MONTH(WORKDAY(C161,-(Setup!$C$13+Setup!$G$21),Setup!$C$39:$C$50))&lt;=Setup!$C$16),OR(MONTH(WORKDAY(C161,-(Setup!$C$13+Setup!$G$21),Setup!$C$39:$C$50))&gt;=Setup!$C$15,MONTH(WORKDAY(C161,-(Setup!$C$13+Setup!$G$21),Setup!$C$39:$C$50))&lt;=Setup!$C$16))),WORKDAY(C161,-(Setup!$C$13+Setup!$G$21+Setup!$C$14),Setup!$C$39:$C$50),WORKDAY(C161,-(Setup!$C$13+Setup!$G$21),Setup!$C$39:$C$50))+(156*100+2)/10000000)))</f>
        <v/>
      </c>
      <c r="T161" t="str">
        <f>IF(D161="","",IF(D161&lt;Setup!$C$5-Setup!$C$6,"",IF(IF(ISNUMBER(Roster!$D161),Setup!$C$22&lt;=Roster!$D161,FALSE),"",IF(OR(IF(Setup!$C$15&lt;=Setup!$C$16,AND(MONTH(D161)&gt;=Setup!$C$15,MONTH(D161)&lt;=Setup!$C$16),OR(MONTH(D161)&gt;=Setup!$C$15,MONTH(D161)&lt;=Setup!$C$16)),IF(Setup!$C$15&lt;=Setup!$C$16,AND(MONTH(WORKDAY(D161,-(Setup!$C$13+Setup!$G$22),Setup!$C$39:$C$50))&gt;=Setup!$C$15,MONTH(WORKDAY(D161,-(Setup!$C$13+Setup!$G$22),Setup!$C$39:$C$50))&lt;=Setup!$C$16),OR(MONTH(WORKDAY(D161,-(Setup!$C$13+Setup!$G$22),Setup!$C$39:$C$50))&gt;=Setup!$C$15,MONTH(WORKDAY(D161,-(Setup!$C$13+Setup!$G$22),Setup!$C$39:$C$50))&lt;=Setup!$C$16))),WORKDAY(D161,-(Setup!$C$13+Setup!$G$22+Setup!$C$14),Setup!$C$39:$C$50),WORKDAY(D161,-(Setup!$C$13+Setup!$G$22),Setup!$C$39:$C$50))+(156*100+3)/10000000)))</f>
        <v/>
      </c>
      <c r="U161" t="str">
        <f>IF(E161="","",IF(E161&lt;Setup!$C$5-Setup!$C$6,"",IF(IF(ISNUMBER(Roster!$D161),Setup!$C$23&lt;=Roster!$D161,FALSE),"",IF(OR(IF(Setup!$C$15&lt;=Setup!$C$16,AND(MONTH(E161)&gt;=Setup!$C$15,MONTH(E161)&lt;=Setup!$C$16),OR(MONTH(E161)&gt;=Setup!$C$15,MONTH(E161)&lt;=Setup!$C$16)),IF(Setup!$C$15&lt;=Setup!$C$16,AND(MONTH(WORKDAY(E161,-(Setup!$C$13+Setup!$G$23),Setup!$C$39:$C$50))&gt;=Setup!$C$15,MONTH(WORKDAY(E161,-(Setup!$C$13+Setup!$G$23),Setup!$C$39:$C$50))&lt;=Setup!$C$16),OR(MONTH(WORKDAY(E161,-(Setup!$C$13+Setup!$G$23),Setup!$C$39:$C$50))&gt;=Setup!$C$15,MONTH(WORKDAY(E161,-(Setup!$C$13+Setup!$G$23),Setup!$C$39:$C$50))&lt;=Setup!$C$16))),WORKDAY(E161,-(Setup!$C$13+Setup!$G$23+Setup!$C$14),Setup!$C$39:$C$50),WORKDAY(E161,-(Setup!$C$13+Setup!$G$23),Setup!$C$39:$C$50))+(156*100+4)/10000000)))</f>
        <v/>
      </c>
      <c r="V161" t="str">
        <f>IF(F161="","",IF(F161&lt;Setup!$C$5-Setup!$C$6,"",IF(IF(ISNUMBER(Roster!$D161),Setup!$C$24&lt;=Roster!$D161,FALSE),"",IF(OR(IF(Setup!$C$15&lt;=Setup!$C$16,AND(MONTH(F161)&gt;=Setup!$C$15,MONTH(F161)&lt;=Setup!$C$16),OR(MONTH(F161)&gt;=Setup!$C$15,MONTH(F161)&lt;=Setup!$C$16)),IF(Setup!$C$15&lt;=Setup!$C$16,AND(MONTH(WORKDAY(F161,-(Setup!$C$13+Setup!$G$24),Setup!$C$39:$C$50))&gt;=Setup!$C$15,MONTH(WORKDAY(F161,-(Setup!$C$13+Setup!$G$24),Setup!$C$39:$C$50))&lt;=Setup!$C$16),OR(MONTH(WORKDAY(F161,-(Setup!$C$13+Setup!$G$24),Setup!$C$39:$C$50))&gt;=Setup!$C$15,MONTH(WORKDAY(F161,-(Setup!$C$13+Setup!$G$24),Setup!$C$39:$C$50))&lt;=Setup!$C$16))),WORKDAY(F161,-(Setup!$C$13+Setup!$G$24+Setup!$C$14),Setup!$C$39:$C$50),WORKDAY(F161,-(Setup!$C$13+Setup!$G$24),Setup!$C$39:$C$50))+(156*100+5)/10000000)))</f>
        <v/>
      </c>
      <c r="W161" t="str">
        <f>IF(G161="","",IF(G161&lt;Setup!$C$5-Setup!$C$6,"",IF(IF(ISNUMBER(Roster!$D161),Setup!$C$25&lt;=Roster!$D161,FALSE),"",IF(OR(IF(Setup!$C$15&lt;=Setup!$C$16,AND(MONTH(G161)&gt;=Setup!$C$15,MONTH(G161)&lt;=Setup!$C$16),OR(MONTH(G161)&gt;=Setup!$C$15,MONTH(G161)&lt;=Setup!$C$16)),IF(Setup!$C$15&lt;=Setup!$C$16,AND(MONTH(WORKDAY(G161,-(Setup!$C$13+Setup!$G$25),Setup!$C$39:$C$50))&gt;=Setup!$C$15,MONTH(WORKDAY(G161,-(Setup!$C$13+Setup!$G$25),Setup!$C$39:$C$50))&lt;=Setup!$C$16),OR(MONTH(WORKDAY(G161,-(Setup!$C$13+Setup!$G$25),Setup!$C$39:$C$50))&gt;=Setup!$C$15,MONTH(WORKDAY(G161,-(Setup!$C$13+Setup!$G$25),Setup!$C$39:$C$50))&lt;=Setup!$C$16))),WORKDAY(G161,-(Setup!$C$13+Setup!$G$25+Setup!$C$14),Setup!$C$39:$C$50),WORKDAY(G161,-(Setup!$C$13+Setup!$G$25),Setup!$C$39:$C$50))+(156*100+6)/10000000)))</f>
        <v/>
      </c>
      <c r="X161" t="str">
        <f>IF(H161="","",IF(H161&lt;Setup!$C$5-Setup!$C$6,"",IF(IF(ISNUMBER(Roster!$D161),Setup!$C$26&lt;=Roster!$D161,FALSE),"",IF(OR(IF(Setup!$C$15&lt;=Setup!$C$16,AND(MONTH(H161)&gt;=Setup!$C$15,MONTH(H161)&lt;=Setup!$C$16),OR(MONTH(H161)&gt;=Setup!$C$15,MONTH(H161)&lt;=Setup!$C$16)),IF(Setup!$C$15&lt;=Setup!$C$16,AND(MONTH(WORKDAY(H161,-(Setup!$C$13+Setup!$G$26),Setup!$C$39:$C$50))&gt;=Setup!$C$15,MONTH(WORKDAY(H161,-(Setup!$C$13+Setup!$G$26),Setup!$C$39:$C$50))&lt;=Setup!$C$16),OR(MONTH(WORKDAY(H161,-(Setup!$C$13+Setup!$G$26),Setup!$C$39:$C$50))&gt;=Setup!$C$15,MONTH(WORKDAY(H161,-(Setup!$C$13+Setup!$G$26),Setup!$C$39:$C$50))&lt;=Setup!$C$16))),WORKDAY(H161,-(Setup!$C$13+Setup!$G$26+Setup!$C$14),Setup!$C$39:$C$50),WORKDAY(H161,-(Setup!$C$13+Setup!$G$26),Setup!$C$39:$C$50))+(156*100+7)/10000000)))</f>
        <v/>
      </c>
      <c r="Y161" t="str">
        <f>IF(I161="","",IF(I161&lt;Setup!$C$5-Setup!$C$6,"",IF(IF(ISNUMBER(Roster!$D161),Setup!$C$27&lt;=Roster!$D161,FALSE),"",IF(OR(IF(Setup!$C$15&lt;=Setup!$C$16,AND(MONTH(I161)&gt;=Setup!$C$15,MONTH(I161)&lt;=Setup!$C$16),OR(MONTH(I161)&gt;=Setup!$C$15,MONTH(I161)&lt;=Setup!$C$16)),IF(Setup!$C$15&lt;=Setup!$C$16,AND(MONTH(WORKDAY(I161,-(Setup!$C$13+Setup!$G$27),Setup!$C$39:$C$50))&gt;=Setup!$C$15,MONTH(WORKDAY(I161,-(Setup!$C$13+Setup!$G$27),Setup!$C$39:$C$50))&lt;=Setup!$C$16),OR(MONTH(WORKDAY(I161,-(Setup!$C$13+Setup!$G$27),Setup!$C$39:$C$50))&gt;=Setup!$C$15,MONTH(WORKDAY(I161,-(Setup!$C$13+Setup!$G$27),Setup!$C$39:$C$50))&lt;=Setup!$C$16))),WORKDAY(I161,-(Setup!$C$13+Setup!$G$27+Setup!$C$14),Setup!$C$39:$C$50),WORKDAY(I161,-(Setup!$C$13+Setup!$G$27),Setup!$C$39:$C$50))+(156*100+8)/10000000)))</f>
        <v/>
      </c>
      <c r="Z161" t="str">
        <f>IF(J161="","",IF(J161&lt;Setup!$C$5-Setup!$C$6,"",IF(IF(ISNUMBER(Roster!$D161),Setup!$C$28&lt;=Roster!$D161,FALSE),"",IF(OR(IF(Setup!$C$15&lt;=Setup!$C$16,AND(MONTH(J161)&gt;=Setup!$C$15,MONTH(J161)&lt;=Setup!$C$16),OR(MONTH(J161)&gt;=Setup!$C$15,MONTH(J161)&lt;=Setup!$C$16)),IF(Setup!$C$15&lt;=Setup!$C$16,AND(MONTH(WORKDAY(J161,-(Setup!$C$13+Setup!$G$28),Setup!$C$39:$C$50))&gt;=Setup!$C$15,MONTH(WORKDAY(J161,-(Setup!$C$13+Setup!$G$28),Setup!$C$39:$C$50))&lt;=Setup!$C$16),OR(MONTH(WORKDAY(J161,-(Setup!$C$13+Setup!$G$28),Setup!$C$39:$C$50))&gt;=Setup!$C$15,MONTH(WORKDAY(J161,-(Setup!$C$13+Setup!$G$28),Setup!$C$39:$C$50))&lt;=Setup!$C$16))),WORKDAY(J161,-(Setup!$C$13+Setup!$G$28+Setup!$C$14),Setup!$C$39:$C$50),WORKDAY(J161,-(Setup!$C$13+Setup!$G$28),Setup!$C$39:$C$50))+(156*100+9)/10000000)))</f>
        <v/>
      </c>
      <c r="AA161" t="str">
        <f>IF(K161="","",IF(K161&lt;Setup!$C$5-Setup!$C$6,"",IF(IF(ISNUMBER(Roster!$D161),Setup!$C$29&lt;=Roster!$D161,FALSE),"",IF(OR(IF(Setup!$C$15&lt;=Setup!$C$16,AND(MONTH(K161)&gt;=Setup!$C$15,MONTH(K161)&lt;=Setup!$C$16),OR(MONTH(K161)&gt;=Setup!$C$15,MONTH(K161)&lt;=Setup!$C$16)),IF(Setup!$C$15&lt;=Setup!$C$16,AND(MONTH(WORKDAY(K161,-(Setup!$C$13+Setup!$G$29),Setup!$C$39:$C$50))&gt;=Setup!$C$15,MONTH(WORKDAY(K161,-(Setup!$C$13+Setup!$G$29),Setup!$C$39:$C$50))&lt;=Setup!$C$16),OR(MONTH(WORKDAY(K161,-(Setup!$C$13+Setup!$G$29),Setup!$C$39:$C$50))&gt;=Setup!$C$15,MONTH(WORKDAY(K161,-(Setup!$C$13+Setup!$G$29),Setup!$C$39:$C$50))&lt;=Setup!$C$16))),WORKDAY(K161,-(Setup!$C$13+Setup!$G$29+Setup!$C$14),Setup!$C$39:$C$50),WORKDAY(K161,-(Setup!$C$13+Setup!$G$29),Setup!$C$39:$C$50))+(156*100+10)/10000000)))</f>
        <v/>
      </c>
      <c r="AB161" t="str">
        <f>IF(L161="","",IF(L161&lt;Setup!$C$5-Setup!$C$6,"",IF(IF(ISNUMBER(Roster!$D161),Setup!$C$30&lt;=Roster!$D161,FALSE),"",IF(OR(IF(Setup!$C$15&lt;=Setup!$C$16,AND(MONTH(L161)&gt;=Setup!$C$15,MONTH(L161)&lt;=Setup!$C$16),OR(MONTH(L161)&gt;=Setup!$C$15,MONTH(L161)&lt;=Setup!$C$16)),IF(Setup!$C$15&lt;=Setup!$C$16,AND(MONTH(WORKDAY(L161,-(Setup!$C$13+Setup!$G$30),Setup!$C$39:$C$50))&gt;=Setup!$C$15,MONTH(WORKDAY(L161,-(Setup!$C$13+Setup!$G$30),Setup!$C$39:$C$50))&lt;=Setup!$C$16),OR(MONTH(WORKDAY(L161,-(Setup!$C$13+Setup!$G$30),Setup!$C$39:$C$50))&gt;=Setup!$C$15,MONTH(WORKDAY(L161,-(Setup!$C$13+Setup!$G$30),Setup!$C$39:$C$50))&lt;=Setup!$C$16))),WORKDAY(L161,-(Setup!$C$13+Setup!$G$30+Setup!$C$14),Setup!$C$39:$C$50),WORKDAY(L161,-(Setup!$C$13+Setup!$G$30),Setup!$C$39:$C$50))+(156*100+11)/10000000)))</f>
        <v/>
      </c>
      <c r="AC161" t="str">
        <f>IF(M161="","",IF(M161&lt;Setup!$C$5-Setup!$C$6,"",IF(IF(ISNUMBER(Roster!$D161),Setup!$C$31&lt;=Roster!$D161,FALSE),"",IF(OR(IF(Setup!$C$15&lt;=Setup!$C$16,AND(MONTH(M161)&gt;=Setup!$C$15,MONTH(M161)&lt;=Setup!$C$16),OR(MONTH(M161)&gt;=Setup!$C$15,MONTH(M161)&lt;=Setup!$C$16)),IF(Setup!$C$15&lt;=Setup!$C$16,AND(MONTH(WORKDAY(M161,-(Setup!$C$13+Setup!$G$31),Setup!$C$39:$C$50))&gt;=Setup!$C$15,MONTH(WORKDAY(M161,-(Setup!$C$13+Setup!$G$31),Setup!$C$39:$C$50))&lt;=Setup!$C$16),OR(MONTH(WORKDAY(M161,-(Setup!$C$13+Setup!$G$31),Setup!$C$39:$C$50))&gt;=Setup!$C$15,MONTH(WORKDAY(M161,-(Setup!$C$13+Setup!$G$31),Setup!$C$39:$C$50))&lt;=Setup!$C$16))),WORKDAY(M161,-(Setup!$C$13+Setup!$G$31+Setup!$C$14),Setup!$C$39:$C$50),WORKDAY(M161,-(Setup!$C$13+Setup!$G$31),Setup!$C$39:$C$50))+(156*100+12)/10000000)))</f>
        <v/>
      </c>
      <c r="AD161" t="str">
        <f>IF(N161="","",IF(N161&lt;Setup!$C$5-Setup!$C$6,"",IF(IF(ISNUMBER(Roster!$D161),Setup!$C$32&lt;=Roster!$D161,FALSE),"",IF(OR(IF(Setup!$C$15&lt;=Setup!$C$16,AND(MONTH(N161)&gt;=Setup!$C$15,MONTH(N161)&lt;=Setup!$C$16),OR(MONTH(N161)&gt;=Setup!$C$15,MONTH(N161)&lt;=Setup!$C$16)),IF(Setup!$C$15&lt;=Setup!$C$16,AND(MONTH(WORKDAY(N161,-(Setup!$C$13+Setup!$G$32),Setup!$C$39:$C$50))&gt;=Setup!$C$15,MONTH(WORKDAY(N161,-(Setup!$C$13+Setup!$G$32),Setup!$C$39:$C$50))&lt;=Setup!$C$16),OR(MONTH(WORKDAY(N161,-(Setup!$C$13+Setup!$G$32),Setup!$C$39:$C$50))&gt;=Setup!$C$15,MONTH(WORKDAY(N161,-(Setup!$C$13+Setup!$G$32),Setup!$C$39:$C$50))&lt;=Setup!$C$16))),WORKDAY(N161,-(Setup!$C$13+Setup!$G$32+Setup!$C$14),Setup!$C$39:$C$50),WORKDAY(N161,-(Setup!$C$13+Setup!$G$32),Setup!$C$39:$C$50))+(156*100+13)/10000000)))</f>
        <v/>
      </c>
      <c r="AE161" t="str">
        <f>IF(O161="","",IF(O161&lt;Setup!$C$5-Setup!$C$6,"",IF(IF(ISNUMBER(Roster!$D161),Setup!$C$33&lt;=Roster!$D161,FALSE),"",IF(OR(IF(Setup!$C$15&lt;=Setup!$C$16,AND(MONTH(O161)&gt;=Setup!$C$15,MONTH(O161)&lt;=Setup!$C$16),OR(MONTH(O161)&gt;=Setup!$C$15,MONTH(O161)&lt;=Setup!$C$16)),IF(Setup!$C$15&lt;=Setup!$C$16,AND(MONTH(WORKDAY(O161,-(Setup!$C$13+Setup!$G$33),Setup!$C$39:$C$50))&gt;=Setup!$C$15,MONTH(WORKDAY(O161,-(Setup!$C$13+Setup!$G$33),Setup!$C$39:$C$50))&lt;=Setup!$C$16),OR(MONTH(WORKDAY(O161,-(Setup!$C$13+Setup!$G$33),Setup!$C$39:$C$50))&gt;=Setup!$C$15,MONTH(WORKDAY(O161,-(Setup!$C$13+Setup!$G$33),Setup!$C$39:$C$50))&lt;=Setup!$C$16))),WORKDAY(O161,-(Setup!$C$13+Setup!$G$33+Setup!$C$14),Setup!$C$39:$C$50),WORKDAY(O161,-(Setup!$C$13+Setup!$G$33),Setup!$C$39:$C$50))+(156*100+14)/10000000)))</f>
        <v/>
      </c>
      <c r="AF161" t="str">
        <f>IF(P161="","",IF(P161&lt;Setup!$C$5-Setup!$C$6,"",IF(IF(ISNUMBER(Roster!$D161),Setup!$C$34&lt;=Roster!$D161,FALSE),"",IF(OR(IF(Setup!$C$15&lt;=Setup!$C$16,AND(MONTH(P161)&gt;=Setup!$C$15,MONTH(P161)&lt;=Setup!$C$16),OR(MONTH(P161)&gt;=Setup!$C$15,MONTH(P161)&lt;=Setup!$C$16)),IF(Setup!$C$15&lt;=Setup!$C$16,AND(MONTH(WORKDAY(P161,-(Setup!$C$13+Setup!$G$34),Setup!$C$39:$C$50))&gt;=Setup!$C$15,MONTH(WORKDAY(P161,-(Setup!$C$13+Setup!$G$34),Setup!$C$39:$C$50))&lt;=Setup!$C$16),OR(MONTH(WORKDAY(P161,-(Setup!$C$13+Setup!$G$34),Setup!$C$39:$C$50))&gt;=Setup!$C$15,MONTH(WORKDAY(P161,-(Setup!$C$13+Setup!$G$34),Setup!$C$39:$C$50))&lt;=Setup!$C$16))),WORKDAY(P161,-(Setup!$C$13+Setup!$G$34+Setup!$C$14),Setup!$C$39:$C$50),WORKDAY(P161,-(Setup!$C$13+Setup!$G$34),Setup!$C$39:$C$50))+(156*100+15)/10000000)))</f>
        <v/>
      </c>
      <c r="AH161" t="str">
        <f t="shared" si="17"/>
        <v/>
      </c>
      <c r="AI161" t="str">
        <f t="shared" si="18"/>
        <v/>
      </c>
      <c r="AK161" t="str">
        <f ca="1">IF(156&gt;$AK$2,"",SMALL($R$6:$AF$505,156))</f>
        <v/>
      </c>
      <c r="AL161" t="str">
        <f t="shared" ca="1" si="19"/>
        <v/>
      </c>
      <c r="AM161" t="str">
        <f t="shared" ca="1" si="20"/>
        <v/>
      </c>
      <c r="AN161" t="str">
        <f t="shared" ca="1" si="21"/>
        <v/>
      </c>
      <c r="AP161" t="str">
        <f>IF(ISNUMBER(Roster!$B161),MAX(1,YEAR(Setup!$C$5)-YEAR(Roster!$B161)+IF(EDATE(Roster!$B161,12*(YEAR(Setup!$C$5)-YEAR(Roster!$B161)))&lt;Setup!$C$5,1,0)),"")</f>
        <v/>
      </c>
      <c r="AQ161" s="32" t="str">
        <f>IF(AP161="","",EDATE(Roster!$B161,12*AP161))</f>
        <v/>
      </c>
      <c r="AR161" t="str">
        <f>IF(AQ161="","",IF(AQ161&lt;DATE(YEAR(Setup!$C$5)+1,MONTH(Setup!$C$5),DAY(Setup!$C$5)),AQ161+156/1000,""))</f>
        <v/>
      </c>
      <c r="AS161" t="str">
        <f t="shared" si="22"/>
        <v/>
      </c>
      <c r="AT161" t="str">
        <f>IF(AS161="","",IF(ISNUMBER(Roster!$D161),Roster!$D161&gt;=AP161,FALSE))</f>
        <v/>
      </c>
      <c r="AU161" t="str">
        <f t="shared" si="23"/>
        <v/>
      </c>
      <c r="AV161" t="str">
        <f ca="1">IF(156&gt;$AV$2,"",SMALL($AR$6:$AR$505,156))</f>
        <v/>
      </c>
      <c r="AW161" t="str">
        <f t="shared" ca="1" si="24"/>
        <v/>
      </c>
    </row>
    <row r="162" spans="2:49" x14ac:dyDescent="0.2">
      <c r="B162" s="32" t="str">
        <f>IF(AND(ISNUMBER(Roster!$B162),Setup!$B$20="Yes",ISNUMBER(Setup!$C$20)),EDATE(Roster!$B162,12*Setup!$C$20),"")</f>
        <v/>
      </c>
      <c r="C162" s="32" t="str">
        <f>IF(AND(ISNUMBER(Roster!$B162),Setup!$B$21="Yes",ISNUMBER(Setup!$C$21)),EDATE(Roster!$B162,12*Setup!$C$21),"")</f>
        <v/>
      </c>
      <c r="D162" s="32" t="str">
        <f>IF(AND(ISNUMBER(Roster!$B162),Setup!$B$22="Yes",ISNUMBER(Setup!$C$22)),EDATE(Roster!$B162,12*Setup!$C$22),"")</f>
        <v/>
      </c>
      <c r="E162" s="32" t="str">
        <f>IF(AND(ISNUMBER(Roster!$B162),Setup!$B$23="Yes",ISNUMBER(Setup!$C$23)),EDATE(Roster!$B162,12*Setup!$C$23),"")</f>
        <v/>
      </c>
      <c r="F162" s="32" t="str">
        <f>IF(AND(ISNUMBER(Roster!$B162),Setup!$B$24="Yes",ISNUMBER(Setup!$C$24)),EDATE(Roster!$B162,12*Setup!$C$24),"")</f>
        <v/>
      </c>
      <c r="G162" s="32" t="str">
        <f>IF(AND(ISNUMBER(Roster!$B162),Setup!$B$25="Yes",ISNUMBER(Setup!$C$25)),EDATE(Roster!$B162,12*Setup!$C$25),"")</f>
        <v/>
      </c>
      <c r="H162" s="32" t="str">
        <f>IF(AND(ISNUMBER(Roster!$B162),Setup!$B$26="Yes",ISNUMBER(Setup!$C$26)),EDATE(Roster!$B162,12*Setup!$C$26),"")</f>
        <v/>
      </c>
      <c r="I162" s="32" t="str">
        <f>IF(AND(ISNUMBER(Roster!$B162),Setup!$B$27="Yes",ISNUMBER(Setup!$C$27)),EDATE(Roster!$B162,12*Setup!$C$27),"")</f>
        <v/>
      </c>
      <c r="J162" s="32" t="str">
        <f>IF(AND(ISNUMBER(Roster!$B162),Setup!$B$28="Yes",ISNUMBER(Setup!$C$28)),EDATE(Roster!$B162,12*Setup!$C$28),"")</f>
        <v/>
      </c>
      <c r="K162" s="32" t="str">
        <f>IF(AND(ISNUMBER(Roster!$B162),Setup!$B$29="Yes",ISNUMBER(Setup!$C$29)),EDATE(Roster!$B162,12*Setup!$C$29),"")</f>
        <v/>
      </c>
      <c r="L162" s="32" t="str">
        <f>IF(AND(ISNUMBER(Roster!$B162),Setup!$B$30="Yes",ISNUMBER(Setup!$C$30)),EDATE(Roster!$B162,12*Setup!$C$30),"")</f>
        <v/>
      </c>
      <c r="M162" s="32" t="str">
        <f>IF(AND(ISNUMBER(Roster!$B162),Setup!$B$31="Yes",ISNUMBER(Setup!$C$31)),EDATE(Roster!$B162,12*Setup!$C$31),"")</f>
        <v/>
      </c>
      <c r="N162" s="32" t="str">
        <f>IF(AND(ISNUMBER(Roster!$B162),Setup!$B$32="Yes",ISNUMBER(Setup!$C$32)),EDATE(Roster!$B162,12*Setup!$C$32),"")</f>
        <v/>
      </c>
      <c r="O162" s="32" t="str">
        <f>IF(AND(ISNUMBER(Roster!$B162),Setup!$B$33="Yes",ISNUMBER(Setup!$C$33)),EDATE(Roster!$B162,12*Setup!$C$33),"")</f>
        <v/>
      </c>
      <c r="P162" s="32" t="str">
        <f>IF(AND(ISNUMBER(Roster!$B162),Setup!$B$34="Yes",ISNUMBER(Setup!$C$34)),EDATE(Roster!$B162,12*Setup!$C$34),"")</f>
        <v/>
      </c>
      <c r="R162" t="str">
        <f>IF(B162="","",IF(B162&lt;Setup!$C$5-Setup!$C$6,"",IF(IF(ISNUMBER(Roster!$D162),Setup!$C$20&lt;=Roster!$D162,FALSE),"",IF(OR(IF(Setup!$C$15&lt;=Setup!$C$16,AND(MONTH(B162)&gt;=Setup!$C$15,MONTH(B162)&lt;=Setup!$C$16),OR(MONTH(B162)&gt;=Setup!$C$15,MONTH(B162)&lt;=Setup!$C$16)),IF(Setup!$C$15&lt;=Setup!$C$16,AND(MONTH(WORKDAY(B162,-(Setup!$C$13+Setup!$G$20),Setup!$C$39:$C$50))&gt;=Setup!$C$15,MONTH(WORKDAY(B162,-(Setup!$C$13+Setup!$G$20),Setup!$C$39:$C$50))&lt;=Setup!$C$16),OR(MONTH(WORKDAY(B162,-(Setup!$C$13+Setup!$G$20),Setup!$C$39:$C$50))&gt;=Setup!$C$15,MONTH(WORKDAY(B162,-(Setup!$C$13+Setup!$G$20),Setup!$C$39:$C$50))&lt;=Setup!$C$16))),WORKDAY(B162,-(Setup!$C$13+Setup!$G$20+Setup!$C$14),Setup!$C$39:$C$50),WORKDAY(B162,-(Setup!$C$13+Setup!$G$20),Setup!$C$39:$C$50))+(157*100+1)/10000000)))</f>
        <v/>
      </c>
      <c r="S162" t="str">
        <f>IF(C162="","",IF(C162&lt;Setup!$C$5-Setup!$C$6,"",IF(IF(ISNUMBER(Roster!$D162),Setup!$C$21&lt;=Roster!$D162,FALSE),"",IF(OR(IF(Setup!$C$15&lt;=Setup!$C$16,AND(MONTH(C162)&gt;=Setup!$C$15,MONTH(C162)&lt;=Setup!$C$16),OR(MONTH(C162)&gt;=Setup!$C$15,MONTH(C162)&lt;=Setup!$C$16)),IF(Setup!$C$15&lt;=Setup!$C$16,AND(MONTH(WORKDAY(C162,-(Setup!$C$13+Setup!$G$21),Setup!$C$39:$C$50))&gt;=Setup!$C$15,MONTH(WORKDAY(C162,-(Setup!$C$13+Setup!$G$21),Setup!$C$39:$C$50))&lt;=Setup!$C$16),OR(MONTH(WORKDAY(C162,-(Setup!$C$13+Setup!$G$21),Setup!$C$39:$C$50))&gt;=Setup!$C$15,MONTH(WORKDAY(C162,-(Setup!$C$13+Setup!$G$21),Setup!$C$39:$C$50))&lt;=Setup!$C$16))),WORKDAY(C162,-(Setup!$C$13+Setup!$G$21+Setup!$C$14),Setup!$C$39:$C$50),WORKDAY(C162,-(Setup!$C$13+Setup!$G$21),Setup!$C$39:$C$50))+(157*100+2)/10000000)))</f>
        <v/>
      </c>
      <c r="T162" t="str">
        <f>IF(D162="","",IF(D162&lt;Setup!$C$5-Setup!$C$6,"",IF(IF(ISNUMBER(Roster!$D162),Setup!$C$22&lt;=Roster!$D162,FALSE),"",IF(OR(IF(Setup!$C$15&lt;=Setup!$C$16,AND(MONTH(D162)&gt;=Setup!$C$15,MONTH(D162)&lt;=Setup!$C$16),OR(MONTH(D162)&gt;=Setup!$C$15,MONTH(D162)&lt;=Setup!$C$16)),IF(Setup!$C$15&lt;=Setup!$C$16,AND(MONTH(WORKDAY(D162,-(Setup!$C$13+Setup!$G$22),Setup!$C$39:$C$50))&gt;=Setup!$C$15,MONTH(WORKDAY(D162,-(Setup!$C$13+Setup!$G$22),Setup!$C$39:$C$50))&lt;=Setup!$C$16),OR(MONTH(WORKDAY(D162,-(Setup!$C$13+Setup!$G$22),Setup!$C$39:$C$50))&gt;=Setup!$C$15,MONTH(WORKDAY(D162,-(Setup!$C$13+Setup!$G$22),Setup!$C$39:$C$50))&lt;=Setup!$C$16))),WORKDAY(D162,-(Setup!$C$13+Setup!$G$22+Setup!$C$14),Setup!$C$39:$C$50),WORKDAY(D162,-(Setup!$C$13+Setup!$G$22),Setup!$C$39:$C$50))+(157*100+3)/10000000)))</f>
        <v/>
      </c>
      <c r="U162" t="str">
        <f>IF(E162="","",IF(E162&lt;Setup!$C$5-Setup!$C$6,"",IF(IF(ISNUMBER(Roster!$D162),Setup!$C$23&lt;=Roster!$D162,FALSE),"",IF(OR(IF(Setup!$C$15&lt;=Setup!$C$16,AND(MONTH(E162)&gt;=Setup!$C$15,MONTH(E162)&lt;=Setup!$C$16),OR(MONTH(E162)&gt;=Setup!$C$15,MONTH(E162)&lt;=Setup!$C$16)),IF(Setup!$C$15&lt;=Setup!$C$16,AND(MONTH(WORKDAY(E162,-(Setup!$C$13+Setup!$G$23),Setup!$C$39:$C$50))&gt;=Setup!$C$15,MONTH(WORKDAY(E162,-(Setup!$C$13+Setup!$G$23),Setup!$C$39:$C$50))&lt;=Setup!$C$16),OR(MONTH(WORKDAY(E162,-(Setup!$C$13+Setup!$G$23),Setup!$C$39:$C$50))&gt;=Setup!$C$15,MONTH(WORKDAY(E162,-(Setup!$C$13+Setup!$G$23),Setup!$C$39:$C$50))&lt;=Setup!$C$16))),WORKDAY(E162,-(Setup!$C$13+Setup!$G$23+Setup!$C$14),Setup!$C$39:$C$50),WORKDAY(E162,-(Setup!$C$13+Setup!$G$23),Setup!$C$39:$C$50))+(157*100+4)/10000000)))</f>
        <v/>
      </c>
      <c r="V162" t="str">
        <f>IF(F162="","",IF(F162&lt;Setup!$C$5-Setup!$C$6,"",IF(IF(ISNUMBER(Roster!$D162),Setup!$C$24&lt;=Roster!$D162,FALSE),"",IF(OR(IF(Setup!$C$15&lt;=Setup!$C$16,AND(MONTH(F162)&gt;=Setup!$C$15,MONTH(F162)&lt;=Setup!$C$16),OR(MONTH(F162)&gt;=Setup!$C$15,MONTH(F162)&lt;=Setup!$C$16)),IF(Setup!$C$15&lt;=Setup!$C$16,AND(MONTH(WORKDAY(F162,-(Setup!$C$13+Setup!$G$24),Setup!$C$39:$C$50))&gt;=Setup!$C$15,MONTH(WORKDAY(F162,-(Setup!$C$13+Setup!$G$24),Setup!$C$39:$C$50))&lt;=Setup!$C$16),OR(MONTH(WORKDAY(F162,-(Setup!$C$13+Setup!$G$24),Setup!$C$39:$C$50))&gt;=Setup!$C$15,MONTH(WORKDAY(F162,-(Setup!$C$13+Setup!$G$24),Setup!$C$39:$C$50))&lt;=Setup!$C$16))),WORKDAY(F162,-(Setup!$C$13+Setup!$G$24+Setup!$C$14),Setup!$C$39:$C$50),WORKDAY(F162,-(Setup!$C$13+Setup!$G$24),Setup!$C$39:$C$50))+(157*100+5)/10000000)))</f>
        <v/>
      </c>
      <c r="W162" t="str">
        <f>IF(G162="","",IF(G162&lt;Setup!$C$5-Setup!$C$6,"",IF(IF(ISNUMBER(Roster!$D162),Setup!$C$25&lt;=Roster!$D162,FALSE),"",IF(OR(IF(Setup!$C$15&lt;=Setup!$C$16,AND(MONTH(G162)&gt;=Setup!$C$15,MONTH(G162)&lt;=Setup!$C$16),OR(MONTH(G162)&gt;=Setup!$C$15,MONTH(G162)&lt;=Setup!$C$16)),IF(Setup!$C$15&lt;=Setup!$C$16,AND(MONTH(WORKDAY(G162,-(Setup!$C$13+Setup!$G$25),Setup!$C$39:$C$50))&gt;=Setup!$C$15,MONTH(WORKDAY(G162,-(Setup!$C$13+Setup!$G$25),Setup!$C$39:$C$50))&lt;=Setup!$C$16),OR(MONTH(WORKDAY(G162,-(Setup!$C$13+Setup!$G$25),Setup!$C$39:$C$50))&gt;=Setup!$C$15,MONTH(WORKDAY(G162,-(Setup!$C$13+Setup!$G$25),Setup!$C$39:$C$50))&lt;=Setup!$C$16))),WORKDAY(G162,-(Setup!$C$13+Setup!$G$25+Setup!$C$14),Setup!$C$39:$C$50),WORKDAY(G162,-(Setup!$C$13+Setup!$G$25),Setup!$C$39:$C$50))+(157*100+6)/10000000)))</f>
        <v/>
      </c>
      <c r="X162" t="str">
        <f>IF(H162="","",IF(H162&lt;Setup!$C$5-Setup!$C$6,"",IF(IF(ISNUMBER(Roster!$D162),Setup!$C$26&lt;=Roster!$D162,FALSE),"",IF(OR(IF(Setup!$C$15&lt;=Setup!$C$16,AND(MONTH(H162)&gt;=Setup!$C$15,MONTH(H162)&lt;=Setup!$C$16),OR(MONTH(H162)&gt;=Setup!$C$15,MONTH(H162)&lt;=Setup!$C$16)),IF(Setup!$C$15&lt;=Setup!$C$16,AND(MONTH(WORKDAY(H162,-(Setup!$C$13+Setup!$G$26),Setup!$C$39:$C$50))&gt;=Setup!$C$15,MONTH(WORKDAY(H162,-(Setup!$C$13+Setup!$G$26),Setup!$C$39:$C$50))&lt;=Setup!$C$16),OR(MONTH(WORKDAY(H162,-(Setup!$C$13+Setup!$G$26),Setup!$C$39:$C$50))&gt;=Setup!$C$15,MONTH(WORKDAY(H162,-(Setup!$C$13+Setup!$G$26),Setup!$C$39:$C$50))&lt;=Setup!$C$16))),WORKDAY(H162,-(Setup!$C$13+Setup!$G$26+Setup!$C$14),Setup!$C$39:$C$50),WORKDAY(H162,-(Setup!$C$13+Setup!$G$26),Setup!$C$39:$C$50))+(157*100+7)/10000000)))</f>
        <v/>
      </c>
      <c r="Y162" t="str">
        <f>IF(I162="","",IF(I162&lt;Setup!$C$5-Setup!$C$6,"",IF(IF(ISNUMBER(Roster!$D162),Setup!$C$27&lt;=Roster!$D162,FALSE),"",IF(OR(IF(Setup!$C$15&lt;=Setup!$C$16,AND(MONTH(I162)&gt;=Setup!$C$15,MONTH(I162)&lt;=Setup!$C$16),OR(MONTH(I162)&gt;=Setup!$C$15,MONTH(I162)&lt;=Setup!$C$16)),IF(Setup!$C$15&lt;=Setup!$C$16,AND(MONTH(WORKDAY(I162,-(Setup!$C$13+Setup!$G$27),Setup!$C$39:$C$50))&gt;=Setup!$C$15,MONTH(WORKDAY(I162,-(Setup!$C$13+Setup!$G$27),Setup!$C$39:$C$50))&lt;=Setup!$C$16),OR(MONTH(WORKDAY(I162,-(Setup!$C$13+Setup!$G$27),Setup!$C$39:$C$50))&gt;=Setup!$C$15,MONTH(WORKDAY(I162,-(Setup!$C$13+Setup!$G$27),Setup!$C$39:$C$50))&lt;=Setup!$C$16))),WORKDAY(I162,-(Setup!$C$13+Setup!$G$27+Setup!$C$14),Setup!$C$39:$C$50),WORKDAY(I162,-(Setup!$C$13+Setup!$G$27),Setup!$C$39:$C$50))+(157*100+8)/10000000)))</f>
        <v/>
      </c>
      <c r="Z162" t="str">
        <f>IF(J162="","",IF(J162&lt;Setup!$C$5-Setup!$C$6,"",IF(IF(ISNUMBER(Roster!$D162),Setup!$C$28&lt;=Roster!$D162,FALSE),"",IF(OR(IF(Setup!$C$15&lt;=Setup!$C$16,AND(MONTH(J162)&gt;=Setup!$C$15,MONTH(J162)&lt;=Setup!$C$16),OR(MONTH(J162)&gt;=Setup!$C$15,MONTH(J162)&lt;=Setup!$C$16)),IF(Setup!$C$15&lt;=Setup!$C$16,AND(MONTH(WORKDAY(J162,-(Setup!$C$13+Setup!$G$28),Setup!$C$39:$C$50))&gt;=Setup!$C$15,MONTH(WORKDAY(J162,-(Setup!$C$13+Setup!$G$28),Setup!$C$39:$C$50))&lt;=Setup!$C$16),OR(MONTH(WORKDAY(J162,-(Setup!$C$13+Setup!$G$28),Setup!$C$39:$C$50))&gt;=Setup!$C$15,MONTH(WORKDAY(J162,-(Setup!$C$13+Setup!$G$28),Setup!$C$39:$C$50))&lt;=Setup!$C$16))),WORKDAY(J162,-(Setup!$C$13+Setup!$G$28+Setup!$C$14),Setup!$C$39:$C$50),WORKDAY(J162,-(Setup!$C$13+Setup!$G$28),Setup!$C$39:$C$50))+(157*100+9)/10000000)))</f>
        <v/>
      </c>
      <c r="AA162" t="str">
        <f>IF(K162="","",IF(K162&lt;Setup!$C$5-Setup!$C$6,"",IF(IF(ISNUMBER(Roster!$D162),Setup!$C$29&lt;=Roster!$D162,FALSE),"",IF(OR(IF(Setup!$C$15&lt;=Setup!$C$16,AND(MONTH(K162)&gt;=Setup!$C$15,MONTH(K162)&lt;=Setup!$C$16),OR(MONTH(K162)&gt;=Setup!$C$15,MONTH(K162)&lt;=Setup!$C$16)),IF(Setup!$C$15&lt;=Setup!$C$16,AND(MONTH(WORKDAY(K162,-(Setup!$C$13+Setup!$G$29),Setup!$C$39:$C$50))&gt;=Setup!$C$15,MONTH(WORKDAY(K162,-(Setup!$C$13+Setup!$G$29),Setup!$C$39:$C$50))&lt;=Setup!$C$16),OR(MONTH(WORKDAY(K162,-(Setup!$C$13+Setup!$G$29),Setup!$C$39:$C$50))&gt;=Setup!$C$15,MONTH(WORKDAY(K162,-(Setup!$C$13+Setup!$G$29),Setup!$C$39:$C$50))&lt;=Setup!$C$16))),WORKDAY(K162,-(Setup!$C$13+Setup!$G$29+Setup!$C$14),Setup!$C$39:$C$50),WORKDAY(K162,-(Setup!$C$13+Setup!$G$29),Setup!$C$39:$C$50))+(157*100+10)/10000000)))</f>
        <v/>
      </c>
      <c r="AB162" t="str">
        <f>IF(L162="","",IF(L162&lt;Setup!$C$5-Setup!$C$6,"",IF(IF(ISNUMBER(Roster!$D162),Setup!$C$30&lt;=Roster!$D162,FALSE),"",IF(OR(IF(Setup!$C$15&lt;=Setup!$C$16,AND(MONTH(L162)&gt;=Setup!$C$15,MONTH(L162)&lt;=Setup!$C$16),OR(MONTH(L162)&gt;=Setup!$C$15,MONTH(L162)&lt;=Setup!$C$16)),IF(Setup!$C$15&lt;=Setup!$C$16,AND(MONTH(WORKDAY(L162,-(Setup!$C$13+Setup!$G$30),Setup!$C$39:$C$50))&gt;=Setup!$C$15,MONTH(WORKDAY(L162,-(Setup!$C$13+Setup!$G$30),Setup!$C$39:$C$50))&lt;=Setup!$C$16),OR(MONTH(WORKDAY(L162,-(Setup!$C$13+Setup!$G$30),Setup!$C$39:$C$50))&gt;=Setup!$C$15,MONTH(WORKDAY(L162,-(Setup!$C$13+Setup!$G$30),Setup!$C$39:$C$50))&lt;=Setup!$C$16))),WORKDAY(L162,-(Setup!$C$13+Setup!$G$30+Setup!$C$14),Setup!$C$39:$C$50),WORKDAY(L162,-(Setup!$C$13+Setup!$G$30),Setup!$C$39:$C$50))+(157*100+11)/10000000)))</f>
        <v/>
      </c>
      <c r="AC162" t="str">
        <f>IF(M162="","",IF(M162&lt;Setup!$C$5-Setup!$C$6,"",IF(IF(ISNUMBER(Roster!$D162),Setup!$C$31&lt;=Roster!$D162,FALSE),"",IF(OR(IF(Setup!$C$15&lt;=Setup!$C$16,AND(MONTH(M162)&gt;=Setup!$C$15,MONTH(M162)&lt;=Setup!$C$16),OR(MONTH(M162)&gt;=Setup!$C$15,MONTH(M162)&lt;=Setup!$C$16)),IF(Setup!$C$15&lt;=Setup!$C$16,AND(MONTH(WORKDAY(M162,-(Setup!$C$13+Setup!$G$31),Setup!$C$39:$C$50))&gt;=Setup!$C$15,MONTH(WORKDAY(M162,-(Setup!$C$13+Setup!$G$31),Setup!$C$39:$C$50))&lt;=Setup!$C$16),OR(MONTH(WORKDAY(M162,-(Setup!$C$13+Setup!$G$31),Setup!$C$39:$C$50))&gt;=Setup!$C$15,MONTH(WORKDAY(M162,-(Setup!$C$13+Setup!$G$31),Setup!$C$39:$C$50))&lt;=Setup!$C$16))),WORKDAY(M162,-(Setup!$C$13+Setup!$G$31+Setup!$C$14),Setup!$C$39:$C$50),WORKDAY(M162,-(Setup!$C$13+Setup!$G$31),Setup!$C$39:$C$50))+(157*100+12)/10000000)))</f>
        <v/>
      </c>
      <c r="AD162" t="str">
        <f>IF(N162="","",IF(N162&lt;Setup!$C$5-Setup!$C$6,"",IF(IF(ISNUMBER(Roster!$D162),Setup!$C$32&lt;=Roster!$D162,FALSE),"",IF(OR(IF(Setup!$C$15&lt;=Setup!$C$16,AND(MONTH(N162)&gt;=Setup!$C$15,MONTH(N162)&lt;=Setup!$C$16),OR(MONTH(N162)&gt;=Setup!$C$15,MONTH(N162)&lt;=Setup!$C$16)),IF(Setup!$C$15&lt;=Setup!$C$16,AND(MONTH(WORKDAY(N162,-(Setup!$C$13+Setup!$G$32),Setup!$C$39:$C$50))&gt;=Setup!$C$15,MONTH(WORKDAY(N162,-(Setup!$C$13+Setup!$G$32),Setup!$C$39:$C$50))&lt;=Setup!$C$16),OR(MONTH(WORKDAY(N162,-(Setup!$C$13+Setup!$G$32),Setup!$C$39:$C$50))&gt;=Setup!$C$15,MONTH(WORKDAY(N162,-(Setup!$C$13+Setup!$G$32),Setup!$C$39:$C$50))&lt;=Setup!$C$16))),WORKDAY(N162,-(Setup!$C$13+Setup!$G$32+Setup!$C$14),Setup!$C$39:$C$50),WORKDAY(N162,-(Setup!$C$13+Setup!$G$32),Setup!$C$39:$C$50))+(157*100+13)/10000000)))</f>
        <v/>
      </c>
      <c r="AE162" t="str">
        <f>IF(O162="","",IF(O162&lt;Setup!$C$5-Setup!$C$6,"",IF(IF(ISNUMBER(Roster!$D162),Setup!$C$33&lt;=Roster!$D162,FALSE),"",IF(OR(IF(Setup!$C$15&lt;=Setup!$C$16,AND(MONTH(O162)&gt;=Setup!$C$15,MONTH(O162)&lt;=Setup!$C$16),OR(MONTH(O162)&gt;=Setup!$C$15,MONTH(O162)&lt;=Setup!$C$16)),IF(Setup!$C$15&lt;=Setup!$C$16,AND(MONTH(WORKDAY(O162,-(Setup!$C$13+Setup!$G$33),Setup!$C$39:$C$50))&gt;=Setup!$C$15,MONTH(WORKDAY(O162,-(Setup!$C$13+Setup!$G$33),Setup!$C$39:$C$50))&lt;=Setup!$C$16),OR(MONTH(WORKDAY(O162,-(Setup!$C$13+Setup!$G$33),Setup!$C$39:$C$50))&gt;=Setup!$C$15,MONTH(WORKDAY(O162,-(Setup!$C$13+Setup!$G$33),Setup!$C$39:$C$50))&lt;=Setup!$C$16))),WORKDAY(O162,-(Setup!$C$13+Setup!$G$33+Setup!$C$14),Setup!$C$39:$C$50),WORKDAY(O162,-(Setup!$C$13+Setup!$G$33),Setup!$C$39:$C$50))+(157*100+14)/10000000)))</f>
        <v/>
      </c>
      <c r="AF162" t="str">
        <f>IF(P162="","",IF(P162&lt;Setup!$C$5-Setup!$C$6,"",IF(IF(ISNUMBER(Roster!$D162),Setup!$C$34&lt;=Roster!$D162,FALSE),"",IF(OR(IF(Setup!$C$15&lt;=Setup!$C$16,AND(MONTH(P162)&gt;=Setup!$C$15,MONTH(P162)&lt;=Setup!$C$16),OR(MONTH(P162)&gt;=Setup!$C$15,MONTH(P162)&lt;=Setup!$C$16)),IF(Setup!$C$15&lt;=Setup!$C$16,AND(MONTH(WORKDAY(P162,-(Setup!$C$13+Setup!$G$34),Setup!$C$39:$C$50))&gt;=Setup!$C$15,MONTH(WORKDAY(P162,-(Setup!$C$13+Setup!$G$34),Setup!$C$39:$C$50))&lt;=Setup!$C$16),OR(MONTH(WORKDAY(P162,-(Setup!$C$13+Setup!$G$34),Setup!$C$39:$C$50))&gt;=Setup!$C$15,MONTH(WORKDAY(P162,-(Setup!$C$13+Setup!$G$34),Setup!$C$39:$C$50))&lt;=Setup!$C$16))),WORKDAY(P162,-(Setup!$C$13+Setup!$G$34+Setup!$C$14),Setup!$C$39:$C$50),WORKDAY(P162,-(Setup!$C$13+Setup!$G$34),Setup!$C$39:$C$50))+(157*100+15)/10000000)))</f>
        <v/>
      </c>
      <c r="AH162" t="str">
        <f t="shared" si="17"/>
        <v/>
      </c>
      <c r="AI162" t="str">
        <f t="shared" si="18"/>
        <v/>
      </c>
      <c r="AK162" t="str">
        <f ca="1">IF(157&gt;$AK$2,"",SMALL($R$6:$AF$505,157))</f>
        <v/>
      </c>
      <c r="AL162" t="str">
        <f t="shared" ca="1" si="19"/>
        <v/>
      </c>
      <c r="AM162" t="str">
        <f t="shared" ca="1" si="20"/>
        <v/>
      </c>
      <c r="AN162" t="str">
        <f t="shared" ca="1" si="21"/>
        <v/>
      </c>
      <c r="AP162" t="str">
        <f>IF(ISNUMBER(Roster!$B162),MAX(1,YEAR(Setup!$C$5)-YEAR(Roster!$B162)+IF(EDATE(Roster!$B162,12*(YEAR(Setup!$C$5)-YEAR(Roster!$B162)))&lt;Setup!$C$5,1,0)),"")</f>
        <v/>
      </c>
      <c r="AQ162" s="32" t="str">
        <f>IF(AP162="","",EDATE(Roster!$B162,12*AP162))</f>
        <v/>
      </c>
      <c r="AR162" t="str">
        <f>IF(AQ162="","",IF(AQ162&lt;DATE(YEAR(Setup!$C$5)+1,MONTH(Setup!$C$5),DAY(Setup!$C$5)),AQ162+157/1000,""))</f>
        <v/>
      </c>
      <c r="AS162" t="str">
        <f t="shared" si="22"/>
        <v/>
      </c>
      <c r="AT162" t="str">
        <f>IF(AS162="","",IF(ISNUMBER(Roster!$D162),Roster!$D162&gt;=AP162,FALSE))</f>
        <v/>
      </c>
      <c r="AU162" t="str">
        <f t="shared" si="23"/>
        <v/>
      </c>
      <c r="AV162" t="str">
        <f ca="1">IF(157&gt;$AV$2,"",SMALL($AR$6:$AR$505,157))</f>
        <v/>
      </c>
      <c r="AW162" t="str">
        <f t="shared" ca="1" si="24"/>
        <v/>
      </c>
    </row>
    <row r="163" spans="2:49" x14ac:dyDescent="0.2">
      <c r="B163" s="32" t="str">
        <f>IF(AND(ISNUMBER(Roster!$B163),Setup!$B$20="Yes",ISNUMBER(Setup!$C$20)),EDATE(Roster!$B163,12*Setup!$C$20),"")</f>
        <v/>
      </c>
      <c r="C163" s="32" t="str">
        <f>IF(AND(ISNUMBER(Roster!$B163),Setup!$B$21="Yes",ISNUMBER(Setup!$C$21)),EDATE(Roster!$B163,12*Setup!$C$21),"")</f>
        <v/>
      </c>
      <c r="D163" s="32" t="str">
        <f>IF(AND(ISNUMBER(Roster!$B163),Setup!$B$22="Yes",ISNUMBER(Setup!$C$22)),EDATE(Roster!$B163,12*Setup!$C$22),"")</f>
        <v/>
      </c>
      <c r="E163" s="32" t="str">
        <f>IF(AND(ISNUMBER(Roster!$B163),Setup!$B$23="Yes",ISNUMBER(Setup!$C$23)),EDATE(Roster!$B163,12*Setup!$C$23),"")</f>
        <v/>
      </c>
      <c r="F163" s="32" t="str">
        <f>IF(AND(ISNUMBER(Roster!$B163),Setup!$B$24="Yes",ISNUMBER(Setup!$C$24)),EDATE(Roster!$B163,12*Setup!$C$24),"")</f>
        <v/>
      </c>
      <c r="G163" s="32" t="str">
        <f>IF(AND(ISNUMBER(Roster!$B163),Setup!$B$25="Yes",ISNUMBER(Setup!$C$25)),EDATE(Roster!$B163,12*Setup!$C$25),"")</f>
        <v/>
      </c>
      <c r="H163" s="32" t="str">
        <f>IF(AND(ISNUMBER(Roster!$B163),Setup!$B$26="Yes",ISNUMBER(Setup!$C$26)),EDATE(Roster!$B163,12*Setup!$C$26),"")</f>
        <v/>
      </c>
      <c r="I163" s="32" t="str">
        <f>IF(AND(ISNUMBER(Roster!$B163),Setup!$B$27="Yes",ISNUMBER(Setup!$C$27)),EDATE(Roster!$B163,12*Setup!$C$27),"")</f>
        <v/>
      </c>
      <c r="J163" s="32" t="str">
        <f>IF(AND(ISNUMBER(Roster!$B163),Setup!$B$28="Yes",ISNUMBER(Setup!$C$28)),EDATE(Roster!$B163,12*Setup!$C$28),"")</f>
        <v/>
      </c>
      <c r="K163" s="32" t="str">
        <f>IF(AND(ISNUMBER(Roster!$B163),Setup!$B$29="Yes",ISNUMBER(Setup!$C$29)),EDATE(Roster!$B163,12*Setup!$C$29),"")</f>
        <v/>
      </c>
      <c r="L163" s="32" t="str">
        <f>IF(AND(ISNUMBER(Roster!$B163),Setup!$B$30="Yes",ISNUMBER(Setup!$C$30)),EDATE(Roster!$B163,12*Setup!$C$30),"")</f>
        <v/>
      </c>
      <c r="M163" s="32" t="str">
        <f>IF(AND(ISNUMBER(Roster!$B163),Setup!$B$31="Yes",ISNUMBER(Setup!$C$31)),EDATE(Roster!$B163,12*Setup!$C$31),"")</f>
        <v/>
      </c>
      <c r="N163" s="32" t="str">
        <f>IF(AND(ISNUMBER(Roster!$B163),Setup!$B$32="Yes",ISNUMBER(Setup!$C$32)),EDATE(Roster!$B163,12*Setup!$C$32),"")</f>
        <v/>
      </c>
      <c r="O163" s="32" t="str">
        <f>IF(AND(ISNUMBER(Roster!$B163),Setup!$B$33="Yes",ISNUMBER(Setup!$C$33)),EDATE(Roster!$B163,12*Setup!$C$33),"")</f>
        <v/>
      </c>
      <c r="P163" s="32" t="str">
        <f>IF(AND(ISNUMBER(Roster!$B163),Setup!$B$34="Yes",ISNUMBER(Setup!$C$34)),EDATE(Roster!$B163,12*Setup!$C$34),"")</f>
        <v/>
      </c>
      <c r="R163" t="str">
        <f>IF(B163="","",IF(B163&lt;Setup!$C$5-Setup!$C$6,"",IF(IF(ISNUMBER(Roster!$D163),Setup!$C$20&lt;=Roster!$D163,FALSE),"",IF(OR(IF(Setup!$C$15&lt;=Setup!$C$16,AND(MONTH(B163)&gt;=Setup!$C$15,MONTH(B163)&lt;=Setup!$C$16),OR(MONTH(B163)&gt;=Setup!$C$15,MONTH(B163)&lt;=Setup!$C$16)),IF(Setup!$C$15&lt;=Setup!$C$16,AND(MONTH(WORKDAY(B163,-(Setup!$C$13+Setup!$G$20),Setup!$C$39:$C$50))&gt;=Setup!$C$15,MONTH(WORKDAY(B163,-(Setup!$C$13+Setup!$G$20),Setup!$C$39:$C$50))&lt;=Setup!$C$16),OR(MONTH(WORKDAY(B163,-(Setup!$C$13+Setup!$G$20),Setup!$C$39:$C$50))&gt;=Setup!$C$15,MONTH(WORKDAY(B163,-(Setup!$C$13+Setup!$G$20),Setup!$C$39:$C$50))&lt;=Setup!$C$16))),WORKDAY(B163,-(Setup!$C$13+Setup!$G$20+Setup!$C$14),Setup!$C$39:$C$50),WORKDAY(B163,-(Setup!$C$13+Setup!$G$20),Setup!$C$39:$C$50))+(158*100+1)/10000000)))</f>
        <v/>
      </c>
      <c r="S163" t="str">
        <f>IF(C163="","",IF(C163&lt;Setup!$C$5-Setup!$C$6,"",IF(IF(ISNUMBER(Roster!$D163),Setup!$C$21&lt;=Roster!$D163,FALSE),"",IF(OR(IF(Setup!$C$15&lt;=Setup!$C$16,AND(MONTH(C163)&gt;=Setup!$C$15,MONTH(C163)&lt;=Setup!$C$16),OR(MONTH(C163)&gt;=Setup!$C$15,MONTH(C163)&lt;=Setup!$C$16)),IF(Setup!$C$15&lt;=Setup!$C$16,AND(MONTH(WORKDAY(C163,-(Setup!$C$13+Setup!$G$21),Setup!$C$39:$C$50))&gt;=Setup!$C$15,MONTH(WORKDAY(C163,-(Setup!$C$13+Setup!$G$21),Setup!$C$39:$C$50))&lt;=Setup!$C$16),OR(MONTH(WORKDAY(C163,-(Setup!$C$13+Setup!$G$21),Setup!$C$39:$C$50))&gt;=Setup!$C$15,MONTH(WORKDAY(C163,-(Setup!$C$13+Setup!$G$21),Setup!$C$39:$C$50))&lt;=Setup!$C$16))),WORKDAY(C163,-(Setup!$C$13+Setup!$G$21+Setup!$C$14),Setup!$C$39:$C$50),WORKDAY(C163,-(Setup!$C$13+Setup!$G$21),Setup!$C$39:$C$50))+(158*100+2)/10000000)))</f>
        <v/>
      </c>
      <c r="T163" t="str">
        <f>IF(D163="","",IF(D163&lt;Setup!$C$5-Setup!$C$6,"",IF(IF(ISNUMBER(Roster!$D163),Setup!$C$22&lt;=Roster!$D163,FALSE),"",IF(OR(IF(Setup!$C$15&lt;=Setup!$C$16,AND(MONTH(D163)&gt;=Setup!$C$15,MONTH(D163)&lt;=Setup!$C$16),OR(MONTH(D163)&gt;=Setup!$C$15,MONTH(D163)&lt;=Setup!$C$16)),IF(Setup!$C$15&lt;=Setup!$C$16,AND(MONTH(WORKDAY(D163,-(Setup!$C$13+Setup!$G$22),Setup!$C$39:$C$50))&gt;=Setup!$C$15,MONTH(WORKDAY(D163,-(Setup!$C$13+Setup!$G$22),Setup!$C$39:$C$50))&lt;=Setup!$C$16),OR(MONTH(WORKDAY(D163,-(Setup!$C$13+Setup!$G$22),Setup!$C$39:$C$50))&gt;=Setup!$C$15,MONTH(WORKDAY(D163,-(Setup!$C$13+Setup!$G$22),Setup!$C$39:$C$50))&lt;=Setup!$C$16))),WORKDAY(D163,-(Setup!$C$13+Setup!$G$22+Setup!$C$14),Setup!$C$39:$C$50),WORKDAY(D163,-(Setup!$C$13+Setup!$G$22),Setup!$C$39:$C$50))+(158*100+3)/10000000)))</f>
        <v/>
      </c>
      <c r="U163" t="str">
        <f>IF(E163="","",IF(E163&lt;Setup!$C$5-Setup!$C$6,"",IF(IF(ISNUMBER(Roster!$D163),Setup!$C$23&lt;=Roster!$D163,FALSE),"",IF(OR(IF(Setup!$C$15&lt;=Setup!$C$16,AND(MONTH(E163)&gt;=Setup!$C$15,MONTH(E163)&lt;=Setup!$C$16),OR(MONTH(E163)&gt;=Setup!$C$15,MONTH(E163)&lt;=Setup!$C$16)),IF(Setup!$C$15&lt;=Setup!$C$16,AND(MONTH(WORKDAY(E163,-(Setup!$C$13+Setup!$G$23),Setup!$C$39:$C$50))&gt;=Setup!$C$15,MONTH(WORKDAY(E163,-(Setup!$C$13+Setup!$G$23),Setup!$C$39:$C$50))&lt;=Setup!$C$16),OR(MONTH(WORKDAY(E163,-(Setup!$C$13+Setup!$G$23),Setup!$C$39:$C$50))&gt;=Setup!$C$15,MONTH(WORKDAY(E163,-(Setup!$C$13+Setup!$G$23),Setup!$C$39:$C$50))&lt;=Setup!$C$16))),WORKDAY(E163,-(Setup!$C$13+Setup!$G$23+Setup!$C$14),Setup!$C$39:$C$50),WORKDAY(E163,-(Setup!$C$13+Setup!$G$23),Setup!$C$39:$C$50))+(158*100+4)/10000000)))</f>
        <v/>
      </c>
      <c r="V163" t="str">
        <f>IF(F163="","",IF(F163&lt;Setup!$C$5-Setup!$C$6,"",IF(IF(ISNUMBER(Roster!$D163),Setup!$C$24&lt;=Roster!$D163,FALSE),"",IF(OR(IF(Setup!$C$15&lt;=Setup!$C$16,AND(MONTH(F163)&gt;=Setup!$C$15,MONTH(F163)&lt;=Setup!$C$16),OR(MONTH(F163)&gt;=Setup!$C$15,MONTH(F163)&lt;=Setup!$C$16)),IF(Setup!$C$15&lt;=Setup!$C$16,AND(MONTH(WORKDAY(F163,-(Setup!$C$13+Setup!$G$24),Setup!$C$39:$C$50))&gt;=Setup!$C$15,MONTH(WORKDAY(F163,-(Setup!$C$13+Setup!$G$24),Setup!$C$39:$C$50))&lt;=Setup!$C$16),OR(MONTH(WORKDAY(F163,-(Setup!$C$13+Setup!$G$24),Setup!$C$39:$C$50))&gt;=Setup!$C$15,MONTH(WORKDAY(F163,-(Setup!$C$13+Setup!$G$24),Setup!$C$39:$C$50))&lt;=Setup!$C$16))),WORKDAY(F163,-(Setup!$C$13+Setup!$G$24+Setup!$C$14),Setup!$C$39:$C$50),WORKDAY(F163,-(Setup!$C$13+Setup!$G$24),Setup!$C$39:$C$50))+(158*100+5)/10000000)))</f>
        <v/>
      </c>
      <c r="W163" t="str">
        <f>IF(G163="","",IF(G163&lt;Setup!$C$5-Setup!$C$6,"",IF(IF(ISNUMBER(Roster!$D163),Setup!$C$25&lt;=Roster!$D163,FALSE),"",IF(OR(IF(Setup!$C$15&lt;=Setup!$C$16,AND(MONTH(G163)&gt;=Setup!$C$15,MONTH(G163)&lt;=Setup!$C$16),OR(MONTH(G163)&gt;=Setup!$C$15,MONTH(G163)&lt;=Setup!$C$16)),IF(Setup!$C$15&lt;=Setup!$C$16,AND(MONTH(WORKDAY(G163,-(Setup!$C$13+Setup!$G$25),Setup!$C$39:$C$50))&gt;=Setup!$C$15,MONTH(WORKDAY(G163,-(Setup!$C$13+Setup!$G$25),Setup!$C$39:$C$50))&lt;=Setup!$C$16),OR(MONTH(WORKDAY(G163,-(Setup!$C$13+Setup!$G$25),Setup!$C$39:$C$50))&gt;=Setup!$C$15,MONTH(WORKDAY(G163,-(Setup!$C$13+Setup!$G$25),Setup!$C$39:$C$50))&lt;=Setup!$C$16))),WORKDAY(G163,-(Setup!$C$13+Setup!$G$25+Setup!$C$14),Setup!$C$39:$C$50),WORKDAY(G163,-(Setup!$C$13+Setup!$G$25),Setup!$C$39:$C$50))+(158*100+6)/10000000)))</f>
        <v/>
      </c>
      <c r="X163" t="str">
        <f>IF(H163="","",IF(H163&lt;Setup!$C$5-Setup!$C$6,"",IF(IF(ISNUMBER(Roster!$D163),Setup!$C$26&lt;=Roster!$D163,FALSE),"",IF(OR(IF(Setup!$C$15&lt;=Setup!$C$16,AND(MONTH(H163)&gt;=Setup!$C$15,MONTH(H163)&lt;=Setup!$C$16),OR(MONTH(H163)&gt;=Setup!$C$15,MONTH(H163)&lt;=Setup!$C$16)),IF(Setup!$C$15&lt;=Setup!$C$16,AND(MONTH(WORKDAY(H163,-(Setup!$C$13+Setup!$G$26),Setup!$C$39:$C$50))&gt;=Setup!$C$15,MONTH(WORKDAY(H163,-(Setup!$C$13+Setup!$G$26),Setup!$C$39:$C$50))&lt;=Setup!$C$16),OR(MONTH(WORKDAY(H163,-(Setup!$C$13+Setup!$G$26),Setup!$C$39:$C$50))&gt;=Setup!$C$15,MONTH(WORKDAY(H163,-(Setup!$C$13+Setup!$G$26),Setup!$C$39:$C$50))&lt;=Setup!$C$16))),WORKDAY(H163,-(Setup!$C$13+Setup!$G$26+Setup!$C$14),Setup!$C$39:$C$50),WORKDAY(H163,-(Setup!$C$13+Setup!$G$26),Setup!$C$39:$C$50))+(158*100+7)/10000000)))</f>
        <v/>
      </c>
      <c r="Y163" t="str">
        <f>IF(I163="","",IF(I163&lt;Setup!$C$5-Setup!$C$6,"",IF(IF(ISNUMBER(Roster!$D163),Setup!$C$27&lt;=Roster!$D163,FALSE),"",IF(OR(IF(Setup!$C$15&lt;=Setup!$C$16,AND(MONTH(I163)&gt;=Setup!$C$15,MONTH(I163)&lt;=Setup!$C$16),OR(MONTH(I163)&gt;=Setup!$C$15,MONTH(I163)&lt;=Setup!$C$16)),IF(Setup!$C$15&lt;=Setup!$C$16,AND(MONTH(WORKDAY(I163,-(Setup!$C$13+Setup!$G$27),Setup!$C$39:$C$50))&gt;=Setup!$C$15,MONTH(WORKDAY(I163,-(Setup!$C$13+Setup!$G$27),Setup!$C$39:$C$50))&lt;=Setup!$C$16),OR(MONTH(WORKDAY(I163,-(Setup!$C$13+Setup!$G$27),Setup!$C$39:$C$50))&gt;=Setup!$C$15,MONTH(WORKDAY(I163,-(Setup!$C$13+Setup!$G$27),Setup!$C$39:$C$50))&lt;=Setup!$C$16))),WORKDAY(I163,-(Setup!$C$13+Setup!$G$27+Setup!$C$14),Setup!$C$39:$C$50),WORKDAY(I163,-(Setup!$C$13+Setup!$G$27),Setup!$C$39:$C$50))+(158*100+8)/10000000)))</f>
        <v/>
      </c>
      <c r="Z163" t="str">
        <f>IF(J163="","",IF(J163&lt;Setup!$C$5-Setup!$C$6,"",IF(IF(ISNUMBER(Roster!$D163),Setup!$C$28&lt;=Roster!$D163,FALSE),"",IF(OR(IF(Setup!$C$15&lt;=Setup!$C$16,AND(MONTH(J163)&gt;=Setup!$C$15,MONTH(J163)&lt;=Setup!$C$16),OR(MONTH(J163)&gt;=Setup!$C$15,MONTH(J163)&lt;=Setup!$C$16)),IF(Setup!$C$15&lt;=Setup!$C$16,AND(MONTH(WORKDAY(J163,-(Setup!$C$13+Setup!$G$28),Setup!$C$39:$C$50))&gt;=Setup!$C$15,MONTH(WORKDAY(J163,-(Setup!$C$13+Setup!$G$28),Setup!$C$39:$C$50))&lt;=Setup!$C$16),OR(MONTH(WORKDAY(J163,-(Setup!$C$13+Setup!$G$28),Setup!$C$39:$C$50))&gt;=Setup!$C$15,MONTH(WORKDAY(J163,-(Setup!$C$13+Setup!$G$28),Setup!$C$39:$C$50))&lt;=Setup!$C$16))),WORKDAY(J163,-(Setup!$C$13+Setup!$G$28+Setup!$C$14),Setup!$C$39:$C$50),WORKDAY(J163,-(Setup!$C$13+Setup!$G$28),Setup!$C$39:$C$50))+(158*100+9)/10000000)))</f>
        <v/>
      </c>
      <c r="AA163" t="str">
        <f>IF(K163="","",IF(K163&lt;Setup!$C$5-Setup!$C$6,"",IF(IF(ISNUMBER(Roster!$D163),Setup!$C$29&lt;=Roster!$D163,FALSE),"",IF(OR(IF(Setup!$C$15&lt;=Setup!$C$16,AND(MONTH(K163)&gt;=Setup!$C$15,MONTH(K163)&lt;=Setup!$C$16),OR(MONTH(K163)&gt;=Setup!$C$15,MONTH(K163)&lt;=Setup!$C$16)),IF(Setup!$C$15&lt;=Setup!$C$16,AND(MONTH(WORKDAY(K163,-(Setup!$C$13+Setup!$G$29),Setup!$C$39:$C$50))&gt;=Setup!$C$15,MONTH(WORKDAY(K163,-(Setup!$C$13+Setup!$G$29),Setup!$C$39:$C$50))&lt;=Setup!$C$16),OR(MONTH(WORKDAY(K163,-(Setup!$C$13+Setup!$G$29),Setup!$C$39:$C$50))&gt;=Setup!$C$15,MONTH(WORKDAY(K163,-(Setup!$C$13+Setup!$G$29),Setup!$C$39:$C$50))&lt;=Setup!$C$16))),WORKDAY(K163,-(Setup!$C$13+Setup!$G$29+Setup!$C$14),Setup!$C$39:$C$50),WORKDAY(K163,-(Setup!$C$13+Setup!$G$29),Setup!$C$39:$C$50))+(158*100+10)/10000000)))</f>
        <v/>
      </c>
      <c r="AB163" t="str">
        <f>IF(L163="","",IF(L163&lt;Setup!$C$5-Setup!$C$6,"",IF(IF(ISNUMBER(Roster!$D163),Setup!$C$30&lt;=Roster!$D163,FALSE),"",IF(OR(IF(Setup!$C$15&lt;=Setup!$C$16,AND(MONTH(L163)&gt;=Setup!$C$15,MONTH(L163)&lt;=Setup!$C$16),OR(MONTH(L163)&gt;=Setup!$C$15,MONTH(L163)&lt;=Setup!$C$16)),IF(Setup!$C$15&lt;=Setup!$C$16,AND(MONTH(WORKDAY(L163,-(Setup!$C$13+Setup!$G$30),Setup!$C$39:$C$50))&gt;=Setup!$C$15,MONTH(WORKDAY(L163,-(Setup!$C$13+Setup!$G$30),Setup!$C$39:$C$50))&lt;=Setup!$C$16),OR(MONTH(WORKDAY(L163,-(Setup!$C$13+Setup!$G$30),Setup!$C$39:$C$50))&gt;=Setup!$C$15,MONTH(WORKDAY(L163,-(Setup!$C$13+Setup!$G$30),Setup!$C$39:$C$50))&lt;=Setup!$C$16))),WORKDAY(L163,-(Setup!$C$13+Setup!$G$30+Setup!$C$14),Setup!$C$39:$C$50),WORKDAY(L163,-(Setup!$C$13+Setup!$G$30),Setup!$C$39:$C$50))+(158*100+11)/10000000)))</f>
        <v/>
      </c>
      <c r="AC163" t="str">
        <f>IF(M163="","",IF(M163&lt;Setup!$C$5-Setup!$C$6,"",IF(IF(ISNUMBER(Roster!$D163),Setup!$C$31&lt;=Roster!$D163,FALSE),"",IF(OR(IF(Setup!$C$15&lt;=Setup!$C$16,AND(MONTH(M163)&gt;=Setup!$C$15,MONTH(M163)&lt;=Setup!$C$16),OR(MONTH(M163)&gt;=Setup!$C$15,MONTH(M163)&lt;=Setup!$C$16)),IF(Setup!$C$15&lt;=Setup!$C$16,AND(MONTH(WORKDAY(M163,-(Setup!$C$13+Setup!$G$31),Setup!$C$39:$C$50))&gt;=Setup!$C$15,MONTH(WORKDAY(M163,-(Setup!$C$13+Setup!$G$31),Setup!$C$39:$C$50))&lt;=Setup!$C$16),OR(MONTH(WORKDAY(M163,-(Setup!$C$13+Setup!$G$31),Setup!$C$39:$C$50))&gt;=Setup!$C$15,MONTH(WORKDAY(M163,-(Setup!$C$13+Setup!$G$31),Setup!$C$39:$C$50))&lt;=Setup!$C$16))),WORKDAY(M163,-(Setup!$C$13+Setup!$G$31+Setup!$C$14),Setup!$C$39:$C$50),WORKDAY(M163,-(Setup!$C$13+Setup!$G$31),Setup!$C$39:$C$50))+(158*100+12)/10000000)))</f>
        <v/>
      </c>
      <c r="AD163" t="str">
        <f>IF(N163="","",IF(N163&lt;Setup!$C$5-Setup!$C$6,"",IF(IF(ISNUMBER(Roster!$D163),Setup!$C$32&lt;=Roster!$D163,FALSE),"",IF(OR(IF(Setup!$C$15&lt;=Setup!$C$16,AND(MONTH(N163)&gt;=Setup!$C$15,MONTH(N163)&lt;=Setup!$C$16),OR(MONTH(N163)&gt;=Setup!$C$15,MONTH(N163)&lt;=Setup!$C$16)),IF(Setup!$C$15&lt;=Setup!$C$16,AND(MONTH(WORKDAY(N163,-(Setup!$C$13+Setup!$G$32),Setup!$C$39:$C$50))&gt;=Setup!$C$15,MONTH(WORKDAY(N163,-(Setup!$C$13+Setup!$G$32),Setup!$C$39:$C$50))&lt;=Setup!$C$16),OR(MONTH(WORKDAY(N163,-(Setup!$C$13+Setup!$G$32),Setup!$C$39:$C$50))&gt;=Setup!$C$15,MONTH(WORKDAY(N163,-(Setup!$C$13+Setup!$G$32),Setup!$C$39:$C$50))&lt;=Setup!$C$16))),WORKDAY(N163,-(Setup!$C$13+Setup!$G$32+Setup!$C$14),Setup!$C$39:$C$50),WORKDAY(N163,-(Setup!$C$13+Setup!$G$32),Setup!$C$39:$C$50))+(158*100+13)/10000000)))</f>
        <v/>
      </c>
      <c r="AE163" t="str">
        <f>IF(O163="","",IF(O163&lt;Setup!$C$5-Setup!$C$6,"",IF(IF(ISNUMBER(Roster!$D163),Setup!$C$33&lt;=Roster!$D163,FALSE),"",IF(OR(IF(Setup!$C$15&lt;=Setup!$C$16,AND(MONTH(O163)&gt;=Setup!$C$15,MONTH(O163)&lt;=Setup!$C$16),OR(MONTH(O163)&gt;=Setup!$C$15,MONTH(O163)&lt;=Setup!$C$16)),IF(Setup!$C$15&lt;=Setup!$C$16,AND(MONTH(WORKDAY(O163,-(Setup!$C$13+Setup!$G$33),Setup!$C$39:$C$50))&gt;=Setup!$C$15,MONTH(WORKDAY(O163,-(Setup!$C$13+Setup!$G$33),Setup!$C$39:$C$50))&lt;=Setup!$C$16),OR(MONTH(WORKDAY(O163,-(Setup!$C$13+Setup!$G$33),Setup!$C$39:$C$50))&gt;=Setup!$C$15,MONTH(WORKDAY(O163,-(Setup!$C$13+Setup!$G$33),Setup!$C$39:$C$50))&lt;=Setup!$C$16))),WORKDAY(O163,-(Setup!$C$13+Setup!$G$33+Setup!$C$14),Setup!$C$39:$C$50),WORKDAY(O163,-(Setup!$C$13+Setup!$G$33),Setup!$C$39:$C$50))+(158*100+14)/10000000)))</f>
        <v/>
      </c>
      <c r="AF163" t="str">
        <f>IF(P163="","",IF(P163&lt;Setup!$C$5-Setup!$C$6,"",IF(IF(ISNUMBER(Roster!$D163),Setup!$C$34&lt;=Roster!$D163,FALSE),"",IF(OR(IF(Setup!$C$15&lt;=Setup!$C$16,AND(MONTH(P163)&gt;=Setup!$C$15,MONTH(P163)&lt;=Setup!$C$16),OR(MONTH(P163)&gt;=Setup!$C$15,MONTH(P163)&lt;=Setup!$C$16)),IF(Setup!$C$15&lt;=Setup!$C$16,AND(MONTH(WORKDAY(P163,-(Setup!$C$13+Setup!$G$34),Setup!$C$39:$C$50))&gt;=Setup!$C$15,MONTH(WORKDAY(P163,-(Setup!$C$13+Setup!$G$34),Setup!$C$39:$C$50))&lt;=Setup!$C$16),OR(MONTH(WORKDAY(P163,-(Setup!$C$13+Setup!$G$34),Setup!$C$39:$C$50))&gt;=Setup!$C$15,MONTH(WORKDAY(P163,-(Setup!$C$13+Setup!$G$34),Setup!$C$39:$C$50))&lt;=Setup!$C$16))),WORKDAY(P163,-(Setup!$C$13+Setup!$G$34+Setup!$C$14),Setup!$C$39:$C$50),WORKDAY(P163,-(Setup!$C$13+Setup!$G$34),Setup!$C$39:$C$50))+(158*100+15)/10000000)))</f>
        <v/>
      </c>
      <c r="AH163" t="str">
        <f t="shared" si="17"/>
        <v/>
      </c>
      <c r="AI163" t="str">
        <f t="shared" si="18"/>
        <v/>
      </c>
      <c r="AK163" t="str">
        <f ca="1">IF(158&gt;$AK$2,"",SMALL($R$6:$AF$505,158))</f>
        <v/>
      </c>
      <c r="AL163" t="str">
        <f t="shared" ca="1" si="19"/>
        <v/>
      </c>
      <c r="AM163" t="str">
        <f t="shared" ca="1" si="20"/>
        <v/>
      </c>
      <c r="AN163" t="str">
        <f t="shared" ca="1" si="21"/>
        <v/>
      </c>
      <c r="AP163" t="str">
        <f>IF(ISNUMBER(Roster!$B163),MAX(1,YEAR(Setup!$C$5)-YEAR(Roster!$B163)+IF(EDATE(Roster!$B163,12*(YEAR(Setup!$C$5)-YEAR(Roster!$B163)))&lt;Setup!$C$5,1,0)),"")</f>
        <v/>
      </c>
      <c r="AQ163" s="32" t="str">
        <f>IF(AP163="","",EDATE(Roster!$B163,12*AP163))</f>
        <v/>
      </c>
      <c r="AR163" t="str">
        <f>IF(AQ163="","",IF(AQ163&lt;DATE(YEAR(Setup!$C$5)+1,MONTH(Setup!$C$5),DAY(Setup!$C$5)),AQ163+158/1000,""))</f>
        <v/>
      </c>
      <c r="AS163" t="str">
        <f t="shared" si="22"/>
        <v/>
      </c>
      <c r="AT163" t="str">
        <f>IF(AS163="","",IF(ISNUMBER(Roster!$D163),Roster!$D163&gt;=AP163,FALSE))</f>
        <v/>
      </c>
      <c r="AU163" t="str">
        <f t="shared" si="23"/>
        <v/>
      </c>
      <c r="AV163" t="str">
        <f ca="1">IF(158&gt;$AV$2,"",SMALL($AR$6:$AR$505,158))</f>
        <v/>
      </c>
      <c r="AW163" t="str">
        <f t="shared" ca="1" si="24"/>
        <v/>
      </c>
    </row>
    <row r="164" spans="2:49" x14ac:dyDescent="0.2">
      <c r="B164" s="32" t="str">
        <f>IF(AND(ISNUMBER(Roster!$B164),Setup!$B$20="Yes",ISNUMBER(Setup!$C$20)),EDATE(Roster!$B164,12*Setup!$C$20),"")</f>
        <v/>
      </c>
      <c r="C164" s="32" t="str">
        <f>IF(AND(ISNUMBER(Roster!$B164),Setup!$B$21="Yes",ISNUMBER(Setup!$C$21)),EDATE(Roster!$B164,12*Setup!$C$21),"")</f>
        <v/>
      </c>
      <c r="D164" s="32" t="str">
        <f>IF(AND(ISNUMBER(Roster!$B164),Setup!$B$22="Yes",ISNUMBER(Setup!$C$22)),EDATE(Roster!$B164,12*Setup!$C$22),"")</f>
        <v/>
      </c>
      <c r="E164" s="32" t="str">
        <f>IF(AND(ISNUMBER(Roster!$B164),Setup!$B$23="Yes",ISNUMBER(Setup!$C$23)),EDATE(Roster!$B164,12*Setup!$C$23),"")</f>
        <v/>
      </c>
      <c r="F164" s="32" t="str">
        <f>IF(AND(ISNUMBER(Roster!$B164),Setup!$B$24="Yes",ISNUMBER(Setup!$C$24)),EDATE(Roster!$B164,12*Setup!$C$24),"")</f>
        <v/>
      </c>
      <c r="G164" s="32" t="str">
        <f>IF(AND(ISNUMBER(Roster!$B164),Setup!$B$25="Yes",ISNUMBER(Setup!$C$25)),EDATE(Roster!$B164,12*Setup!$C$25),"")</f>
        <v/>
      </c>
      <c r="H164" s="32" t="str">
        <f>IF(AND(ISNUMBER(Roster!$B164),Setup!$B$26="Yes",ISNUMBER(Setup!$C$26)),EDATE(Roster!$B164,12*Setup!$C$26),"")</f>
        <v/>
      </c>
      <c r="I164" s="32" t="str">
        <f>IF(AND(ISNUMBER(Roster!$B164),Setup!$B$27="Yes",ISNUMBER(Setup!$C$27)),EDATE(Roster!$B164,12*Setup!$C$27),"")</f>
        <v/>
      </c>
      <c r="J164" s="32" t="str">
        <f>IF(AND(ISNUMBER(Roster!$B164),Setup!$B$28="Yes",ISNUMBER(Setup!$C$28)),EDATE(Roster!$B164,12*Setup!$C$28),"")</f>
        <v/>
      </c>
      <c r="K164" s="32" t="str">
        <f>IF(AND(ISNUMBER(Roster!$B164),Setup!$B$29="Yes",ISNUMBER(Setup!$C$29)),EDATE(Roster!$B164,12*Setup!$C$29),"")</f>
        <v/>
      </c>
      <c r="L164" s="32" t="str">
        <f>IF(AND(ISNUMBER(Roster!$B164),Setup!$B$30="Yes",ISNUMBER(Setup!$C$30)),EDATE(Roster!$B164,12*Setup!$C$30),"")</f>
        <v/>
      </c>
      <c r="M164" s="32" t="str">
        <f>IF(AND(ISNUMBER(Roster!$B164),Setup!$B$31="Yes",ISNUMBER(Setup!$C$31)),EDATE(Roster!$B164,12*Setup!$C$31),"")</f>
        <v/>
      </c>
      <c r="N164" s="32" t="str">
        <f>IF(AND(ISNUMBER(Roster!$B164),Setup!$B$32="Yes",ISNUMBER(Setup!$C$32)),EDATE(Roster!$B164,12*Setup!$C$32),"")</f>
        <v/>
      </c>
      <c r="O164" s="32" t="str">
        <f>IF(AND(ISNUMBER(Roster!$B164),Setup!$B$33="Yes",ISNUMBER(Setup!$C$33)),EDATE(Roster!$B164,12*Setup!$C$33),"")</f>
        <v/>
      </c>
      <c r="P164" s="32" t="str">
        <f>IF(AND(ISNUMBER(Roster!$B164),Setup!$B$34="Yes",ISNUMBER(Setup!$C$34)),EDATE(Roster!$B164,12*Setup!$C$34),"")</f>
        <v/>
      </c>
      <c r="R164" t="str">
        <f>IF(B164="","",IF(B164&lt;Setup!$C$5-Setup!$C$6,"",IF(IF(ISNUMBER(Roster!$D164),Setup!$C$20&lt;=Roster!$D164,FALSE),"",IF(OR(IF(Setup!$C$15&lt;=Setup!$C$16,AND(MONTH(B164)&gt;=Setup!$C$15,MONTH(B164)&lt;=Setup!$C$16),OR(MONTH(B164)&gt;=Setup!$C$15,MONTH(B164)&lt;=Setup!$C$16)),IF(Setup!$C$15&lt;=Setup!$C$16,AND(MONTH(WORKDAY(B164,-(Setup!$C$13+Setup!$G$20),Setup!$C$39:$C$50))&gt;=Setup!$C$15,MONTH(WORKDAY(B164,-(Setup!$C$13+Setup!$G$20),Setup!$C$39:$C$50))&lt;=Setup!$C$16),OR(MONTH(WORKDAY(B164,-(Setup!$C$13+Setup!$G$20),Setup!$C$39:$C$50))&gt;=Setup!$C$15,MONTH(WORKDAY(B164,-(Setup!$C$13+Setup!$G$20),Setup!$C$39:$C$50))&lt;=Setup!$C$16))),WORKDAY(B164,-(Setup!$C$13+Setup!$G$20+Setup!$C$14),Setup!$C$39:$C$50),WORKDAY(B164,-(Setup!$C$13+Setup!$G$20),Setup!$C$39:$C$50))+(159*100+1)/10000000)))</f>
        <v/>
      </c>
      <c r="S164" t="str">
        <f>IF(C164="","",IF(C164&lt;Setup!$C$5-Setup!$C$6,"",IF(IF(ISNUMBER(Roster!$D164),Setup!$C$21&lt;=Roster!$D164,FALSE),"",IF(OR(IF(Setup!$C$15&lt;=Setup!$C$16,AND(MONTH(C164)&gt;=Setup!$C$15,MONTH(C164)&lt;=Setup!$C$16),OR(MONTH(C164)&gt;=Setup!$C$15,MONTH(C164)&lt;=Setup!$C$16)),IF(Setup!$C$15&lt;=Setup!$C$16,AND(MONTH(WORKDAY(C164,-(Setup!$C$13+Setup!$G$21),Setup!$C$39:$C$50))&gt;=Setup!$C$15,MONTH(WORKDAY(C164,-(Setup!$C$13+Setup!$G$21),Setup!$C$39:$C$50))&lt;=Setup!$C$16),OR(MONTH(WORKDAY(C164,-(Setup!$C$13+Setup!$G$21),Setup!$C$39:$C$50))&gt;=Setup!$C$15,MONTH(WORKDAY(C164,-(Setup!$C$13+Setup!$G$21),Setup!$C$39:$C$50))&lt;=Setup!$C$16))),WORKDAY(C164,-(Setup!$C$13+Setup!$G$21+Setup!$C$14),Setup!$C$39:$C$50),WORKDAY(C164,-(Setup!$C$13+Setup!$G$21),Setup!$C$39:$C$50))+(159*100+2)/10000000)))</f>
        <v/>
      </c>
      <c r="T164" t="str">
        <f>IF(D164="","",IF(D164&lt;Setup!$C$5-Setup!$C$6,"",IF(IF(ISNUMBER(Roster!$D164),Setup!$C$22&lt;=Roster!$D164,FALSE),"",IF(OR(IF(Setup!$C$15&lt;=Setup!$C$16,AND(MONTH(D164)&gt;=Setup!$C$15,MONTH(D164)&lt;=Setup!$C$16),OR(MONTH(D164)&gt;=Setup!$C$15,MONTH(D164)&lt;=Setup!$C$16)),IF(Setup!$C$15&lt;=Setup!$C$16,AND(MONTH(WORKDAY(D164,-(Setup!$C$13+Setup!$G$22),Setup!$C$39:$C$50))&gt;=Setup!$C$15,MONTH(WORKDAY(D164,-(Setup!$C$13+Setup!$G$22),Setup!$C$39:$C$50))&lt;=Setup!$C$16),OR(MONTH(WORKDAY(D164,-(Setup!$C$13+Setup!$G$22),Setup!$C$39:$C$50))&gt;=Setup!$C$15,MONTH(WORKDAY(D164,-(Setup!$C$13+Setup!$G$22),Setup!$C$39:$C$50))&lt;=Setup!$C$16))),WORKDAY(D164,-(Setup!$C$13+Setup!$G$22+Setup!$C$14),Setup!$C$39:$C$50),WORKDAY(D164,-(Setup!$C$13+Setup!$G$22),Setup!$C$39:$C$50))+(159*100+3)/10000000)))</f>
        <v/>
      </c>
      <c r="U164" t="str">
        <f>IF(E164="","",IF(E164&lt;Setup!$C$5-Setup!$C$6,"",IF(IF(ISNUMBER(Roster!$D164),Setup!$C$23&lt;=Roster!$D164,FALSE),"",IF(OR(IF(Setup!$C$15&lt;=Setup!$C$16,AND(MONTH(E164)&gt;=Setup!$C$15,MONTH(E164)&lt;=Setup!$C$16),OR(MONTH(E164)&gt;=Setup!$C$15,MONTH(E164)&lt;=Setup!$C$16)),IF(Setup!$C$15&lt;=Setup!$C$16,AND(MONTH(WORKDAY(E164,-(Setup!$C$13+Setup!$G$23),Setup!$C$39:$C$50))&gt;=Setup!$C$15,MONTH(WORKDAY(E164,-(Setup!$C$13+Setup!$G$23),Setup!$C$39:$C$50))&lt;=Setup!$C$16),OR(MONTH(WORKDAY(E164,-(Setup!$C$13+Setup!$G$23),Setup!$C$39:$C$50))&gt;=Setup!$C$15,MONTH(WORKDAY(E164,-(Setup!$C$13+Setup!$G$23),Setup!$C$39:$C$50))&lt;=Setup!$C$16))),WORKDAY(E164,-(Setup!$C$13+Setup!$G$23+Setup!$C$14),Setup!$C$39:$C$50),WORKDAY(E164,-(Setup!$C$13+Setup!$G$23),Setup!$C$39:$C$50))+(159*100+4)/10000000)))</f>
        <v/>
      </c>
      <c r="V164" t="str">
        <f>IF(F164="","",IF(F164&lt;Setup!$C$5-Setup!$C$6,"",IF(IF(ISNUMBER(Roster!$D164),Setup!$C$24&lt;=Roster!$D164,FALSE),"",IF(OR(IF(Setup!$C$15&lt;=Setup!$C$16,AND(MONTH(F164)&gt;=Setup!$C$15,MONTH(F164)&lt;=Setup!$C$16),OR(MONTH(F164)&gt;=Setup!$C$15,MONTH(F164)&lt;=Setup!$C$16)),IF(Setup!$C$15&lt;=Setup!$C$16,AND(MONTH(WORKDAY(F164,-(Setup!$C$13+Setup!$G$24),Setup!$C$39:$C$50))&gt;=Setup!$C$15,MONTH(WORKDAY(F164,-(Setup!$C$13+Setup!$G$24),Setup!$C$39:$C$50))&lt;=Setup!$C$16),OR(MONTH(WORKDAY(F164,-(Setup!$C$13+Setup!$G$24),Setup!$C$39:$C$50))&gt;=Setup!$C$15,MONTH(WORKDAY(F164,-(Setup!$C$13+Setup!$G$24),Setup!$C$39:$C$50))&lt;=Setup!$C$16))),WORKDAY(F164,-(Setup!$C$13+Setup!$G$24+Setup!$C$14),Setup!$C$39:$C$50),WORKDAY(F164,-(Setup!$C$13+Setup!$G$24),Setup!$C$39:$C$50))+(159*100+5)/10000000)))</f>
        <v/>
      </c>
      <c r="W164" t="str">
        <f>IF(G164="","",IF(G164&lt;Setup!$C$5-Setup!$C$6,"",IF(IF(ISNUMBER(Roster!$D164),Setup!$C$25&lt;=Roster!$D164,FALSE),"",IF(OR(IF(Setup!$C$15&lt;=Setup!$C$16,AND(MONTH(G164)&gt;=Setup!$C$15,MONTH(G164)&lt;=Setup!$C$16),OR(MONTH(G164)&gt;=Setup!$C$15,MONTH(G164)&lt;=Setup!$C$16)),IF(Setup!$C$15&lt;=Setup!$C$16,AND(MONTH(WORKDAY(G164,-(Setup!$C$13+Setup!$G$25),Setup!$C$39:$C$50))&gt;=Setup!$C$15,MONTH(WORKDAY(G164,-(Setup!$C$13+Setup!$G$25),Setup!$C$39:$C$50))&lt;=Setup!$C$16),OR(MONTH(WORKDAY(G164,-(Setup!$C$13+Setup!$G$25),Setup!$C$39:$C$50))&gt;=Setup!$C$15,MONTH(WORKDAY(G164,-(Setup!$C$13+Setup!$G$25),Setup!$C$39:$C$50))&lt;=Setup!$C$16))),WORKDAY(G164,-(Setup!$C$13+Setup!$G$25+Setup!$C$14),Setup!$C$39:$C$50),WORKDAY(G164,-(Setup!$C$13+Setup!$G$25),Setup!$C$39:$C$50))+(159*100+6)/10000000)))</f>
        <v/>
      </c>
      <c r="X164" t="str">
        <f>IF(H164="","",IF(H164&lt;Setup!$C$5-Setup!$C$6,"",IF(IF(ISNUMBER(Roster!$D164),Setup!$C$26&lt;=Roster!$D164,FALSE),"",IF(OR(IF(Setup!$C$15&lt;=Setup!$C$16,AND(MONTH(H164)&gt;=Setup!$C$15,MONTH(H164)&lt;=Setup!$C$16),OR(MONTH(H164)&gt;=Setup!$C$15,MONTH(H164)&lt;=Setup!$C$16)),IF(Setup!$C$15&lt;=Setup!$C$16,AND(MONTH(WORKDAY(H164,-(Setup!$C$13+Setup!$G$26),Setup!$C$39:$C$50))&gt;=Setup!$C$15,MONTH(WORKDAY(H164,-(Setup!$C$13+Setup!$G$26),Setup!$C$39:$C$50))&lt;=Setup!$C$16),OR(MONTH(WORKDAY(H164,-(Setup!$C$13+Setup!$G$26),Setup!$C$39:$C$50))&gt;=Setup!$C$15,MONTH(WORKDAY(H164,-(Setup!$C$13+Setup!$G$26),Setup!$C$39:$C$50))&lt;=Setup!$C$16))),WORKDAY(H164,-(Setup!$C$13+Setup!$G$26+Setup!$C$14),Setup!$C$39:$C$50),WORKDAY(H164,-(Setup!$C$13+Setup!$G$26),Setup!$C$39:$C$50))+(159*100+7)/10000000)))</f>
        <v/>
      </c>
      <c r="Y164" t="str">
        <f>IF(I164="","",IF(I164&lt;Setup!$C$5-Setup!$C$6,"",IF(IF(ISNUMBER(Roster!$D164),Setup!$C$27&lt;=Roster!$D164,FALSE),"",IF(OR(IF(Setup!$C$15&lt;=Setup!$C$16,AND(MONTH(I164)&gt;=Setup!$C$15,MONTH(I164)&lt;=Setup!$C$16),OR(MONTH(I164)&gt;=Setup!$C$15,MONTH(I164)&lt;=Setup!$C$16)),IF(Setup!$C$15&lt;=Setup!$C$16,AND(MONTH(WORKDAY(I164,-(Setup!$C$13+Setup!$G$27),Setup!$C$39:$C$50))&gt;=Setup!$C$15,MONTH(WORKDAY(I164,-(Setup!$C$13+Setup!$G$27),Setup!$C$39:$C$50))&lt;=Setup!$C$16),OR(MONTH(WORKDAY(I164,-(Setup!$C$13+Setup!$G$27),Setup!$C$39:$C$50))&gt;=Setup!$C$15,MONTH(WORKDAY(I164,-(Setup!$C$13+Setup!$G$27),Setup!$C$39:$C$50))&lt;=Setup!$C$16))),WORKDAY(I164,-(Setup!$C$13+Setup!$G$27+Setup!$C$14),Setup!$C$39:$C$50),WORKDAY(I164,-(Setup!$C$13+Setup!$G$27),Setup!$C$39:$C$50))+(159*100+8)/10000000)))</f>
        <v/>
      </c>
      <c r="Z164" t="str">
        <f>IF(J164="","",IF(J164&lt;Setup!$C$5-Setup!$C$6,"",IF(IF(ISNUMBER(Roster!$D164),Setup!$C$28&lt;=Roster!$D164,FALSE),"",IF(OR(IF(Setup!$C$15&lt;=Setup!$C$16,AND(MONTH(J164)&gt;=Setup!$C$15,MONTH(J164)&lt;=Setup!$C$16),OR(MONTH(J164)&gt;=Setup!$C$15,MONTH(J164)&lt;=Setup!$C$16)),IF(Setup!$C$15&lt;=Setup!$C$16,AND(MONTH(WORKDAY(J164,-(Setup!$C$13+Setup!$G$28),Setup!$C$39:$C$50))&gt;=Setup!$C$15,MONTH(WORKDAY(J164,-(Setup!$C$13+Setup!$G$28),Setup!$C$39:$C$50))&lt;=Setup!$C$16),OR(MONTH(WORKDAY(J164,-(Setup!$C$13+Setup!$G$28),Setup!$C$39:$C$50))&gt;=Setup!$C$15,MONTH(WORKDAY(J164,-(Setup!$C$13+Setup!$G$28),Setup!$C$39:$C$50))&lt;=Setup!$C$16))),WORKDAY(J164,-(Setup!$C$13+Setup!$G$28+Setup!$C$14),Setup!$C$39:$C$50),WORKDAY(J164,-(Setup!$C$13+Setup!$G$28),Setup!$C$39:$C$50))+(159*100+9)/10000000)))</f>
        <v/>
      </c>
      <c r="AA164" t="str">
        <f>IF(K164="","",IF(K164&lt;Setup!$C$5-Setup!$C$6,"",IF(IF(ISNUMBER(Roster!$D164),Setup!$C$29&lt;=Roster!$D164,FALSE),"",IF(OR(IF(Setup!$C$15&lt;=Setup!$C$16,AND(MONTH(K164)&gt;=Setup!$C$15,MONTH(K164)&lt;=Setup!$C$16),OR(MONTH(K164)&gt;=Setup!$C$15,MONTH(K164)&lt;=Setup!$C$16)),IF(Setup!$C$15&lt;=Setup!$C$16,AND(MONTH(WORKDAY(K164,-(Setup!$C$13+Setup!$G$29),Setup!$C$39:$C$50))&gt;=Setup!$C$15,MONTH(WORKDAY(K164,-(Setup!$C$13+Setup!$G$29),Setup!$C$39:$C$50))&lt;=Setup!$C$16),OR(MONTH(WORKDAY(K164,-(Setup!$C$13+Setup!$G$29),Setup!$C$39:$C$50))&gt;=Setup!$C$15,MONTH(WORKDAY(K164,-(Setup!$C$13+Setup!$G$29),Setup!$C$39:$C$50))&lt;=Setup!$C$16))),WORKDAY(K164,-(Setup!$C$13+Setup!$G$29+Setup!$C$14),Setup!$C$39:$C$50),WORKDAY(K164,-(Setup!$C$13+Setup!$G$29),Setup!$C$39:$C$50))+(159*100+10)/10000000)))</f>
        <v/>
      </c>
      <c r="AB164" t="str">
        <f>IF(L164="","",IF(L164&lt;Setup!$C$5-Setup!$C$6,"",IF(IF(ISNUMBER(Roster!$D164),Setup!$C$30&lt;=Roster!$D164,FALSE),"",IF(OR(IF(Setup!$C$15&lt;=Setup!$C$16,AND(MONTH(L164)&gt;=Setup!$C$15,MONTH(L164)&lt;=Setup!$C$16),OR(MONTH(L164)&gt;=Setup!$C$15,MONTH(L164)&lt;=Setup!$C$16)),IF(Setup!$C$15&lt;=Setup!$C$16,AND(MONTH(WORKDAY(L164,-(Setup!$C$13+Setup!$G$30),Setup!$C$39:$C$50))&gt;=Setup!$C$15,MONTH(WORKDAY(L164,-(Setup!$C$13+Setup!$G$30),Setup!$C$39:$C$50))&lt;=Setup!$C$16),OR(MONTH(WORKDAY(L164,-(Setup!$C$13+Setup!$G$30),Setup!$C$39:$C$50))&gt;=Setup!$C$15,MONTH(WORKDAY(L164,-(Setup!$C$13+Setup!$G$30),Setup!$C$39:$C$50))&lt;=Setup!$C$16))),WORKDAY(L164,-(Setup!$C$13+Setup!$G$30+Setup!$C$14),Setup!$C$39:$C$50),WORKDAY(L164,-(Setup!$C$13+Setup!$G$30),Setup!$C$39:$C$50))+(159*100+11)/10000000)))</f>
        <v/>
      </c>
      <c r="AC164" t="str">
        <f>IF(M164="","",IF(M164&lt;Setup!$C$5-Setup!$C$6,"",IF(IF(ISNUMBER(Roster!$D164),Setup!$C$31&lt;=Roster!$D164,FALSE),"",IF(OR(IF(Setup!$C$15&lt;=Setup!$C$16,AND(MONTH(M164)&gt;=Setup!$C$15,MONTH(M164)&lt;=Setup!$C$16),OR(MONTH(M164)&gt;=Setup!$C$15,MONTH(M164)&lt;=Setup!$C$16)),IF(Setup!$C$15&lt;=Setup!$C$16,AND(MONTH(WORKDAY(M164,-(Setup!$C$13+Setup!$G$31),Setup!$C$39:$C$50))&gt;=Setup!$C$15,MONTH(WORKDAY(M164,-(Setup!$C$13+Setup!$G$31),Setup!$C$39:$C$50))&lt;=Setup!$C$16),OR(MONTH(WORKDAY(M164,-(Setup!$C$13+Setup!$G$31),Setup!$C$39:$C$50))&gt;=Setup!$C$15,MONTH(WORKDAY(M164,-(Setup!$C$13+Setup!$G$31),Setup!$C$39:$C$50))&lt;=Setup!$C$16))),WORKDAY(M164,-(Setup!$C$13+Setup!$G$31+Setup!$C$14),Setup!$C$39:$C$50),WORKDAY(M164,-(Setup!$C$13+Setup!$G$31),Setup!$C$39:$C$50))+(159*100+12)/10000000)))</f>
        <v/>
      </c>
      <c r="AD164" t="str">
        <f>IF(N164="","",IF(N164&lt;Setup!$C$5-Setup!$C$6,"",IF(IF(ISNUMBER(Roster!$D164),Setup!$C$32&lt;=Roster!$D164,FALSE),"",IF(OR(IF(Setup!$C$15&lt;=Setup!$C$16,AND(MONTH(N164)&gt;=Setup!$C$15,MONTH(N164)&lt;=Setup!$C$16),OR(MONTH(N164)&gt;=Setup!$C$15,MONTH(N164)&lt;=Setup!$C$16)),IF(Setup!$C$15&lt;=Setup!$C$16,AND(MONTH(WORKDAY(N164,-(Setup!$C$13+Setup!$G$32),Setup!$C$39:$C$50))&gt;=Setup!$C$15,MONTH(WORKDAY(N164,-(Setup!$C$13+Setup!$G$32),Setup!$C$39:$C$50))&lt;=Setup!$C$16),OR(MONTH(WORKDAY(N164,-(Setup!$C$13+Setup!$G$32),Setup!$C$39:$C$50))&gt;=Setup!$C$15,MONTH(WORKDAY(N164,-(Setup!$C$13+Setup!$G$32),Setup!$C$39:$C$50))&lt;=Setup!$C$16))),WORKDAY(N164,-(Setup!$C$13+Setup!$G$32+Setup!$C$14),Setup!$C$39:$C$50),WORKDAY(N164,-(Setup!$C$13+Setup!$G$32),Setup!$C$39:$C$50))+(159*100+13)/10000000)))</f>
        <v/>
      </c>
      <c r="AE164" t="str">
        <f>IF(O164="","",IF(O164&lt;Setup!$C$5-Setup!$C$6,"",IF(IF(ISNUMBER(Roster!$D164),Setup!$C$33&lt;=Roster!$D164,FALSE),"",IF(OR(IF(Setup!$C$15&lt;=Setup!$C$16,AND(MONTH(O164)&gt;=Setup!$C$15,MONTH(O164)&lt;=Setup!$C$16),OR(MONTH(O164)&gt;=Setup!$C$15,MONTH(O164)&lt;=Setup!$C$16)),IF(Setup!$C$15&lt;=Setup!$C$16,AND(MONTH(WORKDAY(O164,-(Setup!$C$13+Setup!$G$33),Setup!$C$39:$C$50))&gt;=Setup!$C$15,MONTH(WORKDAY(O164,-(Setup!$C$13+Setup!$G$33),Setup!$C$39:$C$50))&lt;=Setup!$C$16),OR(MONTH(WORKDAY(O164,-(Setup!$C$13+Setup!$G$33),Setup!$C$39:$C$50))&gt;=Setup!$C$15,MONTH(WORKDAY(O164,-(Setup!$C$13+Setup!$G$33),Setup!$C$39:$C$50))&lt;=Setup!$C$16))),WORKDAY(O164,-(Setup!$C$13+Setup!$G$33+Setup!$C$14),Setup!$C$39:$C$50),WORKDAY(O164,-(Setup!$C$13+Setup!$G$33),Setup!$C$39:$C$50))+(159*100+14)/10000000)))</f>
        <v/>
      </c>
      <c r="AF164" t="str">
        <f>IF(P164="","",IF(P164&lt;Setup!$C$5-Setup!$C$6,"",IF(IF(ISNUMBER(Roster!$D164),Setup!$C$34&lt;=Roster!$D164,FALSE),"",IF(OR(IF(Setup!$C$15&lt;=Setup!$C$16,AND(MONTH(P164)&gt;=Setup!$C$15,MONTH(P164)&lt;=Setup!$C$16),OR(MONTH(P164)&gt;=Setup!$C$15,MONTH(P164)&lt;=Setup!$C$16)),IF(Setup!$C$15&lt;=Setup!$C$16,AND(MONTH(WORKDAY(P164,-(Setup!$C$13+Setup!$G$34),Setup!$C$39:$C$50))&gt;=Setup!$C$15,MONTH(WORKDAY(P164,-(Setup!$C$13+Setup!$G$34),Setup!$C$39:$C$50))&lt;=Setup!$C$16),OR(MONTH(WORKDAY(P164,-(Setup!$C$13+Setup!$G$34),Setup!$C$39:$C$50))&gt;=Setup!$C$15,MONTH(WORKDAY(P164,-(Setup!$C$13+Setup!$G$34),Setup!$C$39:$C$50))&lt;=Setup!$C$16))),WORKDAY(P164,-(Setup!$C$13+Setup!$G$34+Setup!$C$14),Setup!$C$39:$C$50),WORKDAY(P164,-(Setup!$C$13+Setup!$G$34),Setup!$C$39:$C$50))+(159*100+15)/10000000)))</f>
        <v/>
      </c>
      <c r="AH164" t="str">
        <f t="shared" si="17"/>
        <v/>
      </c>
      <c r="AI164" t="str">
        <f t="shared" si="18"/>
        <v/>
      </c>
      <c r="AK164" t="str">
        <f ca="1">IF(159&gt;$AK$2,"",SMALL($R$6:$AF$505,159))</f>
        <v/>
      </c>
      <c r="AL164" t="str">
        <f t="shared" ca="1" si="19"/>
        <v/>
      </c>
      <c r="AM164" t="str">
        <f t="shared" ca="1" si="20"/>
        <v/>
      </c>
      <c r="AN164" t="str">
        <f t="shared" ca="1" si="21"/>
        <v/>
      </c>
      <c r="AP164" t="str">
        <f>IF(ISNUMBER(Roster!$B164),MAX(1,YEAR(Setup!$C$5)-YEAR(Roster!$B164)+IF(EDATE(Roster!$B164,12*(YEAR(Setup!$C$5)-YEAR(Roster!$B164)))&lt;Setup!$C$5,1,0)),"")</f>
        <v/>
      </c>
      <c r="AQ164" s="32" t="str">
        <f>IF(AP164="","",EDATE(Roster!$B164,12*AP164))</f>
        <v/>
      </c>
      <c r="AR164" t="str">
        <f>IF(AQ164="","",IF(AQ164&lt;DATE(YEAR(Setup!$C$5)+1,MONTH(Setup!$C$5),DAY(Setup!$C$5)),AQ164+159/1000,""))</f>
        <v/>
      </c>
      <c r="AS164" t="str">
        <f t="shared" si="22"/>
        <v/>
      </c>
      <c r="AT164" t="str">
        <f>IF(AS164="","",IF(ISNUMBER(Roster!$D164),Roster!$D164&gt;=AP164,FALSE))</f>
        <v/>
      </c>
      <c r="AU164" t="str">
        <f t="shared" si="23"/>
        <v/>
      </c>
      <c r="AV164" t="str">
        <f ca="1">IF(159&gt;$AV$2,"",SMALL($AR$6:$AR$505,159))</f>
        <v/>
      </c>
      <c r="AW164" t="str">
        <f t="shared" ca="1" si="24"/>
        <v/>
      </c>
    </row>
    <row r="165" spans="2:49" x14ac:dyDescent="0.2">
      <c r="B165" s="32" t="str">
        <f>IF(AND(ISNUMBER(Roster!$B165),Setup!$B$20="Yes",ISNUMBER(Setup!$C$20)),EDATE(Roster!$B165,12*Setup!$C$20),"")</f>
        <v/>
      </c>
      <c r="C165" s="32" t="str">
        <f>IF(AND(ISNUMBER(Roster!$B165),Setup!$B$21="Yes",ISNUMBER(Setup!$C$21)),EDATE(Roster!$B165,12*Setup!$C$21),"")</f>
        <v/>
      </c>
      <c r="D165" s="32" t="str">
        <f>IF(AND(ISNUMBER(Roster!$B165),Setup!$B$22="Yes",ISNUMBER(Setup!$C$22)),EDATE(Roster!$B165,12*Setup!$C$22),"")</f>
        <v/>
      </c>
      <c r="E165" s="32" t="str">
        <f>IF(AND(ISNUMBER(Roster!$B165),Setup!$B$23="Yes",ISNUMBER(Setup!$C$23)),EDATE(Roster!$B165,12*Setup!$C$23),"")</f>
        <v/>
      </c>
      <c r="F165" s="32" t="str">
        <f>IF(AND(ISNUMBER(Roster!$B165),Setup!$B$24="Yes",ISNUMBER(Setup!$C$24)),EDATE(Roster!$B165,12*Setup!$C$24),"")</f>
        <v/>
      </c>
      <c r="G165" s="32" t="str">
        <f>IF(AND(ISNUMBER(Roster!$B165),Setup!$B$25="Yes",ISNUMBER(Setup!$C$25)),EDATE(Roster!$B165,12*Setup!$C$25),"")</f>
        <v/>
      </c>
      <c r="H165" s="32" t="str">
        <f>IF(AND(ISNUMBER(Roster!$B165),Setup!$B$26="Yes",ISNUMBER(Setup!$C$26)),EDATE(Roster!$B165,12*Setup!$C$26),"")</f>
        <v/>
      </c>
      <c r="I165" s="32" t="str">
        <f>IF(AND(ISNUMBER(Roster!$B165),Setup!$B$27="Yes",ISNUMBER(Setup!$C$27)),EDATE(Roster!$B165,12*Setup!$C$27),"")</f>
        <v/>
      </c>
      <c r="J165" s="32" t="str">
        <f>IF(AND(ISNUMBER(Roster!$B165),Setup!$B$28="Yes",ISNUMBER(Setup!$C$28)),EDATE(Roster!$B165,12*Setup!$C$28),"")</f>
        <v/>
      </c>
      <c r="K165" s="32" t="str">
        <f>IF(AND(ISNUMBER(Roster!$B165),Setup!$B$29="Yes",ISNUMBER(Setup!$C$29)),EDATE(Roster!$B165,12*Setup!$C$29),"")</f>
        <v/>
      </c>
      <c r="L165" s="32" t="str">
        <f>IF(AND(ISNUMBER(Roster!$B165),Setup!$B$30="Yes",ISNUMBER(Setup!$C$30)),EDATE(Roster!$B165,12*Setup!$C$30),"")</f>
        <v/>
      </c>
      <c r="M165" s="32" t="str">
        <f>IF(AND(ISNUMBER(Roster!$B165),Setup!$B$31="Yes",ISNUMBER(Setup!$C$31)),EDATE(Roster!$B165,12*Setup!$C$31),"")</f>
        <v/>
      </c>
      <c r="N165" s="32" t="str">
        <f>IF(AND(ISNUMBER(Roster!$B165),Setup!$B$32="Yes",ISNUMBER(Setup!$C$32)),EDATE(Roster!$B165,12*Setup!$C$32),"")</f>
        <v/>
      </c>
      <c r="O165" s="32" t="str">
        <f>IF(AND(ISNUMBER(Roster!$B165),Setup!$B$33="Yes",ISNUMBER(Setup!$C$33)),EDATE(Roster!$B165,12*Setup!$C$33),"")</f>
        <v/>
      </c>
      <c r="P165" s="32" t="str">
        <f>IF(AND(ISNUMBER(Roster!$B165),Setup!$B$34="Yes",ISNUMBER(Setup!$C$34)),EDATE(Roster!$B165,12*Setup!$C$34),"")</f>
        <v/>
      </c>
      <c r="R165" t="str">
        <f>IF(B165="","",IF(B165&lt;Setup!$C$5-Setup!$C$6,"",IF(IF(ISNUMBER(Roster!$D165),Setup!$C$20&lt;=Roster!$D165,FALSE),"",IF(OR(IF(Setup!$C$15&lt;=Setup!$C$16,AND(MONTH(B165)&gt;=Setup!$C$15,MONTH(B165)&lt;=Setup!$C$16),OR(MONTH(B165)&gt;=Setup!$C$15,MONTH(B165)&lt;=Setup!$C$16)),IF(Setup!$C$15&lt;=Setup!$C$16,AND(MONTH(WORKDAY(B165,-(Setup!$C$13+Setup!$G$20),Setup!$C$39:$C$50))&gt;=Setup!$C$15,MONTH(WORKDAY(B165,-(Setup!$C$13+Setup!$G$20),Setup!$C$39:$C$50))&lt;=Setup!$C$16),OR(MONTH(WORKDAY(B165,-(Setup!$C$13+Setup!$G$20),Setup!$C$39:$C$50))&gt;=Setup!$C$15,MONTH(WORKDAY(B165,-(Setup!$C$13+Setup!$G$20),Setup!$C$39:$C$50))&lt;=Setup!$C$16))),WORKDAY(B165,-(Setup!$C$13+Setup!$G$20+Setup!$C$14),Setup!$C$39:$C$50),WORKDAY(B165,-(Setup!$C$13+Setup!$G$20),Setup!$C$39:$C$50))+(160*100+1)/10000000)))</f>
        <v/>
      </c>
      <c r="S165" t="str">
        <f>IF(C165="","",IF(C165&lt;Setup!$C$5-Setup!$C$6,"",IF(IF(ISNUMBER(Roster!$D165),Setup!$C$21&lt;=Roster!$D165,FALSE),"",IF(OR(IF(Setup!$C$15&lt;=Setup!$C$16,AND(MONTH(C165)&gt;=Setup!$C$15,MONTH(C165)&lt;=Setup!$C$16),OR(MONTH(C165)&gt;=Setup!$C$15,MONTH(C165)&lt;=Setup!$C$16)),IF(Setup!$C$15&lt;=Setup!$C$16,AND(MONTH(WORKDAY(C165,-(Setup!$C$13+Setup!$G$21),Setup!$C$39:$C$50))&gt;=Setup!$C$15,MONTH(WORKDAY(C165,-(Setup!$C$13+Setup!$G$21),Setup!$C$39:$C$50))&lt;=Setup!$C$16),OR(MONTH(WORKDAY(C165,-(Setup!$C$13+Setup!$G$21),Setup!$C$39:$C$50))&gt;=Setup!$C$15,MONTH(WORKDAY(C165,-(Setup!$C$13+Setup!$G$21),Setup!$C$39:$C$50))&lt;=Setup!$C$16))),WORKDAY(C165,-(Setup!$C$13+Setup!$G$21+Setup!$C$14),Setup!$C$39:$C$50),WORKDAY(C165,-(Setup!$C$13+Setup!$G$21),Setup!$C$39:$C$50))+(160*100+2)/10000000)))</f>
        <v/>
      </c>
      <c r="T165" t="str">
        <f>IF(D165="","",IF(D165&lt;Setup!$C$5-Setup!$C$6,"",IF(IF(ISNUMBER(Roster!$D165),Setup!$C$22&lt;=Roster!$D165,FALSE),"",IF(OR(IF(Setup!$C$15&lt;=Setup!$C$16,AND(MONTH(D165)&gt;=Setup!$C$15,MONTH(D165)&lt;=Setup!$C$16),OR(MONTH(D165)&gt;=Setup!$C$15,MONTH(D165)&lt;=Setup!$C$16)),IF(Setup!$C$15&lt;=Setup!$C$16,AND(MONTH(WORKDAY(D165,-(Setup!$C$13+Setup!$G$22),Setup!$C$39:$C$50))&gt;=Setup!$C$15,MONTH(WORKDAY(D165,-(Setup!$C$13+Setup!$G$22),Setup!$C$39:$C$50))&lt;=Setup!$C$16),OR(MONTH(WORKDAY(D165,-(Setup!$C$13+Setup!$G$22),Setup!$C$39:$C$50))&gt;=Setup!$C$15,MONTH(WORKDAY(D165,-(Setup!$C$13+Setup!$G$22),Setup!$C$39:$C$50))&lt;=Setup!$C$16))),WORKDAY(D165,-(Setup!$C$13+Setup!$G$22+Setup!$C$14),Setup!$C$39:$C$50),WORKDAY(D165,-(Setup!$C$13+Setup!$G$22),Setup!$C$39:$C$50))+(160*100+3)/10000000)))</f>
        <v/>
      </c>
      <c r="U165" t="str">
        <f>IF(E165="","",IF(E165&lt;Setup!$C$5-Setup!$C$6,"",IF(IF(ISNUMBER(Roster!$D165),Setup!$C$23&lt;=Roster!$D165,FALSE),"",IF(OR(IF(Setup!$C$15&lt;=Setup!$C$16,AND(MONTH(E165)&gt;=Setup!$C$15,MONTH(E165)&lt;=Setup!$C$16),OR(MONTH(E165)&gt;=Setup!$C$15,MONTH(E165)&lt;=Setup!$C$16)),IF(Setup!$C$15&lt;=Setup!$C$16,AND(MONTH(WORKDAY(E165,-(Setup!$C$13+Setup!$G$23),Setup!$C$39:$C$50))&gt;=Setup!$C$15,MONTH(WORKDAY(E165,-(Setup!$C$13+Setup!$G$23),Setup!$C$39:$C$50))&lt;=Setup!$C$16),OR(MONTH(WORKDAY(E165,-(Setup!$C$13+Setup!$G$23),Setup!$C$39:$C$50))&gt;=Setup!$C$15,MONTH(WORKDAY(E165,-(Setup!$C$13+Setup!$G$23),Setup!$C$39:$C$50))&lt;=Setup!$C$16))),WORKDAY(E165,-(Setup!$C$13+Setup!$G$23+Setup!$C$14),Setup!$C$39:$C$50),WORKDAY(E165,-(Setup!$C$13+Setup!$G$23),Setup!$C$39:$C$50))+(160*100+4)/10000000)))</f>
        <v/>
      </c>
      <c r="V165" t="str">
        <f>IF(F165="","",IF(F165&lt;Setup!$C$5-Setup!$C$6,"",IF(IF(ISNUMBER(Roster!$D165),Setup!$C$24&lt;=Roster!$D165,FALSE),"",IF(OR(IF(Setup!$C$15&lt;=Setup!$C$16,AND(MONTH(F165)&gt;=Setup!$C$15,MONTH(F165)&lt;=Setup!$C$16),OR(MONTH(F165)&gt;=Setup!$C$15,MONTH(F165)&lt;=Setup!$C$16)),IF(Setup!$C$15&lt;=Setup!$C$16,AND(MONTH(WORKDAY(F165,-(Setup!$C$13+Setup!$G$24),Setup!$C$39:$C$50))&gt;=Setup!$C$15,MONTH(WORKDAY(F165,-(Setup!$C$13+Setup!$G$24),Setup!$C$39:$C$50))&lt;=Setup!$C$16),OR(MONTH(WORKDAY(F165,-(Setup!$C$13+Setup!$G$24),Setup!$C$39:$C$50))&gt;=Setup!$C$15,MONTH(WORKDAY(F165,-(Setup!$C$13+Setup!$G$24),Setup!$C$39:$C$50))&lt;=Setup!$C$16))),WORKDAY(F165,-(Setup!$C$13+Setup!$G$24+Setup!$C$14),Setup!$C$39:$C$50),WORKDAY(F165,-(Setup!$C$13+Setup!$G$24),Setup!$C$39:$C$50))+(160*100+5)/10000000)))</f>
        <v/>
      </c>
      <c r="W165" t="str">
        <f>IF(G165="","",IF(G165&lt;Setup!$C$5-Setup!$C$6,"",IF(IF(ISNUMBER(Roster!$D165),Setup!$C$25&lt;=Roster!$D165,FALSE),"",IF(OR(IF(Setup!$C$15&lt;=Setup!$C$16,AND(MONTH(G165)&gt;=Setup!$C$15,MONTH(G165)&lt;=Setup!$C$16),OR(MONTH(G165)&gt;=Setup!$C$15,MONTH(G165)&lt;=Setup!$C$16)),IF(Setup!$C$15&lt;=Setup!$C$16,AND(MONTH(WORKDAY(G165,-(Setup!$C$13+Setup!$G$25),Setup!$C$39:$C$50))&gt;=Setup!$C$15,MONTH(WORKDAY(G165,-(Setup!$C$13+Setup!$G$25),Setup!$C$39:$C$50))&lt;=Setup!$C$16),OR(MONTH(WORKDAY(G165,-(Setup!$C$13+Setup!$G$25),Setup!$C$39:$C$50))&gt;=Setup!$C$15,MONTH(WORKDAY(G165,-(Setup!$C$13+Setup!$G$25),Setup!$C$39:$C$50))&lt;=Setup!$C$16))),WORKDAY(G165,-(Setup!$C$13+Setup!$G$25+Setup!$C$14),Setup!$C$39:$C$50),WORKDAY(G165,-(Setup!$C$13+Setup!$G$25),Setup!$C$39:$C$50))+(160*100+6)/10000000)))</f>
        <v/>
      </c>
      <c r="X165" t="str">
        <f>IF(H165="","",IF(H165&lt;Setup!$C$5-Setup!$C$6,"",IF(IF(ISNUMBER(Roster!$D165),Setup!$C$26&lt;=Roster!$D165,FALSE),"",IF(OR(IF(Setup!$C$15&lt;=Setup!$C$16,AND(MONTH(H165)&gt;=Setup!$C$15,MONTH(H165)&lt;=Setup!$C$16),OR(MONTH(H165)&gt;=Setup!$C$15,MONTH(H165)&lt;=Setup!$C$16)),IF(Setup!$C$15&lt;=Setup!$C$16,AND(MONTH(WORKDAY(H165,-(Setup!$C$13+Setup!$G$26),Setup!$C$39:$C$50))&gt;=Setup!$C$15,MONTH(WORKDAY(H165,-(Setup!$C$13+Setup!$G$26),Setup!$C$39:$C$50))&lt;=Setup!$C$16),OR(MONTH(WORKDAY(H165,-(Setup!$C$13+Setup!$G$26),Setup!$C$39:$C$50))&gt;=Setup!$C$15,MONTH(WORKDAY(H165,-(Setup!$C$13+Setup!$G$26),Setup!$C$39:$C$50))&lt;=Setup!$C$16))),WORKDAY(H165,-(Setup!$C$13+Setup!$G$26+Setup!$C$14),Setup!$C$39:$C$50),WORKDAY(H165,-(Setup!$C$13+Setup!$G$26),Setup!$C$39:$C$50))+(160*100+7)/10000000)))</f>
        <v/>
      </c>
      <c r="Y165" t="str">
        <f>IF(I165="","",IF(I165&lt;Setup!$C$5-Setup!$C$6,"",IF(IF(ISNUMBER(Roster!$D165),Setup!$C$27&lt;=Roster!$D165,FALSE),"",IF(OR(IF(Setup!$C$15&lt;=Setup!$C$16,AND(MONTH(I165)&gt;=Setup!$C$15,MONTH(I165)&lt;=Setup!$C$16),OR(MONTH(I165)&gt;=Setup!$C$15,MONTH(I165)&lt;=Setup!$C$16)),IF(Setup!$C$15&lt;=Setup!$C$16,AND(MONTH(WORKDAY(I165,-(Setup!$C$13+Setup!$G$27),Setup!$C$39:$C$50))&gt;=Setup!$C$15,MONTH(WORKDAY(I165,-(Setup!$C$13+Setup!$G$27),Setup!$C$39:$C$50))&lt;=Setup!$C$16),OR(MONTH(WORKDAY(I165,-(Setup!$C$13+Setup!$G$27),Setup!$C$39:$C$50))&gt;=Setup!$C$15,MONTH(WORKDAY(I165,-(Setup!$C$13+Setup!$G$27),Setup!$C$39:$C$50))&lt;=Setup!$C$16))),WORKDAY(I165,-(Setup!$C$13+Setup!$G$27+Setup!$C$14),Setup!$C$39:$C$50),WORKDAY(I165,-(Setup!$C$13+Setup!$G$27),Setup!$C$39:$C$50))+(160*100+8)/10000000)))</f>
        <v/>
      </c>
      <c r="Z165" t="str">
        <f>IF(J165="","",IF(J165&lt;Setup!$C$5-Setup!$C$6,"",IF(IF(ISNUMBER(Roster!$D165),Setup!$C$28&lt;=Roster!$D165,FALSE),"",IF(OR(IF(Setup!$C$15&lt;=Setup!$C$16,AND(MONTH(J165)&gt;=Setup!$C$15,MONTH(J165)&lt;=Setup!$C$16),OR(MONTH(J165)&gt;=Setup!$C$15,MONTH(J165)&lt;=Setup!$C$16)),IF(Setup!$C$15&lt;=Setup!$C$16,AND(MONTH(WORKDAY(J165,-(Setup!$C$13+Setup!$G$28),Setup!$C$39:$C$50))&gt;=Setup!$C$15,MONTH(WORKDAY(J165,-(Setup!$C$13+Setup!$G$28),Setup!$C$39:$C$50))&lt;=Setup!$C$16),OR(MONTH(WORKDAY(J165,-(Setup!$C$13+Setup!$G$28),Setup!$C$39:$C$50))&gt;=Setup!$C$15,MONTH(WORKDAY(J165,-(Setup!$C$13+Setup!$G$28),Setup!$C$39:$C$50))&lt;=Setup!$C$16))),WORKDAY(J165,-(Setup!$C$13+Setup!$G$28+Setup!$C$14),Setup!$C$39:$C$50),WORKDAY(J165,-(Setup!$C$13+Setup!$G$28),Setup!$C$39:$C$50))+(160*100+9)/10000000)))</f>
        <v/>
      </c>
      <c r="AA165" t="str">
        <f>IF(K165="","",IF(K165&lt;Setup!$C$5-Setup!$C$6,"",IF(IF(ISNUMBER(Roster!$D165),Setup!$C$29&lt;=Roster!$D165,FALSE),"",IF(OR(IF(Setup!$C$15&lt;=Setup!$C$16,AND(MONTH(K165)&gt;=Setup!$C$15,MONTH(K165)&lt;=Setup!$C$16),OR(MONTH(K165)&gt;=Setup!$C$15,MONTH(K165)&lt;=Setup!$C$16)),IF(Setup!$C$15&lt;=Setup!$C$16,AND(MONTH(WORKDAY(K165,-(Setup!$C$13+Setup!$G$29),Setup!$C$39:$C$50))&gt;=Setup!$C$15,MONTH(WORKDAY(K165,-(Setup!$C$13+Setup!$G$29),Setup!$C$39:$C$50))&lt;=Setup!$C$16),OR(MONTH(WORKDAY(K165,-(Setup!$C$13+Setup!$G$29),Setup!$C$39:$C$50))&gt;=Setup!$C$15,MONTH(WORKDAY(K165,-(Setup!$C$13+Setup!$G$29),Setup!$C$39:$C$50))&lt;=Setup!$C$16))),WORKDAY(K165,-(Setup!$C$13+Setup!$G$29+Setup!$C$14),Setup!$C$39:$C$50),WORKDAY(K165,-(Setup!$C$13+Setup!$G$29),Setup!$C$39:$C$50))+(160*100+10)/10000000)))</f>
        <v/>
      </c>
      <c r="AB165" t="str">
        <f>IF(L165="","",IF(L165&lt;Setup!$C$5-Setup!$C$6,"",IF(IF(ISNUMBER(Roster!$D165),Setup!$C$30&lt;=Roster!$D165,FALSE),"",IF(OR(IF(Setup!$C$15&lt;=Setup!$C$16,AND(MONTH(L165)&gt;=Setup!$C$15,MONTH(L165)&lt;=Setup!$C$16),OR(MONTH(L165)&gt;=Setup!$C$15,MONTH(L165)&lt;=Setup!$C$16)),IF(Setup!$C$15&lt;=Setup!$C$16,AND(MONTH(WORKDAY(L165,-(Setup!$C$13+Setup!$G$30),Setup!$C$39:$C$50))&gt;=Setup!$C$15,MONTH(WORKDAY(L165,-(Setup!$C$13+Setup!$G$30),Setup!$C$39:$C$50))&lt;=Setup!$C$16),OR(MONTH(WORKDAY(L165,-(Setup!$C$13+Setup!$G$30),Setup!$C$39:$C$50))&gt;=Setup!$C$15,MONTH(WORKDAY(L165,-(Setup!$C$13+Setup!$G$30),Setup!$C$39:$C$50))&lt;=Setup!$C$16))),WORKDAY(L165,-(Setup!$C$13+Setup!$G$30+Setup!$C$14),Setup!$C$39:$C$50),WORKDAY(L165,-(Setup!$C$13+Setup!$G$30),Setup!$C$39:$C$50))+(160*100+11)/10000000)))</f>
        <v/>
      </c>
      <c r="AC165" t="str">
        <f>IF(M165="","",IF(M165&lt;Setup!$C$5-Setup!$C$6,"",IF(IF(ISNUMBER(Roster!$D165),Setup!$C$31&lt;=Roster!$D165,FALSE),"",IF(OR(IF(Setup!$C$15&lt;=Setup!$C$16,AND(MONTH(M165)&gt;=Setup!$C$15,MONTH(M165)&lt;=Setup!$C$16),OR(MONTH(M165)&gt;=Setup!$C$15,MONTH(M165)&lt;=Setup!$C$16)),IF(Setup!$C$15&lt;=Setup!$C$16,AND(MONTH(WORKDAY(M165,-(Setup!$C$13+Setup!$G$31),Setup!$C$39:$C$50))&gt;=Setup!$C$15,MONTH(WORKDAY(M165,-(Setup!$C$13+Setup!$G$31),Setup!$C$39:$C$50))&lt;=Setup!$C$16),OR(MONTH(WORKDAY(M165,-(Setup!$C$13+Setup!$G$31),Setup!$C$39:$C$50))&gt;=Setup!$C$15,MONTH(WORKDAY(M165,-(Setup!$C$13+Setup!$G$31),Setup!$C$39:$C$50))&lt;=Setup!$C$16))),WORKDAY(M165,-(Setup!$C$13+Setup!$G$31+Setup!$C$14),Setup!$C$39:$C$50),WORKDAY(M165,-(Setup!$C$13+Setup!$G$31),Setup!$C$39:$C$50))+(160*100+12)/10000000)))</f>
        <v/>
      </c>
      <c r="AD165" t="str">
        <f>IF(N165="","",IF(N165&lt;Setup!$C$5-Setup!$C$6,"",IF(IF(ISNUMBER(Roster!$D165),Setup!$C$32&lt;=Roster!$D165,FALSE),"",IF(OR(IF(Setup!$C$15&lt;=Setup!$C$16,AND(MONTH(N165)&gt;=Setup!$C$15,MONTH(N165)&lt;=Setup!$C$16),OR(MONTH(N165)&gt;=Setup!$C$15,MONTH(N165)&lt;=Setup!$C$16)),IF(Setup!$C$15&lt;=Setup!$C$16,AND(MONTH(WORKDAY(N165,-(Setup!$C$13+Setup!$G$32),Setup!$C$39:$C$50))&gt;=Setup!$C$15,MONTH(WORKDAY(N165,-(Setup!$C$13+Setup!$G$32),Setup!$C$39:$C$50))&lt;=Setup!$C$16),OR(MONTH(WORKDAY(N165,-(Setup!$C$13+Setup!$G$32),Setup!$C$39:$C$50))&gt;=Setup!$C$15,MONTH(WORKDAY(N165,-(Setup!$C$13+Setup!$G$32),Setup!$C$39:$C$50))&lt;=Setup!$C$16))),WORKDAY(N165,-(Setup!$C$13+Setup!$G$32+Setup!$C$14),Setup!$C$39:$C$50),WORKDAY(N165,-(Setup!$C$13+Setup!$G$32),Setup!$C$39:$C$50))+(160*100+13)/10000000)))</f>
        <v/>
      </c>
      <c r="AE165" t="str">
        <f>IF(O165="","",IF(O165&lt;Setup!$C$5-Setup!$C$6,"",IF(IF(ISNUMBER(Roster!$D165),Setup!$C$33&lt;=Roster!$D165,FALSE),"",IF(OR(IF(Setup!$C$15&lt;=Setup!$C$16,AND(MONTH(O165)&gt;=Setup!$C$15,MONTH(O165)&lt;=Setup!$C$16),OR(MONTH(O165)&gt;=Setup!$C$15,MONTH(O165)&lt;=Setup!$C$16)),IF(Setup!$C$15&lt;=Setup!$C$16,AND(MONTH(WORKDAY(O165,-(Setup!$C$13+Setup!$G$33),Setup!$C$39:$C$50))&gt;=Setup!$C$15,MONTH(WORKDAY(O165,-(Setup!$C$13+Setup!$G$33),Setup!$C$39:$C$50))&lt;=Setup!$C$16),OR(MONTH(WORKDAY(O165,-(Setup!$C$13+Setup!$G$33),Setup!$C$39:$C$50))&gt;=Setup!$C$15,MONTH(WORKDAY(O165,-(Setup!$C$13+Setup!$G$33),Setup!$C$39:$C$50))&lt;=Setup!$C$16))),WORKDAY(O165,-(Setup!$C$13+Setup!$G$33+Setup!$C$14),Setup!$C$39:$C$50),WORKDAY(O165,-(Setup!$C$13+Setup!$G$33),Setup!$C$39:$C$50))+(160*100+14)/10000000)))</f>
        <v/>
      </c>
      <c r="AF165" t="str">
        <f>IF(P165="","",IF(P165&lt;Setup!$C$5-Setup!$C$6,"",IF(IF(ISNUMBER(Roster!$D165),Setup!$C$34&lt;=Roster!$D165,FALSE),"",IF(OR(IF(Setup!$C$15&lt;=Setup!$C$16,AND(MONTH(P165)&gt;=Setup!$C$15,MONTH(P165)&lt;=Setup!$C$16),OR(MONTH(P165)&gt;=Setup!$C$15,MONTH(P165)&lt;=Setup!$C$16)),IF(Setup!$C$15&lt;=Setup!$C$16,AND(MONTH(WORKDAY(P165,-(Setup!$C$13+Setup!$G$34),Setup!$C$39:$C$50))&gt;=Setup!$C$15,MONTH(WORKDAY(P165,-(Setup!$C$13+Setup!$G$34),Setup!$C$39:$C$50))&lt;=Setup!$C$16),OR(MONTH(WORKDAY(P165,-(Setup!$C$13+Setup!$G$34),Setup!$C$39:$C$50))&gt;=Setup!$C$15,MONTH(WORKDAY(P165,-(Setup!$C$13+Setup!$G$34),Setup!$C$39:$C$50))&lt;=Setup!$C$16))),WORKDAY(P165,-(Setup!$C$13+Setup!$G$34+Setup!$C$14),Setup!$C$39:$C$50),WORKDAY(P165,-(Setup!$C$13+Setup!$G$34),Setup!$C$39:$C$50))+(160*100+15)/10000000)))</f>
        <v/>
      </c>
      <c r="AH165" t="str">
        <f t="shared" si="17"/>
        <v/>
      </c>
      <c r="AI165" t="str">
        <f t="shared" si="18"/>
        <v/>
      </c>
      <c r="AK165" t="str">
        <f ca="1">IF(160&gt;$AK$2,"",SMALL($R$6:$AF$505,160))</f>
        <v/>
      </c>
      <c r="AL165" t="str">
        <f t="shared" ca="1" si="19"/>
        <v/>
      </c>
      <c r="AM165" t="str">
        <f t="shared" ca="1" si="20"/>
        <v/>
      </c>
      <c r="AN165" t="str">
        <f t="shared" ca="1" si="21"/>
        <v/>
      </c>
      <c r="AP165" t="str">
        <f>IF(ISNUMBER(Roster!$B165),MAX(1,YEAR(Setup!$C$5)-YEAR(Roster!$B165)+IF(EDATE(Roster!$B165,12*(YEAR(Setup!$C$5)-YEAR(Roster!$B165)))&lt;Setup!$C$5,1,0)),"")</f>
        <v/>
      </c>
      <c r="AQ165" s="32" t="str">
        <f>IF(AP165="","",EDATE(Roster!$B165,12*AP165))</f>
        <v/>
      </c>
      <c r="AR165" t="str">
        <f>IF(AQ165="","",IF(AQ165&lt;DATE(YEAR(Setup!$C$5)+1,MONTH(Setup!$C$5),DAY(Setup!$C$5)),AQ165+160/1000,""))</f>
        <v/>
      </c>
      <c r="AS165" t="str">
        <f t="shared" si="22"/>
        <v/>
      </c>
      <c r="AT165" t="str">
        <f>IF(AS165="","",IF(ISNUMBER(Roster!$D165),Roster!$D165&gt;=AP165,FALSE))</f>
        <v/>
      </c>
      <c r="AU165" t="str">
        <f t="shared" si="23"/>
        <v/>
      </c>
      <c r="AV165" t="str">
        <f ca="1">IF(160&gt;$AV$2,"",SMALL($AR$6:$AR$505,160))</f>
        <v/>
      </c>
      <c r="AW165" t="str">
        <f t="shared" ca="1" si="24"/>
        <v/>
      </c>
    </row>
    <row r="166" spans="2:49" x14ac:dyDescent="0.2">
      <c r="B166" s="32" t="str">
        <f>IF(AND(ISNUMBER(Roster!$B166),Setup!$B$20="Yes",ISNUMBER(Setup!$C$20)),EDATE(Roster!$B166,12*Setup!$C$20),"")</f>
        <v/>
      </c>
      <c r="C166" s="32" t="str">
        <f>IF(AND(ISNUMBER(Roster!$B166),Setup!$B$21="Yes",ISNUMBER(Setup!$C$21)),EDATE(Roster!$B166,12*Setup!$C$21),"")</f>
        <v/>
      </c>
      <c r="D166" s="32" t="str">
        <f>IF(AND(ISNUMBER(Roster!$B166),Setup!$B$22="Yes",ISNUMBER(Setup!$C$22)),EDATE(Roster!$B166,12*Setup!$C$22),"")</f>
        <v/>
      </c>
      <c r="E166" s="32" t="str">
        <f>IF(AND(ISNUMBER(Roster!$B166),Setup!$B$23="Yes",ISNUMBER(Setup!$C$23)),EDATE(Roster!$B166,12*Setup!$C$23),"")</f>
        <v/>
      </c>
      <c r="F166" s="32" t="str">
        <f>IF(AND(ISNUMBER(Roster!$B166),Setup!$B$24="Yes",ISNUMBER(Setup!$C$24)),EDATE(Roster!$B166,12*Setup!$C$24),"")</f>
        <v/>
      </c>
      <c r="G166" s="32" t="str">
        <f>IF(AND(ISNUMBER(Roster!$B166),Setup!$B$25="Yes",ISNUMBER(Setup!$C$25)),EDATE(Roster!$B166,12*Setup!$C$25),"")</f>
        <v/>
      </c>
      <c r="H166" s="32" t="str">
        <f>IF(AND(ISNUMBER(Roster!$B166),Setup!$B$26="Yes",ISNUMBER(Setup!$C$26)),EDATE(Roster!$B166,12*Setup!$C$26),"")</f>
        <v/>
      </c>
      <c r="I166" s="32" t="str">
        <f>IF(AND(ISNUMBER(Roster!$B166),Setup!$B$27="Yes",ISNUMBER(Setup!$C$27)),EDATE(Roster!$B166,12*Setup!$C$27),"")</f>
        <v/>
      </c>
      <c r="J166" s="32" t="str">
        <f>IF(AND(ISNUMBER(Roster!$B166),Setup!$B$28="Yes",ISNUMBER(Setup!$C$28)),EDATE(Roster!$B166,12*Setup!$C$28),"")</f>
        <v/>
      </c>
      <c r="K166" s="32" t="str">
        <f>IF(AND(ISNUMBER(Roster!$B166),Setup!$B$29="Yes",ISNUMBER(Setup!$C$29)),EDATE(Roster!$B166,12*Setup!$C$29),"")</f>
        <v/>
      </c>
      <c r="L166" s="32" t="str">
        <f>IF(AND(ISNUMBER(Roster!$B166),Setup!$B$30="Yes",ISNUMBER(Setup!$C$30)),EDATE(Roster!$B166,12*Setup!$C$30),"")</f>
        <v/>
      </c>
      <c r="M166" s="32" t="str">
        <f>IF(AND(ISNUMBER(Roster!$B166),Setup!$B$31="Yes",ISNUMBER(Setup!$C$31)),EDATE(Roster!$B166,12*Setup!$C$31),"")</f>
        <v/>
      </c>
      <c r="N166" s="32" t="str">
        <f>IF(AND(ISNUMBER(Roster!$B166),Setup!$B$32="Yes",ISNUMBER(Setup!$C$32)),EDATE(Roster!$B166,12*Setup!$C$32),"")</f>
        <v/>
      </c>
      <c r="O166" s="32" t="str">
        <f>IF(AND(ISNUMBER(Roster!$B166),Setup!$B$33="Yes",ISNUMBER(Setup!$C$33)),EDATE(Roster!$B166,12*Setup!$C$33),"")</f>
        <v/>
      </c>
      <c r="P166" s="32" t="str">
        <f>IF(AND(ISNUMBER(Roster!$B166),Setup!$B$34="Yes",ISNUMBER(Setup!$C$34)),EDATE(Roster!$B166,12*Setup!$C$34),"")</f>
        <v/>
      </c>
      <c r="R166" t="str">
        <f>IF(B166="","",IF(B166&lt;Setup!$C$5-Setup!$C$6,"",IF(IF(ISNUMBER(Roster!$D166),Setup!$C$20&lt;=Roster!$D166,FALSE),"",IF(OR(IF(Setup!$C$15&lt;=Setup!$C$16,AND(MONTH(B166)&gt;=Setup!$C$15,MONTH(B166)&lt;=Setup!$C$16),OR(MONTH(B166)&gt;=Setup!$C$15,MONTH(B166)&lt;=Setup!$C$16)),IF(Setup!$C$15&lt;=Setup!$C$16,AND(MONTH(WORKDAY(B166,-(Setup!$C$13+Setup!$G$20),Setup!$C$39:$C$50))&gt;=Setup!$C$15,MONTH(WORKDAY(B166,-(Setup!$C$13+Setup!$G$20),Setup!$C$39:$C$50))&lt;=Setup!$C$16),OR(MONTH(WORKDAY(B166,-(Setup!$C$13+Setup!$G$20),Setup!$C$39:$C$50))&gt;=Setup!$C$15,MONTH(WORKDAY(B166,-(Setup!$C$13+Setup!$G$20),Setup!$C$39:$C$50))&lt;=Setup!$C$16))),WORKDAY(B166,-(Setup!$C$13+Setup!$G$20+Setup!$C$14),Setup!$C$39:$C$50),WORKDAY(B166,-(Setup!$C$13+Setup!$G$20),Setup!$C$39:$C$50))+(161*100+1)/10000000)))</f>
        <v/>
      </c>
      <c r="S166" t="str">
        <f>IF(C166="","",IF(C166&lt;Setup!$C$5-Setup!$C$6,"",IF(IF(ISNUMBER(Roster!$D166),Setup!$C$21&lt;=Roster!$D166,FALSE),"",IF(OR(IF(Setup!$C$15&lt;=Setup!$C$16,AND(MONTH(C166)&gt;=Setup!$C$15,MONTH(C166)&lt;=Setup!$C$16),OR(MONTH(C166)&gt;=Setup!$C$15,MONTH(C166)&lt;=Setup!$C$16)),IF(Setup!$C$15&lt;=Setup!$C$16,AND(MONTH(WORKDAY(C166,-(Setup!$C$13+Setup!$G$21),Setup!$C$39:$C$50))&gt;=Setup!$C$15,MONTH(WORKDAY(C166,-(Setup!$C$13+Setup!$G$21),Setup!$C$39:$C$50))&lt;=Setup!$C$16),OR(MONTH(WORKDAY(C166,-(Setup!$C$13+Setup!$G$21),Setup!$C$39:$C$50))&gt;=Setup!$C$15,MONTH(WORKDAY(C166,-(Setup!$C$13+Setup!$G$21),Setup!$C$39:$C$50))&lt;=Setup!$C$16))),WORKDAY(C166,-(Setup!$C$13+Setup!$G$21+Setup!$C$14),Setup!$C$39:$C$50),WORKDAY(C166,-(Setup!$C$13+Setup!$G$21),Setup!$C$39:$C$50))+(161*100+2)/10000000)))</f>
        <v/>
      </c>
      <c r="T166" t="str">
        <f>IF(D166="","",IF(D166&lt;Setup!$C$5-Setup!$C$6,"",IF(IF(ISNUMBER(Roster!$D166),Setup!$C$22&lt;=Roster!$D166,FALSE),"",IF(OR(IF(Setup!$C$15&lt;=Setup!$C$16,AND(MONTH(D166)&gt;=Setup!$C$15,MONTH(D166)&lt;=Setup!$C$16),OR(MONTH(D166)&gt;=Setup!$C$15,MONTH(D166)&lt;=Setup!$C$16)),IF(Setup!$C$15&lt;=Setup!$C$16,AND(MONTH(WORKDAY(D166,-(Setup!$C$13+Setup!$G$22),Setup!$C$39:$C$50))&gt;=Setup!$C$15,MONTH(WORKDAY(D166,-(Setup!$C$13+Setup!$G$22),Setup!$C$39:$C$50))&lt;=Setup!$C$16),OR(MONTH(WORKDAY(D166,-(Setup!$C$13+Setup!$G$22),Setup!$C$39:$C$50))&gt;=Setup!$C$15,MONTH(WORKDAY(D166,-(Setup!$C$13+Setup!$G$22),Setup!$C$39:$C$50))&lt;=Setup!$C$16))),WORKDAY(D166,-(Setup!$C$13+Setup!$G$22+Setup!$C$14),Setup!$C$39:$C$50),WORKDAY(D166,-(Setup!$C$13+Setup!$G$22),Setup!$C$39:$C$50))+(161*100+3)/10000000)))</f>
        <v/>
      </c>
      <c r="U166" t="str">
        <f>IF(E166="","",IF(E166&lt;Setup!$C$5-Setup!$C$6,"",IF(IF(ISNUMBER(Roster!$D166),Setup!$C$23&lt;=Roster!$D166,FALSE),"",IF(OR(IF(Setup!$C$15&lt;=Setup!$C$16,AND(MONTH(E166)&gt;=Setup!$C$15,MONTH(E166)&lt;=Setup!$C$16),OR(MONTH(E166)&gt;=Setup!$C$15,MONTH(E166)&lt;=Setup!$C$16)),IF(Setup!$C$15&lt;=Setup!$C$16,AND(MONTH(WORKDAY(E166,-(Setup!$C$13+Setup!$G$23),Setup!$C$39:$C$50))&gt;=Setup!$C$15,MONTH(WORKDAY(E166,-(Setup!$C$13+Setup!$G$23),Setup!$C$39:$C$50))&lt;=Setup!$C$16),OR(MONTH(WORKDAY(E166,-(Setup!$C$13+Setup!$G$23),Setup!$C$39:$C$50))&gt;=Setup!$C$15,MONTH(WORKDAY(E166,-(Setup!$C$13+Setup!$G$23),Setup!$C$39:$C$50))&lt;=Setup!$C$16))),WORKDAY(E166,-(Setup!$C$13+Setup!$G$23+Setup!$C$14),Setup!$C$39:$C$50),WORKDAY(E166,-(Setup!$C$13+Setup!$G$23),Setup!$C$39:$C$50))+(161*100+4)/10000000)))</f>
        <v/>
      </c>
      <c r="V166" t="str">
        <f>IF(F166="","",IF(F166&lt;Setup!$C$5-Setup!$C$6,"",IF(IF(ISNUMBER(Roster!$D166),Setup!$C$24&lt;=Roster!$D166,FALSE),"",IF(OR(IF(Setup!$C$15&lt;=Setup!$C$16,AND(MONTH(F166)&gt;=Setup!$C$15,MONTH(F166)&lt;=Setup!$C$16),OR(MONTH(F166)&gt;=Setup!$C$15,MONTH(F166)&lt;=Setup!$C$16)),IF(Setup!$C$15&lt;=Setup!$C$16,AND(MONTH(WORKDAY(F166,-(Setup!$C$13+Setup!$G$24),Setup!$C$39:$C$50))&gt;=Setup!$C$15,MONTH(WORKDAY(F166,-(Setup!$C$13+Setup!$G$24),Setup!$C$39:$C$50))&lt;=Setup!$C$16),OR(MONTH(WORKDAY(F166,-(Setup!$C$13+Setup!$G$24),Setup!$C$39:$C$50))&gt;=Setup!$C$15,MONTH(WORKDAY(F166,-(Setup!$C$13+Setup!$G$24),Setup!$C$39:$C$50))&lt;=Setup!$C$16))),WORKDAY(F166,-(Setup!$C$13+Setup!$G$24+Setup!$C$14),Setup!$C$39:$C$50),WORKDAY(F166,-(Setup!$C$13+Setup!$G$24),Setup!$C$39:$C$50))+(161*100+5)/10000000)))</f>
        <v/>
      </c>
      <c r="W166" t="str">
        <f>IF(G166="","",IF(G166&lt;Setup!$C$5-Setup!$C$6,"",IF(IF(ISNUMBER(Roster!$D166),Setup!$C$25&lt;=Roster!$D166,FALSE),"",IF(OR(IF(Setup!$C$15&lt;=Setup!$C$16,AND(MONTH(G166)&gt;=Setup!$C$15,MONTH(G166)&lt;=Setup!$C$16),OR(MONTH(G166)&gt;=Setup!$C$15,MONTH(G166)&lt;=Setup!$C$16)),IF(Setup!$C$15&lt;=Setup!$C$16,AND(MONTH(WORKDAY(G166,-(Setup!$C$13+Setup!$G$25),Setup!$C$39:$C$50))&gt;=Setup!$C$15,MONTH(WORKDAY(G166,-(Setup!$C$13+Setup!$G$25),Setup!$C$39:$C$50))&lt;=Setup!$C$16),OR(MONTH(WORKDAY(G166,-(Setup!$C$13+Setup!$G$25),Setup!$C$39:$C$50))&gt;=Setup!$C$15,MONTH(WORKDAY(G166,-(Setup!$C$13+Setup!$G$25),Setup!$C$39:$C$50))&lt;=Setup!$C$16))),WORKDAY(G166,-(Setup!$C$13+Setup!$G$25+Setup!$C$14),Setup!$C$39:$C$50),WORKDAY(G166,-(Setup!$C$13+Setup!$G$25),Setup!$C$39:$C$50))+(161*100+6)/10000000)))</f>
        <v/>
      </c>
      <c r="X166" t="str">
        <f>IF(H166="","",IF(H166&lt;Setup!$C$5-Setup!$C$6,"",IF(IF(ISNUMBER(Roster!$D166),Setup!$C$26&lt;=Roster!$D166,FALSE),"",IF(OR(IF(Setup!$C$15&lt;=Setup!$C$16,AND(MONTH(H166)&gt;=Setup!$C$15,MONTH(H166)&lt;=Setup!$C$16),OR(MONTH(H166)&gt;=Setup!$C$15,MONTH(H166)&lt;=Setup!$C$16)),IF(Setup!$C$15&lt;=Setup!$C$16,AND(MONTH(WORKDAY(H166,-(Setup!$C$13+Setup!$G$26),Setup!$C$39:$C$50))&gt;=Setup!$C$15,MONTH(WORKDAY(H166,-(Setup!$C$13+Setup!$G$26),Setup!$C$39:$C$50))&lt;=Setup!$C$16),OR(MONTH(WORKDAY(H166,-(Setup!$C$13+Setup!$G$26),Setup!$C$39:$C$50))&gt;=Setup!$C$15,MONTH(WORKDAY(H166,-(Setup!$C$13+Setup!$G$26),Setup!$C$39:$C$50))&lt;=Setup!$C$16))),WORKDAY(H166,-(Setup!$C$13+Setup!$G$26+Setup!$C$14),Setup!$C$39:$C$50),WORKDAY(H166,-(Setup!$C$13+Setup!$G$26),Setup!$C$39:$C$50))+(161*100+7)/10000000)))</f>
        <v/>
      </c>
      <c r="Y166" t="str">
        <f>IF(I166="","",IF(I166&lt;Setup!$C$5-Setup!$C$6,"",IF(IF(ISNUMBER(Roster!$D166),Setup!$C$27&lt;=Roster!$D166,FALSE),"",IF(OR(IF(Setup!$C$15&lt;=Setup!$C$16,AND(MONTH(I166)&gt;=Setup!$C$15,MONTH(I166)&lt;=Setup!$C$16),OR(MONTH(I166)&gt;=Setup!$C$15,MONTH(I166)&lt;=Setup!$C$16)),IF(Setup!$C$15&lt;=Setup!$C$16,AND(MONTH(WORKDAY(I166,-(Setup!$C$13+Setup!$G$27),Setup!$C$39:$C$50))&gt;=Setup!$C$15,MONTH(WORKDAY(I166,-(Setup!$C$13+Setup!$G$27),Setup!$C$39:$C$50))&lt;=Setup!$C$16),OR(MONTH(WORKDAY(I166,-(Setup!$C$13+Setup!$G$27),Setup!$C$39:$C$50))&gt;=Setup!$C$15,MONTH(WORKDAY(I166,-(Setup!$C$13+Setup!$G$27),Setup!$C$39:$C$50))&lt;=Setup!$C$16))),WORKDAY(I166,-(Setup!$C$13+Setup!$G$27+Setup!$C$14),Setup!$C$39:$C$50),WORKDAY(I166,-(Setup!$C$13+Setup!$G$27),Setup!$C$39:$C$50))+(161*100+8)/10000000)))</f>
        <v/>
      </c>
      <c r="Z166" t="str">
        <f>IF(J166="","",IF(J166&lt;Setup!$C$5-Setup!$C$6,"",IF(IF(ISNUMBER(Roster!$D166),Setup!$C$28&lt;=Roster!$D166,FALSE),"",IF(OR(IF(Setup!$C$15&lt;=Setup!$C$16,AND(MONTH(J166)&gt;=Setup!$C$15,MONTH(J166)&lt;=Setup!$C$16),OR(MONTH(J166)&gt;=Setup!$C$15,MONTH(J166)&lt;=Setup!$C$16)),IF(Setup!$C$15&lt;=Setup!$C$16,AND(MONTH(WORKDAY(J166,-(Setup!$C$13+Setup!$G$28),Setup!$C$39:$C$50))&gt;=Setup!$C$15,MONTH(WORKDAY(J166,-(Setup!$C$13+Setup!$G$28),Setup!$C$39:$C$50))&lt;=Setup!$C$16),OR(MONTH(WORKDAY(J166,-(Setup!$C$13+Setup!$G$28),Setup!$C$39:$C$50))&gt;=Setup!$C$15,MONTH(WORKDAY(J166,-(Setup!$C$13+Setup!$G$28),Setup!$C$39:$C$50))&lt;=Setup!$C$16))),WORKDAY(J166,-(Setup!$C$13+Setup!$G$28+Setup!$C$14),Setup!$C$39:$C$50),WORKDAY(J166,-(Setup!$C$13+Setup!$G$28),Setup!$C$39:$C$50))+(161*100+9)/10000000)))</f>
        <v/>
      </c>
      <c r="AA166" t="str">
        <f>IF(K166="","",IF(K166&lt;Setup!$C$5-Setup!$C$6,"",IF(IF(ISNUMBER(Roster!$D166),Setup!$C$29&lt;=Roster!$D166,FALSE),"",IF(OR(IF(Setup!$C$15&lt;=Setup!$C$16,AND(MONTH(K166)&gt;=Setup!$C$15,MONTH(K166)&lt;=Setup!$C$16),OR(MONTH(K166)&gt;=Setup!$C$15,MONTH(K166)&lt;=Setup!$C$16)),IF(Setup!$C$15&lt;=Setup!$C$16,AND(MONTH(WORKDAY(K166,-(Setup!$C$13+Setup!$G$29),Setup!$C$39:$C$50))&gt;=Setup!$C$15,MONTH(WORKDAY(K166,-(Setup!$C$13+Setup!$G$29),Setup!$C$39:$C$50))&lt;=Setup!$C$16),OR(MONTH(WORKDAY(K166,-(Setup!$C$13+Setup!$G$29),Setup!$C$39:$C$50))&gt;=Setup!$C$15,MONTH(WORKDAY(K166,-(Setup!$C$13+Setup!$G$29),Setup!$C$39:$C$50))&lt;=Setup!$C$16))),WORKDAY(K166,-(Setup!$C$13+Setup!$G$29+Setup!$C$14),Setup!$C$39:$C$50),WORKDAY(K166,-(Setup!$C$13+Setup!$G$29),Setup!$C$39:$C$50))+(161*100+10)/10000000)))</f>
        <v/>
      </c>
      <c r="AB166" t="str">
        <f>IF(L166="","",IF(L166&lt;Setup!$C$5-Setup!$C$6,"",IF(IF(ISNUMBER(Roster!$D166),Setup!$C$30&lt;=Roster!$D166,FALSE),"",IF(OR(IF(Setup!$C$15&lt;=Setup!$C$16,AND(MONTH(L166)&gt;=Setup!$C$15,MONTH(L166)&lt;=Setup!$C$16),OR(MONTH(L166)&gt;=Setup!$C$15,MONTH(L166)&lt;=Setup!$C$16)),IF(Setup!$C$15&lt;=Setup!$C$16,AND(MONTH(WORKDAY(L166,-(Setup!$C$13+Setup!$G$30),Setup!$C$39:$C$50))&gt;=Setup!$C$15,MONTH(WORKDAY(L166,-(Setup!$C$13+Setup!$G$30),Setup!$C$39:$C$50))&lt;=Setup!$C$16),OR(MONTH(WORKDAY(L166,-(Setup!$C$13+Setup!$G$30),Setup!$C$39:$C$50))&gt;=Setup!$C$15,MONTH(WORKDAY(L166,-(Setup!$C$13+Setup!$G$30),Setup!$C$39:$C$50))&lt;=Setup!$C$16))),WORKDAY(L166,-(Setup!$C$13+Setup!$G$30+Setup!$C$14),Setup!$C$39:$C$50),WORKDAY(L166,-(Setup!$C$13+Setup!$G$30),Setup!$C$39:$C$50))+(161*100+11)/10000000)))</f>
        <v/>
      </c>
      <c r="AC166" t="str">
        <f>IF(M166="","",IF(M166&lt;Setup!$C$5-Setup!$C$6,"",IF(IF(ISNUMBER(Roster!$D166),Setup!$C$31&lt;=Roster!$D166,FALSE),"",IF(OR(IF(Setup!$C$15&lt;=Setup!$C$16,AND(MONTH(M166)&gt;=Setup!$C$15,MONTH(M166)&lt;=Setup!$C$16),OR(MONTH(M166)&gt;=Setup!$C$15,MONTH(M166)&lt;=Setup!$C$16)),IF(Setup!$C$15&lt;=Setup!$C$16,AND(MONTH(WORKDAY(M166,-(Setup!$C$13+Setup!$G$31),Setup!$C$39:$C$50))&gt;=Setup!$C$15,MONTH(WORKDAY(M166,-(Setup!$C$13+Setup!$G$31),Setup!$C$39:$C$50))&lt;=Setup!$C$16),OR(MONTH(WORKDAY(M166,-(Setup!$C$13+Setup!$G$31),Setup!$C$39:$C$50))&gt;=Setup!$C$15,MONTH(WORKDAY(M166,-(Setup!$C$13+Setup!$G$31),Setup!$C$39:$C$50))&lt;=Setup!$C$16))),WORKDAY(M166,-(Setup!$C$13+Setup!$G$31+Setup!$C$14),Setup!$C$39:$C$50),WORKDAY(M166,-(Setup!$C$13+Setup!$G$31),Setup!$C$39:$C$50))+(161*100+12)/10000000)))</f>
        <v/>
      </c>
      <c r="AD166" t="str">
        <f>IF(N166="","",IF(N166&lt;Setup!$C$5-Setup!$C$6,"",IF(IF(ISNUMBER(Roster!$D166),Setup!$C$32&lt;=Roster!$D166,FALSE),"",IF(OR(IF(Setup!$C$15&lt;=Setup!$C$16,AND(MONTH(N166)&gt;=Setup!$C$15,MONTH(N166)&lt;=Setup!$C$16),OR(MONTH(N166)&gt;=Setup!$C$15,MONTH(N166)&lt;=Setup!$C$16)),IF(Setup!$C$15&lt;=Setup!$C$16,AND(MONTH(WORKDAY(N166,-(Setup!$C$13+Setup!$G$32),Setup!$C$39:$C$50))&gt;=Setup!$C$15,MONTH(WORKDAY(N166,-(Setup!$C$13+Setup!$G$32),Setup!$C$39:$C$50))&lt;=Setup!$C$16),OR(MONTH(WORKDAY(N166,-(Setup!$C$13+Setup!$G$32),Setup!$C$39:$C$50))&gt;=Setup!$C$15,MONTH(WORKDAY(N166,-(Setup!$C$13+Setup!$G$32),Setup!$C$39:$C$50))&lt;=Setup!$C$16))),WORKDAY(N166,-(Setup!$C$13+Setup!$G$32+Setup!$C$14),Setup!$C$39:$C$50),WORKDAY(N166,-(Setup!$C$13+Setup!$G$32),Setup!$C$39:$C$50))+(161*100+13)/10000000)))</f>
        <v/>
      </c>
      <c r="AE166" t="str">
        <f>IF(O166="","",IF(O166&lt;Setup!$C$5-Setup!$C$6,"",IF(IF(ISNUMBER(Roster!$D166),Setup!$C$33&lt;=Roster!$D166,FALSE),"",IF(OR(IF(Setup!$C$15&lt;=Setup!$C$16,AND(MONTH(O166)&gt;=Setup!$C$15,MONTH(O166)&lt;=Setup!$C$16),OR(MONTH(O166)&gt;=Setup!$C$15,MONTH(O166)&lt;=Setup!$C$16)),IF(Setup!$C$15&lt;=Setup!$C$16,AND(MONTH(WORKDAY(O166,-(Setup!$C$13+Setup!$G$33),Setup!$C$39:$C$50))&gt;=Setup!$C$15,MONTH(WORKDAY(O166,-(Setup!$C$13+Setup!$G$33),Setup!$C$39:$C$50))&lt;=Setup!$C$16),OR(MONTH(WORKDAY(O166,-(Setup!$C$13+Setup!$G$33),Setup!$C$39:$C$50))&gt;=Setup!$C$15,MONTH(WORKDAY(O166,-(Setup!$C$13+Setup!$G$33),Setup!$C$39:$C$50))&lt;=Setup!$C$16))),WORKDAY(O166,-(Setup!$C$13+Setup!$G$33+Setup!$C$14),Setup!$C$39:$C$50),WORKDAY(O166,-(Setup!$C$13+Setup!$G$33),Setup!$C$39:$C$50))+(161*100+14)/10000000)))</f>
        <v/>
      </c>
      <c r="AF166" t="str">
        <f>IF(P166="","",IF(P166&lt;Setup!$C$5-Setup!$C$6,"",IF(IF(ISNUMBER(Roster!$D166),Setup!$C$34&lt;=Roster!$D166,FALSE),"",IF(OR(IF(Setup!$C$15&lt;=Setup!$C$16,AND(MONTH(P166)&gt;=Setup!$C$15,MONTH(P166)&lt;=Setup!$C$16),OR(MONTH(P166)&gt;=Setup!$C$15,MONTH(P166)&lt;=Setup!$C$16)),IF(Setup!$C$15&lt;=Setup!$C$16,AND(MONTH(WORKDAY(P166,-(Setup!$C$13+Setup!$G$34),Setup!$C$39:$C$50))&gt;=Setup!$C$15,MONTH(WORKDAY(P166,-(Setup!$C$13+Setup!$G$34),Setup!$C$39:$C$50))&lt;=Setup!$C$16),OR(MONTH(WORKDAY(P166,-(Setup!$C$13+Setup!$G$34),Setup!$C$39:$C$50))&gt;=Setup!$C$15,MONTH(WORKDAY(P166,-(Setup!$C$13+Setup!$G$34),Setup!$C$39:$C$50))&lt;=Setup!$C$16))),WORKDAY(P166,-(Setup!$C$13+Setup!$G$34+Setup!$C$14),Setup!$C$39:$C$50),WORKDAY(P166,-(Setup!$C$13+Setup!$G$34),Setup!$C$39:$C$50))+(161*100+15)/10000000)))</f>
        <v/>
      </c>
      <c r="AH166" t="str">
        <f t="shared" si="17"/>
        <v/>
      </c>
      <c r="AI166" t="str">
        <f t="shared" si="18"/>
        <v/>
      </c>
      <c r="AK166" t="str">
        <f ca="1">IF(161&gt;$AK$2,"",SMALL($R$6:$AF$505,161))</f>
        <v/>
      </c>
      <c r="AL166" t="str">
        <f t="shared" ca="1" si="19"/>
        <v/>
      </c>
      <c r="AM166" t="str">
        <f t="shared" ca="1" si="20"/>
        <v/>
      </c>
      <c r="AN166" t="str">
        <f t="shared" ca="1" si="21"/>
        <v/>
      </c>
      <c r="AP166" t="str">
        <f>IF(ISNUMBER(Roster!$B166),MAX(1,YEAR(Setup!$C$5)-YEAR(Roster!$B166)+IF(EDATE(Roster!$B166,12*(YEAR(Setup!$C$5)-YEAR(Roster!$B166)))&lt;Setup!$C$5,1,0)),"")</f>
        <v/>
      </c>
      <c r="AQ166" s="32" t="str">
        <f>IF(AP166="","",EDATE(Roster!$B166,12*AP166))</f>
        <v/>
      </c>
      <c r="AR166" t="str">
        <f>IF(AQ166="","",IF(AQ166&lt;DATE(YEAR(Setup!$C$5)+1,MONTH(Setup!$C$5),DAY(Setup!$C$5)),AQ166+161/1000,""))</f>
        <v/>
      </c>
      <c r="AS166" t="str">
        <f t="shared" si="22"/>
        <v/>
      </c>
      <c r="AT166" t="str">
        <f>IF(AS166="","",IF(ISNUMBER(Roster!$D166),Roster!$D166&gt;=AP166,FALSE))</f>
        <v/>
      </c>
      <c r="AU166" t="str">
        <f t="shared" si="23"/>
        <v/>
      </c>
      <c r="AV166" t="str">
        <f ca="1">IF(161&gt;$AV$2,"",SMALL($AR$6:$AR$505,161))</f>
        <v/>
      </c>
      <c r="AW166" t="str">
        <f t="shared" ca="1" si="24"/>
        <v/>
      </c>
    </row>
    <row r="167" spans="2:49" x14ac:dyDescent="0.2">
      <c r="B167" s="32" t="str">
        <f>IF(AND(ISNUMBER(Roster!$B167),Setup!$B$20="Yes",ISNUMBER(Setup!$C$20)),EDATE(Roster!$B167,12*Setup!$C$20),"")</f>
        <v/>
      </c>
      <c r="C167" s="32" t="str">
        <f>IF(AND(ISNUMBER(Roster!$B167),Setup!$B$21="Yes",ISNUMBER(Setup!$C$21)),EDATE(Roster!$B167,12*Setup!$C$21),"")</f>
        <v/>
      </c>
      <c r="D167" s="32" t="str">
        <f>IF(AND(ISNUMBER(Roster!$B167),Setup!$B$22="Yes",ISNUMBER(Setup!$C$22)),EDATE(Roster!$B167,12*Setup!$C$22),"")</f>
        <v/>
      </c>
      <c r="E167" s="32" t="str">
        <f>IF(AND(ISNUMBER(Roster!$B167),Setup!$B$23="Yes",ISNUMBER(Setup!$C$23)),EDATE(Roster!$B167,12*Setup!$C$23),"")</f>
        <v/>
      </c>
      <c r="F167" s="32" t="str">
        <f>IF(AND(ISNUMBER(Roster!$B167),Setup!$B$24="Yes",ISNUMBER(Setup!$C$24)),EDATE(Roster!$B167,12*Setup!$C$24),"")</f>
        <v/>
      </c>
      <c r="G167" s="32" t="str">
        <f>IF(AND(ISNUMBER(Roster!$B167),Setup!$B$25="Yes",ISNUMBER(Setup!$C$25)),EDATE(Roster!$B167,12*Setup!$C$25),"")</f>
        <v/>
      </c>
      <c r="H167" s="32" t="str">
        <f>IF(AND(ISNUMBER(Roster!$B167),Setup!$B$26="Yes",ISNUMBER(Setup!$C$26)),EDATE(Roster!$B167,12*Setup!$C$26),"")</f>
        <v/>
      </c>
      <c r="I167" s="32" t="str">
        <f>IF(AND(ISNUMBER(Roster!$B167),Setup!$B$27="Yes",ISNUMBER(Setup!$C$27)),EDATE(Roster!$B167,12*Setup!$C$27),"")</f>
        <v/>
      </c>
      <c r="J167" s="32" t="str">
        <f>IF(AND(ISNUMBER(Roster!$B167),Setup!$B$28="Yes",ISNUMBER(Setup!$C$28)),EDATE(Roster!$B167,12*Setup!$C$28),"")</f>
        <v/>
      </c>
      <c r="K167" s="32" t="str">
        <f>IF(AND(ISNUMBER(Roster!$B167),Setup!$B$29="Yes",ISNUMBER(Setup!$C$29)),EDATE(Roster!$B167,12*Setup!$C$29),"")</f>
        <v/>
      </c>
      <c r="L167" s="32" t="str">
        <f>IF(AND(ISNUMBER(Roster!$B167),Setup!$B$30="Yes",ISNUMBER(Setup!$C$30)),EDATE(Roster!$B167,12*Setup!$C$30),"")</f>
        <v/>
      </c>
      <c r="M167" s="32" t="str">
        <f>IF(AND(ISNUMBER(Roster!$B167),Setup!$B$31="Yes",ISNUMBER(Setup!$C$31)),EDATE(Roster!$B167,12*Setup!$C$31),"")</f>
        <v/>
      </c>
      <c r="N167" s="32" t="str">
        <f>IF(AND(ISNUMBER(Roster!$B167),Setup!$B$32="Yes",ISNUMBER(Setup!$C$32)),EDATE(Roster!$B167,12*Setup!$C$32),"")</f>
        <v/>
      </c>
      <c r="O167" s="32" t="str">
        <f>IF(AND(ISNUMBER(Roster!$B167),Setup!$B$33="Yes",ISNUMBER(Setup!$C$33)),EDATE(Roster!$B167,12*Setup!$C$33),"")</f>
        <v/>
      </c>
      <c r="P167" s="32" t="str">
        <f>IF(AND(ISNUMBER(Roster!$B167),Setup!$B$34="Yes",ISNUMBER(Setup!$C$34)),EDATE(Roster!$B167,12*Setup!$C$34),"")</f>
        <v/>
      </c>
      <c r="R167" t="str">
        <f>IF(B167="","",IF(B167&lt;Setup!$C$5-Setup!$C$6,"",IF(IF(ISNUMBER(Roster!$D167),Setup!$C$20&lt;=Roster!$D167,FALSE),"",IF(OR(IF(Setup!$C$15&lt;=Setup!$C$16,AND(MONTH(B167)&gt;=Setup!$C$15,MONTH(B167)&lt;=Setup!$C$16),OR(MONTH(B167)&gt;=Setup!$C$15,MONTH(B167)&lt;=Setup!$C$16)),IF(Setup!$C$15&lt;=Setup!$C$16,AND(MONTH(WORKDAY(B167,-(Setup!$C$13+Setup!$G$20),Setup!$C$39:$C$50))&gt;=Setup!$C$15,MONTH(WORKDAY(B167,-(Setup!$C$13+Setup!$G$20),Setup!$C$39:$C$50))&lt;=Setup!$C$16),OR(MONTH(WORKDAY(B167,-(Setup!$C$13+Setup!$G$20),Setup!$C$39:$C$50))&gt;=Setup!$C$15,MONTH(WORKDAY(B167,-(Setup!$C$13+Setup!$G$20),Setup!$C$39:$C$50))&lt;=Setup!$C$16))),WORKDAY(B167,-(Setup!$C$13+Setup!$G$20+Setup!$C$14),Setup!$C$39:$C$50),WORKDAY(B167,-(Setup!$C$13+Setup!$G$20),Setup!$C$39:$C$50))+(162*100+1)/10000000)))</f>
        <v/>
      </c>
      <c r="S167" t="str">
        <f>IF(C167="","",IF(C167&lt;Setup!$C$5-Setup!$C$6,"",IF(IF(ISNUMBER(Roster!$D167),Setup!$C$21&lt;=Roster!$D167,FALSE),"",IF(OR(IF(Setup!$C$15&lt;=Setup!$C$16,AND(MONTH(C167)&gt;=Setup!$C$15,MONTH(C167)&lt;=Setup!$C$16),OR(MONTH(C167)&gt;=Setup!$C$15,MONTH(C167)&lt;=Setup!$C$16)),IF(Setup!$C$15&lt;=Setup!$C$16,AND(MONTH(WORKDAY(C167,-(Setup!$C$13+Setup!$G$21),Setup!$C$39:$C$50))&gt;=Setup!$C$15,MONTH(WORKDAY(C167,-(Setup!$C$13+Setup!$G$21),Setup!$C$39:$C$50))&lt;=Setup!$C$16),OR(MONTH(WORKDAY(C167,-(Setup!$C$13+Setup!$G$21),Setup!$C$39:$C$50))&gt;=Setup!$C$15,MONTH(WORKDAY(C167,-(Setup!$C$13+Setup!$G$21),Setup!$C$39:$C$50))&lt;=Setup!$C$16))),WORKDAY(C167,-(Setup!$C$13+Setup!$G$21+Setup!$C$14),Setup!$C$39:$C$50),WORKDAY(C167,-(Setup!$C$13+Setup!$G$21),Setup!$C$39:$C$50))+(162*100+2)/10000000)))</f>
        <v/>
      </c>
      <c r="T167" t="str">
        <f>IF(D167="","",IF(D167&lt;Setup!$C$5-Setup!$C$6,"",IF(IF(ISNUMBER(Roster!$D167),Setup!$C$22&lt;=Roster!$D167,FALSE),"",IF(OR(IF(Setup!$C$15&lt;=Setup!$C$16,AND(MONTH(D167)&gt;=Setup!$C$15,MONTH(D167)&lt;=Setup!$C$16),OR(MONTH(D167)&gt;=Setup!$C$15,MONTH(D167)&lt;=Setup!$C$16)),IF(Setup!$C$15&lt;=Setup!$C$16,AND(MONTH(WORKDAY(D167,-(Setup!$C$13+Setup!$G$22),Setup!$C$39:$C$50))&gt;=Setup!$C$15,MONTH(WORKDAY(D167,-(Setup!$C$13+Setup!$G$22),Setup!$C$39:$C$50))&lt;=Setup!$C$16),OR(MONTH(WORKDAY(D167,-(Setup!$C$13+Setup!$G$22),Setup!$C$39:$C$50))&gt;=Setup!$C$15,MONTH(WORKDAY(D167,-(Setup!$C$13+Setup!$G$22),Setup!$C$39:$C$50))&lt;=Setup!$C$16))),WORKDAY(D167,-(Setup!$C$13+Setup!$G$22+Setup!$C$14),Setup!$C$39:$C$50),WORKDAY(D167,-(Setup!$C$13+Setup!$G$22),Setup!$C$39:$C$50))+(162*100+3)/10000000)))</f>
        <v/>
      </c>
      <c r="U167" t="str">
        <f>IF(E167="","",IF(E167&lt;Setup!$C$5-Setup!$C$6,"",IF(IF(ISNUMBER(Roster!$D167),Setup!$C$23&lt;=Roster!$D167,FALSE),"",IF(OR(IF(Setup!$C$15&lt;=Setup!$C$16,AND(MONTH(E167)&gt;=Setup!$C$15,MONTH(E167)&lt;=Setup!$C$16),OR(MONTH(E167)&gt;=Setup!$C$15,MONTH(E167)&lt;=Setup!$C$16)),IF(Setup!$C$15&lt;=Setup!$C$16,AND(MONTH(WORKDAY(E167,-(Setup!$C$13+Setup!$G$23),Setup!$C$39:$C$50))&gt;=Setup!$C$15,MONTH(WORKDAY(E167,-(Setup!$C$13+Setup!$G$23),Setup!$C$39:$C$50))&lt;=Setup!$C$16),OR(MONTH(WORKDAY(E167,-(Setup!$C$13+Setup!$G$23),Setup!$C$39:$C$50))&gt;=Setup!$C$15,MONTH(WORKDAY(E167,-(Setup!$C$13+Setup!$G$23),Setup!$C$39:$C$50))&lt;=Setup!$C$16))),WORKDAY(E167,-(Setup!$C$13+Setup!$G$23+Setup!$C$14),Setup!$C$39:$C$50),WORKDAY(E167,-(Setup!$C$13+Setup!$G$23),Setup!$C$39:$C$50))+(162*100+4)/10000000)))</f>
        <v/>
      </c>
      <c r="V167" t="str">
        <f>IF(F167="","",IF(F167&lt;Setup!$C$5-Setup!$C$6,"",IF(IF(ISNUMBER(Roster!$D167),Setup!$C$24&lt;=Roster!$D167,FALSE),"",IF(OR(IF(Setup!$C$15&lt;=Setup!$C$16,AND(MONTH(F167)&gt;=Setup!$C$15,MONTH(F167)&lt;=Setup!$C$16),OR(MONTH(F167)&gt;=Setup!$C$15,MONTH(F167)&lt;=Setup!$C$16)),IF(Setup!$C$15&lt;=Setup!$C$16,AND(MONTH(WORKDAY(F167,-(Setup!$C$13+Setup!$G$24),Setup!$C$39:$C$50))&gt;=Setup!$C$15,MONTH(WORKDAY(F167,-(Setup!$C$13+Setup!$G$24),Setup!$C$39:$C$50))&lt;=Setup!$C$16),OR(MONTH(WORKDAY(F167,-(Setup!$C$13+Setup!$G$24),Setup!$C$39:$C$50))&gt;=Setup!$C$15,MONTH(WORKDAY(F167,-(Setup!$C$13+Setup!$G$24),Setup!$C$39:$C$50))&lt;=Setup!$C$16))),WORKDAY(F167,-(Setup!$C$13+Setup!$G$24+Setup!$C$14),Setup!$C$39:$C$50),WORKDAY(F167,-(Setup!$C$13+Setup!$G$24),Setup!$C$39:$C$50))+(162*100+5)/10000000)))</f>
        <v/>
      </c>
      <c r="W167" t="str">
        <f>IF(G167="","",IF(G167&lt;Setup!$C$5-Setup!$C$6,"",IF(IF(ISNUMBER(Roster!$D167),Setup!$C$25&lt;=Roster!$D167,FALSE),"",IF(OR(IF(Setup!$C$15&lt;=Setup!$C$16,AND(MONTH(G167)&gt;=Setup!$C$15,MONTH(G167)&lt;=Setup!$C$16),OR(MONTH(G167)&gt;=Setup!$C$15,MONTH(G167)&lt;=Setup!$C$16)),IF(Setup!$C$15&lt;=Setup!$C$16,AND(MONTH(WORKDAY(G167,-(Setup!$C$13+Setup!$G$25),Setup!$C$39:$C$50))&gt;=Setup!$C$15,MONTH(WORKDAY(G167,-(Setup!$C$13+Setup!$G$25),Setup!$C$39:$C$50))&lt;=Setup!$C$16),OR(MONTH(WORKDAY(G167,-(Setup!$C$13+Setup!$G$25),Setup!$C$39:$C$50))&gt;=Setup!$C$15,MONTH(WORKDAY(G167,-(Setup!$C$13+Setup!$G$25),Setup!$C$39:$C$50))&lt;=Setup!$C$16))),WORKDAY(G167,-(Setup!$C$13+Setup!$G$25+Setup!$C$14),Setup!$C$39:$C$50),WORKDAY(G167,-(Setup!$C$13+Setup!$G$25),Setup!$C$39:$C$50))+(162*100+6)/10000000)))</f>
        <v/>
      </c>
      <c r="X167" t="str">
        <f>IF(H167="","",IF(H167&lt;Setup!$C$5-Setup!$C$6,"",IF(IF(ISNUMBER(Roster!$D167),Setup!$C$26&lt;=Roster!$D167,FALSE),"",IF(OR(IF(Setup!$C$15&lt;=Setup!$C$16,AND(MONTH(H167)&gt;=Setup!$C$15,MONTH(H167)&lt;=Setup!$C$16),OR(MONTH(H167)&gt;=Setup!$C$15,MONTH(H167)&lt;=Setup!$C$16)),IF(Setup!$C$15&lt;=Setup!$C$16,AND(MONTH(WORKDAY(H167,-(Setup!$C$13+Setup!$G$26),Setup!$C$39:$C$50))&gt;=Setup!$C$15,MONTH(WORKDAY(H167,-(Setup!$C$13+Setup!$G$26),Setup!$C$39:$C$50))&lt;=Setup!$C$16),OR(MONTH(WORKDAY(H167,-(Setup!$C$13+Setup!$G$26),Setup!$C$39:$C$50))&gt;=Setup!$C$15,MONTH(WORKDAY(H167,-(Setup!$C$13+Setup!$G$26),Setup!$C$39:$C$50))&lt;=Setup!$C$16))),WORKDAY(H167,-(Setup!$C$13+Setup!$G$26+Setup!$C$14),Setup!$C$39:$C$50),WORKDAY(H167,-(Setup!$C$13+Setup!$G$26),Setup!$C$39:$C$50))+(162*100+7)/10000000)))</f>
        <v/>
      </c>
      <c r="Y167" t="str">
        <f>IF(I167="","",IF(I167&lt;Setup!$C$5-Setup!$C$6,"",IF(IF(ISNUMBER(Roster!$D167),Setup!$C$27&lt;=Roster!$D167,FALSE),"",IF(OR(IF(Setup!$C$15&lt;=Setup!$C$16,AND(MONTH(I167)&gt;=Setup!$C$15,MONTH(I167)&lt;=Setup!$C$16),OR(MONTH(I167)&gt;=Setup!$C$15,MONTH(I167)&lt;=Setup!$C$16)),IF(Setup!$C$15&lt;=Setup!$C$16,AND(MONTH(WORKDAY(I167,-(Setup!$C$13+Setup!$G$27),Setup!$C$39:$C$50))&gt;=Setup!$C$15,MONTH(WORKDAY(I167,-(Setup!$C$13+Setup!$G$27),Setup!$C$39:$C$50))&lt;=Setup!$C$16),OR(MONTH(WORKDAY(I167,-(Setup!$C$13+Setup!$G$27),Setup!$C$39:$C$50))&gt;=Setup!$C$15,MONTH(WORKDAY(I167,-(Setup!$C$13+Setup!$G$27),Setup!$C$39:$C$50))&lt;=Setup!$C$16))),WORKDAY(I167,-(Setup!$C$13+Setup!$G$27+Setup!$C$14),Setup!$C$39:$C$50),WORKDAY(I167,-(Setup!$C$13+Setup!$G$27),Setup!$C$39:$C$50))+(162*100+8)/10000000)))</f>
        <v/>
      </c>
      <c r="Z167" t="str">
        <f>IF(J167="","",IF(J167&lt;Setup!$C$5-Setup!$C$6,"",IF(IF(ISNUMBER(Roster!$D167),Setup!$C$28&lt;=Roster!$D167,FALSE),"",IF(OR(IF(Setup!$C$15&lt;=Setup!$C$16,AND(MONTH(J167)&gt;=Setup!$C$15,MONTH(J167)&lt;=Setup!$C$16),OR(MONTH(J167)&gt;=Setup!$C$15,MONTH(J167)&lt;=Setup!$C$16)),IF(Setup!$C$15&lt;=Setup!$C$16,AND(MONTH(WORKDAY(J167,-(Setup!$C$13+Setup!$G$28),Setup!$C$39:$C$50))&gt;=Setup!$C$15,MONTH(WORKDAY(J167,-(Setup!$C$13+Setup!$G$28),Setup!$C$39:$C$50))&lt;=Setup!$C$16),OR(MONTH(WORKDAY(J167,-(Setup!$C$13+Setup!$G$28),Setup!$C$39:$C$50))&gt;=Setup!$C$15,MONTH(WORKDAY(J167,-(Setup!$C$13+Setup!$G$28),Setup!$C$39:$C$50))&lt;=Setup!$C$16))),WORKDAY(J167,-(Setup!$C$13+Setup!$G$28+Setup!$C$14),Setup!$C$39:$C$50),WORKDAY(J167,-(Setup!$C$13+Setup!$G$28),Setup!$C$39:$C$50))+(162*100+9)/10000000)))</f>
        <v/>
      </c>
      <c r="AA167" t="str">
        <f>IF(K167="","",IF(K167&lt;Setup!$C$5-Setup!$C$6,"",IF(IF(ISNUMBER(Roster!$D167),Setup!$C$29&lt;=Roster!$D167,FALSE),"",IF(OR(IF(Setup!$C$15&lt;=Setup!$C$16,AND(MONTH(K167)&gt;=Setup!$C$15,MONTH(K167)&lt;=Setup!$C$16),OR(MONTH(K167)&gt;=Setup!$C$15,MONTH(K167)&lt;=Setup!$C$16)),IF(Setup!$C$15&lt;=Setup!$C$16,AND(MONTH(WORKDAY(K167,-(Setup!$C$13+Setup!$G$29),Setup!$C$39:$C$50))&gt;=Setup!$C$15,MONTH(WORKDAY(K167,-(Setup!$C$13+Setup!$G$29),Setup!$C$39:$C$50))&lt;=Setup!$C$16),OR(MONTH(WORKDAY(K167,-(Setup!$C$13+Setup!$G$29),Setup!$C$39:$C$50))&gt;=Setup!$C$15,MONTH(WORKDAY(K167,-(Setup!$C$13+Setup!$G$29),Setup!$C$39:$C$50))&lt;=Setup!$C$16))),WORKDAY(K167,-(Setup!$C$13+Setup!$G$29+Setup!$C$14),Setup!$C$39:$C$50),WORKDAY(K167,-(Setup!$C$13+Setup!$G$29),Setup!$C$39:$C$50))+(162*100+10)/10000000)))</f>
        <v/>
      </c>
      <c r="AB167" t="str">
        <f>IF(L167="","",IF(L167&lt;Setup!$C$5-Setup!$C$6,"",IF(IF(ISNUMBER(Roster!$D167),Setup!$C$30&lt;=Roster!$D167,FALSE),"",IF(OR(IF(Setup!$C$15&lt;=Setup!$C$16,AND(MONTH(L167)&gt;=Setup!$C$15,MONTH(L167)&lt;=Setup!$C$16),OR(MONTH(L167)&gt;=Setup!$C$15,MONTH(L167)&lt;=Setup!$C$16)),IF(Setup!$C$15&lt;=Setup!$C$16,AND(MONTH(WORKDAY(L167,-(Setup!$C$13+Setup!$G$30),Setup!$C$39:$C$50))&gt;=Setup!$C$15,MONTH(WORKDAY(L167,-(Setup!$C$13+Setup!$G$30),Setup!$C$39:$C$50))&lt;=Setup!$C$16),OR(MONTH(WORKDAY(L167,-(Setup!$C$13+Setup!$G$30),Setup!$C$39:$C$50))&gt;=Setup!$C$15,MONTH(WORKDAY(L167,-(Setup!$C$13+Setup!$G$30),Setup!$C$39:$C$50))&lt;=Setup!$C$16))),WORKDAY(L167,-(Setup!$C$13+Setup!$G$30+Setup!$C$14),Setup!$C$39:$C$50),WORKDAY(L167,-(Setup!$C$13+Setup!$G$30),Setup!$C$39:$C$50))+(162*100+11)/10000000)))</f>
        <v/>
      </c>
      <c r="AC167" t="str">
        <f>IF(M167="","",IF(M167&lt;Setup!$C$5-Setup!$C$6,"",IF(IF(ISNUMBER(Roster!$D167),Setup!$C$31&lt;=Roster!$D167,FALSE),"",IF(OR(IF(Setup!$C$15&lt;=Setup!$C$16,AND(MONTH(M167)&gt;=Setup!$C$15,MONTH(M167)&lt;=Setup!$C$16),OR(MONTH(M167)&gt;=Setup!$C$15,MONTH(M167)&lt;=Setup!$C$16)),IF(Setup!$C$15&lt;=Setup!$C$16,AND(MONTH(WORKDAY(M167,-(Setup!$C$13+Setup!$G$31),Setup!$C$39:$C$50))&gt;=Setup!$C$15,MONTH(WORKDAY(M167,-(Setup!$C$13+Setup!$G$31),Setup!$C$39:$C$50))&lt;=Setup!$C$16),OR(MONTH(WORKDAY(M167,-(Setup!$C$13+Setup!$G$31),Setup!$C$39:$C$50))&gt;=Setup!$C$15,MONTH(WORKDAY(M167,-(Setup!$C$13+Setup!$G$31),Setup!$C$39:$C$50))&lt;=Setup!$C$16))),WORKDAY(M167,-(Setup!$C$13+Setup!$G$31+Setup!$C$14),Setup!$C$39:$C$50),WORKDAY(M167,-(Setup!$C$13+Setup!$G$31),Setup!$C$39:$C$50))+(162*100+12)/10000000)))</f>
        <v/>
      </c>
      <c r="AD167" t="str">
        <f>IF(N167="","",IF(N167&lt;Setup!$C$5-Setup!$C$6,"",IF(IF(ISNUMBER(Roster!$D167),Setup!$C$32&lt;=Roster!$D167,FALSE),"",IF(OR(IF(Setup!$C$15&lt;=Setup!$C$16,AND(MONTH(N167)&gt;=Setup!$C$15,MONTH(N167)&lt;=Setup!$C$16),OR(MONTH(N167)&gt;=Setup!$C$15,MONTH(N167)&lt;=Setup!$C$16)),IF(Setup!$C$15&lt;=Setup!$C$16,AND(MONTH(WORKDAY(N167,-(Setup!$C$13+Setup!$G$32),Setup!$C$39:$C$50))&gt;=Setup!$C$15,MONTH(WORKDAY(N167,-(Setup!$C$13+Setup!$G$32),Setup!$C$39:$C$50))&lt;=Setup!$C$16),OR(MONTH(WORKDAY(N167,-(Setup!$C$13+Setup!$G$32),Setup!$C$39:$C$50))&gt;=Setup!$C$15,MONTH(WORKDAY(N167,-(Setup!$C$13+Setup!$G$32),Setup!$C$39:$C$50))&lt;=Setup!$C$16))),WORKDAY(N167,-(Setup!$C$13+Setup!$G$32+Setup!$C$14),Setup!$C$39:$C$50),WORKDAY(N167,-(Setup!$C$13+Setup!$G$32),Setup!$C$39:$C$50))+(162*100+13)/10000000)))</f>
        <v/>
      </c>
      <c r="AE167" t="str">
        <f>IF(O167="","",IF(O167&lt;Setup!$C$5-Setup!$C$6,"",IF(IF(ISNUMBER(Roster!$D167),Setup!$C$33&lt;=Roster!$D167,FALSE),"",IF(OR(IF(Setup!$C$15&lt;=Setup!$C$16,AND(MONTH(O167)&gt;=Setup!$C$15,MONTH(O167)&lt;=Setup!$C$16),OR(MONTH(O167)&gt;=Setup!$C$15,MONTH(O167)&lt;=Setup!$C$16)),IF(Setup!$C$15&lt;=Setup!$C$16,AND(MONTH(WORKDAY(O167,-(Setup!$C$13+Setup!$G$33),Setup!$C$39:$C$50))&gt;=Setup!$C$15,MONTH(WORKDAY(O167,-(Setup!$C$13+Setup!$G$33),Setup!$C$39:$C$50))&lt;=Setup!$C$16),OR(MONTH(WORKDAY(O167,-(Setup!$C$13+Setup!$G$33),Setup!$C$39:$C$50))&gt;=Setup!$C$15,MONTH(WORKDAY(O167,-(Setup!$C$13+Setup!$G$33),Setup!$C$39:$C$50))&lt;=Setup!$C$16))),WORKDAY(O167,-(Setup!$C$13+Setup!$G$33+Setup!$C$14),Setup!$C$39:$C$50),WORKDAY(O167,-(Setup!$C$13+Setup!$G$33),Setup!$C$39:$C$50))+(162*100+14)/10000000)))</f>
        <v/>
      </c>
      <c r="AF167" t="str">
        <f>IF(P167="","",IF(P167&lt;Setup!$C$5-Setup!$C$6,"",IF(IF(ISNUMBER(Roster!$D167),Setup!$C$34&lt;=Roster!$D167,FALSE),"",IF(OR(IF(Setup!$C$15&lt;=Setup!$C$16,AND(MONTH(P167)&gt;=Setup!$C$15,MONTH(P167)&lt;=Setup!$C$16),OR(MONTH(P167)&gt;=Setup!$C$15,MONTH(P167)&lt;=Setup!$C$16)),IF(Setup!$C$15&lt;=Setup!$C$16,AND(MONTH(WORKDAY(P167,-(Setup!$C$13+Setup!$G$34),Setup!$C$39:$C$50))&gt;=Setup!$C$15,MONTH(WORKDAY(P167,-(Setup!$C$13+Setup!$G$34),Setup!$C$39:$C$50))&lt;=Setup!$C$16),OR(MONTH(WORKDAY(P167,-(Setup!$C$13+Setup!$G$34),Setup!$C$39:$C$50))&gt;=Setup!$C$15,MONTH(WORKDAY(P167,-(Setup!$C$13+Setup!$G$34),Setup!$C$39:$C$50))&lt;=Setup!$C$16))),WORKDAY(P167,-(Setup!$C$13+Setup!$G$34+Setup!$C$14),Setup!$C$39:$C$50),WORKDAY(P167,-(Setup!$C$13+Setup!$G$34),Setup!$C$39:$C$50))+(162*100+15)/10000000)))</f>
        <v/>
      </c>
      <c r="AH167" t="str">
        <f t="shared" si="17"/>
        <v/>
      </c>
      <c r="AI167" t="str">
        <f t="shared" si="18"/>
        <v/>
      </c>
      <c r="AK167" t="str">
        <f ca="1">IF(162&gt;$AK$2,"",SMALL($R$6:$AF$505,162))</f>
        <v/>
      </c>
      <c r="AL167" t="str">
        <f t="shared" ca="1" si="19"/>
        <v/>
      </c>
      <c r="AM167" t="str">
        <f t="shared" ca="1" si="20"/>
        <v/>
      </c>
      <c r="AN167" t="str">
        <f t="shared" ca="1" si="21"/>
        <v/>
      </c>
      <c r="AP167" t="str">
        <f>IF(ISNUMBER(Roster!$B167),MAX(1,YEAR(Setup!$C$5)-YEAR(Roster!$B167)+IF(EDATE(Roster!$B167,12*(YEAR(Setup!$C$5)-YEAR(Roster!$B167)))&lt;Setup!$C$5,1,0)),"")</f>
        <v/>
      </c>
      <c r="AQ167" s="32" t="str">
        <f>IF(AP167="","",EDATE(Roster!$B167,12*AP167))</f>
        <v/>
      </c>
      <c r="AR167" t="str">
        <f>IF(AQ167="","",IF(AQ167&lt;DATE(YEAR(Setup!$C$5)+1,MONTH(Setup!$C$5),DAY(Setup!$C$5)),AQ167+162/1000,""))</f>
        <v/>
      </c>
      <c r="AS167" t="str">
        <f t="shared" si="22"/>
        <v/>
      </c>
      <c r="AT167" t="str">
        <f>IF(AS167="","",IF(ISNUMBER(Roster!$D167),Roster!$D167&gt;=AP167,FALSE))</f>
        <v/>
      </c>
      <c r="AU167" t="str">
        <f t="shared" si="23"/>
        <v/>
      </c>
      <c r="AV167" t="str">
        <f ca="1">IF(162&gt;$AV$2,"",SMALL($AR$6:$AR$505,162))</f>
        <v/>
      </c>
      <c r="AW167" t="str">
        <f t="shared" ca="1" si="24"/>
        <v/>
      </c>
    </row>
    <row r="168" spans="2:49" x14ac:dyDescent="0.2">
      <c r="B168" s="32" t="str">
        <f>IF(AND(ISNUMBER(Roster!$B168),Setup!$B$20="Yes",ISNUMBER(Setup!$C$20)),EDATE(Roster!$B168,12*Setup!$C$20),"")</f>
        <v/>
      </c>
      <c r="C168" s="32" t="str">
        <f>IF(AND(ISNUMBER(Roster!$B168),Setup!$B$21="Yes",ISNUMBER(Setup!$C$21)),EDATE(Roster!$B168,12*Setup!$C$21),"")</f>
        <v/>
      </c>
      <c r="D168" s="32" t="str">
        <f>IF(AND(ISNUMBER(Roster!$B168),Setup!$B$22="Yes",ISNUMBER(Setup!$C$22)),EDATE(Roster!$B168,12*Setup!$C$22),"")</f>
        <v/>
      </c>
      <c r="E168" s="32" t="str">
        <f>IF(AND(ISNUMBER(Roster!$B168),Setup!$B$23="Yes",ISNUMBER(Setup!$C$23)),EDATE(Roster!$B168,12*Setup!$C$23),"")</f>
        <v/>
      </c>
      <c r="F168" s="32" t="str">
        <f>IF(AND(ISNUMBER(Roster!$B168),Setup!$B$24="Yes",ISNUMBER(Setup!$C$24)),EDATE(Roster!$B168,12*Setup!$C$24),"")</f>
        <v/>
      </c>
      <c r="G168" s="32" t="str">
        <f>IF(AND(ISNUMBER(Roster!$B168),Setup!$B$25="Yes",ISNUMBER(Setup!$C$25)),EDATE(Roster!$B168,12*Setup!$C$25),"")</f>
        <v/>
      </c>
      <c r="H168" s="32" t="str">
        <f>IF(AND(ISNUMBER(Roster!$B168),Setup!$B$26="Yes",ISNUMBER(Setup!$C$26)),EDATE(Roster!$B168,12*Setup!$C$26),"")</f>
        <v/>
      </c>
      <c r="I168" s="32" t="str">
        <f>IF(AND(ISNUMBER(Roster!$B168),Setup!$B$27="Yes",ISNUMBER(Setup!$C$27)),EDATE(Roster!$B168,12*Setup!$C$27),"")</f>
        <v/>
      </c>
      <c r="J168" s="32" t="str">
        <f>IF(AND(ISNUMBER(Roster!$B168),Setup!$B$28="Yes",ISNUMBER(Setup!$C$28)),EDATE(Roster!$B168,12*Setup!$C$28),"")</f>
        <v/>
      </c>
      <c r="K168" s="32" t="str">
        <f>IF(AND(ISNUMBER(Roster!$B168),Setup!$B$29="Yes",ISNUMBER(Setup!$C$29)),EDATE(Roster!$B168,12*Setup!$C$29),"")</f>
        <v/>
      </c>
      <c r="L168" s="32" t="str">
        <f>IF(AND(ISNUMBER(Roster!$B168),Setup!$B$30="Yes",ISNUMBER(Setup!$C$30)),EDATE(Roster!$B168,12*Setup!$C$30),"")</f>
        <v/>
      </c>
      <c r="M168" s="32" t="str">
        <f>IF(AND(ISNUMBER(Roster!$B168),Setup!$B$31="Yes",ISNUMBER(Setup!$C$31)),EDATE(Roster!$B168,12*Setup!$C$31),"")</f>
        <v/>
      </c>
      <c r="N168" s="32" t="str">
        <f>IF(AND(ISNUMBER(Roster!$B168),Setup!$B$32="Yes",ISNUMBER(Setup!$C$32)),EDATE(Roster!$B168,12*Setup!$C$32),"")</f>
        <v/>
      </c>
      <c r="O168" s="32" t="str">
        <f>IF(AND(ISNUMBER(Roster!$B168),Setup!$B$33="Yes",ISNUMBER(Setup!$C$33)),EDATE(Roster!$B168,12*Setup!$C$33),"")</f>
        <v/>
      </c>
      <c r="P168" s="32" t="str">
        <f>IF(AND(ISNUMBER(Roster!$B168),Setup!$B$34="Yes",ISNUMBER(Setup!$C$34)),EDATE(Roster!$B168,12*Setup!$C$34),"")</f>
        <v/>
      </c>
      <c r="R168" t="str">
        <f>IF(B168="","",IF(B168&lt;Setup!$C$5-Setup!$C$6,"",IF(IF(ISNUMBER(Roster!$D168),Setup!$C$20&lt;=Roster!$D168,FALSE),"",IF(OR(IF(Setup!$C$15&lt;=Setup!$C$16,AND(MONTH(B168)&gt;=Setup!$C$15,MONTH(B168)&lt;=Setup!$C$16),OR(MONTH(B168)&gt;=Setup!$C$15,MONTH(B168)&lt;=Setup!$C$16)),IF(Setup!$C$15&lt;=Setup!$C$16,AND(MONTH(WORKDAY(B168,-(Setup!$C$13+Setup!$G$20),Setup!$C$39:$C$50))&gt;=Setup!$C$15,MONTH(WORKDAY(B168,-(Setup!$C$13+Setup!$G$20),Setup!$C$39:$C$50))&lt;=Setup!$C$16),OR(MONTH(WORKDAY(B168,-(Setup!$C$13+Setup!$G$20),Setup!$C$39:$C$50))&gt;=Setup!$C$15,MONTH(WORKDAY(B168,-(Setup!$C$13+Setup!$G$20),Setup!$C$39:$C$50))&lt;=Setup!$C$16))),WORKDAY(B168,-(Setup!$C$13+Setup!$G$20+Setup!$C$14),Setup!$C$39:$C$50),WORKDAY(B168,-(Setup!$C$13+Setup!$G$20),Setup!$C$39:$C$50))+(163*100+1)/10000000)))</f>
        <v/>
      </c>
      <c r="S168" t="str">
        <f>IF(C168="","",IF(C168&lt;Setup!$C$5-Setup!$C$6,"",IF(IF(ISNUMBER(Roster!$D168),Setup!$C$21&lt;=Roster!$D168,FALSE),"",IF(OR(IF(Setup!$C$15&lt;=Setup!$C$16,AND(MONTH(C168)&gt;=Setup!$C$15,MONTH(C168)&lt;=Setup!$C$16),OR(MONTH(C168)&gt;=Setup!$C$15,MONTH(C168)&lt;=Setup!$C$16)),IF(Setup!$C$15&lt;=Setup!$C$16,AND(MONTH(WORKDAY(C168,-(Setup!$C$13+Setup!$G$21),Setup!$C$39:$C$50))&gt;=Setup!$C$15,MONTH(WORKDAY(C168,-(Setup!$C$13+Setup!$G$21),Setup!$C$39:$C$50))&lt;=Setup!$C$16),OR(MONTH(WORKDAY(C168,-(Setup!$C$13+Setup!$G$21),Setup!$C$39:$C$50))&gt;=Setup!$C$15,MONTH(WORKDAY(C168,-(Setup!$C$13+Setup!$G$21),Setup!$C$39:$C$50))&lt;=Setup!$C$16))),WORKDAY(C168,-(Setup!$C$13+Setup!$G$21+Setup!$C$14),Setup!$C$39:$C$50),WORKDAY(C168,-(Setup!$C$13+Setup!$G$21),Setup!$C$39:$C$50))+(163*100+2)/10000000)))</f>
        <v/>
      </c>
      <c r="T168" t="str">
        <f>IF(D168="","",IF(D168&lt;Setup!$C$5-Setup!$C$6,"",IF(IF(ISNUMBER(Roster!$D168),Setup!$C$22&lt;=Roster!$D168,FALSE),"",IF(OR(IF(Setup!$C$15&lt;=Setup!$C$16,AND(MONTH(D168)&gt;=Setup!$C$15,MONTH(D168)&lt;=Setup!$C$16),OR(MONTH(D168)&gt;=Setup!$C$15,MONTH(D168)&lt;=Setup!$C$16)),IF(Setup!$C$15&lt;=Setup!$C$16,AND(MONTH(WORKDAY(D168,-(Setup!$C$13+Setup!$G$22),Setup!$C$39:$C$50))&gt;=Setup!$C$15,MONTH(WORKDAY(D168,-(Setup!$C$13+Setup!$G$22),Setup!$C$39:$C$50))&lt;=Setup!$C$16),OR(MONTH(WORKDAY(D168,-(Setup!$C$13+Setup!$G$22),Setup!$C$39:$C$50))&gt;=Setup!$C$15,MONTH(WORKDAY(D168,-(Setup!$C$13+Setup!$G$22),Setup!$C$39:$C$50))&lt;=Setup!$C$16))),WORKDAY(D168,-(Setup!$C$13+Setup!$G$22+Setup!$C$14),Setup!$C$39:$C$50),WORKDAY(D168,-(Setup!$C$13+Setup!$G$22),Setup!$C$39:$C$50))+(163*100+3)/10000000)))</f>
        <v/>
      </c>
      <c r="U168" t="str">
        <f>IF(E168="","",IF(E168&lt;Setup!$C$5-Setup!$C$6,"",IF(IF(ISNUMBER(Roster!$D168),Setup!$C$23&lt;=Roster!$D168,FALSE),"",IF(OR(IF(Setup!$C$15&lt;=Setup!$C$16,AND(MONTH(E168)&gt;=Setup!$C$15,MONTH(E168)&lt;=Setup!$C$16),OR(MONTH(E168)&gt;=Setup!$C$15,MONTH(E168)&lt;=Setup!$C$16)),IF(Setup!$C$15&lt;=Setup!$C$16,AND(MONTH(WORKDAY(E168,-(Setup!$C$13+Setup!$G$23),Setup!$C$39:$C$50))&gt;=Setup!$C$15,MONTH(WORKDAY(E168,-(Setup!$C$13+Setup!$G$23),Setup!$C$39:$C$50))&lt;=Setup!$C$16),OR(MONTH(WORKDAY(E168,-(Setup!$C$13+Setup!$G$23),Setup!$C$39:$C$50))&gt;=Setup!$C$15,MONTH(WORKDAY(E168,-(Setup!$C$13+Setup!$G$23),Setup!$C$39:$C$50))&lt;=Setup!$C$16))),WORKDAY(E168,-(Setup!$C$13+Setup!$G$23+Setup!$C$14),Setup!$C$39:$C$50),WORKDAY(E168,-(Setup!$C$13+Setup!$G$23),Setup!$C$39:$C$50))+(163*100+4)/10000000)))</f>
        <v/>
      </c>
      <c r="V168" t="str">
        <f>IF(F168="","",IF(F168&lt;Setup!$C$5-Setup!$C$6,"",IF(IF(ISNUMBER(Roster!$D168),Setup!$C$24&lt;=Roster!$D168,FALSE),"",IF(OR(IF(Setup!$C$15&lt;=Setup!$C$16,AND(MONTH(F168)&gt;=Setup!$C$15,MONTH(F168)&lt;=Setup!$C$16),OR(MONTH(F168)&gt;=Setup!$C$15,MONTH(F168)&lt;=Setup!$C$16)),IF(Setup!$C$15&lt;=Setup!$C$16,AND(MONTH(WORKDAY(F168,-(Setup!$C$13+Setup!$G$24),Setup!$C$39:$C$50))&gt;=Setup!$C$15,MONTH(WORKDAY(F168,-(Setup!$C$13+Setup!$G$24),Setup!$C$39:$C$50))&lt;=Setup!$C$16),OR(MONTH(WORKDAY(F168,-(Setup!$C$13+Setup!$G$24),Setup!$C$39:$C$50))&gt;=Setup!$C$15,MONTH(WORKDAY(F168,-(Setup!$C$13+Setup!$G$24),Setup!$C$39:$C$50))&lt;=Setup!$C$16))),WORKDAY(F168,-(Setup!$C$13+Setup!$G$24+Setup!$C$14),Setup!$C$39:$C$50),WORKDAY(F168,-(Setup!$C$13+Setup!$G$24),Setup!$C$39:$C$50))+(163*100+5)/10000000)))</f>
        <v/>
      </c>
      <c r="W168" t="str">
        <f>IF(G168="","",IF(G168&lt;Setup!$C$5-Setup!$C$6,"",IF(IF(ISNUMBER(Roster!$D168),Setup!$C$25&lt;=Roster!$D168,FALSE),"",IF(OR(IF(Setup!$C$15&lt;=Setup!$C$16,AND(MONTH(G168)&gt;=Setup!$C$15,MONTH(G168)&lt;=Setup!$C$16),OR(MONTH(G168)&gt;=Setup!$C$15,MONTH(G168)&lt;=Setup!$C$16)),IF(Setup!$C$15&lt;=Setup!$C$16,AND(MONTH(WORKDAY(G168,-(Setup!$C$13+Setup!$G$25),Setup!$C$39:$C$50))&gt;=Setup!$C$15,MONTH(WORKDAY(G168,-(Setup!$C$13+Setup!$G$25),Setup!$C$39:$C$50))&lt;=Setup!$C$16),OR(MONTH(WORKDAY(G168,-(Setup!$C$13+Setup!$G$25),Setup!$C$39:$C$50))&gt;=Setup!$C$15,MONTH(WORKDAY(G168,-(Setup!$C$13+Setup!$G$25),Setup!$C$39:$C$50))&lt;=Setup!$C$16))),WORKDAY(G168,-(Setup!$C$13+Setup!$G$25+Setup!$C$14),Setup!$C$39:$C$50),WORKDAY(G168,-(Setup!$C$13+Setup!$G$25),Setup!$C$39:$C$50))+(163*100+6)/10000000)))</f>
        <v/>
      </c>
      <c r="X168" t="str">
        <f>IF(H168="","",IF(H168&lt;Setup!$C$5-Setup!$C$6,"",IF(IF(ISNUMBER(Roster!$D168),Setup!$C$26&lt;=Roster!$D168,FALSE),"",IF(OR(IF(Setup!$C$15&lt;=Setup!$C$16,AND(MONTH(H168)&gt;=Setup!$C$15,MONTH(H168)&lt;=Setup!$C$16),OR(MONTH(H168)&gt;=Setup!$C$15,MONTH(H168)&lt;=Setup!$C$16)),IF(Setup!$C$15&lt;=Setup!$C$16,AND(MONTH(WORKDAY(H168,-(Setup!$C$13+Setup!$G$26),Setup!$C$39:$C$50))&gt;=Setup!$C$15,MONTH(WORKDAY(H168,-(Setup!$C$13+Setup!$G$26),Setup!$C$39:$C$50))&lt;=Setup!$C$16),OR(MONTH(WORKDAY(H168,-(Setup!$C$13+Setup!$G$26),Setup!$C$39:$C$50))&gt;=Setup!$C$15,MONTH(WORKDAY(H168,-(Setup!$C$13+Setup!$G$26),Setup!$C$39:$C$50))&lt;=Setup!$C$16))),WORKDAY(H168,-(Setup!$C$13+Setup!$G$26+Setup!$C$14),Setup!$C$39:$C$50),WORKDAY(H168,-(Setup!$C$13+Setup!$G$26),Setup!$C$39:$C$50))+(163*100+7)/10000000)))</f>
        <v/>
      </c>
      <c r="Y168" t="str">
        <f>IF(I168="","",IF(I168&lt;Setup!$C$5-Setup!$C$6,"",IF(IF(ISNUMBER(Roster!$D168),Setup!$C$27&lt;=Roster!$D168,FALSE),"",IF(OR(IF(Setup!$C$15&lt;=Setup!$C$16,AND(MONTH(I168)&gt;=Setup!$C$15,MONTH(I168)&lt;=Setup!$C$16),OR(MONTH(I168)&gt;=Setup!$C$15,MONTH(I168)&lt;=Setup!$C$16)),IF(Setup!$C$15&lt;=Setup!$C$16,AND(MONTH(WORKDAY(I168,-(Setup!$C$13+Setup!$G$27),Setup!$C$39:$C$50))&gt;=Setup!$C$15,MONTH(WORKDAY(I168,-(Setup!$C$13+Setup!$G$27),Setup!$C$39:$C$50))&lt;=Setup!$C$16),OR(MONTH(WORKDAY(I168,-(Setup!$C$13+Setup!$G$27),Setup!$C$39:$C$50))&gt;=Setup!$C$15,MONTH(WORKDAY(I168,-(Setup!$C$13+Setup!$G$27),Setup!$C$39:$C$50))&lt;=Setup!$C$16))),WORKDAY(I168,-(Setup!$C$13+Setup!$G$27+Setup!$C$14),Setup!$C$39:$C$50),WORKDAY(I168,-(Setup!$C$13+Setup!$G$27),Setup!$C$39:$C$50))+(163*100+8)/10000000)))</f>
        <v/>
      </c>
      <c r="Z168" t="str">
        <f>IF(J168="","",IF(J168&lt;Setup!$C$5-Setup!$C$6,"",IF(IF(ISNUMBER(Roster!$D168),Setup!$C$28&lt;=Roster!$D168,FALSE),"",IF(OR(IF(Setup!$C$15&lt;=Setup!$C$16,AND(MONTH(J168)&gt;=Setup!$C$15,MONTH(J168)&lt;=Setup!$C$16),OR(MONTH(J168)&gt;=Setup!$C$15,MONTH(J168)&lt;=Setup!$C$16)),IF(Setup!$C$15&lt;=Setup!$C$16,AND(MONTH(WORKDAY(J168,-(Setup!$C$13+Setup!$G$28),Setup!$C$39:$C$50))&gt;=Setup!$C$15,MONTH(WORKDAY(J168,-(Setup!$C$13+Setup!$G$28),Setup!$C$39:$C$50))&lt;=Setup!$C$16),OR(MONTH(WORKDAY(J168,-(Setup!$C$13+Setup!$G$28),Setup!$C$39:$C$50))&gt;=Setup!$C$15,MONTH(WORKDAY(J168,-(Setup!$C$13+Setup!$G$28),Setup!$C$39:$C$50))&lt;=Setup!$C$16))),WORKDAY(J168,-(Setup!$C$13+Setup!$G$28+Setup!$C$14),Setup!$C$39:$C$50),WORKDAY(J168,-(Setup!$C$13+Setup!$G$28),Setup!$C$39:$C$50))+(163*100+9)/10000000)))</f>
        <v/>
      </c>
      <c r="AA168" t="str">
        <f>IF(K168="","",IF(K168&lt;Setup!$C$5-Setup!$C$6,"",IF(IF(ISNUMBER(Roster!$D168),Setup!$C$29&lt;=Roster!$D168,FALSE),"",IF(OR(IF(Setup!$C$15&lt;=Setup!$C$16,AND(MONTH(K168)&gt;=Setup!$C$15,MONTH(K168)&lt;=Setup!$C$16),OR(MONTH(K168)&gt;=Setup!$C$15,MONTH(K168)&lt;=Setup!$C$16)),IF(Setup!$C$15&lt;=Setup!$C$16,AND(MONTH(WORKDAY(K168,-(Setup!$C$13+Setup!$G$29),Setup!$C$39:$C$50))&gt;=Setup!$C$15,MONTH(WORKDAY(K168,-(Setup!$C$13+Setup!$G$29),Setup!$C$39:$C$50))&lt;=Setup!$C$16),OR(MONTH(WORKDAY(K168,-(Setup!$C$13+Setup!$G$29),Setup!$C$39:$C$50))&gt;=Setup!$C$15,MONTH(WORKDAY(K168,-(Setup!$C$13+Setup!$G$29),Setup!$C$39:$C$50))&lt;=Setup!$C$16))),WORKDAY(K168,-(Setup!$C$13+Setup!$G$29+Setup!$C$14),Setup!$C$39:$C$50),WORKDAY(K168,-(Setup!$C$13+Setup!$G$29),Setup!$C$39:$C$50))+(163*100+10)/10000000)))</f>
        <v/>
      </c>
      <c r="AB168" t="str">
        <f>IF(L168="","",IF(L168&lt;Setup!$C$5-Setup!$C$6,"",IF(IF(ISNUMBER(Roster!$D168),Setup!$C$30&lt;=Roster!$D168,FALSE),"",IF(OR(IF(Setup!$C$15&lt;=Setup!$C$16,AND(MONTH(L168)&gt;=Setup!$C$15,MONTH(L168)&lt;=Setup!$C$16),OR(MONTH(L168)&gt;=Setup!$C$15,MONTH(L168)&lt;=Setup!$C$16)),IF(Setup!$C$15&lt;=Setup!$C$16,AND(MONTH(WORKDAY(L168,-(Setup!$C$13+Setup!$G$30),Setup!$C$39:$C$50))&gt;=Setup!$C$15,MONTH(WORKDAY(L168,-(Setup!$C$13+Setup!$G$30),Setup!$C$39:$C$50))&lt;=Setup!$C$16),OR(MONTH(WORKDAY(L168,-(Setup!$C$13+Setup!$G$30),Setup!$C$39:$C$50))&gt;=Setup!$C$15,MONTH(WORKDAY(L168,-(Setup!$C$13+Setup!$G$30),Setup!$C$39:$C$50))&lt;=Setup!$C$16))),WORKDAY(L168,-(Setup!$C$13+Setup!$G$30+Setup!$C$14),Setup!$C$39:$C$50),WORKDAY(L168,-(Setup!$C$13+Setup!$G$30),Setup!$C$39:$C$50))+(163*100+11)/10000000)))</f>
        <v/>
      </c>
      <c r="AC168" t="str">
        <f>IF(M168="","",IF(M168&lt;Setup!$C$5-Setup!$C$6,"",IF(IF(ISNUMBER(Roster!$D168),Setup!$C$31&lt;=Roster!$D168,FALSE),"",IF(OR(IF(Setup!$C$15&lt;=Setup!$C$16,AND(MONTH(M168)&gt;=Setup!$C$15,MONTH(M168)&lt;=Setup!$C$16),OR(MONTH(M168)&gt;=Setup!$C$15,MONTH(M168)&lt;=Setup!$C$16)),IF(Setup!$C$15&lt;=Setup!$C$16,AND(MONTH(WORKDAY(M168,-(Setup!$C$13+Setup!$G$31),Setup!$C$39:$C$50))&gt;=Setup!$C$15,MONTH(WORKDAY(M168,-(Setup!$C$13+Setup!$G$31),Setup!$C$39:$C$50))&lt;=Setup!$C$16),OR(MONTH(WORKDAY(M168,-(Setup!$C$13+Setup!$G$31),Setup!$C$39:$C$50))&gt;=Setup!$C$15,MONTH(WORKDAY(M168,-(Setup!$C$13+Setup!$G$31),Setup!$C$39:$C$50))&lt;=Setup!$C$16))),WORKDAY(M168,-(Setup!$C$13+Setup!$G$31+Setup!$C$14),Setup!$C$39:$C$50),WORKDAY(M168,-(Setup!$C$13+Setup!$G$31),Setup!$C$39:$C$50))+(163*100+12)/10000000)))</f>
        <v/>
      </c>
      <c r="AD168" t="str">
        <f>IF(N168="","",IF(N168&lt;Setup!$C$5-Setup!$C$6,"",IF(IF(ISNUMBER(Roster!$D168),Setup!$C$32&lt;=Roster!$D168,FALSE),"",IF(OR(IF(Setup!$C$15&lt;=Setup!$C$16,AND(MONTH(N168)&gt;=Setup!$C$15,MONTH(N168)&lt;=Setup!$C$16),OR(MONTH(N168)&gt;=Setup!$C$15,MONTH(N168)&lt;=Setup!$C$16)),IF(Setup!$C$15&lt;=Setup!$C$16,AND(MONTH(WORKDAY(N168,-(Setup!$C$13+Setup!$G$32),Setup!$C$39:$C$50))&gt;=Setup!$C$15,MONTH(WORKDAY(N168,-(Setup!$C$13+Setup!$G$32),Setup!$C$39:$C$50))&lt;=Setup!$C$16),OR(MONTH(WORKDAY(N168,-(Setup!$C$13+Setup!$G$32),Setup!$C$39:$C$50))&gt;=Setup!$C$15,MONTH(WORKDAY(N168,-(Setup!$C$13+Setup!$G$32),Setup!$C$39:$C$50))&lt;=Setup!$C$16))),WORKDAY(N168,-(Setup!$C$13+Setup!$G$32+Setup!$C$14),Setup!$C$39:$C$50),WORKDAY(N168,-(Setup!$C$13+Setup!$G$32),Setup!$C$39:$C$50))+(163*100+13)/10000000)))</f>
        <v/>
      </c>
      <c r="AE168" t="str">
        <f>IF(O168="","",IF(O168&lt;Setup!$C$5-Setup!$C$6,"",IF(IF(ISNUMBER(Roster!$D168),Setup!$C$33&lt;=Roster!$D168,FALSE),"",IF(OR(IF(Setup!$C$15&lt;=Setup!$C$16,AND(MONTH(O168)&gt;=Setup!$C$15,MONTH(O168)&lt;=Setup!$C$16),OR(MONTH(O168)&gt;=Setup!$C$15,MONTH(O168)&lt;=Setup!$C$16)),IF(Setup!$C$15&lt;=Setup!$C$16,AND(MONTH(WORKDAY(O168,-(Setup!$C$13+Setup!$G$33),Setup!$C$39:$C$50))&gt;=Setup!$C$15,MONTH(WORKDAY(O168,-(Setup!$C$13+Setup!$G$33),Setup!$C$39:$C$50))&lt;=Setup!$C$16),OR(MONTH(WORKDAY(O168,-(Setup!$C$13+Setup!$G$33),Setup!$C$39:$C$50))&gt;=Setup!$C$15,MONTH(WORKDAY(O168,-(Setup!$C$13+Setup!$G$33),Setup!$C$39:$C$50))&lt;=Setup!$C$16))),WORKDAY(O168,-(Setup!$C$13+Setup!$G$33+Setup!$C$14),Setup!$C$39:$C$50),WORKDAY(O168,-(Setup!$C$13+Setup!$G$33),Setup!$C$39:$C$50))+(163*100+14)/10000000)))</f>
        <v/>
      </c>
      <c r="AF168" t="str">
        <f>IF(P168="","",IF(P168&lt;Setup!$C$5-Setup!$C$6,"",IF(IF(ISNUMBER(Roster!$D168),Setup!$C$34&lt;=Roster!$D168,FALSE),"",IF(OR(IF(Setup!$C$15&lt;=Setup!$C$16,AND(MONTH(P168)&gt;=Setup!$C$15,MONTH(P168)&lt;=Setup!$C$16),OR(MONTH(P168)&gt;=Setup!$C$15,MONTH(P168)&lt;=Setup!$C$16)),IF(Setup!$C$15&lt;=Setup!$C$16,AND(MONTH(WORKDAY(P168,-(Setup!$C$13+Setup!$G$34),Setup!$C$39:$C$50))&gt;=Setup!$C$15,MONTH(WORKDAY(P168,-(Setup!$C$13+Setup!$G$34),Setup!$C$39:$C$50))&lt;=Setup!$C$16),OR(MONTH(WORKDAY(P168,-(Setup!$C$13+Setup!$G$34),Setup!$C$39:$C$50))&gt;=Setup!$C$15,MONTH(WORKDAY(P168,-(Setup!$C$13+Setup!$G$34),Setup!$C$39:$C$50))&lt;=Setup!$C$16))),WORKDAY(P168,-(Setup!$C$13+Setup!$G$34+Setup!$C$14),Setup!$C$39:$C$50),WORKDAY(P168,-(Setup!$C$13+Setup!$G$34),Setup!$C$39:$C$50))+(163*100+15)/10000000)))</f>
        <v/>
      </c>
      <c r="AH168" t="str">
        <f t="shared" si="17"/>
        <v/>
      </c>
      <c r="AI168" t="str">
        <f t="shared" si="18"/>
        <v/>
      </c>
      <c r="AK168" t="str">
        <f ca="1">IF(163&gt;$AK$2,"",SMALL($R$6:$AF$505,163))</f>
        <v/>
      </c>
      <c r="AL168" t="str">
        <f t="shared" ca="1" si="19"/>
        <v/>
      </c>
      <c r="AM168" t="str">
        <f t="shared" ca="1" si="20"/>
        <v/>
      </c>
      <c r="AN168" t="str">
        <f t="shared" ca="1" si="21"/>
        <v/>
      </c>
      <c r="AP168" t="str">
        <f>IF(ISNUMBER(Roster!$B168),MAX(1,YEAR(Setup!$C$5)-YEAR(Roster!$B168)+IF(EDATE(Roster!$B168,12*(YEAR(Setup!$C$5)-YEAR(Roster!$B168)))&lt;Setup!$C$5,1,0)),"")</f>
        <v/>
      </c>
      <c r="AQ168" s="32" t="str">
        <f>IF(AP168="","",EDATE(Roster!$B168,12*AP168))</f>
        <v/>
      </c>
      <c r="AR168" t="str">
        <f>IF(AQ168="","",IF(AQ168&lt;DATE(YEAR(Setup!$C$5)+1,MONTH(Setup!$C$5),DAY(Setup!$C$5)),AQ168+163/1000,""))</f>
        <v/>
      </c>
      <c r="AS168" t="str">
        <f t="shared" si="22"/>
        <v/>
      </c>
      <c r="AT168" t="str">
        <f>IF(AS168="","",IF(ISNUMBER(Roster!$D168),Roster!$D168&gt;=AP168,FALSE))</f>
        <v/>
      </c>
      <c r="AU168" t="str">
        <f t="shared" si="23"/>
        <v/>
      </c>
      <c r="AV168" t="str">
        <f ca="1">IF(163&gt;$AV$2,"",SMALL($AR$6:$AR$505,163))</f>
        <v/>
      </c>
      <c r="AW168" t="str">
        <f t="shared" ca="1" si="24"/>
        <v/>
      </c>
    </row>
    <row r="169" spans="2:49" x14ac:dyDescent="0.2">
      <c r="B169" s="32" t="str">
        <f>IF(AND(ISNUMBER(Roster!$B169),Setup!$B$20="Yes",ISNUMBER(Setup!$C$20)),EDATE(Roster!$B169,12*Setup!$C$20),"")</f>
        <v/>
      </c>
      <c r="C169" s="32" t="str">
        <f>IF(AND(ISNUMBER(Roster!$B169),Setup!$B$21="Yes",ISNUMBER(Setup!$C$21)),EDATE(Roster!$B169,12*Setup!$C$21),"")</f>
        <v/>
      </c>
      <c r="D169" s="32" t="str">
        <f>IF(AND(ISNUMBER(Roster!$B169),Setup!$B$22="Yes",ISNUMBER(Setup!$C$22)),EDATE(Roster!$B169,12*Setup!$C$22),"")</f>
        <v/>
      </c>
      <c r="E169" s="32" t="str">
        <f>IF(AND(ISNUMBER(Roster!$B169),Setup!$B$23="Yes",ISNUMBER(Setup!$C$23)),EDATE(Roster!$B169,12*Setup!$C$23),"")</f>
        <v/>
      </c>
      <c r="F169" s="32" t="str">
        <f>IF(AND(ISNUMBER(Roster!$B169),Setup!$B$24="Yes",ISNUMBER(Setup!$C$24)),EDATE(Roster!$B169,12*Setup!$C$24),"")</f>
        <v/>
      </c>
      <c r="G169" s="32" t="str">
        <f>IF(AND(ISNUMBER(Roster!$B169),Setup!$B$25="Yes",ISNUMBER(Setup!$C$25)),EDATE(Roster!$B169,12*Setup!$C$25),"")</f>
        <v/>
      </c>
      <c r="H169" s="32" t="str">
        <f>IF(AND(ISNUMBER(Roster!$B169),Setup!$B$26="Yes",ISNUMBER(Setup!$C$26)),EDATE(Roster!$B169,12*Setup!$C$26),"")</f>
        <v/>
      </c>
      <c r="I169" s="32" t="str">
        <f>IF(AND(ISNUMBER(Roster!$B169),Setup!$B$27="Yes",ISNUMBER(Setup!$C$27)),EDATE(Roster!$B169,12*Setup!$C$27),"")</f>
        <v/>
      </c>
      <c r="J169" s="32" t="str">
        <f>IF(AND(ISNUMBER(Roster!$B169),Setup!$B$28="Yes",ISNUMBER(Setup!$C$28)),EDATE(Roster!$B169,12*Setup!$C$28),"")</f>
        <v/>
      </c>
      <c r="K169" s="32" t="str">
        <f>IF(AND(ISNUMBER(Roster!$B169),Setup!$B$29="Yes",ISNUMBER(Setup!$C$29)),EDATE(Roster!$B169,12*Setup!$C$29),"")</f>
        <v/>
      </c>
      <c r="L169" s="32" t="str">
        <f>IF(AND(ISNUMBER(Roster!$B169),Setup!$B$30="Yes",ISNUMBER(Setup!$C$30)),EDATE(Roster!$B169,12*Setup!$C$30),"")</f>
        <v/>
      </c>
      <c r="M169" s="32" t="str">
        <f>IF(AND(ISNUMBER(Roster!$B169),Setup!$B$31="Yes",ISNUMBER(Setup!$C$31)),EDATE(Roster!$B169,12*Setup!$C$31),"")</f>
        <v/>
      </c>
      <c r="N169" s="32" t="str">
        <f>IF(AND(ISNUMBER(Roster!$B169),Setup!$B$32="Yes",ISNUMBER(Setup!$C$32)),EDATE(Roster!$B169,12*Setup!$C$32),"")</f>
        <v/>
      </c>
      <c r="O169" s="32" t="str">
        <f>IF(AND(ISNUMBER(Roster!$B169),Setup!$B$33="Yes",ISNUMBER(Setup!$C$33)),EDATE(Roster!$B169,12*Setup!$C$33),"")</f>
        <v/>
      </c>
      <c r="P169" s="32" t="str">
        <f>IF(AND(ISNUMBER(Roster!$B169),Setup!$B$34="Yes",ISNUMBER(Setup!$C$34)),EDATE(Roster!$B169,12*Setup!$C$34),"")</f>
        <v/>
      </c>
      <c r="R169" t="str">
        <f>IF(B169="","",IF(B169&lt;Setup!$C$5-Setup!$C$6,"",IF(IF(ISNUMBER(Roster!$D169),Setup!$C$20&lt;=Roster!$D169,FALSE),"",IF(OR(IF(Setup!$C$15&lt;=Setup!$C$16,AND(MONTH(B169)&gt;=Setup!$C$15,MONTH(B169)&lt;=Setup!$C$16),OR(MONTH(B169)&gt;=Setup!$C$15,MONTH(B169)&lt;=Setup!$C$16)),IF(Setup!$C$15&lt;=Setup!$C$16,AND(MONTH(WORKDAY(B169,-(Setup!$C$13+Setup!$G$20),Setup!$C$39:$C$50))&gt;=Setup!$C$15,MONTH(WORKDAY(B169,-(Setup!$C$13+Setup!$G$20),Setup!$C$39:$C$50))&lt;=Setup!$C$16),OR(MONTH(WORKDAY(B169,-(Setup!$C$13+Setup!$G$20),Setup!$C$39:$C$50))&gt;=Setup!$C$15,MONTH(WORKDAY(B169,-(Setup!$C$13+Setup!$G$20),Setup!$C$39:$C$50))&lt;=Setup!$C$16))),WORKDAY(B169,-(Setup!$C$13+Setup!$G$20+Setup!$C$14),Setup!$C$39:$C$50),WORKDAY(B169,-(Setup!$C$13+Setup!$G$20),Setup!$C$39:$C$50))+(164*100+1)/10000000)))</f>
        <v/>
      </c>
      <c r="S169" t="str">
        <f>IF(C169="","",IF(C169&lt;Setup!$C$5-Setup!$C$6,"",IF(IF(ISNUMBER(Roster!$D169),Setup!$C$21&lt;=Roster!$D169,FALSE),"",IF(OR(IF(Setup!$C$15&lt;=Setup!$C$16,AND(MONTH(C169)&gt;=Setup!$C$15,MONTH(C169)&lt;=Setup!$C$16),OR(MONTH(C169)&gt;=Setup!$C$15,MONTH(C169)&lt;=Setup!$C$16)),IF(Setup!$C$15&lt;=Setup!$C$16,AND(MONTH(WORKDAY(C169,-(Setup!$C$13+Setup!$G$21),Setup!$C$39:$C$50))&gt;=Setup!$C$15,MONTH(WORKDAY(C169,-(Setup!$C$13+Setup!$G$21),Setup!$C$39:$C$50))&lt;=Setup!$C$16),OR(MONTH(WORKDAY(C169,-(Setup!$C$13+Setup!$G$21),Setup!$C$39:$C$50))&gt;=Setup!$C$15,MONTH(WORKDAY(C169,-(Setup!$C$13+Setup!$G$21),Setup!$C$39:$C$50))&lt;=Setup!$C$16))),WORKDAY(C169,-(Setup!$C$13+Setup!$G$21+Setup!$C$14),Setup!$C$39:$C$50),WORKDAY(C169,-(Setup!$C$13+Setup!$G$21),Setup!$C$39:$C$50))+(164*100+2)/10000000)))</f>
        <v/>
      </c>
      <c r="T169" t="str">
        <f>IF(D169="","",IF(D169&lt;Setup!$C$5-Setup!$C$6,"",IF(IF(ISNUMBER(Roster!$D169),Setup!$C$22&lt;=Roster!$D169,FALSE),"",IF(OR(IF(Setup!$C$15&lt;=Setup!$C$16,AND(MONTH(D169)&gt;=Setup!$C$15,MONTH(D169)&lt;=Setup!$C$16),OR(MONTH(D169)&gt;=Setup!$C$15,MONTH(D169)&lt;=Setup!$C$16)),IF(Setup!$C$15&lt;=Setup!$C$16,AND(MONTH(WORKDAY(D169,-(Setup!$C$13+Setup!$G$22),Setup!$C$39:$C$50))&gt;=Setup!$C$15,MONTH(WORKDAY(D169,-(Setup!$C$13+Setup!$G$22),Setup!$C$39:$C$50))&lt;=Setup!$C$16),OR(MONTH(WORKDAY(D169,-(Setup!$C$13+Setup!$G$22),Setup!$C$39:$C$50))&gt;=Setup!$C$15,MONTH(WORKDAY(D169,-(Setup!$C$13+Setup!$G$22),Setup!$C$39:$C$50))&lt;=Setup!$C$16))),WORKDAY(D169,-(Setup!$C$13+Setup!$G$22+Setup!$C$14),Setup!$C$39:$C$50),WORKDAY(D169,-(Setup!$C$13+Setup!$G$22),Setup!$C$39:$C$50))+(164*100+3)/10000000)))</f>
        <v/>
      </c>
      <c r="U169" t="str">
        <f>IF(E169="","",IF(E169&lt;Setup!$C$5-Setup!$C$6,"",IF(IF(ISNUMBER(Roster!$D169),Setup!$C$23&lt;=Roster!$D169,FALSE),"",IF(OR(IF(Setup!$C$15&lt;=Setup!$C$16,AND(MONTH(E169)&gt;=Setup!$C$15,MONTH(E169)&lt;=Setup!$C$16),OR(MONTH(E169)&gt;=Setup!$C$15,MONTH(E169)&lt;=Setup!$C$16)),IF(Setup!$C$15&lt;=Setup!$C$16,AND(MONTH(WORKDAY(E169,-(Setup!$C$13+Setup!$G$23),Setup!$C$39:$C$50))&gt;=Setup!$C$15,MONTH(WORKDAY(E169,-(Setup!$C$13+Setup!$G$23),Setup!$C$39:$C$50))&lt;=Setup!$C$16),OR(MONTH(WORKDAY(E169,-(Setup!$C$13+Setup!$G$23),Setup!$C$39:$C$50))&gt;=Setup!$C$15,MONTH(WORKDAY(E169,-(Setup!$C$13+Setup!$G$23),Setup!$C$39:$C$50))&lt;=Setup!$C$16))),WORKDAY(E169,-(Setup!$C$13+Setup!$G$23+Setup!$C$14),Setup!$C$39:$C$50),WORKDAY(E169,-(Setup!$C$13+Setup!$G$23),Setup!$C$39:$C$50))+(164*100+4)/10000000)))</f>
        <v/>
      </c>
      <c r="V169" t="str">
        <f>IF(F169="","",IF(F169&lt;Setup!$C$5-Setup!$C$6,"",IF(IF(ISNUMBER(Roster!$D169),Setup!$C$24&lt;=Roster!$D169,FALSE),"",IF(OR(IF(Setup!$C$15&lt;=Setup!$C$16,AND(MONTH(F169)&gt;=Setup!$C$15,MONTH(F169)&lt;=Setup!$C$16),OR(MONTH(F169)&gt;=Setup!$C$15,MONTH(F169)&lt;=Setup!$C$16)),IF(Setup!$C$15&lt;=Setup!$C$16,AND(MONTH(WORKDAY(F169,-(Setup!$C$13+Setup!$G$24),Setup!$C$39:$C$50))&gt;=Setup!$C$15,MONTH(WORKDAY(F169,-(Setup!$C$13+Setup!$G$24),Setup!$C$39:$C$50))&lt;=Setup!$C$16),OR(MONTH(WORKDAY(F169,-(Setup!$C$13+Setup!$G$24),Setup!$C$39:$C$50))&gt;=Setup!$C$15,MONTH(WORKDAY(F169,-(Setup!$C$13+Setup!$G$24),Setup!$C$39:$C$50))&lt;=Setup!$C$16))),WORKDAY(F169,-(Setup!$C$13+Setup!$G$24+Setup!$C$14),Setup!$C$39:$C$50),WORKDAY(F169,-(Setup!$C$13+Setup!$G$24),Setup!$C$39:$C$50))+(164*100+5)/10000000)))</f>
        <v/>
      </c>
      <c r="W169" t="str">
        <f>IF(G169="","",IF(G169&lt;Setup!$C$5-Setup!$C$6,"",IF(IF(ISNUMBER(Roster!$D169),Setup!$C$25&lt;=Roster!$D169,FALSE),"",IF(OR(IF(Setup!$C$15&lt;=Setup!$C$16,AND(MONTH(G169)&gt;=Setup!$C$15,MONTH(G169)&lt;=Setup!$C$16),OR(MONTH(G169)&gt;=Setup!$C$15,MONTH(G169)&lt;=Setup!$C$16)),IF(Setup!$C$15&lt;=Setup!$C$16,AND(MONTH(WORKDAY(G169,-(Setup!$C$13+Setup!$G$25),Setup!$C$39:$C$50))&gt;=Setup!$C$15,MONTH(WORKDAY(G169,-(Setup!$C$13+Setup!$G$25),Setup!$C$39:$C$50))&lt;=Setup!$C$16),OR(MONTH(WORKDAY(G169,-(Setup!$C$13+Setup!$G$25),Setup!$C$39:$C$50))&gt;=Setup!$C$15,MONTH(WORKDAY(G169,-(Setup!$C$13+Setup!$G$25),Setup!$C$39:$C$50))&lt;=Setup!$C$16))),WORKDAY(G169,-(Setup!$C$13+Setup!$G$25+Setup!$C$14),Setup!$C$39:$C$50),WORKDAY(G169,-(Setup!$C$13+Setup!$G$25),Setup!$C$39:$C$50))+(164*100+6)/10000000)))</f>
        <v/>
      </c>
      <c r="X169" t="str">
        <f>IF(H169="","",IF(H169&lt;Setup!$C$5-Setup!$C$6,"",IF(IF(ISNUMBER(Roster!$D169),Setup!$C$26&lt;=Roster!$D169,FALSE),"",IF(OR(IF(Setup!$C$15&lt;=Setup!$C$16,AND(MONTH(H169)&gt;=Setup!$C$15,MONTH(H169)&lt;=Setup!$C$16),OR(MONTH(H169)&gt;=Setup!$C$15,MONTH(H169)&lt;=Setup!$C$16)),IF(Setup!$C$15&lt;=Setup!$C$16,AND(MONTH(WORKDAY(H169,-(Setup!$C$13+Setup!$G$26),Setup!$C$39:$C$50))&gt;=Setup!$C$15,MONTH(WORKDAY(H169,-(Setup!$C$13+Setup!$G$26),Setup!$C$39:$C$50))&lt;=Setup!$C$16),OR(MONTH(WORKDAY(H169,-(Setup!$C$13+Setup!$G$26),Setup!$C$39:$C$50))&gt;=Setup!$C$15,MONTH(WORKDAY(H169,-(Setup!$C$13+Setup!$G$26),Setup!$C$39:$C$50))&lt;=Setup!$C$16))),WORKDAY(H169,-(Setup!$C$13+Setup!$G$26+Setup!$C$14),Setup!$C$39:$C$50),WORKDAY(H169,-(Setup!$C$13+Setup!$G$26),Setup!$C$39:$C$50))+(164*100+7)/10000000)))</f>
        <v/>
      </c>
      <c r="Y169" t="str">
        <f>IF(I169="","",IF(I169&lt;Setup!$C$5-Setup!$C$6,"",IF(IF(ISNUMBER(Roster!$D169),Setup!$C$27&lt;=Roster!$D169,FALSE),"",IF(OR(IF(Setup!$C$15&lt;=Setup!$C$16,AND(MONTH(I169)&gt;=Setup!$C$15,MONTH(I169)&lt;=Setup!$C$16),OR(MONTH(I169)&gt;=Setup!$C$15,MONTH(I169)&lt;=Setup!$C$16)),IF(Setup!$C$15&lt;=Setup!$C$16,AND(MONTH(WORKDAY(I169,-(Setup!$C$13+Setup!$G$27),Setup!$C$39:$C$50))&gt;=Setup!$C$15,MONTH(WORKDAY(I169,-(Setup!$C$13+Setup!$G$27),Setup!$C$39:$C$50))&lt;=Setup!$C$16),OR(MONTH(WORKDAY(I169,-(Setup!$C$13+Setup!$G$27),Setup!$C$39:$C$50))&gt;=Setup!$C$15,MONTH(WORKDAY(I169,-(Setup!$C$13+Setup!$G$27),Setup!$C$39:$C$50))&lt;=Setup!$C$16))),WORKDAY(I169,-(Setup!$C$13+Setup!$G$27+Setup!$C$14),Setup!$C$39:$C$50),WORKDAY(I169,-(Setup!$C$13+Setup!$G$27),Setup!$C$39:$C$50))+(164*100+8)/10000000)))</f>
        <v/>
      </c>
      <c r="Z169" t="str">
        <f>IF(J169="","",IF(J169&lt;Setup!$C$5-Setup!$C$6,"",IF(IF(ISNUMBER(Roster!$D169),Setup!$C$28&lt;=Roster!$D169,FALSE),"",IF(OR(IF(Setup!$C$15&lt;=Setup!$C$16,AND(MONTH(J169)&gt;=Setup!$C$15,MONTH(J169)&lt;=Setup!$C$16),OR(MONTH(J169)&gt;=Setup!$C$15,MONTH(J169)&lt;=Setup!$C$16)),IF(Setup!$C$15&lt;=Setup!$C$16,AND(MONTH(WORKDAY(J169,-(Setup!$C$13+Setup!$G$28),Setup!$C$39:$C$50))&gt;=Setup!$C$15,MONTH(WORKDAY(J169,-(Setup!$C$13+Setup!$G$28),Setup!$C$39:$C$50))&lt;=Setup!$C$16),OR(MONTH(WORKDAY(J169,-(Setup!$C$13+Setup!$G$28),Setup!$C$39:$C$50))&gt;=Setup!$C$15,MONTH(WORKDAY(J169,-(Setup!$C$13+Setup!$G$28),Setup!$C$39:$C$50))&lt;=Setup!$C$16))),WORKDAY(J169,-(Setup!$C$13+Setup!$G$28+Setup!$C$14),Setup!$C$39:$C$50),WORKDAY(J169,-(Setup!$C$13+Setup!$G$28),Setup!$C$39:$C$50))+(164*100+9)/10000000)))</f>
        <v/>
      </c>
      <c r="AA169" t="str">
        <f>IF(K169="","",IF(K169&lt;Setup!$C$5-Setup!$C$6,"",IF(IF(ISNUMBER(Roster!$D169),Setup!$C$29&lt;=Roster!$D169,FALSE),"",IF(OR(IF(Setup!$C$15&lt;=Setup!$C$16,AND(MONTH(K169)&gt;=Setup!$C$15,MONTH(K169)&lt;=Setup!$C$16),OR(MONTH(K169)&gt;=Setup!$C$15,MONTH(K169)&lt;=Setup!$C$16)),IF(Setup!$C$15&lt;=Setup!$C$16,AND(MONTH(WORKDAY(K169,-(Setup!$C$13+Setup!$G$29),Setup!$C$39:$C$50))&gt;=Setup!$C$15,MONTH(WORKDAY(K169,-(Setup!$C$13+Setup!$G$29),Setup!$C$39:$C$50))&lt;=Setup!$C$16),OR(MONTH(WORKDAY(K169,-(Setup!$C$13+Setup!$G$29),Setup!$C$39:$C$50))&gt;=Setup!$C$15,MONTH(WORKDAY(K169,-(Setup!$C$13+Setup!$G$29),Setup!$C$39:$C$50))&lt;=Setup!$C$16))),WORKDAY(K169,-(Setup!$C$13+Setup!$G$29+Setup!$C$14),Setup!$C$39:$C$50),WORKDAY(K169,-(Setup!$C$13+Setup!$G$29),Setup!$C$39:$C$50))+(164*100+10)/10000000)))</f>
        <v/>
      </c>
      <c r="AB169" t="str">
        <f>IF(L169="","",IF(L169&lt;Setup!$C$5-Setup!$C$6,"",IF(IF(ISNUMBER(Roster!$D169),Setup!$C$30&lt;=Roster!$D169,FALSE),"",IF(OR(IF(Setup!$C$15&lt;=Setup!$C$16,AND(MONTH(L169)&gt;=Setup!$C$15,MONTH(L169)&lt;=Setup!$C$16),OR(MONTH(L169)&gt;=Setup!$C$15,MONTH(L169)&lt;=Setup!$C$16)),IF(Setup!$C$15&lt;=Setup!$C$16,AND(MONTH(WORKDAY(L169,-(Setup!$C$13+Setup!$G$30),Setup!$C$39:$C$50))&gt;=Setup!$C$15,MONTH(WORKDAY(L169,-(Setup!$C$13+Setup!$G$30),Setup!$C$39:$C$50))&lt;=Setup!$C$16),OR(MONTH(WORKDAY(L169,-(Setup!$C$13+Setup!$G$30),Setup!$C$39:$C$50))&gt;=Setup!$C$15,MONTH(WORKDAY(L169,-(Setup!$C$13+Setup!$G$30),Setup!$C$39:$C$50))&lt;=Setup!$C$16))),WORKDAY(L169,-(Setup!$C$13+Setup!$G$30+Setup!$C$14),Setup!$C$39:$C$50),WORKDAY(L169,-(Setup!$C$13+Setup!$G$30),Setup!$C$39:$C$50))+(164*100+11)/10000000)))</f>
        <v/>
      </c>
      <c r="AC169" t="str">
        <f>IF(M169="","",IF(M169&lt;Setup!$C$5-Setup!$C$6,"",IF(IF(ISNUMBER(Roster!$D169),Setup!$C$31&lt;=Roster!$D169,FALSE),"",IF(OR(IF(Setup!$C$15&lt;=Setup!$C$16,AND(MONTH(M169)&gt;=Setup!$C$15,MONTH(M169)&lt;=Setup!$C$16),OR(MONTH(M169)&gt;=Setup!$C$15,MONTH(M169)&lt;=Setup!$C$16)),IF(Setup!$C$15&lt;=Setup!$C$16,AND(MONTH(WORKDAY(M169,-(Setup!$C$13+Setup!$G$31),Setup!$C$39:$C$50))&gt;=Setup!$C$15,MONTH(WORKDAY(M169,-(Setup!$C$13+Setup!$G$31),Setup!$C$39:$C$50))&lt;=Setup!$C$16),OR(MONTH(WORKDAY(M169,-(Setup!$C$13+Setup!$G$31),Setup!$C$39:$C$50))&gt;=Setup!$C$15,MONTH(WORKDAY(M169,-(Setup!$C$13+Setup!$G$31),Setup!$C$39:$C$50))&lt;=Setup!$C$16))),WORKDAY(M169,-(Setup!$C$13+Setup!$G$31+Setup!$C$14),Setup!$C$39:$C$50),WORKDAY(M169,-(Setup!$C$13+Setup!$G$31),Setup!$C$39:$C$50))+(164*100+12)/10000000)))</f>
        <v/>
      </c>
      <c r="AD169" t="str">
        <f>IF(N169="","",IF(N169&lt;Setup!$C$5-Setup!$C$6,"",IF(IF(ISNUMBER(Roster!$D169),Setup!$C$32&lt;=Roster!$D169,FALSE),"",IF(OR(IF(Setup!$C$15&lt;=Setup!$C$16,AND(MONTH(N169)&gt;=Setup!$C$15,MONTH(N169)&lt;=Setup!$C$16),OR(MONTH(N169)&gt;=Setup!$C$15,MONTH(N169)&lt;=Setup!$C$16)),IF(Setup!$C$15&lt;=Setup!$C$16,AND(MONTH(WORKDAY(N169,-(Setup!$C$13+Setup!$G$32),Setup!$C$39:$C$50))&gt;=Setup!$C$15,MONTH(WORKDAY(N169,-(Setup!$C$13+Setup!$G$32),Setup!$C$39:$C$50))&lt;=Setup!$C$16),OR(MONTH(WORKDAY(N169,-(Setup!$C$13+Setup!$G$32),Setup!$C$39:$C$50))&gt;=Setup!$C$15,MONTH(WORKDAY(N169,-(Setup!$C$13+Setup!$G$32),Setup!$C$39:$C$50))&lt;=Setup!$C$16))),WORKDAY(N169,-(Setup!$C$13+Setup!$G$32+Setup!$C$14),Setup!$C$39:$C$50),WORKDAY(N169,-(Setup!$C$13+Setup!$G$32),Setup!$C$39:$C$50))+(164*100+13)/10000000)))</f>
        <v/>
      </c>
      <c r="AE169" t="str">
        <f>IF(O169="","",IF(O169&lt;Setup!$C$5-Setup!$C$6,"",IF(IF(ISNUMBER(Roster!$D169),Setup!$C$33&lt;=Roster!$D169,FALSE),"",IF(OR(IF(Setup!$C$15&lt;=Setup!$C$16,AND(MONTH(O169)&gt;=Setup!$C$15,MONTH(O169)&lt;=Setup!$C$16),OR(MONTH(O169)&gt;=Setup!$C$15,MONTH(O169)&lt;=Setup!$C$16)),IF(Setup!$C$15&lt;=Setup!$C$16,AND(MONTH(WORKDAY(O169,-(Setup!$C$13+Setup!$G$33),Setup!$C$39:$C$50))&gt;=Setup!$C$15,MONTH(WORKDAY(O169,-(Setup!$C$13+Setup!$G$33),Setup!$C$39:$C$50))&lt;=Setup!$C$16),OR(MONTH(WORKDAY(O169,-(Setup!$C$13+Setup!$G$33),Setup!$C$39:$C$50))&gt;=Setup!$C$15,MONTH(WORKDAY(O169,-(Setup!$C$13+Setup!$G$33),Setup!$C$39:$C$50))&lt;=Setup!$C$16))),WORKDAY(O169,-(Setup!$C$13+Setup!$G$33+Setup!$C$14),Setup!$C$39:$C$50),WORKDAY(O169,-(Setup!$C$13+Setup!$G$33),Setup!$C$39:$C$50))+(164*100+14)/10000000)))</f>
        <v/>
      </c>
      <c r="AF169" t="str">
        <f>IF(P169="","",IF(P169&lt;Setup!$C$5-Setup!$C$6,"",IF(IF(ISNUMBER(Roster!$D169),Setup!$C$34&lt;=Roster!$D169,FALSE),"",IF(OR(IF(Setup!$C$15&lt;=Setup!$C$16,AND(MONTH(P169)&gt;=Setup!$C$15,MONTH(P169)&lt;=Setup!$C$16),OR(MONTH(P169)&gt;=Setup!$C$15,MONTH(P169)&lt;=Setup!$C$16)),IF(Setup!$C$15&lt;=Setup!$C$16,AND(MONTH(WORKDAY(P169,-(Setup!$C$13+Setup!$G$34),Setup!$C$39:$C$50))&gt;=Setup!$C$15,MONTH(WORKDAY(P169,-(Setup!$C$13+Setup!$G$34),Setup!$C$39:$C$50))&lt;=Setup!$C$16),OR(MONTH(WORKDAY(P169,-(Setup!$C$13+Setup!$G$34),Setup!$C$39:$C$50))&gt;=Setup!$C$15,MONTH(WORKDAY(P169,-(Setup!$C$13+Setup!$G$34),Setup!$C$39:$C$50))&lt;=Setup!$C$16))),WORKDAY(P169,-(Setup!$C$13+Setup!$G$34+Setup!$C$14),Setup!$C$39:$C$50),WORKDAY(P169,-(Setup!$C$13+Setup!$G$34),Setup!$C$39:$C$50))+(164*100+15)/10000000)))</f>
        <v/>
      </c>
      <c r="AH169" t="str">
        <f t="shared" si="17"/>
        <v/>
      </c>
      <c r="AI169" t="str">
        <f t="shared" si="18"/>
        <v/>
      </c>
      <c r="AK169" t="str">
        <f ca="1">IF(164&gt;$AK$2,"",SMALL($R$6:$AF$505,164))</f>
        <v/>
      </c>
      <c r="AL169" t="str">
        <f t="shared" ca="1" si="19"/>
        <v/>
      </c>
      <c r="AM169" t="str">
        <f t="shared" ca="1" si="20"/>
        <v/>
      </c>
      <c r="AN169" t="str">
        <f t="shared" ca="1" si="21"/>
        <v/>
      </c>
      <c r="AP169" t="str">
        <f>IF(ISNUMBER(Roster!$B169),MAX(1,YEAR(Setup!$C$5)-YEAR(Roster!$B169)+IF(EDATE(Roster!$B169,12*(YEAR(Setup!$C$5)-YEAR(Roster!$B169)))&lt;Setup!$C$5,1,0)),"")</f>
        <v/>
      </c>
      <c r="AQ169" s="32" t="str">
        <f>IF(AP169="","",EDATE(Roster!$B169,12*AP169))</f>
        <v/>
      </c>
      <c r="AR169" t="str">
        <f>IF(AQ169="","",IF(AQ169&lt;DATE(YEAR(Setup!$C$5)+1,MONTH(Setup!$C$5),DAY(Setup!$C$5)),AQ169+164/1000,""))</f>
        <v/>
      </c>
      <c r="AS169" t="str">
        <f t="shared" si="22"/>
        <v/>
      </c>
      <c r="AT169" t="str">
        <f>IF(AS169="","",IF(ISNUMBER(Roster!$D169),Roster!$D169&gt;=AP169,FALSE))</f>
        <v/>
      </c>
      <c r="AU169" t="str">
        <f t="shared" si="23"/>
        <v/>
      </c>
      <c r="AV169" t="str">
        <f ca="1">IF(164&gt;$AV$2,"",SMALL($AR$6:$AR$505,164))</f>
        <v/>
      </c>
      <c r="AW169" t="str">
        <f t="shared" ca="1" si="24"/>
        <v/>
      </c>
    </row>
    <row r="170" spans="2:49" x14ac:dyDescent="0.2">
      <c r="B170" s="32" t="str">
        <f>IF(AND(ISNUMBER(Roster!$B170),Setup!$B$20="Yes",ISNUMBER(Setup!$C$20)),EDATE(Roster!$B170,12*Setup!$C$20),"")</f>
        <v/>
      </c>
      <c r="C170" s="32" t="str">
        <f>IF(AND(ISNUMBER(Roster!$B170),Setup!$B$21="Yes",ISNUMBER(Setup!$C$21)),EDATE(Roster!$B170,12*Setup!$C$21),"")</f>
        <v/>
      </c>
      <c r="D170" s="32" t="str">
        <f>IF(AND(ISNUMBER(Roster!$B170),Setup!$B$22="Yes",ISNUMBER(Setup!$C$22)),EDATE(Roster!$B170,12*Setup!$C$22),"")</f>
        <v/>
      </c>
      <c r="E170" s="32" t="str">
        <f>IF(AND(ISNUMBER(Roster!$B170),Setup!$B$23="Yes",ISNUMBER(Setup!$C$23)),EDATE(Roster!$B170,12*Setup!$C$23),"")</f>
        <v/>
      </c>
      <c r="F170" s="32" t="str">
        <f>IF(AND(ISNUMBER(Roster!$B170),Setup!$B$24="Yes",ISNUMBER(Setup!$C$24)),EDATE(Roster!$B170,12*Setup!$C$24),"")</f>
        <v/>
      </c>
      <c r="G170" s="32" t="str">
        <f>IF(AND(ISNUMBER(Roster!$B170),Setup!$B$25="Yes",ISNUMBER(Setup!$C$25)),EDATE(Roster!$B170,12*Setup!$C$25),"")</f>
        <v/>
      </c>
      <c r="H170" s="32" t="str">
        <f>IF(AND(ISNUMBER(Roster!$B170),Setup!$B$26="Yes",ISNUMBER(Setup!$C$26)),EDATE(Roster!$B170,12*Setup!$C$26),"")</f>
        <v/>
      </c>
      <c r="I170" s="32" t="str">
        <f>IF(AND(ISNUMBER(Roster!$B170),Setup!$B$27="Yes",ISNUMBER(Setup!$C$27)),EDATE(Roster!$B170,12*Setup!$C$27),"")</f>
        <v/>
      </c>
      <c r="J170" s="32" t="str">
        <f>IF(AND(ISNUMBER(Roster!$B170),Setup!$B$28="Yes",ISNUMBER(Setup!$C$28)),EDATE(Roster!$B170,12*Setup!$C$28),"")</f>
        <v/>
      </c>
      <c r="K170" s="32" t="str">
        <f>IF(AND(ISNUMBER(Roster!$B170),Setup!$B$29="Yes",ISNUMBER(Setup!$C$29)),EDATE(Roster!$B170,12*Setup!$C$29),"")</f>
        <v/>
      </c>
      <c r="L170" s="32" t="str">
        <f>IF(AND(ISNUMBER(Roster!$B170),Setup!$B$30="Yes",ISNUMBER(Setup!$C$30)),EDATE(Roster!$B170,12*Setup!$C$30),"")</f>
        <v/>
      </c>
      <c r="M170" s="32" t="str">
        <f>IF(AND(ISNUMBER(Roster!$B170),Setup!$B$31="Yes",ISNUMBER(Setup!$C$31)),EDATE(Roster!$B170,12*Setup!$C$31),"")</f>
        <v/>
      </c>
      <c r="N170" s="32" t="str">
        <f>IF(AND(ISNUMBER(Roster!$B170),Setup!$B$32="Yes",ISNUMBER(Setup!$C$32)),EDATE(Roster!$B170,12*Setup!$C$32),"")</f>
        <v/>
      </c>
      <c r="O170" s="32" t="str">
        <f>IF(AND(ISNUMBER(Roster!$B170),Setup!$B$33="Yes",ISNUMBER(Setup!$C$33)),EDATE(Roster!$B170,12*Setup!$C$33),"")</f>
        <v/>
      </c>
      <c r="P170" s="32" t="str">
        <f>IF(AND(ISNUMBER(Roster!$B170),Setup!$B$34="Yes",ISNUMBER(Setup!$C$34)),EDATE(Roster!$B170,12*Setup!$C$34),"")</f>
        <v/>
      </c>
      <c r="R170" t="str">
        <f>IF(B170="","",IF(B170&lt;Setup!$C$5-Setup!$C$6,"",IF(IF(ISNUMBER(Roster!$D170),Setup!$C$20&lt;=Roster!$D170,FALSE),"",IF(OR(IF(Setup!$C$15&lt;=Setup!$C$16,AND(MONTH(B170)&gt;=Setup!$C$15,MONTH(B170)&lt;=Setup!$C$16),OR(MONTH(B170)&gt;=Setup!$C$15,MONTH(B170)&lt;=Setup!$C$16)),IF(Setup!$C$15&lt;=Setup!$C$16,AND(MONTH(WORKDAY(B170,-(Setup!$C$13+Setup!$G$20),Setup!$C$39:$C$50))&gt;=Setup!$C$15,MONTH(WORKDAY(B170,-(Setup!$C$13+Setup!$G$20),Setup!$C$39:$C$50))&lt;=Setup!$C$16),OR(MONTH(WORKDAY(B170,-(Setup!$C$13+Setup!$G$20),Setup!$C$39:$C$50))&gt;=Setup!$C$15,MONTH(WORKDAY(B170,-(Setup!$C$13+Setup!$G$20),Setup!$C$39:$C$50))&lt;=Setup!$C$16))),WORKDAY(B170,-(Setup!$C$13+Setup!$G$20+Setup!$C$14),Setup!$C$39:$C$50),WORKDAY(B170,-(Setup!$C$13+Setup!$G$20),Setup!$C$39:$C$50))+(165*100+1)/10000000)))</f>
        <v/>
      </c>
      <c r="S170" t="str">
        <f>IF(C170="","",IF(C170&lt;Setup!$C$5-Setup!$C$6,"",IF(IF(ISNUMBER(Roster!$D170),Setup!$C$21&lt;=Roster!$D170,FALSE),"",IF(OR(IF(Setup!$C$15&lt;=Setup!$C$16,AND(MONTH(C170)&gt;=Setup!$C$15,MONTH(C170)&lt;=Setup!$C$16),OR(MONTH(C170)&gt;=Setup!$C$15,MONTH(C170)&lt;=Setup!$C$16)),IF(Setup!$C$15&lt;=Setup!$C$16,AND(MONTH(WORKDAY(C170,-(Setup!$C$13+Setup!$G$21),Setup!$C$39:$C$50))&gt;=Setup!$C$15,MONTH(WORKDAY(C170,-(Setup!$C$13+Setup!$G$21),Setup!$C$39:$C$50))&lt;=Setup!$C$16),OR(MONTH(WORKDAY(C170,-(Setup!$C$13+Setup!$G$21),Setup!$C$39:$C$50))&gt;=Setup!$C$15,MONTH(WORKDAY(C170,-(Setup!$C$13+Setup!$G$21),Setup!$C$39:$C$50))&lt;=Setup!$C$16))),WORKDAY(C170,-(Setup!$C$13+Setup!$G$21+Setup!$C$14),Setup!$C$39:$C$50),WORKDAY(C170,-(Setup!$C$13+Setup!$G$21),Setup!$C$39:$C$50))+(165*100+2)/10000000)))</f>
        <v/>
      </c>
      <c r="T170" t="str">
        <f>IF(D170="","",IF(D170&lt;Setup!$C$5-Setup!$C$6,"",IF(IF(ISNUMBER(Roster!$D170),Setup!$C$22&lt;=Roster!$D170,FALSE),"",IF(OR(IF(Setup!$C$15&lt;=Setup!$C$16,AND(MONTH(D170)&gt;=Setup!$C$15,MONTH(D170)&lt;=Setup!$C$16),OR(MONTH(D170)&gt;=Setup!$C$15,MONTH(D170)&lt;=Setup!$C$16)),IF(Setup!$C$15&lt;=Setup!$C$16,AND(MONTH(WORKDAY(D170,-(Setup!$C$13+Setup!$G$22),Setup!$C$39:$C$50))&gt;=Setup!$C$15,MONTH(WORKDAY(D170,-(Setup!$C$13+Setup!$G$22),Setup!$C$39:$C$50))&lt;=Setup!$C$16),OR(MONTH(WORKDAY(D170,-(Setup!$C$13+Setup!$G$22),Setup!$C$39:$C$50))&gt;=Setup!$C$15,MONTH(WORKDAY(D170,-(Setup!$C$13+Setup!$G$22),Setup!$C$39:$C$50))&lt;=Setup!$C$16))),WORKDAY(D170,-(Setup!$C$13+Setup!$G$22+Setup!$C$14),Setup!$C$39:$C$50),WORKDAY(D170,-(Setup!$C$13+Setup!$G$22),Setup!$C$39:$C$50))+(165*100+3)/10000000)))</f>
        <v/>
      </c>
      <c r="U170" t="str">
        <f>IF(E170="","",IF(E170&lt;Setup!$C$5-Setup!$C$6,"",IF(IF(ISNUMBER(Roster!$D170),Setup!$C$23&lt;=Roster!$D170,FALSE),"",IF(OR(IF(Setup!$C$15&lt;=Setup!$C$16,AND(MONTH(E170)&gt;=Setup!$C$15,MONTH(E170)&lt;=Setup!$C$16),OR(MONTH(E170)&gt;=Setup!$C$15,MONTH(E170)&lt;=Setup!$C$16)),IF(Setup!$C$15&lt;=Setup!$C$16,AND(MONTH(WORKDAY(E170,-(Setup!$C$13+Setup!$G$23),Setup!$C$39:$C$50))&gt;=Setup!$C$15,MONTH(WORKDAY(E170,-(Setup!$C$13+Setup!$G$23),Setup!$C$39:$C$50))&lt;=Setup!$C$16),OR(MONTH(WORKDAY(E170,-(Setup!$C$13+Setup!$G$23),Setup!$C$39:$C$50))&gt;=Setup!$C$15,MONTH(WORKDAY(E170,-(Setup!$C$13+Setup!$G$23),Setup!$C$39:$C$50))&lt;=Setup!$C$16))),WORKDAY(E170,-(Setup!$C$13+Setup!$G$23+Setup!$C$14),Setup!$C$39:$C$50),WORKDAY(E170,-(Setup!$C$13+Setup!$G$23),Setup!$C$39:$C$50))+(165*100+4)/10000000)))</f>
        <v/>
      </c>
      <c r="V170" t="str">
        <f>IF(F170="","",IF(F170&lt;Setup!$C$5-Setup!$C$6,"",IF(IF(ISNUMBER(Roster!$D170),Setup!$C$24&lt;=Roster!$D170,FALSE),"",IF(OR(IF(Setup!$C$15&lt;=Setup!$C$16,AND(MONTH(F170)&gt;=Setup!$C$15,MONTH(F170)&lt;=Setup!$C$16),OR(MONTH(F170)&gt;=Setup!$C$15,MONTH(F170)&lt;=Setup!$C$16)),IF(Setup!$C$15&lt;=Setup!$C$16,AND(MONTH(WORKDAY(F170,-(Setup!$C$13+Setup!$G$24),Setup!$C$39:$C$50))&gt;=Setup!$C$15,MONTH(WORKDAY(F170,-(Setup!$C$13+Setup!$G$24),Setup!$C$39:$C$50))&lt;=Setup!$C$16),OR(MONTH(WORKDAY(F170,-(Setup!$C$13+Setup!$G$24),Setup!$C$39:$C$50))&gt;=Setup!$C$15,MONTH(WORKDAY(F170,-(Setup!$C$13+Setup!$G$24),Setup!$C$39:$C$50))&lt;=Setup!$C$16))),WORKDAY(F170,-(Setup!$C$13+Setup!$G$24+Setup!$C$14),Setup!$C$39:$C$50),WORKDAY(F170,-(Setup!$C$13+Setup!$G$24),Setup!$C$39:$C$50))+(165*100+5)/10000000)))</f>
        <v/>
      </c>
      <c r="W170" t="str">
        <f>IF(G170="","",IF(G170&lt;Setup!$C$5-Setup!$C$6,"",IF(IF(ISNUMBER(Roster!$D170),Setup!$C$25&lt;=Roster!$D170,FALSE),"",IF(OR(IF(Setup!$C$15&lt;=Setup!$C$16,AND(MONTH(G170)&gt;=Setup!$C$15,MONTH(G170)&lt;=Setup!$C$16),OR(MONTH(G170)&gt;=Setup!$C$15,MONTH(G170)&lt;=Setup!$C$16)),IF(Setup!$C$15&lt;=Setup!$C$16,AND(MONTH(WORKDAY(G170,-(Setup!$C$13+Setup!$G$25),Setup!$C$39:$C$50))&gt;=Setup!$C$15,MONTH(WORKDAY(G170,-(Setup!$C$13+Setup!$G$25),Setup!$C$39:$C$50))&lt;=Setup!$C$16),OR(MONTH(WORKDAY(G170,-(Setup!$C$13+Setup!$G$25),Setup!$C$39:$C$50))&gt;=Setup!$C$15,MONTH(WORKDAY(G170,-(Setup!$C$13+Setup!$G$25),Setup!$C$39:$C$50))&lt;=Setup!$C$16))),WORKDAY(G170,-(Setup!$C$13+Setup!$G$25+Setup!$C$14),Setup!$C$39:$C$50),WORKDAY(G170,-(Setup!$C$13+Setup!$G$25),Setup!$C$39:$C$50))+(165*100+6)/10000000)))</f>
        <v/>
      </c>
      <c r="X170" t="str">
        <f>IF(H170="","",IF(H170&lt;Setup!$C$5-Setup!$C$6,"",IF(IF(ISNUMBER(Roster!$D170),Setup!$C$26&lt;=Roster!$D170,FALSE),"",IF(OR(IF(Setup!$C$15&lt;=Setup!$C$16,AND(MONTH(H170)&gt;=Setup!$C$15,MONTH(H170)&lt;=Setup!$C$16),OR(MONTH(H170)&gt;=Setup!$C$15,MONTH(H170)&lt;=Setup!$C$16)),IF(Setup!$C$15&lt;=Setup!$C$16,AND(MONTH(WORKDAY(H170,-(Setup!$C$13+Setup!$G$26),Setup!$C$39:$C$50))&gt;=Setup!$C$15,MONTH(WORKDAY(H170,-(Setup!$C$13+Setup!$G$26),Setup!$C$39:$C$50))&lt;=Setup!$C$16),OR(MONTH(WORKDAY(H170,-(Setup!$C$13+Setup!$G$26),Setup!$C$39:$C$50))&gt;=Setup!$C$15,MONTH(WORKDAY(H170,-(Setup!$C$13+Setup!$G$26),Setup!$C$39:$C$50))&lt;=Setup!$C$16))),WORKDAY(H170,-(Setup!$C$13+Setup!$G$26+Setup!$C$14),Setup!$C$39:$C$50),WORKDAY(H170,-(Setup!$C$13+Setup!$G$26),Setup!$C$39:$C$50))+(165*100+7)/10000000)))</f>
        <v/>
      </c>
      <c r="Y170" t="str">
        <f>IF(I170="","",IF(I170&lt;Setup!$C$5-Setup!$C$6,"",IF(IF(ISNUMBER(Roster!$D170),Setup!$C$27&lt;=Roster!$D170,FALSE),"",IF(OR(IF(Setup!$C$15&lt;=Setup!$C$16,AND(MONTH(I170)&gt;=Setup!$C$15,MONTH(I170)&lt;=Setup!$C$16),OR(MONTH(I170)&gt;=Setup!$C$15,MONTH(I170)&lt;=Setup!$C$16)),IF(Setup!$C$15&lt;=Setup!$C$16,AND(MONTH(WORKDAY(I170,-(Setup!$C$13+Setup!$G$27),Setup!$C$39:$C$50))&gt;=Setup!$C$15,MONTH(WORKDAY(I170,-(Setup!$C$13+Setup!$G$27),Setup!$C$39:$C$50))&lt;=Setup!$C$16),OR(MONTH(WORKDAY(I170,-(Setup!$C$13+Setup!$G$27),Setup!$C$39:$C$50))&gt;=Setup!$C$15,MONTH(WORKDAY(I170,-(Setup!$C$13+Setup!$G$27),Setup!$C$39:$C$50))&lt;=Setup!$C$16))),WORKDAY(I170,-(Setup!$C$13+Setup!$G$27+Setup!$C$14),Setup!$C$39:$C$50),WORKDAY(I170,-(Setup!$C$13+Setup!$G$27),Setup!$C$39:$C$50))+(165*100+8)/10000000)))</f>
        <v/>
      </c>
      <c r="Z170" t="str">
        <f>IF(J170="","",IF(J170&lt;Setup!$C$5-Setup!$C$6,"",IF(IF(ISNUMBER(Roster!$D170),Setup!$C$28&lt;=Roster!$D170,FALSE),"",IF(OR(IF(Setup!$C$15&lt;=Setup!$C$16,AND(MONTH(J170)&gt;=Setup!$C$15,MONTH(J170)&lt;=Setup!$C$16),OR(MONTH(J170)&gt;=Setup!$C$15,MONTH(J170)&lt;=Setup!$C$16)),IF(Setup!$C$15&lt;=Setup!$C$16,AND(MONTH(WORKDAY(J170,-(Setup!$C$13+Setup!$G$28),Setup!$C$39:$C$50))&gt;=Setup!$C$15,MONTH(WORKDAY(J170,-(Setup!$C$13+Setup!$G$28),Setup!$C$39:$C$50))&lt;=Setup!$C$16),OR(MONTH(WORKDAY(J170,-(Setup!$C$13+Setup!$G$28),Setup!$C$39:$C$50))&gt;=Setup!$C$15,MONTH(WORKDAY(J170,-(Setup!$C$13+Setup!$G$28),Setup!$C$39:$C$50))&lt;=Setup!$C$16))),WORKDAY(J170,-(Setup!$C$13+Setup!$G$28+Setup!$C$14),Setup!$C$39:$C$50),WORKDAY(J170,-(Setup!$C$13+Setup!$G$28),Setup!$C$39:$C$50))+(165*100+9)/10000000)))</f>
        <v/>
      </c>
      <c r="AA170" t="str">
        <f>IF(K170="","",IF(K170&lt;Setup!$C$5-Setup!$C$6,"",IF(IF(ISNUMBER(Roster!$D170),Setup!$C$29&lt;=Roster!$D170,FALSE),"",IF(OR(IF(Setup!$C$15&lt;=Setup!$C$16,AND(MONTH(K170)&gt;=Setup!$C$15,MONTH(K170)&lt;=Setup!$C$16),OR(MONTH(K170)&gt;=Setup!$C$15,MONTH(K170)&lt;=Setup!$C$16)),IF(Setup!$C$15&lt;=Setup!$C$16,AND(MONTH(WORKDAY(K170,-(Setup!$C$13+Setup!$G$29),Setup!$C$39:$C$50))&gt;=Setup!$C$15,MONTH(WORKDAY(K170,-(Setup!$C$13+Setup!$G$29),Setup!$C$39:$C$50))&lt;=Setup!$C$16),OR(MONTH(WORKDAY(K170,-(Setup!$C$13+Setup!$G$29),Setup!$C$39:$C$50))&gt;=Setup!$C$15,MONTH(WORKDAY(K170,-(Setup!$C$13+Setup!$G$29),Setup!$C$39:$C$50))&lt;=Setup!$C$16))),WORKDAY(K170,-(Setup!$C$13+Setup!$G$29+Setup!$C$14),Setup!$C$39:$C$50),WORKDAY(K170,-(Setup!$C$13+Setup!$G$29),Setup!$C$39:$C$50))+(165*100+10)/10000000)))</f>
        <v/>
      </c>
      <c r="AB170" t="str">
        <f>IF(L170="","",IF(L170&lt;Setup!$C$5-Setup!$C$6,"",IF(IF(ISNUMBER(Roster!$D170),Setup!$C$30&lt;=Roster!$D170,FALSE),"",IF(OR(IF(Setup!$C$15&lt;=Setup!$C$16,AND(MONTH(L170)&gt;=Setup!$C$15,MONTH(L170)&lt;=Setup!$C$16),OR(MONTH(L170)&gt;=Setup!$C$15,MONTH(L170)&lt;=Setup!$C$16)),IF(Setup!$C$15&lt;=Setup!$C$16,AND(MONTH(WORKDAY(L170,-(Setup!$C$13+Setup!$G$30),Setup!$C$39:$C$50))&gt;=Setup!$C$15,MONTH(WORKDAY(L170,-(Setup!$C$13+Setup!$G$30),Setup!$C$39:$C$50))&lt;=Setup!$C$16),OR(MONTH(WORKDAY(L170,-(Setup!$C$13+Setup!$G$30),Setup!$C$39:$C$50))&gt;=Setup!$C$15,MONTH(WORKDAY(L170,-(Setup!$C$13+Setup!$G$30),Setup!$C$39:$C$50))&lt;=Setup!$C$16))),WORKDAY(L170,-(Setup!$C$13+Setup!$G$30+Setup!$C$14),Setup!$C$39:$C$50),WORKDAY(L170,-(Setup!$C$13+Setup!$G$30),Setup!$C$39:$C$50))+(165*100+11)/10000000)))</f>
        <v/>
      </c>
      <c r="AC170" t="str">
        <f>IF(M170="","",IF(M170&lt;Setup!$C$5-Setup!$C$6,"",IF(IF(ISNUMBER(Roster!$D170),Setup!$C$31&lt;=Roster!$D170,FALSE),"",IF(OR(IF(Setup!$C$15&lt;=Setup!$C$16,AND(MONTH(M170)&gt;=Setup!$C$15,MONTH(M170)&lt;=Setup!$C$16),OR(MONTH(M170)&gt;=Setup!$C$15,MONTH(M170)&lt;=Setup!$C$16)),IF(Setup!$C$15&lt;=Setup!$C$16,AND(MONTH(WORKDAY(M170,-(Setup!$C$13+Setup!$G$31),Setup!$C$39:$C$50))&gt;=Setup!$C$15,MONTH(WORKDAY(M170,-(Setup!$C$13+Setup!$G$31),Setup!$C$39:$C$50))&lt;=Setup!$C$16),OR(MONTH(WORKDAY(M170,-(Setup!$C$13+Setup!$G$31),Setup!$C$39:$C$50))&gt;=Setup!$C$15,MONTH(WORKDAY(M170,-(Setup!$C$13+Setup!$G$31),Setup!$C$39:$C$50))&lt;=Setup!$C$16))),WORKDAY(M170,-(Setup!$C$13+Setup!$G$31+Setup!$C$14),Setup!$C$39:$C$50),WORKDAY(M170,-(Setup!$C$13+Setup!$G$31),Setup!$C$39:$C$50))+(165*100+12)/10000000)))</f>
        <v/>
      </c>
      <c r="AD170" t="str">
        <f>IF(N170="","",IF(N170&lt;Setup!$C$5-Setup!$C$6,"",IF(IF(ISNUMBER(Roster!$D170),Setup!$C$32&lt;=Roster!$D170,FALSE),"",IF(OR(IF(Setup!$C$15&lt;=Setup!$C$16,AND(MONTH(N170)&gt;=Setup!$C$15,MONTH(N170)&lt;=Setup!$C$16),OR(MONTH(N170)&gt;=Setup!$C$15,MONTH(N170)&lt;=Setup!$C$16)),IF(Setup!$C$15&lt;=Setup!$C$16,AND(MONTH(WORKDAY(N170,-(Setup!$C$13+Setup!$G$32),Setup!$C$39:$C$50))&gt;=Setup!$C$15,MONTH(WORKDAY(N170,-(Setup!$C$13+Setup!$G$32),Setup!$C$39:$C$50))&lt;=Setup!$C$16),OR(MONTH(WORKDAY(N170,-(Setup!$C$13+Setup!$G$32),Setup!$C$39:$C$50))&gt;=Setup!$C$15,MONTH(WORKDAY(N170,-(Setup!$C$13+Setup!$G$32),Setup!$C$39:$C$50))&lt;=Setup!$C$16))),WORKDAY(N170,-(Setup!$C$13+Setup!$G$32+Setup!$C$14),Setup!$C$39:$C$50),WORKDAY(N170,-(Setup!$C$13+Setup!$G$32),Setup!$C$39:$C$50))+(165*100+13)/10000000)))</f>
        <v/>
      </c>
      <c r="AE170" t="str">
        <f>IF(O170="","",IF(O170&lt;Setup!$C$5-Setup!$C$6,"",IF(IF(ISNUMBER(Roster!$D170),Setup!$C$33&lt;=Roster!$D170,FALSE),"",IF(OR(IF(Setup!$C$15&lt;=Setup!$C$16,AND(MONTH(O170)&gt;=Setup!$C$15,MONTH(O170)&lt;=Setup!$C$16),OR(MONTH(O170)&gt;=Setup!$C$15,MONTH(O170)&lt;=Setup!$C$16)),IF(Setup!$C$15&lt;=Setup!$C$16,AND(MONTH(WORKDAY(O170,-(Setup!$C$13+Setup!$G$33),Setup!$C$39:$C$50))&gt;=Setup!$C$15,MONTH(WORKDAY(O170,-(Setup!$C$13+Setup!$G$33),Setup!$C$39:$C$50))&lt;=Setup!$C$16),OR(MONTH(WORKDAY(O170,-(Setup!$C$13+Setup!$G$33),Setup!$C$39:$C$50))&gt;=Setup!$C$15,MONTH(WORKDAY(O170,-(Setup!$C$13+Setup!$G$33),Setup!$C$39:$C$50))&lt;=Setup!$C$16))),WORKDAY(O170,-(Setup!$C$13+Setup!$G$33+Setup!$C$14),Setup!$C$39:$C$50),WORKDAY(O170,-(Setup!$C$13+Setup!$G$33),Setup!$C$39:$C$50))+(165*100+14)/10000000)))</f>
        <v/>
      </c>
      <c r="AF170" t="str">
        <f>IF(P170="","",IF(P170&lt;Setup!$C$5-Setup!$C$6,"",IF(IF(ISNUMBER(Roster!$D170),Setup!$C$34&lt;=Roster!$D170,FALSE),"",IF(OR(IF(Setup!$C$15&lt;=Setup!$C$16,AND(MONTH(P170)&gt;=Setup!$C$15,MONTH(P170)&lt;=Setup!$C$16),OR(MONTH(P170)&gt;=Setup!$C$15,MONTH(P170)&lt;=Setup!$C$16)),IF(Setup!$C$15&lt;=Setup!$C$16,AND(MONTH(WORKDAY(P170,-(Setup!$C$13+Setup!$G$34),Setup!$C$39:$C$50))&gt;=Setup!$C$15,MONTH(WORKDAY(P170,-(Setup!$C$13+Setup!$G$34),Setup!$C$39:$C$50))&lt;=Setup!$C$16),OR(MONTH(WORKDAY(P170,-(Setup!$C$13+Setup!$G$34),Setup!$C$39:$C$50))&gt;=Setup!$C$15,MONTH(WORKDAY(P170,-(Setup!$C$13+Setup!$G$34),Setup!$C$39:$C$50))&lt;=Setup!$C$16))),WORKDAY(P170,-(Setup!$C$13+Setup!$G$34+Setup!$C$14),Setup!$C$39:$C$50),WORKDAY(P170,-(Setup!$C$13+Setup!$G$34),Setup!$C$39:$C$50))+(165*100+15)/10000000)))</f>
        <v/>
      </c>
      <c r="AH170" t="str">
        <f t="shared" si="17"/>
        <v/>
      </c>
      <c r="AI170" t="str">
        <f t="shared" si="18"/>
        <v/>
      </c>
      <c r="AK170" t="str">
        <f ca="1">IF(165&gt;$AK$2,"",SMALL($R$6:$AF$505,165))</f>
        <v/>
      </c>
      <c r="AL170" t="str">
        <f t="shared" ca="1" si="19"/>
        <v/>
      </c>
      <c r="AM170" t="str">
        <f t="shared" ca="1" si="20"/>
        <v/>
      </c>
      <c r="AN170" t="str">
        <f t="shared" ca="1" si="21"/>
        <v/>
      </c>
      <c r="AP170" t="str">
        <f>IF(ISNUMBER(Roster!$B170),MAX(1,YEAR(Setup!$C$5)-YEAR(Roster!$B170)+IF(EDATE(Roster!$B170,12*(YEAR(Setup!$C$5)-YEAR(Roster!$B170)))&lt;Setup!$C$5,1,0)),"")</f>
        <v/>
      </c>
      <c r="AQ170" s="32" t="str">
        <f>IF(AP170="","",EDATE(Roster!$B170,12*AP170))</f>
        <v/>
      </c>
      <c r="AR170" t="str">
        <f>IF(AQ170="","",IF(AQ170&lt;DATE(YEAR(Setup!$C$5)+1,MONTH(Setup!$C$5),DAY(Setup!$C$5)),AQ170+165/1000,""))</f>
        <v/>
      </c>
      <c r="AS170" t="str">
        <f t="shared" si="22"/>
        <v/>
      </c>
      <c r="AT170" t="str">
        <f>IF(AS170="","",IF(ISNUMBER(Roster!$D170),Roster!$D170&gt;=AP170,FALSE))</f>
        <v/>
      </c>
      <c r="AU170" t="str">
        <f t="shared" si="23"/>
        <v/>
      </c>
      <c r="AV170" t="str">
        <f ca="1">IF(165&gt;$AV$2,"",SMALL($AR$6:$AR$505,165))</f>
        <v/>
      </c>
      <c r="AW170" t="str">
        <f t="shared" ca="1" si="24"/>
        <v/>
      </c>
    </row>
    <row r="171" spans="2:49" x14ac:dyDescent="0.2">
      <c r="B171" s="32" t="str">
        <f>IF(AND(ISNUMBER(Roster!$B171),Setup!$B$20="Yes",ISNUMBER(Setup!$C$20)),EDATE(Roster!$B171,12*Setup!$C$20),"")</f>
        <v/>
      </c>
      <c r="C171" s="32" t="str">
        <f>IF(AND(ISNUMBER(Roster!$B171),Setup!$B$21="Yes",ISNUMBER(Setup!$C$21)),EDATE(Roster!$B171,12*Setup!$C$21),"")</f>
        <v/>
      </c>
      <c r="D171" s="32" t="str">
        <f>IF(AND(ISNUMBER(Roster!$B171),Setup!$B$22="Yes",ISNUMBER(Setup!$C$22)),EDATE(Roster!$B171,12*Setup!$C$22),"")</f>
        <v/>
      </c>
      <c r="E171" s="32" t="str">
        <f>IF(AND(ISNUMBER(Roster!$B171),Setup!$B$23="Yes",ISNUMBER(Setup!$C$23)),EDATE(Roster!$B171,12*Setup!$C$23),"")</f>
        <v/>
      </c>
      <c r="F171" s="32" t="str">
        <f>IF(AND(ISNUMBER(Roster!$B171),Setup!$B$24="Yes",ISNUMBER(Setup!$C$24)),EDATE(Roster!$B171,12*Setup!$C$24),"")</f>
        <v/>
      </c>
      <c r="G171" s="32" t="str">
        <f>IF(AND(ISNUMBER(Roster!$B171),Setup!$B$25="Yes",ISNUMBER(Setup!$C$25)),EDATE(Roster!$B171,12*Setup!$C$25),"")</f>
        <v/>
      </c>
      <c r="H171" s="32" t="str">
        <f>IF(AND(ISNUMBER(Roster!$B171),Setup!$B$26="Yes",ISNUMBER(Setup!$C$26)),EDATE(Roster!$B171,12*Setup!$C$26),"")</f>
        <v/>
      </c>
      <c r="I171" s="32" t="str">
        <f>IF(AND(ISNUMBER(Roster!$B171),Setup!$B$27="Yes",ISNUMBER(Setup!$C$27)),EDATE(Roster!$B171,12*Setup!$C$27),"")</f>
        <v/>
      </c>
      <c r="J171" s="32" t="str">
        <f>IF(AND(ISNUMBER(Roster!$B171),Setup!$B$28="Yes",ISNUMBER(Setup!$C$28)),EDATE(Roster!$B171,12*Setup!$C$28),"")</f>
        <v/>
      </c>
      <c r="K171" s="32" t="str">
        <f>IF(AND(ISNUMBER(Roster!$B171),Setup!$B$29="Yes",ISNUMBER(Setup!$C$29)),EDATE(Roster!$B171,12*Setup!$C$29),"")</f>
        <v/>
      </c>
      <c r="L171" s="32" t="str">
        <f>IF(AND(ISNUMBER(Roster!$B171),Setup!$B$30="Yes",ISNUMBER(Setup!$C$30)),EDATE(Roster!$B171,12*Setup!$C$30),"")</f>
        <v/>
      </c>
      <c r="M171" s="32" t="str">
        <f>IF(AND(ISNUMBER(Roster!$B171),Setup!$B$31="Yes",ISNUMBER(Setup!$C$31)),EDATE(Roster!$B171,12*Setup!$C$31),"")</f>
        <v/>
      </c>
      <c r="N171" s="32" t="str">
        <f>IF(AND(ISNUMBER(Roster!$B171),Setup!$B$32="Yes",ISNUMBER(Setup!$C$32)),EDATE(Roster!$B171,12*Setup!$C$32),"")</f>
        <v/>
      </c>
      <c r="O171" s="32" t="str">
        <f>IF(AND(ISNUMBER(Roster!$B171),Setup!$B$33="Yes",ISNUMBER(Setup!$C$33)),EDATE(Roster!$B171,12*Setup!$C$33),"")</f>
        <v/>
      </c>
      <c r="P171" s="32" t="str">
        <f>IF(AND(ISNUMBER(Roster!$B171),Setup!$B$34="Yes",ISNUMBER(Setup!$C$34)),EDATE(Roster!$B171,12*Setup!$C$34),"")</f>
        <v/>
      </c>
      <c r="R171" t="str">
        <f>IF(B171="","",IF(B171&lt;Setup!$C$5-Setup!$C$6,"",IF(IF(ISNUMBER(Roster!$D171),Setup!$C$20&lt;=Roster!$D171,FALSE),"",IF(OR(IF(Setup!$C$15&lt;=Setup!$C$16,AND(MONTH(B171)&gt;=Setup!$C$15,MONTH(B171)&lt;=Setup!$C$16),OR(MONTH(B171)&gt;=Setup!$C$15,MONTH(B171)&lt;=Setup!$C$16)),IF(Setup!$C$15&lt;=Setup!$C$16,AND(MONTH(WORKDAY(B171,-(Setup!$C$13+Setup!$G$20),Setup!$C$39:$C$50))&gt;=Setup!$C$15,MONTH(WORKDAY(B171,-(Setup!$C$13+Setup!$G$20),Setup!$C$39:$C$50))&lt;=Setup!$C$16),OR(MONTH(WORKDAY(B171,-(Setup!$C$13+Setup!$G$20),Setup!$C$39:$C$50))&gt;=Setup!$C$15,MONTH(WORKDAY(B171,-(Setup!$C$13+Setup!$G$20),Setup!$C$39:$C$50))&lt;=Setup!$C$16))),WORKDAY(B171,-(Setup!$C$13+Setup!$G$20+Setup!$C$14),Setup!$C$39:$C$50),WORKDAY(B171,-(Setup!$C$13+Setup!$G$20),Setup!$C$39:$C$50))+(166*100+1)/10000000)))</f>
        <v/>
      </c>
      <c r="S171" t="str">
        <f>IF(C171="","",IF(C171&lt;Setup!$C$5-Setup!$C$6,"",IF(IF(ISNUMBER(Roster!$D171),Setup!$C$21&lt;=Roster!$D171,FALSE),"",IF(OR(IF(Setup!$C$15&lt;=Setup!$C$16,AND(MONTH(C171)&gt;=Setup!$C$15,MONTH(C171)&lt;=Setup!$C$16),OR(MONTH(C171)&gt;=Setup!$C$15,MONTH(C171)&lt;=Setup!$C$16)),IF(Setup!$C$15&lt;=Setup!$C$16,AND(MONTH(WORKDAY(C171,-(Setup!$C$13+Setup!$G$21),Setup!$C$39:$C$50))&gt;=Setup!$C$15,MONTH(WORKDAY(C171,-(Setup!$C$13+Setup!$G$21),Setup!$C$39:$C$50))&lt;=Setup!$C$16),OR(MONTH(WORKDAY(C171,-(Setup!$C$13+Setup!$G$21),Setup!$C$39:$C$50))&gt;=Setup!$C$15,MONTH(WORKDAY(C171,-(Setup!$C$13+Setup!$G$21),Setup!$C$39:$C$50))&lt;=Setup!$C$16))),WORKDAY(C171,-(Setup!$C$13+Setup!$G$21+Setup!$C$14),Setup!$C$39:$C$50),WORKDAY(C171,-(Setup!$C$13+Setup!$G$21),Setup!$C$39:$C$50))+(166*100+2)/10000000)))</f>
        <v/>
      </c>
      <c r="T171" t="str">
        <f>IF(D171="","",IF(D171&lt;Setup!$C$5-Setup!$C$6,"",IF(IF(ISNUMBER(Roster!$D171),Setup!$C$22&lt;=Roster!$D171,FALSE),"",IF(OR(IF(Setup!$C$15&lt;=Setup!$C$16,AND(MONTH(D171)&gt;=Setup!$C$15,MONTH(D171)&lt;=Setup!$C$16),OR(MONTH(D171)&gt;=Setup!$C$15,MONTH(D171)&lt;=Setup!$C$16)),IF(Setup!$C$15&lt;=Setup!$C$16,AND(MONTH(WORKDAY(D171,-(Setup!$C$13+Setup!$G$22),Setup!$C$39:$C$50))&gt;=Setup!$C$15,MONTH(WORKDAY(D171,-(Setup!$C$13+Setup!$G$22),Setup!$C$39:$C$50))&lt;=Setup!$C$16),OR(MONTH(WORKDAY(D171,-(Setup!$C$13+Setup!$G$22),Setup!$C$39:$C$50))&gt;=Setup!$C$15,MONTH(WORKDAY(D171,-(Setup!$C$13+Setup!$G$22),Setup!$C$39:$C$50))&lt;=Setup!$C$16))),WORKDAY(D171,-(Setup!$C$13+Setup!$G$22+Setup!$C$14),Setup!$C$39:$C$50),WORKDAY(D171,-(Setup!$C$13+Setup!$G$22),Setup!$C$39:$C$50))+(166*100+3)/10000000)))</f>
        <v/>
      </c>
      <c r="U171" t="str">
        <f>IF(E171="","",IF(E171&lt;Setup!$C$5-Setup!$C$6,"",IF(IF(ISNUMBER(Roster!$D171),Setup!$C$23&lt;=Roster!$D171,FALSE),"",IF(OR(IF(Setup!$C$15&lt;=Setup!$C$16,AND(MONTH(E171)&gt;=Setup!$C$15,MONTH(E171)&lt;=Setup!$C$16),OR(MONTH(E171)&gt;=Setup!$C$15,MONTH(E171)&lt;=Setup!$C$16)),IF(Setup!$C$15&lt;=Setup!$C$16,AND(MONTH(WORKDAY(E171,-(Setup!$C$13+Setup!$G$23),Setup!$C$39:$C$50))&gt;=Setup!$C$15,MONTH(WORKDAY(E171,-(Setup!$C$13+Setup!$G$23),Setup!$C$39:$C$50))&lt;=Setup!$C$16),OR(MONTH(WORKDAY(E171,-(Setup!$C$13+Setup!$G$23),Setup!$C$39:$C$50))&gt;=Setup!$C$15,MONTH(WORKDAY(E171,-(Setup!$C$13+Setup!$G$23),Setup!$C$39:$C$50))&lt;=Setup!$C$16))),WORKDAY(E171,-(Setup!$C$13+Setup!$G$23+Setup!$C$14),Setup!$C$39:$C$50),WORKDAY(E171,-(Setup!$C$13+Setup!$G$23),Setup!$C$39:$C$50))+(166*100+4)/10000000)))</f>
        <v/>
      </c>
      <c r="V171" t="str">
        <f>IF(F171="","",IF(F171&lt;Setup!$C$5-Setup!$C$6,"",IF(IF(ISNUMBER(Roster!$D171),Setup!$C$24&lt;=Roster!$D171,FALSE),"",IF(OR(IF(Setup!$C$15&lt;=Setup!$C$16,AND(MONTH(F171)&gt;=Setup!$C$15,MONTH(F171)&lt;=Setup!$C$16),OR(MONTH(F171)&gt;=Setup!$C$15,MONTH(F171)&lt;=Setup!$C$16)),IF(Setup!$C$15&lt;=Setup!$C$16,AND(MONTH(WORKDAY(F171,-(Setup!$C$13+Setup!$G$24),Setup!$C$39:$C$50))&gt;=Setup!$C$15,MONTH(WORKDAY(F171,-(Setup!$C$13+Setup!$G$24),Setup!$C$39:$C$50))&lt;=Setup!$C$16),OR(MONTH(WORKDAY(F171,-(Setup!$C$13+Setup!$G$24),Setup!$C$39:$C$50))&gt;=Setup!$C$15,MONTH(WORKDAY(F171,-(Setup!$C$13+Setup!$G$24),Setup!$C$39:$C$50))&lt;=Setup!$C$16))),WORKDAY(F171,-(Setup!$C$13+Setup!$G$24+Setup!$C$14),Setup!$C$39:$C$50),WORKDAY(F171,-(Setup!$C$13+Setup!$G$24),Setup!$C$39:$C$50))+(166*100+5)/10000000)))</f>
        <v/>
      </c>
      <c r="W171" t="str">
        <f>IF(G171="","",IF(G171&lt;Setup!$C$5-Setup!$C$6,"",IF(IF(ISNUMBER(Roster!$D171),Setup!$C$25&lt;=Roster!$D171,FALSE),"",IF(OR(IF(Setup!$C$15&lt;=Setup!$C$16,AND(MONTH(G171)&gt;=Setup!$C$15,MONTH(G171)&lt;=Setup!$C$16),OR(MONTH(G171)&gt;=Setup!$C$15,MONTH(G171)&lt;=Setup!$C$16)),IF(Setup!$C$15&lt;=Setup!$C$16,AND(MONTH(WORKDAY(G171,-(Setup!$C$13+Setup!$G$25),Setup!$C$39:$C$50))&gt;=Setup!$C$15,MONTH(WORKDAY(G171,-(Setup!$C$13+Setup!$G$25),Setup!$C$39:$C$50))&lt;=Setup!$C$16),OR(MONTH(WORKDAY(G171,-(Setup!$C$13+Setup!$G$25),Setup!$C$39:$C$50))&gt;=Setup!$C$15,MONTH(WORKDAY(G171,-(Setup!$C$13+Setup!$G$25),Setup!$C$39:$C$50))&lt;=Setup!$C$16))),WORKDAY(G171,-(Setup!$C$13+Setup!$G$25+Setup!$C$14),Setup!$C$39:$C$50),WORKDAY(G171,-(Setup!$C$13+Setup!$G$25),Setup!$C$39:$C$50))+(166*100+6)/10000000)))</f>
        <v/>
      </c>
      <c r="X171" t="str">
        <f>IF(H171="","",IF(H171&lt;Setup!$C$5-Setup!$C$6,"",IF(IF(ISNUMBER(Roster!$D171),Setup!$C$26&lt;=Roster!$D171,FALSE),"",IF(OR(IF(Setup!$C$15&lt;=Setup!$C$16,AND(MONTH(H171)&gt;=Setup!$C$15,MONTH(H171)&lt;=Setup!$C$16),OR(MONTH(H171)&gt;=Setup!$C$15,MONTH(H171)&lt;=Setup!$C$16)),IF(Setup!$C$15&lt;=Setup!$C$16,AND(MONTH(WORKDAY(H171,-(Setup!$C$13+Setup!$G$26),Setup!$C$39:$C$50))&gt;=Setup!$C$15,MONTH(WORKDAY(H171,-(Setup!$C$13+Setup!$G$26),Setup!$C$39:$C$50))&lt;=Setup!$C$16),OR(MONTH(WORKDAY(H171,-(Setup!$C$13+Setup!$G$26),Setup!$C$39:$C$50))&gt;=Setup!$C$15,MONTH(WORKDAY(H171,-(Setup!$C$13+Setup!$G$26),Setup!$C$39:$C$50))&lt;=Setup!$C$16))),WORKDAY(H171,-(Setup!$C$13+Setup!$G$26+Setup!$C$14),Setup!$C$39:$C$50),WORKDAY(H171,-(Setup!$C$13+Setup!$G$26),Setup!$C$39:$C$50))+(166*100+7)/10000000)))</f>
        <v/>
      </c>
      <c r="Y171" t="str">
        <f>IF(I171="","",IF(I171&lt;Setup!$C$5-Setup!$C$6,"",IF(IF(ISNUMBER(Roster!$D171),Setup!$C$27&lt;=Roster!$D171,FALSE),"",IF(OR(IF(Setup!$C$15&lt;=Setup!$C$16,AND(MONTH(I171)&gt;=Setup!$C$15,MONTH(I171)&lt;=Setup!$C$16),OR(MONTH(I171)&gt;=Setup!$C$15,MONTH(I171)&lt;=Setup!$C$16)),IF(Setup!$C$15&lt;=Setup!$C$16,AND(MONTH(WORKDAY(I171,-(Setup!$C$13+Setup!$G$27),Setup!$C$39:$C$50))&gt;=Setup!$C$15,MONTH(WORKDAY(I171,-(Setup!$C$13+Setup!$G$27),Setup!$C$39:$C$50))&lt;=Setup!$C$16),OR(MONTH(WORKDAY(I171,-(Setup!$C$13+Setup!$G$27),Setup!$C$39:$C$50))&gt;=Setup!$C$15,MONTH(WORKDAY(I171,-(Setup!$C$13+Setup!$G$27),Setup!$C$39:$C$50))&lt;=Setup!$C$16))),WORKDAY(I171,-(Setup!$C$13+Setup!$G$27+Setup!$C$14),Setup!$C$39:$C$50),WORKDAY(I171,-(Setup!$C$13+Setup!$G$27),Setup!$C$39:$C$50))+(166*100+8)/10000000)))</f>
        <v/>
      </c>
      <c r="Z171" t="str">
        <f>IF(J171="","",IF(J171&lt;Setup!$C$5-Setup!$C$6,"",IF(IF(ISNUMBER(Roster!$D171),Setup!$C$28&lt;=Roster!$D171,FALSE),"",IF(OR(IF(Setup!$C$15&lt;=Setup!$C$16,AND(MONTH(J171)&gt;=Setup!$C$15,MONTH(J171)&lt;=Setup!$C$16),OR(MONTH(J171)&gt;=Setup!$C$15,MONTH(J171)&lt;=Setup!$C$16)),IF(Setup!$C$15&lt;=Setup!$C$16,AND(MONTH(WORKDAY(J171,-(Setup!$C$13+Setup!$G$28),Setup!$C$39:$C$50))&gt;=Setup!$C$15,MONTH(WORKDAY(J171,-(Setup!$C$13+Setup!$G$28),Setup!$C$39:$C$50))&lt;=Setup!$C$16),OR(MONTH(WORKDAY(J171,-(Setup!$C$13+Setup!$G$28),Setup!$C$39:$C$50))&gt;=Setup!$C$15,MONTH(WORKDAY(J171,-(Setup!$C$13+Setup!$G$28),Setup!$C$39:$C$50))&lt;=Setup!$C$16))),WORKDAY(J171,-(Setup!$C$13+Setup!$G$28+Setup!$C$14),Setup!$C$39:$C$50),WORKDAY(J171,-(Setup!$C$13+Setup!$G$28),Setup!$C$39:$C$50))+(166*100+9)/10000000)))</f>
        <v/>
      </c>
      <c r="AA171" t="str">
        <f>IF(K171="","",IF(K171&lt;Setup!$C$5-Setup!$C$6,"",IF(IF(ISNUMBER(Roster!$D171),Setup!$C$29&lt;=Roster!$D171,FALSE),"",IF(OR(IF(Setup!$C$15&lt;=Setup!$C$16,AND(MONTH(K171)&gt;=Setup!$C$15,MONTH(K171)&lt;=Setup!$C$16),OR(MONTH(K171)&gt;=Setup!$C$15,MONTH(K171)&lt;=Setup!$C$16)),IF(Setup!$C$15&lt;=Setup!$C$16,AND(MONTH(WORKDAY(K171,-(Setup!$C$13+Setup!$G$29),Setup!$C$39:$C$50))&gt;=Setup!$C$15,MONTH(WORKDAY(K171,-(Setup!$C$13+Setup!$G$29),Setup!$C$39:$C$50))&lt;=Setup!$C$16),OR(MONTH(WORKDAY(K171,-(Setup!$C$13+Setup!$G$29),Setup!$C$39:$C$50))&gt;=Setup!$C$15,MONTH(WORKDAY(K171,-(Setup!$C$13+Setup!$G$29),Setup!$C$39:$C$50))&lt;=Setup!$C$16))),WORKDAY(K171,-(Setup!$C$13+Setup!$G$29+Setup!$C$14),Setup!$C$39:$C$50),WORKDAY(K171,-(Setup!$C$13+Setup!$G$29),Setup!$C$39:$C$50))+(166*100+10)/10000000)))</f>
        <v/>
      </c>
      <c r="AB171" t="str">
        <f>IF(L171="","",IF(L171&lt;Setup!$C$5-Setup!$C$6,"",IF(IF(ISNUMBER(Roster!$D171),Setup!$C$30&lt;=Roster!$D171,FALSE),"",IF(OR(IF(Setup!$C$15&lt;=Setup!$C$16,AND(MONTH(L171)&gt;=Setup!$C$15,MONTH(L171)&lt;=Setup!$C$16),OR(MONTH(L171)&gt;=Setup!$C$15,MONTH(L171)&lt;=Setup!$C$16)),IF(Setup!$C$15&lt;=Setup!$C$16,AND(MONTH(WORKDAY(L171,-(Setup!$C$13+Setup!$G$30),Setup!$C$39:$C$50))&gt;=Setup!$C$15,MONTH(WORKDAY(L171,-(Setup!$C$13+Setup!$G$30),Setup!$C$39:$C$50))&lt;=Setup!$C$16),OR(MONTH(WORKDAY(L171,-(Setup!$C$13+Setup!$G$30),Setup!$C$39:$C$50))&gt;=Setup!$C$15,MONTH(WORKDAY(L171,-(Setup!$C$13+Setup!$G$30),Setup!$C$39:$C$50))&lt;=Setup!$C$16))),WORKDAY(L171,-(Setup!$C$13+Setup!$G$30+Setup!$C$14),Setup!$C$39:$C$50),WORKDAY(L171,-(Setup!$C$13+Setup!$G$30),Setup!$C$39:$C$50))+(166*100+11)/10000000)))</f>
        <v/>
      </c>
      <c r="AC171" t="str">
        <f>IF(M171="","",IF(M171&lt;Setup!$C$5-Setup!$C$6,"",IF(IF(ISNUMBER(Roster!$D171),Setup!$C$31&lt;=Roster!$D171,FALSE),"",IF(OR(IF(Setup!$C$15&lt;=Setup!$C$16,AND(MONTH(M171)&gt;=Setup!$C$15,MONTH(M171)&lt;=Setup!$C$16),OR(MONTH(M171)&gt;=Setup!$C$15,MONTH(M171)&lt;=Setup!$C$16)),IF(Setup!$C$15&lt;=Setup!$C$16,AND(MONTH(WORKDAY(M171,-(Setup!$C$13+Setup!$G$31),Setup!$C$39:$C$50))&gt;=Setup!$C$15,MONTH(WORKDAY(M171,-(Setup!$C$13+Setup!$G$31),Setup!$C$39:$C$50))&lt;=Setup!$C$16),OR(MONTH(WORKDAY(M171,-(Setup!$C$13+Setup!$G$31),Setup!$C$39:$C$50))&gt;=Setup!$C$15,MONTH(WORKDAY(M171,-(Setup!$C$13+Setup!$G$31),Setup!$C$39:$C$50))&lt;=Setup!$C$16))),WORKDAY(M171,-(Setup!$C$13+Setup!$G$31+Setup!$C$14),Setup!$C$39:$C$50),WORKDAY(M171,-(Setup!$C$13+Setup!$G$31),Setup!$C$39:$C$50))+(166*100+12)/10000000)))</f>
        <v/>
      </c>
      <c r="AD171" t="str">
        <f>IF(N171="","",IF(N171&lt;Setup!$C$5-Setup!$C$6,"",IF(IF(ISNUMBER(Roster!$D171),Setup!$C$32&lt;=Roster!$D171,FALSE),"",IF(OR(IF(Setup!$C$15&lt;=Setup!$C$16,AND(MONTH(N171)&gt;=Setup!$C$15,MONTH(N171)&lt;=Setup!$C$16),OR(MONTH(N171)&gt;=Setup!$C$15,MONTH(N171)&lt;=Setup!$C$16)),IF(Setup!$C$15&lt;=Setup!$C$16,AND(MONTH(WORKDAY(N171,-(Setup!$C$13+Setup!$G$32),Setup!$C$39:$C$50))&gt;=Setup!$C$15,MONTH(WORKDAY(N171,-(Setup!$C$13+Setup!$G$32),Setup!$C$39:$C$50))&lt;=Setup!$C$16),OR(MONTH(WORKDAY(N171,-(Setup!$C$13+Setup!$G$32),Setup!$C$39:$C$50))&gt;=Setup!$C$15,MONTH(WORKDAY(N171,-(Setup!$C$13+Setup!$G$32),Setup!$C$39:$C$50))&lt;=Setup!$C$16))),WORKDAY(N171,-(Setup!$C$13+Setup!$G$32+Setup!$C$14),Setup!$C$39:$C$50),WORKDAY(N171,-(Setup!$C$13+Setup!$G$32),Setup!$C$39:$C$50))+(166*100+13)/10000000)))</f>
        <v/>
      </c>
      <c r="AE171" t="str">
        <f>IF(O171="","",IF(O171&lt;Setup!$C$5-Setup!$C$6,"",IF(IF(ISNUMBER(Roster!$D171),Setup!$C$33&lt;=Roster!$D171,FALSE),"",IF(OR(IF(Setup!$C$15&lt;=Setup!$C$16,AND(MONTH(O171)&gt;=Setup!$C$15,MONTH(O171)&lt;=Setup!$C$16),OR(MONTH(O171)&gt;=Setup!$C$15,MONTH(O171)&lt;=Setup!$C$16)),IF(Setup!$C$15&lt;=Setup!$C$16,AND(MONTH(WORKDAY(O171,-(Setup!$C$13+Setup!$G$33),Setup!$C$39:$C$50))&gt;=Setup!$C$15,MONTH(WORKDAY(O171,-(Setup!$C$13+Setup!$G$33),Setup!$C$39:$C$50))&lt;=Setup!$C$16),OR(MONTH(WORKDAY(O171,-(Setup!$C$13+Setup!$G$33),Setup!$C$39:$C$50))&gt;=Setup!$C$15,MONTH(WORKDAY(O171,-(Setup!$C$13+Setup!$G$33),Setup!$C$39:$C$50))&lt;=Setup!$C$16))),WORKDAY(O171,-(Setup!$C$13+Setup!$G$33+Setup!$C$14),Setup!$C$39:$C$50),WORKDAY(O171,-(Setup!$C$13+Setup!$G$33),Setup!$C$39:$C$50))+(166*100+14)/10000000)))</f>
        <v/>
      </c>
      <c r="AF171" t="str">
        <f>IF(P171="","",IF(P171&lt;Setup!$C$5-Setup!$C$6,"",IF(IF(ISNUMBER(Roster!$D171),Setup!$C$34&lt;=Roster!$D171,FALSE),"",IF(OR(IF(Setup!$C$15&lt;=Setup!$C$16,AND(MONTH(P171)&gt;=Setup!$C$15,MONTH(P171)&lt;=Setup!$C$16),OR(MONTH(P171)&gt;=Setup!$C$15,MONTH(P171)&lt;=Setup!$C$16)),IF(Setup!$C$15&lt;=Setup!$C$16,AND(MONTH(WORKDAY(P171,-(Setup!$C$13+Setup!$G$34),Setup!$C$39:$C$50))&gt;=Setup!$C$15,MONTH(WORKDAY(P171,-(Setup!$C$13+Setup!$G$34),Setup!$C$39:$C$50))&lt;=Setup!$C$16),OR(MONTH(WORKDAY(P171,-(Setup!$C$13+Setup!$G$34),Setup!$C$39:$C$50))&gt;=Setup!$C$15,MONTH(WORKDAY(P171,-(Setup!$C$13+Setup!$G$34),Setup!$C$39:$C$50))&lt;=Setup!$C$16))),WORKDAY(P171,-(Setup!$C$13+Setup!$G$34+Setup!$C$14),Setup!$C$39:$C$50),WORKDAY(P171,-(Setup!$C$13+Setup!$G$34),Setup!$C$39:$C$50))+(166*100+15)/10000000)))</f>
        <v/>
      </c>
      <c r="AH171" t="str">
        <f t="shared" si="17"/>
        <v/>
      </c>
      <c r="AI171" t="str">
        <f t="shared" si="18"/>
        <v/>
      </c>
      <c r="AK171" t="str">
        <f ca="1">IF(166&gt;$AK$2,"",SMALL($R$6:$AF$505,166))</f>
        <v/>
      </c>
      <c r="AL171" t="str">
        <f t="shared" ca="1" si="19"/>
        <v/>
      </c>
      <c r="AM171" t="str">
        <f t="shared" ca="1" si="20"/>
        <v/>
      </c>
      <c r="AN171" t="str">
        <f t="shared" ca="1" si="21"/>
        <v/>
      </c>
      <c r="AP171" t="str">
        <f>IF(ISNUMBER(Roster!$B171),MAX(1,YEAR(Setup!$C$5)-YEAR(Roster!$B171)+IF(EDATE(Roster!$B171,12*(YEAR(Setup!$C$5)-YEAR(Roster!$B171)))&lt;Setup!$C$5,1,0)),"")</f>
        <v/>
      </c>
      <c r="AQ171" s="32" t="str">
        <f>IF(AP171="","",EDATE(Roster!$B171,12*AP171))</f>
        <v/>
      </c>
      <c r="AR171" t="str">
        <f>IF(AQ171="","",IF(AQ171&lt;DATE(YEAR(Setup!$C$5)+1,MONTH(Setup!$C$5),DAY(Setup!$C$5)),AQ171+166/1000,""))</f>
        <v/>
      </c>
      <c r="AS171" t="str">
        <f t="shared" si="22"/>
        <v/>
      </c>
      <c r="AT171" t="str">
        <f>IF(AS171="","",IF(ISNUMBER(Roster!$D171),Roster!$D171&gt;=AP171,FALSE))</f>
        <v/>
      </c>
      <c r="AU171" t="str">
        <f t="shared" si="23"/>
        <v/>
      </c>
      <c r="AV171" t="str">
        <f ca="1">IF(166&gt;$AV$2,"",SMALL($AR$6:$AR$505,166))</f>
        <v/>
      </c>
      <c r="AW171" t="str">
        <f t="shared" ca="1" si="24"/>
        <v/>
      </c>
    </row>
    <row r="172" spans="2:49" x14ac:dyDescent="0.2">
      <c r="B172" s="32" t="str">
        <f>IF(AND(ISNUMBER(Roster!$B172),Setup!$B$20="Yes",ISNUMBER(Setup!$C$20)),EDATE(Roster!$B172,12*Setup!$C$20),"")</f>
        <v/>
      </c>
      <c r="C172" s="32" t="str">
        <f>IF(AND(ISNUMBER(Roster!$B172),Setup!$B$21="Yes",ISNUMBER(Setup!$C$21)),EDATE(Roster!$B172,12*Setup!$C$21),"")</f>
        <v/>
      </c>
      <c r="D172" s="32" t="str">
        <f>IF(AND(ISNUMBER(Roster!$B172),Setup!$B$22="Yes",ISNUMBER(Setup!$C$22)),EDATE(Roster!$B172,12*Setup!$C$22),"")</f>
        <v/>
      </c>
      <c r="E172" s="32" t="str">
        <f>IF(AND(ISNUMBER(Roster!$B172),Setup!$B$23="Yes",ISNUMBER(Setup!$C$23)),EDATE(Roster!$B172,12*Setup!$C$23),"")</f>
        <v/>
      </c>
      <c r="F172" s="32" t="str">
        <f>IF(AND(ISNUMBER(Roster!$B172),Setup!$B$24="Yes",ISNUMBER(Setup!$C$24)),EDATE(Roster!$B172,12*Setup!$C$24),"")</f>
        <v/>
      </c>
      <c r="G172" s="32" t="str">
        <f>IF(AND(ISNUMBER(Roster!$B172),Setup!$B$25="Yes",ISNUMBER(Setup!$C$25)),EDATE(Roster!$B172,12*Setup!$C$25),"")</f>
        <v/>
      </c>
      <c r="H172" s="32" t="str">
        <f>IF(AND(ISNUMBER(Roster!$B172),Setup!$B$26="Yes",ISNUMBER(Setup!$C$26)),EDATE(Roster!$B172,12*Setup!$C$26),"")</f>
        <v/>
      </c>
      <c r="I172" s="32" t="str">
        <f>IF(AND(ISNUMBER(Roster!$B172),Setup!$B$27="Yes",ISNUMBER(Setup!$C$27)),EDATE(Roster!$B172,12*Setup!$C$27),"")</f>
        <v/>
      </c>
      <c r="J172" s="32" t="str">
        <f>IF(AND(ISNUMBER(Roster!$B172),Setup!$B$28="Yes",ISNUMBER(Setup!$C$28)),EDATE(Roster!$B172,12*Setup!$C$28),"")</f>
        <v/>
      </c>
      <c r="K172" s="32" t="str">
        <f>IF(AND(ISNUMBER(Roster!$B172),Setup!$B$29="Yes",ISNUMBER(Setup!$C$29)),EDATE(Roster!$B172,12*Setup!$C$29),"")</f>
        <v/>
      </c>
      <c r="L172" s="32" t="str">
        <f>IF(AND(ISNUMBER(Roster!$B172),Setup!$B$30="Yes",ISNUMBER(Setup!$C$30)),EDATE(Roster!$B172,12*Setup!$C$30),"")</f>
        <v/>
      </c>
      <c r="M172" s="32" t="str">
        <f>IF(AND(ISNUMBER(Roster!$B172),Setup!$B$31="Yes",ISNUMBER(Setup!$C$31)),EDATE(Roster!$B172,12*Setup!$C$31),"")</f>
        <v/>
      </c>
      <c r="N172" s="32" t="str">
        <f>IF(AND(ISNUMBER(Roster!$B172),Setup!$B$32="Yes",ISNUMBER(Setup!$C$32)),EDATE(Roster!$B172,12*Setup!$C$32),"")</f>
        <v/>
      </c>
      <c r="O172" s="32" t="str">
        <f>IF(AND(ISNUMBER(Roster!$B172),Setup!$B$33="Yes",ISNUMBER(Setup!$C$33)),EDATE(Roster!$B172,12*Setup!$C$33),"")</f>
        <v/>
      </c>
      <c r="P172" s="32" t="str">
        <f>IF(AND(ISNUMBER(Roster!$B172),Setup!$B$34="Yes",ISNUMBER(Setup!$C$34)),EDATE(Roster!$B172,12*Setup!$C$34),"")</f>
        <v/>
      </c>
      <c r="R172" t="str">
        <f>IF(B172="","",IF(B172&lt;Setup!$C$5-Setup!$C$6,"",IF(IF(ISNUMBER(Roster!$D172),Setup!$C$20&lt;=Roster!$D172,FALSE),"",IF(OR(IF(Setup!$C$15&lt;=Setup!$C$16,AND(MONTH(B172)&gt;=Setup!$C$15,MONTH(B172)&lt;=Setup!$C$16),OR(MONTH(B172)&gt;=Setup!$C$15,MONTH(B172)&lt;=Setup!$C$16)),IF(Setup!$C$15&lt;=Setup!$C$16,AND(MONTH(WORKDAY(B172,-(Setup!$C$13+Setup!$G$20),Setup!$C$39:$C$50))&gt;=Setup!$C$15,MONTH(WORKDAY(B172,-(Setup!$C$13+Setup!$G$20),Setup!$C$39:$C$50))&lt;=Setup!$C$16),OR(MONTH(WORKDAY(B172,-(Setup!$C$13+Setup!$G$20),Setup!$C$39:$C$50))&gt;=Setup!$C$15,MONTH(WORKDAY(B172,-(Setup!$C$13+Setup!$G$20),Setup!$C$39:$C$50))&lt;=Setup!$C$16))),WORKDAY(B172,-(Setup!$C$13+Setup!$G$20+Setup!$C$14),Setup!$C$39:$C$50),WORKDAY(B172,-(Setup!$C$13+Setup!$G$20),Setup!$C$39:$C$50))+(167*100+1)/10000000)))</f>
        <v/>
      </c>
      <c r="S172" t="str">
        <f>IF(C172="","",IF(C172&lt;Setup!$C$5-Setup!$C$6,"",IF(IF(ISNUMBER(Roster!$D172),Setup!$C$21&lt;=Roster!$D172,FALSE),"",IF(OR(IF(Setup!$C$15&lt;=Setup!$C$16,AND(MONTH(C172)&gt;=Setup!$C$15,MONTH(C172)&lt;=Setup!$C$16),OR(MONTH(C172)&gt;=Setup!$C$15,MONTH(C172)&lt;=Setup!$C$16)),IF(Setup!$C$15&lt;=Setup!$C$16,AND(MONTH(WORKDAY(C172,-(Setup!$C$13+Setup!$G$21),Setup!$C$39:$C$50))&gt;=Setup!$C$15,MONTH(WORKDAY(C172,-(Setup!$C$13+Setup!$G$21),Setup!$C$39:$C$50))&lt;=Setup!$C$16),OR(MONTH(WORKDAY(C172,-(Setup!$C$13+Setup!$G$21),Setup!$C$39:$C$50))&gt;=Setup!$C$15,MONTH(WORKDAY(C172,-(Setup!$C$13+Setup!$G$21),Setup!$C$39:$C$50))&lt;=Setup!$C$16))),WORKDAY(C172,-(Setup!$C$13+Setup!$G$21+Setup!$C$14),Setup!$C$39:$C$50),WORKDAY(C172,-(Setup!$C$13+Setup!$G$21),Setup!$C$39:$C$50))+(167*100+2)/10000000)))</f>
        <v/>
      </c>
      <c r="T172" t="str">
        <f>IF(D172="","",IF(D172&lt;Setup!$C$5-Setup!$C$6,"",IF(IF(ISNUMBER(Roster!$D172),Setup!$C$22&lt;=Roster!$D172,FALSE),"",IF(OR(IF(Setup!$C$15&lt;=Setup!$C$16,AND(MONTH(D172)&gt;=Setup!$C$15,MONTH(D172)&lt;=Setup!$C$16),OR(MONTH(D172)&gt;=Setup!$C$15,MONTH(D172)&lt;=Setup!$C$16)),IF(Setup!$C$15&lt;=Setup!$C$16,AND(MONTH(WORKDAY(D172,-(Setup!$C$13+Setup!$G$22),Setup!$C$39:$C$50))&gt;=Setup!$C$15,MONTH(WORKDAY(D172,-(Setup!$C$13+Setup!$G$22),Setup!$C$39:$C$50))&lt;=Setup!$C$16),OR(MONTH(WORKDAY(D172,-(Setup!$C$13+Setup!$G$22),Setup!$C$39:$C$50))&gt;=Setup!$C$15,MONTH(WORKDAY(D172,-(Setup!$C$13+Setup!$G$22),Setup!$C$39:$C$50))&lt;=Setup!$C$16))),WORKDAY(D172,-(Setup!$C$13+Setup!$G$22+Setup!$C$14),Setup!$C$39:$C$50),WORKDAY(D172,-(Setup!$C$13+Setup!$G$22),Setup!$C$39:$C$50))+(167*100+3)/10000000)))</f>
        <v/>
      </c>
      <c r="U172" t="str">
        <f>IF(E172="","",IF(E172&lt;Setup!$C$5-Setup!$C$6,"",IF(IF(ISNUMBER(Roster!$D172),Setup!$C$23&lt;=Roster!$D172,FALSE),"",IF(OR(IF(Setup!$C$15&lt;=Setup!$C$16,AND(MONTH(E172)&gt;=Setup!$C$15,MONTH(E172)&lt;=Setup!$C$16),OR(MONTH(E172)&gt;=Setup!$C$15,MONTH(E172)&lt;=Setup!$C$16)),IF(Setup!$C$15&lt;=Setup!$C$16,AND(MONTH(WORKDAY(E172,-(Setup!$C$13+Setup!$G$23),Setup!$C$39:$C$50))&gt;=Setup!$C$15,MONTH(WORKDAY(E172,-(Setup!$C$13+Setup!$G$23),Setup!$C$39:$C$50))&lt;=Setup!$C$16),OR(MONTH(WORKDAY(E172,-(Setup!$C$13+Setup!$G$23),Setup!$C$39:$C$50))&gt;=Setup!$C$15,MONTH(WORKDAY(E172,-(Setup!$C$13+Setup!$G$23),Setup!$C$39:$C$50))&lt;=Setup!$C$16))),WORKDAY(E172,-(Setup!$C$13+Setup!$G$23+Setup!$C$14),Setup!$C$39:$C$50),WORKDAY(E172,-(Setup!$C$13+Setup!$G$23),Setup!$C$39:$C$50))+(167*100+4)/10000000)))</f>
        <v/>
      </c>
      <c r="V172" t="str">
        <f>IF(F172="","",IF(F172&lt;Setup!$C$5-Setup!$C$6,"",IF(IF(ISNUMBER(Roster!$D172),Setup!$C$24&lt;=Roster!$D172,FALSE),"",IF(OR(IF(Setup!$C$15&lt;=Setup!$C$16,AND(MONTH(F172)&gt;=Setup!$C$15,MONTH(F172)&lt;=Setup!$C$16),OR(MONTH(F172)&gt;=Setup!$C$15,MONTH(F172)&lt;=Setup!$C$16)),IF(Setup!$C$15&lt;=Setup!$C$16,AND(MONTH(WORKDAY(F172,-(Setup!$C$13+Setup!$G$24),Setup!$C$39:$C$50))&gt;=Setup!$C$15,MONTH(WORKDAY(F172,-(Setup!$C$13+Setup!$G$24),Setup!$C$39:$C$50))&lt;=Setup!$C$16),OR(MONTH(WORKDAY(F172,-(Setup!$C$13+Setup!$G$24),Setup!$C$39:$C$50))&gt;=Setup!$C$15,MONTH(WORKDAY(F172,-(Setup!$C$13+Setup!$G$24),Setup!$C$39:$C$50))&lt;=Setup!$C$16))),WORKDAY(F172,-(Setup!$C$13+Setup!$G$24+Setup!$C$14),Setup!$C$39:$C$50),WORKDAY(F172,-(Setup!$C$13+Setup!$G$24),Setup!$C$39:$C$50))+(167*100+5)/10000000)))</f>
        <v/>
      </c>
      <c r="W172" t="str">
        <f>IF(G172="","",IF(G172&lt;Setup!$C$5-Setup!$C$6,"",IF(IF(ISNUMBER(Roster!$D172),Setup!$C$25&lt;=Roster!$D172,FALSE),"",IF(OR(IF(Setup!$C$15&lt;=Setup!$C$16,AND(MONTH(G172)&gt;=Setup!$C$15,MONTH(G172)&lt;=Setup!$C$16),OR(MONTH(G172)&gt;=Setup!$C$15,MONTH(G172)&lt;=Setup!$C$16)),IF(Setup!$C$15&lt;=Setup!$C$16,AND(MONTH(WORKDAY(G172,-(Setup!$C$13+Setup!$G$25),Setup!$C$39:$C$50))&gt;=Setup!$C$15,MONTH(WORKDAY(G172,-(Setup!$C$13+Setup!$G$25),Setup!$C$39:$C$50))&lt;=Setup!$C$16),OR(MONTH(WORKDAY(G172,-(Setup!$C$13+Setup!$G$25),Setup!$C$39:$C$50))&gt;=Setup!$C$15,MONTH(WORKDAY(G172,-(Setup!$C$13+Setup!$G$25),Setup!$C$39:$C$50))&lt;=Setup!$C$16))),WORKDAY(G172,-(Setup!$C$13+Setup!$G$25+Setup!$C$14),Setup!$C$39:$C$50),WORKDAY(G172,-(Setup!$C$13+Setup!$G$25),Setup!$C$39:$C$50))+(167*100+6)/10000000)))</f>
        <v/>
      </c>
      <c r="X172" t="str">
        <f>IF(H172="","",IF(H172&lt;Setup!$C$5-Setup!$C$6,"",IF(IF(ISNUMBER(Roster!$D172),Setup!$C$26&lt;=Roster!$D172,FALSE),"",IF(OR(IF(Setup!$C$15&lt;=Setup!$C$16,AND(MONTH(H172)&gt;=Setup!$C$15,MONTH(H172)&lt;=Setup!$C$16),OR(MONTH(H172)&gt;=Setup!$C$15,MONTH(H172)&lt;=Setup!$C$16)),IF(Setup!$C$15&lt;=Setup!$C$16,AND(MONTH(WORKDAY(H172,-(Setup!$C$13+Setup!$G$26),Setup!$C$39:$C$50))&gt;=Setup!$C$15,MONTH(WORKDAY(H172,-(Setup!$C$13+Setup!$G$26),Setup!$C$39:$C$50))&lt;=Setup!$C$16),OR(MONTH(WORKDAY(H172,-(Setup!$C$13+Setup!$G$26),Setup!$C$39:$C$50))&gt;=Setup!$C$15,MONTH(WORKDAY(H172,-(Setup!$C$13+Setup!$G$26),Setup!$C$39:$C$50))&lt;=Setup!$C$16))),WORKDAY(H172,-(Setup!$C$13+Setup!$G$26+Setup!$C$14),Setup!$C$39:$C$50),WORKDAY(H172,-(Setup!$C$13+Setup!$G$26),Setup!$C$39:$C$50))+(167*100+7)/10000000)))</f>
        <v/>
      </c>
      <c r="Y172" t="str">
        <f>IF(I172="","",IF(I172&lt;Setup!$C$5-Setup!$C$6,"",IF(IF(ISNUMBER(Roster!$D172),Setup!$C$27&lt;=Roster!$D172,FALSE),"",IF(OR(IF(Setup!$C$15&lt;=Setup!$C$16,AND(MONTH(I172)&gt;=Setup!$C$15,MONTH(I172)&lt;=Setup!$C$16),OR(MONTH(I172)&gt;=Setup!$C$15,MONTH(I172)&lt;=Setup!$C$16)),IF(Setup!$C$15&lt;=Setup!$C$16,AND(MONTH(WORKDAY(I172,-(Setup!$C$13+Setup!$G$27),Setup!$C$39:$C$50))&gt;=Setup!$C$15,MONTH(WORKDAY(I172,-(Setup!$C$13+Setup!$G$27),Setup!$C$39:$C$50))&lt;=Setup!$C$16),OR(MONTH(WORKDAY(I172,-(Setup!$C$13+Setup!$G$27),Setup!$C$39:$C$50))&gt;=Setup!$C$15,MONTH(WORKDAY(I172,-(Setup!$C$13+Setup!$G$27),Setup!$C$39:$C$50))&lt;=Setup!$C$16))),WORKDAY(I172,-(Setup!$C$13+Setup!$G$27+Setup!$C$14),Setup!$C$39:$C$50),WORKDAY(I172,-(Setup!$C$13+Setup!$G$27),Setup!$C$39:$C$50))+(167*100+8)/10000000)))</f>
        <v/>
      </c>
      <c r="Z172" t="str">
        <f>IF(J172="","",IF(J172&lt;Setup!$C$5-Setup!$C$6,"",IF(IF(ISNUMBER(Roster!$D172),Setup!$C$28&lt;=Roster!$D172,FALSE),"",IF(OR(IF(Setup!$C$15&lt;=Setup!$C$16,AND(MONTH(J172)&gt;=Setup!$C$15,MONTH(J172)&lt;=Setup!$C$16),OR(MONTH(J172)&gt;=Setup!$C$15,MONTH(J172)&lt;=Setup!$C$16)),IF(Setup!$C$15&lt;=Setup!$C$16,AND(MONTH(WORKDAY(J172,-(Setup!$C$13+Setup!$G$28),Setup!$C$39:$C$50))&gt;=Setup!$C$15,MONTH(WORKDAY(J172,-(Setup!$C$13+Setup!$G$28),Setup!$C$39:$C$50))&lt;=Setup!$C$16),OR(MONTH(WORKDAY(J172,-(Setup!$C$13+Setup!$G$28),Setup!$C$39:$C$50))&gt;=Setup!$C$15,MONTH(WORKDAY(J172,-(Setup!$C$13+Setup!$G$28),Setup!$C$39:$C$50))&lt;=Setup!$C$16))),WORKDAY(J172,-(Setup!$C$13+Setup!$G$28+Setup!$C$14),Setup!$C$39:$C$50),WORKDAY(J172,-(Setup!$C$13+Setup!$G$28),Setup!$C$39:$C$50))+(167*100+9)/10000000)))</f>
        <v/>
      </c>
      <c r="AA172" t="str">
        <f>IF(K172="","",IF(K172&lt;Setup!$C$5-Setup!$C$6,"",IF(IF(ISNUMBER(Roster!$D172),Setup!$C$29&lt;=Roster!$D172,FALSE),"",IF(OR(IF(Setup!$C$15&lt;=Setup!$C$16,AND(MONTH(K172)&gt;=Setup!$C$15,MONTH(K172)&lt;=Setup!$C$16),OR(MONTH(K172)&gt;=Setup!$C$15,MONTH(K172)&lt;=Setup!$C$16)),IF(Setup!$C$15&lt;=Setup!$C$16,AND(MONTH(WORKDAY(K172,-(Setup!$C$13+Setup!$G$29),Setup!$C$39:$C$50))&gt;=Setup!$C$15,MONTH(WORKDAY(K172,-(Setup!$C$13+Setup!$G$29),Setup!$C$39:$C$50))&lt;=Setup!$C$16),OR(MONTH(WORKDAY(K172,-(Setup!$C$13+Setup!$G$29),Setup!$C$39:$C$50))&gt;=Setup!$C$15,MONTH(WORKDAY(K172,-(Setup!$C$13+Setup!$G$29),Setup!$C$39:$C$50))&lt;=Setup!$C$16))),WORKDAY(K172,-(Setup!$C$13+Setup!$G$29+Setup!$C$14),Setup!$C$39:$C$50),WORKDAY(K172,-(Setup!$C$13+Setup!$G$29),Setup!$C$39:$C$50))+(167*100+10)/10000000)))</f>
        <v/>
      </c>
      <c r="AB172" t="str">
        <f>IF(L172="","",IF(L172&lt;Setup!$C$5-Setup!$C$6,"",IF(IF(ISNUMBER(Roster!$D172),Setup!$C$30&lt;=Roster!$D172,FALSE),"",IF(OR(IF(Setup!$C$15&lt;=Setup!$C$16,AND(MONTH(L172)&gt;=Setup!$C$15,MONTH(L172)&lt;=Setup!$C$16),OR(MONTH(L172)&gt;=Setup!$C$15,MONTH(L172)&lt;=Setup!$C$16)),IF(Setup!$C$15&lt;=Setup!$C$16,AND(MONTH(WORKDAY(L172,-(Setup!$C$13+Setup!$G$30),Setup!$C$39:$C$50))&gt;=Setup!$C$15,MONTH(WORKDAY(L172,-(Setup!$C$13+Setup!$G$30),Setup!$C$39:$C$50))&lt;=Setup!$C$16),OR(MONTH(WORKDAY(L172,-(Setup!$C$13+Setup!$G$30),Setup!$C$39:$C$50))&gt;=Setup!$C$15,MONTH(WORKDAY(L172,-(Setup!$C$13+Setup!$G$30),Setup!$C$39:$C$50))&lt;=Setup!$C$16))),WORKDAY(L172,-(Setup!$C$13+Setup!$G$30+Setup!$C$14),Setup!$C$39:$C$50),WORKDAY(L172,-(Setup!$C$13+Setup!$G$30),Setup!$C$39:$C$50))+(167*100+11)/10000000)))</f>
        <v/>
      </c>
      <c r="AC172" t="str">
        <f>IF(M172="","",IF(M172&lt;Setup!$C$5-Setup!$C$6,"",IF(IF(ISNUMBER(Roster!$D172),Setup!$C$31&lt;=Roster!$D172,FALSE),"",IF(OR(IF(Setup!$C$15&lt;=Setup!$C$16,AND(MONTH(M172)&gt;=Setup!$C$15,MONTH(M172)&lt;=Setup!$C$16),OR(MONTH(M172)&gt;=Setup!$C$15,MONTH(M172)&lt;=Setup!$C$16)),IF(Setup!$C$15&lt;=Setup!$C$16,AND(MONTH(WORKDAY(M172,-(Setup!$C$13+Setup!$G$31),Setup!$C$39:$C$50))&gt;=Setup!$C$15,MONTH(WORKDAY(M172,-(Setup!$C$13+Setup!$G$31),Setup!$C$39:$C$50))&lt;=Setup!$C$16),OR(MONTH(WORKDAY(M172,-(Setup!$C$13+Setup!$G$31),Setup!$C$39:$C$50))&gt;=Setup!$C$15,MONTH(WORKDAY(M172,-(Setup!$C$13+Setup!$G$31),Setup!$C$39:$C$50))&lt;=Setup!$C$16))),WORKDAY(M172,-(Setup!$C$13+Setup!$G$31+Setup!$C$14),Setup!$C$39:$C$50),WORKDAY(M172,-(Setup!$C$13+Setup!$G$31),Setup!$C$39:$C$50))+(167*100+12)/10000000)))</f>
        <v/>
      </c>
      <c r="AD172" t="str">
        <f>IF(N172="","",IF(N172&lt;Setup!$C$5-Setup!$C$6,"",IF(IF(ISNUMBER(Roster!$D172),Setup!$C$32&lt;=Roster!$D172,FALSE),"",IF(OR(IF(Setup!$C$15&lt;=Setup!$C$16,AND(MONTH(N172)&gt;=Setup!$C$15,MONTH(N172)&lt;=Setup!$C$16),OR(MONTH(N172)&gt;=Setup!$C$15,MONTH(N172)&lt;=Setup!$C$16)),IF(Setup!$C$15&lt;=Setup!$C$16,AND(MONTH(WORKDAY(N172,-(Setup!$C$13+Setup!$G$32),Setup!$C$39:$C$50))&gt;=Setup!$C$15,MONTH(WORKDAY(N172,-(Setup!$C$13+Setup!$G$32),Setup!$C$39:$C$50))&lt;=Setup!$C$16),OR(MONTH(WORKDAY(N172,-(Setup!$C$13+Setup!$G$32),Setup!$C$39:$C$50))&gt;=Setup!$C$15,MONTH(WORKDAY(N172,-(Setup!$C$13+Setup!$G$32),Setup!$C$39:$C$50))&lt;=Setup!$C$16))),WORKDAY(N172,-(Setup!$C$13+Setup!$G$32+Setup!$C$14),Setup!$C$39:$C$50),WORKDAY(N172,-(Setup!$C$13+Setup!$G$32),Setup!$C$39:$C$50))+(167*100+13)/10000000)))</f>
        <v/>
      </c>
      <c r="AE172" t="str">
        <f>IF(O172="","",IF(O172&lt;Setup!$C$5-Setup!$C$6,"",IF(IF(ISNUMBER(Roster!$D172),Setup!$C$33&lt;=Roster!$D172,FALSE),"",IF(OR(IF(Setup!$C$15&lt;=Setup!$C$16,AND(MONTH(O172)&gt;=Setup!$C$15,MONTH(O172)&lt;=Setup!$C$16),OR(MONTH(O172)&gt;=Setup!$C$15,MONTH(O172)&lt;=Setup!$C$16)),IF(Setup!$C$15&lt;=Setup!$C$16,AND(MONTH(WORKDAY(O172,-(Setup!$C$13+Setup!$G$33),Setup!$C$39:$C$50))&gt;=Setup!$C$15,MONTH(WORKDAY(O172,-(Setup!$C$13+Setup!$G$33),Setup!$C$39:$C$50))&lt;=Setup!$C$16),OR(MONTH(WORKDAY(O172,-(Setup!$C$13+Setup!$G$33),Setup!$C$39:$C$50))&gt;=Setup!$C$15,MONTH(WORKDAY(O172,-(Setup!$C$13+Setup!$G$33),Setup!$C$39:$C$50))&lt;=Setup!$C$16))),WORKDAY(O172,-(Setup!$C$13+Setup!$G$33+Setup!$C$14),Setup!$C$39:$C$50),WORKDAY(O172,-(Setup!$C$13+Setup!$G$33),Setup!$C$39:$C$50))+(167*100+14)/10000000)))</f>
        <v/>
      </c>
      <c r="AF172" t="str">
        <f>IF(P172="","",IF(P172&lt;Setup!$C$5-Setup!$C$6,"",IF(IF(ISNUMBER(Roster!$D172),Setup!$C$34&lt;=Roster!$D172,FALSE),"",IF(OR(IF(Setup!$C$15&lt;=Setup!$C$16,AND(MONTH(P172)&gt;=Setup!$C$15,MONTH(P172)&lt;=Setup!$C$16),OR(MONTH(P172)&gt;=Setup!$C$15,MONTH(P172)&lt;=Setup!$C$16)),IF(Setup!$C$15&lt;=Setup!$C$16,AND(MONTH(WORKDAY(P172,-(Setup!$C$13+Setup!$G$34),Setup!$C$39:$C$50))&gt;=Setup!$C$15,MONTH(WORKDAY(P172,-(Setup!$C$13+Setup!$G$34),Setup!$C$39:$C$50))&lt;=Setup!$C$16),OR(MONTH(WORKDAY(P172,-(Setup!$C$13+Setup!$G$34),Setup!$C$39:$C$50))&gt;=Setup!$C$15,MONTH(WORKDAY(P172,-(Setup!$C$13+Setup!$G$34),Setup!$C$39:$C$50))&lt;=Setup!$C$16))),WORKDAY(P172,-(Setup!$C$13+Setup!$G$34+Setup!$C$14),Setup!$C$39:$C$50),WORKDAY(P172,-(Setup!$C$13+Setup!$G$34),Setup!$C$39:$C$50))+(167*100+15)/10000000)))</f>
        <v/>
      </c>
      <c r="AH172" t="str">
        <f t="shared" si="17"/>
        <v/>
      </c>
      <c r="AI172" t="str">
        <f t="shared" si="18"/>
        <v/>
      </c>
      <c r="AK172" t="str">
        <f ca="1">IF(167&gt;$AK$2,"",SMALL($R$6:$AF$505,167))</f>
        <v/>
      </c>
      <c r="AL172" t="str">
        <f t="shared" ca="1" si="19"/>
        <v/>
      </c>
      <c r="AM172" t="str">
        <f t="shared" ca="1" si="20"/>
        <v/>
      </c>
      <c r="AN172" t="str">
        <f t="shared" ca="1" si="21"/>
        <v/>
      </c>
      <c r="AP172" t="str">
        <f>IF(ISNUMBER(Roster!$B172),MAX(1,YEAR(Setup!$C$5)-YEAR(Roster!$B172)+IF(EDATE(Roster!$B172,12*(YEAR(Setup!$C$5)-YEAR(Roster!$B172)))&lt;Setup!$C$5,1,0)),"")</f>
        <v/>
      </c>
      <c r="AQ172" s="32" t="str">
        <f>IF(AP172="","",EDATE(Roster!$B172,12*AP172))</f>
        <v/>
      </c>
      <c r="AR172" t="str">
        <f>IF(AQ172="","",IF(AQ172&lt;DATE(YEAR(Setup!$C$5)+1,MONTH(Setup!$C$5),DAY(Setup!$C$5)),AQ172+167/1000,""))</f>
        <v/>
      </c>
      <c r="AS172" t="str">
        <f t="shared" si="22"/>
        <v/>
      </c>
      <c r="AT172" t="str">
        <f>IF(AS172="","",IF(ISNUMBER(Roster!$D172),Roster!$D172&gt;=AP172,FALSE))</f>
        <v/>
      </c>
      <c r="AU172" t="str">
        <f t="shared" si="23"/>
        <v/>
      </c>
      <c r="AV172" t="str">
        <f ca="1">IF(167&gt;$AV$2,"",SMALL($AR$6:$AR$505,167))</f>
        <v/>
      </c>
      <c r="AW172" t="str">
        <f t="shared" ca="1" si="24"/>
        <v/>
      </c>
    </row>
    <row r="173" spans="2:49" x14ac:dyDescent="0.2">
      <c r="B173" s="32" t="str">
        <f>IF(AND(ISNUMBER(Roster!$B173),Setup!$B$20="Yes",ISNUMBER(Setup!$C$20)),EDATE(Roster!$B173,12*Setup!$C$20),"")</f>
        <v/>
      </c>
      <c r="C173" s="32" t="str">
        <f>IF(AND(ISNUMBER(Roster!$B173),Setup!$B$21="Yes",ISNUMBER(Setup!$C$21)),EDATE(Roster!$B173,12*Setup!$C$21),"")</f>
        <v/>
      </c>
      <c r="D173" s="32" t="str">
        <f>IF(AND(ISNUMBER(Roster!$B173),Setup!$B$22="Yes",ISNUMBER(Setup!$C$22)),EDATE(Roster!$B173,12*Setup!$C$22),"")</f>
        <v/>
      </c>
      <c r="E173" s="32" t="str">
        <f>IF(AND(ISNUMBER(Roster!$B173),Setup!$B$23="Yes",ISNUMBER(Setup!$C$23)),EDATE(Roster!$B173,12*Setup!$C$23),"")</f>
        <v/>
      </c>
      <c r="F173" s="32" t="str">
        <f>IF(AND(ISNUMBER(Roster!$B173),Setup!$B$24="Yes",ISNUMBER(Setup!$C$24)),EDATE(Roster!$B173,12*Setup!$C$24),"")</f>
        <v/>
      </c>
      <c r="G173" s="32" t="str">
        <f>IF(AND(ISNUMBER(Roster!$B173),Setup!$B$25="Yes",ISNUMBER(Setup!$C$25)),EDATE(Roster!$B173,12*Setup!$C$25),"")</f>
        <v/>
      </c>
      <c r="H173" s="32" t="str">
        <f>IF(AND(ISNUMBER(Roster!$B173),Setup!$B$26="Yes",ISNUMBER(Setup!$C$26)),EDATE(Roster!$B173,12*Setup!$C$26),"")</f>
        <v/>
      </c>
      <c r="I173" s="32" t="str">
        <f>IF(AND(ISNUMBER(Roster!$B173),Setup!$B$27="Yes",ISNUMBER(Setup!$C$27)),EDATE(Roster!$B173,12*Setup!$C$27),"")</f>
        <v/>
      </c>
      <c r="J173" s="32" t="str">
        <f>IF(AND(ISNUMBER(Roster!$B173),Setup!$B$28="Yes",ISNUMBER(Setup!$C$28)),EDATE(Roster!$B173,12*Setup!$C$28),"")</f>
        <v/>
      </c>
      <c r="K173" s="32" t="str">
        <f>IF(AND(ISNUMBER(Roster!$B173),Setup!$B$29="Yes",ISNUMBER(Setup!$C$29)),EDATE(Roster!$B173,12*Setup!$C$29),"")</f>
        <v/>
      </c>
      <c r="L173" s="32" t="str">
        <f>IF(AND(ISNUMBER(Roster!$B173),Setup!$B$30="Yes",ISNUMBER(Setup!$C$30)),EDATE(Roster!$B173,12*Setup!$C$30),"")</f>
        <v/>
      </c>
      <c r="M173" s="32" t="str">
        <f>IF(AND(ISNUMBER(Roster!$B173),Setup!$B$31="Yes",ISNUMBER(Setup!$C$31)),EDATE(Roster!$B173,12*Setup!$C$31),"")</f>
        <v/>
      </c>
      <c r="N173" s="32" t="str">
        <f>IF(AND(ISNUMBER(Roster!$B173),Setup!$B$32="Yes",ISNUMBER(Setup!$C$32)),EDATE(Roster!$B173,12*Setup!$C$32),"")</f>
        <v/>
      </c>
      <c r="O173" s="32" t="str">
        <f>IF(AND(ISNUMBER(Roster!$B173),Setup!$B$33="Yes",ISNUMBER(Setup!$C$33)),EDATE(Roster!$B173,12*Setup!$C$33),"")</f>
        <v/>
      </c>
      <c r="P173" s="32" t="str">
        <f>IF(AND(ISNUMBER(Roster!$B173),Setup!$B$34="Yes",ISNUMBER(Setup!$C$34)),EDATE(Roster!$B173,12*Setup!$C$34),"")</f>
        <v/>
      </c>
      <c r="R173" t="str">
        <f>IF(B173="","",IF(B173&lt;Setup!$C$5-Setup!$C$6,"",IF(IF(ISNUMBER(Roster!$D173),Setup!$C$20&lt;=Roster!$D173,FALSE),"",IF(OR(IF(Setup!$C$15&lt;=Setup!$C$16,AND(MONTH(B173)&gt;=Setup!$C$15,MONTH(B173)&lt;=Setup!$C$16),OR(MONTH(B173)&gt;=Setup!$C$15,MONTH(B173)&lt;=Setup!$C$16)),IF(Setup!$C$15&lt;=Setup!$C$16,AND(MONTH(WORKDAY(B173,-(Setup!$C$13+Setup!$G$20),Setup!$C$39:$C$50))&gt;=Setup!$C$15,MONTH(WORKDAY(B173,-(Setup!$C$13+Setup!$G$20),Setup!$C$39:$C$50))&lt;=Setup!$C$16),OR(MONTH(WORKDAY(B173,-(Setup!$C$13+Setup!$G$20),Setup!$C$39:$C$50))&gt;=Setup!$C$15,MONTH(WORKDAY(B173,-(Setup!$C$13+Setup!$G$20),Setup!$C$39:$C$50))&lt;=Setup!$C$16))),WORKDAY(B173,-(Setup!$C$13+Setup!$G$20+Setup!$C$14),Setup!$C$39:$C$50),WORKDAY(B173,-(Setup!$C$13+Setup!$G$20),Setup!$C$39:$C$50))+(168*100+1)/10000000)))</f>
        <v/>
      </c>
      <c r="S173" t="str">
        <f>IF(C173="","",IF(C173&lt;Setup!$C$5-Setup!$C$6,"",IF(IF(ISNUMBER(Roster!$D173),Setup!$C$21&lt;=Roster!$D173,FALSE),"",IF(OR(IF(Setup!$C$15&lt;=Setup!$C$16,AND(MONTH(C173)&gt;=Setup!$C$15,MONTH(C173)&lt;=Setup!$C$16),OR(MONTH(C173)&gt;=Setup!$C$15,MONTH(C173)&lt;=Setup!$C$16)),IF(Setup!$C$15&lt;=Setup!$C$16,AND(MONTH(WORKDAY(C173,-(Setup!$C$13+Setup!$G$21),Setup!$C$39:$C$50))&gt;=Setup!$C$15,MONTH(WORKDAY(C173,-(Setup!$C$13+Setup!$G$21),Setup!$C$39:$C$50))&lt;=Setup!$C$16),OR(MONTH(WORKDAY(C173,-(Setup!$C$13+Setup!$G$21),Setup!$C$39:$C$50))&gt;=Setup!$C$15,MONTH(WORKDAY(C173,-(Setup!$C$13+Setup!$G$21),Setup!$C$39:$C$50))&lt;=Setup!$C$16))),WORKDAY(C173,-(Setup!$C$13+Setup!$G$21+Setup!$C$14),Setup!$C$39:$C$50),WORKDAY(C173,-(Setup!$C$13+Setup!$G$21),Setup!$C$39:$C$50))+(168*100+2)/10000000)))</f>
        <v/>
      </c>
      <c r="T173" t="str">
        <f>IF(D173="","",IF(D173&lt;Setup!$C$5-Setup!$C$6,"",IF(IF(ISNUMBER(Roster!$D173),Setup!$C$22&lt;=Roster!$D173,FALSE),"",IF(OR(IF(Setup!$C$15&lt;=Setup!$C$16,AND(MONTH(D173)&gt;=Setup!$C$15,MONTH(D173)&lt;=Setup!$C$16),OR(MONTH(D173)&gt;=Setup!$C$15,MONTH(D173)&lt;=Setup!$C$16)),IF(Setup!$C$15&lt;=Setup!$C$16,AND(MONTH(WORKDAY(D173,-(Setup!$C$13+Setup!$G$22),Setup!$C$39:$C$50))&gt;=Setup!$C$15,MONTH(WORKDAY(D173,-(Setup!$C$13+Setup!$G$22),Setup!$C$39:$C$50))&lt;=Setup!$C$16),OR(MONTH(WORKDAY(D173,-(Setup!$C$13+Setup!$G$22),Setup!$C$39:$C$50))&gt;=Setup!$C$15,MONTH(WORKDAY(D173,-(Setup!$C$13+Setup!$G$22),Setup!$C$39:$C$50))&lt;=Setup!$C$16))),WORKDAY(D173,-(Setup!$C$13+Setup!$G$22+Setup!$C$14),Setup!$C$39:$C$50),WORKDAY(D173,-(Setup!$C$13+Setup!$G$22),Setup!$C$39:$C$50))+(168*100+3)/10000000)))</f>
        <v/>
      </c>
      <c r="U173" t="str">
        <f>IF(E173="","",IF(E173&lt;Setup!$C$5-Setup!$C$6,"",IF(IF(ISNUMBER(Roster!$D173),Setup!$C$23&lt;=Roster!$D173,FALSE),"",IF(OR(IF(Setup!$C$15&lt;=Setup!$C$16,AND(MONTH(E173)&gt;=Setup!$C$15,MONTH(E173)&lt;=Setup!$C$16),OR(MONTH(E173)&gt;=Setup!$C$15,MONTH(E173)&lt;=Setup!$C$16)),IF(Setup!$C$15&lt;=Setup!$C$16,AND(MONTH(WORKDAY(E173,-(Setup!$C$13+Setup!$G$23),Setup!$C$39:$C$50))&gt;=Setup!$C$15,MONTH(WORKDAY(E173,-(Setup!$C$13+Setup!$G$23),Setup!$C$39:$C$50))&lt;=Setup!$C$16),OR(MONTH(WORKDAY(E173,-(Setup!$C$13+Setup!$G$23),Setup!$C$39:$C$50))&gt;=Setup!$C$15,MONTH(WORKDAY(E173,-(Setup!$C$13+Setup!$G$23),Setup!$C$39:$C$50))&lt;=Setup!$C$16))),WORKDAY(E173,-(Setup!$C$13+Setup!$G$23+Setup!$C$14),Setup!$C$39:$C$50),WORKDAY(E173,-(Setup!$C$13+Setup!$G$23),Setup!$C$39:$C$50))+(168*100+4)/10000000)))</f>
        <v/>
      </c>
      <c r="V173" t="str">
        <f>IF(F173="","",IF(F173&lt;Setup!$C$5-Setup!$C$6,"",IF(IF(ISNUMBER(Roster!$D173),Setup!$C$24&lt;=Roster!$D173,FALSE),"",IF(OR(IF(Setup!$C$15&lt;=Setup!$C$16,AND(MONTH(F173)&gt;=Setup!$C$15,MONTH(F173)&lt;=Setup!$C$16),OR(MONTH(F173)&gt;=Setup!$C$15,MONTH(F173)&lt;=Setup!$C$16)),IF(Setup!$C$15&lt;=Setup!$C$16,AND(MONTH(WORKDAY(F173,-(Setup!$C$13+Setup!$G$24),Setup!$C$39:$C$50))&gt;=Setup!$C$15,MONTH(WORKDAY(F173,-(Setup!$C$13+Setup!$G$24),Setup!$C$39:$C$50))&lt;=Setup!$C$16),OR(MONTH(WORKDAY(F173,-(Setup!$C$13+Setup!$G$24),Setup!$C$39:$C$50))&gt;=Setup!$C$15,MONTH(WORKDAY(F173,-(Setup!$C$13+Setup!$G$24),Setup!$C$39:$C$50))&lt;=Setup!$C$16))),WORKDAY(F173,-(Setup!$C$13+Setup!$G$24+Setup!$C$14),Setup!$C$39:$C$50),WORKDAY(F173,-(Setup!$C$13+Setup!$G$24),Setup!$C$39:$C$50))+(168*100+5)/10000000)))</f>
        <v/>
      </c>
      <c r="W173" t="str">
        <f>IF(G173="","",IF(G173&lt;Setup!$C$5-Setup!$C$6,"",IF(IF(ISNUMBER(Roster!$D173),Setup!$C$25&lt;=Roster!$D173,FALSE),"",IF(OR(IF(Setup!$C$15&lt;=Setup!$C$16,AND(MONTH(G173)&gt;=Setup!$C$15,MONTH(G173)&lt;=Setup!$C$16),OR(MONTH(G173)&gt;=Setup!$C$15,MONTH(G173)&lt;=Setup!$C$16)),IF(Setup!$C$15&lt;=Setup!$C$16,AND(MONTH(WORKDAY(G173,-(Setup!$C$13+Setup!$G$25),Setup!$C$39:$C$50))&gt;=Setup!$C$15,MONTH(WORKDAY(G173,-(Setup!$C$13+Setup!$G$25),Setup!$C$39:$C$50))&lt;=Setup!$C$16),OR(MONTH(WORKDAY(G173,-(Setup!$C$13+Setup!$G$25),Setup!$C$39:$C$50))&gt;=Setup!$C$15,MONTH(WORKDAY(G173,-(Setup!$C$13+Setup!$G$25),Setup!$C$39:$C$50))&lt;=Setup!$C$16))),WORKDAY(G173,-(Setup!$C$13+Setup!$G$25+Setup!$C$14),Setup!$C$39:$C$50),WORKDAY(G173,-(Setup!$C$13+Setup!$G$25),Setup!$C$39:$C$50))+(168*100+6)/10000000)))</f>
        <v/>
      </c>
      <c r="X173" t="str">
        <f>IF(H173="","",IF(H173&lt;Setup!$C$5-Setup!$C$6,"",IF(IF(ISNUMBER(Roster!$D173),Setup!$C$26&lt;=Roster!$D173,FALSE),"",IF(OR(IF(Setup!$C$15&lt;=Setup!$C$16,AND(MONTH(H173)&gt;=Setup!$C$15,MONTH(H173)&lt;=Setup!$C$16),OR(MONTH(H173)&gt;=Setup!$C$15,MONTH(H173)&lt;=Setup!$C$16)),IF(Setup!$C$15&lt;=Setup!$C$16,AND(MONTH(WORKDAY(H173,-(Setup!$C$13+Setup!$G$26),Setup!$C$39:$C$50))&gt;=Setup!$C$15,MONTH(WORKDAY(H173,-(Setup!$C$13+Setup!$G$26),Setup!$C$39:$C$50))&lt;=Setup!$C$16),OR(MONTH(WORKDAY(H173,-(Setup!$C$13+Setup!$G$26),Setup!$C$39:$C$50))&gt;=Setup!$C$15,MONTH(WORKDAY(H173,-(Setup!$C$13+Setup!$G$26),Setup!$C$39:$C$50))&lt;=Setup!$C$16))),WORKDAY(H173,-(Setup!$C$13+Setup!$G$26+Setup!$C$14),Setup!$C$39:$C$50),WORKDAY(H173,-(Setup!$C$13+Setup!$G$26),Setup!$C$39:$C$50))+(168*100+7)/10000000)))</f>
        <v/>
      </c>
      <c r="Y173" t="str">
        <f>IF(I173="","",IF(I173&lt;Setup!$C$5-Setup!$C$6,"",IF(IF(ISNUMBER(Roster!$D173),Setup!$C$27&lt;=Roster!$D173,FALSE),"",IF(OR(IF(Setup!$C$15&lt;=Setup!$C$16,AND(MONTH(I173)&gt;=Setup!$C$15,MONTH(I173)&lt;=Setup!$C$16),OR(MONTH(I173)&gt;=Setup!$C$15,MONTH(I173)&lt;=Setup!$C$16)),IF(Setup!$C$15&lt;=Setup!$C$16,AND(MONTH(WORKDAY(I173,-(Setup!$C$13+Setup!$G$27),Setup!$C$39:$C$50))&gt;=Setup!$C$15,MONTH(WORKDAY(I173,-(Setup!$C$13+Setup!$G$27),Setup!$C$39:$C$50))&lt;=Setup!$C$16),OR(MONTH(WORKDAY(I173,-(Setup!$C$13+Setup!$G$27),Setup!$C$39:$C$50))&gt;=Setup!$C$15,MONTH(WORKDAY(I173,-(Setup!$C$13+Setup!$G$27),Setup!$C$39:$C$50))&lt;=Setup!$C$16))),WORKDAY(I173,-(Setup!$C$13+Setup!$G$27+Setup!$C$14),Setup!$C$39:$C$50),WORKDAY(I173,-(Setup!$C$13+Setup!$G$27),Setup!$C$39:$C$50))+(168*100+8)/10000000)))</f>
        <v/>
      </c>
      <c r="Z173" t="str">
        <f>IF(J173="","",IF(J173&lt;Setup!$C$5-Setup!$C$6,"",IF(IF(ISNUMBER(Roster!$D173),Setup!$C$28&lt;=Roster!$D173,FALSE),"",IF(OR(IF(Setup!$C$15&lt;=Setup!$C$16,AND(MONTH(J173)&gt;=Setup!$C$15,MONTH(J173)&lt;=Setup!$C$16),OR(MONTH(J173)&gt;=Setup!$C$15,MONTH(J173)&lt;=Setup!$C$16)),IF(Setup!$C$15&lt;=Setup!$C$16,AND(MONTH(WORKDAY(J173,-(Setup!$C$13+Setup!$G$28),Setup!$C$39:$C$50))&gt;=Setup!$C$15,MONTH(WORKDAY(J173,-(Setup!$C$13+Setup!$G$28),Setup!$C$39:$C$50))&lt;=Setup!$C$16),OR(MONTH(WORKDAY(J173,-(Setup!$C$13+Setup!$G$28),Setup!$C$39:$C$50))&gt;=Setup!$C$15,MONTH(WORKDAY(J173,-(Setup!$C$13+Setup!$G$28),Setup!$C$39:$C$50))&lt;=Setup!$C$16))),WORKDAY(J173,-(Setup!$C$13+Setup!$G$28+Setup!$C$14),Setup!$C$39:$C$50),WORKDAY(J173,-(Setup!$C$13+Setup!$G$28),Setup!$C$39:$C$50))+(168*100+9)/10000000)))</f>
        <v/>
      </c>
      <c r="AA173" t="str">
        <f>IF(K173="","",IF(K173&lt;Setup!$C$5-Setup!$C$6,"",IF(IF(ISNUMBER(Roster!$D173),Setup!$C$29&lt;=Roster!$D173,FALSE),"",IF(OR(IF(Setup!$C$15&lt;=Setup!$C$16,AND(MONTH(K173)&gt;=Setup!$C$15,MONTH(K173)&lt;=Setup!$C$16),OR(MONTH(K173)&gt;=Setup!$C$15,MONTH(K173)&lt;=Setup!$C$16)),IF(Setup!$C$15&lt;=Setup!$C$16,AND(MONTH(WORKDAY(K173,-(Setup!$C$13+Setup!$G$29),Setup!$C$39:$C$50))&gt;=Setup!$C$15,MONTH(WORKDAY(K173,-(Setup!$C$13+Setup!$G$29),Setup!$C$39:$C$50))&lt;=Setup!$C$16),OR(MONTH(WORKDAY(K173,-(Setup!$C$13+Setup!$G$29),Setup!$C$39:$C$50))&gt;=Setup!$C$15,MONTH(WORKDAY(K173,-(Setup!$C$13+Setup!$G$29),Setup!$C$39:$C$50))&lt;=Setup!$C$16))),WORKDAY(K173,-(Setup!$C$13+Setup!$G$29+Setup!$C$14),Setup!$C$39:$C$50),WORKDAY(K173,-(Setup!$C$13+Setup!$G$29),Setup!$C$39:$C$50))+(168*100+10)/10000000)))</f>
        <v/>
      </c>
      <c r="AB173" t="str">
        <f>IF(L173="","",IF(L173&lt;Setup!$C$5-Setup!$C$6,"",IF(IF(ISNUMBER(Roster!$D173),Setup!$C$30&lt;=Roster!$D173,FALSE),"",IF(OR(IF(Setup!$C$15&lt;=Setup!$C$16,AND(MONTH(L173)&gt;=Setup!$C$15,MONTH(L173)&lt;=Setup!$C$16),OR(MONTH(L173)&gt;=Setup!$C$15,MONTH(L173)&lt;=Setup!$C$16)),IF(Setup!$C$15&lt;=Setup!$C$16,AND(MONTH(WORKDAY(L173,-(Setup!$C$13+Setup!$G$30),Setup!$C$39:$C$50))&gt;=Setup!$C$15,MONTH(WORKDAY(L173,-(Setup!$C$13+Setup!$G$30),Setup!$C$39:$C$50))&lt;=Setup!$C$16),OR(MONTH(WORKDAY(L173,-(Setup!$C$13+Setup!$G$30),Setup!$C$39:$C$50))&gt;=Setup!$C$15,MONTH(WORKDAY(L173,-(Setup!$C$13+Setup!$G$30),Setup!$C$39:$C$50))&lt;=Setup!$C$16))),WORKDAY(L173,-(Setup!$C$13+Setup!$G$30+Setup!$C$14),Setup!$C$39:$C$50),WORKDAY(L173,-(Setup!$C$13+Setup!$G$30),Setup!$C$39:$C$50))+(168*100+11)/10000000)))</f>
        <v/>
      </c>
      <c r="AC173" t="str">
        <f>IF(M173="","",IF(M173&lt;Setup!$C$5-Setup!$C$6,"",IF(IF(ISNUMBER(Roster!$D173),Setup!$C$31&lt;=Roster!$D173,FALSE),"",IF(OR(IF(Setup!$C$15&lt;=Setup!$C$16,AND(MONTH(M173)&gt;=Setup!$C$15,MONTH(M173)&lt;=Setup!$C$16),OR(MONTH(M173)&gt;=Setup!$C$15,MONTH(M173)&lt;=Setup!$C$16)),IF(Setup!$C$15&lt;=Setup!$C$16,AND(MONTH(WORKDAY(M173,-(Setup!$C$13+Setup!$G$31),Setup!$C$39:$C$50))&gt;=Setup!$C$15,MONTH(WORKDAY(M173,-(Setup!$C$13+Setup!$G$31),Setup!$C$39:$C$50))&lt;=Setup!$C$16),OR(MONTH(WORKDAY(M173,-(Setup!$C$13+Setup!$G$31),Setup!$C$39:$C$50))&gt;=Setup!$C$15,MONTH(WORKDAY(M173,-(Setup!$C$13+Setup!$G$31),Setup!$C$39:$C$50))&lt;=Setup!$C$16))),WORKDAY(M173,-(Setup!$C$13+Setup!$G$31+Setup!$C$14),Setup!$C$39:$C$50),WORKDAY(M173,-(Setup!$C$13+Setup!$G$31),Setup!$C$39:$C$50))+(168*100+12)/10000000)))</f>
        <v/>
      </c>
      <c r="AD173" t="str">
        <f>IF(N173="","",IF(N173&lt;Setup!$C$5-Setup!$C$6,"",IF(IF(ISNUMBER(Roster!$D173),Setup!$C$32&lt;=Roster!$D173,FALSE),"",IF(OR(IF(Setup!$C$15&lt;=Setup!$C$16,AND(MONTH(N173)&gt;=Setup!$C$15,MONTH(N173)&lt;=Setup!$C$16),OR(MONTH(N173)&gt;=Setup!$C$15,MONTH(N173)&lt;=Setup!$C$16)),IF(Setup!$C$15&lt;=Setup!$C$16,AND(MONTH(WORKDAY(N173,-(Setup!$C$13+Setup!$G$32),Setup!$C$39:$C$50))&gt;=Setup!$C$15,MONTH(WORKDAY(N173,-(Setup!$C$13+Setup!$G$32),Setup!$C$39:$C$50))&lt;=Setup!$C$16),OR(MONTH(WORKDAY(N173,-(Setup!$C$13+Setup!$G$32),Setup!$C$39:$C$50))&gt;=Setup!$C$15,MONTH(WORKDAY(N173,-(Setup!$C$13+Setup!$G$32),Setup!$C$39:$C$50))&lt;=Setup!$C$16))),WORKDAY(N173,-(Setup!$C$13+Setup!$G$32+Setup!$C$14),Setup!$C$39:$C$50),WORKDAY(N173,-(Setup!$C$13+Setup!$G$32),Setup!$C$39:$C$50))+(168*100+13)/10000000)))</f>
        <v/>
      </c>
      <c r="AE173" t="str">
        <f>IF(O173="","",IF(O173&lt;Setup!$C$5-Setup!$C$6,"",IF(IF(ISNUMBER(Roster!$D173),Setup!$C$33&lt;=Roster!$D173,FALSE),"",IF(OR(IF(Setup!$C$15&lt;=Setup!$C$16,AND(MONTH(O173)&gt;=Setup!$C$15,MONTH(O173)&lt;=Setup!$C$16),OR(MONTH(O173)&gt;=Setup!$C$15,MONTH(O173)&lt;=Setup!$C$16)),IF(Setup!$C$15&lt;=Setup!$C$16,AND(MONTH(WORKDAY(O173,-(Setup!$C$13+Setup!$G$33),Setup!$C$39:$C$50))&gt;=Setup!$C$15,MONTH(WORKDAY(O173,-(Setup!$C$13+Setup!$G$33),Setup!$C$39:$C$50))&lt;=Setup!$C$16),OR(MONTH(WORKDAY(O173,-(Setup!$C$13+Setup!$G$33),Setup!$C$39:$C$50))&gt;=Setup!$C$15,MONTH(WORKDAY(O173,-(Setup!$C$13+Setup!$G$33),Setup!$C$39:$C$50))&lt;=Setup!$C$16))),WORKDAY(O173,-(Setup!$C$13+Setup!$G$33+Setup!$C$14),Setup!$C$39:$C$50),WORKDAY(O173,-(Setup!$C$13+Setup!$G$33),Setup!$C$39:$C$50))+(168*100+14)/10000000)))</f>
        <v/>
      </c>
      <c r="AF173" t="str">
        <f>IF(P173="","",IF(P173&lt;Setup!$C$5-Setup!$C$6,"",IF(IF(ISNUMBER(Roster!$D173),Setup!$C$34&lt;=Roster!$D173,FALSE),"",IF(OR(IF(Setup!$C$15&lt;=Setup!$C$16,AND(MONTH(P173)&gt;=Setup!$C$15,MONTH(P173)&lt;=Setup!$C$16),OR(MONTH(P173)&gt;=Setup!$C$15,MONTH(P173)&lt;=Setup!$C$16)),IF(Setup!$C$15&lt;=Setup!$C$16,AND(MONTH(WORKDAY(P173,-(Setup!$C$13+Setup!$G$34),Setup!$C$39:$C$50))&gt;=Setup!$C$15,MONTH(WORKDAY(P173,-(Setup!$C$13+Setup!$G$34),Setup!$C$39:$C$50))&lt;=Setup!$C$16),OR(MONTH(WORKDAY(P173,-(Setup!$C$13+Setup!$G$34),Setup!$C$39:$C$50))&gt;=Setup!$C$15,MONTH(WORKDAY(P173,-(Setup!$C$13+Setup!$G$34),Setup!$C$39:$C$50))&lt;=Setup!$C$16))),WORKDAY(P173,-(Setup!$C$13+Setup!$G$34+Setup!$C$14),Setup!$C$39:$C$50),WORKDAY(P173,-(Setup!$C$13+Setup!$G$34),Setup!$C$39:$C$50))+(168*100+15)/10000000)))</f>
        <v/>
      </c>
      <c r="AH173" t="str">
        <f t="shared" si="17"/>
        <v/>
      </c>
      <c r="AI173" t="str">
        <f t="shared" si="18"/>
        <v/>
      </c>
      <c r="AK173" t="str">
        <f ca="1">IF(168&gt;$AK$2,"",SMALL($R$6:$AF$505,168))</f>
        <v/>
      </c>
      <c r="AL173" t="str">
        <f t="shared" ca="1" si="19"/>
        <v/>
      </c>
      <c r="AM173" t="str">
        <f t="shared" ca="1" si="20"/>
        <v/>
      </c>
      <c r="AN173" t="str">
        <f t="shared" ca="1" si="21"/>
        <v/>
      </c>
      <c r="AP173" t="str">
        <f>IF(ISNUMBER(Roster!$B173),MAX(1,YEAR(Setup!$C$5)-YEAR(Roster!$B173)+IF(EDATE(Roster!$B173,12*(YEAR(Setup!$C$5)-YEAR(Roster!$B173)))&lt;Setup!$C$5,1,0)),"")</f>
        <v/>
      </c>
      <c r="AQ173" s="32" t="str">
        <f>IF(AP173="","",EDATE(Roster!$B173,12*AP173))</f>
        <v/>
      </c>
      <c r="AR173" t="str">
        <f>IF(AQ173="","",IF(AQ173&lt;DATE(YEAR(Setup!$C$5)+1,MONTH(Setup!$C$5),DAY(Setup!$C$5)),AQ173+168/1000,""))</f>
        <v/>
      </c>
      <c r="AS173" t="str">
        <f t="shared" si="22"/>
        <v/>
      </c>
      <c r="AT173" t="str">
        <f>IF(AS173="","",IF(ISNUMBER(Roster!$D173),Roster!$D173&gt;=AP173,FALSE))</f>
        <v/>
      </c>
      <c r="AU173" t="str">
        <f t="shared" si="23"/>
        <v/>
      </c>
      <c r="AV173" t="str">
        <f ca="1">IF(168&gt;$AV$2,"",SMALL($AR$6:$AR$505,168))</f>
        <v/>
      </c>
      <c r="AW173" t="str">
        <f t="shared" ca="1" si="24"/>
        <v/>
      </c>
    </row>
    <row r="174" spans="2:49" x14ac:dyDescent="0.2">
      <c r="B174" s="32" t="str">
        <f>IF(AND(ISNUMBER(Roster!$B174),Setup!$B$20="Yes",ISNUMBER(Setup!$C$20)),EDATE(Roster!$B174,12*Setup!$C$20),"")</f>
        <v/>
      </c>
      <c r="C174" s="32" t="str">
        <f>IF(AND(ISNUMBER(Roster!$B174),Setup!$B$21="Yes",ISNUMBER(Setup!$C$21)),EDATE(Roster!$B174,12*Setup!$C$21),"")</f>
        <v/>
      </c>
      <c r="D174" s="32" t="str">
        <f>IF(AND(ISNUMBER(Roster!$B174),Setup!$B$22="Yes",ISNUMBER(Setup!$C$22)),EDATE(Roster!$B174,12*Setup!$C$22),"")</f>
        <v/>
      </c>
      <c r="E174" s="32" t="str">
        <f>IF(AND(ISNUMBER(Roster!$B174),Setup!$B$23="Yes",ISNUMBER(Setup!$C$23)),EDATE(Roster!$B174,12*Setup!$C$23),"")</f>
        <v/>
      </c>
      <c r="F174" s="32" t="str">
        <f>IF(AND(ISNUMBER(Roster!$B174),Setup!$B$24="Yes",ISNUMBER(Setup!$C$24)),EDATE(Roster!$B174,12*Setup!$C$24),"")</f>
        <v/>
      </c>
      <c r="G174" s="32" t="str">
        <f>IF(AND(ISNUMBER(Roster!$B174),Setup!$B$25="Yes",ISNUMBER(Setup!$C$25)),EDATE(Roster!$B174,12*Setup!$C$25),"")</f>
        <v/>
      </c>
      <c r="H174" s="32" t="str">
        <f>IF(AND(ISNUMBER(Roster!$B174),Setup!$B$26="Yes",ISNUMBER(Setup!$C$26)),EDATE(Roster!$B174,12*Setup!$C$26),"")</f>
        <v/>
      </c>
      <c r="I174" s="32" t="str">
        <f>IF(AND(ISNUMBER(Roster!$B174),Setup!$B$27="Yes",ISNUMBER(Setup!$C$27)),EDATE(Roster!$B174,12*Setup!$C$27),"")</f>
        <v/>
      </c>
      <c r="J174" s="32" t="str">
        <f>IF(AND(ISNUMBER(Roster!$B174),Setup!$B$28="Yes",ISNUMBER(Setup!$C$28)),EDATE(Roster!$B174,12*Setup!$C$28),"")</f>
        <v/>
      </c>
      <c r="K174" s="32" t="str">
        <f>IF(AND(ISNUMBER(Roster!$B174),Setup!$B$29="Yes",ISNUMBER(Setup!$C$29)),EDATE(Roster!$B174,12*Setup!$C$29),"")</f>
        <v/>
      </c>
      <c r="L174" s="32" t="str">
        <f>IF(AND(ISNUMBER(Roster!$B174),Setup!$B$30="Yes",ISNUMBER(Setup!$C$30)),EDATE(Roster!$B174,12*Setup!$C$30),"")</f>
        <v/>
      </c>
      <c r="M174" s="32" t="str">
        <f>IF(AND(ISNUMBER(Roster!$B174),Setup!$B$31="Yes",ISNUMBER(Setup!$C$31)),EDATE(Roster!$B174,12*Setup!$C$31),"")</f>
        <v/>
      </c>
      <c r="N174" s="32" t="str">
        <f>IF(AND(ISNUMBER(Roster!$B174),Setup!$B$32="Yes",ISNUMBER(Setup!$C$32)),EDATE(Roster!$B174,12*Setup!$C$32),"")</f>
        <v/>
      </c>
      <c r="O174" s="32" t="str">
        <f>IF(AND(ISNUMBER(Roster!$B174),Setup!$B$33="Yes",ISNUMBER(Setup!$C$33)),EDATE(Roster!$B174,12*Setup!$C$33),"")</f>
        <v/>
      </c>
      <c r="P174" s="32" t="str">
        <f>IF(AND(ISNUMBER(Roster!$B174),Setup!$B$34="Yes",ISNUMBER(Setup!$C$34)),EDATE(Roster!$B174,12*Setup!$C$34),"")</f>
        <v/>
      </c>
      <c r="R174" t="str">
        <f>IF(B174="","",IF(B174&lt;Setup!$C$5-Setup!$C$6,"",IF(IF(ISNUMBER(Roster!$D174),Setup!$C$20&lt;=Roster!$D174,FALSE),"",IF(OR(IF(Setup!$C$15&lt;=Setup!$C$16,AND(MONTH(B174)&gt;=Setup!$C$15,MONTH(B174)&lt;=Setup!$C$16),OR(MONTH(B174)&gt;=Setup!$C$15,MONTH(B174)&lt;=Setup!$C$16)),IF(Setup!$C$15&lt;=Setup!$C$16,AND(MONTH(WORKDAY(B174,-(Setup!$C$13+Setup!$G$20),Setup!$C$39:$C$50))&gt;=Setup!$C$15,MONTH(WORKDAY(B174,-(Setup!$C$13+Setup!$G$20),Setup!$C$39:$C$50))&lt;=Setup!$C$16),OR(MONTH(WORKDAY(B174,-(Setup!$C$13+Setup!$G$20),Setup!$C$39:$C$50))&gt;=Setup!$C$15,MONTH(WORKDAY(B174,-(Setup!$C$13+Setup!$G$20),Setup!$C$39:$C$50))&lt;=Setup!$C$16))),WORKDAY(B174,-(Setup!$C$13+Setup!$G$20+Setup!$C$14),Setup!$C$39:$C$50),WORKDAY(B174,-(Setup!$C$13+Setup!$G$20),Setup!$C$39:$C$50))+(169*100+1)/10000000)))</f>
        <v/>
      </c>
      <c r="S174" t="str">
        <f>IF(C174="","",IF(C174&lt;Setup!$C$5-Setup!$C$6,"",IF(IF(ISNUMBER(Roster!$D174),Setup!$C$21&lt;=Roster!$D174,FALSE),"",IF(OR(IF(Setup!$C$15&lt;=Setup!$C$16,AND(MONTH(C174)&gt;=Setup!$C$15,MONTH(C174)&lt;=Setup!$C$16),OR(MONTH(C174)&gt;=Setup!$C$15,MONTH(C174)&lt;=Setup!$C$16)),IF(Setup!$C$15&lt;=Setup!$C$16,AND(MONTH(WORKDAY(C174,-(Setup!$C$13+Setup!$G$21),Setup!$C$39:$C$50))&gt;=Setup!$C$15,MONTH(WORKDAY(C174,-(Setup!$C$13+Setup!$G$21),Setup!$C$39:$C$50))&lt;=Setup!$C$16),OR(MONTH(WORKDAY(C174,-(Setup!$C$13+Setup!$G$21),Setup!$C$39:$C$50))&gt;=Setup!$C$15,MONTH(WORKDAY(C174,-(Setup!$C$13+Setup!$G$21),Setup!$C$39:$C$50))&lt;=Setup!$C$16))),WORKDAY(C174,-(Setup!$C$13+Setup!$G$21+Setup!$C$14),Setup!$C$39:$C$50),WORKDAY(C174,-(Setup!$C$13+Setup!$G$21),Setup!$C$39:$C$50))+(169*100+2)/10000000)))</f>
        <v/>
      </c>
      <c r="T174" t="str">
        <f>IF(D174="","",IF(D174&lt;Setup!$C$5-Setup!$C$6,"",IF(IF(ISNUMBER(Roster!$D174),Setup!$C$22&lt;=Roster!$D174,FALSE),"",IF(OR(IF(Setup!$C$15&lt;=Setup!$C$16,AND(MONTH(D174)&gt;=Setup!$C$15,MONTH(D174)&lt;=Setup!$C$16),OR(MONTH(D174)&gt;=Setup!$C$15,MONTH(D174)&lt;=Setup!$C$16)),IF(Setup!$C$15&lt;=Setup!$C$16,AND(MONTH(WORKDAY(D174,-(Setup!$C$13+Setup!$G$22),Setup!$C$39:$C$50))&gt;=Setup!$C$15,MONTH(WORKDAY(D174,-(Setup!$C$13+Setup!$G$22),Setup!$C$39:$C$50))&lt;=Setup!$C$16),OR(MONTH(WORKDAY(D174,-(Setup!$C$13+Setup!$G$22),Setup!$C$39:$C$50))&gt;=Setup!$C$15,MONTH(WORKDAY(D174,-(Setup!$C$13+Setup!$G$22),Setup!$C$39:$C$50))&lt;=Setup!$C$16))),WORKDAY(D174,-(Setup!$C$13+Setup!$G$22+Setup!$C$14),Setup!$C$39:$C$50),WORKDAY(D174,-(Setup!$C$13+Setup!$G$22),Setup!$C$39:$C$50))+(169*100+3)/10000000)))</f>
        <v/>
      </c>
      <c r="U174" t="str">
        <f>IF(E174="","",IF(E174&lt;Setup!$C$5-Setup!$C$6,"",IF(IF(ISNUMBER(Roster!$D174),Setup!$C$23&lt;=Roster!$D174,FALSE),"",IF(OR(IF(Setup!$C$15&lt;=Setup!$C$16,AND(MONTH(E174)&gt;=Setup!$C$15,MONTH(E174)&lt;=Setup!$C$16),OR(MONTH(E174)&gt;=Setup!$C$15,MONTH(E174)&lt;=Setup!$C$16)),IF(Setup!$C$15&lt;=Setup!$C$16,AND(MONTH(WORKDAY(E174,-(Setup!$C$13+Setup!$G$23),Setup!$C$39:$C$50))&gt;=Setup!$C$15,MONTH(WORKDAY(E174,-(Setup!$C$13+Setup!$G$23),Setup!$C$39:$C$50))&lt;=Setup!$C$16),OR(MONTH(WORKDAY(E174,-(Setup!$C$13+Setup!$G$23),Setup!$C$39:$C$50))&gt;=Setup!$C$15,MONTH(WORKDAY(E174,-(Setup!$C$13+Setup!$G$23),Setup!$C$39:$C$50))&lt;=Setup!$C$16))),WORKDAY(E174,-(Setup!$C$13+Setup!$G$23+Setup!$C$14),Setup!$C$39:$C$50),WORKDAY(E174,-(Setup!$C$13+Setup!$G$23),Setup!$C$39:$C$50))+(169*100+4)/10000000)))</f>
        <v/>
      </c>
      <c r="V174" t="str">
        <f>IF(F174="","",IF(F174&lt;Setup!$C$5-Setup!$C$6,"",IF(IF(ISNUMBER(Roster!$D174),Setup!$C$24&lt;=Roster!$D174,FALSE),"",IF(OR(IF(Setup!$C$15&lt;=Setup!$C$16,AND(MONTH(F174)&gt;=Setup!$C$15,MONTH(F174)&lt;=Setup!$C$16),OR(MONTH(F174)&gt;=Setup!$C$15,MONTH(F174)&lt;=Setup!$C$16)),IF(Setup!$C$15&lt;=Setup!$C$16,AND(MONTH(WORKDAY(F174,-(Setup!$C$13+Setup!$G$24),Setup!$C$39:$C$50))&gt;=Setup!$C$15,MONTH(WORKDAY(F174,-(Setup!$C$13+Setup!$G$24),Setup!$C$39:$C$50))&lt;=Setup!$C$16),OR(MONTH(WORKDAY(F174,-(Setup!$C$13+Setup!$G$24),Setup!$C$39:$C$50))&gt;=Setup!$C$15,MONTH(WORKDAY(F174,-(Setup!$C$13+Setup!$G$24),Setup!$C$39:$C$50))&lt;=Setup!$C$16))),WORKDAY(F174,-(Setup!$C$13+Setup!$G$24+Setup!$C$14),Setup!$C$39:$C$50),WORKDAY(F174,-(Setup!$C$13+Setup!$G$24),Setup!$C$39:$C$50))+(169*100+5)/10000000)))</f>
        <v/>
      </c>
      <c r="W174" t="str">
        <f>IF(G174="","",IF(G174&lt;Setup!$C$5-Setup!$C$6,"",IF(IF(ISNUMBER(Roster!$D174),Setup!$C$25&lt;=Roster!$D174,FALSE),"",IF(OR(IF(Setup!$C$15&lt;=Setup!$C$16,AND(MONTH(G174)&gt;=Setup!$C$15,MONTH(G174)&lt;=Setup!$C$16),OR(MONTH(G174)&gt;=Setup!$C$15,MONTH(G174)&lt;=Setup!$C$16)),IF(Setup!$C$15&lt;=Setup!$C$16,AND(MONTH(WORKDAY(G174,-(Setup!$C$13+Setup!$G$25),Setup!$C$39:$C$50))&gt;=Setup!$C$15,MONTH(WORKDAY(G174,-(Setup!$C$13+Setup!$G$25),Setup!$C$39:$C$50))&lt;=Setup!$C$16),OR(MONTH(WORKDAY(G174,-(Setup!$C$13+Setup!$G$25),Setup!$C$39:$C$50))&gt;=Setup!$C$15,MONTH(WORKDAY(G174,-(Setup!$C$13+Setup!$G$25),Setup!$C$39:$C$50))&lt;=Setup!$C$16))),WORKDAY(G174,-(Setup!$C$13+Setup!$G$25+Setup!$C$14),Setup!$C$39:$C$50),WORKDAY(G174,-(Setup!$C$13+Setup!$G$25),Setup!$C$39:$C$50))+(169*100+6)/10000000)))</f>
        <v/>
      </c>
      <c r="X174" t="str">
        <f>IF(H174="","",IF(H174&lt;Setup!$C$5-Setup!$C$6,"",IF(IF(ISNUMBER(Roster!$D174),Setup!$C$26&lt;=Roster!$D174,FALSE),"",IF(OR(IF(Setup!$C$15&lt;=Setup!$C$16,AND(MONTH(H174)&gt;=Setup!$C$15,MONTH(H174)&lt;=Setup!$C$16),OR(MONTH(H174)&gt;=Setup!$C$15,MONTH(H174)&lt;=Setup!$C$16)),IF(Setup!$C$15&lt;=Setup!$C$16,AND(MONTH(WORKDAY(H174,-(Setup!$C$13+Setup!$G$26),Setup!$C$39:$C$50))&gt;=Setup!$C$15,MONTH(WORKDAY(H174,-(Setup!$C$13+Setup!$G$26),Setup!$C$39:$C$50))&lt;=Setup!$C$16),OR(MONTH(WORKDAY(H174,-(Setup!$C$13+Setup!$G$26),Setup!$C$39:$C$50))&gt;=Setup!$C$15,MONTH(WORKDAY(H174,-(Setup!$C$13+Setup!$G$26),Setup!$C$39:$C$50))&lt;=Setup!$C$16))),WORKDAY(H174,-(Setup!$C$13+Setup!$G$26+Setup!$C$14),Setup!$C$39:$C$50),WORKDAY(H174,-(Setup!$C$13+Setup!$G$26),Setup!$C$39:$C$50))+(169*100+7)/10000000)))</f>
        <v/>
      </c>
      <c r="Y174" t="str">
        <f>IF(I174="","",IF(I174&lt;Setup!$C$5-Setup!$C$6,"",IF(IF(ISNUMBER(Roster!$D174),Setup!$C$27&lt;=Roster!$D174,FALSE),"",IF(OR(IF(Setup!$C$15&lt;=Setup!$C$16,AND(MONTH(I174)&gt;=Setup!$C$15,MONTH(I174)&lt;=Setup!$C$16),OR(MONTH(I174)&gt;=Setup!$C$15,MONTH(I174)&lt;=Setup!$C$16)),IF(Setup!$C$15&lt;=Setup!$C$16,AND(MONTH(WORKDAY(I174,-(Setup!$C$13+Setup!$G$27),Setup!$C$39:$C$50))&gt;=Setup!$C$15,MONTH(WORKDAY(I174,-(Setup!$C$13+Setup!$G$27),Setup!$C$39:$C$50))&lt;=Setup!$C$16),OR(MONTH(WORKDAY(I174,-(Setup!$C$13+Setup!$G$27),Setup!$C$39:$C$50))&gt;=Setup!$C$15,MONTH(WORKDAY(I174,-(Setup!$C$13+Setup!$G$27),Setup!$C$39:$C$50))&lt;=Setup!$C$16))),WORKDAY(I174,-(Setup!$C$13+Setup!$G$27+Setup!$C$14),Setup!$C$39:$C$50),WORKDAY(I174,-(Setup!$C$13+Setup!$G$27),Setup!$C$39:$C$50))+(169*100+8)/10000000)))</f>
        <v/>
      </c>
      <c r="Z174" t="str">
        <f>IF(J174="","",IF(J174&lt;Setup!$C$5-Setup!$C$6,"",IF(IF(ISNUMBER(Roster!$D174),Setup!$C$28&lt;=Roster!$D174,FALSE),"",IF(OR(IF(Setup!$C$15&lt;=Setup!$C$16,AND(MONTH(J174)&gt;=Setup!$C$15,MONTH(J174)&lt;=Setup!$C$16),OR(MONTH(J174)&gt;=Setup!$C$15,MONTH(J174)&lt;=Setup!$C$16)),IF(Setup!$C$15&lt;=Setup!$C$16,AND(MONTH(WORKDAY(J174,-(Setup!$C$13+Setup!$G$28),Setup!$C$39:$C$50))&gt;=Setup!$C$15,MONTH(WORKDAY(J174,-(Setup!$C$13+Setup!$G$28),Setup!$C$39:$C$50))&lt;=Setup!$C$16),OR(MONTH(WORKDAY(J174,-(Setup!$C$13+Setup!$G$28),Setup!$C$39:$C$50))&gt;=Setup!$C$15,MONTH(WORKDAY(J174,-(Setup!$C$13+Setup!$G$28),Setup!$C$39:$C$50))&lt;=Setup!$C$16))),WORKDAY(J174,-(Setup!$C$13+Setup!$G$28+Setup!$C$14),Setup!$C$39:$C$50),WORKDAY(J174,-(Setup!$C$13+Setup!$G$28),Setup!$C$39:$C$50))+(169*100+9)/10000000)))</f>
        <v/>
      </c>
      <c r="AA174" t="str">
        <f>IF(K174="","",IF(K174&lt;Setup!$C$5-Setup!$C$6,"",IF(IF(ISNUMBER(Roster!$D174),Setup!$C$29&lt;=Roster!$D174,FALSE),"",IF(OR(IF(Setup!$C$15&lt;=Setup!$C$16,AND(MONTH(K174)&gt;=Setup!$C$15,MONTH(K174)&lt;=Setup!$C$16),OR(MONTH(K174)&gt;=Setup!$C$15,MONTH(K174)&lt;=Setup!$C$16)),IF(Setup!$C$15&lt;=Setup!$C$16,AND(MONTH(WORKDAY(K174,-(Setup!$C$13+Setup!$G$29),Setup!$C$39:$C$50))&gt;=Setup!$C$15,MONTH(WORKDAY(K174,-(Setup!$C$13+Setup!$G$29),Setup!$C$39:$C$50))&lt;=Setup!$C$16),OR(MONTH(WORKDAY(K174,-(Setup!$C$13+Setup!$G$29),Setup!$C$39:$C$50))&gt;=Setup!$C$15,MONTH(WORKDAY(K174,-(Setup!$C$13+Setup!$G$29),Setup!$C$39:$C$50))&lt;=Setup!$C$16))),WORKDAY(K174,-(Setup!$C$13+Setup!$G$29+Setup!$C$14),Setup!$C$39:$C$50),WORKDAY(K174,-(Setup!$C$13+Setup!$G$29),Setup!$C$39:$C$50))+(169*100+10)/10000000)))</f>
        <v/>
      </c>
      <c r="AB174" t="str">
        <f>IF(L174="","",IF(L174&lt;Setup!$C$5-Setup!$C$6,"",IF(IF(ISNUMBER(Roster!$D174),Setup!$C$30&lt;=Roster!$D174,FALSE),"",IF(OR(IF(Setup!$C$15&lt;=Setup!$C$16,AND(MONTH(L174)&gt;=Setup!$C$15,MONTH(L174)&lt;=Setup!$C$16),OR(MONTH(L174)&gt;=Setup!$C$15,MONTH(L174)&lt;=Setup!$C$16)),IF(Setup!$C$15&lt;=Setup!$C$16,AND(MONTH(WORKDAY(L174,-(Setup!$C$13+Setup!$G$30),Setup!$C$39:$C$50))&gt;=Setup!$C$15,MONTH(WORKDAY(L174,-(Setup!$C$13+Setup!$G$30),Setup!$C$39:$C$50))&lt;=Setup!$C$16),OR(MONTH(WORKDAY(L174,-(Setup!$C$13+Setup!$G$30),Setup!$C$39:$C$50))&gt;=Setup!$C$15,MONTH(WORKDAY(L174,-(Setup!$C$13+Setup!$G$30),Setup!$C$39:$C$50))&lt;=Setup!$C$16))),WORKDAY(L174,-(Setup!$C$13+Setup!$G$30+Setup!$C$14),Setup!$C$39:$C$50),WORKDAY(L174,-(Setup!$C$13+Setup!$G$30),Setup!$C$39:$C$50))+(169*100+11)/10000000)))</f>
        <v/>
      </c>
      <c r="AC174" t="str">
        <f>IF(M174="","",IF(M174&lt;Setup!$C$5-Setup!$C$6,"",IF(IF(ISNUMBER(Roster!$D174),Setup!$C$31&lt;=Roster!$D174,FALSE),"",IF(OR(IF(Setup!$C$15&lt;=Setup!$C$16,AND(MONTH(M174)&gt;=Setup!$C$15,MONTH(M174)&lt;=Setup!$C$16),OR(MONTH(M174)&gt;=Setup!$C$15,MONTH(M174)&lt;=Setup!$C$16)),IF(Setup!$C$15&lt;=Setup!$C$16,AND(MONTH(WORKDAY(M174,-(Setup!$C$13+Setup!$G$31),Setup!$C$39:$C$50))&gt;=Setup!$C$15,MONTH(WORKDAY(M174,-(Setup!$C$13+Setup!$G$31),Setup!$C$39:$C$50))&lt;=Setup!$C$16),OR(MONTH(WORKDAY(M174,-(Setup!$C$13+Setup!$G$31),Setup!$C$39:$C$50))&gt;=Setup!$C$15,MONTH(WORKDAY(M174,-(Setup!$C$13+Setup!$G$31),Setup!$C$39:$C$50))&lt;=Setup!$C$16))),WORKDAY(M174,-(Setup!$C$13+Setup!$G$31+Setup!$C$14),Setup!$C$39:$C$50),WORKDAY(M174,-(Setup!$C$13+Setup!$G$31),Setup!$C$39:$C$50))+(169*100+12)/10000000)))</f>
        <v/>
      </c>
      <c r="AD174" t="str">
        <f>IF(N174="","",IF(N174&lt;Setup!$C$5-Setup!$C$6,"",IF(IF(ISNUMBER(Roster!$D174),Setup!$C$32&lt;=Roster!$D174,FALSE),"",IF(OR(IF(Setup!$C$15&lt;=Setup!$C$16,AND(MONTH(N174)&gt;=Setup!$C$15,MONTH(N174)&lt;=Setup!$C$16),OR(MONTH(N174)&gt;=Setup!$C$15,MONTH(N174)&lt;=Setup!$C$16)),IF(Setup!$C$15&lt;=Setup!$C$16,AND(MONTH(WORKDAY(N174,-(Setup!$C$13+Setup!$G$32),Setup!$C$39:$C$50))&gt;=Setup!$C$15,MONTH(WORKDAY(N174,-(Setup!$C$13+Setup!$G$32),Setup!$C$39:$C$50))&lt;=Setup!$C$16),OR(MONTH(WORKDAY(N174,-(Setup!$C$13+Setup!$G$32),Setup!$C$39:$C$50))&gt;=Setup!$C$15,MONTH(WORKDAY(N174,-(Setup!$C$13+Setup!$G$32),Setup!$C$39:$C$50))&lt;=Setup!$C$16))),WORKDAY(N174,-(Setup!$C$13+Setup!$G$32+Setup!$C$14),Setup!$C$39:$C$50),WORKDAY(N174,-(Setup!$C$13+Setup!$G$32),Setup!$C$39:$C$50))+(169*100+13)/10000000)))</f>
        <v/>
      </c>
      <c r="AE174" t="str">
        <f>IF(O174="","",IF(O174&lt;Setup!$C$5-Setup!$C$6,"",IF(IF(ISNUMBER(Roster!$D174),Setup!$C$33&lt;=Roster!$D174,FALSE),"",IF(OR(IF(Setup!$C$15&lt;=Setup!$C$16,AND(MONTH(O174)&gt;=Setup!$C$15,MONTH(O174)&lt;=Setup!$C$16),OR(MONTH(O174)&gt;=Setup!$C$15,MONTH(O174)&lt;=Setup!$C$16)),IF(Setup!$C$15&lt;=Setup!$C$16,AND(MONTH(WORKDAY(O174,-(Setup!$C$13+Setup!$G$33),Setup!$C$39:$C$50))&gt;=Setup!$C$15,MONTH(WORKDAY(O174,-(Setup!$C$13+Setup!$G$33),Setup!$C$39:$C$50))&lt;=Setup!$C$16),OR(MONTH(WORKDAY(O174,-(Setup!$C$13+Setup!$G$33),Setup!$C$39:$C$50))&gt;=Setup!$C$15,MONTH(WORKDAY(O174,-(Setup!$C$13+Setup!$G$33),Setup!$C$39:$C$50))&lt;=Setup!$C$16))),WORKDAY(O174,-(Setup!$C$13+Setup!$G$33+Setup!$C$14),Setup!$C$39:$C$50),WORKDAY(O174,-(Setup!$C$13+Setup!$G$33),Setup!$C$39:$C$50))+(169*100+14)/10000000)))</f>
        <v/>
      </c>
      <c r="AF174" t="str">
        <f>IF(P174="","",IF(P174&lt;Setup!$C$5-Setup!$C$6,"",IF(IF(ISNUMBER(Roster!$D174),Setup!$C$34&lt;=Roster!$D174,FALSE),"",IF(OR(IF(Setup!$C$15&lt;=Setup!$C$16,AND(MONTH(P174)&gt;=Setup!$C$15,MONTH(P174)&lt;=Setup!$C$16),OR(MONTH(P174)&gt;=Setup!$C$15,MONTH(P174)&lt;=Setup!$C$16)),IF(Setup!$C$15&lt;=Setup!$C$16,AND(MONTH(WORKDAY(P174,-(Setup!$C$13+Setup!$G$34),Setup!$C$39:$C$50))&gt;=Setup!$C$15,MONTH(WORKDAY(P174,-(Setup!$C$13+Setup!$G$34),Setup!$C$39:$C$50))&lt;=Setup!$C$16),OR(MONTH(WORKDAY(P174,-(Setup!$C$13+Setup!$G$34),Setup!$C$39:$C$50))&gt;=Setup!$C$15,MONTH(WORKDAY(P174,-(Setup!$C$13+Setup!$G$34),Setup!$C$39:$C$50))&lt;=Setup!$C$16))),WORKDAY(P174,-(Setup!$C$13+Setup!$G$34+Setup!$C$14),Setup!$C$39:$C$50),WORKDAY(P174,-(Setup!$C$13+Setup!$G$34),Setup!$C$39:$C$50))+(169*100+15)/10000000)))</f>
        <v/>
      </c>
      <c r="AH174" t="str">
        <f t="shared" si="17"/>
        <v/>
      </c>
      <c r="AI174" t="str">
        <f t="shared" si="18"/>
        <v/>
      </c>
      <c r="AK174" t="str">
        <f ca="1">IF(169&gt;$AK$2,"",SMALL($R$6:$AF$505,169))</f>
        <v/>
      </c>
      <c r="AL174" t="str">
        <f t="shared" ca="1" si="19"/>
        <v/>
      </c>
      <c r="AM174" t="str">
        <f t="shared" ca="1" si="20"/>
        <v/>
      </c>
      <c r="AN174" t="str">
        <f t="shared" ca="1" si="21"/>
        <v/>
      </c>
      <c r="AP174" t="str">
        <f>IF(ISNUMBER(Roster!$B174),MAX(1,YEAR(Setup!$C$5)-YEAR(Roster!$B174)+IF(EDATE(Roster!$B174,12*(YEAR(Setup!$C$5)-YEAR(Roster!$B174)))&lt;Setup!$C$5,1,0)),"")</f>
        <v/>
      </c>
      <c r="AQ174" s="32" t="str">
        <f>IF(AP174="","",EDATE(Roster!$B174,12*AP174))</f>
        <v/>
      </c>
      <c r="AR174" t="str">
        <f>IF(AQ174="","",IF(AQ174&lt;DATE(YEAR(Setup!$C$5)+1,MONTH(Setup!$C$5),DAY(Setup!$C$5)),AQ174+169/1000,""))</f>
        <v/>
      </c>
      <c r="AS174" t="str">
        <f t="shared" si="22"/>
        <v/>
      </c>
      <c r="AT174" t="str">
        <f>IF(AS174="","",IF(ISNUMBER(Roster!$D174),Roster!$D174&gt;=AP174,FALSE))</f>
        <v/>
      </c>
      <c r="AU174" t="str">
        <f t="shared" si="23"/>
        <v/>
      </c>
      <c r="AV174" t="str">
        <f ca="1">IF(169&gt;$AV$2,"",SMALL($AR$6:$AR$505,169))</f>
        <v/>
      </c>
      <c r="AW174" t="str">
        <f t="shared" ca="1" si="24"/>
        <v/>
      </c>
    </row>
    <row r="175" spans="2:49" x14ac:dyDescent="0.2">
      <c r="B175" s="32" t="str">
        <f>IF(AND(ISNUMBER(Roster!$B175),Setup!$B$20="Yes",ISNUMBER(Setup!$C$20)),EDATE(Roster!$B175,12*Setup!$C$20),"")</f>
        <v/>
      </c>
      <c r="C175" s="32" t="str">
        <f>IF(AND(ISNUMBER(Roster!$B175),Setup!$B$21="Yes",ISNUMBER(Setup!$C$21)),EDATE(Roster!$B175,12*Setup!$C$21),"")</f>
        <v/>
      </c>
      <c r="D175" s="32" t="str">
        <f>IF(AND(ISNUMBER(Roster!$B175),Setup!$B$22="Yes",ISNUMBER(Setup!$C$22)),EDATE(Roster!$B175,12*Setup!$C$22),"")</f>
        <v/>
      </c>
      <c r="E175" s="32" t="str">
        <f>IF(AND(ISNUMBER(Roster!$B175),Setup!$B$23="Yes",ISNUMBER(Setup!$C$23)),EDATE(Roster!$B175,12*Setup!$C$23),"")</f>
        <v/>
      </c>
      <c r="F175" s="32" t="str">
        <f>IF(AND(ISNUMBER(Roster!$B175),Setup!$B$24="Yes",ISNUMBER(Setup!$C$24)),EDATE(Roster!$B175,12*Setup!$C$24),"")</f>
        <v/>
      </c>
      <c r="G175" s="32" t="str">
        <f>IF(AND(ISNUMBER(Roster!$B175),Setup!$B$25="Yes",ISNUMBER(Setup!$C$25)),EDATE(Roster!$B175,12*Setup!$C$25),"")</f>
        <v/>
      </c>
      <c r="H175" s="32" t="str">
        <f>IF(AND(ISNUMBER(Roster!$B175),Setup!$B$26="Yes",ISNUMBER(Setup!$C$26)),EDATE(Roster!$B175,12*Setup!$C$26),"")</f>
        <v/>
      </c>
      <c r="I175" s="32" t="str">
        <f>IF(AND(ISNUMBER(Roster!$B175),Setup!$B$27="Yes",ISNUMBER(Setup!$C$27)),EDATE(Roster!$B175,12*Setup!$C$27),"")</f>
        <v/>
      </c>
      <c r="J175" s="32" t="str">
        <f>IF(AND(ISNUMBER(Roster!$B175),Setup!$B$28="Yes",ISNUMBER(Setup!$C$28)),EDATE(Roster!$B175,12*Setup!$C$28),"")</f>
        <v/>
      </c>
      <c r="K175" s="32" t="str">
        <f>IF(AND(ISNUMBER(Roster!$B175),Setup!$B$29="Yes",ISNUMBER(Setup!$C$29)),EDATE(Roster!$B175,12*Setup!$C$29),"")</f>
        <v/>
      </c>
      <c r="L175" s="32" t="str">
        <f>IF(AND(ISNUMBER(Roster!$B175),Setup!$B$30="Yes",ISNUMBER(Setup!$C$30)),EDATE(Roster!$B175,12*Setup!$C$30),"")</f>
        <v/>
      </c>
      <c r="M175" s="32" t="str">
        <f>IF(AND(ISNUMBER(Roster!$B175),Setup!$B$31="Yes",ISNUMBER(Setup!$C$31)),EDATE(Roster!$B175,12*Setup!$C$31),"")</f>
        <v/>
      </c>
      <c r="N175" s="32" t="str">
        <f>IF(AND(ISNUMBER(Roster!$B175),Setup!$B$32="Yes",ISNUMBER(Setup!$C$32)),EDATE(Roster!$B175,12*Setup!$C$32),"")</f>
        <v/>
      </c>
      <c r="O175" s="32" t="str">
        <f>IF(AND(ISNUMBER(Roster!$B175),Setup!$B$33="Yes",ISNUMBER(Setup!$C$33)),EDATE(Roster!$B175,12*Setup!$C$33),"")</f>
        <v/>
      </c>
      <c r="P175" s="32" t="str">
        <f>IF(AND(ISNUMBER(Roster!$B175),Setup!$B$34="Yes",ISNUMBER(Setup!$C$34)),EDATE(Roster!$B175,12*Setup!$C$34),"")</f>
        <v/>
      </c>
      <c r="R175" t="str">
        <f>IF(B175="","",IF(B175&lt;Setup!$C$5-Setup!$C$6,"",IF(IF(ISNUMBER(Roster!$D175),Setup!$C$20&lt;=Roster!$D175,FALSE),"",IF(OR(IF(Setup!$C$15&lt;=Setup!$C$16,AND(MONTH(B175)&gt;=Setup!$C$15,MONTH(B175)&lt;=Setup!$C$16),OR(MONTH(B175)&gt;=Setup!$C$15,MONTH(B175)&lt;=Setup!$C$16)),IF(Setup!$C$15&lt;=Setup!$C$16,AND(MONTH(WORKDAY(B175,-(Setup!$C$13+Setup!$G$20),Setup!$C$39:$C$50))&gt;=Setup!$C$15,MONTH(WORKDAY(B175,-(Setup!$C$13+Setup!$G$20),Setup!$C$39:$C$50))&lt;=Setup!$C$16),OR(MONTH(WORKDAY(B175,-(Setup!$C$13+Setup!$G$20),Setup!$C$39:$C$50))&gt;=Setup!$C$15,MONTH(WORKDAY(B175,-(Setup!$C$13+Setup!$G$20),Setup!$C$39:$C$50))&lt;=Setup!$C$16))),WORKDAY(B175,-(Setup!$C$13+Setup!$G$20+Setup!$C$14),Setup!$C$39:$C$50),WORKDAY(B175,-(Setup!$C$13+Setup!$G$20),Setup!$C$39:$C$50))+(170*100+1)/10000000)))</f>
        <v/>
      </c>
      <c r="S175" t="str">
        <f>IF(C175="","",IF(C175&lt;Setup!$C$5-Setup!$C$6,"",IF(IF(ISNUMBER(Roster!$D175),Setup!$C$21&lt;=Roster!$D175,FALSE),"",IF(OR(IF(Setup!$C$15&lt;=Setup!$C$16,AND(MONTH(C175)&gt;=Setup!$C$15,MONTH(C175)&lt;=Setup!$C$16),OR(MONTH(C175)&gt;=Setup!$C$15,MONTH(C175)&lt;=Setup!$C$16)),IF(Setup!$C$15&lt;=Setup!$C$16,AND(MONTH(WORKDAY(C175,-(Setup!$C$13+Setup!$G$21),Setup!$C$39:$C$50))&gt;=Setup!$C$15,MONTH(WORKDAY(C175,-(Setup!$C$13+Setup!$G$21),Setup!$C$39:$C$50))&lt;=Setup!$C$16),OR(MONTH(WORKDAY(C175,-(Setup!$C$13+Setup!$G$21),Setup!$C$39:$C$50))&gt;=Setup!$C$15,MONTH(WORKDAY(C175,-(Setup!$C$13+Setup!$G$21),Setup!$C$39:$C$50))&lt;=Setup!$C$16))),WORKDAY(C175,-(Setup!$C$13+Setup!$G$21+Setup!$C$14),Setup!$C$39:$C$50),WORKDAY(C175,-(Setup!$C$13+Setup!$G$21),Setup!$C$39:$C$50))+(170*100+2)/10000000)))</f>
        <v/>
      </c>
      <c r="T175" t="str">
        <f>IF(D175="","",IF(D175&lt;Setup!$C$5-Setup!$C$6,"",IF(IF(ISNUMBER(Roster!$D175),Setup!$C$22&lt;=Roster!$D175,FALSE),"",IF(OR(IF(Setup!$C$15&lt;=Setup!$C$16,AND(MONTH(D175)&gt;=Setup!$C$15,MONTH(D175)&lt;=Setup!$C$16),OR(MONTH(D175)&gt;=Setup!$C$15,MONTH(D175)&lt;=Setup!$C$16)),IF(Setup!$C$15&lt;=Setup!$C$16,AND(MONTH(WORKDAY(D175,-(Setup!$C$13+Setup!$G$22),Setup!$C$39:$C$50))&gt;=Setup!$C$15,MONTH(WORKDAY(D175,-(Setup!$C$13+Setup!$G$22),Setup!$C$39:$C$50))&lt;=Setup!$C$16),OR(MONTH(WORKDAY(D175,-(Setup!$C$13+Setup!$G$22),Setup!$C$39:$C$50))&gt;=Setup!$C$15,MONTH(WORKDAY(D175,-(Setup!$C$13+Setup!$G$22),Setup!$C$39:$C$50))&lt;=Setup!$C$16))),WORKDAY(D175,-(Setup!$C$13+Setup!$G$22+Setup!$C$14),Setup!$C$39:$C$50),WORKDAY(D175,-(Setup!$C$13+Setup!$G$22),Setup!$C$39:$C$50))+(170*100+3)/10000000)))</f>
        <v/>
      </c>
      <c r="U175" t="str">
        <f>IF(E175="","",IF(E175&lt;Setup!$C$5-Setup!$C$6,"",IF(IF(ISNUMBER(Roster!$D175),Setup!$C$23&lt;=Roster!$D175,FALSE),"",IF(OR(IF(Setup!$C$15&lt;=Setup!$C$16,AND(MONTH(E175)&gt;=Setup!$C$15,MONTH(E175)&lt;=Setup!$C$16),OR(MONTH(E175)&gt;=Setup!$C$15,MONTH(E175)&lt;=Setup!$C$16)),IF(Setup!$C$15&lt;=Setup!$C$16,AND(MONTH(WORKDAY(E175,-(Setup!$C$13+Setup!$G$23),Setup!$C$39:$C$50))&gt;=Setup!$C$15,MONTH(WORKDAY(E175,-(Setup!$C$13+Setup!$G$23),Setup!$C$39:$C$50))&lt;=Setup!$C$16),OR(MONTH(WORKDAY(E175,-(Setup!$C$13+Setup!$G$23),Setup!$C$39:$C$50))&gt;=Setup!$C$15,MONTH(WORKDAY(E175,-(Setup!$C$13+Setup!$G$23),Setup!$C$39:$C$50))&lt;=Setup!$C$16))),WORKDAY(E175,-(Setup!$C$13+Setup!$G$23+Setup!$C$14),Setup!$C$39:$C$50),WORKDAY(E175,-(Setup!$C$13+Setup!$G$23),Setup!$C$39:$C$50))+(170*100+4)/10000000)))</f>
        <v/>
      </c>
      <c r="V175" t="str">
        <f>IF(F175="","",IF(F175&lt;Setup!$C$5-Setup!$C$6,"",IF(IF(ISNUMBER(Roster!$D175),Setup!$C$24&lt;=Roster!$D175,FALSE),"",IF(OR(IF(Setup!$C$15&lt;=Setup!$C$16,AND(MONTH(F175)&gt;=Setup!$C$15,MONTH(F175)&lt;=Setup!$C$16),OR(MONTH(F175)&gt;=Setup!$C$15,MONTH(F175)&lt;=Setup!$C$16)),IF(Setup!$C$15&lt;=Setup!$C$16,AND(MONTH(WORKDAY(F175,-(Setup!$C$13+Setup!$G$24),Setup!$C$39:$C$50))&gt;=Setup!$C$15,MONTH(WORKDAY(F175,-(Setup!$C$13+Setup!$G$24),Setup!$C$39:$C$50))&lt;=Setup!$C$16),OR(MONTH(WORKDAY(F175,-(Setup!$C$13+Setup!$G$24),Setup!$C$39:$C$50))&gt;=Setup!$C$15,MONTH(WORKDAY(F175,-(Setup!$C$13+Setup!$G$24),Setup!$C$39:$C$50))&lt;=Setup!$C$16))),WORKDAY(F175,-(Setup!$C$13+Setup!$G$24+Setup!$C$14),Setup!$C$39:$C$50),WORKDAY(F175,-(Setup!$C$13+Setup!$G$24),Setup!$C$39:$C$50))+(170*100+5)/10000000)))</f>
        <v/>
      </c>
      <c r="W175" t="str">
        <f>IF(G175="","",IF(G175&lt;Setup!$C$5-Setup!$C$6,"",IF(IF(ISNUMBER(Roster!$D175),Setup!$C$25&lt;=Roster!$D175,FALSE),"",IF(OR(IF(Setup!$C$15&lt;=Setup!$C$16,AND(MONTH(G175)&gt;=Setup!$C$15,MONTH(G175)&lt;=Setup!$C$16),OR(MONTH(G175)&gt;=Setup!$C$15,MONTH(G175)&lt;=Setup!$C$16)),IF(Setup!$C$15&lt;=Setup!$C$16,AND(MONTH(WORKDAY(G175,-(Setup!$C$13+Setup!$G$25),Setup!$C$39:$C$50))&gt;=Setup!$C$15,MONTH(WORKDAY(G175,-(Setup!$C$13+Setup!$G$25),Setup!$C$39:$C$50))&lt;=Setup!$C$16),OR(MONTH(WORKDAY(G175,-(Setup!$C$13+Setup!$G$25),Setup!$C$39:$C$50))&gt;=Setup!$C$15,MONTH(WORKDAY(G175,-(Setup!$C$13+Setup!$G$25),Setup!$C$39:$C$50))&lt;=Setup!$C$16))),WORKDAY(G175,-(Setup!$C$13+Setup!$G$25+Setup!$C$14),Setup!$C$39:$C$50),WORKDAY(G175,-(Setup!$C$13+Setup!$G$25),Setup!$C$39:$C$50))+(170*100+6)/10000000)))</f>
        <v/>
      </c>
      <c r="X175" t="str">
        <f>IF(H175="","",IF(H175&lt;Setup!$C$5-Setup!$C$6,"",IF(IF(ISNUMBER(Roster!$D175),Setup!$C$26&lt;=Roster!$D175,FALSE),"",IF(OR(IF(Setup!$C$15&lt;=Setup!$C$16,AND(MONTH(H175)&gt;=Setup!$C$15,MONTH(H175)&lt;=Setup!$C$16),OR(MONTH(H175)&gt;=Setup!$C$15,MONTH(H175)&lt;=Setup!$C$16)),IF(Setup!$C$15&lt;=Setup!$C$16,AND(MONTH(WORKDAY(H175,-(Setup!$C$13+Setup!$G$26),Setup!$C$39:$C$50))&gt;=Setup!$C$15,MONTH(WORKDAY(H175,-(Setup!$C$13+Setup!$G$26),Setup!$C$39:$C$50))&lt;=Setup!$C$16),OR(MONTH(WORKDAY(H175,-(Setup!$C$13+Setup!$G$26),Setup!$C$39:$C$50))&gt;=Setup!$C$15,MONTH(WORKDAY(H175,-(Setup!$C$13+Setup!$G$26),Setup!$C$39:$C$50))&lt;=Setup!$C$16))),WORKDAY(H175,-(Setup!$C$13+Setup!$G$26+Setup!$C$14),Setup!$C$39:$C$50),WORKDAY(H175,-(Setup!$C$13+Setup!$G$26),Setup!$C$39:$C$50))+(170*100+7)/10000000)))</f>
        <v/>
      </c>
      <c r="Y175" t="str">
        <f>IF(I175="","",IF(I175&lt;Setup!$C$5-Setup!$C$6,"",IF(IF(ISNUMBER(Roster!$D175),Setup!$C$27&lt;=Roster!$D175,FALSE),"",IF(OR(IF(Setup!$C$15&lt;=Setup!$C$16,AND(MONTH(I175)&gt;=Setup!$C$15,MONTH(I175)&lt;=Setup!$C$16),OR(MONTH(I175)&gt;=Setup!$C$15,MONTH(I175)&lt;=Setup!$C$16)),IF(Setup!$C$15&lt;=Setup!$C$16,AND(MONTH(WORKDAY(I175,-(Setup!$C$13+Setup!$G$27),Setup!$C$39:$C$50))&gt;=Setup!$C$15,MONTH(WORKDAY(I175,-(Setup!$C$13+Setup!$G$27),Setup!$C$39:$C$50))&lt;=Setup!$C$16),OR(MONTH(WORKDAY(I175,-(Setup!$C$13+Setup!$G$27),Setup!$C$39:$C$50))&gt;=Setup!$C$15,MONTH(WORKDAY(I175,-(Setup!$C$13+Setup!$G$27),Setup!$C$39:$C$50))&lt;=Setup!$C$16))),WORKDAY(I175,-(Setup!$C$13+Setup!$G$27+Setup!$C$14),Setup!$C$39:$C$50),WORKDAY(I175,-(Setup!$C$13+Setup!$G$27),Setup!$C$39:$C$50))+(170*100+8)/10000000)))</f>
        <v/>
      </c>
      <c r="Z175" t="str">
        <f>IF(J175="","",IF(J175&lt;Setup!$C$5-Setup!$C$6,"",IF(IF(ISNUMBER(Roster!$D175),Setup!$C$28&lt;=Roster!$D175,FALSE),"",IF(OR(IF(Setup!$C$15&lt;=Setup!$C$16,AND(MONTH(J175)&gt;=Setup!$C$15,MONTH(J175)&lt;=Setup!$C$16),OR(MONTH(J175)&gt;=Setup!$C$15,MONTH(J175)&lt;=Setup!$C$16)),IF(Setup!$C$15&lt;=Setup!$C$16,AND(MONTH(WORKDAY(J175,-(Setup!$C$13+Setup!$G$28),Setup!$C$39:$C$50))&gt;=Setup!$C$15,MONTH(WORKDAY(J175,-(Setup!$C$13+Setup!$G$28),Setup!$C$39:$C$50))&lt;=Setup!$C$16),OR(MONTH(WORKDAY(J175,-(Setup!$C$13+Setup!$G$28),Setup!$C$39:$C$50))&gt;=Setup!$C$15,MONTH(WORKDAY(J175,-(Setup!$C$13+Setup!$G$28),Setup!$C$39:$C$50))&lt;=Setup!$C$16))),WORKDAY(J175,-(Setup!$C$13+Setup!$G$28+Setup!$C$14),Setup!$C$39:$C$50),WORKDAY(J175,-(Setup!$C$13+Setup!$G$28),Setup!$C$39:$C$50))+(170*100+9)/10000000)))</f>
        <v/>
      </c>
      <c r="AA175" t="str">
        <f>IF(K175="","",IF(K175&lt;Setup!$C$5-Setup!$C$6,"",IF(IF(ISNUMBER(Roster!$D175),Setup!$C$29&lt;=Roster!$D175,FALSE),"",IF(OR(IF(Setup!$C$15&lt;=Setup!$C$16,AND(MONTH(K175)&gt;=Setup!$C$15,MONTH(K175)&lt;=Setup!$C$16),OR(MONTH(K175)&gt;=Setup!$C$15,MONTH(K175)&lt;=Setup!$C$16)),IF(Setup!$C$15&lt;=Setup!$C$16,AND(MONTH(WORKDAY(K175,-(Setup!$C$13+Setup!$G$29),Setup!$C$39:$C$50))&gt;=Setup!$C$15,MONTH(WORKDAY(K175,-(Setup!$C$13+Setup!$G$29),Setup!$C$39:$C$50))&lt;=Setup!$C$16),OR(MONTH(WORKDAY(K175,-(Setup!$C$13+Setup!$G$29),Setup!$C$39:$C$50))&gt;=Setup!$C$15,MONTH(WORKDAY(K175,-(Setup!$C$13+Setup!$G$29),Setup!$C$39:$C$50))&lt;=Setup!$C$16))),WORKDAY(K175,-(Setup!$C$13+Setup!$G$29+Setup!$C$14),Setup!$C$39:$C$50),WORKDAY(K175,-(Setup!$C$13+Setup!$G$29),Setup!$C$39:$C$50))+(170*100+10)/10000000)))</f>
        <v/>
      </c>
      <c r="AB175" t="str">
        <f>IF(L175="","",IF(L175&lt;Setup!$C$5-Setup!$C$6,"",IF(IF(ISNUMBER(Roster!$D175),Setup!$C$30&lt;=Roster!$D175,FALSE),"",IF(OR(IF(Setup!$C$15&lt;=Setup!$C$16,AND(MONTH(L175)&gt;=Setup!$C$15,MONTH(L175)&lt;=Setup!$C$16),OR(MONTH(L175)&gt;=Setup!$C$15,MONTH(L175)&lt;=Setup!$C$16)),IF(Setup!$C$15&lt;=Setup!$C$16,AND(MONTH(WORKDAY(L175,-(Setup!$C$13+Setup!$G$30),Setup!$C$39:$C$50))&gt;=Setup!$C$15,MONTH(WORKDAY(L175,-(Setup!$C$13+Setup!$G$30),Setup!$C$39:$C$50))&lt;=Setup!$C$16),OR(MONTH(WORKDAY(L175,-(Setup!$C$13+Setup!$G$30),Setup!$C$39:$C$50))&gt;=Setup!$C$15,MONTH(WORKDAY(L175,-(Setup!$C$13+Setup!$G$30),Setup!$C$39:$C$50))&lt;=Setup!$C$16))),WORKDAY(L175,-(Setup!$C$13+Setup!$G$30+Setup!$C$14),Setup!$C$39:$C$50),WORKDAY(L175,-(Setup!$C$13+Setup!$G$30),Setup!$C$39:$C$50))+(170*100+11)/10000000)))</f>
        <v/>
      </c>
      <c r="AC175" t="str">
        <f>IF(M175="","",IF(M175&lt;Setup!$C$5-Setup!$C$6,"",IF(IF(ISNUMBER(Roster!$D175),Setup!$C$31&lt;=Roster!$D175,FALSE),"",IF(OR(IF(Setup!$C$15&lt;=Setup!$C$16,AND(MONTH(M175)&gt;=Setup!$C$15,MONTH(M175)&lt;=Setup!$C$16),OR(MONTH(M175)&gt;=Setup!$C$15,MONTH(M175)&lt;=Setup!$C$16)),IF(Setup!$C$15&lt;=Setup!$C$16,AND(MONTH(WORKDAY(M175,-(Setup!$C$13+Setup!$G$31),Setup!$C$39:$C$50))&gt;=Setup!$C$15,MONTH(WORKDAY(M175,-(Setup!$C$13+Setup!$G$31),Setup!$C$39:$C$50))&lt;=Setup!$C$16),OR(MONTH(WORKDAY(M175,-(Setup!$C$13+Setup!$G$31),Setup!$C$39:$C$50))&gt;=Setup!$C$15,MONTH(WORKDAY(M175,-(Setup!$C$13+Setup!$G$31),Setup!$C$39:$C$50))&lt;=Setup!$C$16))),WORKDAY(M175,-(Setup!$C$13+Setup!$G$31+Setup!$C$14),Setup!$C$39:$C$50),WORKDAY(M175,-(Setup!$C$13+Setup!$G$31),Setup!$C$39:$C$50))+(170*100+12)/10000000)))</f>
        <v/>
      </c>
      <c r="AD175" t="str">
        <f>IF(N175="","",IF(N175&lt;Setup!$C$5-Setup!$C$6,"",IF(IF(ISNUMBER(Roster!$D175),Setup!$C$32&lt;=Roster!$D175,FALSE),"",IF(OR(IF(Setup!$C$15&lt;=Setup!$C$16,AND(MONTH(N175)&gt;=Setup!$C$15,MONTH(N175)&lt;=Setup!$C$16),OR(MONTH(N175)&gt;=Setup!$C$15,MONTH(N175)&lt;=Setup!$C$16)),IF(Setup!$C$15&lt;=Setup!$C$16,AND(MONTH(WORKDAY(N175,-(Setup!$C$13+Setup!$G$32),Setup!$C$39:$C$50))&gt;=Setup!$C$15,MONTH(WORKDAY(N175,-(Setup!$C$13+Setup!$G$32),Setup!$C$39:$C$50))&lt;=Setup!$C$16),OR(MONTH(WORKDAY(N175,-(Setup!$C$13+Setup!$G$32),Setup!$C$39:$C$50))&gt;=Setup!$C$15,MONTH(WORKDAY(N175,-(Setup!$C$13+Setup!$G$32),Setup!$C$39:$C$50))&lt;=Setup!$C$16))),WORKDAY(N175,-(Setup!$C$13+Setup!$G$32+Setup!$C$14),Setup!$C$39:$C$50),WORKDAY(N175,-(Setup!$C$13+Setup!$G$32),Setup!$C$39:$C$50))+(170*100+13)/10000000)))</f>
        <v/>
      </c>
      <c r="AE175" t="str">
        <f>IF(O175="","",IF(O175&lt;Setup!$C$5-Setup!$C$6,"",IF(IF(ISNUMBER(Roster!$D175),Setup!$C$33&lt;=Roster!$D175,FALSE),"",IF(OR(IF(Setup!$C$15&lt;=Setup!$C$16,AND(MONTH(O175)&gt;=Setup!$C$15,MONTH(O175)&lt;=Setup!$C$16),OR(MONTH(O175)&gt;=Setup!$C$15,MONTH(O175)&lt;=Setup!$C$16)),IF(Setup!$C$15&lt;=Setup!$C$16,AND(MONTH(WORKDAY(O175,-(Setup!$C$13+Setup!$G$33),Setup!$C$39:$C$50))&gt;=Setup!$C$15,MONTH(WORKDAY(O175,-(Setup!$C$13+Setup!$G$33),Setup!$C$39:$C$50))&lt;=Setup!$C$16),OR(MONTH(WORKDAY(O175,-(Setup!$C$13+Setup!$G$33),Setup!$C$39:$C$50))&gt;=Setup!$C$15,MONTH(WORKDAY(O175,-(Setup!$C$13+Setup!$G$33),Setup!$C$39:$C$50))&lt;=Setup!$C$16))),WORKDAY(O175,-(Setup!$C$13+Setup!$G$33+Setup!$C$14),Setup!$C$39:$C$50),WORKDAY(O175,-(Setup!$C$13+Setup!$G$33),Setup!$C$39:$C$50))+(170*100+14)/10000000)))</f>
        <v/>
      </c>
      <c r="AF175" t="str">
        <f>IF(P175="","",IF(P175&lt;Setup!$C$5-Setup!$C$6,"",IF(IF(ISNUMBER(Roster!$D175),Setup!$C$34&lt;=Roster!$D175,FALSE),"",IF(OR(IF(Setup!$C$15&lt;=Setup!$C$16,AND(MONTH(P175)&gt;=Setup!$C$15,MONTH(P175)&lt;=Setup!$C$16),OR(MONTH(P175)&gt;=Setup!$C$15,MONTH(P175)&lt;=Setup!$C$16)),IF(Setup!$C$15&lt;=Setup!$C$16,AND(MONTH(WORKDAY(P175,-(Setup!$C$13+Setup!$G$34),Setup!$C$39:$C$50))&gt;=Setup!$C$15,MONTH(WORKDAY(P175,-(Setup!$C$13+Setup!$G$34),Setup!$C$39:$C$50))&lt;=Setup!$C$16),OR(MONTH(WORKDAY(P175,-(Setup!$C$13+Setup!$G$34),Setup!$C$39:$C$50))&gt;=Setup!$C$15,MONTH(WORKDAY(P175,-(Setup!$C$13+Setup!$G$34),Setup!$C$39:$C$50))&lt;=Setup!$C$16))),WORKDAY(P175,-(Setup!$C$13+Setup!$G$34+Setup!$C$14),Setup!$C$39:$C$50),WORKDAY(P175,-(Setup!$C$13+Setup!$G$34),Setup!$C$39:$C$50))+(170*100+15)/10000000)))</f>
        <v/>
      </c>
      <c r="AH175" t="str">
        <f t="shared" si="17"/>
        <v/>
      </c>
      <c r="AI175" t="str">
        <f t="shared" si="18"/>
        <v/>
      </c>
      <c r="AK175" t="str">
        <f ca="1">IF(170&gt;$AK$2,"",SMALL($R$6:$AF$505,170))</f>
        <v/>
      </c>
      <c r="AL175" t="str">
        <f t="shared" ca="1" si="19"/>
        <v/>
      </c>
      <c r="AM175" t="str">
        <f t="shared" ca="1" si="20"/>
        <v/>
      </c>
      <c r="AN175" t="str">
        <f t="shared" ca="1" si="21"/>
        <v/>
      </c>
      <c r="AP175" t="str">
        <f>IF(ISNUMBER(Roster!$B175),MAX(1,YEAR(Setup!$C$5)-YEAR(Roster!$B175)+IF(EDATE(Roster!$B175,12*(YEAR(Setup!$C$5)-YEAR(Roster!$B175)))&lt;Setup!$C$5,1,0)),"")</f>
        <v/>
      </c>
      <c r="AQ175" s="32" t="str">
        <f>IF(AP175="","",EDATE(Roster!$B175,12*AP175))</f>
        <v/>
      </c>
      <c r="AR175" t="str">
        <f>IF(AQ175="","",IF(AQ175&lt;DATE(YEAR(Setup!$C$5)+1,MONTH(Setup!$C$5),DAY(Setup!$C$5)),AQ175+170/1000,""))</f>
        <v/>
      </c>
      <c r="AS175" t="str">
        <f t="shared" si="22"/>
        <v/>
      </c>
      <c r="AT175" t="str">
        <f>IF(AS175="","",IF(ISNUMBER(Roster!$D175),Roster!$D175&gt;=AP175,FALSE))</f>
        <v/>
      </c>
      <c r="AU175" t="str">
        <f t="shared" si="23"/>
        <v/>
      </c>
      <c r="AV175" t="str">
        <f ca="1">IF(170&gt;$AV$2,"",SMALL($AR$6:$AR$505,170))</f>
        <v/>
      </c>
      <c r="AW175" t="str">
        <f t="shared" ca="1" si="24"/>
        <v/>
      </c>
    </row>
    <row r="176" spans="2:49" x14ac:dyDescent="0.2">
      <c r="B176" s="32" t="str">
        <f>IF(AND(ISNUMBER(Roster!$B176),Setup!$B$20="Yes",ISNUMBER(Setup!$C$20)),EDATE(Roster!$B176,12*Setup!$C$20),"")</f>
        <v/>
      </c>
      <c r="C176" s="32" t="str">
        <f>IF(AND(ISNUMBER(Roster!$B176),Setup!$B$21="Yes",ISNUMBER(Setup!$C$21)),EDATE(Roster!$B176,12*Setup!$C$21),"")</f>
        <v/>
      </c>
      <c r="D176" s="32" t="str">
        <f>IF(AND(ISNUMBER(Roster!$B176),Setup!$B$22="Yes",ISNUMBER(Setup!$C$22)),EDATE(Roster!$B176,12*Setup!$C$22),"")</f>
        <v/>
      </c>
      <c r="E176" s="32" t="str">
        <f>IF(AND(ISNUMBER(Roster!$B176),Setup!$B$23="Yes",ISNUMBER(Setup!$C$23)),EDATE(Roster!$B176,12*Setup!$C$23),"")</f>
        <v/>
      </c>
      <c r="F176" s="32" t="str">
        <f>IF(AND(ISNUMBER(Roster!$B176),Setup!$B$24="Yes",ISNUMBER(Setup!$C$24)),EDATE(Roster!$B176,12*Setup!$C$24),"")</f>
        <v/>
      </c>
      <c r="G176" s="32" t="str">
        <f>IF(AND(ISNUMBER(Roster!$B176),Setup!$B$25="Yes",ISNUMBER(Setup!$C$25)),EDATE(Roster!$B176,12*Setup!$C$25),"")</f>
        <v/>
      </c>
      <c r="H176" s="32" t="str">
        <f>IF(AND(ISNUMBER(Roster!$B176),Setup!$B$26="Yes",ISNUMBER(Setup!$C$26)),EDATE(Roster!$B176,12*Setup!$C$26),"")</f>
        <v/>
      </c>
      <c r="I176" s="32" t="str">
        <f>IF(AND(ISNUMBER(Roster!$B176),Setup!$B$27="Yes",ISNUMBER(Setup!$C$27)),EDATE(Roster!$B176,12*Setup!$C$27),"")</f>
        <v/>
      </c>
      <c r="J176" s="32" t="str">
        <f>IF(AND(ISNUMBER(Roster!$B176),Setup!$B$28="Yes",ISNUMBER(Setup!$C$28)),EDATE(Roster!$B176,12*Setup!$C$28),"")</f>
        <v/>
      </c>
      <c r="K176" s="32" t="str">
        <f>IF(AND(ISNUMBER(Roster!$B176),Setup!$B$29="Yes",ISNUMBER(Setup!$C$29)),EDATE(Roster!$B176,12*Setup!$C$29),"")</f>
        <v/>
      </c>
      <c r="L176" s="32" t="str">
        <f>IF(AND(ISNUMBER(Roster!$B176),Setup!$B$30="Yes",ISNUMBER(Setup!$C$30)),EDATE(Roster!$B176,12*Setup!$C$30),"")</f>
        <v/>
      </c>
      <c r="M176" s="32" t="str">
        <f>IF(AND(ISNUMBER(Roster!$B176),Setup!$B$31="Yes",ISNUMBER(Setup!$C$31)),EDATE(Roster!$B176,12*Setup!$C$31),"")</f>
        <v/>
      </c>
      <c r="N176" s="32" t="str">
        <f>IF(AND(ISNUMBER(Roster!$B176),Setup!$B$32="Yes",ISNUMBER(Setup!$C$32)),EDATE(Roster!$B176,12*Setup!$C$32),"")</f>
        <v/>
      </c>
      <c r="O176" s="32" t="str">
        <f>IF(AND(ISNUMBER(Roster!$B176),Setup!$B$33="Yes",ISNUMBER(Setup!$C$33)),EDATE(Roster!$B176,12*Setup!$C$33),"")</f>
        <v/>
      </c>
      <c r="P176" s="32" t="str">
        <f>IF(AND(ISNUMBER(Roster!$B176),Setup!$B$34="Yes",ISNUMBER(Setup!$C$34)),EDATE(Roster!$B176,12*Setup!$C$34),"")</f>
        <v/>
      </c>
      <c r="R176" t="str">
        <f>IF(B176="","",IF(B176&lt;Setup!$C$5-Setup!$C$6,"",IF(IF(ISNUMBER(Roster!$D176),Setup!$C$20&lt;=Roster!$D176,FALSE),"",IF(OR(IF(Setup!$C$15&lt;=Setup!$C$16,AND(MONTH(B176)&gt;=Setup!$C$15,MONTH(B176)&lt;=Setup!$C$16),OR(MONTH(B176)&gt;=Setup!$C$15,MONTH(B176)&lt;=Setup!$C$16)),IF(Setup!$C$15&lt;=Setup!$C$16,AND(MONTH(WORKDAY(B176,-(Setup!$C$13+Setup!$G$20),Setup!$C$39:$C$50))&gt;=Setup!$C$15,MONTH(WORKDAY(B176,-(Setup!$C$13+Setup!$G$20),Setup!$C$39:$C$50))&lt;=Setup!$C$16),OR(MONTH(WORKDAY(B176,-(Setup!$C$13+Setup!$G$20),Setup!$C$39:$C$50))&gt;=Setup!$C$15,MONTH(WORKDAY(B176,-(Setup!$C$13+Setup!$G$20),Setup!$C$39:$C$50))&lt;=Setup!$C$16))),WORKDAY(B176,-(Setup!$C$13+Setup!$G$20+Setup!$C$14),Setup!$C$39:$C$50),WORKDAY(B176,-(Setup!$C$13+Setup!$G$20),Setup!$C$39:$C$50))+(171*100+1)/10000000)))</f>
        <v/>
      </c>
      <c r="S176" t="str">
        <f>IF(C176="","",IF(C176&lt;Setup!$C$5-Setup!$C$6,"",IF(IF(ISNUMBER(Roster!$D176),Setup!$C$21&lt;=Roster!$D176,FALSE),"",IF(OR(IF(Setup!$C$15&lt;=Setup!$C$16,AND(MONTH(C176)&gt;=Setup!$C$15,MONTH(C176)&lt;=Setup!$C$16),OR(MONTH(C176)&gt;=Setup!$C$15,MONTH(C176)&lt;=Setup!$C$16)),IF(Setup!$C$15&lt;=Setup!$C$16,AND(MONTH(WORKDAY(C176,-(Setup!$C$13+Setup!$G$21),Setup!$C$39:$C$50))&gt;=Setup!$C$15,MONTH(WORKDAY(C176,-(Setup!$C$13+Setup!$G$21),Setup!$C$39:$C$50))&lt;=Setup!$C$16),OR(MONTH(WORKDAY(C176,-(Setup!$C$13+Setup!$G$21),Setup!$C$39:$C$50))&gt;=Setup!$C$15,MONTH(WORKDAY(C176,-(Setup!$C$13+Setup!$G$21),Setup!$C$39:$C$50))&lt;=Setup!$C$16))),WORKDAY(C176,-(Setup!$C$13+Setup!$G$21+Setup!$C$14),Setup!$C$39:$C$50),WORKDAY(C176,-(Setup!$C$13+Setup!$G$21),Setup!$C$39:$C$50))+(171*100+2)/10000000)))</f>
        <v/>
      </c>
      <c r="T176" t="str">
        <f>IF(D176="","",IF(D176&lt;Setup!$C$5-Setup!$C$6,"",IF(IF(ISNUMBER(Roster!$D176),Setup!$C$22&lt;=Roster!$D176,FALSE),"",IF(OR(IF(Setup!$C$15&lt;=Setup!$C$16,AND(MONTH(D176)&gt;=Setup!$C$15,MONTH(D176)&lt;=Setup!$C$16),OR(MONTH(D176)&gt;=Setup!$C$15,MONTH(D176)&lt;=Setup!$C$16)),IF(Setup!$C$15&lt;=Setup!$C$16,AND(MONTH(WORKDAY(D176,-(Setup!$C$13+Setup!$G$22),Setup!$C$39:$C$50))&gt;=Setup!$C$15,MONTH(WORKDAY(D176,-(Setup!$C$13+Setup!$G$22),Setup!$C$39:$C$50))&lt;=Setup!$C$16),OR(MONTH(WORKDAY(D176,-(Setup!$C$13+Setup!$G$22),Setup!$C$39:$C$50))&gt;=Setup!$C$15,MONTH(WORKDAY(D176,-(Setup!$C$13+Setup!$G$22),Setup!$C$39:$C$50))&lt;=Setup!$C$16))),WORKDAY(D176,-(Setup!$C$13+Setup!$G$22+Setup!$C$14),Setup!$C$39:$C$50),WORKDAY(D176,-(Setup!$C$13+Setup!$G$22),Setup!$C$39:$C$50))+(171*100+3)/10000000)))</f>
        <v/>
      </c>
      <c r="U176" t="str">
        <f>IF(E176="","",IF(E176&lt;Setup!$C$5-Setup!$C$6,"",IF(IF(ISNUMBER(Roster!$D176),Setup!$C$23&lt;=Roster!$D176,FALSE),"",IF(OR(IF(Setup!$C$15&lt;=Setup!$C$16,AND(MONTH(E176)&gt;=Setup!$C$15,MONTH(E176)&lt;=Setup!$C$16),OR(MONTH(E176)&gt;=Setup!$C$15,MONTH(E176)&lt;=Setup!$C$16)),IF(Setup!$C$15&lt;=Setup!$C$16,AND(MONTH(WORKDAY(E176,-(Setup!$C$13+Setup!$G$23),Setup!$C$39:$C$50))&gt;=Setup!$C$15,MONTH(WORKDAY(E176,-(Setup!$C$13+Setup!$G$23),Setup!$C$39:$C$50))&lt;=Setup!$C$16),OR(MONTH(WORKDAY(E176,-(Setup!$C$13+Setup!$G$23),Setup!$C$39:$C$50))&gt;=Setup!$C$15,MONTH(WORKDAY(E176,-(Setup!$C$13+Setup!$G$23),Setup!$C$39:$C$50))&lt;=Setup!$C$16))),WORKDAY(E176,-(Setup!$C$13+Setup!$G$23+Setup!$C$14),Setup!$C$39:$C$50),WORKDAY(E176,-(Setup!$C$13+Setup!$G$23),Setup!$C$39:$C$50))+(171*100+4)/10000000)))</f>
        <v/>
      </c>
      <c r="V176" t="str">
        <f>IF(F176="","",IF(F176&lt;Setup!$C$5-Setup!$C$6,"",IF(IF(ISNUMBER(Roster!$D176),Setup!$C$24&lt;=Roster!$D176,FALSE),"",IF(OR(IF(Setup!$C$15&lt;=Setup!$C$16,AND(MONTH(F176)&gt;=Setup!$C$15,MONTH(F176)&lt;=Setup!$C$16),OR(MONTH(F176)&gt;=Setup!$C$15,MONTH(F176)&lt;=Setup!$C$16)),IF(Setup!$C$15&lt;=Setup!$C$16,AND(MONTH(WORKDAY(F176,-(Setup!$C$13+Setup!$G$24),Setup!$C$39:$C$50))&gt;=Setup!$C$15,MONTH(WORKDAY(F176,-(Setup!$C$13+Setup!$G$24),Setup!$C$39:$C$50))&lt;=Setup!$C$16),OR(MONTH(WORKDAY(F176,-(Setup!$C$13+Setup!$G$24),Setup!$C$39:$C$50))&gt;=Setup!$C$15,MONTH(WORKDAY(F176,-(Setup!$C$13+Setup!$G$24),Setup!$C$39:$C$50))&lt;=Setup!$C$16))),WORKDAY(F176,-(Setup!$C$13+Setup!$G$24+Setup!$C$14),Setup!$C$39:$C$50),WORKDAY(F176,-(Setup!$C$13+Setup!$G$24),Setup!$C$39:$C$50))+(171*100+5)/10000000)))</f>
        <v/>
      </c>
      <c r="W176" t="str">
        <f>IF(G176="","",IF(G176&lt;Setup!$C$5-Setup!$C$6,"",IF(IF(ISNUMBER(Roster!$D176),Setup!$C$25&lt;=Roster!$D176,FALSE),"",IF(OR(IF(Setup!$C$15&lt;=Setup!$C$16,AND(MONTH(G176)&gt;=Setup!$C$15,MONTH(G176)&lt;=Setup!$C$16),OR(MONTH(G176)&gt;=Setup!$C$15,MONTH(G176)&lt;=Setup!$C$16)),IF(Setup!$C$15&lt;=Setup!$C$16,AND(MONTH(WORKDAY(G176,-(Setup!$C$13+Setup!$G$25),Setup!$C$39:$C$50))&gt;=Setup!$C$15,MONTH(WORKDAY(G176,-(Setup!$C$13+Setup!$G$25),Setup!$C$39:$C$50))&lt;=Setup!$C$16),OR(MONTH(WORKDAY(G176,-(Setup!$C$13+Setup!$G$25),Setup!$C$39:$C$50))&gt;=Setup!$C$15,MONTH(WORKDAY(G176,-(Setup!$C$13+Setup!$G$25),Setup!$C$39:$C$50))&lt;=Setup!$C$16))),WORKDAY(G176,-(Setup!$C$13+Setup!$G$25+Setup!$C$14),Setup!$C$39:$C$50),WORKDAY(G176,-(Setup!$C$13+Setup!$G$25),Setup!$C$39:$C$50))+(171*100+6)/10000000)))</f>
        <v/>
      </c>
      <c r="X176" t="str">
        <f>IF(H176="","",IF(H176&lt;Setup!$C$5-Setup!$C$6,"",IF(IF(ISNUMBER(Roster!$D176),Setup!$C$26&lt;=Roster!$D176,FALSE),"",IF(OR(IF(Setup!$C$15&lt;=Setup!$C$16,AND(MONTH(H176)&gt;=Setup!$C$15,MONTH(H176)&lt;=Setup!$C$16),OR(MONTH(H176)&gt;=Setup!$C$15,MONTH(H176)&lt;=Setup!$C$16)),IF(Setup!$C$15&lt;=Setup!$C$16,AND(MONTH(WORKDAY(H176,-(Setup!$C$13+Setup!$G$26),Setup!$C$39:$C$50))&gt;=Setup!$C$15,MONTH(WORKDAY(H176,-(Setup!$C$13+Setup!$G$26),Setup!$C$39:$C$50))&lt;=Setup!$C$16),OR(MONTH(WORKDAY(H176,-(Setup!$C$13+Setup!$G$26),Setup!$C$39:$C$50))&gt;=Setup!$C$15,MONTH(WORKDAY(H176,-(Setup!$C$13+Setup!$G$26),Setup!$C$39:$C$50))&lt;=Setup!$C$16))),WORKDAY(H176,-(Setup!$C$13+Setup!$G$26+Setup!$C$14),Setup!$C$39:$C$50),WORKDAY(H176,-(Setup!$C$13+Setup!$G$26),Setup!$C$39:$C$50))+(171*100+7)/10000000)))</f>
        <v/>
      </c>
      <c r="Y176" t="str">
        <f>IF(I176="","",IF(I176&lt;Setup!$C$5-Setup!$C$6,"",IF(IF(ISNUMBER(Roster!$D176),Setup!$C$27&lt;=Roster!$D176,FALSE),"",IF(OR(IF(Setup!$C$15&lt;=Setup!$C$16,AND(MONTH(I176)&gt;=Setup!$C$15,MONTH(I176)&lt;=Setup!$C$16),OR(MONTH(I176)&gt;=Setup!$C$15,MONTH(I176)&lt;=Setup!$C$16)),IF(Setup!$C$15&lt;=Setup!$C$16,AND(MONTH(WORKDAY(I176,-(Setup!$C$13+Setup!$G$27),Setup!$C$39:$C$50))&gt;=Setup!$C$15,MONTH(WORKDAY(I176,-(Setup!$C$13+Setup!$G$27),Setup!$C$39:$C$50))&lt;=Setup!$C$16),OR(MONTH(WORKDAY(I176,-(Setup!$C$13+Setup!$G$27),Setup!$C$39:$C$50))&gt;=Setup!$C$15,MONTH(WORKDAY(I176,-(Setup!$C$13+Setup!$G$27),Setup!$C$39:$C$50))&lt;=Setup!$C$16))),WORKDAY(I176,-(Setup!$C$13+Setup!$G$27+Setup!$C$14),Setup!$C$39:$C$50),WORKDAY(I176,-(Setup!$C$13+Setup!$G$27),Setup!$C$39:$C$50))+(171*100+8)/10000000)))</f>
        <v/>
      </c>
      <c r="Z176" t="str">
        <f>IF(J176="","",IF(J176&lt;Setup!$C$5-Setup!$C$6,"",IF(IF(ISNUMBER(Roster!$D176),Setup!$C$28&lt;=Roster!$D176,FALSE),"",IF(OR(IF(Setup!$C$15&lt;=Setup!$C$16,AND(MONTH(J176)&gt;=Setup!$C$15,MONTH(J176)&lt;=Setup!$C$16),OR(MONTH(J176)&gt;=Setup!$C$15,MONTH(J176)&lt;=Setup!$C$16)),IF(Setup!$C$15&lt;=Setup!$C$16,AND(MONTH(WORKDAY(J176,-(Setup!$C$13+Setup!$G$28),Setup!$C$39:$C$50))&gt;=Setup!$C$15,MONTH(WORKDAY(J176,-(Setup!$C$13+Setup!$G$28),Setup!$C$39:$C$50))&lt;=Setup!$C$16),OR(MONTH(WORKDAY(J176,-(Setup!$C$13+Setup!$G$28),Setup!$C$39:$C$50))&gt;=Setup!$C$15,MONTH(WORKDAY(J176,-(Setup!$C$13+Setup!$G$28),Setup!$C$39:$C$50))&lt;=Setup!$C$16))),WORKDAY(J176,-(Setup!$C$13+Setup!$G$28+Setup!$C$14),Setup!$C$39:$C$50),WORKDAY(J176,-(Setup!$C$13+Setup!$G$28),Setup!$C$39:$C$50))+(171*100+9)/10000000)))</f>
        <v/>
      </c>
      <c r="AA176" t="str">
        <f>IF(K176="","",IF(K176&lt;Setup!$C$5-Setup!$C$6,"",IF(IF(ISNUMBER(Roster!$D176),Setup!$C$29&lt;=Roster!$D176,FALSE),"",IF(OR(IF(Setup!$C$15&lt;=Setup!$C$16,AND(MONTH(K176)&gt;=Setup!$C$15,MONTH(K176)&lt;=Setup!$C$16),OR(MONTH(K176)&gt;=Setup!$C$15,MONTH(K176)&lt;=Setup!$C$16)),IF(Setup!$C$15&lt;=Setup!$C$16,AND(MONTH(WORKDAY(K176,-(Setup!$C$13+Setup!$G$29),Setup!$C$39:$C$50))&gt;=Setup!$C$15,MONTH(WORKDAY(K176,-(Setup!$C$13+Setup!$G$29),Setup!$C$39:$C$50))&lt;=Setup!$C$16),OR(MONTH(WORKDAY(K176,-(Setup!$C$13+Setup!$G$29),Setup!$C$39:$C$50))&gt;=Setup!$C$15,MONTH(WORKDAY(K176,-(Setup!$C$13+Setup!$G$29),Setup!$C$39:$C$50))&lt;=Setup!$C$16))),WORKDAY(K176,-(Setup!$C$13+Setup!$G$29+Setup!$C$14),Setup!$C$39:$C$50),WORKDAY(K176,-(Setup!$C$13+Setup!$G$29),Setup!$C$39:$C$50))+(171*100+10)/10000000)))</f>
        <v/>
      </c>
      <c r="AB176" t="str">
        <f>IF(L176="","",IF(L176&lt;Setup!$C$5-Setup!$C$6,"",IF(IF(ISNUMBER(Roster!$D176),Setup!$C$30&lt;=Roster!$D176,FALSE),"",IF(OR(IF(Setup!$C$15&lt;=Setup!$C$16,AND(MONTH(L176)&gt;=Setup!$C$15,MONTH(L176)&lt;=Setup!$C$16),OR(MONTH(L176)&gt;=Setup!$C$15,MONTH(L176)&lt;=Setup!$C$16)),IF(Setup!$C$15&lt;=Setup!$C$16,AND(MONTH(WORKDAY(L176,-(Setup!$C$13+Setup!$G$30),Setup!$C$39:$C$50))&gt;=Setup!$C$15,MONTH(WORKDAY(L176,-(Setup!$C$13+Setup!$G$30),Setup!$C$39:$C$50))&lt;=Setup!$C$16),OR(MONTH(WORKDAY(L176,-(Setup!$C$13+Setup!$G$30),Setup!$C$39:$C$50))&gt;=Setup!$C$15,MONTH(WORKDAY(L176,-(Setup!$C$13+Setup!$G$30),Setup!$C$39:$C$50))&lt;=Setup!$C$16))),WORKDAY(L176,-(Setup!$C$13+Setup!$G$30+Setup!$C$14),Setup!$C$39:$C$50),WORKDAY(L176,-(Setup!$C$13+Setup!$G$30),Setup!$C$39:$C$50))+(171*100+11)/10000000)))</f>
        <v/>
      </c>
      <c r="AC176" t="str">
        <f>IF(M176="","",IF(M176&lt;Setup!$C$5-Setup!$C$6,"",IF(IF(ISNUMBER(Roster!$D176),Setup!$C$31&lt;=Roster!$D176,FALSE),"",IF(OR(IF(Setup!$C$15&lt;=Setup!$C$16,AND(MONTH(M176)&gt;=Setup!$C$15,MONTH(M176)&lt;=Setup!$C$16),OR(MONTH(M176)&gt;=Setup!$C$15,MONTH(M176)&lt;=Setup!$C$16)),IF(Setup!$C$15&lt;=Setup!$C$16,AND(MONTH(WORKDAY(M176,-(Setup!$C$13+Setup!$G$31),Setup!$C$39:$C$50))&gt;=Setup!$C$15,MONTH(WORKDAY(M176,-(Setup!$C$13+Setup!$G$31),Setup!$C$39:$C$50))&lt;=Setup!$C$16),OR(MONTH(WORKDAY(M176,-(Setup!$C$13+Setup!$G$31),Setup!$C$39:$C$50))&gt;=Setup!$C$15,MONTH(WORKDAY(M176,-(Setup!$C$13+Setup!$G$31),Setup!$C$39:$C$50))&lt;=Setup!$C$16))),WORKDAY(M176,-(Setup!$C$13+Setup!$G$31+Setup!$C$14),Setup!$C$39:$C$50),WORKDAY(M176,-(Setup!$C$13+Setup!$G$31),Setup!$C$39:$C$50))+(171*100+12)/10000000)))</f>
        <v/>
      </c>
      <c r="AD176" t="str">
        <f>IF(N176="","",IF(N176&lt;Setup!$C$5-Setup!$C$6,"",IF(IF(ISNUMBER(Roster!$D176),Setup!$C$32&lt;=Roster!$D176,FALSE),"",IF(OR(IF(Setup!$C$15&lt;=Setup!$C$16,AND(MONTH(N176)&gt;=Setup!$C$15,MONTH(N176)&lt;=Setup!$C$16),OR(MONTH(N176)&gt;=Setup!$C$15,MONTH(N176)&lt;=Setup!$C$16)),IF(Setup!$C$15&lt;=Setup!$C$16,AND(MONTH(WORKDAY(N176,-(Setup!$C$13+Setup!$G$32),Setup!$C$39:$C$50))&gt;=Setup!$C$15,MONTH(WORKDAY(N176,-(Setup!$C$13+Setup!$G$32),Setup!$C$39:$C$50))&lt;=Setup!$C$16),OR(MONTH(WORKDAY(N176,-(Setup!$C$13+Setup!$G$32),Setup!$C$39:$C$50))&gt;=Setup!$C$15,MONTH(WORKDAY(N176,-(Setup!$C$13+Setup!$G$32),Setup!$C$39:$C$50))&lt;=Setup!$C$16))),WORKDAY(N176,-(Setup!$C$13+Setup!$G$32+Setup!$C$14),Setup!$C$39:$C$50),WORKDAY(N176,-(Setup!$C$13+Setup!$G$32),Setup!$C$39:$C$50))+(171*100+13)/10000000)))</f>
        <v/>
      </c>
      <c r="AE176" t="str">
        <f>IF(O176="","",IF(O176&lt;Setup!$C$5-Setup!$C$6,"",IF(IF(ISNUMBER(Roster!$D176),Setup!$C$33&lt;=Roster!$D176,FALSE),"",IF(OR(IF(Setup!$C$15&lt;=Setup!$C$16,AND(MONTH(O176)&gt;=Setup!$C$15,MONTH(O176)&lt;=Setup!$C$16),OR(MONTH(O176)&gt;=Setup!$C$15,MONTH(O176)&lt;=Setup!$C$16)),IF(Setup!$C$15&lt;=Setup!$C$16,AND(MONTH(WORKDAY(O176,-(Setup!$C$13+Setup!$G$33),Setup!$C$39:$C$50))&gt;=Setup!$C$15,MONTH(WORKDAY(O176,-(Setup!$C$13+Setup!$G$33),Setup!$C$39:$C$50))&lt;=Setup!$C$16),OR(MONTH(WORKDAY(O176,-(Setup!$C$13+Setup!$G$33),Setup!$C$39:$C$50))&gt;=Setup!$C$15,MONTH(WORKDAY(O176,-(Setup!$C$13+Setup!$G$33),Setup!$C$39:$C$50))&lt;=Setup!$C$16))),WORKDAY(O176,-(Setup!$C$13+Setup!$G$33+Setup!$C$14),Setup!$C$39:$C$50),WORKDAY(O176,-(Setup!$C$13+Setup!$G$33),Setup!$C$39:$C$50))+(171*100+14)/10000000)))</f>
        <v/>
      </c>
      <c r="AF176" t="str">
        <f>IF(P176="","",IF(P176&lt;Setup!$C$5-Setup!$C$6,"",IF(IF(ISNUMBER(Roster!$D176),Setup!$C$34&lt;=Roster!$D176,FALSE),"",IF(OR(IF(Setup!$C$15&lt;=Setup!$C$16,AND(MONTH(P176)&gt;=Setup!$C$15,MONTH(P176)&lt;=Setup!$C$16),OR(MONTH(P176)&gt;=Setup!$C$15,MONTH(P176)&lt;=Setup!$C$16)),IF(Setup!$C$15&lt;=Setup!$C$16,AND(MONTH(WORKDAY(P176,-(Setup!$C$13+Setup!$G$34),Setup!$C$39:$C$50))&gt;=Setup!$C$15,MONTH(WORKDAY(P176,-(Setup!$C$13+Setup!$G$34),Setup!$C$39:$C$50))&lt;=Setup!$C$16),OR(MONTH(WORKDAY(P176,-(Setup!$C$13+Setup!$G$34),Setup!$C$39:$C$50))&gt;=Setup!$C$15,MONTH(WORKDAY(P176,-(Setup!$C$13+Setup!$G$34),Setup!$C$39:$C$50))&lt;=Setup!$C$16))),WORKDAY(P176,-(Setup!$C$13+Setup!$G$34+Setup!$C$14),Setup!$C$39:$C$50),WORKDAY(P176,-(Setup!$C$13+Setup!$G$34),Setup!$C$39:$C$50))+(171*100+15)/10000000)))</f>
        <v/>
      </c>
      <c r="AH176" t="str">
        <f t="shared" si="17"/>
        <v/>
      </c>
      <c r="AI176" t="str">
        <f t="shared" si="18"/>
        <v/>
      </c>
      <c r="AK176" t="str">
        <f ca="1">IF(171&gt;$AK$2,"",SMALL($R$6:$AF$505,171))</f>
        <v/>
      </c>
      <c r="AL176" t="str">
        <f t="shared" ca="1" si="19"/>
        <v/>
      </c>
      <c r="AM176" t="str">
        <f t="shared" ca="1" si="20"/>
        <v/>
      </c>
      <c r="AN176" t="str">
        <f t="shared" ca="1" si="21"/>
        <v/>
      </c>
      <c r="AP176" t="str">
        <f>IF(ISNUMBER(Roster!$B176),MAX(1,YEAR(Setup!$C$5)-YEAR(Roster!$B176)+IF(EDATE(Roster!$B176,12*(YEAR(Setup!$C$5)-YEAR(Roster!$B176)))&lt;Setup!$C$5,1,0)),"")</f>
        <v/>
      </c>
      <c r="AQ176" s="32" t="str">
        <f>IF(AP176="","",EDATE(Roster!$B176,12*AP176))</f>
        <v/>
      </c>
      <c r="AR176" t="str">
        <f>IF(AQ176="","",IF(AQ176&lt;DATE(YEAR(Setup!$C$5)+1,MONTH(Setup!$C$5),DAY(Setup!$C$5)),AQ176+171/1000,""))</f>
        <v/>
      </c>
      <c r="AS176" t="str">
        <f t="shared" si="22"/>
        <v/>
      </c>
      <c r="AT176" t="str">
        <f>IF(AS176="","",IF(ISNUMBER(Roster!$D176),Roster!$D176&gt;=AP176,FALSE))</f>
        <v/>
      </c>
      <c r="AU176" t="str">
        <f t="shared" si="23"/>
        <v/>
      </c>
      <c r="AV176" t="str">
        <f ca="1">IF(171&gt;$AV$2,"",SMALL($AR$6:$AR$505,171))</f>
        <v/>
      </c>
      <c r="AW176" t="str">
        <f t="shared" ca="1" si="24"/>
        <v/>
      </c>
    </row>
    <row r="177" spans="2:49" x14ac:dyDescent="0.2">
      <c r="B177" s="32" t="str">
        <f>IF(AND(ISNUMBER(Roster!$B177),Setup!$B$20="Yes",ISNUMBER(Setup!$C$20)),EDATE(Roster!$B177,12*Setup!$C$20),"")</f>
        <v/>
      </c>
      <c r="C177" s="32" t="str">
        <f>IF(AND(ISNUMBER(Roster!$B177),Setup!$B$21="Yes",ISNUMBER(Setup!$C$21)),EDATE(Roster!$B177,12*Setup!$C$21),"")</f>
        <v/>
      </c>
      <c r="D177" s="32" t="str">
        <f>IF(AND(ISNUMBER(Roster!$B177),Setup!$B$22="Yes",ISNUMBER(Setup!$C$22)),EDATE(Roster!$B177,12*Setup!$C$22),"")</f>
        <v/>
      </c>
      <c r="E177" s="32" t="str">
        <f>IF(AND(ISNUMBER(Roster!$B177),Setup!$B$23="Yes",ISNUMBER(Setup!$C$23)),EDATE(Roster!$B177,12*Setup!$C$23),"")</f>
        <v/>
      </c>
      <c r="F177" s="32" t="str">
        <f>IF(AND(ISNUMBER(Roster!$B177),Setup!$B$24="Yes",ISNUMBER(Setup!$C$24)),EDATE(Roster!$B177,12*Setup!$C$24),"")</f>
        <v/>
      </c>
      <c r="G177" s="32" t="str">
        <f>IF(AND(ISNUMBER(Roster!$B177),Setup!$B$25="Yes",ISNUMBER(Setup!$C$25)),EDATE(Roster!$B177,12*Setup!$C$25),"")</f>
        <v/>
      </c>
      <c r="H177" s="32" t="str">
        <f>IF(AND(ISNUMBER(Roster!$B177),Setup!$B$26="Yes",ISNUMBER(Setup!$C$26)),EDATE(Roster!$B177,12*Setup!$C$26),"")</f>
        <v/>
      </c>
      <c r="I177" s="32" t="str">
        <f>IF(AND(ISNUMBER(Roster!$B177),Setup!$B$27="Yes",ISNUMBER(Setup!$C$27)),EDATE(Roster!$B177,12*Setup!$C$27),"")</f>
        <v/>
      </c>
      <c r="J177" s="32" t="str">
        <f>IF(AND(ISNUMBER(Roster!$B177),Setup!$B$28="Yes",ISNUMBER(Setup!$C$28)),EDATE(Roster!$B177,12*Setup!$C$28),"")</f>
        <v/>
      </c>
      <c r="K177" s="32" t="str">
        <f>IF(AND(ISNUMBER(Roster!$B177),Setup!$B$29="Yes",ISNUMBER(Setup!$C$29)),EDATE(Roster!$B177,12*Setup!$C$29),"")</f>
        <v/>
      </c>
      <c r="L177" s="32" t="str">
        <f>IF(AND(ISNUMBER(Roster!$B177),Setup!$B$30="Yes",ISNUMBER(Setup!$C$30)),EDATE(Roster!$B177,12*Setup!$C$30),"")</f>
        <v/>
      </c>
      <c r="M177" s="32" t="str">
        <f>IF(AND(ISNUMBER(Roster!$B177),Setup!$B$31="Yes",ISNUMBER(Setup!$C$31)),EDATE(Roster!$B177,12*Setup!$C$31),"")</f>
        <v/>
      </c>
      <c r="N177" s="32" t="str">
        <f>IF(AND(ISNUMBER(Roster!$B177),Setup!$B$32="Yes",ISNUMBER(Setup!$C$32)),EDATE(Roster!$B177,12*Setup!$C$32),"")</f>
        <v/>
      </c>
      <c r="O177" s="32" t="str">
        <f>IF(AND(ISNUMBER(Roster!$B177),Setup!$B$33="Yes",ISNUMBER(Setup!$C$33)),EDATE(Roster!$B177,12*Setup!$C$33),"")</f>
        <v/>
      </c>
      <c r="P177" s="32" t="str">
        <f>IF(AND(ISNUMBER(Roster!$B177),Setup!$B$34="Yes",ISNUMBER(Setup!$C$34)),EDATE(Roster!$B177,12*Setup!$C$34),"")</f>
        <v/>
      </c>
      <c r="R177" t="str">
        <f>IF(B177="","",IF(B177&lt;Setup!$C$5-Setup!$C$6,"",IF(IF(ISNUMBER(Roster!$D177),Setup!$C$20&lt;=Roster!$D177,FALSE),"",IF(OR(IF(Setup!$C$15&lt;=Setup!$C$16,AND(MONTH(B177)&gt;=Setup!$C$15,MONTH(B177)&lt;=Setup!$C$16),OR(MONTH(B177)&gt;=Setup!$C$15,MONTH(B177)&lt;=Setup!$C$16)),IF(Setup!$C$15&lt;=Setup!$C$16,AND(MONTH(WORKDAY(B177,-(Setup!$C$13+Setup!$G$20),Setup!$C$39:$C$50))&gt;=Setup!$C$15,MONTH(WORKDAY(B177,-(Setup!$C$13+Setup!$G$20),Setup!$C$39:$C$50))&lt;=Setup!$C$16),OR(MONTH(WORKDAY(B177,-(Setup!$C$13+Setup!$G$20),Setup!$C$39:$C$50))&gt;=Setup!$C$15,MONTH(WORKDAY(B177,-(Setup!$C$13+Setup!$G$20),Setup!$C$39:$C$50))&lt;=Setup!$C$16))),WORKDAY(B177,-(Setup!$C$13+Setup!$G$20+Setup!$C$14),Setup!$C$39:$C$50),WORKDAY(B177,-(Setup!$C$13+Setup!$G$20),Setup!$C$39:$C$50))+(172*100+1)/10000000)))</f>
        <v/>
      </c>
      <c r="S177" t="str">
        <f>IF(C177="","",IF(C177&lt;Setup!$C$5-Setup!$C$6,"",IF(IF(ISNUMBER(Roster!$D177),Setup!$C$21&lt;=Roster!$D177,FALSE),"",IF(OR(IF(Setup!$C$15&lt;=Setup!$C$16,AND(MONTH(C177)&gt;=Setup!$C$15,MONTH(C177)&lt;=Setup!$C$16),OR(MONTH(C177)&gt;=Setup!$C$15,MONTH(C177)&lt;=Setup!$C$16)),IF(Setup!$C$15&lt;=Setup!$C$16,AND(MONTH(WORKDAY(C177,-(Setup!$C$13+Setup!$G$21),Setup!$C$39:$C$50))&gt;=Setup!$C$15,MONTH(WORKDAY(C177,-(Setup!$C$13+Setup!$G$21),Setup!$C$39:$C$50))&lt;=Setup!$C$16),OR(MONTH(WORKDAY(C177,-(Setup!$C$13+Setup!$G$21),Setup!$C$39:$C$50))&gt;=Setup!$C$15,MONTH(WORKDAY(C177,-(Setup!$C$13+Setup!$G$21),Setup!$C$39:$C$50))&lt;=Setup!$C$16))),WORKDAY(C177,-(Setup!$C$13+Setup!$G$21+Setup!$C$14),Setup!$C$39:$C$50),WORKDAY(C177,-(Setup!$C$13+Setup!$G$21),Setup!$C$39:$C$50))+(172*100+2)/10000000)))</f>
        <v/>
      </c>
      <c r="T177" t="str">
        <f>IF(D177="","",IF(D177&lt;Setup!$C$5-Setup!$C$6,"",IF(IF(ISNUMBER(Roster!$D177),Setup!$C$22&lt;=Roster!$D177,FALSE),"",IF(OR(IF(Setup!$C$15&lt;=Setup!$C$16,AND(MONTH(D177)&gt;=Setup!$C$15,MONTH(D177)&lt;=Setup!$C$16),OR(MONTH(D177)&gt;=Setup!$C$15,MONTH(D177)&lt;=Setup!$C$16)),IF(Setup!$C$15&lt;=Setup!$C$16,AND(MONTH(WORKDAY(D177,-(Setup!$C$13+Setup!$G$22),Setup!$C$39:$C$50))&gt;=Setup!$C$15,MONTH(WORKDAY(D177,-(Setup!$C$13+Setup!$G$22),Setup!$C$39:$C$50))&lt;=Setup!$C$16),OR(MONTH(WORKDAY(D177,-(Setup!$C$13+Setup!$G$22),Setup!$C$39:$C$50))&gt;=Setup!$C$15,MONTH(WORKDAY(D177,-(Setup!$C$13+Setup!$G$22),Setup!$C$39:$C$50))&lt;=Setup!$C$16))),WORKDAY(D177,-(Setup!$C$13+Setup!$G$22+Setup!$C$14),Setup!$C$39:$C$50),WORKDAY(D177,-(Setup!$C$13+Setup!$G$22),Setup!$C$39:$C$50))+(172*100+3)/10000000)))</f>
        <v/>
      </c>
      <c r="U177" t="str">
        <f>IF(E177="","",IF(E177&lt;Setup!$C$5-Setup!$C$6,"",IF(IF(ISNUMBER(Roster!$D177),Setup!$C$23&lt;=Roster!$D177,FALSE),"",IF(OR(IF(Setup!$C$15&lt;=Setup!$C$16,AND(MONTH(E177)&gt;=Setup!$C$15,MONTH(E177)&lt;=Setup!$C$16),OR(MONTH(E177)&gt;=Setup!$C$15,MONTH(E177)&lt;=Setup!$C$16)),IF(Setup!$C$15&lt;=Setup!$C$16,AND(MONTH(WORKDAY(E177,-(Setup!$C$13+Setup!$G$23),Setup!$C$39:$C$50))&gt;=Setup!$C$15,MONTH(WORKDAY(E177,-(Setup!$C$13+Setup!$G$23),Setup!$C$39:$C$50))&lt;=Setup!$C$16),OR(MONTH(WORKDAY(E177,-(Setup!$C$13+Setup!$G$23),Setup!$C$39:$C$50))&gt;=Setup!$C$15,MONTH(WORKDAY(E177,-(Setup!$C$13+Setup!$G$23),Setup!$C$39:$C$50))&lt;=Setup!$C$16))),WORKDAY(E177,-(Setup!$C$13+Setup!$G$23+Setup!$C$14),Setup!$C$39:$C$50),WORKDAY(E177,-(Setup!$C$13+Setup!$G$23),Setup!$C$39:$C$50))+(172*100+4)/10000000)))</f>
        <v/>
      </c>
      <c r="V177" t="str">
        <f>IF(F177="","",IF(F177&lt;Setup!$C$5-Setup!$C$6,"",IF(IF(ISNUMBER(Roster!$D177),Setup!$C$24&lt;=Roster!$D177,FALSE),"",IF(OR(IF(Setup!$C$15&lt;=Setup!$C$16,AND(MONTH(F177)&gt;=Setup!$C$15,MONTH(F177)&lt;=Setup!$C$16),OR(MONTH(F177)&gt;=Setup!$C$15,MONTH(F177)&lt;=Setup!$C$16)),IF(Setup!$C$15&lt;=Setup!$C$16,AND(MONTH(WORKDAY(F177,-(Setup!$C$13+Setup!$G$24),Setup!$C$39:$C$50))&gt;=Setup!$C$15,MONTH(WORKDAY(F177,-(Setup!$C$13+Setup!$G$24),Setup!$C$39:$C$50))&lt;=Setup!$C$16),OR(MONTH(WORKDAY(F177,-(Setup!$C$13+Setup!$G$24),Setup!$C$39:$C$50))&gt;=Setup!$C$15,MONTH(WORKDAY(F177,-(Setup!$C$13+Setup!$G$24),Setup!$C$39:$C$50))&lt;=Setup!$C$16))),WORKDAY(F177,-(Setup!$C$13+Setup!$G$24+Setup!$C$14),Setup!$C$39:$C$50),WORKDAY(F177,-(Setup!$C$13+Setup!$G$24),Setup!$C$39:$C$50))+(172*100+5)/10000000)))</f>
        <v/>
      </c>
      <c r="W177" t="str">
        <f>IF(G177="","",IF(G177&lt;Setup!$C$5-Setup!$C$6,"",IF(IF(ISNUMBER(Roster!$D177),Setup!$C$25&lt;=Roster!$D177,FALSE),"",IF(OR(IF(Setup!$C$15&lt;=Setup!$C$16,AND(MONTH(G177)&gt;=Setup!$C$15,MONTH(G177)&lt;=Setup!$C$16),OR(MONTH(G177)&gt;=Setup!$C$15,MONTH(G177)&lt;=Setup!$C$16)),IF(Setup!$C$15&lt;=Setup!$C$16,AND(MONTH(WORKDAY(G177,-(Setup!$C$13+Setup!$G$25),Setup!$C$39:$C$50))&gt;=Setup!$C$15,MONTH(WORKDAY(G177,-(Setup!$C$13+Setup!$G$25),Setup!$C$39:$C$50))&lt;=Setup!$C$16),OR(MONTH(WORKDAY(G177,-(Setup!$C$13+Setup!$G$25),Setup!$C$39:$C$50))&gt;=Setup!$C$15,MONTH(WORKDAY(G177,-(Setup!$C$13+Setup!$G$25),Setup!$C$39:$C$50))&lt;=Setup!$C$16))),WORKDAY(G177,-(Setup!$C$13+Setup!$G$25+Setup!$C$14),Setup!$C$39:$C$50),WORKDAY(G177,-(Setup!$C$13+Setup!$G$25),Setup!$C$39:$C$50))+(172*100+6)/10000000)))</f>
        <v/>
      </c>
      <c r="X177" t="str">
        <f>IF(H177="","",IF(H177&lt;Setup!$C$5-Setup!$C$6,"",IF(IF(ISNUMBER(Roster!$D177),Setup!$C$26&lt;=Roster!$D177,FALSE),"",IF(OR(IF(Setup!$C$15&lt;=Setup!$C$16,AND(MONTH(H177)&gt;=Setup!$C$15,MONTH(H177)&lt;=Setup!$C$16),OR(MONTH(H177)&gt;=Setup!$C$15,MONTH(H177)&lt;=Setup!$C$16)),IF(Setup!$C$15&lt;=Setup!$C$16,AND(MONTH(WORKDAY(H177,-(Setup!$C$13+Setup!$G$26),Setup!$C$39:$C$50))&gt;=Setup!$C$15,MONTH(WORKDAY(H177,-(Setup!$C$13+Setup!$G$26),Setup!$C$39:$C$50))&lt;=Setup!$C$16),OR(MONTH(WORKDAY(H177,-(Setup!$C$13+Setup!$G$26),Setup!$C$39:$C$50))&gt;=Setup!$C$15,MONTH(WORKDAY(H177,-(Setup!$C$13+Setup!$G$26),Setup!$C$39:$C$50))&lt;=Setup!$C$16))),WORKDAY(H177,-(Setup!$C$13+Setup!$G$26+Setup!$C$14),Setup!$C$39:$C$50),WORKDAY(H177,-(Setup!$C$13+Setup!$G$26),Setup!$C$39:$C$50))+(172*100+7)/10000000)))</f>
        <v/>
      </c>
      <c r="Y177" t="str">
        <f>IF(I177="","",IF(I177&lt;Setup!$C$5-Setup!$C$6,"",IF(IF(ISNUMBER(Roster!$D177),Setup!$C$27&lt;=Roster!$D177,FALSE),"",IF(OR(IF(Setup!$C$15&lt;=Setup!$C$16,AND(MONTH(I177)&gt;=Setup!$C$15,MONTH(I177)&lt;=Setup!$C$16),OR(MONTH(I177)&gt;=Setup!$C$15,MONTH(I177)&lt;=Setup!$C$16)),IF(Setup!$C$15&lt;=Setup!$C$16,AND(MONTH(WORKDAY(I177,-(Setup!$C$13+Setup!$G$27),Setup!$C$39:$C$50))&gt;=Setup!$C$15,MONTH(WORKDAY(I177,-(Setup!$C$13+Setup!$G$27),Setup!$C$39:$C$50))&lt;=Setup!$C$16),OR(MONTH(WORKDAY(I177,-(Setup!$C$13+Setup!$G$27),Setup!$C$39:$C$50))&gt;=Setup!$C$15,MONTH(WORKDAY(I177,-(Setup!$C$13+Setup!$G$27),Setup!$C$39:$C$50))&lt;=Setup!$C$16))),WORKDAY(I177,-(Setup!$C$13+Setup!$G$27+Setup!$C$14),Setup!$C$39:$C$50),WORKDAY(I177,-(Setup!$C$13+Setup!$G$27),Setup!$C$39:$C$50))+(172*100+8)/10000000)))</f>
        <v/>
      </c>
      <c r="Z177" t="str">
        <f>IF(J177="","",IF(J177&lt;Setup!$C$5-Setup!$C$6,"",IF(IF(ISNUMBER(Roster!$D177),Setup!$C$28&lt;=Roster!$D177,FALSE),"",IF(OR(IF(Setup!$C$15&lt;=Setup!$C$16,AND(MONTH(J177)&gt;=Setup!$C$15,MONTH(J177)&lt;=Setup!$C$16),OR(MONTH(J177)&gt;=Setup!$C$15,MONTH(J177)&lt;=Setup!$C$16)),IF(Setup!$C$15&lt;=Setup!$C$16,AND(MONTH(WORKDAY(J177,-(Setup!$C$13+Setup!$G$28),Setup!$C$39:$C$50))&gt;=Setup!$C$15,MONTH(WORKDAY(J177,-(Setup!$C$13+Setup!$G$28),Setup!$C$39:$C$50))&lt;=Setup!$C$16),OR(MONTH(WORKDAY(J177,-(Setup!$C$13+Setup!$G$28),Setup!$C$39:$C$50))&gt;=Setup!$C$15,MONTH(WORKDAY(J177,-(Setup!$C$13+Setup!$G$28),Setup!$C$39:$C$50))&lt;=Setup!$C$16))),WORKDAY(J177,-(Setup!$C$13+Setup!$G$28+Setup!$C$14),Setup!$C$39:$C$50),WORKDAY(J177,-(Setup!$C$13+Setup!$G$28),Setup!$C$39:$C$50))+(172*100+9)/10000000)))</f>
        <v/>
      </c>
      <c r="AA177" t="str">
        <f>IF(K177="","",IF(K177&lt;Setup!$C$5-Setup!$C$6,"",IF(IF(ISNUMBER(Roster!$D177),Setup!$C$29&lt;=Roster!$D177,FALSE),"",IF(OR(IF(Setup!$C$15&lt;=Setup!$C$16,AND(MONTH(K177)&gt;=Setup!$C$15,MONTH(K177)&lt;=Setup!$C$16),OR(MONTH(K177)&gt;=Setup!$C$15,MONTH(K177)&lt;=Setup!$C$16)),IF(Setup!$C$15&lt;=Setup!$C$16,AND(MONTH(WORKDAY(K177,-(Setup!$C$13+Setup!$G$29),Setup!$C$39:$C$50))&gt;=Setup!$C$15,MONTH(WORKDAY(K177,-(Setup!$C$13+Setup!$G$29),Setup!$C$39:$C$50))&lt;=Setup!$C$16),OR(MONTH(WORKDAY(K177,-(Setup!$C$13+Setup!$G$29),Setup!$C$39:$C$50))&gt;=Setup!$C$15,MONTH(WORKDAY(K177,-(Setup!$C$13+Setup!$G$29),Setup!$C$39:$C$50))&lt;=Setup!$C$16))),WORKDAY(K177,-(Setup!$C$13+Setup!$G$29+Setup!$C$14),Setup!$C$39:$C$50),WORKDAY(K177,-(Setup!$C$13+Setup!$G$29),Setup!$C$39:$C$50))+(172*100+10)/10000000)))</f>
        <v/>
      </c>
      <c r="AB177" t="str">
        <f>IF(L177="","",IF(L177&lt;Setup!$C$5-Setup!$C$6,"",IF(IF(ISNUMBER(Roster!$D177),Setup!$C$30&lt;=Roster!$D177,FALSE),"",IF(OR(IF(Setup!$C$15&lt;=Setup!$C$16,AND(MONTH(L177)&gt;=Setup!$C$15,MONTH(L177)&lt;=Setup!$C$16),OR(MONTH(L177)&gt;=Setup!$C$15,MONTH(L177)&lt;=Setup!$C$16)),IF(Setup!$C$15&lt;=Setup!$C$16,AND(MONTH(WORKDAY(L177,-(Setup!$C$13+Setup!$G$30),Setup!$C$39:$C$50))&gt;=Setup!$C$15,MONTH(WORKDAY(L177,-(Setup!$C$13+Setup!$G$30),Setup!$C$39:$C$50))&lt;=Setup!$C$16),OR(MONTH(WORKDAY(L177,-(Setup!$C$13+Setup!$G$30),Setup!$C$39:$C$50))&gt;=Setup!$C$15,MONTH(WORKDAY(L177,-(Setup!$C$13+Setup!$G$30),Setup!$C$39:$C$50))&lt;=Setup!$C$16))),WORKDAY(L177,-(Setup!$C$13+Setup!$G$30+Setup!$C$14),Setup!$C$39:$C$50),WORKDAY(L177,-(Setup!$C$13+Setup!$G$30),Setup!$C$39:$C$50))+(172*100+11)/10000000)))</f>
        <v/>
      </c>
      <c r="AC177" t="str">
        <f>IF(M177="","",IF(M177&lt;Setup!$C$5-Setup!$C$6,"",IF(IF(ISNUMBER(Roster!$D177),Setup!$C$31&lt;=Roster!$D177,FALSE),"",IF(OR(IF(Setup!$C$15&lt;=Setup!$C$16,AND(MONTH(M177)&gt;=Setup!$C$15,MONTH(M177)&lt;=Setup!$C$16),OR(MONTH(M177)&gt;=Setup!$C$15,MONTH(M177)&lt;=Setup!$C$16)),IF(Setup!$C$15&lt;=Setup!$C$16,AND(MONTH(WORKDAY(M177,-(Setup!$C$13+Setup!$G$31),Setup!$C$39:$C$50))&gt;=Setup!$C$15,MONTH(WORKDAY(M177,-(Setup!$C$13+Setup!$G$31),Setup!$C$39:$C$50))&lt;=Setup!$C$16),OR(MONTH(WORKDAY(M177,-(Setup!$C$13+Setup!$G$31),Setup!$C$39:$C$50))&gt;=Setup!$C$15,MONTH(WORKDAY(M177,-(Setup!$C$13+Setup!$G$31),Setup!$C$39:$C$50))&lt;=Setup!$C$16))),WORKDAY(M177,-(Setup!$C$13+Setup!$G$31+Setup!$C$14),Setup!$C$39:$C$50),WORKDAY(M177,-(Setup!$C$13+Setup!$G$31),Setup!$C$39:$C$50))+(172*100+12)/10000000)))</f>
        <v/>
      </c>
      <c r="AD177" t="str">
        <f>IF(N177="","",IF(N177&lt;Setup!$C$5-Setup!$C$6,"",IF(IF(ISNUMBER(Roster!$D177),Setup!$C$32&lt;=Roster!$D177,FALSE),"",IF(OR(IF(Setup!$C$15&lt;=Setup!$C$16,AND(MONTH(N177)&gt;=Setup!$C$15,MONTH(N177)&lt;=Setup!$C$16),OR(MONTH(N177)&gt;=Setup!$C$15,MONTH(N177)&lt;=Setup!$C$16)),IF(Setup!$C$15&lt;=Setup!$C$16,AND(MONTH(WORKDAY(N177,-(Setup!$C$13+Setup!$G$32),Setup!$C$39:$C$50))&gt;=Setup!$C$15,MONTH(WORKDAY(N177,-(Setup!$C$13+Setup!$G$32),Setup!$C$39:$C$50))&lt;=Setup!$C$16),OR(MONTH(WORKDAY(N177,-(Setup!$C$13+Setup!$G$32),Setup!$C$39:$C$50))&gt;=Setup!$C$15,MONTH(WORKDAY(N177,-(Setup!$C$13+Setup!$G$32),Setup!$C$39:$C$50))&lt;=Setup!$C$16))),WORKDAY(N177,-(Setup!$C$13+Setup!$G$32+Setup!$C$14),Setup!$C$39:$C$50),WORKDAY(N177,-(Setup!$C$13+Setup!$G$32),Setup!$C$39:$C$50))+(172*100+13)/10000000)))</f>
        <v/>
      </c>
      <c r="AE177" t="str">
        <f>IF(O177="","",IF(O177&lt;Setup!$C$5-Setup!$C$6,"",IF(IF(ISNUMBER(Roster!$D177),Setup!$C$33&lt;=Roster!$D177,FALSE),"",IF(OR(IF(Setup!$C$15&lt;=Setup!$C$16,AND(MONTH(O177)&gt;=Setup!$C$15,MONTH(O177)&lt;=Setup!$C$16),OR(MONTH(O177)&gt;=Setup!$C$15,MONTH(O177)&lt;=Setup!$C$16)),IF(Setup!$C$15&lt;=Setup!$C$16,AND(MONTH(WORKDAY(O177,-(Setup!$C$13+Setup!$G$33),Setup!$C$39:$C$50))&gt;=Setup!$C$15,MONTH(WORKDAY(O177,-(Setup!$C$13+Setup!$G$33),Setup!$C$39:$C$50))&lt;=Setup!$C$16),OR(MONTH(WORKDAY(O177,-(Setup!$C$13+Setup!$G$33),Setup!$C$39:$C$50))&gt;=Setup!$C$15,MONTH(WORKDAY(O177,-(Setup!$C$13+Setup!$G$33),Setup!$C$39:$C$50))&lt;=Setup!$C$16))),WORKDAY(O177,-(Setup!$C$13+Setup!$G$33+Setup!$C$14),Setup!$C$39:$C$50),WORKDAY(O177,-(Setup!$C$13+Setup!$G$33),Setup!$C$39:$C$50))+(172*100+14)/10000000)))</f>
        <v/>
      </c>
      <c r="AF177" t="str">
        <f>IF(P177="","",IF(P177&lt;Setup!$C$5-Setup!$C$6,"",IF(IF(ISNUMBER(Roster!$D177),Setup!$C$34&lt;=Roster!$D177,FALSE),"",IF(OR(IF(Setup!$C$15&lt;=Setup!$C$16,AND(MONTH(P177)&gt;=Setup!$C$15,MONTH(P177)&lt;=Setup!$C$16),OR(MONTH(P177)&gt;=Setup!$C$15,MONTH(P177)&lt;=Setup!$C$16)),IF(Setup!$C$15&lt;=Setup!$C$16,AND(MONTH(WORKDAY(P177,-(Setup!$C$13+Setup!$G$34),Setup!$C$39:$C$50))&gt;=Setup!$C$15,MONTH(WORKDAY(P177,-(Setup!$C$13+Setup!$G$34),Setup!$C$39:$C$50))&lt;=Setup!$C$16),OR(MONTH(WORKDAY(P177,-(Setup!$C$13+Setup!$G$34),Setup!$C$39:$C$50))&gt;=Setup!$C$15,MONTH(WORKDAY(P177,-(Setup!$C$13+Setup!$G$34),Setup!$C$39:$C$50))&lt;=Setup!$C$16))),WORKDAY(P177,-(Setup!$C$13+Setup!$G$34+Setup!$C$14),Setup!$C$39:$C$50),WORKDAY(P177,-(Setup!$C$13+Setup!$G$34),Setup!$C$39:$C$50))+(172*100+15)/10000000)))</f>
        <v/>
      </c>
      <c r="AH177" t="str">
        <f t="shared" si="17"/>
        <v/>
      </c>
      <c r="AI177" t="str">
        <f t="shared" si="18"/>
        <v/>
      </c>
      <c r="AK177" t="str">
        <f ca="1">IF(172&gt;$AK$2,"",SMALL($R$6:$AF$505,172))</f>
        <v/>
      </c>
      <c r="AL177" t="str">
        <f t="shared" ca="1" si="19"/>
        <v/>
      </c>
      <c r="AM177" t="str">
        <f t="shared" ca="1" si="20"/>
        <v/>
      </c>
      <c r="AN177" t="str">
        <f t="shared" ca="1" si="21"/>
        <v/>
      </c>
      <c r="AP177" t="str">
        <f>IF(ISNUMBER(Roster!$B177),MAX(1,YEAR(Setup!$C$5)-YEAR(Roster!$B177)+IF(EDATE(Roster!$B177,12*(YEAR(Setup!$C$5)-YEAR(Roster!$B177)))&lt;Setup!$C$5,1,0)),"")</f>
        <v/>
      </c>
      <c r="AQ177" s="32" t="str">
        <f>IF(AP177="","",EDATE(Roster!$B177,12*AP177))</f>
        <v/>
      </c>
      <c r="AR177" t="str">
        <f>IF(AQ177="","",IF(AQ177&lt;DATE(YEAR(Setup!$C$5)+1,MONTH(Setup!$C$5),DAY(Setup!$C$5)),AQ177+172/1000,""))</f>
        <v/>
      </c>
      <c r="AS177" t="str">
        <f t="shared" si="22"/>
        <v/>
      </c>
      <c r="AT177" t="str">
        <f>IF(AS177="","",IF(ISNUMBER(Roster!$D177),Roster!$D177&gt;=AP177,FALSE))</f>
        <v/>
      </c>
      <c r="AU177" t="str">
        <f t="shared" si="23"/>
        <v/>
      </c>
      <c r="AV177" t="str">
        <f ca="1">IF(172&gt;$AV$2,"",SMALL($AR$6:$AR$505,172))</f>
        <v/>
      </c>
      <c r="AW177" t="str">
        <f t="shared" ca="1" si="24"/>
        <v/>
      </c>
    </row>
    <row r="178" spans="2:49" x14ac:dyDescent="0.2">
      <c r="B178" s="32" t="str">
        <f>IF(AND(ISNUMBER(Roster!$B178),Setup!$B$20="Yes",ISNUMBER(Setup!$C$20)),EDATE(Roster!$B178,12*Setup!$C$20),"")</f>
        <v/>
      </c>
      <c r="C178" s="32" t="str">
        <f>IF(AND(ISNUMBER(Roster!$B178),Setup!$B$21="Yes",ISNUMBER(Setup!$C$21)),EDATE(Roster!$B178,12*Setup!$C$21),"")</f>
        <v/>
      </c>
      <c r="D178" s="32" t="str">
        <f>IF(AND(ISNUMBER(Roster!$B178),Setup!$B$22="Yes",ISNUMBER(Setup!$C$22)),EDATE(Roster!$B178,12*Setup!$C$22),"")</f>
        <v/>
      </c>
      <c r="E178" s="32" t="str">
        <f>IF(AND(ISNUMBER(Roster!$B178),Setup!$B$23="Yes",ISNUMBER(Setup!$C$23)),EDATE(Roster!$B178,12*Setup!$C$23),"")</f>
        <v/>
      </c>
      <c r="F178" s="32" t="str">
        <f>IF(AND(ISNUMBER(Roster!$B178),Setup!$B$24="Yes",ISNUMBER(Setup!$C$24)),EDATE(Roster!$B178,12*Setup!$C$24),"")</f>
        <v/>
      </c>
      <c r="G178" s="32" t="str">
        <f>IF(AND(ISNUMBER(Roster!$B178),Setup!$B$25="Yes",ISNUMBER(Setup!$C$25)),EDATE(Roster!$B178,12*Setup!$C$25),"")</f>
        <v/>
      </c>
      <c r="H178" s="32" t="str">
        <f>IF(AND(ISNUMBER(Roster!$B178),Setup!$B$26="Yes",ISNUMBER(Setup!$C$26)),EDATE(Roster!$B178,12*Setup!$C$26),"")</f>
        <v/>
      </c>
      <c r="I178" s="32" t="str">
        <f>IF(AND(ISNUMBER(Roster!$B178),Setup!$B$27="Yes",ISNUMBER(Setup!$C$27)),EDATE(Roster!$B178,12*Setup!$C$27),"")</f>
        <v/>
      </c>
      <c r="J178" s="32" t="str">
        <f>IF(AND(ISNUMBER(Roster!$B178),Setup!$B$28="Yes",ISNUMBER(Setup!$C$28)),EDATE(Roster!$B178,12*Setup!$C$28),"")</f>
        <v/>
      </c>
      <c r="K178" s="32" t="str">
        <f>IF(AND(ISNUMBER(Roster!$B178),Setup!$B$29="Yes",ISNUMBER(Setup!$C$29)),EDATE(Roster!$B178,12*Setup!$C$29),"")</f>
        <v/>
      </c>
      <c r="L178" s="32" t="str">
        <f>IF(AND(ISNUMBER(Roster!$B178),Setup!$B$30="Yes",ISNUMBER(Setup!$C$30)),EDATE(Roster!$B178,12*Setup!$C$30),"")</f>
        <v/>
      </c>
      <c r="M178" s="32" t="str">
        <f>IF(AND(ISNUMBER(Roster!$B178),Setup!$B$31="Yes",ISNUMBER(Setup!$C$31)),EDATE(Roster!$B178,12*Setup!$C$31),"")</f>
        <v/>
      </c>
      <c r="N178" s="32" t="str">
        <f>IF(AND(ISNUMBER(Roster!$B178),Setup!$B$32="Yes",ISNUMBER(Setup!$C$32)),EDATE(Roster!$B178,12*Setup!$C$32),"")</f>
        <v/>
      </c>
      <c r="O178" s="32" t="str">
        <f>IF(AND(ISNUMBER(Roster!$B178),Setup!$B$33="Yes",ISNUMBER(Setup!$C$33)),EDATE(Roster!$B178,12*Setup!$C$33),"")</f>
        <v/>
      </c>
      <c r="P178" s="32" t="str">
        <f>IF(AND(ISNUMBER(Roster!$B178),Setup!$B$34="Yes",ISNUMBER(Setup!$C$34)),EDATE(Roster!$B178,12*Setup!$C$34),"")</f>
        <v/>
      </c>
      <c r="R178" t="str">
        <f>IF(B178="","",IF(B178&lt;Setup!$C$5-Setup!$C$6,"",IF(IF(ISNUMBER(Roster!$D178),Setup!$C$20&lt;=Roster!$D178,FALSE),"",IF(OR(IF(Setup!$C$15&lt;=Setup!$C$16,AND(MONTH(B178)&gt;=Setup!$C$15,MONTH(B178)&lt;=Setup!$C$16),OR(MONTH(B178)&gt;=Setup!$C$15,MONTH(B178)&lt;=Setup!$C$16)),IF(Setup!$C$15&lt;=Setup!$C$16,AND(MONTH(WORKDAY(B178,-(Setup!$C$13+Setup!$G$20),Setup!$C$39:$C$50))&gt;=Setup!$C$15,MONTH(WORKDAY(B178,-(Setup!$C$13+Setup!$G$20),Setup!$C$39:$C$50))&lt;=Setup!$C$16),OR(MONTH(WORKDAY(B178,-(Setup!$C$13+Setup!$G$20),Setup!$C$39:$C$50))&gt;=Setup!$C$15,MONTH(WORKDAY(B178,-(Setup!$C$13+Setup!$G$20),Setup!$C$39:$C$50))&lt;=Setup!$C$16))),WORKDAY(B178,-(Setup!$C$13+Setup!$G$20+Setup!$C$14),Setup!$C$39:$C$50),WORKDAY(B178,-(Setup!$C$13+Setup!$G$20),Setup!$C$39:$C$50))+(173*100+1)/10000000)))</f>
        <v/>
      </c>
      <c r="S178" t="str">
        <f>IF(C178="","",IF(C178&lt;Setup!$C$5-Setup!$C$6,"",IF(IF(ISNUMBER(Roster!$D178),Setup!$C$21&lt;=Roster!$D178,FALSE),"",IF(OR(IF(Setup!$C$15&lt;=Setup!$C$16,AND(MONTH(C178)&gt;=Setup!$C$15,MONTH(C178)&lt;=Setup!$C$16),OR(MONTH(C178)&gt;=Setup!$C$15,MONTH(C178)&lt;=Setup!$C$16)),IF(Setup!$C$15&lt;=Setup!$C$16,AND(MONTH(WORKDAY(C178,-(Setup!$C$13+Setup!$G$21),Setup!$C$39:$C$50))&gt;=Setup!$C$15,MONTH(WORKDAY(C178,-(Setup!$C$13+Setup!$G$21),Setup!$C$39:$C$50))&lt;=Setup!$C$16),OR(MONTH(WORKDAY(C178,-(Setup!$C$13+Setup!$G$21),Setup!$C$39:$C$50))&gt;=Setup!$C$15,MONTH(WORKDAY(C178,-(Setup!$C$13+Setup!$G$21),Setup!$C$39:$C$50))&lt;=Setup!$C$16))),WORKDAY(C178,-(Setup!$C$13+Setup!$G$21+Setup!$C$14),Setup!$C$39:$C$50),WORKDAY(C178,-(Setup!$C$13+Setup!$G$21),Setup!$C$39:$C$50))+(173*100+2)/10000000)))</f>
        <v/>
      </c>
      <c r="T178" t="str">
        <f>IF(D178="","",IF(D178&lt;Setup!$C$5-Setup!$C$6,"",IF(IF(ISNUMBER(Roster!$D178),Setup!$C$22&lt;=Roster!$D178,FALSE),"",IF(OR(IF(Setup!$C$15&lt;=Setup!$C$16,AND(MONTH(D178)&gt;=Setup!$C$15,MONTH(D178)&lt;=Setup!$C$16),OR(MONTH(D178)&gt;=Setup!$C$15,MONTH(D178)&lt;=Setup!$C$16)),IF(Setup!$C$15&lt;=Setup!$C$16,AND(MONTH(WORKDAY(D178,-(Setup!$C$13+Setup!$G$22),Setup!$C$39:$C$50))&gt;=Setup!$C$15,MONTH(WORKDAY(D178,-(Setup!$C$13+Setup!$G$22),Setup!$C$39:$C$50))&lt;=Setup!$C$16),OR(MONTH(WORKDAY(D178,-(Setup!$C$13+Setup!$G$22),Setup!$C$39:$C$50))&gt;=Setup!$C$15,MONTH(WORKDAY(D178,-(Setup!$C$13+Setup!$G$22),Setup!$C$39:$C$50))&lt;=Setup!$C$16))),WORKDAY(D178,-(Setup!$C$13+Setup!$G$22+Setup!$C$14),Setup!$C$39:$C$50),WORKDAY(D178,-(Setup!$C$13+Setup!$G$22),Setup!$C$39:$C$50))+(173*100+3)/10000000)))</f>
        <v/>
      </c>
      <c r="U178" t="str">
        <f>IF(E178="","",IF(E178&lt;Setup!$C$5-Setup!$C$6,"",IF(IF(ISNUMBER(Roster!$D178),Setup!$C$23&lt;=Roster!$D178,FALSE),"",IF(OR(IF(Setup!$C$15&lt;=Setup!$C$16,AND(MONTH(E178)&gt;=Setup!$C$15,MONTH(E178)&lt;=Setup!$C$16),OR(MONTH(E178)&gt;=Setup!$C$15,MONTH(E178)&lt;=Setup!$C$16)),IF(Setup!$C$15&lt;=Setup!$C$16,AND(MONTH(WORKDAY(E178,-(Setup!$C$13+Setup!$G$23),Setup!$C$39:$C$50))&gt;=Setup!$C$15,MONTH(WORKDAY(E178,-(Setup!$C$13+Setup!$G$23),Setup!$C$39:$C$50))&lt;=Setup!$C$16),OR(MONTH(WORKDAY(E178,-(Setup!$C$13+Setup!$G$23),Setup!$C$39:$C$50))&gt;=Setup!$C$15,MONTH(WORKDAY(E178,-(Setup!$C$13+Setup!$G$23),Setup!$C$39:$C$50))&lt;=Setup!$C$16))),WORKDAY(E178,-(Setup!$C$13+Setup!$G$23+Setup!$C$14),Setup!$C$39:$C$50),WORKDAY(E178,-(Setup!$C$13+Setup!$G$23),Setup!$C$39:$C$50))+(173*100+4)/10000000)))</f>
        <v/>
      </c>
      <c r="V178" t="str">
        <f>IF(F178="","",IF(F178&lt;Setup!$C$5-Setup!$C$6,"",IF(IF(ISNUMBER(Roster!$D178),Setup!$C$24&lt;=Roster!$D178,FALSE),"",IF(OR(IF(Setup!$C$15&lt;=Setup!$C$16,AND(MONTH(F178)&gt;=Setup!$C$15,MONTH(F178)&lt;=Setup!$C$16),OR(MONTH(F178)&gt;=Setup!$C$15,MONTH(F178)&lt;=Setup!$C$16)),IF(Setup!$C$15&lt;=Setup!$C$16,AND(MONTH(WORKDAY(F178,-(Setup!$C$13+Setup!$G$24),Setup!$C$39:$C$50))&gt;=Setup!$C$15,MONTH(WORKDAY(F178,-(Setup!$C$13+Setup!$G$24),Setup!$C$39:$C$50))&lt;=Setup!$C$16),OR(MONTH(WORKDAY(F178,-(Setup!$C$13+Setup!$G$24),Setup!$C$39:$C$50))&gt;=Setup!$C$15,MONTH(WORKDAY(F178,-(Setup!$C$13+Setup!$G$24),Setup!$C$39:$C$50))&lt;=Setup!$C$16))),WORKDAY(F178,-(Setup!$C$13+Setup!$G$24+Setup!$C$14),Setup!$C$39:$C$50),WORKDAY(F178,-(Setup!$C$13+Setup!$G$24),Setup!$C$39:$C$50))+(173*100+5)/10000000)))</f>
        <v/>
      </c>
      <c r="W178" t="str">
        <f>IF(G178="","",IF(G178&lt;Setup!$C$5-Setup!$C$6,"",IF(IF(ISNUMBER(Roster!$D178),Setup!$C$25&lt;=Roster!$D178,FALSE),"",IF(OR(IF(Setup!$C$15&lt;=Setup!$C$16,AND(MONTH(G178)&gt;=Setup!$C$15,MONTH(G178)&lt;=Setup!$C$16),OR(MONTH(G178)&gt;=Setup!$C$15,MONTH(G178)&lt;=Setup!$C$16)),IF(Setup!$C$15&lt;=Setup!$C$16,AND(MONTH(WORKDAY(G178,-(Setup!$C$13+Setup!$G$25),Setup!$C$39:$C$50))&gt;=Setup!$C$15,MONTH(WORKDAY(G178,-(Setup!$C$13+Setup!$G$25),Setup!$C$39:$C$50))&lt;=Setup!$C$16),OR(MONTH(WORKDAY(G178,-(Setup!$C$13+Setup!$G$25),Setup!$C$39:$C$50))&gt;=Setup!$C$15,MONTH(WORKDAY(G178,-(Setup!$C$13+Setup!$G$25),Setup!$C$39:$C$50))&lt;=Setup!$C$16))),WORKDAY(G178,-(Setup!$C$13+Setup!$G$25+Setup!$C$14),Setup!$C$39:$C$50),WORKDAY(G178,-(Setup!$C$13+Setup!$G$25),Setup!$C$39:$C$50))+(173*100+6)/10000000)))</f>
        <v/>
      </c>
      <c r="X178" t="str">
        <f>IF(H178="","",IF(H178&lt;Setup!$C$5-Setup!$C$6,"",IF(IF(ISNUMBER(Roster!$D178),Setup!$C$26&lt;=Roster!$D178,FALSE),"",IF(OR(IF(Setup!$C$15&lt;=Setup!$C$16,AND(MONTH(H178)&gt;=Setup!$C$15,MONTH(H178)&lt;=Setup!$C$16),OR(MONTH(H178)&gt;=Setup!$C$15,MONTH(H178)&lt;=Setup!$C$16)),IF(Setup!$C$15&lt;=Setup!$C$16,AND(MONTH(WORKDAY(H178,-(Setup!$C$13+Setup!$G$26),Setup!$C$39:$C$50))&gt;=Setup!$C$15,MONTH(WORKDAY(H178,-(Setup!$C$13+Setup!$G$26),Setup!$C$39:$C$50))&lt;=Setup!$C$16),OR(MONTH(WORKDAY(H178,-(Setup!$C$13+Setup!$G$26),Setup!$C$39:$C$50))&gt;=Setup!$C$15,MONTH(WORKDAY(H178,-(Setup!$C$13+Setup!$G$26),Setup!$C$39:$C$50))&lt;=Setup!$C$16))),WORKDAY(H178,-(Setup!$C$13+Setup!$G$26+Setup!$C$14),Setup!$C$39:$C$50),WORKDAY(H178,-(Setup!$C$13+Setup!$G$26),Setup!$C$39:$C$50))+(173*100+7)/10000000)))</f>
        <v/>
      </c>
      <c r="Y178" t="str">
        <f>IF(I178="","",IF(I178&lt;Setup!$C$5-Setup!$C$6,"",IF(IF(ISNUMBER(Roster!$D178),Setup!$C$27&lt;=Roster!$D178,FALSE),"",IF(OR(IF(Setup!$C$15&lt;=Setup!$C$16,AND(MONTH(I178)&gt;=Setup!$C$15,MONTH(I178)&lt;=Setup!$C$16),OR(MONTH(I178)&gt;=Setup!$C$15,MONTH(I178)&lt;=Setup!$C$16)),IF(Setup!$C$15&lt;=Setup!$C$16,AND(MONTH(WORKDAY(I178,-(Setup!$C$13+Setup!$G$27),Setup!$C$39:$C$50))&gt;=Setup!$C$15,MONTH(WORKDAY(I178,-(Setup!$C$13+Setup!$G$27),Setup!$C$39:$C$50))&lt;=Setup!$C$16),OR(MONTH(WORKDAY(I178,-(Setup!$C$13+Setup!$G$27),Setup!$C$39:$C$50))&gt;=Setup!$C$15,MONTH(WORKDAY(I178,-(Setup!$C$13+Setup!$G$27),Setup!$C$39:$C$50))&lt;=Setup!$C$16))),WORKDAY(I178,-(Setup!$C$13+Setup!$G$27+Setup!$C$14),Setup!$C$39:$C$50),WORKDAY(I178,-(Setup!$C$13+Setup!$G$27),Setup!$C$39:$C$50))+(173*100+8)/10000000)))</f>
        <v/>
      </c>
      <c r="Z178" t="str">
        <f>IF(J178="","",IF(J178&lt;Setup!$C$5-Setup!$C$6,"",IF(IF(ISNUMBER(Roster!$D178),Setup!$C$28&lt;=Roster!$D178,FALSE),"",IF(OR(IF(Setup!$C$15&lt;=Setup!$C$16,AND(MONTH(J178)&gt;=Setup!$C$15,MONTH(J178)&lt;=Setup!$C$16),OR(MONTH(J178)&gt;=Setup!$C$15,MONTH(J178)&lt;=Setup!$C$16)),IF(Setup!$C$15&lt;=Setup!$C$16,AND(MONTH(WORKDAY(J178,-(Setup!$C$13+Setup!$G$28),Setup!$C$39:$C$50))&gt;=Setup!$C$15,MONTH(WORKDAY(J178,-(Setup!$C$13+Setup!$G$28),Setup!$C$39:$C$50))&lt;=Setup!$C$16),OR(MONTH(WORKDAY(J178,-(Setup!$C$13+Setup!$G$28),Setup!$C$39:$C$50))&gt;=Setup!$C$15,MONTH(WORKDAY(J178,-(Setup!$C$13+Setup!$G$28),Setup!$C$39:$C$50))&lt;=Setup!$C$16))),WORKDAY(J178,-(Setup!$C$13+Setup!$G$28+Setup!$C$14),Setup!$C$39:$C$50),WORKDAY(J178,-(Setup!$C$13+Setup!$G$28),Setup!$C$39:$C$50))+(173*100+9)/10000000)))</f>
        <v/>
      </c>
      <c r="AA178" t="str">
        <f>IF(K178="","",IF(K178&lt;Setup!$C$5-Setup!$C$6,"",IF(IF(ISNUMBER(Roster!$D178),Setup!$C$29&lt;=Roster!$D178,FALSE),"",IF(OR(IF(Setup!$C$15&lt;=Setup!$C$16,AND(MONTH(K178)&gt;=Setup!$C$15,MONTH(K178)&lt;=Setup!$C$16),OR(MONTH(K178)&gt;=Setup!$C$15,MONTH(K178)&lt;=Setup!$C$16)),IF(Setup!$C$15&lt;=Setup!$C$16,AND(MONTH(WORKDAY(K178,-(Setup!$C$13+Setup!$G$29),Setup!$C$39:$C$50))&gt;=Setup!$C$15,MONTH(WORKDAY(K178,-(Setup!$C$13+Setup!$G$29),Setup!$C$39:$C$50))&lt;=Setup!$C$16),OR(MONTH(WORKDAY(K178,-(Setup!$C$13+Setup!$G$29),Setup!$C$39:$C$50))&gt;=Setup!$C$15,MONTH(WORKDAY(K178,-(Setup!$C$13+Setup!$G$29),Setup!$C$39:$C$50))&lt;=Setup!$C$16))),WORKDAY(K178,-(Setup!$C$13+Setup!$G$29+Setup!$C$14),Setup!$C$39:$C$50),WORKDAY(K178,-(Setup!$C$13+Setup!$G$29),Setup!$C$39:$C$50))+(173*100+10)/10000000)))</f>
        <v/>
      </c>
      <c r="AB178" t="str">
        <f>IF(L178="","",IF(L178&lt;Setup!$C$5-Setup!$C$6,"",IF(IF(ISNUMBER(Roster!$D178),Setup!$C$30&lt;=Roster!$D178,FALSE),"",IF(OR(IF(Setup!$C$15&lt;=Setup!$C$16,AND(MONTH(L178)&gt;=Setup!$C$15,MONTH(L178)&lt;=Setup!$C$16),OR(MONTH(L178)&gt;=Setup!$C$15,MONTH(L178)&lt;=Setup!$C$16)),IF(Setup!$C$15&lt;=Setup!$C$16,AND(MONTH(WORKDAY(L178,-(Setup!$C$13+Setup!$G$30),Setup!$C$39:$C$50))&gt;=Setup!$C$15,MONTH(WORKDAY(L178,-(Setup!$C$13+Setup!$G$30),Setup!$C$39:$C$50))&lt;=Setup!$C$16),OR(MONTH(WORKDAY(L178,-(Setup!$C$13+Setup!$G$30),Setup!$C$39:$C$50))&gt;=Setup!$C$15,MONTH(WORKDAY(L178,-(Setup!$C$13+Setup!$G$30),Setup!$C$39:$C$50))&lt;=Setup!$C$16))),WORKDAY(L178,-(Setup!$C$13+Setup!$G$30+Setup!$C$14),Setup!$C$39:$C$50),WORKDAY(L178,-(Setup!$C$13+Setup!$G$30),Setup!$C$39:$C$50))+(173*100+11)/10000000)))</f>
        <v/>
      </c>
      <c r="AC178" t="str">
        <f>IF(M178="","",IF(M178&lt;Setup!$C$5-Setup!$C$6,"",IF(IF(ISNUMBER(Roster!$D178),Setup!$C$31&lt;=Roster!$D178,FALSE),"",IF(OR(IF(Setup!$C$15&lt;=Setup!$C$16,AND(MONTH(M178)&gt;=Setup!$C$15,MONTH(M178)&lt;=Setup!$C$16),OR(MONTH(M178)&gt;=Setup!$C$15,MONTH(M178)&lt;=Setup!$C$16)),IF(Setup!$C$15&lt;=Setup!$C$16,AND(MONTH(WORKDAY(M178,-(Setup!$C$13+Setup!$G$31),Setup!$C$39:$C$50))&gt;=Setup!$C$15,MONTH(WORKDAY(M178,-(Setup!$C$13+Setup!$G$31),Setup!$C$39:$C$50))&lt;=Setup!$C$16),OR(MONTH(WORKDAY(M178,-(Setup!$C$13+Setup!$G$31),Setup!$C$39:$C$50))&gt;=Setup!$C$15,MONTH(WORKDAY(M178,-(Setup!$C$13+Setup!$G$31),Setup!$C$39:$C$50))&lt;=Setup!$C$16))),WORKDAY(M178,-(Setup!$C$13+Setup!$G$31+Setup!$C$14),Setup!$C$39:$C$50),WORKDAY(M178,-(Setup!$C$13+Setup!$G$31),Setup!$C$39:$C$50))+(173*100+12)/10000000)))</f>
        <v/>
      </c>
      <c r="AD178" t="str">
        <f>IF(N178="","",IF(N178&lt;Setup!$C$5-Setup!$C$6,"",IF(IF(ISNUMBER(Roster!$D178),Setup!$C$32&lt;=Roster!$D178,FALSE),"",IF(OR(IF(Setup!$C$15&lt;=Setup!$C$16,AND(MONTH(N178)&gt;=Setup!$C$15,MONTH(N178)&lt;=Setup!$C$16),OR(MONTH(N178)&gt;=Setup!$C$15,MONTH(N178)&lt;=Setup!$C$16)),IF(Setup!$C$15&lt;=Setup!$C$16,AND(MONTH(WORKDAY(N178,-(Setup!$C$13+Setup!$G$32),Setup!$C$39:$C$50))&gt;=Setup!$C$15,MONTH(WORKDAY(N178,-(Setup!$C$13+Setup!$G$32),Setup!$C$39:$C$50))&lt;=Setup!$C$16),OR(MONTH(WORKDAY(N178,-(Setup!$C$13+Setup!$G$32),Setup!$C$39:$C$50))&gt;=Setup!$C$15,MONTH(WORKDAY(N178,-(Setup!$C$13+Setup!$G$32),Setup!$C$39:$C$50))&lt;=Setup!$C$16))),WORKDAY(N178,-(Setup!$C$13+Setup!$G$32+Setup!$C$14),Setup!$C$39:$C$50),WORKDAY(N178,-(Setup!$C$13+Setup!$G$32),Setup!$C$39:$C$50))+(173*100+13)/10000000)))</f>
        <v/>
      </c>
      <c r="AE178" t="str">
        <f>IF(O178="","",IF(O178&lt;Setup!$C$5-Setup!$C$6,"",IF(IF(ISNUMBER(Roster!$D178),Setup!$C$33&lt;=Roster!$D178,FALSE),"",IF(OR(IF(Setup!$C$15&lt;=Setup!$C$16,AND(MONTH(O178)&gt;=Setup!$C$15,MONTH(O178)&lt;=Setup!$C$16),OR(MONTH(O178)&gt;=Setup!$C$15,MONTH(O178)&lt;=Setup!$C$16)),IF(Setup!$C$15&lt;=Setup!$C$16,AND(MONTH(WORKDAY(O178,-(Setup!$C$13+Setup!$G$33),Setup!$C$39:$C$50))&gt;=Setup!$C$15,MONTH(WORKDAY(O178,-(Setup!$C$13+Setup!$G$33),Setup!$C$39:$C$50))&lt;=Setup!$C$16),OR(MONTH(WORKDAY(O178,-(Setup!$C$13+Setup!$G$33),Setup!$C$39:$C$50))&gt;=Setup!$C$15,MONTH(WORKDAY(O178,-(Setup!$C$13+Setup!$G$33),Setup!$C$39:$C$50))&lt;=Setup!$C$16))),WORKDAY(O178,-(Setup!$C$13+Setup!$G$33+Setup!$C$14),Setup!$C$39:$C$50),WORKDAY(O178,-(Setup!$C$13+Setup!$G$33),Setup!$C$39:$C$50))+(173*100+14)/10000000)))</f>
        <v/>
      </c>
      <c r="AF178" t="str">
        <f>IF(P178="","",IF(P178&lt;Setup!$C$5-Setup!$C$6,"",IF(IF(ISNUMBER(Roster!$D178),Setup!$C$34&lt;=Roster!$D178,FALSE),"",IF(OR(IF(Setup!$C$15&lt;=Setup!$C$16,AND(MONTH(P178)&gt;=Setup!$C$15,MONTH(P178)&lt;=Setup!$C$16),OR(MONTH(P178)&gt;=Setup!$C$15,MONTH(P178)&lt;=Setup!$C$16)),IF(Setup!$C$15&lt;=Setup!$C$16,AND(MONTH(WORKDAY(P178,-(Setup!$C$13+Setup!$G$34),Setup!$C$39:$C$50))&gt;=Setup!$C$15,MONTH(WORKDAY(P178,-(Setup!$C$13+Setup!$G$34),Setup!$C$39:$C$50))&lt;=Setup!$C$16),OR(MONTH(WORKDAY(P178,-(Setup!$C$13+Setup!$G$34),Setup!$C$39:$C$50))&gt;=Setup!$C$15,MONTH(WORKDAY(P178,-(Setup!$C$13+Setup!$G$34),Setup!$C$39:$C$50))&lt;=Setup!$C$16))),WORKDAY(P178,-(Setup!$C$13+Setup!$G$34+Setup!$C$14),Setup!$C$39:$C$50),WORKDAY(P178,-(Setup!$C$13+Setup!$G$34),Setup!$C$39:$C$50))+(173*100+15)/10000000)))</f>
        <v/>
      </c>
      <c r="AH178" t="str">
        <f t="shared" si="17"/>
        <v/>
      </c>
      <c r="AI178" t="str">
        <f t="shared" si="18"/>
        <v/>
      </c>
      <c r="AK178" t="str">
        <f ca="1">IF(173&gt;$AK$2,"",SMALL($R$6:$AF$505,173))</f>
        <v/>
      </c>
      <c r="AL178" t="str">
        <f t="shared" ca="1" si="19"/>
        <v/>
      </c>
      <c r="AM178" t="str">
        <f t="shared" ca="1" si="20"/>
        <v/>
      </c>
      <c r="AN178" t="str">
        <f t="shared" ca="1" si="21"/>
        <v/>
      </c>
      <c r="AP178" t="str">
        <f>IF(ISNUMBER(Roster!$B178),MAX(1,YEAR(Setup!$C$5)-YEAR(Roster!$B178)+IF(EDATE(Roster!$B178,12*(YEAR(Setup!$C$5)-YEAR(Roster!$B178)))&lt;Setup!$C$5,1,0)),"")</f>
        <v/>
      </c>
      <c r="AQ178" s="32" t="str">
        <f>IF(AP178="","",EDATE(Roster!$B178,12*AP178))</f>
        <v/>
      </c>
      <c r="AR178" t="str">
        <f>IF(AQ178="","",IF(AQ178&lt;DATE(YEAR(Setup!$C$5)+1,MONTH(Setup!$C$5),DAY(Setup!$C$5)),AQ178+173/1000,""))</f>
        <v/>
      </c>
      <c r="AS178" t="str">
        <f t="shared" si="22"/>
        <v/>
      </c>
      <c r="AT178" t="str">
        <f>IF(AS178="","",IF(ISNUMBER(Roster!$D178),Roster!$D178&gt;=AP178,FALSE))</f>
        <v/>
      </c>
      <c r="AU178" t="str">
        <f t="shared" si="23"/>
        <v/>
      </c>
      <c r="AV178" t="str">
        <f ca="1">IF(173&gt;$AV$2,"",SMALL($AR$6:$AR$505,173))</f>
        <v/>
      </c>
      <c r="AW178" t="str">
        <f t="shared" ca="1" si="24"/>
        <v/>
      </c>
    </row>
    <row r="179" spans="2:49" x14ac:dyDescent="0.2">
      <c r="B179" s="32" t="str">
        <f>IF(AND(ISNUMBER(Roster!$B179),Setup!$B$20="Yes",ISNUMBER(Setup!$C$20)),EDATE(Roster!$B179,12*Setup!$C$20),"")</f>
        <v/>
      </c>
      <c r="C179" s="32" t="str">
        <f>IF(AND(ISNUMBER(Roster!$B179),Setup!$B$21="Yes",ISNUMBER(Setup!$C$21)),EDATE(Roster!$B179,12*Setup!$C$21),"")</f>
        <v/>
      </c>
      <c r="D179" s="32" t="str">
        <f>IF(AND(ISNUMBER(Roster!$B179),Setup!$B$22="Yes",ISNUMBER(Setup!$C$22)),EDATE(Roster!$B179,12*Setup!$C$22),"")</f>
        <v/>
      </c>
      <c r="E179" s="32" t="str">
        <f>IF(AND(ISNUMBER(Roster!$B179),Setup!$B$23="Yes",ISNUMBER(Setup!$C$23)),EDATE(Roster!$B179,12*Setup!$C$23),"")</f>
        <v/>
      </c>
      <c r="F179" s="32" t="str">
        <f>IF(AND(ISNUMBER(Roster!$B179),Setup!$B$24="Yes",ISNUMBER(Setup!$C$24)),EDATE(Roster!$B179,12*Setup!$C$24),"")</f>
        <v/>
      </c>
      <c r="G179" s="32" t="str">
        <f>IF(AND(ISNUMBER(Roster!$B179),Setup!$B$25="Yes",ISNUMBER(Setup!$C$25)),EDATE(Roster!$B179,12*Setup!$C$25),"")</f>
        <v/>
      </c>
      <c r="H179" s="32" t="str">
        <f>IF(AND(ISNUMBER(Roster!$B179),Setup!$B$26="Yes",ISNUMBER(Setup!$C$26)),EDATE(Roster!$B179,12*Setup!$C$26),"")</f>
        <v/>
      </c>
      <c r="I179" s="32" t="str">
        <f>IF(AND(ISNUMBER(Roster!$B179),Setup!$B$27="Yes",ISNUMBER(Setup!$C$27)),EDATE(Roster!$B179,12*Setup!$C$27),"")</f>
        <v/>
      </c>
      <c r="J179" s="32" t="str">
        <f>IF(AND(ISNUMBER(Roster!$B179),Setup!$B$28="Yes",ISNUMBER(Setup!$C$28)),EDATE(Roster!$B179,12*Setup!$C$28),"")</f>
        <v/>
      </c>
      <c r="K179" s="32" t="str">
        <f>IF(AND(ISNUMBER(Roster!$B179),Setup!$B$29="Yes",ISNUMBER(Setup!$C$29)),EDATE(Roster!$B179,12*Setup!$C$29),"")</f>
        <v/>
      </c>
      <c r="L179" s="32" t="str">
        <f>IF(AND(ISNUMBER(Roster!$B179),Setup!$B$30="Yes",ISNUMBER(Setup!$C$30)),EDATE(Roster!$B179,12*Setup!$C$30),"")</f>
        <v/>
      </c>
      <c r="M179" s="32" t="str">
        <f>IF(AND(ISNUMBER(Roster!$B179),Setup!$B$31="Yes",ISNUMBER(Setup!$C$31)),EDATE(Roster!$B179,12*Setup!$C$31),"")</f>
        <v/>
      </c>
      <c r="N179" s="32" t="str">
        <f>IF(AND(ISNUMBER(Roster!$B179),Setup!$B$32="Yes",ISNUMBER(Setup!$C$32)),EDATE(Roster!$B179,12*Setup!$C$32),"")</f>
        <v/>
      </c>
      <c r="O179" s="32" t="str">
        <f>IF(AND(ISNUMBER(Roster!$B179),Setup!$B$33="Yes",ISNUMBER(Setup!$C$33)),EDATE(Roster!$B179,12*Setup!$C$33),"")</f>
        <v/>
      </c>
      <c r="P179" s="32" t="str">
        <f>IF(AND(ISNUMBER(Roster!$B179),Setup!$B$34="Yes",ISNUMBER(Setup!$C$34)),EDATE(Roster!$B179,12*Setup!$C$34),"")</f>
        <v/>
      </c>
      <c r="R179" t="str">
        <f>IF(B179="","",IF(B179&lt;Setup!$C$5-Setup!$C$6,"",IF(IF(ISNUMBER(Roster!$D179),Setup!$C$20&lt;=Roster!$D179,FALSE),"",IF(OR(IF(Setup!$C$15&lt;=Setup!$C$16,AND(MONTH(B179)&gt;=Setup!$C$15,MONTH(B179)&lt;=Setup!$C$16),OR(MONTH(B179)&gt;=Setup!$C$15,MONTH(B179)&lt;=Setup!$C$16)),IF(Setup!$C$15&lt;=Setup!$C$16,AND(MONTH(WORKDAY(B179,-(Setup!$C$13+Setup!$G$20),Setup!$C$39:$C$50))&gt;=Setup!$C$15,MONTH(WORKDAY(B179,-(Setup!$C$13+Setup!$G$20),Setup!$C$39:$C$50))&lt;=Setup!$C$16),OR(MONTH(WORKDAY(B179,-(Setup!$C$13+Setup!$G$20),Setup!$C$39:$C$50))&gt;=Setup!$C$15,MONTH(WORKDAY(B179,-(Setup!$C$13+Setup!$G$20),Setup!$C$39:$C$50))&lt;=Setup!$C$16))),WORKDAY(B179,-(Setup!$C$13+Setup!$G$20+Setup!$C$14),Setup!$C$39:$C$50),WORKDAY(B179,-(Setup!$C$13+Setup!$G$20),Setup!$C$39:$C$50))+(174*100+1)/10000000)))</f>
        <v/>
      </c>
      <c r="S179" t="str">
        <f>IF(C179="","",IF(C179&lt;Setup!$C$5-Setup!$C$6,"",IF(IF(ISNUMBER(Roster!$D179),Setup!$C$21&lt;=Roster!$D179,FALSE),"",IF(OR(IF(Setup!$C$15&lt;=Setup!$C$16,AND(MONTH(C179)&gt;=Setup!$C$15,MONTH(C179)&lt;=Setup!$C$16),OR(MONTH(C179)&gt;=Setup!$C$15,MONTH(C179)&lt;=Setup!$C$16)),IF(Setup!$C$15&lt;=Setup!$C$16,AND(MONTH(WORKDAY(C179,-(Setup!$C$13+Setup!$G$21),Setup!$C$39:$C$50))&gt;=Setup!$C$15,MONTH(WORKDAY(C179,-(Setup!$C$13+Setup!$G$21),Setup!$C$39:$C$50))&lt;=Setup!$C$16),OR(MONTH(WORKDAY(C179,-(Setup!$C$13+Setup!$G$21),Setup!$C$39:$C$50))&gt;=Setup!$C$15,MONTH(WORKDAY(C179,-(Setup!$C$13+Setup!$G$21),Setup!$C$39:$C$50))&lt;=Setup!$C$16))),WORKDAY(C179,-(Setup!$C$13+Setup!$G$21+Setup!$C$14),Setup!$C$39:$C$50),WORKDAY(C179,-(Setup!$C$13+Setup!$G$21),Setup!$C$39:$C$50))+(174*100+2)/10000000)))</f>
        <v/>
      </c>
      <c r="T179" t="str">
        <f>IF(D179="","",IF(D179&lt;Setup!$C$5-Setup!$C$6,"",IF(IF(ISNUMBER(Roster!$D179),Setup!$C$22&lt;=Roster!$D179,FALSE),"",IF(OR(IF(Setup!$C$15&lt;=Setup!$C$16,AND(MONTH(D179)&gt;=Setup!$C$15,MONTH(D179)&lt;=Setup!$C$16),OR(MONTH(D179)&gt;=Setup!$C$15,MONTH(D179)&lt;=Setup!$C$16)),IF(Setup!$C$15&lt;=Setup!$C$16,AND(MONTH(WORKDAY(D179,-(Setup!$C$13+Setup!$G$22),Setup!$C$39:$C$50))&gt;=Setup!$C$15,MONTH(WORKDAY(D179,-(Setup!$C$13+Setup!$G$22),Setup!$C$39:$C$50))&lt;=Setup!$C$16),OR(MONTH(WORKDAY(D179,-(Setup!$C$13+Setup!$G$22),Setup!$C$39:$C$50))&gt;=Setup!$C$15,MONTH(WORKDAY(D179,-(Setup!$C$13+Setup!$G$22),Setup!$C$39:$C$50))&lt;=Setup!$C$16))),WORKDAY(D179,-(Setup!$C$13+Setup!$G$22+Setup!$C$14),Setup!$C$39:$C$50),WORKDAY(D179,-(Setup!$C$13+Setup!$G$22),Setup!$C$39:$C$50))+(174*100+3)/10000000)))</f>
        <v/>
      </c>
      <c r="U179" t="str">
        <f>IF(E179="","",IF(E179&lt;Setup!$C$5-Setup!$C$6,"",IF(IF(ISNUMBER(Roster!$D179),Setup!$C$23&lt;=Roster!$D179,FALSE),"",IF(OR(IF(Setup!$C$15&lt;=Setup!$C$16,AND(MONTH(E179)&gt;=Setup!$C$15,MONTH(E179)&lt;=Setup!$C$16),OR(MONTH(E179)&gt;=Setup!$C$15,MONTH(E179)&lt;=Setup!$C$16)),IF(Setup!$C$15&lt;=Setup!$C$16,AND(MONTH(WORKDAY(E179,-(Setup!$C$13+Setup!$G$23),Setup!$C$39:$C$50))&gt;=Setup!$C$15,MONTH(WORKDAY(E179,-(Setup!$C$13+Setup!$G$23),Setup!$C$39:$C$50))&lt;=Setup!$C$16),OR(MONTH(WORKDAY(E179,-(Setup!$C$13+Setup!$G$23),Setup!$C$39:$C$50))&gt;=Setup!$C$15,MONTH(WORKDAY(E179,-(Setup!$C$13+Setup!$G$23),Setup!$C$39:$C$50))&lt;=Setup!$C$16))),WORKDAY(E179,-(Setup!$C$13+Setup!$G$23+Setup!$C$14),Setup!$C$39:$C$50),WORKDAY(E179,-(Setup!$C$13+Setup!$G$23),Setup!$C$39:$C$50))+(174*100+4)/10000000)))</f>
        <v/>
      </c>
      <c r="V179" t="str">
        <f>IF(F179="","",IF(F179&lt;Setup!$C$5-Setup!$C$6,"",IF(IF(ISNUMBER(Roster!$D179),Setup!$C$24&lt;=Roster!$D179,FALSE),"",IF(OR(IF(Setup!$C$15&lt;=Setup!$C$16,AND(MONTH(F179)&gt;=Setup!$C$15,MONTH(F179)&lt;=Setup!$C$16),OR(MONTH(F179)&gt;=Setup!$C$15,MONTH(F179)&lt;=Setup!$C$16)),IF(Setup!$C$15&lt;=Setup!$C$16,AND(MONTH(WORKDAY(F179,-(Setup!$C$13+Setup!$G$24),Setup!$C$39:$C$50))&gt;=Setup!$C$15,MONTH(WORKDAY(F179,-(Setup!$C$13+Setup!$G$24),Setup!$C$39:$C$50))&lt;=Setup!$C$16),OR(MONTH(WORKDAY(F179,-(Setup!$C$13+Setup!$G$24),Setup!$C$39:$C$50))&gt;=Setup!$C$15,MONTH(WORKDAY(F179,-(Setup!$C$13+Setup!$G$24),Setup!$C$39:$C$50))&lt;=Setup!$C$16))),WORKDAY(F179,-(Setup!$C$13+Setup!$G$24+Setup!$C$14),Setup!$C$39:$C$50),WORKDAY(F179,-(Setup!$C$13+Setup!$G$24),Setup!$C$39:$C$50))+(174*100+5)/10000000)))</f>
        <v/>
      </c>
      <c r="W179" t="str">
        <f>IF(G179="","",IF(G179&lt;Setup!$C$5-Setup!$C$6,"",IF(IF(ISNUMBER(Roster!$D179),Setup!$C$25&lt;=Roster!$D179,FALSE),"",IF(OR(IF(Setup!$C$15&lt;=Setup!$C$16,AND(MONTH(G179)&gt;=Setup!$C$15,MONTH(G179)&lt;=Setup!$C$16),OR(MONTH(G179)&gt;=Setup!$C$15,MONTH(G179)&lt;=Setup!$C$16)),IF(Setup!$C$15&lt;=Setup!$C$16,AND(MONTH(WORKDAY(G179,-(Setup!$C$13+Setup!$G$25),Setup!$C$39:$C$50))&gt;=Setup!$C$15,MONTH(WORKDAY(G179,-(Setup!$C$13+Setup!$G$25),Setup!$C$39:$C$50))&lt;=Setup!$C$16),OR(MONTH(WORKDAY(G179,-(Setup!$C$13+Setup!$G$25),Setup!$C$39:$C$50))&gt;=Setup!$C$15,MONTH(WORKDAY(G179,-(Setup!$C$13+Setup!$G$25),Setup!$C$39:$C$50))&lt;=Setup!$C$16))),WORKDAY(G179,-(Setup!$C$13+Setup!$G$25+Setup!$C$14),Setup!$C$39:$C$50),WORKDAY(G179,-(Setup!$C$13+Setup!$G$25),Setup!$C$39:$C$50))+(174*100+6)/10000000)))</f>
        <v/>
      </c>
      <c r="X179" t="str">
        <f>IF(H179="","",IF(H179&lt;Setup!$C$5-Setup!$C$6,"",IF(IF(ISNUMBER(Roster!$D179),Setup!$C$26&lt;=Roster!$D179,FALSE),"",IF(OR(IF(Setup!$C$15&lt;=Setup!$C$16,AND(MONTH(H179)&gt;=Setup!$C$15,MONTH(H179)&lt;=Setup!$C$16),OR(MONTH(H179)&gt;=Setup!$C$15,MONTH(H179)&lt;=Setup!$C$16)),IF(Setup!$C$15&lt;=Setup!$C$16,AND(MONTH(WORKDAY(H179,-(Setup!$C$13+Setup!$G$26),Setup!$C$39:$C$50))&gt;=Setup!$C$15,MONTH(WORKDAY(H179,-(Setup!$C$13+Setup!$G$26),Setup!$C$39:$C$50))&lt;=Setup!$C$16),OR(MONTH(WORKDAY(H179,-(Setup!$C$13+Setup!$G$26),Setup!$C$39:$C$50))&gt;=Setup!$C$15,MONTH(WORKDAY(H179,-(Setup!$C$13+Setup!$G$26),Setup!$C$39:$C$50))&lt;=Setup!$C$16))),WORKDAY(H179,-(Setup!$C$13+Setup!$G$26+Setup!$C$14),Setup!$C$39:$C$50),WORKDAY(H179,-(Setup!$C$13+Setup!$G$26),Setup!$C$39:$C$50))+(174*100+7)/10000000)))</f>
        <v/>
      </c>
      <c r="Y179" t="str">
        <f>IF(I179="","",IF(I179&lt;Setup!$C$5-Setup!$C$6,"",IF(IF(ISNUMBER(Roster!$D179),Setup!$C$27&lt;=Roster!$D179,FALSE),"",IF(OR(IF(Setup!$C$15&lt;=Setup!$C$16,AND(MONTH(I179)&gt;=Setup!$C$15,MONTH(I179)&lt;=Setup!$C$16),OR(MONTH(I179)&gt;=Setup!$C$15,MONTH(I179)&lt;=Setup!$C$16)),IF(Setup!$C$15&lt;=Setup!$C$16,AND(MONTH(WORKDAY(I179,-(Setup!$C$13+Setup!$G$27),Setup!$C$39:$C$50))&gt;=Setup!$C$15,MONTH(WORKDAY(I179,-(Setup!$C$13+Setup!$G$27),Setup!$C$39:$C$50))&lt;=Setup!$C$16),OR(MONTH(WORKDAY(I179,-(Setup!$C$13+Setup!$G$27),Setup!$C$39:$C$50))&gt;=Setup!$C$15,MONTH(WORKDAY(I179,-(Setup!$C$13+Setup!$G$27),Setup!$C$39:$C$50))&lt;=Setup!$C$16))),WORKDAY(I179,-(Setup!$C$13+Setup!$G$27+Setup!$C$14),Setup!$C$39:$C$50),WORKDAY(I179,-(Setup!$C$13+Setup!$G$27),Setup!$C$39:$C$50))+(174*100+8)/10000000)))</f>
        <v/>
      </c>
      <c r="Z179" t="str">
        <f>IF(J179="","",IF(J179&lt;Setup!$C$5-Setup!$C$6,"",IF(IF(ISNUMBER(Roster!$D179),Setup!$C$28&lt;=Roster!$D179,FALSE),"",IF(OR(IF(Setup!$C$15&lt;=Setup!$C$16,AND(MONTH(J179)&gt;=Setup!$C$15,MONTH(J179)&lt;=Setup!$C$16),OR(MONTH(J179)&gt;=Setup!$C$15,MONTH(J179)&lt;=Setup!$C$16)),IF(Setup!$C$15&lt;=Setup!$C$16,AND(MONTH(WORKDAY(J179,-(Setup!$C$13+Setup!$G$28),Setup!$C$39:$C$50))&gt;=Setup!$C$15,MONTH(WORKDAY(J179,-(Setup!$C$13+Setup!$G$28),Setup!$C$39:$C$50))&lt;=Setup!$C$16),OR(MONTH(WORKDAY(J179,-(Setup!$C$13+Setup!$G$28),Setup!$C$39:$C$50))&gt;=Setup!$C$15,MONTH(WORKDAY(J179,-(Setup!$C$13+Setup!$G$28),Setup!$C$39:$C$50))&lt;=Setup!$C$16))),WORKDAY(J179,-(Setup!$C$13+Setup!$G$28+Setup!$C$14),Setup!$C$39:$C$50),WORKDAY(J179,-(Setup!$C$13+Setup!$G$28),Setup!$C$39:$C$50))+(174*100+9)/10000000)))</f>
        <v/>
      </c>
      <c r="AA179" t="str">
        <f>IF(K179="","",IF(K179&lt;Setup!$C$5-Setup!$C$6,"",IF(IF(ISNUMBER(Roster!$D179),Setup!$C$29&lt;=Roster!$D179,FALSE),"",IF(OR(IF(Setup!$C$15&lt;=Setup!$C$16,AND(MONTH(K179)&gt;=Setup!$C$15,MONTH(K179)&lt;=Setup!$C$16),OR(MONTH(K179)&gt;=Setup!$C$15,MONTH(K179)&lt;=Setup!$C$16)),IF(Setup!$C$15&lt;=Setup!$C$16,AND(MONTH(WORKDAY(K179,-(Setup!$C$13+Setup!$G$29),Setup!$C$39:$C$50))&gt;=Setup!$C$15,MONTH(WORKDAY(K179,-(Setup!$C$13+Setup!$G$29),Setup!$C$39:$C$50))&lt;=Setup!$C$16),OR(MONTH(WORKDAY(K179,-(Setup!$C$13+Setup!$G$29),Setup!$C$39:$C$50))&gt;=Setup!$C$15,MONTH(WORKDAY(K179,-(Setup!$C$13+Setup!$G$29),Setup!$C$39:$C$50))&lt;=Setup!$C$16))),WORKDAY(K179,-(Setup!$C$13+Setup!$G$29+Setup!$C$14),Setup!$C$39:$C$50),WORKDAY(K179,-(Setup!$C$13+Setup!$G$29),Setup!$C$39:$C$50))+(174*100+10)/10000000)))</f>
        <v/>
      </c>
      <c r="AB179" t="str">
        <f>IF(L179="","",IF(L179&lt;Setup!$C$5-Setup!$C$6,"",IF(IF(ISNUMBER(Roster!$D179),Setup!$C$30&lt;=Roster!$D179,FALSE),"",IF(OR(IF(Setup!$C$15&lt;=Setup!$C$16,AND(MONTH(L179)&gt;=Setup!$C$15,MONTH(L179)&lt;=Setup!$C$16),OR(MONTH(L179)&gt;=Setup!$C$15,MONTH(L179)&lt;=Setup!$C$16)),IF(Setup!$C$15&lt;=Setup!$C$16,AND(MONTH(WORKDAY(L179,-(Setup!$C$13+Setup!$G$30),Setup!$C$39:$C$50))&gt;=Setup!$C$15,MONTH(WORKDAY(L179,-(Setup!$C$13+Setup!$G$30),Setup!$C$39:$C$50))&lt;=Setup!$C$16),OR(MONTH(WORKDAY(L179,-(Setup!$C$13+Setup!$G$30),Setup!$C$39:$C$50))&gt;=Setup!$C$15,MONTH(WORKDAY(L179,-(Setup!$C$13+Setup!$G$30),Setup!$C$39:$C$50))&lt;=Setup!$C$16))),WORKDAY(L179,-(Setup!$C$13+Setup!$G$30+Setup!$C$14),Setup!$C$39:$C$50),WORKDAY(L179,-(Setup!$C$13+Setup!$G$30),Setup!$C$39:$C$50))+(174*100+11)/10000000)))</f>
        <v/>
      </c>
      <c r="AC179" t="str">
        <f>IF(M179="","",IF(M179&lt;Setup!$C$5-Setup!$C$6,"",IF(IF(ISNUMBER(Roster!$D179),Setup!$C$31&lt;=Roster!$D179,FALSE),"",IF(OR(IF(Setup!$C$15&lt;=Setup!$C$16,AND(MONTH(M179)&gt;=Setup!$C$15,MONTH(M179)&lt;=Setup!$C$16),OR(MONTH(M179)&gt;=Setup!$C$15,MONTH(M179)&lt;=Setup!$C$16)),IF(Setup!$C$15&lt;=Setup!$C$16,AND(MONTH(WORKDAY(M179,-(Setup!$C$13+Setup!$G$31),Setup!$C$39:$C$50))&gt;=Setup!$C$15,MONTH(WORKDAY(M179,-(Setup!$C$13+Setup!$G$31),Setup!$C$39:$C$50))&lt;=Setup!$C$16),OR(MONTH(WORKDAY(M179,-(Setup!$C$13+Setup!$G$31),Setup!$C$39:$C$50))&gt;=Setup!$C$15,MONTH(WORKDAY(M179,-(Setup!$C$13+Setup!$G$31),Setup!$C$39:$C$50))&lt;=Setup!$C$16))),WORKDAY(M179,-(Setup!$C$13+Setup!$G$31+Setup!$C$14),Setup!$C$39:$C$50),WORKDAY(M179,-(Setup!$C$13+Setup!$G$31),Setup!$C$39:$C$50))+(174*100+12)/10000000)))</f>
        <v/>
      </c>
      <c r="AD179" t="str">
        <f>IF(N179="","",IF(N179&lt;Setup!$C$5-Setup!$C$6,"",IF(IF(ISNUMBER(Roster!$D179),Setup!$C$32&lt;=Roster!$D179,FALSE),"",IF(OR(IF(Setup!$C$15&lt;=Setup!$C$16,AND(MONTH(N179)&gt;=Setup!$C$15,MONTH(N179)&lt;=Setup!$C$16),OR(MONTH(N179)&gt;=Setup!$C$15,MONTH(N179)&lt;=Setup!$C$16)),IF(Setup!$C$15&lt;=Setup!$C$16,AND(MONTH(WORKDAY(N179,-(Setup!$C$13+Setup!$G$32),Setup!$C$39:$C$50))&gt;=Setup!$C$15,MONTH(WORKDAY(N179,-(Setup!$C$13+Setup!$G$32),Setup!$C$39:$C$50))&lt;=Setup!$C$16),OR(MONTH(WORKDAY(N179,-(Setup!$C$13+Setup!$G$32),Setup!$C$39:$C$50))&gt;=Setup!$C$15,MONTH(WORKDAY(N179,-(Setup!$C$13+Setup!$G$32),Setup!$C$39:$C$50))&lt;=Setup!$C$16))),WORKDAY(N179,-(Setup!$C$13+Setup!$G$32+Setup!$C$14),Setup!$C$39:$C$50),WORKDAY(N179,-(Setup!$C$13+Setup!$G$32),Setup!$C$39:$C$50))+(174*100+13)/10000000)))</f>
        <v/>
      </c>
      <c r="AE179" t="str">
        <f>IF(O179="","",IF(O179&lt;Setup!$C$5-Setup!$C$6,"",IF(IF(ISNUMBER(Roster!$D179),Setup!$C$33&lt;=Roster!$D179,FALSE),"",IF(OR(IF(Setup!$C$15&lt;=Setup!$C$16,AND(MONTH(O179)&gt;=Setup!$C$15,MONTH(O179)&lt;=Setup!$C$16),OR(MONTH(O179)&gt;=Setup!$C$15,MONTH(O179)&lt;=Setup!$C$16)),IF(Setup!$C$15&lt;=Setup!$C$16,AND(MONTH(WORKDAY(O179,-(Setup!$C$13+Setup!$G$33),Setup!$C$39:$C$50))&gt;=Setup!$C$15,MONTH(WORKDAY(O179,-(Setup!$C$13+Setup!$G$33),Setup!$C$39:$C$50))&lt;=Setup!$C$16),OR(MONTH(WORKDAY(O179,-(Setup!$C$13+Setup!$G$33),Setup!$C$39:$C$50))&gt;=Setup!$C$15,MONTH(WORKDAY(O179,-(Setup!$C$13+Setup!$G$33),Setup!$C$39:$C$50))&lt;=Setup!$C$16))),WORKDAY(O179,-(Setup!$C$13+Setup!$G$33+Setup!$C$14),Setup!$C$39:$C$50),WORKDAY(O179,-(Setup!$C$13+Setup!$G$33),Setup!$C$39:$C$50))+(174*100+14)/10000000)))</f>
        <v/>
      </c>
      <c r="AF179" t="str">
        <f>IF(P179="","",IF(P179&lt;Setup!$C$5-Setup!$C$6,"",IF(IF(ISNUMBER(Roster!$D179),Setup!$C$34&lt;=Roster!$D179,FALSE),"",IF(OR(IF(Setup!$C$15&lt;=Setup!$C$16,AND(MONTH(P179)&gt;=Setup!$C$15,MONTH(P179)&lt;=Setup!$C$16),OR(MONTH(P179)&gt;=Setup!$C$15,MONTH(P179)&lt;=Setup!$C$16)),IF(Setup!$C$15&lt;=Setup!$C$16,AND(MONTH(WORKDAY(P179,-(Setup!$C$13+Setup!$G$34),Setup!$C$39:$C$50))&gt;=Setup!$C$15,MONTH(WORKDAY(P179,-(Setup!$C$13+Setup!$G$34),Setup!$C$39:$C$50))&lt;=Setup!$C$16),OR(MONTH(WORKDAY(P179,-(Setup!$C$13+Setup!$G$34),Setup!$C$39:$C$50))&gt;=Setup!$C$15,MONTH(WORKDAY(P179,-(Setup!$C$13+Setup!$G$34),Setup!$C$39:$C$50))&lt;=Setup!$C$16))),WORKDAY(P179,-(Setup!$C$13+Setup!$G$34+Setup!$C$14),Setup!$C$39:$C$50),WORKDAY(P179,-(Setup!$C$13+Setup!$G$34),Setup!$C$39:$C$50))+(174*100+15)/10000000)))</f>
        <v/>
      </c>
      <c r="AH179" t="str">
        <f t="shared" si="17"/>
        <v/>
      </c>
      <c r="AI179" t="str">
        <f t="shared" si="18"/>
        <v/>
      </c>
      <c r="AK179" t="str">
        <f ca="1">IF(174&gt;$AK$2,"",SMALL($R$6:$AF$505,174))</f>
        <v/>
      </c>
      <c r="AL179" t="str">
        <f t="shared" ca="1" si="19"/>
        <v/>
      </c>
      <c r="AM179" t="str">
        <f t="shared" ca="1" si="20"/>
        <v/>
      </c>
      <c r="AN179" t="str">
        <f t="shared" ca="1" si="21"/>
        <v/>
      </c>
      <c r="AP179" t="str">
        <f>IF(ISNUMBER(Roster!$B179),MAX(1,YEAR(Setup!$C$5)-YEAR(Roster!$B179)+IF(EDATE(Roster!$B179,12*(YEAR(Setup!$C$5)-YEAR(Roster!$B179)))&lt;Setup!$C$5,1,0)),"")</f>
        <v/>
      </c>
      <c r="AQ179" s="32" t="str">
        <f>IF(AP179="","",EDATE(Roster!$B179,12*AP179))</f>
        <v/>
      </c>
      <c r="AR179" t="str">
        <f>IF(AQ179="","",IF(AQ179&lt;DATE(YEAR(Setup!$C$5)+1,MONTH(Setup!$C$5),DAY(Setup!$C$5)),AQ179+174/1000,""))</f>
        <v/>
      </c>
      <c r="AS179" t="str">
        <f t="shared" si="22"/>
        <v/>
      </c>
      <c r="AT179" t="str">
        <f>IF(AS179="","",IF(ISNUMBER(Roster!$D179),Roster!$D179&gt;=AP179,FALSE))</f>
        <v/>
      </c>
      <c r="AU179" t="str">
        <f t="shared" si="23"/>
        <v/>
      </c>
      <c r="AV179" t="str">
        <f ca="1">IF(174&gt;$AV$2,"",SMALL($AR$6:$AR$505,174))</f>
        <v/>
      </c>
      <c r="AW179" t="str">
        <f t="shared" ca="1" si="24"/>
        <v/>
      </c>
    </row>
    <row r="180" spans="2:49" x14ac:dyDescent="0.2">
      <c r="B180" s="32" t="str">
        <f>IF(AND(ISNUMBER(Roster!$B180),Setup!$B$20="Yes",ISNUMBER(Setup!$C$20)),EDATE(Roster!$B180,12*Setup!$C$20),"")</f>
        <v/>
      </c>
      <c r="C180" s="32" t="str">
        <f>IF(AND(ISNUMBER(Roster!$B180),Setup!$B$21="Yes",ISNUMBER(Setup!$C$21)),EDATE(Roster!$B180,12*Setup!$C$21),"")</f>
        <v/>
      </c>
      <c r="D180" s="32" t="str">
        <f>IF(AND(ISNUMBER(Roster!$B180),Setup!$B$22="Yes",ISNUMBER(Setup!$C$22)),EDATE(Roster!$B180,12*Setup!$C$22),"")</f>
        <v/>
      </c>
      <c r="E180" s="32" t="str">
        <f>IF(AND(ISNUMBER(Roster!$B180),Setup!$B$23="Yes",ISNUMBER(Setup!$C$23)),EDATE(Roster!$B180,12*Setup!$C$23),"")</f>
        <v/>
      </c>
      <c r="F180" s="32" t="str">
        <f>IF(AND(ISNUMBER(Roster!$B180),Setup!$B$24="Yes",ISNUMBER(Setup!$C$24)),EDATE(Roster!$B180,12*Setup!$C$24),"")</f>
        <v/>
      </c>
      <c r="G180" s="32" t="str">
        <f>IF(AND(ISNUMBER(Roster!$B180),Setup!$B$25="Yes",ISNUMBER(Setup!$C$25)),EDATE(Roster!$B180,12*Setup!$C$25),"")</f>
        <v/>
      </c>
      <c r="H180" s="32" t="str">
        <f>IF(AND(ISNUMBER(Roster!$B180),Setup!$B$26="Yes",ISNUMBER(Setup!$C$26)),EDATE(Roster!$B180,12*Setup!$C$26),"")</f>
        <v/>
      </c>
      <c r="I180" s="32" t="str">
        <f>IF(AND(ISNUMBER(Roster!$B180),Setup!$B$27="Yes",ISNUMBER(Setup!$C$27)),EDATE(Roster!$B180,12*Setup!$C$27),"")</f>
        <v/>
      </c>
      <c r="J180" s="32" t="str">
        <f>IF(AND(ISNUMBER(Roster!$B180),Setup!$B$28="Yes",ISNUMBER(Setup!$C$28)),EDATE(Roster!$B180,12*Setup!$C$28),"")</f>
        <v/>
      </c>
      <c r="K180" s="32" t="str">
        <f>IF(AND(ISNUMBER(Roster!$B180),Setup!$B$29="Yes",ISNUMBER(Setup!$C$29)),EDATE(Roster!$B180,12*Setup!$C$29),"")</f>
        <v/>
      </c>
      <c r="L180" s="32" t="str">
        <f>IF(AND(ISNUMBER(Roster!$B180),Setup!$B$30="Yes",ISNUMBER(Setup!$C$30)),EDATE(Roster!$B180,12*Setup!$C$30),"")</f>
        <v/>
      </c>
      <c r="M180" s="32" t="str">
        <f>IF(AND(ISNUMBER(Roster!$B180),Setup!$B$31="Yes",ISNUMBER(Setup!$C$31)),EDATE(Roster!$B180,12*Setup!$C$31),"")</f>
        <v/>
      </c>
      <c r="N180" s="32" t="str">
        <f>IF(AND(ISNUMBER(Roster!$B180),Setup!$B$32="Yes",ISNUMBER(Setup!$C$32)),EDATE(Roster!$B180,12*Setup!$C$32),"")</f>
        <v/>
      </c>
      <c r="O180" s="32" t="str">
        <f>IF(AND(ISNUMBER(Roster!$B180),Setup!$B$33="Yes",ISNUMBER(Setup!$C$33)),EDATE(Roster!$B180,12*Setup!$C$33),"")</f>
        <v/>
      </c>
      <c r="P180" s="32" t="str">
        <f>IF(AND(ISNUMBER(Roster!$B180),Setup!$B$34="Yes",ISNUMBER(Setup!$C$34)),EDATE(Roster!$B180,12*Setup!$C$34),"")</f>
        <v/>
      </c>
      <c r="R180" t="str">
        <f>IF(B180="","",IF(B180&lt;Setup!$C$5-Setup!$C$6,"",IF(IF(ISNUMBER(Roster!$D180),Setup!$C$20&lt;=Roster!$D180,FALSE),"",IF(OR(IF(Setup!$C$15&lt;=Setup!$C$16,AND(MONTH(B180)&gt;=Setup!$C$15,MONTH(B180)&lt;=Setup!$C$16),OR(MONTH(B180)&gt;=Setup!$C$15,MONTH(B180)&lt;=Setup!$C$16)),IF(Setup!$C$15&lt;=Setup!$C$16,AND(MONTH(WORKDAY(B180,-(Setup!$C$13+Setup!$G$20),Setup!$C$39:$C$50))&gt;=Setup!$C$15,MONTH(WORKDAY(B180,-(Setup!$C$13+Setup!$G$20),Setup!$C$39:$C$50))&lt;=Setup!$C$16),OR(MONTH(WORKDAY(B180,-(Setup!$C$13+Setup!$G$20),Setup!$C$39:$C$50))&gt;=Setup!$C$15,MONTH(WORKDAY(B180,-(Setup!$C$13+Setup!$G$20),Setup!$C$39:$C$50))&lt;=Setup!$C$16))),WORKDAY(B180,-(Setup!$C$13+Setup!$G$20+Setup!$C$14),Setup!$C$39:$C$50),WORKDAY(B180,-(Setup!$C$13+Setup!$G$20),Setup!$C$39:$C$50))+(175*100+1)/10000000)))</f>
        <v/>
      </c>
      <c r="S180" t="str">
        <f>IF(C180="","",IF(C180&lt;Setup!$C$5-Setup!$C$6,"",IF(IF(ISNUMBER(Roster!$D180),Setup!$C$21&lt;=Roster!$D180,FALSE),"",IF(OR(IF(Setup!$C$15&lt;=Setup!$C$16,AND(MONTH(C180)&gt;=Setup!$C$15,MONTH(C180)&lt;=Setup!$C$16),OR(MONTH(C180)&gt;=Setup!$C$15,MONTH(C180)&lt;=Setup!$C$16)),IF(Setup!$C$15&lt;=Setup!$C$16,AND(MONTH(WORKDAY(C180,-(Setup!$C$13+Setup!$G$21),Setup!$C$39:$C$50))&gt;=Setup!$C$15,MONTH(WORKDAY(C180,-(Setup!$C$13+Setup!$G$21),Setup!$C$39:$C$50))&lt;=Setup!$C$16),OR(MONTH(WORKDAY(C180,-(Setup!$C$13+Setup!$G$21),Setup!$C$39:$C$50))&gt;=Setup!$C$15,MONTH(WORKDAY(C180,-(Setup!$C$13+Setup!$G$21),Setup!$C$39:$C$50))&lt;=Setup!$C$16))),WORKDAY(C180,-(Setup!$C$13+Setup!$G$21+Setup!$C$14),Setup!$C$39:$C$50),WORKDAY(C180,-(Setup!$C$13+Setup!$G$21),Setup!$C$39:$C$50))+(175*100+2)/10000000)))</f>
        <v/>
      </c>
      <c r="T180" t="str">
        <f>IF(D180="","",IF(D180&lt;Setup!$C$5-Setup!$C$6,"",IF(IF(ISNUMBER(Roster!$D180),Setup!$C$22&lt;=Roster!$D180,FALSE),"",IF(OR(IF(Setup!$C$15&lt;=Setup!$C$16,AND(MONTH(D180)&gt;=Setup!$C$15,MONTH(D180)&lt;=Setup!$C$16),OR(MONTH(D180)&gt;=Setup!$C$15,MONTH(D180)&lt;=Setup!$C$16)),IF(Setup!$C$15&lt;=Setup!$C$16,AND(MONTH(WORKDAY(D180,-(Setup!$C$13+Setup!$G$22),Setup!$C$39:$C$50))&gt;=Setup!$C$15,MONTH(WORKDAY(D180,-(Setup!$C$13+Setup!$G$22),Setup!$C$39:$C$50))&lt;=Setup!$C$16),OR(MONTH(WORKDAY(D180,-(Setup!$C$13+Setup!$G$22),Setup!$C$39:$C$50))&gt;=Setup!$C$15,MONTH(WORKDAY(D180,-(Setup!$C$13+Setup!$G$22),Setup!$C$39:$C$50))&lt;=Setup!$C$16))),WORKDAY(D180,-(Setup!$C$13+Setup!$G$22+Setup!$C$14),Setup!$C$39:$C$50),WORKDAY(D180,-(Setup!$C$13+Setup!$G$22),Setup!$C$39:$C$50))+(175*100+3)/10000000)))</f>
        <v/>
      </c>
      <c r="U180" t="str">
        <f>IF(E180="","",IF(E180&lt;Setup!$C$5-Setup!$C$6,"",IF(IF(ISNUMBER(Roster!$D180),Setup!$C$23&lt;=Roster!$D180,FALSE),"",IF(OR(IF(Setup!$C$15&lt;=Setup!$C$16,AND(MONTH(E180)&gt;=Setup!$C$15,MONTH(E180)&lt;=Setup!$C$16),OR(MONTH(E180)&gt;=Setup!$C$15,MONTH(E180)&lt;=Setup!$C$16)),IF(Setup!$C$15&lt;=Setup!$C$16,AND(MONTH(WORKDAY(E180,-(Setup!$C$13+Setup!$G$23),Setup!$C$39:$C$50))&gt;=Setup!$C$15,MONTH(WORKDAY(E180,-(Setup!$C$13+Setup!$G$23),Setup!$C$39:$C$50))&lt;=Setup!$C$16),OR(MONTH(WORKDAY(E180,-(Setup!$C$13+Setup!$G$23),Setup!$C$39:$C$50))&gt;=Setup!$C$15,MONTH(WORKDAY(E180,-(Setup!$C$13+Setup!$G$23),Setup!$C$39:$C$50))&lt;=Setup!$C$16))),WORKDAY(E180,-(Setup!$C$13+Setup!$G$23+Setup!$C$14),Setup!$C$39:$C$50),WORKDAY(E180,-(Setup!$C$13+Setup!$G$23),Setup!$C$39:$C$50))+(175*100+4)/10000000)))</f>
        <v/>
      </c>
      <c r="V180" t="str">
        <f>IF(F180="","",IF(F180&lt;Setup!$C$5-Setup!$C$6,"",IF(IF(ISNUMBER(Roster!$D180),Setup!$C$24&lt;=Roster!$D180,FALSE),"",IF(OR(IF(Setup!$C$15&lt;=Setup!$C$16,AND(MONTH(F180)&gt;=Setup!$C$15,MONTH(F180)&lt;=Setup!$C$16),OR(MONTH(F180)&gt;=Setup!$C$15,MONTH(F180)&lt;=Setup!$C$16)),IF(Setup!$C$15&lt;=Setup!$C$16,AND(MONTH(WORKDAY(F180,-(Setup!$C$13+Setup!$G$24),Setup!$C$39:$C$50))&gt;=Setup!$C$15,MONTH(WORKDAY(F180,-(Setup!$C$13+Setup!$G$24),Setup!$C$39:$C$50))&lt;=Setup!$C$16),OR(MONTH(WORKDAY(F180,-(Setup!$C$13+Setup!$G$24),Setup!$C$39:$C$50))&gt;=Setup!$C$15,MONTH(WORKDAY(F180,-(Setup!$C$13+Setup!$G$24),Setup!$C$39:$C$50))&lt;=Setup!$C$16))),WORKDAY(F180,-(Setup!$C$13+Setup!$G$24+Setup!$C$14),Setup!$C$39:$C$50),WORKDAY(F180,-(Setup!$C$13+Setup!$G$24),Setup!$C$39:$C$50))+(175*100+5)/10000000)))</f>
        <v/>
      </c>
      <c r="W180" t="str">
        <f>IF(G180="","",IF(G180&lt;Setup!$C$5-Setup!$C$6,"",IF(IF(ISNUMBER(Roster!$D180),Setup!$C$25&lt;=Roster!$D180,FALSE),"",IF(OR(IF(Setup!$C$15&lt;=Setup!$C$16,AND(MONTH(G180)&gt;=Setup!$C$15,MONTH(G180)&lt;=Setup!$C$16),OR(MONTH(G180)&gt;=Setup!$C$15,MONTH(G180)&lt;=Setup!$C$16)),IF(Setup!$C$15&lt;=Setup!$C$16,AND(MONTH(WORKDAY(G180,-(Setup!$C$13+Setup!$G$25),Setup!$C$39:$C$50))&gt;=Setup!$C$15,MONTH(WORKDAY(G180,-(Setup!$C$13+Setup!$G$25),Setup!$C$39:$C$50))&lt;=Setup!$C$16),OR(MONTH(WORKDAY(G180,-(Setup!$C$13+Setup!$G$25),Setup!$C$39:$C$50))&gt;=Setup!$C$15,MONTH(WORKDAY(G180,-(Setup!$C$13+Setup!$G$25),Setup!$C$39:$C$50))&lt;=Setup!$C$16))),WORKDAY(G180,-(Setup!$C$13+Setup!$G$25+Setup!$C$14),Setup!$C$39:$C$50),WORKDAY(G180,-(Setup!$C$13+Setup!$G$25),Setup!$C$39:$C$50))+(175*100+6)/10000000)))</f>
        <v/>
      </c>
      <c r="X180" t="str">
        <f>IF(H180="","",IF(H180&lt;Setup!$C$5-Setup!$C$6,"",IF(IF(ISNUMBER(Roster!$D180),Setup!$C$26&lt;=Roster!$D180,FALSE),"",IF(OR(IF(Setup!$C$15&lt;=Setup!$C$16,AND(MONTH(H180)&gt;=Setup!$C$15,MONTH(H180)&lt;=Setup!$C$16),OR(MONTH(H180)&gt;=Setup!$C$15,MONTH(H180)&lt;=Setup!$C$16)),IF(Setup!$C$15&lt;=Setup!$C$16,AND(MONTH(WORKDAY(H180,-(Setup!$C$13+Setup!$G$26),Setup!$C$39:$C$50))&gt;=Setup!$C$15,MONTH(WORKDAY(H180,-(Setup!$C$13+Setup!$G$26),Setup!$C$39:$C$50))&lt;=Setup!$C$16),OR(MONTH(WORKDAY(H180,-(Setup!$C$13+Setup!$G$26),Setup!$C$39:$C$50))&gt;=Setup!$C$15,MONTH(WORKDAY(H180,-(Setup!$C$13+Setup!$G$26),Setup!$C$39:$C$50))&lt;=Setup!$C$16))),WORKDAY(H180,-(Setup!$C$13+Setup!$G$26+Setup!$C$14),Setup!$C$39:$C$50),WORKDAY(H180,-(Setup!$C$13+Setup!$G$26),Setup!$C$39:$C$50))+(175*100+7)/10000000)))</f>
        <v/>
      </c>
      <c r="Y180" t="str">
        <f>IF(I180="","",IF(I180&lt;Setup!$C$5-Setup!$C$6,"",IF(IF(ISNUMBER(Roster!$D180),Setup!$C$27&lt;=Roster!$D180,FALSE),"",IF(OR(IF(Setup!$C$15&lt;=Setup!$C$16,AND(MONTH(I180)&gt;=Setup!$C$15,MONTH(I180)&lt;=Setup!$C$16),OR(MONTH(I180)&gt;=Setup!$C$15,MONTH(I180)&lt;=Setup!$C$16)),IF(Setup!$C$15&lt;=Setup!$C$16,AND(MONTH(WORKDAY(I180,-(Setup!$C$13+Setup!$G$27),Setup!$C$39:$C$50))&gt;=Setup!$C$15,MONTH(WORKDAY(I180,-(Setup!$C$13+Setup!$G$27),Setup!$C$39:$C$50))&lt;=Setup!$C$16),OR(MONTH(WORKDAY(I180,-(Setup!$C$13+Setup!$G$27),Setup!$C$39:$C$50))&gt;=Setup!$C$15,MONTH(WORKDAY(I180,-(Setup!$C$13+Setup!$G$27),Setup!$C$39:$C$50))&lt;=Setup!$C$16))),WORKDAY(I180,-(Setup!$C$13+Setup!$G$27+Setup!$C$14),Setup!$C$39:$C$50),WORKDAY(I180,-(Setup!$C$13+Setup!$G$27),Setup!$C$39:$C$50))+(175*100+8)/10000000)))</f>
        <v/>
      </c>
      <c r="Z180" t="str">
        <f>IF(J180="","",IF(J180&lt;Setup!$C$5-Setup!$C$6,"",IF(IF(ISNUMBER(Roster!$D180),Setup!$C$28&lt;=Roster!$D180,FALSE),"",IF(OR(IF(Setup!$C$15&lt;=Setup!$C$16,AND(MONTH(J180)&gt;=Setup!$C$15,MONTH(J180)&lt;=Setup!$C$16),OR(MONTH(J180)&gt;=Setup!$C$15,MONTH(J180)&lt;=Setup!$C$16)),IF(Setup!$C$15&lt;=Setup!$C$16,AND(MONTH(WORKDAY(J180,-(Setup!$C$13+Setup!$G$28),Setup!$C$39:$C$50))&gt;=Setup!$C$15,MONTH(WORKDAY(J180,-(Setup!$C$13+Setup!$G$28),Setup!$C$39:$C$50))&lt;=Setup!$C$16),OR(MONTH(WORKDAY(J180,-(Setup!$C$13+Setup!$G$28),Setup!$C$39:$C$50))&gt;=Setup!$C$15,MONTH(WORKDAY(J180,-(Setup!$C$13+Setup!$G$28),Setup!$C$39:$C$50))&lt;=Setup!$C$16))),WORKDAY(J180,-(Setup!$C$13+Setup!$G$28+Setup!$C$14),Setup!$C$39:$C$50),WORKDAY(J180,-(Setup!$C$13+Setup!$G$28),Setup!$C$39:$C$50))+(175*100+9)/10000000)))</f>
        <v/>
      </c>
      <c r="AA180" t="str">
        <f>IF(K180="","",IF(K180&lt;Setup!$C$5-Setup!$C$6,"",IF(IF(ISNUMBER(Roster!$D180),Setup!$C$29&lt;=Roster!$D180,FALSE),"",IF(OR(IF(Setup!$C$15&lt;=Setup!$C$16,AND(MONTH(K180)&gt;=Setup!$C$15,MONTH(K180)&lt;=Setup!$C$16),OR(MONTH(K180)&gt;=Setup!$C$15,MONTH(K180)&lt;=Setup!$C$16)),IF(Setup!$C$15&lt;=Setup!$C$16,AND(MONTH(WORKDAY(K180,-(Setup!$C$13+Setup!$G$29),Setup!$C$39:$C$50))&gt;=Setup!$C$15,MONTH(WORKDAY(K180,-(Setup!$C$13+Setup!$G$29),Setup!$C$39:$C$50))&lt;=Setup!$C$16),OR(MONTH(WORKDAY(K180,-(Setup!$C$13+Setup!$G$29),Setup!$C$39:$C$50))&gt;=Setup!$C$15,MONTH(WORKDAY(K180,-(Setup!$C$13+Setup!$G$29),Setup!$C$39:$C$50))&lt;=Setup!$C$16))),WORKDAY(K180,-(Setup!$C$13+Setup!$G$29+Setup!$C$14),Setup!$C$39:$C$50),WORKDAY(K180,-(Setup!$C$13+Setup!$G$29),Setup!$C$39:$C$50))+(175*100+10)/10000000)))</f>
        <v/>
      </c>
      <c r="AB180" t="str">
        <f>IF(L180="","",IF(L180&lt;Setup!$C$5-Setup!$C$6,"",IF(IF(ISNUMBER(Roster!$D180),Setup!$C$30&lt;=Roster!$D180,FALSE),"",IF(OR(IF(Setup!$C$15&lt;=Setup!$C$16,AND(MONTH(L180)&gt;=Setup!$C$15,MONTH(L180)&lt;=Setup!$C$16),OR(MONTH(L180)&gt;=Setup!$C$15,MONTH(L180)&lt;=Setup!$C$16)),IF(Setup!$C$15&lt;=Setup!$C$16,AND(MONTH(WORKDAY(L180,-(Setup!$C$13+Setup!$G$30),Setup!$C$39:$C$50))&gt;=Setup!$C$15,MONTH(WORKDAY(L180,-(Setup!$C$13+Setup!$G$30),Setup!$C$39:$C$50))&lt;=Setup!$C$16),OR(MONTH(WORKDAY(L180,-(Setup!$C$13+Setup!$G$30),Setup!$C$39:$C$50))&gt;=Setup!$C$15,MONTH(WORKDAY(L180,-(Setup!$C$13+Setup!$G$30),Setup!$C$39:$C$50))&lt;=Setup!$C$16))),WORKDAY(L180,-(Setup!$C$13+Setup!$G$30+Setup!$C$14),Setup!$C$39:$C$50),WORKDAY(L180,-(Setup!$C$13+Setup!$G$30),Setup!$C$39:$C$50))+(175*100+11)/10000000)))</f>
        <v/>
      </c>
      <c r="AC180" t="str">
        <f>IF(M180="","",IF(M180&lt;Setup!$C$5-Setup!$C$6,"",IF(IF(ISNUMBER(Roster!$D180),Setup!$C$31&lt;=Roster!$D180,FALSE),"",IF(OR(IF(Setup!$C$15&lt;=Setup!$C$16,AND(MONTH(M180)&gt;=Setup!$C$15,MONTH(M180)&lt;=Setup!$C$16),OR(MONTH(M180)&gt;=Setup!$C$15,MONTH(M180)&lt;=Setup!$C$16)),IF(Setup!$C$15&lt;=Setup!$C$16,AND(MONTH(WORKDAY(M180,-(Setup!$C$13+Setup!$G$31),Setup!$C$39:$C$50))&gt;=Setup!$C$15,MONTH(WORKDAY(M180,-(Setup!$C$13+Setup!$G$31),Setup!$C$39:$C$50))&lt;=Setup!$C$16),OR(MONTH(WORKDAY(M180,-(Setup!$C$13+Setup!$G$31),Setup!$C$39:$C$50))&gt;=Setup!$C$15,MONTH(WORKDAY(M180,-(Setup!$C$13+Setup!$G$31),Setup!$C$39:$C$50))&lt;=Setup!$C$16))),WORKDAY(M180,-(Setup!$C$13+Setup!$G$31+Setup!$C$14),Setup!$C$39:$C$50),WORKDAY(M180,-(Setup!$C$13+Setup!$G$31),Setup!$C$39:$C$50))+(175*100+12)/10000000)))</f>
        <v/>
      </c>
      <c r="AD180" t="str">
        <f>IF(N180="","",IF(N180&lt;Setup!$C$5-Setup!$C$6,"",IF(IF(ISNUMBER(Roster!$D180),Setup!$C$32&lt;=Roster!$D180,FALSE),"",IF(OR(IF(Setup!$C$15&lt;=Setup!$C$16,AND(MONTH(N180)&gt;=Setup!$C$15,MONTH(N180)&lt;=Setup!$C$16),OR(MONTH(N180)&gt;=Setup!$C$15,MONTH(N180)&lt;=Setup!$C$16)),IF(Setup!$C$15&lt;=Setup!$C$16,AND(MONTH(WORKDAY(N180,-(Setup!$C$13+Setup!$G$32),Setup!$C$39:$C$50))&gt;=Setup!$C$15,MONTH(WORKDAY(N180,-(Setup!$C$13+Setup!$G$32),Setup!$C$39:$C$50))&lt;=Setup!$C$16),OR(MONTH(WORKDAY(N180,-(Setup!$C$13+Setup!$G$32),Setup!$C$39:$C$50))&gt;=Setup!$C$15,MONTH(WORKDAY(N180,-(Setup!$C$13+Setup!$G$32),Setup!$C$39:$C$50))&lt;=Setup!$C$16))),WORKDAY(N180,-(Setup!$C$13+Setup!$G$32+Setup!$C$14),Setup!$C$39:$C$50),WORKDAY(N180,-(Setup!$C$13+Setup!$G$32),Setup!$C$39:$C$50))+(175*100+13)/10000000)))</f>
        <v/>
      </c>
      <c r="AE180" t="str">
        <f>IF(O180="","",IF(O180&lt;Setup!$C$5-Setup!$C$6,"",IF(IF(ISNUMBER(Roster!$D180),Setup!$C$33&lt;=Roster!$D180,FALSE),"",IF(OR(IF(Setup!$C$15&lt;=Setup!$C$16,AND(MONTH(O180)&gt;=Setup!$C$15,MONTH(O180)&lt;=Setup!$C$16),OR(MONTH(O180)&gt;=Setup!$C$15,MONTH(O180)&lt;=Setup!$C$16)),IF(Setup!$C$15&lt;=Setup!$C$16,AND(MONTH(WORKDAY(O180,-(Setup!$C$13+Setup!$G$33),Setup!$C$39:$C$50))&gt;=Setup!$C$15,MONTH(WORKDAY(O180,-(Setup!$C$13+Setup!$G$33),Setup!$C$39:$C$50))&lt;=Setup!$C$16),OR(MONTH(WORKDAY(O180,-(Setup!$C$13+Setup!$G$33),Setup!$C$39:$C$50))&gt;=Setup!$C$15,MONTH(WORKDAY(O180,-(Setup!$C$13+Setup!$G$33),Setup!$C$39:$C$50))&lt;=Setup!$C$16))),WORKDAY(O180,-(Setup!$C$13+Setup!$G$33+Setup!$C$14),Setup!$C$39:$C$50),WORKDAY(O180,-(Setup!$C$13+Setup!$G$33),Setup!$C$39:$C$50))+(175*100+14)/10000000)))</f>
        <v/>
      </c>
      <c r="AF180" t="str">
        <f>IF(P180="","",IF(P180&lt;Setup!$C$5-Setup!$C$6,"",IF(IF(ISNUMBER(Roster!$D180),Setup!$C$34&lt;=Roster!$D180,FALSE),"",IF(OR(IF(Setup!$C$15&lt;=Setup!$C$16,AND(MONTH(P180)&gt;=Setup!$C$15,MONTH(P180)&lt;=Setup!$C$16),OR(MONTH(P180)&gt;=Setup!$C$15,MONTH(P180)&lt;=Setup!$C$16)),IF(Setup!$C$15&lt;=Setup!$C$16,AND(MONTH(WORKDAY(P180,-(Setup!$C$13+Setup!$G$34),Setup!$C$39:$C$50))&gt;=Setup!$C$15,MONTH(WORKDAY(P180,-(Setup!$C$13+Setup!$G$34),Setup!$C$39:$C$50))&lt;=Setup!$C$16),OR(MONTH(WORKDAY(P180,-(Setup!$C$13+Setup!$G$34),Setup!$C$39:$C$50))&gt;=Setup!$C$15,MONTH(WORKDAY(P180,-(Setup!$C$13+Setup!$G$34),Setup!$C$39:$C$50))&lt;=Setup!$C$16))),WORKDAY(P180,-(Setup!$C$13+Setup!$G$34+Setup!$C$14),Setup!$C$39:$C$50),WORKDAY(P180,-(Setup!$C$13+Setup!$G$34),Setup!$C$39:$C$50))+(175*100+15)/10000000)))</f>
        <v/>
      </c>
      <c r="AH180" t="str">
        <f t="shared" si="17"/>
        <v/>
      </c>
      <c r="AI180" t="str">
        <f t="shared" si="18"/>
        <v/>
      </c>
      <c r="AK180" t="str">
        <f ca="1">IF(175&gt;$AK$2,"",SMALL($R$6:$AF$505,175))</f>
        <v/>
      </c>
      <c r="AL180" t="str">
        <f t="shared" ca="1" si="19"/>
        <v/>
      </c>
      <c r="AM180" t="str">
        <f t="shared" ca="1" si="20"/>
        <v/>
      </c>
      <c r="AN180" t="str">
        <f t="shared" ca="1" si="21"/>
        <v/>
      </c>
      <c r="AP180" t="str">
        <f>IF(ISNUMBER(Roster!$B180),MAX(1,YEAR(Setup!$C$5)-YEAR(Roster!$B180)+IF(EDATE(Roster!$B180,12*(YEAR(Setup!$C$5)-YEAR(Roster!$B180)))&lt;Setup!$C$5,1,0)),"")</f>
        <v/>
      </c>
      <c r="AQ180" s="32" t="str">
        <f>IF(AP180="","",EDATE(Roster!$B180,12*AP180))</f>
        <v/>
      </c>
      <c r="AR180" t="str">
        <f>IF(AQ180="","",IF(AQ180&lt;DATE(YEAR(Setup!$C$5)+1,MONTH(Setup!$C$5),DAY(Setup!$C$5)),AQ180+175/1000,""))</f>
        <v/>
      </c>
      <c r="AS180" t="str">
        <f t="shared" si="22"/>
        <v/>
      </c>
      <c r="AT180" t="str">
        <f>IF(AS180="","",IF(ISNUMBER(Roster!$D180),Roster!$D180&gt;=AP180,FALSE))</f>
        <v/>
      </c>
      <c r="AU180" t="str">
        <f t="shared" si="23"/>
        <v/>
      </c>
      <c r="AV180" t="str">
        <f ca="1">IF(175&gt;$AV$2,"",SMALL($AR$6:$AR$505,175))</f>
        <v/>
      </c>
      <c r="AW180" t="str">
        <f t="shared" ca="1" si="24"/>
        <v/>
      </c>
    </row>
    <row r="181" spans="2:49" x14ac:dyDescent="0.2">
      <c r="B181" s="32" t="str">
        <f>IF(AND(ISNUMBER(Roster!$B181),Setup!$B$20="Yes",ISNUMBER(Setup!$C$20)),EDATE(Roster!$B181,12*Setup!$C$20),"")</f>
        <v/>
      </c>
      <c r="C181" s="32" t="str">
        <f>IF(AND(ISNUMBER(Roster!$B181),Setup!$B$21="Yes",ISNUMBER(Setup!$C$21)),EDATE(Roster!$B181,12*Setup!$C$21),"")</f>
        <v/>
      </c>
      <c r="D181" s="32" t="str">
        <f>IF(AND(ISNUMBER(Roster!$B181),Setup!$B$22="Yes",ISNUMBER(Setup!$C$22)),EDATE(Roster!$B181,12*Setup!$C$22),"")</f>
        <v/>
      </c>
      <c r="E181" s="32" t="str">
        <f>IF(AND(ISNUMBER(Roster!$B181),Setup!$B$23="Yes",ISNUMBER(Setup!$C$23)),EDATE(Roster!$B181,12*Setup!$C$23),"")</f>
        <v/>
      </c>
      <c r="F181" s="32" t="str">
        <f>IF(AND(ISNUMBER(Roster!$B181),Setup!$B$24="Yes",ISNUMBER(Setup!$C$24)),EDATE(Roster!$B181,12*Setup!$C$24),"")</f>
        <v/>
      </c>
      <c r="G181" s="32" t="str">
        <f>IF(AND(ISNUMBER(Roster!$B181),Setup!$B$25="Yes",ISNUMBER(Setup!$C$25)),EDATE(Roster!$B181,12*Setup!$C$25),"")</f>
        <v/>
      </c>
      <c r="H181" s="32" t="str">
        <f>IF(AND(ISNUMBER(Roster!$B181),Setup!$B$26="Yes",ISNUMBER(Setup!$C$26)),EDATE(Roster!$B181,12*Setup!$C$26),"")</f>
        <v/>
      </c>
      <c r="I181" s="32" t="str">
        <f>IF(AND(ISNUMBER(Roster!$B181),Setup!$B$27="Yes",ISNUMBER(Setup!$C$27)),EDATE(Roster!$B181,12*Setup!$C$27),"")</f>
        <v/>
      </c>
      <c r="J181" s="32" t="str">
        <f>IF(AND(ISNUMBER(Roster!$B181),Setup!$B$28="Yes",ISNUMBER(Setup!$C$28)),EDATE(Roster!$B181,12*Setup!$C$28),"")</f>
        <v/>
      </c>
      <c r="K181" s="32" t="str">
        <f>IF(AND(ISNUMBER(Roster!$B181),Setup!$B$29="Yes",ISNUMBER(Setup!$C$29)),EDATE(Roster!$B181,12*Setup!$C$29),"")</f>
        <v/>
      </c>
      <c r="L181" s="32" t="str">
        <f>IF(AND(ISNUMBER(Roster!$B181),Setup!$B$30="Yes",ISNUMBER(Setup!$C$30)),EDATE(Roster!$B181,12*Setup!$C$30),"")</f>
        <v/>
      </c>
      <c r="M181" s="32" t="str">
        <f>IF(AND(ISNUMBER(Roster!$B181),Setup!$B$31="Yes",ISNUMBER(Setup!$C$31)),EDATE(Roster!$B181,12*Setup!$C$31),"")</f>
        <v/>
      </c>
      <c r="N181" s="32" t="str">
        <f>IF(AND(ISNUMBER(Roster!$B181),Setup!$B$32="Yes",ISNUMBER(Setup!$C$32)),EDATE(Roster!$B181,12*Setup!$C$32),"")</f>
        <v/>
      </c>
      <c r="O181" s="32" t="str">
        <f>IF(AND(ISNUMBER(Roster!$B181),Setup!$B$33="Yes",ISNUMBER(Setup!$C$33)),EDATE(Roster!$B181,12*Setup!$C$33),"")</f>
        <v/>
      </c>
      <c r="P181" s="32" t="str">
        <f>IF(AND(ISNUMBER(Roster!$B181),Setup!$B$34="Yes",ISNUMBER(Setup!$C$34)),EDATE(Roster!$B181,12*Setup!$C$34),"")</f>
        <v/>
      </c>
      <c r="R181" t="str">
        <f>IF(B181="","",IF(B181&lt;Setup!$C$5-Setup!$C$6,"",IF(IF(ISNUMBER(Roster!$D181),Setup!$C$20&lt;=Roster!$D181,FALSE),"",IF(OR(IF(Setup!$C$15&lt;=Setup!$C$16,AND(MONTH(B181)&gt;=Setup!$C$15,MONTH(B181)&lt;=Setup!$C$16),OR(MONTH(B181)&gt;=Setup!$C$15,MONTH(B181)&lt;=Setup!$C$16)),IF(Setup!$C$15&lt;=Setup!$C$16,AND(MONTH(WORKDAY(B181,-(Setup!$C$13+Setup!$G$20),Setup!$C$39:$C$50))&gt;=Setup!$C$15,MONTH(WORKDAY(B181,-(Setup!$C$13+Setup!$G$20),Setup!$C$39:$C$50))&lt;=Setup!$C$16),OR(MONTH(WORKDAY(B181,-(Setup!$C$13+Setup!$G$20),Setup!$C$39:$C$50))&gt;=Setup!$C$15,MONTH(WORKDAY(B181,-(Setup!$C$13+Setup!$G$20),Setup!$C$39:$C$50))&lt;=Setup!$C$16))),WORKDAY(B181,-(Setup!$C$13+Setup!$G$20+Setup!$C$14),Setup!$C$39:$C$50),WORKDAY(B181,-(Setup!$C$13+Setup!$G$20),Setup!$C$39:$C$50))+(176*100+1)/10000000)))</f>
        <v/>
      </c>
      <c r="S181" t="str">
        <f>IF(C181="","",IF(C181&lt;Setup!$C$5-Setup!$C$6,"",IF(IF(ISNUMBER(Roster!$D181),Setup!$C$21&lt;=Roster!$D181,FALSE),"",IF(OR(IF(Setup!$C$15&lt;=Setup!$C$16,AND(MONTH(C181)&gt;=Setup!$C$15,MONTH(C181)&lt;=Setup!$C$16),OR(MONTH(C181)&gt;=Setup!$C$15,MONTH(C181)&lt;=Setup!$C$16)),IF(Setup!$C$15&lt;=Setup!$C$16,AND(MONTH(WORKDAY(C181,-(Setup!$C$13+Setup!$G$21),Setup!$C$39:$C$50))&gt;=Setup!$C$15,MONTH(WORKDAY(C181,-(Setup!$C$13+Setup!$G$21),Setup!$C$39:$C$50))&lt;=Setup!$C$16),OR(MONTH(WORKDAY(C181,-(Setup!$C$13+Setup!$G$21),Setup!$C$39:$C$50))&gt;=Setup!$C$15,MONTH(WORKDAY(C181,-(Setup!$C$13+Setup!$G$21),Setup!$C$39:$C$50))&lt;=Setup!$C$16))),WORKDAY(C181,-(Setup!$C$13+Setup!$G$21+Setup!$C$14),Setup!$C$39:$C$50),WORKDAY(C181,-(Setup!$C$13+Setup!$G$21),Setup!$C$39:$C$50))+(176*100+2)/10000000)))</f>
        <v/>
      </c>
      <c r="T181" t="str">
        <f>IF(D181="","",IF(D181&lt;Setup!$C$5-Setup!$C$6,"",IF(IF(ISNUMBER(Roster!$D181),Setup!$C$22&lt;=Roster!$D181,FALSE),"",IF(OR(IF(Setup!$C$15&lt;=Setup!$C$16,AND(MONTH(D181)&gt;=Setup!$C$15,MONTH(D181)&lt;=Setup!$C$16),OR(MONTH(D181)&gt;=Setup!$C$15,MONTH(D181)&lt;=Setup!$C$16)),IF(Setup!$C$15&lt;=Setup!$C$16,AND(MONTH(WORKDAY(D181,-(Setup!$C$13+Setup!$G$22),Setup!$C$39:$C$50))&gt;=Setup!$C$15,MONTH(WORKDAY(D181,-(Setup!$C$13+Setup!$G$22),Setup!$C$39:$C$50))&lt;=Setup!$C$16),OR(MONTH(WORKDAY(D181,-(Setup!$C$13+Setup!$G$22),Setup!$C$39:$C$50))&gt;=Setup!$C$15,MONTH(WORKDAY(D181,-(Setup!$C$13+Setup!$G$22),Setup!$C$39:$C$50))&lt;=Setup!$C$16))),WORKDAY(D181,-(Setup!$C$13+Setup!$G$22+Setup!$C$14),Setup!$C$39:$C$50),WORKDAY(D181,-(Setup!$C$13+Setup!$G$22),Setup!$C$39:$C$50))+(176*100+3)/10000000)))</f>
        <v/>
      </c>
      <c r="U181" t="str">
        <f>IF(E181="","",IF(E181&lt;Setup!$C$5-Setup!$C$6,"",IF(IF(ISNUMBER(Roster!$D181),Setup!$C$23&lt;=Roster!$D181,FALSE),"",IF(OR(IF(Setup!$C$15&lt;=Setup!$C$16,AND(MONTH(E181)&gt;=Setup!$C$15,MONTH(E181)&lt;=Setup!$C$16),OR(MONTH(E181)&gt;=Setup!$C$15,MONTH(E181)&lt;=Setup!$C$16)),IF(Setup!$C$15&lt;=Setup!$C$16,AND(MONTH(WORKDAY(E181,-(Setup!$C$13+Setup!$G$23),Setup!$C$39:$C$50))&gt;=Setup!$C$15,MONTH(WORKDAY(E181,-(Setup!$C$13+Setup!$G$23),Setup!$C$39:$C$50))&lt;=Setup!$C$16),OR(MONTH(WORKDAY(E181,-(Setup!$C$13+Setup!$G$23),Setup!$C$39:$C$50))&gt;=Setup!$C$15,MONTH(WORKDAY(E181,-(Setup!$C$13+Setup!$G$23),Setup!$C$39:$C$50))&lt;=Setup!$C$16))),WORKDAY(E181,-(Setup!$C$13+Setup!$G$23+Setup!$C$14),Setup!$C$39:$C$50),WORKDAY(E181,-(Setup!$C$13+Setup!$G$23),Setup!$C$39:$C$50))+(176*100+4)/10000000)))</f>
        <v/>
      </c>
      <c r="V181" t="str">
        <f>IF(F181="","",IF(F181&lt;Setup!$C$5-Setup!$C$6,"",IF(IF(ISNUMBER(Roster!$D181),Setup!$C$24&lt;=Roster!$D181,FALSE),"",IF(OR(IF(Setup!$C$15&lt;=Setup!$C$16,AND(MONTH(F181)&gt;=Setup!$C$15,MONTH(F181)&lt;=Setup!$C$16),OR(MONTH(F181)&gt;=Setup!$C$15,MONTH(F181)&lt;=Setup!$C$16)),IF(Setup!$C$15&lt;=Setup!$C$16,AND(MONTH(WORKDAY(F181,-(Setup!$C$13+Setup!$G$24),Setup!$C$39:$C$50))&gt;=Setup!$C$15,MONTH(WORKDAY(F181,-(Setup!$C$13+Setup!$G$24),Setup!$C$39:$C$50))&lt;=Setup!$C$16),OR(MONTH(WORKDAY(F181,-(Setup!$C$13+Setup!$G$24),Setup!$C$39:$C$50))&gt;=Setup!$C$15,MONTH(WORKDAY(F181,-(Setup!$C$13+Setup!$G$24),Setup!$C$39:$C$50))&lt;=Setup!$C$16))),WORKDAY(F181,-(Setup!$C$13+Setup!$G$24+Setup!$C$14),Setup!$C$39:$C$50),WORKDAY(F181,-(Setup!$C$13+Setup!$G$24),Setup!$C$39:$C$50))+(176*100+5)/10000000)))</f>
        <v/>
      </c>
      <c r="W181" t="str">
        <f>IF(G181="","",IF(G181&lt;Setup!$C$5-Setup!$C$6,"",IF(IF(ISNUMBER(Roster!$D181),Setup!$C$25&lt;=Roster!$D181,FALSE),"",IF(OR(IF(Setup!$C$15&lt;=Setup!$C$16,AND(MONTH(G181)&gt;=Setup!$C$15,MONTH(G181)&lt;=Setup!$C$16),OR(MONTH(G181)&gt;=Setup!$C$15,MONTH(G181)&lt;=Setup!$C$16)),IF(Setup!$C$15&lt;=Setup!$C$16,AND(MONTH(WORKDAY(G181,-(Setup!$C$13+Setup!$G$25),Setup!$C$39:$C$50))&gt;=Setup!$C$15,MONTH(WORKDAY(G181,-(Setup!$C$13+Setup!$G$25),Setup!$C$39:$C$50))&lt;=Setup!$C$16),OR(MONTH(WORKDAY(G181,-(Setup!$C$13+Setup!$G$25),Setup!$C$39:$C$50))&gt;=Setup!$C$15,MONTH(WORKDAY(G181,-(Setup!$C$13+Setup!$G$25),Setup!$C$39:$C$50))&lt;=Setup!$C$16))),WORKDAY(G181,-(Setup!$C$13+Setup!$G$25+Setup!$C$14),Setup!$C$39:$C$50),WORKDAY(G181,-(Setup!$C$13+Setup!$G$25),Setup!$C$39:$C$50))+(176*100+6)/10000000)))</f>
        <v/>
      </c>
      <c r="X181" t="str">
        <f>IF(H181="","",IF(H181&lt;Setup!$C$5-Setup!$C$6,"",IF(IF(ISNUMBER(Roster!$D181),Setup!$C$26&lt;=Roster!$D181,FALSE),"",IF(OR(IF(Setup!$C$15&lt;=Setup!$C$16,AND(MONTH(H181)&gt;=Setup!$C$15,MONTH(H181)&lt;=Setup!$C$16),OR(MONTH(H181)&gt;=Setup!$C$15,MONTH(H181)&lt;=Setup!$C$16)),IF(Setup!$C$15&lt;=Setup!$C$16,AND(MONTH(WORKDAY(H181,-(Setup!$C$13+Setup!$G$26),Setup!$C$39:$C$50))&gt;=Setup!$C$15,MONTH(WORKDAY(H181,-(Setup!$C$13+Setup!$G$26),Setup!$C$39:$C$50))&lt;=Setup!$C$16),OR(MONTH(WORKDAY(H181,-(Setup!$C$13+Setup!$G$26),Setup!$C$39:$C$50))&gt;=Setup!$C$15,MONTH(WORKDAY(H181,-(Setup!$C$13+Setup!$G$26),Setup!$C$39:$C$50))&lt;=Setup!$C$16))),WORKDAY(H181,-(Setup!$C$13+Setup!$G$26+Setup!$C$14),Setup!$C$39:$C$50),WORKDAY(H181,-(Setup!$C$13+Setup!$G$26),Setup!$C$39:$C$50))+(176*100+7)/10000000)))</f>
        <v/>
      </c>
      <c r="Y181" t="str">
        <f>IF(I181="","",IF(I181&lt;Setup!$C$5-Setup!$C$6,"",IF(IF(ISNUMBER(Roster!$D181),Setup!$C$27&lt;=Roster!$D181,FALSE),"",IF(OR(IF(Setup!$C$15&lt;=Setup!$C$16,AND(MONTH(I181)&gt;=Setup!$C$15,MONTH(I181)&lt;=Setup!$C$16),OR(MONTH(I181)&gt;=Setup!$C$15,MONTH(I181)&lt;=Setup!$C$16)),IF(Setup!$C$15&lt;=Setup!$C$16,AND(MONTH(WORKDAY(I181,-(Setup!$C$13+Setup!$G$27),Setup!$C$39:$C$50))&gt;=Setup!$C$15,MONTH(WORKDAY(I181,-(Setup!$C$13+Setup!$G$27),Setup!$C$39:$C$50))&lt;=Setup!$C$16),OR(MONTH(WORKDAY(I181,-(Setup!$C$13+Setup!$G$27),Setup!$C$39:$C$50))&gt;=Setup!$C$15,MONTH(WORKDAY(I181,-(Setup!$C$13+Setup!$G$27),Setup!$C$39:$C$50))&lt;=Setup!$C$16))),WORKDAY(I181,-(Setup!$C$13+Setup!$G$27+Setup!$C$14),Setup!$C$39:$C$50),WORKDAY(I181,-(Setup!$C$13+Setup!$G$27),Setup!$C$39:$C$50))+(176*100+8)/10000000)))</f>
        <v/>
      </c>
      <c r="Z181" t="str">
        <f>IF(J181="","",IF(J181&lt;Setup!$C$5-Setup!$C$6,"",IF(IF(ISNUMBER(Roster!$D181),Setup!$C$28&lt;=Roster!$D181,FALSE),"",IF(OR(IF(Setup!$C$15&lt;=Setup!$C$16,AND(MONTH(J181)&gt;=Setup!$C$15,MONTH(J181)&lt;=Setup!$C$16),OR(MONTH(J181)&gt;=Setup!$C$15,MONTH(J181)&lt;=Setup!$C$16)),IF(Setup!$C$15&lt;=Setup!$C$16,AND(MONTH(WORKDAY(J181,-(Setup!$C$13+Setup!$G$28),Setup!$C$39:$C$50))&gt;=Setup!$C$15,MONTH(WORKDAY(J181,-(Setup!$C$13+Setup!$G$28),Setup!$C$39:$C$50))&lt;=Setup!$C$16),OR(MONTH(WORKDAY(J181,-(Setup!$C$13+Setup!$G$28),Setup!$C$39:$C$50))&gt;=Setup!$C$15,MONTH(WORKDAY(J181,-(Setup!$C$13+Setup!$G$28),Setup!$C$39:$C$50))&lt;=Setup!$C$16))),WORKDAY(J181,-(Setup!$C$13+Setup!$G$28+Setup!$C$14),Setup!$C$39:$C$50),WORKDAY(J181,-(Setup!$C$13+Setup!$G$28),Setup!$C$39:$C$50))+(176*100+9)/10000000)))</f>
        <v/>
      </c>
      <c r="AA181" t="str">
        <f>IF(K181="","",IF(K181&lt;Setup!$C$5-Setup!$C$6,"",IF(IF(ISNUMBER(Roster!$D181),Setup!$C$29&lt;=Roster!$D181,FALSE),"",IF(OR(IF(Setup!$C$15&lt;=Setup!$C$16,AND(MONTH(K181)&gt;=Setup!$C$15,MONTH(K181)&lt;=Setup!$C$16),OR(MONTH(K181)&gt;=Setup!$C$15,MONTH(K181)&lt;=Setup!$C$16)),IF(Setup!$C$15&lt;=Setup!$C$16,AND(MONTH(WORKDAY(K181,-(Setup!$C$13+Setup!$G$29),Setup!$C$39:$C$50))&gt;=Setup!$C$15,MONTH(WORKDAY(K181,-(Setup!$C$13+Setup!$G$29),Setup!$C$39:$C$50))&lt;=Setup!$C$16),OR(MONTH(WORKDAY(K181,-(Setup!$C$13+Setup!$G$29),Setup!$C$39:$C$50))&gt;=Setup!$C$15,MONTH(WORKDAY(K181,-(Setup!$C$13+Setup!$G$29),Setup!$C$39:$C$50))&lt;=Setup!$C$16))),WORKDAY(K181,-(Setup!$C$13+Setup!$G$29+Setup!$C$14),Setup!$C$39:$C$50),WORKDAY(K181,-(Setup!$C$13+Setup!$G$29),Setup!$C$39:$C$50))+(176*100+10)/10000000)))</f>
        <v/>
      </c>
      <c r="AB181" t="str">
        <f>IF(L181="","",IF(L181&lt;Setup!$C$5-Setup!$C$6,"",IF(IF(ISNUMBER(Roster!$D181),Setup!$C$30&lt;=Roster!$D181,FALSE),"",IF(OR(IF(Setup!$C$15&lt;=Setup!$C$16,AND(MONTH(L181)&gt;=Setup!$C$15,MONTH(L181)&lt;=Setup!$C$16),OR(MONTH(L181)&gt;=Setup!$C$15,MONTH(L181)&lt;=Setup!$C$16)),IF(Setup!$C$15&lt;=Setup!$C$16,AND(MONTH(WORKDAY(L181,-(Setup!$C$13+Setup!$G$30),Setup!$C$39:$C$50))&gt;=Setup!$C$15,MONTH(WORKDAY(L181,-(Setup!$C$13+Setup!$G$30),Setup!$C$39:$C$50))&lt;=Setup!$C$16),OR(MONTH(WORKDAY(L181,-(Setup!$C$13+Setup!$G$30),Setup!$C$39:$C$50))&gt;=Setup!$C$15,MONTH(WORKDAY(L181,-(Setup!$C$13+Setup!$G$30),Setup!$C$39:$C$50))&lt;=Setup!$C$16))),WORKDAY(L181,-(Setup!$C$13+Setup!$G$30+Setup!$C$14),Setup!$C$39:$C$50),WORKDAY(L181,-(Setup!$C$13+Setup!$G$30),Setup!$C$39:$C$50))+(176*100+11)/10000000)))</f>
        <v/>
      </c>
      <c r="AC181" t="str">
        <f>IF(M181="","",IF(M181&lt;Setup!$C$5-Setup!$C$6,"",IF(IF(ISNUMBER(Roster!$D181),Setup!$C$31&lt;=Roster!$D181,FALSE),"",IF(OR(IF(Setup!$C$15&lt;=Setup!$C$16,AND(MONTH(M181)&gt;=Setup!$C$15,MONTH(M181)&lt;=Setup!$C$16),OR(MONTH(M181)&gt;=Setup!$C$15,MONTH(M181)&lt;=Setup!$C$16)),IF(Setup!$C$15&lt;=Setup!$C$16,AND(MONTH(WORKDAY(M181,-(Setup!$C$13+Setup!$G$31),Setup!$C$39:$C$50))&gt;=Setup!$C$15,MONTH(WORKDAY(M181,-(Setup!$C$13+Setup!$G$31),Setup!$C$39:$C$50))&lt;=Setup!$C$16),OR(MONTH(WORKDAY(M181,-(Setup!$C$13+Setup!$G$31),Setup!$C$39:$C$50))&gt;=Setup!$C$15,MONTH(WORKDAY(M181,-(Setup!$C$13+Setup!$G$31),Setup!$C$39:$C$50))&lt;=Setup!$C$16))),WORKDAY(M181,-(Setup!$C$13+Setup!$G$31+Setup!$C$14),Setup!$C$39:$C$50),WORKDAY(M181,-(Setup!$C$13+Setup!$G$31),Setup!$C$39:$C$50))+(176*100+12)/10000000)))</f>
        <v/>
      </c>
      <c r="AD181" t="str">
        <f>IF(N181="","",IF(N181&lt;Setup!$C$5-Setup!$C$6,"",IF(IF(ISNUMBER(Roster!$D181),Setup!$C$32&lt;=Roster!$D181,FALSE),"",IF(OR(IF(Setup!$C$15&lt;=Setup!$C$16,AND(MONTH(N181)&gt;=Setup!$C$15,MONTH(N181)&lt;=Setup!$C$16),OR(MONTH(N181)&gt;=Setup!$C$15,MONTH(N181)&lt;=Setup!$C$16)),IF(Setup!$C$15&lt;=Setup!$C$16,AND(MONTH(WORKDAY(N181,-(Setup!$C$13+Setup!$G$32),Setup!$C$39:$C$50))&gt;=Setup!$C$15,MONTH(WORKDAY(N181,-(Setup!$C$13+Setup!$G$32),Setup!$C$39:$C$50))&lt;=Setup!$C$16),OR(MONTH(WORKDAY(N181,-(Setup!$C$13+Setup!$G$32),Setup!$C$39:$C$50))&gt;=Setup!$C$15,MONTH(WORKDAY(N181,-(Setup!$C$13+Setup!$G$32),Setup!$C$39:$C$50))&lt;=Setup!$C$16))),WORKDAY(N181,-(Setup!$C$13+Setup!$G$32+Setup!$C$14),Setup!$C$39:$C$50),WORKDAY(N181,-(Setup!$C$13+Setup!$G$32),Setup!$C$39:$C$50))+(176*100+13)/10000000)))</f>
        <v/>
      </c>
      <c r="AE181" t="str">
        <f>IF(O181="","",IF(O181&lt;Setup!$C$5-Setup!$C$6,"",IF(IF(ISNUMBER(Roster!$D181),Setup!$C$33&lt;=Roster!$D181,FALSE),"",IF(OR(IF(Setup!$C$15&lt;=Setup!$C$16,AND(MONTH(O181)&gt;=Setup!$C$15,MONTH(O181)&lt;=Setup!$C$16),OR(MONTH(O181)&gt;=Setup!$C$15,MONTH(O181)&lt;=Setup!$C$16)),IF(Setup!$C$15&lt;=Setup!$C$16,AND(MONTH(WORKDAY(O181,-(Setup!$C$13+Setup!$G$33),Setup!$C$39:$C$50))&gt;=Setup!$C$15,MONTH(WORKDAY(O181,-(Setup!$C$13+Setup!$G$33),Setup!$C$39:$C$50))&lt;=Setup!$C$16),OR(MONTH(WORKDAY(O181,-(Setup!$C$13+Setup!$G$33),Setup!$C$39:$C$50))&gt;=Setup!$C$15,MONTH(WORKDAY(O181,-(Setup!$C$13+Setup!$G$33),Setup!$C$39:$C$50))&lt;=Setup!$C$16))),WORKDAY(O181,-(Setup!$C$13+Setup!$G$33+Setup!$C$14),Setup!$C$39:$C$50),WORKDAY(O181,-(Setup!$C$13+Setup!$G$33),Setup!$C$39:$C$50))+(176*100+14)/10000000)))</f>
        <v/>
      </c>
      <c r="AF181" t="str">
        <f>IF(P181="","",IF(P181&lt;Setup!$C$5-Setup!$C$6,"",IF(IF(ISNUMBER(Roster!$D181),Setup!$C$34&lt;=Roster!$D181,FALSE),"",IF(OR(IF(Setup!$C$15&lt;=Setup!$C$16,AND(MONTH(P181)&gt;=Setup!$C$15,MONTH(P181)&lt;=Setup!$C$16),OR(MONTH(P181)&gt;=Setup!$C$15,MONTH(P181)&lt;=Setup!$C$16)),IF(Setup!$C$15&lt;=Setup!$C$16,AND(MONTH(WORKDAY(P181,-(Setup!$C$13+Setup!$G$34),Setup!$C$39:$C$50))&gt;=Setup!$C$15,MONTH(WORKDAY(P181,-(Setup!$C$13+Setup!$G$34),Setup!$C$39:$C$50))&lt;=Setup!$C$16),OR(MONTH(WORKDAY(P181,-(Setup!$C$13+Setup!$G$34),Setup!$C$39:$C$50))&gt;=Setup!$C$15,MONTH(WORKDAY(P181,-(Setup!$C$13+Setup!$G$34),Setup!$C$39:$C$50))&lt;=Setup!$C$16))),WORKDAY(P181,-(Setup!$C$13+Setup!$G$34+Setup!$C$14),Setup!$C$39:$C$50),WORKDAY(P181,-(Setup!$C$13+Setup!$G$34),Setup!$C$39:$C$50))+(176*100+15)/10000000)))</f>
        <v/>
      </c>
      <c r="AH181" t="str">
        <f t="shared" si="17"/>
        <v/>
      </c>
      <c r="AI181" t="str">
        <f t="shared" si="18"/>
        <v/>
      </c>
      <c r="AK181" t="str">
        <f ca="1">IF(176&gt;$AK$2,"",SMALL($R$6:$AF$505,176))</f>
        <v/>
      </c>
      <c r="AL181" t="str">
        <f t="shared" ca="1" si="19"/>
        <v/>
      </c>
      <c r="AM181" t="str">
        <f t="shared" ca="1" si="20"/>
        <v/>
      </c>
      <c r="AN181" t="str">
        <f t="shared" ca="1" si="21"/>
        <v/>
      </c>
      <c r="AP181" t="str">
        <f>IF(ISNUMBER(Roster!$B181),MAX(1,YEAR(Setup!$C$5)-YEAR(Roster!$B181)+IF(EDATE(Roster!$B181,12*(YEAR(Setup!$C$5)-YEAR(Roster!$B181)))&lt;Setup!$C$5,1,0)),"")</f>
        <v/>
      </c>
      <c r="AQ181" s="32" t="str">
        <f>IF(AP181="","",EDATE(Roster!$B181,12*AP181))</f>
        <v/>
      </c>
      <c r="AR181" t="str">
        <f>IF(AQ181="","",IF(AQ181&lt;DATE(YEAR(Setup!$C$5)+1,MONTH(Setup!$C$5),DAY(Setup!$C$5)),AQ181+176/1000,""))</f>
        <v/>
      </c>
      <c r="AS181" t="str">
        <f t="shared" si="22"/>
        <v/>
      </c>
      <c r="AT181" t="str">
        <f>IF(AS181="","",IF(ISNUMBER(Roster!$D181),Roster!$D181&gt;=AP181,FALSE))</f>
        <v/>
      </c>
      <c r="AU181" t="str">
        <f t="shared" si="23"/>
        <v/>
      </c>
      <c r="AV181" t="str">
        <f ca="1">IF(176&gt;$AV$2,"",SMALL($AR$6:$AR$505,176))</f>
        <v/>
      </c>
      <c r="AW181" t="str">
        <f t="shared" ca="1" si="24"/>
        <v/>
      </c>
    </row>
    <row r="182" spans="2:49" x14ac:dyDescent="0.2">
      <c r="B182" s="32" t="str">
        <f>IF(AND(ISNUMBER(Roster!$B182),Setup!$B$20="Yes",ISNUMBER(Setup!$C$20)),EDATE(Roster!$B182,12*Setup!$C$20),"")</f>
        <v/>
      </c>
      <c r="C182" s="32" t="str">
        <f>IF(AND(ISNUMBER(Roster!$B182),Setup!$B$21="Yes",ISNUMBER(Setup!$C$21)),EDATE(Roster!$B182,12*Setup!$C$21),"")</f>
        <v/>
      </c>
      <c r="D182" s="32" t="str">
        <f>IF(AND(ISNUMBER(Roster!$B182),Setup!$B$22="Yes",ISNUMBER(Setup!$C$22)),EDATE(Roster!$B182,12*Setup!$C$22),"")</f>
        <v/>
      </c>
      <c r="E182" s="32" t="str">
        <f>IF(AND(ISNUMBER(Roster!$B182),Setup!$B$23="Yes",ISNUMBER(Setup!$C$23)),EDATE(Roster!$B182,12*Setup!$C$23),"")</f>
        <v/>
      </c>
      <c r="F182" s="32" t="str">
        <f>IF(AND(ISNUMBER(Roster!$B182),Setup!$B$24="Yes",ISNUMBER(Setup!$C$24)),EDATE(Roster!$B182,12*Setup!$C$24),"")</f>
        <v/>
      </c>
      <c r="G182" s="32" t="str">
        <f>IF(AND(ISNUMBER(Roster!$B182),Setup!$B$25="Yes",ISNUMBER(Setup!$C$25)),EDATE(Roster!$B182,12*Setup!$C$25),"")</f>
        <v/>
      </c>
      <c r="H182" s="32" t="str">
        <f>IF(AND(ISNUMBER(Roster!$B182),Setup!$B$26="Yes",ISNUMBER(Setup!$C$26)),EDATE(Roster!$B182,12*Setup!$C$26),"")</f>
        <v/>
      </c>
      <c r="I182" s="32" t="str">
        <f>IF(AND(ISNUMBER(Roster!$B182),Setup!$B$27="Yes",ISNUMBER(Setup!$C$27)),EDATE(Roster!$B182,12*Setup!$C$27),"")</f>
        <v/>
      </c>
      <c r="J182" s="32" t="str">
        <f>IF(AND(ISNUMBER(Roster!$B182),Setup!$B$28="Yes",ISNUMBER(Setup!$C$28)),EDATE(Roster!$B182,12*Setup!$C$28),"")</f>
        <v/>
      </c>
      <c r="K182" s="32" t="str">
        <f>IF(AND(ISNUMBER(Roster!$B182),Setup!$B$29="Yes",ISNUMBER(Setup!$C$29)),EDATE(Roster!$B182,12*Setup!$C$29),"")</f>
        <v/>
      </c>
      <c r="L182" s="32" t="str">
        <f>IF(AND(ISNUMBER(Roster!$B182),Setup!$B$30="Yes",ISNUMBER(Setup!$C$30)),EDATE(Roster!$B182,12*Setup!$C$30),"")</f>
        <v/>
      </c>
      <c r="M182" s="32" t="str">
        <f>IF(AND(ISNUMBER(Roster!$B182),Setup!$B$31="Yes",ISNUMBER(Setup!$C$31)),EDATE(Roster!$B182,12*Setup!$C$31),"")</f>
        <v/>
      </c>
      <c r="N182" s="32" t="str">
        <f>IF(AND(ISNUMBER(Roster!$B182),Setup!$B$32="Yes",ISNUMBER(Setup!$C$32)),EDATE(Roster!$B182,12*Setup!$C$32),"")</f>
        <v/>
      </c>
      <c r="O182" s="32" t="str">
        <f>IF(AND(ISNUMBER(Roster!$B182),Setup!$B$33="Yes",ISNUMBER(Setup!$C$33)),EDATE(Roster!$B182,12*Setup!$C$33),"")</f>
        <v/>
      </c>
      <c r="P182" s="32" t="str">
        <f>IF(AND(ISNUMBER(Roster!$B182),Setup!$B$34="Yes",ISNUMBER(Setup!$C$34)),EDATE(Roster!$B182,12*Setup!$C$34),"")</f>
        <v/>
      </c>
      <c r="R182" t="str">
        <f>IF(B182="","",IF(B182&lt;Setup!$C$5-Setup!$C$6,"",IF(IF(ISNUMBER(Roster!$D182),Setup!$C$20&lt;=Roster!$D182,FALSE),"",IF(OR(IF(Setup!$C$15&lt;=Setup!$C$16,AND(MONTH(B182)&gt;=Setup!$C$15,MONTH(B182)&lt;=Setup!$C$16),OR(MONTH(B182)&gt;=Setup!$C$15,MONTH(B182)&lt;=Setup!$C$16)),IF(Setup!$C$15&lt;=Setup!$C$16,AND(MONTH(WORKDAY(B182,-(Setup!$C$13+Setup!$G$20),Setup!$C$39:$C$50))&gt;=Setup!$C$15,MONTH(WORKDAY(B182,-(Setup!$C$13+Setup!$G$20),Setup!$C$39:$C$50))&lt;=Setup!$C$16),OR(MONTH(WORKDAY(B182,-(Setup!$C$13+Setup!$G$20),Setup!$C$39:$C$50))&gt;=Setup!$C$15,MONTH(WORKDAY(B182,-(Setup!$C$13+Setup!$G$20),Setup!$C$39:$C$50))&lt;=Setup!$C$16))),WORKDAY(B182,-(Setup!$C$13+Setup!$G$20+Setup!$C$14),Setup!$C$39:$C$50),WORKDAY(B182,-(Setup!$C$13+Setup!$G$20),Setup!$C$39:$C$50))+(177*100+1)/10000000)))</f>
        <v/>
      </c>
      <c r="S182" t="str">
        <f>IF(C182="","",IF(C182&lt;Setup!$C$5-Setup!$C$6,"",IF(IF(ISNUMBER(Roster!$D182),Setup!$C$21&lt;=Roster!$D182,FALSE),"",IF(OR(IF(Setup!$C$15&lt;=Setup!$C$16,AND(MONTH(C182)&gt;=Setup!$C$15,MONTH(C182)&lt;=Setup!$C$16),OR(MONTH(C182)&gt;=Setup!$C$15,MONTH(C182)&lt;=Setup!$C$16)),IF(Setup!$C$15&lt;=Setup!$C$16,AND(MONTH(WORKDAY(C182,-(Setup!$C$13+Setup!$G$21),Setup!$C$39:$C$50))&gt;=Setup!$C$15,MONTH(WORKDAY(C182,-(Setup!$C$13+Setup!$G$21),Setup!$C$39:$C$50))&lt;=Setup!$C$16),OR(MONTH(WORKDAY(C182,-(Setup!$C$13+Setup!$G$21),Setup!$C$39:$C$50))&gt;=Setup!$C$15,MONTH(WORKDAY(C182,-(Setup!$C$13+Setup!$G$21),Setup!$C$39:$C$50))&lt;=Setup!$C$16))),WORKDAY(C182,-(Setup!$C$13+Setup!$G$21+Setup!$C$14),Setup!$C$39:$C$50),WORKDAY(C182,-(Setup!$C$13+Setup!$G$21),Setup!$C$39:$C$50))+(177*100+2)/10000000)))</f>
        <v/>
      </c>
      <c r="T182" t="str">
        <f>IF(D182="","",IF(D182&lt;Setup!$C$5-Setup!$C$6,"",IF(IF(ISNUMBER(Roster!$D182),Setup!$C$22&lt;=Roster!$D182,FALSE),"",IF(OR(IF(Setup!$C$15&lt;=Setup!$C$16,AND(MONTH(D182)&gt;=Setup!$C$15,MONTH(D182)&lt;=Setup!$C$16),OR(MONTH(D182)&gt;=Setup!$C$15,MONTH(D182)&lt;=Setup!$C$16)),IF(Setup!$C$15&lt;=Setup!$C$16,AND(MONTH(WORKDAY(D182,-(Setup!$C$13+Setup!$G$22),Setup!$C$39:$C$50))&gt;=Setup!$C$15,MONTH(WORKDAY(D182,-(Setup!$C$13+Setup!$G$22),Setup!$C$39:$C$50))&lt;=Setup!$C$16),OR(MONTH(WORKDAY(D182,-(Setup!$C$13+Setup!$G$22),Setup!$C$39:$C$50))&gt;=Setup!$C$15,MONTH(WORKDAY(D182,-(Setup!$C$13+Setup!$G$22),Setup!$C$39:$C$50))&lt;=Setup!$C$16))),WORKDAY(D182,-(Setup!$C$13+Setup!$G$22+Setup!$C$14),Setup!$C$39:$C$50),WORKDAY(D182,-(Setup!$C$13+Setup!$G$22),Setup!$C$39:$C$50))+(177*100+3)/10000000)))</f>
        <v/>
      </c>
      <c r="U182" t="str">
        <f>IF(E182="","",IF(E182&lt;Setup!$C$5-Setup!$C$6,"",IF(IF(ISNUMBER(Roster!$D182),Setup!$C$23&lt;=Roster!$D182,FALSE),"",IF(OR(IF(Setup!$C$15&lt;=Setup!$C$16,AND(MONTH(E182)&gt;=Setup!$C$15,MONTH(E182)&lt;=Setup!$C$16),OR(MONTH(E182)&gt;=Setup!$C$15,MONTH(E182)&lt;=Setup!$C$16)),IF(Setup!$C$15&lt;=Setup!$C$16,AND(MONTH(WORKDAY(E182,-(Setup!$C$13+Setup!$G$23),Setup!$C$39:$C$50))&gt;=Setup!$C$15,MONTH(WORKDAY(E182,-(Setup!$C$13+Setup!$G$23),Setup!$C$39:$C$50))&lt;=Setup!$C$16),OR(MONTH(WORKDAY(E182,-(Setup!$C$13+Setup!$G$23),Setup!$C$39:$C$50))&gt;=Setup!$C$15,MONTH(WORKDAY(E182,-(Setup!$C$13+Setup!$G$23),Setup!$C$39:$C$50))&lt;=Setup!$C$16))),WORKDAY(E182,-(Setup!$C$13+Setup!$G$23+Setup!$C$14),Setup!$C$39:$C$50),WORKDAY(E182,-(Setup!$C$13+Setup!$G$23),Setup!$C$39:$C$50))+(177*100+4)/10000000)))</f>
        <v/>
      </c>
      <c r="V182" t="str">
        <f>IF(F182="","",IF(F182&lt;Setup!$C$5-Setup!$C$6,"",IF(IF(ISNUMBER(Roster!$D182),Setup!$C$24&lt;=Roster!$D182,FALSE),"",IF(OR(IF(Setup!$C$15&lt;=Setup!$C$16,AND(MONTH(F182)&gt;=Setup!$C$15,MONTH(F182)&lt;=Setup!$C$16),OR(MONTH(F182)&gt;=Setup!$C$15,MONTH(F182)&lt;=Setup!$C$16)),IF(Setup!$C$15&lt;=Setup!$C$16,AND(MONTH(WORKDAY(F182,-(Setup!$C$13+Setup!$G$24),Setup!$C$39:$C$50))&gt;=Setup!$C$15,MONTH(WORKDAY(F182,-(Setup!$C$13+Setup!$G$24),Setup!$C$39:$C$50))&lt;=Setup!$C$16),OR(MONTH(WORKDAY(F182,-(Setup!$C$13+Setup!$G$24),Setup!$C$39:$C$50))&gt;=Setup!$C$15,MONTH(WORKDAY(F182,-(Setup!$C$13+Setup!$G$24),Setup!$C$39:$C$50))&lt;=Setup!$C$16))),WORKDAY(F182,-(Setup!$C$13+Setup!$G$24+Setup!$C$14),Setup!$C$39:$C$50),WORKDAY(F182,-(Setup!$C$13+Setup!$G$24),Setup!$C$39:$C$50))+(177*100+5)/10000000)))</f>
        <v/>
      </c>
      <c r="W182" t="str">
        <f>IF(G182="","",IF(G182&lt;Setup!$C$5-Setup!$C$6,"",IF(IF(ISNUMBER(Roster!$D182),Setup!$C$25&lt;=Roster!$D182,FALSE),"",IF(OR(IF(Setup!$C$15&lt;=Setup!$C$16,AND(MONTH(G182)&gt;=Setup!$C$15,MONTH(G182)&lt;=Setup!$C$16),OR(MONTH(G182)&gt;=Setup!$C$15,MONTH(G182)&lt;=Setup!$C$16)),IF(Setup!$C$15&lt;=Setup!$C$16,AND(MONTH(WORKDAY(G182,-(Setup!$C$13+Setup!$G$25),Setup!$C$39:$C$50))&gt;=Setup!$C$15,MONTH(WORKDAY(G182,-(Setup!$C$13+Setup!$G$25),Setup!$C$39:$C$50))&lt;=Setup!$C$16),OR(MONTH(WORKDAY(G182,-(Setup!$C$13+Setup!$G$25),Setup!$C$39:$C$50))&gt;=Setup!$C$15,MONTH(WORKDAY(G182,-(Setup!$C$13+Setup!$G$25),Setup!$C$39:$C$50))&lt;=Setup!$C$16))),WORKDAY(G182,-(Setup!$C$13+Setup!$G$25+Setup!$C$14),Setup!$C$39:$C$50),WORKDAY(G182,-(Setup!$C$13+Setup!$G$25),Setup!$C$39:$C$50))+(177*100+6)/10000000)))</f>
        <v/>
      </c>
      <c r="X182" t="str">
        <f>IF(H182="","",IF(H182&lt;Setup!$C$5-Setup!$C$6,"",IF(IF(ISNUMBER(Roster!$D182),Setup!$C$26&lt;=Roster!$D182,FALSE),"",IF(OR(IF(Setup!$C$15&lt;=Setup!$C$16,AND(MONTH(H182)&gt;=Setup!$C$15,MONTH(H182)&lt;=Setup!$C$16),OR(MONTH(H182)&gt;=Setup!$C$15,MONTH(H182)&lt;=Setup!$C$16)),IF(Setup!$C$15&lt;=Setup!$C$16,AND(MONTH(WORKDAY(H182,-(Setup!$C$13+Setup!$G$26),Setup!$C$39:$C$50))&gt;=Setup!$C$15,MONTH(WORKDAY(H182,-(Setup!$C$13+Setup!$G$26),Setup!$C$39:$C$50))&lt;=Setup!$C$16),OR(MONTH(WORKDAY(H182,-(Setup!$C$13+Setup!$G$26),Setup!$C$39:$C$50))&gt;=Setup!$C$15,MONTH(WORKDAY(H182,-(Setup!$C$13+Setup!$G$26),Setup!$C$39:$C$50))&lt;=Setup!$C$16))),WORKDAY(H182,-(Setup!$C$13+Setup!$G$26+Setup!$C$14),Setup!$C$39:$C$50),WORKDAY(H182,-(Setup!$C$13+Setup!$G$26),Setup!$C$39:$C$50))+(177*100+7)/10000000)))</f>
        <v/>
      </c>
      <c r="Y182" t="str">
        <f>IF(I182="","",IF(I182&lt;Setup!$C$5-Setup!$C$6,"",IF(IF(ISNUMBER(Roster!$D182),Setup!$C$27&lt;=Roster!$D182,FALSE),"",IF(OR(IF(Setup!$C$15&lt;=Setup!$C$16,AND(MONTH(I182)&gt;=Setup!$C$15,MONTH(I182)&lt;=Setup!$C$16),OR(MONTH(I182)&gt;=Setup!$C$15,MONTH(I182)&lt;=Setup!$C$16)),IF(Setup!$C$15&lt;=Setup!$C$16,AND(MONTH(WORKDAY(I182,-(Setup!$C$13+Setup!$G$27),Setup!$C$39:$C$50))&gt;=Setup!$C$15,MONTH(WORKDAY(I182,-(Setup!$C$13+Setup!$G$27),Setup!$C$39:$C$50))&lt;=Setup!$C$16),OR(MONTH(WORKDAY(I182,-(Setup!$C$13+Setup!$G$27),Setup!$C$39:$C$50))&gt;=Setup!$C$15,MONTH(WORKDAY(I182,-(Setup!$C$13+Setup!$G$27),Setup!$C$39:$C$50))&lt;=Setup!$C$16))),WORKDAY(I182,-(Setup!$C$13+Setup!$G$27+Setup!$C$14),Setup!$C$39:$C$50),WORKDAY(I182,-(Setup!$C$13+Setup!$G$27),Setup!$C$39:$C$50))+(177*100+8)/10000000)))</f>
        <v/>
      </c>
      <c r="Z182" t="str">
        <f>IF(J182="","",IF(J182&lt;Setup!$C$5-Setup!$C$6,"",IF(IF(ISNUMBER(Roster!$D182),Setup!$C$28&lt;=Roster!$D182,FALSE),"",IF(OR(IF(Setup!$C$15&lt;=Setup!$C$16,AND(MONTH(J182)&gt;=Setup!$C$15,MONTH(J182)&lt;=Setup!$C$16),OR(MONTH(J182)&gt;=Setup!$C$15,MONTH(J182)&lt;=Setup!$C$16)),IF(Setup!$C$15&lt;=Setup!$C$16,AND(MONTH(WORKDAY(J182,-(Setup!$C$13+Setup!$G$28),Setup!$C$39:$C$50))&gt;=Setup!$C$15,MONTH(WORKDAY(J182,-(Setup!$C$13+Setup!$G$28),Setup!$C$39:$C$50))&lt;=Setup!$C$16),OR(MONTH(WORKDAY(J182,-(Setup!$C$13+Setup!$G$28),Setup!$C$39:$C$50))&gt;=Setup!$C$15,MONTH(WORKDAY(J182,-(Setup!$C$13+Setup!$G$28),Setup!$C$39:$C$50))&lt;=Setup!$C$16))),WORKDAY(J182,-(Setup!$C$13+Setup!$G$28+Setup!$C$14),Setup!$C$39:$C$50),WORKDAY(J182,-(Setup!$C$13+Setup!$G$28),Setup!$C$39:$C$50))+(177*100+9)/10000000)))</f>
        <v/>
      </c>
      <c r="AA182" t="str">
        <f>IF(K182="","",IF(K182&lt;Setup!$C$5-Setup!$C$6,"",IF(IF(ISNUMBER(Roster!$D182),Setup!$C$29&lt;=Roster!$D182,FALSE),"",IF(OR(IF(Setup!$C$15&lt;=Setup!$C$16,AND(MONTH(K182)&gt;=Setup!$C$15,MONTH(K182)&lt;=Setup!$C$16),OR(MONTH(K182)&gt;=Setup!$C$15,MONTH(K182)&lt;=Setup!$C$16)),IF(Setup!$C$15&lt;=Setup!$C$16,AND(MONTH(WORKDAY(K182,-(Setup!$C$13+Setup!$G$29),Setup!$C$39:$C$50))&gt;=Setup!$C$15,MONTH(WORKDAY(K182,-(Setup!$C$13+Setup!$G$29),Setup!$C$39:$C$50))&lt;=Setup!$C$16),OR(MONTH(WORKDAY(K182,-(Setup!$C$13+Setup!$G$29),Setup!$C$39:$C$50))&gt;=Setup!$C$15,MONTH(WORKDAY(K182,-(Setup!$C$13+Setup!$G$29),Setup!$C$39:$C$50))&lt;=Setup!$C$16))),WORKDAY(K182,-(Setup!$C$13+Setup!$G$29+Setup!$C$14),Setup!$C$39:$C$50),WORKDAY(K182,-(Setup!$C$13+Setup!$G$29),Setup!$C$39:$C$50))+(177*100+10)/10000000)))</f>
        <v/>
      </c>
      <c r="AB182" t="str">
        <f>IF(L182="","",IF(L182&lt;Setup!$C$5-Setup!$C$6,"",IF(IF(ISNUMBER(Roster!$D182),Setup!$C$30&lt;=Roster!$D182,FALSE),"",IF(OR(IF(Setup!$C$15&lt;=Setup!$C$16,AND(MONTH(L182)&gt;=Setup!$C$15,MONTH(L182)&lt;=Setup!$C$16),OR(MONTH(L182)&gt;=Setup!$C$15,MONTH(L182)&lt;=Setup!$C$16)),IF(Setup!$C$15&lt;=Setup!$C$16,AND(MONTH(WORKDAY(L182,-(Setup!$C$13+Setup!$G$30),Setup!$C$39:$C$50))&gt;=Setup!$C$15,MONTH(WORKDAY(L182,-(Setup!$C$13+Setup!$G$30),Setup!$C$39:$C$50))&lt;=Setup!$C$16),OR(MONTH(WORKDAY(L182,-(Setup!$C$13+Setup!$G$30),Setup!$C$39:$C$50))&gt;=Setup!$C$15,MONTH(WORKDAY(L182,-(Setup!$C$13+Setup!$G$30),Setup!$C$39:$C$50))&lt;=Setup!$C$16))),WORKDAY(L182,-(Setup!$C$13+Setup!$G$30+Setup!$C$14),Setup!$C$39:$C$50),WORKDAY(L182,-(Setup!$C$13+Setup!$G$30),Setup!$C$39:$C$50))+(177*100+11)/10000000)))</f>
        <v/>
      </c>
      <c r="AC182" t="str">
        <f>IF(M182="","",IF(M182&lt;Setup!$C$5-Setup!$C$6,"",IF(IF(ISNUMBER(Roster!$D182),Setup!$C$31&lt;=Roster!$D182,FALSE),"",IF(OR(IF(Setup!$C$15&lt;=Setup!$C$16,AND(MONTH(M182)&gt;=Setup!$C$15,MONTH(M182)&lt;=Setup!$C$16),OR(MONTH(M182)&gt;=Setup!$C$15,MONTH(M182)&lt;=Setup!$C$16)),IF(Setup!$C$15&lt;=Setup!$C$16,AND(MONTH(WORKDAY(M182,-(Setup!$C$13+Setup!$G$31),Setup!$C$39:$C$50))&gt;=Setup!$C$15,MONTH(WORKDAY(M182,-(Setup!$C$13+Setup!$G$31),Setup!$C$39:$C$50))&lt;=Setup!$C$16),OR(MONTH(WORKDAY(M182,-(Setup!$C$13+Setup!$G$31),Setup!$C$39:$C$50))&gt;=Setup!$C$15,MONTH(WORKDAY(M182,-(Setup!$C$13+Setup!$G$31),Setup!$C$39:$C$50))&lt;=Setup!$C$16))),WORKDAY(M182,-(Setup!$C$13+Setup!$G$31+Setup!$C$14),Setup!$C$39:$C$50),WORKDAY(M182,-(Setup!$C$13+Setup!$G$31),Setup!$C$39:$C$50))+(177*100+12)/10000000)))</f>
        <v/>
      </c>
      <c r="AD182" t="str">
        <f>IF(N182="","",IF(N182&lt;Setup!$C$5-Setup!$C$6,"",IF(IF(ISNUMBER(Roster!$D182),Setup!$C$32&lt;=Roster!$D182,FALSE),"",IF(OR(IF(Setup!$C$15&lt;=Setup!$C$16,AND(MONTH(N182)&gt;=Setup!$C$15,MONTH(N182)&lt;=Setup!$C$16),OR(MONTH(N182)&gt;=Setup!$C$15,MONTH(N182)&lt;=Setup!$C$16)),IF(Setup!$C$15&lt;=Setup!$C$16,AND(MONTH(WORKDAY(N182,-(Setup!$C$13+Setup!$G$32),Setup!$C$39:$C$50))&gt;=Setup!$C$15,MONTH(WORKDAY(N182,-(Setup!$C$13+Setup!$G$32),Setup!$C$39:$C$50))&lt;=Setup!$C$16),OR(MONTH(WORKDAY(N182,-(Setup!$C$13+Setup!$G$32),Setup!$C$39:$C$50))&gt;=Setup!$C$15,MONTH(WORKDAY(N182,-(Setup!$C$13+Setup!$G$32),Setup!$C$39:$C$50))&lt;=Setup!$C$16))),WORKDAY(N182,-(Setup!$C$13+Setup!$G$32+Setup!$C$14),Setup!$C$39:$C$50),WORKDAY(N182,-(Setup!$C$13+Setup!$G$32),Setup!$C$39:$C$50))+(177*100+13)/10000000)))</f>
        <v/>
      </c>
      <c r="AE182" t="str">
        <f>IF(O182="","",IF(O182&lt;Setup!$C$5-Setup!$C$6,"",IF(IF(ISNUMBER(Roster!$D182),Setup!$C$33&lt;=Roster!$D182,FALSE),"",IF(OR(IF(Setup!$C$15&lt;=Setup!$C$16,AND(MONTH(O182)&gt;=Setup!$C$15,MONTH(O182)&lt;=Setup!$C$16),OR(MONTH(O182)&gt;=Setup!$C$15,MONTH(O182)&lt;=Setup!$C$16)),IF(Setup!$C$15&lt;=Setup!$C$16,AND(MONTH(WORKDAY(O182,-(Setup!$C$13+Setup!$G$33),Setup!$C$39:$C$50))&gt;=Setup!$C$15,MONTH(WORKDAY(O182,-(Setup!$C$13+Setup!$G$33),Setup!$C$39:$C$50))&lt;=Setup!$C$16),OR(MONTH(WORKDAY(O182,-(Setup!$C$13+Setup!$G$33),Setup!$C$39:$C$50))&gt;=Setup!$C$15,MONTH(WORKDAY(O182,-(Setup!$C$13+Setup!$G$33),Setup!$C$39:$C$50))&lt;=Setup!$C$16))),WORKDAY(O182,-(Setup!$C$13+Setup!$G$33+Setup!$C$14),Setup!$C$39:$C$50),WORKDAY(O182,-(Setup!$C$13+Setup!$G$33),Setup!$C$39:$C$50))+(177*100+14)/10000000)))</f>
        <v/>
      </c>
      <c r="AF182" t="str">
        <f>IF(P182="","",IF(P182&lt;Setup!$C$5-Setup!$C$6,"",IF(IF(ISNUMBER(Roster!$D182),Setup!$C$34&lt;=Roster!$D182,FALSE),"",IF(OR(IF(Setup!$C$15&lt;=Setup!$C$16,AND(MONTH(P182)&gt;=Setup!$C$15,MONTH(P182)&lt;=Setup!$C$16),OR(MONTH(P182)&gt;=Setup!$C$15,MONTH(P182)&lt;=Setup!$C$16)),IF(Setup!$C$15&lt;=Setup!$C$16,AND(MONTH(WORKDAY(P182,-(Setup!$C$13+Setup!$G$34),Setup!$C$39:$C$50))&gt;=Setup!$C$15,MONTH(WORKDAY(P182,-(Setup!$C$13+Setup!$G$34),Setup!$C$39:$C$50))&lt;=Setup!$C$16),OR(MONTH(WORKDAY(P182,-(Setup!$C$13+Setup!$G$34),Setup!$C$39:$C$50))&gt;=Setup!$C$15,MONTH(WORKDAY(P182,-(Setup!$C$13+Setup!$G$34),Setup!$C$39:$C$50))&lt;=Setup!$C$16))),WORKDAY(P182,-(Setup!$C$13+Setup!$G$34+Setup!$C$14),Setup!$C$39:$C$50),WORKDAY(P182,-(Setup!$C$13+Setup!$G$34),Setup!$C$39:$C$50))+(177*100+15)/10000000)))</f>
        <v/>
      </c>
      <c r="AH182" t="str">
        <f t="shared" si="17"/>
        <v/>
      </c>
      <c r="AI182" t="str">
        <f t="shared" si="18"/>
        <v/>
      </c>
      <c r="AK182" t="str">
        <f ca="1">IF(177&gt;$AK$2,"",SMALL($R$6:$AF$505,177))</f>
        <v/>
      </c>
      <c r="AL182" t="str">
        <f t="shared" ca="1" si="19"/>
        <v/>
      </c>
      <c r="AM182" t="str">
        <f t="shared" ca="1" si="20"/>
        <v/>
      </c>
      <c r="AN182" t="str">
        <f t="shared" ca="1" si="21"/>
        <v/>
      </c>
      <c r="AP182" t="str">
        <f>IF(ISNUMBER(Roster!$B182),MAX(1,YEAR(Setup!$C$5)-YEAR(Roster!$B182)+IF(EDATE(Roster!$B182,12*(YEAR(Setup!$C$5)-YEAR(Roster!$B182)))&lt;Setup!$C$5,1,0)),"")</f>
        <v/>
      </c>
      <c r="AQ182" s="32" t="str">
        <f>IF(AP182="","",EDATE(Roster!$B182,12*AP182))</f>
        <v/>
      </c>
      <c r="AR182" t="str">
        <f>IF(AQ182="","",IF(AQ182&lt;DATE(YEAR(Setup!$C$5)+1,MONTH(Setup!$C$5),DAY(Setup!$C$5)),AQ182+177/1000,""))</f>
        <v/>
      </c>
      <c r="AS182" t="str">
        <f t="shared" si="22"/>
        <v/>
      </c>
      <c r="AT182" t="str">
        <f>IF(AS182="","",IF(ISNUMBER(Roster!$D182),Roster!$D182&gt;=AP182,FALSE))</f>
        <v/>
      </c>
      <c r="AU182" t="str">
        <f t="shared" si="23"/>
        <v/>
      </c>
      <c r="AV182" t="str">
        <f ca="1">IF(177&gt;$AV$2,"",SMALL($AR$6:$AR$505,177))</f>
        <v/>
      </c>
      <c r="AW182" t="str">
        <f t="shared" ca="1" si="24"/>
        <v/>
      </c>
    </row>
    <row r="183" spans="2:49" x14ac:dyDescent="0.2">
      <c r="B183" s="32" t="str">
        <f>IF(AND(ISNUMBER(Roster!$B183),Setup!$B$20="Yes",ISNUMBER(Setup!$C$20)),EDATE(Roster!$B183,12*Setup!$C$20),"")</f>
        <v/>
      </c>
      <c r="C183" s="32" t="str">
        <f>IF(AND(ISNUMBER(Roster!$B183),Setup!$B$21="Yes",ISNUMBER(Setup!$C$21)),EDATE(Roster!$B183,12*Setup!$C$21),"")</f>
        <v/>
      </c>
      <c r="D183" s="32" t="str">
        <f>IF(AND(ISNUMBER(Roster!$B183),Setup!$B$22="Yes",ISNUMBER(Setup!$C$22)),EDATE(Roster!$B183,12*Setup!$C$22),"")</f>
        <v/>
      </c>
      <c r="E183" s="32" t="str">
        <f>IF(AND(ISNUMBER(Roster!$B183),Setup!$B$23="Yes",ISNUMBER(Setup!$C$23)),EDATE(Roster!$B183,12*Setup!$C$23),"")</f>
        <v/>
      </c>
      <c r="F183" s="32" t="str">
        <f>IF(AND(ISNUMBER(Roster!$B183),Setup!$B$24="Yes",ISNUMBER(Setup!$C$24)),EDATE(Roster!$B183,12*Setup!$C$24),"")</f>
        <v/>
      </c>
      <c r="G183" s="32" t="str">
        <f>IF(AND(ISNUMBER(Roster!$B183),Setup!$B$25="Yes",ISNUMBER(Setup!$C$25)),EDATE(Roster!$B183,12*Setup!$C$25),"")</f>
        <v/>
      </c>
      <c r="H183" s="32" t="str">
        <f>IF(AND(ISNUMBER(Roster!$B183),Setup!$B$26="Yes",ISNUMBER(Setup!$C$26)),EDATE(Roster!$B183,12*Setup!$C$26),"")</f>
        <v/>
      </c>
      <c r="I183" s="32" t="str">
        <f>IF(AND(ISNUMBER(Roster!$B183),Setup!$B$27="Yes",ISNUMBER(Setup!$C$27)),EDATE(Roster!$B183,12*Setup!$C$27),"")</f>
        <v/>
      </c>
      <c r="J183" s="32" t="str">
        <f>IF(AND(ISNUMBER(Roster!$B183),Setup!$B$28="Yes",ISNUMBER(Setup!$C$28)),EDATE(Roster!$B183,12*Setup!$C$28),"")</f>
        <v/>
      </c>
      <c r="K183" s="32" t="str">
        <f>IF(AND(ISNUMBER(Roster!$B183),Setup!$B$29="Yes",ISNUMBER(Setup!$C$29)),EDATE(Roster!$B183,12*Setup!$C$29),"")</f>
        <v/>
      </c>
      <c r="L183" s="32" t="str">
        <f>IF(AND(ISNUMBER(Roster!$B183),Setup!$B$30="Yes",ISNUMBER(Setup!$C$30)),EDATE(Roster!$B183,12*Setup!$C$30),"")</f>
        <v/>
      </c>
      <c r="M183" s="32" t="str">
        <f>IF(AND(ISNUMBER(Roster!$B183),Setup!$B$31="Yes",ISNUMBER(Setup!$C$31)),EDATE(Roster!$B183,12*Setup!$C$31),"")</f>
        <v/>
      </c>
      <c r="N183" s="32" t="str">
        <f>IF(AND(ISNUMBER(Roster!$B183),Setup!$B$32="Yes",ISNUMBER(Setup!$C$32)),EDATE(Roster!$B183,12*Setup!$C$32),"")</f>
        <v/>
      </c>
      <c r="O183" s="32" t="str">
        <f>IF(AND(ISNUMBER(Roster!$B183),Setup!$B$33="Yes",ISNUMBER(Setup!$C$33)),EDATE(Roster!$B183,12*Setup!$C$33),"")</f>
        <v/>
      </c>
      <c r="P183" s="32" t="str">
        <f>IF(AND(ISNUMBER(Roster!$B183),Setup!$B$34="Yes",ISNUMBER(Setup!$C$34)),EDATE(Roster!$B183,12*Setup!$C$34),"")</f>
        <v/>
      </c>
      <c r="R183" t="str">
        <f>IF(B183="","",IF(B183&lt;Setup!$C$5-Setup!$C$6,"",IF(IF(ISNUMBER(Roster!$D183),Setup!$C$20&lt;=Roster!$D183,FALSE),"",IF(OR(IF(Setup!$C$15&lt;=Setup!$C$16,AND(MONTH(B183)&gt;=Setup!$C$15,MONTH(B183)&lt;=Setup!$C$16),OR(MONTH(B183)&gt;=Setup!$C$15,MONTH(B183)&lt;=Setup!$C$16)),IF(Setup!$C$15&lt;=Setup!$C$16,AND(MONTH(WORKDAY(B183,-(Setup!$C$13+Setup!$G$20),Setup!$C$39:$C$50))&gt;=Setup!$C$15,MONTH(WORKDAY(B183,-(Setup!$C$13+Setup!$G$20),Setup!$C$39:$C$50))&lt;=Setup!$C$16),OR(MONTH(WORKDAY(B183,-(Setup!$C$13+Setup!$G$20),Setup!$C$39:$C$50))&gt;=Setup!$C$15,MONTH(WORKDAY(B183,-(Setup!$C$13+Setup!$G$20),Setup!$C$39:$C$50))&lt;=Setup!$C$16))),WORKDAY(B183,-(Setup!$C$13+Setup!$G$20+Setup!$C$14),Setup!$C$39:$C$50),WORKDAY(B183,-(Setup!$C$13+Setup!$G$20),Setup!$C$39:$C$50))+(178*100+1)/10000000)))</f>
        <v/>
      </c>
      <c r="S183" t="str">
        <f>IF(C183="","",IF(C183&lt;Setup!$C$5-Setup!$C$6,"",IF(IF(ISNUMBER(Roster!$D183),Setup!$C$21&lt;=Roster!$D183,FALSE),"",IF(OR(IF(Setup!$C$15&lt;=Setup!$C$16,AND(MONTH(C183)&gt;=Setup!$C$15,MONTH(C183)&lt;=Setup!$C$16),OR(MONTH(C183)&gt;=Setup!$C$15,MONTH(C183)&lt;=Setup!$C$16)),IF(Setup!$C$15&lt;=Setup!$C$16,AND(MONTH(WORKDAY(C183,-(Setup!$C$13+Setup!$G$21),Setup!$C$39:$C$50))&gt;=Setup!$C$15,MONTH(WORKDAY(C183,-(Setup!$C$13+Setup!$G$21),Setup!$C$39:$C$50))&lt;=Setup!$C$16),OR(MONTH(WORKDAY(C183,-(Setup!$C$13+Setup!$G$21),Setup!$C$39:$C$50))&gt;=Setup!$C$15,MONTH(WORKDAY(C183,-(Setup!$C$13+Setup!$G$21),Setup!$C$39:$C$50))&lt;=Setup!$C$16))),WORKDAY(C183,-(Setup!$C$13+Setup!$G$21+Setup!$C$14),Setup!$C$39:$C$50),WORKDAY(C183,-(Setup!$C$13+Setup!$G$21),Setup!$C$39:$C$50))+(178*100+2)/10000000)))</f>
        <v/>
      </c>
      <c r="T183" t="str">
        <f>IF(D183="","",IF(D183&lt;Setup!$C$5-Setup!$C$6,"",IF(IF(ISNUMBER(Roster!$D183),Setup!$C$22&lt;=Roster!$D183,FALSE),"",IF(OR(IF(Setup!$C$15&lt;=Setup!$C$16,AND(MONTH(D183)&gt;=Setup!$C$15,MONTH(D183)&lt;=Setup!$C$16),OR(MONTH(D183)&gt;=Setup!$C$15,MONTH(D183)&lt;=Setup!$C$16)),IF(Setup!$C$15&lt;=Setup!$C$16,AND(MONTH(WORKDAY(D183,-(Setup!$C$13+Setup!$G$22),Setup!$C$39:$C$50))&gt;=Setup!$C$15,MONTH(WORKDAY(D183,-(Setup!$C$13+Setup!$G$22),Setup!$C$39:$C$50))&lt;=Setup!$C$16),OR(MONTH(WORKDAY(D183,-(Setup!$C$13+Setup!$G$22),Setup!$C$39:$C$50))&gt;=Setup!$C$15,MONTH(WORKDAY(D183,-(Setup!$C$13+Setup!$G$22),Setup!$C$39:$C$50))&lt;=Setup!$C$16))),WORKDAY(D183,-(Setup!$C$13+Setup!$G$22+Setup!$C$14),Setup!$C$39:$C$50),WORKDAY(D183,-(Setup!$C$13+Setup!$G$22),Setup!$C$39:$C$50))+(178*100+3)/10000000)))</f>
        <v/>
      </c>
      <c r="U183" t="str">
        <f>IF(E183="","",IF(E183&lt;Setup!$C$5-Setup!$C$6,"",IF(IF(ISNUMBER(Roster!$D183),Setup!$C$23&lt;=Roster!$D183,FALSE),"",IF(OR(IF(Setup!$C$15&lt;=Setup!$C$16,AND(MONTH(E183)&gt;=Setup!$C$15,MONTH(E183)&lt;=Setup!$C$16),OR(MONTH(E183)&gt;=Setup!$C$15,MONTH(E183)&lt;=Setup!$C$16)),IF(Setup!$C$15&lt;=Setup!$C$16,AND(MONTH(WORKDAY(E183,-(Setup!$C$13+Setup!$G$23),Setup!$C$39:$C$50))&gt;=Setup!$C$15,MONTH(WORKDAY(E183,-(Setup!$C$13+Setup!$G$23),Setup!$C$39:$C$50))&lt;=Setup!$C$16),OR(MONTH(WORKDAY(E183,-(Setup!$C$13+Setup!$G$23),Setup!$C$39:$C$50))&gt;=Setup!$C$15,MONTH(WORKDAY(E183,-(Setup!$C$13+Setup!$G$23),Setup!$C$39:$C$50))&lt;=Setup!$C$16))),WORKDAY(E183,-(Setup!$C$13+Setup!$G$23+Setup!$C$14),Setup!$C$39:$C$50),WORKDAY(E183,-(Setup!$C$13+Setup!$G$23),Setup!$C$39:$C$50))+(178*100+4)/10000000)))</f>
        <v/>
      </c>
      <c r="V183" t="str">
        <f>IF(F183="","",IF(F183&lt;Setup!$C$5-Setup!$C$6,"",IF(IF(ISNUMBER(Roster!$D183),Setup!$C$24&lt;=Roster!$D183,FALSE),"",IF(OR(IF(Setup!$C$15&lt;=Setup!$C$16,AND(MONTH(F183)&gt;=Setup!$C$15,MONTH(F183)&lt;=Setup!$C$16),OR(MONTH(F183)&gt;=Setup!$C$15,MONTH(F183)&lt;=Setup!$C$16)),IF(Setup!$C$15&lt;=Setup!$C$16,AND(MONTH(WORKDAY(F183,-(Setup!$C$13+Setup!$G$24),Setup!$C$39:$C$50))&gt;=Setup!$C$15,MONTH(WORKDAY(F183,-(Setup!$C$13+Setup!$G$24),Setup!$C$39:$C$50))&lt;=Setup!$C$16),OR(MONTH(WORKDAY(F183,-(Setup!$C$13+Setup!$G$24),Setup!$C$39:$C$50))&gt;=Setup!$C$15,MONTH(WORKDAY(F183,-(Setup!$C$13+Setup!$G$24),Setup!$C$39:$C$50))&lt;=Setup!$C$16))),WORKDAY(F183,-(Setup!$C$13+Setup!$G$24+Setup!$C$14),Setup!$C$39:$C$50),WORKDAY(F183,-(Setup!$C$13+Setup!$G$24),Setup!$C$39:$C$50))+(178*100+5)/10000000)))</f>
        <v/>
      </c>
      <c r="W183" t="str">
        <f>IF(G183="","",IF(G183&lt;Setup!$C$5-Setup!$C$6,"",IF(IF(ISNUMBER(Roster!$D183),Setup!$C$25&lt;=Roster!$D183,FALSE),"",IF(OR(IF(Setup!$C$15&lt;=Setup!$C$16,AND(MONTH(G183)&gt;=Setup!$C$15,MONTH(G183)&lt;=Setup!$C$16),OR(MONTH(G183)&gt;=Setup!$C$15,MONTH(G183)&lt;=Setup!$C$16)),IF(Setup!$C$15&lt;=Setup!$C$16,AND(MONTH(WORKDAY(G183,-(Setup!$C$13+Setup!$G$25),Setup!$C$39:$C$50))&gt;=Setup!$C$15,MONTH(WORKDAY(G183,-(Setup!$C$13+Setup!$G$25),Setup!$C$39:$C$50))&lt;=Setup!$C$16),OR(MONTH(WORKDAY(G183,-(Setup!$C$13+Setup!$G$25),Setup!$C$39:$C$50))&gt;=Setup!$C$15,MONTH(WORKDAY(G183,-(Setup!$C$13+Setup!$G$25),Setup!$C$39:$C$50))&lt;=Setup!$C$16))),WORKDAY(G183,-(Setup!$C$13+Setup!$G$25+Setup!$C$14),Setup!$C$39:$C$50),WORKDAY(G183,-(Setup!$C$13+Setup!$G$25),Setup!$C$39:$C$50))+(178*100+6)/10000000)))</f>
        <v/>
      </c>
      <c r="X183" t="str">
        <f>IF(H183="","",IF(H183&lt;Setup!$C$5-Setup!$C$6,"",IF(IF(ISNUMBER(Roster!$D183),Setup!$C$26&lt;=Roster!$D183,FALSE),"",IF(OR(IF(Setup!$C$15&lt;=Setup!$C$16,AND(MONTH(H183)&gt;=Setup!$C$15,MONTH(H183)&lt;=Setup!$C$16),OR(MONTH(H183)&gt;=Setup!$C$15,MONTH(H183)&lt;=Setup!$C$16)),IF(Setup!$C$15&lt;=Setup!$C$16,AND(MONTH(WORKDAY(H183,-(Setup!$C$13+Setup!$G$26),Setup!$C$39:$C$50))&gt;=Setup!$C$15,MONTH(WORKDAY(H183,-(Setup!$C$13+Setup!$G$26),Setup!$C$39:$C$50))&lt;=Setup!$C$16),OR(MONTH(WORKDAY(H183,-(Setup!$C$13+Setup!$G$26),Setup!$C$39:$C$50))&gt;=Setup!$C$15,MONTH(WORKDAY(H183,-(Setup!$C$13+Setup!$G$26),Setup!$C$39:$C$50))&lt;=Setup!$C$16))),WORKDAY(H183,-(Setup!$C$13+Setup!$G$26+Setup!$C$14),Setup!$C$39:$C$50),WORKDAY(H183,-(Setup!$C$13+Setup!$G$26),Setup!$C$39:$C$50))+(178*100+7)/10000000)))</f>
        <v/>
      </c>
      <c r="Y183" t="str">
        <f>IF(I183="","",IF(I183&lt;Setup!$C$5-Setup!$C$6,"",IF(IF(ISNUMBER(Roster!$D183),Setup!$C$27&lt;=Roster!$D183,FALSE),"",IF(OR(IF(Setup!$C$15&lt;=Setup!$C$16,AND(MONTH(I183)&gt;=Setup!$C$15,MONTH(I183)&lt;=Setup!$C$16),OR(MONTH(I183)&gt;=Setup!$C$15,MONTH(I183)&lt;=Setup!$C$16)),IF(Setup!$C$15&lt;=Setup!$C$16,AND(MONTH(WORKDAY(I183,-(Setup!$C$13+Setup!$G$27),Setup!$C$39:$C$50))&gt;=Setup!$C$15,MONTH(WORKDAY(I183,-(Setup!$C$13+Setup!$G$27),Setup!$C$39:$C$50))&lt;=Setup!$C$16),OR(MONTH(WORKDAY(I183,-(Setup!$C$13+Setup!$G$27),Setup!$C$39:$C$50))&gt;=Setup!$C$15,MONTH(WORKDAY(I183,-(Setup!$C$13+Setup!$G$27),Setup!$C$39:$C$50))&lt;=Setup!$C$16))),WORKDAY(I183,-(Setup!$C$13+Setup!$G$27+Setup!$C$14),Setup!$C$39:$C$50),WORKDAY(I183,-(Setup!$C$13+Setup!$G$27),Setup!$C$39:$C$50))+(178*100+8)/10000000)))</f>
        <v/>
      </c>
      <c r="Z183" t="str">
        <f>IF(J183="","",IF(J183&lt;Setup!$C$5-Setup!$C$6,"",IF(IF(ISNUMBER(Roster!$D183),Setup!$C$28&lt;=Roster!$D183,FALSE),"",IF(OR(IF(Setup!$C$15&lt;=Setup!$C$16,AND(MONTH(J183)&gt;=Setup!$C$15,MONTH(J183)&lt;=Setup!$C$16),OR(MONTH(J183)&gt;=Setup!$C$15,MONTH(J183)&lt;=Setup!$C$16)),IF(Setup!$C$15&lt;=Setup!$C$16,AND(MONTH(WORKDAY(J183,-(Setup!$C$13+Setup!$G$28),Setup!$C$39:$C$50))&gt;=Setup!$C$15,MONTH(WORKDAY(J183,-(Setup!$C$13+Setup!$G$28),Setup!$C$39:$C$50))&lt;=Setup!$C$16),OR(MONTH(WORKDAY(J183,-(Setup!$C$13+Setup!$G$28),Setup!$C$39:$C$50))&gt;=Setup!$C$15,MONTH(WORKDAY(J183,-(Setup!$C$13+Setup!$G$28),Setup!$C$39:$C$50))&lt;=Setup!$C$16))),WORKDAY(J183,-(Setup!$C$13+Setup!$G$28+Setup!$C$14),Setup!$C$39:$C$50),WORKDAY(J183,-(Setup!$C$13+Setup!$G$28),Setup!$C$39:$C$50))+(178*100+9)/10000000)))</f>
        <v/>
      </c>
      <c r="AA183" t="str">
        <f>IF(K183="","",IF(K183&lt;Setup!$C$5-Setup!$C$6,"",IF(IF(ISNUMBER(Roster!$D183),Setup!$C$29&lt;=Roster!$D183,FALSE),"",IF(OR(IF(Setup!$C$15&lt;=Setup!$C$16,AND(MONTH(K183)&gt;=Setup!$C$15,MONTH(K183)&lt;=Setup!$C$16),OR(MONTH(K183)&gt;=Setup!$C$15,MONTH(K183)&lt;=Setup!$C$16)),IF(Setup!$C$15&lt;=Setup!$C$16,AND(MONTH(WORKDAY(K183,-(Setup!$C$13+Setup!$G$29),Setup!$C$39:$C$50))&gt;=Setup!$C$15,MONTH(WORKDAY(K183,-(Setup!$C$13+Setup!$G$29),Setup!$C$39:$C$50))&lt;=Setup!$C$16),OR(MONTH(WORKDAY(K183,-(Setup!$C$13+Setup!$G$29),Setup!$C$39:$C$50))&gt;=Setup!$C$15,MONTH(WORKDAY(K183,-(Setup!$C$13+Setup!$G$29),Setup!$C$39:$C$50))&lt;=Setup!$C$16))),WORKDAY(K183,-(Setup!$C$13+Setup!$G$29+Setup!$C$14),Setup!$C$39:$C$50),WORKDAY(K183,-(Setup!$C$13+Setup!$G$29),Setup!$C$39:$C$50))+(178*100+10)/10000000)))</f>
        <v/>
      </c>
      <c r="AB183" t="str">
        <f>IF(L183="","",IF(L183&lt;Setup!$C$5-Setup!$C$6,"",IF(IF(ISNUMBER(Roster!$D183),Setup!$C$30&lt;=Roster!$D183,FALSE),"",IF(OR(IF(Setup!$C$15&lt;=Setup!$C$16,AND(MONTH(L183)&gt;=Setup!$C$15,MONTH(L183)&lt;=Setup!$C$16),OR(MONTH(L183)&gt;=Setup!$C$15,MONTH(L183)&lt;=Setup!$C$16)),IF(Setup!$C$15&lt;=Setup!$C$16,AND(MONTH(WORKDAY(L183,-(Setup!$C$13+Setup!$G$30),Setup!$C$39:$C$50))&gt;=Setup!$C$15,MONTH(WORKDAY(L183,-(Setup!$C$13+Setup!$G$30),Setup!$C$39:$C$50))&lt;=Setup!$C$16),OR(MONTH(WORKDAY(L183,-(Setup!$C$13+Setup!$G$30),Setup!$C$39:$C$50))&gt;=Setup!$C$15,MONTH(WORKDAY(L183,-(Setup!$C$13+Setup!$G$30),Setup!$C$39:$C$50))&lt;=Setup!$C$16))),WORKDAY(L183,-(Setup!$C$13+Setup!$G$30+Setup!$C$14),Setup!$C$39:$C$50),WORKDAY(L183,-(Setup!$C$13+Setup!$G$30),Setup!$C$39:$C$50))+(178*100+11)/10000000)))</f>
        <v/>
      </c>
      <c r="AC183" t="str">
        <f>IF(M183="","",IF(M183&lt;Setup!$C$5-Setup!$C$6,"",IF(IF(ISNUMBER(Roster!$D183),Setup!$C$31&lt;=Roster!$D183,FALSE),"",IF(OR(IF(Setup!$C$15&lt;=Setup!$C$16,AND(MONTH(M183)&gt;=Setup!$C$15,MONTH(M183)&lt;=Setup!$C$16),OR(MONTH(M183)&gt;=Setup!$C$15,MONTH(M183)&lt;=Setup!$C$16)),IF(Setup!$C$15&lt;=Setup!$C$16,AND(MONTH(WORKDAY(M183,-(Setup!$C$13+Setup!$G$31),Setup!$C$39:$C$50))&gt;=Setup!$C$15,MONTH(WORKDAY(M183,-(Setup!$C$13+Setup!$G$31),Setup!$C$39:$C$50))&lt;=Setup!$C$16),OR(MONTH(WORKDAY(M183,-(Setup!$C$13+Setup!$G$31),Setup!$C$39:$C$50))&gt;=Setup!$C$15,MONTH(WORKDAY(M183,-(Setup!$C$13+Setup!$G$31),Setup!$C$39:$C$50))&lt;=Setup!$C$16))),WORKDAY(M183,-(Setup!$C$13+Setup!$G$31+Setup!$C$14),Setup!$C$39:$C$50),WORKDAY(M183,-(Setup!$C$13+Setup!$G$31),Setup!$C$39:$C$50))+(178*100+12)/10000000)))</f>
        <v/>
      </c>
      <c r="AD183" t="str">
        <f>IF(N183="","",IF(N183&lt;Setup!$C$5-Setup!$C$6,"",IF(IF(ISNUMBER(Roster!$D183),Setup!$C$32&lt;=Roster!$D183,FALSE),"",IF(OR(IF(Setup!$C$15&lt;=Setup!$C$16,AND(MONTH(N183)&gt;=Setup!$C$15,MONTH(N183)&lt;=Setup!$C$16),OR(MONTH(N183)&gt;=Setup!$C$15,MONTH(N183)&lt;=Setup!$C$16)),IF(Setup!$C$15&lt;=Setup!$C$16,AND(MONTH(WORKDAY(N183,-(Setup!$C$13+Setup!$G$32),Setup!$C$39:$C$50))&gt;=Setup!$C$15,MONTH(WORKDAY(N183,-(Setup!$C$13+Setup!$G$32),Setup!$C$39:$C$50))&lt;=Setup!$C$16),OR(MONTH(WORKDAY(N183,-(Setup!$C$13+Setup!$G$32),Setup!$C$39:$C$50))&gt;=Setup!$C$15,MONTH(WORKDAY(N183,-(Setup!$C$13+Setup!$G$32),Setup!$C$39:$C$50))&lt;=Setup!$C$16))),WORKDAY(N183,-(Setup!$C$13+Setup!$G$32+Setup!$C$14),Setup!$C$39:$C$50),WORKDAY(N183,-(Setup!$C$13+Setup!$G$32),Setup!$C$39:$C$50))+(178*100+13)/10000000)))</f>
        <v/>
      </c>
      <c r="AE183" t="str">
        <f>IF(O183="","",IF(O183&lt;Setup!$C$5-Setup!$C$6,"",IF(IF(ISNUMBER(Roster!$D183),Setup!$C$33&lt;=Roster!$D183,FALSE),"",IF(OR(IF(Setup!$C$15&lt;=Setup!$C$16,AND(MONTH(O183)&gt;=Setup!$C$15,MONTH(O183)&lt;=Setup!$C$16),OR(MONTH(O183)&gt;=Setup!$C$15,MONTH(O183)&lt;=Setup!$C$16)),IF(Setup!$C$15&lt;=Setup!$C$16,AND(MONTH(WORKDAY(O183,-(Setup!$C$13+Setup!$G$33),Setup!$C$39:$C$50))&gt;=Setup!$C$15,MONTH(WORKDAY(O183,-(Setup!$C$13+Setup!$G$33),Setup!$C$39:$C$50))&lt;=Setup!$C$16),OR(MONTH(WORKDAY(O183,-(Setup!$C$13+Setup!$G$33),Setup!$C$39:$C$50))&gt;=Setup!$C$15,MONTH(WORKDAY(O183,-(Setup!$C$13+Setup!$G$33),Setup!$C$39:$C$50))&lt;=Setup!$C$16))),WORKDAY(O183,-(Setup!$C$13+Setup!$G$33+Setup!$C$14),Setup!$C$39:$C$50),WORKDAY(O183,-(Setup!$C$13+Setup!$G$33),Setup!$C$39:$C$50))+(178*100+14)/10000000)))</f>
        <v/>
      </c>
      <c r="AF183" t="str">
        <f>IF(P183="","",IF(P183&lt;Setup!$C$5-Setup!$C$6,"",IF(IF(ISNUMBER(Roster!$D183),Setup!$C$34&lt;=Roster!$D183,FALSE),"",IF(OR(IF(Setup!$C$15&lt;=Setup!$C$16,AND(MONTH(P183)&gt;=Setup!$C$15,MONTH(P183)&lt;=Setup!$C$16),OR(MONTH(P183)&gt;=Setup!$C$15,MONTH(P183)&lt;=Setup!$C$16)),IF(Setup!$C$15&lt;=Setup!$C$16,AND(MONTH(WORKDAY(P183,-(Setup!$C$13+Setup!$G$34),Setup!$C$39:$C$50))&gt;=Setup!$C$15,MONTH(WORKDAY(P183,-(Setup!$C$13+Setup!$G$34),Setup!$C$39:$C$50))&lt;=Setup!$C$16),OR(MONTH(WORKDAY(P183,-(Setup!$C$13+Setup!$G$34),Setup!$C$39:$C$50))&gt;=Setup!$C$15,MONTH(WORKDAY(P183,-(Setup!$C$13+Setup!$G$34),Setup!$C$39:$C$50))&lt;=Setup!$C$16))),WORKDAY(P183,-(Setup!$C$13+Setup!$G$34+Setup!$C$14),Setup!$C$39:$C$50),WORKDAY(P183,-(Setup!$C$13+Setup!$G$34),Setup!$C$39:$C$50))+(178*100+15)/10000000)))</f>
        <v/>
      </c>
      <c r="AH183" t="str">
        <f t="shared" si="17"/>
        <v/>
      </c>
      <c r="AI183" t="str">
        <f t="shared" si="18"/>
        <v/>
      </c>
      <c r="AK183" t="str">
        <f ca="1">IF(178&gt;$AK$2,"",SMALL($R$6:$AF$505,178))</f>
        <v/>
      </c>
      <c r="AL183" t="str">
        <f t="shared" ca="1" si="19"/>
        <v/>
      </c>
      <c r="AM183" t="str">
        <f t="shared" ca="1" si="20"/>
        <v/>
      </c>
      <c r="AN183" t="str">
        <f t="shared" ca="1" si="21"/>
        <v/>
      </c>
      <c r="AP183" t="str">
        <f>IF(ISNUMBER(Roster!$B183),MAX(1,YEAR(Setup!$C$5)-YEAR(Roster!$B183)+IF(EDATE(Roster!$B183,12*(YEAR(Setup!$C$5)-YEAR(Roster!$B183)))&lt;Setup!$C$5,1,0)),"")</f>
        <v/>
      </c>
      <c r="AQ183" s="32" t="str">
        <f>IF(AP183="","",EDATE(Roster!$B183,12*AP183))</f>
        <v/>
      </c>
      <c r="AR183" t="str">
        <f>IF(AQ183="","",IF(AQ183&lt;DATE(YEAR(Setup!$C$5)+1,MONTH(Setup!$C$5),DAY(Setup!$C$5)),AQ183+178/1000,""))</f>
        <v/>
      </c>
      <c r="AS183" t="str">
        <f t="shared" si="22"/>
        <v/>
      </c>
      <c r="AT183" t="str">
        <f>IF(AS183="","",IF(ISNUMBER(Roster!$D183),Roster!$D183&gt;=AP183,FALSE))</f>
        <v/>
      </c>
      <c r="AU183" t="str">
        <f t="shared" si="23"/>
        <v/>
      </c>
      <c r="AV183" t="str">
        <f ca="1">IF(178&gt;$AV$2,"",SMALL($AR$6:$AR$505,178))</f>
        <v/>
      </c>
      <c r="AW183" t="str">
        <f t="shared" ca="1" si="24"/>
        <v/>
      </c>
    </row>
    <row r="184" spans="2:49" x14ac:dyDescent="0.2">
      <c r="B184" s="32" t="str">
        <f>IF(AND(ISNUMBER(Roster!$B184),Setup!$B$20="Yes",ISNUMBER(Setup!$C$20)),EDATE(Roster!$B184,12*Setup!$C$20),"")</f>
        <v/>
      </c>
      <c r="C184" s="32" t="str">
        <f>IF(AND(ISNUMBER(Roster!$B184),Setup!$B$21="Yes",ISNUMBER(Setup!$C$21)),EDATE(Roster!$B184,12*Setup!$C$21),"")</f>
        <v/>
      </c>
      <c r="D184" s="32" t="str">
        <f>IF(AND(ISNUMBER(Roster!$B184),Setup!$B$22="Yes",ISNUMBER(Setup!$C$22)),EDATE(Roster!$B184,12*Setup!$C$22),"")</f>
        <v/>
      </c>
      <c r="E184" s="32" t="str">
        <f>IF(AND(ISNUMBER(Roster!$B184),Setup!$B$23="Yes",ISNUMBER(Setup!$C$23)),EDATE(Roster!$B184,12*Setup!$C$23),"")</f>
        <v/>
      </c>
      <c r="F184" s="32" t="str">
        <f>IF(AND(ISNUMBER(Roster!$B184),Setup!$B$24="Yes",ISNUMBER(Setup!$C$24)),EDATE(Roster!$B184,12*Setup!$C$24),"")</f>
        <v/>
      </c>
      <c r="G184" s="32" t="str">
        <f>IF(AND(ISNUMBER(Roster!$B184),Setup!$B$25="Yes",ISNUMBER(Setup!$C$25)),EDATE(Roster!$B184,12*Setup!$C$25),"")</f>
        <v/>
      </c>
      <c r="H184" s="32" t="str">
        <f>IF(AND(ISNUMBER(Roster!$B184),Setup!$B$26="Yes",ISNUMBER(Setup!$C$26)),EDATE(Roster!$B184,12*Setup!$C$26),"")</f>
        <v/>
      </c>
      <c r="I184" s="32" t="str">
        <f>IF(AND(ISNUMBER(Roster!$B184),Setup!$B$27="Yes",ISNUMBER(Setup!$C$27)),EDATE(Roster!$B184,12*Setup!$C$27),"")</f>
        <v/>
      </c>
      <c r="J184" s="32" t="str">
        <f>IF(AND(ISNUMBER(Roster!$B184),Setup!$B$28="Yes",ISNUMBER(Setup!$C$28)),EDATE(Roster!$B184,12*Setup!$C$28),"")</f>
        <v/>
      </c>
      <c r="K184" s="32" t="str">
        <f>IF(AND(ISNUMBER(Roster!$B184),Setup!$B$29="Yes",ISNUMBER(Setup!$C$29)),EDATE(Roster!$B184,12*Setup!$C$29),"")</f>
        <v/>
      </c>
      <c r="L184" s="32" t="str">
        <f>IF(AND(ISNUMBER(Roster!$B184),Setup!$B$30="Yes",ISNUMBER(Setup!$C$30)),EDATE(Roster!$B184,12*Setup!$C$30),"")</f>
        <v/>
      </c>
      <c r="M184" s="32" t="str">
        <f>IF(AND(ISNUMBER(Roster!$B184),Setup!$B$31="Yes",ISNUMBER(Setup!$C$31)),EDATE(Roster!$B184,12*Setup!$C$31),"")</f>
        <v/>
      </c>
      <c r="N184" s="32" t="str">
        <f>IF(AND(ISNUMBER(Roster!$B184),Setup!$B$32="Yes",ISNUMBER(Setup!$C$32)),EDATE(Roster!$B184,12*Setup!$C$32),"")</f>
        <v/>
      </c>
      <c r="O184" s="32" t="str">
        <f>IF(AND(ISNUMBER(Roster!$B184),Setup!$B$33="Yes",ISNUMBER(Setup!$C$33)),EDATE(Roster!$B184,12*Setup!$C$33),"")</f>
        <v/>
      </c>
      <c r="P184" s="32" t="str">
        <f>IF(AND(ISNUMBER(Roster!$B184),Setup!$B$34="Yes",ISNUMBER(Setup!$C$34)),EDATE(Roster!$B184,12*Setup!$C$34),"")</f>
        <v/>
      </c>
      <c r="R184" t="str">
        <f>IF(B184="","",IF(B184&lt;Setup!$C$5-Setup!$C$6,"",IF(IF(ISNUMBER(Roster!$D184),Setup!$C$20&lt;=Roster!$D184,FALSE),"",IF(OR(IF(Setup!$C$15&lt;=Setup!$C$16,AND(MONTH(B184)&gt;=Setup!$C$15,MONTH(B184)&lt;=Setup!$C$16),OR(MONTH(B184)&gt;=Setup!$C$15,MONTH(B184)&lt;=Setup!$C$16)),IF(Setup!$C$15&lt;=Setup!$C$16,AND(MONTH(WORKDAY(B184,-(Setup!$C$13+Setup!$G$20),Setup!$C$39:$C$50))&gt;=Setup!$C$15,MONTH(WORKDAY(B184,-(Setup!$C$13+Setup!$G$20),Setup!$C$39:$C$50))&lt;=Setup!$C$16),OR(MONTH(WORKDAY(B184,-(Setup!$C$13+Setup!$G$20),Setup!$C$39:$C$50))&gt;=Setup!$C$15,MONTH(WORKDAY(B184,-(Setup!$C$13+Setup!$G$20),Setup!$C$39:$C$50))&lt;=Setup!$C$16))),WORKDAY(B184,-(Setup!$C$13+Setup!$G$20+Setup!$C$14),Setup!$C$39:$C$50),WORKDAY(B184,-(Setup!$C$13+Setup!$G$20),Setup!$C$39:$C$50))+(179*100+1)/10000000)))</f>
        <v/>
      </c>
      <c r="S184" t="str">
        <f>IF(C184="","",IF(C184&lt;Setup!$C$5-Setup!$C$6,"",IF(IF(ISNUMBER(Roster!$D184),Setup!$C$21&lt;=Roster!$D184,FALSE),"",IF(OR(IF(Setup!$C$15&lt;=Setup!$C$16,AND(MONTH(C184)&gt;=Setup!$C$15,MONTH(C184)&lt;=Setup!$C$16),OR(MONTH(C184)&gt;=Setup!$C$15,MONTH(C184)&lt;=Setup!$C$16)),IF(Setup!$C$15&lt;=Setup!$C$16,AND(MONTH(WORKDAY(C184,-(Setup!$C$13+Setup!$G$21),Setup!$C$39:$C$50))&gt;=Setup!$C$15,MONTH(WORKDAY(C184,-(Setup!$C$13+Setup!$G$21),Setup!$C$39:$C$50))&lt;=Setup!$C$16),OR(MONTH(WORKDAY(C184,-(Setup!$C$13+Setup!$G$21),Setup!$C$39:$C$50))&gt;=Setup!$C$15,MONTH(WORKDAY(C184,-(Setup!$C$13+Setup!$G$21),Setup!$C$39:$C$50))&lt;=Setup!$C$16))),WORKDAY(C184,-(Setup!$C$13+Setup!$G$21+Setup!$C$14),Setup!$C$39:$C$50),WORKDAY(C184,-(Setup!$C$13+Setup!$G$21),Setup!$C$39:$C$50))+(179*100+2)/10000000)))</f>
        <v/>
      </c>
      <c r="T184" t="str">
        <f>IF(D184="","",IF(D184&lt;Setup!$C$5-Setup!$C$6,"",IF(IF(ISNUMBER(Roster!$D184),Setup!$C$22&lt;=Roster!$D184,FALSE),"",IF(OR(IF(Setup!$C$15&lt;=Setup!$C$16,AND(MONTH(D184)&gt;=Setup!$C$15,MONTH(D184)&lt;=Setup!$C$16),OR(MONTH(D184)&gt;=Setup!$C$15,MONTH(D184)&lt;=Setup!$C$16)),IF(Setup!$C$15&lt;=Setup!$C$16,AND(MONTH(WORKDAY(D184,-(Setup!$C$13+Setup!$G$22),Setup!$C$39:$C$50))&gt;=Setup!$C$15,MONTH(WORKDAY(D184,-(Setup!$C$13+Setup!$G$22),Setup!$C$39:$C$50))&lt;=Setup!$C$16),OR(MONTH(WORKDAY(D184,-(Setup!$C$13+Setup!$G$22),Setup!$C$39:$C$50))&gt;=Setup!$C$15,MONTH(WORKDAY(D184,-(Setup!$C$13+Setup!$G$22),Setup!$C$39:$C$50))&lt;=Setup!$C$16))),WORKDAY(D184,-(Setup!$C$13+Setup!$G$22+Setup!$C$14),Setup!$C$39:$C$50),WORKDAY(D184,-(Setup!$C$13+Setup!$G$22),Setup!$C$39:$C$50))+(179*100+3)/10000000)))</f>
        <v/>
      </c>
      <c r="U184" t="str">
        <f>IF(E184="","",IF(E184&lt;Setup!$C$5-Setup!$C$6,"",IF(IF(ISNUMBER(Roster!$D184),Setup!$C$23&lt;=Roster!$D184,FALSE),"",IF(OR(IF(Setup!$C$15&lt;=Setup!$C$16,AND(MONTH(E184)&gt;=Setup!$C$15,MONTH(E184)&lt;=Setup!$C$16),OR(MONTH(E184)&gt;=Setup!$C$15,MONTH(E184)&lt;=Setup!$C$16)),IF(Setup!$C$15&lt;=Setup!$C$16,AND(MONTH(WORKDAY(E184,-(Setup!$C$13+Setup!$G$23),Setup!$C$39:$C$50))&gt;=Setup!$C$15,MONTH(WORKDAY(E184,-(Setup!$C$13+Setup!$G$23),Setup!$C$39:$C$50))&lt;=Setup!$C$16),OR(MONTH(WORKDAY(E184,-(Setup!$C$13+Setup!$G$23),Setup!$C$39:$C$50))&gt;=Setup!$C$15,MONTH(WORKDAY(E184,-(Setup!$C$13+Setup!$G$23),Setup!$C$39:$C$50))&lt;=Setup!$C$16))),WORKDAY(E184,-(Setup!$C$13+Setup!$G$23+Setup!$C$14),Setup!$C$39:$C$50),WORKDAY(E184,-(Setup!$C$13+Setup!$G$23),Setup!$C$39:$C$50))+(179*100+4)/10000000)))</f>
        <v/>
      </c>
      <c r="V184" t="str">
        <f>IF(F184="","",IF(F184&lt;Setup!$C$5-Setup!$C$6,"",IF(IF(ISNUMBER(Roster!$D184),Setup!$C$24&lt;=Roster!$D184,FALSE),"",IF(OR(IF(Setup!$C$15&lt;=Setup!$C$16,AND(MONTH(F184)&gt;=Setup!$C$15,MONTH(F184)&lt;=Setup!$C$16),OR(MONTH(F184)&gt;=Setup!$C$15,MONTH(F184)&lt;=Setup!$C$16)),IF(Setup!$C$15&lt;=Setup!$C$16,AND(MONTH(WORKDAY(F184,-(Setup!$C$13+Setup!$G$24),Setup!$C$39:$C$50))&gt;=Setup!$C$15,MONTH(WORKDAY(F184,-(Setup!$C$13+Setup!$G$24),Setup!$C$39:$C$50))&lt;=Setup!$C$16),OR(MONTH(WORKDAY(F184,-(Setup!$C$13+Setup!$G$24),Setup!$C$39:$C$50))&gt;=Setup!$C$15,MONTH(WORKDAY(F184,-(Setup!$C$13+Setup!$G$24),Setup!$C$39:$C$50))&lt;=Setup!$C$16))),WORKDAY(F184,-(Setup!$C$13+Setup!$G$24+Setup!$C$14),Setup!$C$39:$C$50),WORKDAY(F184,-(Setup!$C$13+Setup!$G$24),Setup!$C$39:$C$50))+(179*100+5)/10000000)))</f>
        <v/>
      </c>
      <c r="W184" t="str">
        <f>IF(G184="","",IF(G184&lt;Setup!$C$5-Setup!$C$6,"",IF(IF(ISNUMBER(Roster!$D184),Setup!$C$25&lt;=Roster!$D184,FALSE),"",IF(OR(IF(Setup!$C$15&lt;=Setup!$C$16,AND(MONTH(G184)&gt;=Setup!$C$15,MONTH(G184)&lt;=Setup!$C$16),OR(MONTH(G184)&gt;=Setup!$C$15,MONTH(G184)&lt;=Setup!$C$16)),IF(Setup!$C$15&lt;=Setup!$C$16,AND(MONTH(WORKDAY(G184,-(Setup!$C$13+Setup!$G$25),Setup!$C$39:$C$50))&gt;=Setup!$C$15,MONTH(WORKDAY(G184,-(Setup!$C$13+Setup!$G$25),Setup!$C$39:$C$50))&lt;=Setup!$C$16),OR(MONTH(WORKDAY(G184,-(Setup!$C$13+Setup!$G$25),Setup!$C$39:$C$50))&gt;=Setup!$C$15,MONTH(WORKDAY(G184,-(Setup!$C$13+Setup!$G$25),Setup!$C$39:$C$50))&lt;=Setup!$C$16))),WORKDAY(G184,-(Setup!$C$13+Setup!$G$25+Setup!$C$14),Setup!$C$39:$C$50),WORKDAY(G184,-(Setup!$C$13+Setup!$G$25),Setup!$C$39:$C$50))+(179*100+6)/10000000)))</f>
        <v/>
      </c>
      <c r="X184" t="str">
        <f>IF(H184="","",IF(H184&lt;Setup!$C$5-Setup!$C$6,"",IF(IF(ISNUMBER(Roster!$D184),Setup!$C$26&lt;=Roster!$D184,FALSE),"",IF(OR(IF(Setup!$C$15&lt;=Setup!$C$16,AND(MONTH(H184)&gt;=Setup!$C$15,MONTH(H184)&lt;=Setup!$C$16),OR(MONTH(H184)&gt;=Setup!$C$15,MONTH(H184)&lt;=Setup!$C$16)),IF(Setup!$C$15&lt;=Setup!$C$16,AND(MONTH(WORKDAY(H184,-(Setup!$C$13+Setup!$G$26),Setup!$C$39:$C$50))&gt;=Setup!$C$15,MONTH(WORKDAY(H184,-(Setup!$C$13+Setup!$G$26),Setup!$C$39:$C$50))&lt;=Setup!$C$16),OR(MONTH(WORKDAY(H184,-(Setup!$C$13+Setup!$G$26),Setup!$C$39:$C$50))&gt;=Setup!$C$15,MONTH(WORKDAY(H184,-(Setup!$C$13+Setup!$G$26),Setup!$C$39:$C$50))&lt;=Setup!$C$16))),WORKDAY(H184,-(Setup!$C$13+Setup!$G$26+Setup!$C$14),Setup!$C$39:$C$50),WORKDAY(H184,-(Setup!$C$13+Setup!$G$26),Setup!$C$39:$C$50))+(179*100+7)/10000000)))</f>
        <v/>
      </c>
      <c r="Y184" t="str">
        <f>IF(I184="","",IF(I184&lt;Setup!$C$5-Setup!$C$6,"",IF(IF(ISNUMBER(Roster!$D184),Setup!$C$27&lt;=Roster!$D184,FALSE),"",IF(OR(IF(Setup!$C$15&lt;=Setup!$C$16,AND(MONTH(I184)&gt;=Setup!$C$15,MONTH(I184)&lt;=Setup!$C$16),OR(MONTH(I184)&gt;=Setup!$C$15,MONTH(I184)&lt;=Setup!$C$16)),IF(Setup!$C$15&lt;=Setup!$C$16,AND(MONTH(WORKDAY(I184,-(Setup!$C$13+Setup!$G$27),Setup!$C$39:$C$50))&gt;=Setup!$C$15,MONTH(WORKDAY(I184,-(Setup!$C$13+Setup!$G$27),Setup!$C$39:$C$50))&lt;=Setup!$C$16),OR(MONTH(WORKDAY(I184,-(Setup!$C$13+Setup!$G$27),Setup!$C$39:$C$50))&gt;=Setup!$C$15,MONTH(WORKDAY(I184,-(Setup!$C$13+Setup!$G$27),Setup!$C$39:$C$50))&lt;=Setup!$C$16))),WORKDAY(I184,-(Setup!$C$13+Setup!$G$27+Setup!$C$14),Setup!$C$39:$C$50),WORKDAY(I184,-(Setup!$C$13+Setup!$G$27),Setup!$C$39:$C$50))+(179*100+8)/10000000)))</f>
        <v/>
      </c>
      <c r="Z184" t="str">
        <f>IF(J184="","",IF(J184&lt;Setup!$C$5-Setup!$C$6,"",IF(IF(ISNUMBER(Roster!$D184),Setup!$C$28&lt;=Roster!$D184,FALSE),"",IF(OR(IF(Setup!$C$15&lt;=Setup!$C$16,AND(MONTH(J184)&gt;=Setup!$C$15,MONTH(J184)&lt;=Setup!$C$16),OR(MONTH(J184)&gt;=Setup!$C$15,MONTH(J184)&lt;=Setup!$C$16)),IF(Setup!$C$15&lt;=Setup!$C$16,AND(MONTH(WORKDAY(J184,-(Setup!$C$13+Setup!$G$28),Setup!$C$39:$C$50))&gt;=Setup!$C$15,MONTH(WORKDAY(J184,-(Setup!$C$13+Setup!$G$28),Setup!$C$39:$C$50))&lt;=Setup!$C$16),OR(MONTH(WORKDAY(J184,-(Setup!$C$13+Setup!$G$28),Setup!$C$39:$C$50))&gt;=Setup!$C$15,MONTH(WORKDAY(J184,-(Setup!$C$13+Setup!$G$28),Setup!$C$39:$C$50))&lt;=Setup!$C$16))),WORKDAY(J184,-(Setup!$C$13+Setup!$G$28+Setup!$C$14),Setup!$C$39:$C$50),WORKDAY(J184,-(Setup!$C$13+Setup!$G$28),Setup!$C$39:$C$50))+(179*100+9)/10000000)))</f>
        <v/>
      </c>
      <c r="AA184" t="str">
        <f>IF(K184="","",IF(K184&lt;Setup!$C$5-Setup!$C$6,"",IF(IF(ISNUMBER(Roster!$D184),Setup!$C$29&lt;=Roster!$D184,FALSE),"",IF(OR(IF(Setup!$C$15&lt;=Setup!$C$16,AND(MONTH(K184)&gt;=Setup!$C$15,MONTH(K184)&lt;=Setup!$C$16),OR(MONTH(K184)&gt;=Setup!$C$15,MONTH(K184)&lt;=Setup!$C$16)),IF(Setup!$C$15&lt;=Setup!$C$16,AND(MONTH(WORKDAY(K184,-(Setup!$C$13+Setup!$G$29),Setup!$C$39:$C$50))&gt;=Setup!$C$15,MONTH(WORKDAY(K184,-(Setup!$C$13+Setup!$G$29),Setup!$C$39:$C$50))&lt;=Setup!$C$16),OR(MONTH(WORKDAY(K184,-(Setup!$C$13+Setup!$G$29),Setup!$C$39:$C$50))&gt;=Setup!$C$15,MONTH(WORKDAY(K184,-(Setup!$C$13+Setup!$G$29),Setup!$C$39:$C$50))&lt;=Setup!$C$16))),WORKDAY(K184,-(Setup!$C$13+Setup!$G$29+Setup!$C$14),Setup!$C$39:$C$50),WORKDAY(K184,-(Setup!$C$13+Setup!$G$29),Setup!$C$39:$C$50))+(179*100+10)/10000000)))</f>
        <v/>
      </c>
      <c r="AB184" t="str">
        <f>IF(L184="","",IF(L184&lt;Setup!$C$5-Setup!$C$6,"",IF(IF(ISNUMBER(Roster!$D184),Setup!$C$30&lt;=Roster!$D184,FALSE),"",IF(OR(IF(Setup!$C$15&lt;=Setup!$C$16,AND(MONTH(L184)&gt;=Setup!$C$15,MONTH(L184)&lt;=Setup!$C$16),OR(MONTH(L184)&gt;=Setup!$C$15,MONTH(L184)&lt;=Setup!$C$16)),IF(Setup!$C$15&lt;=Setup!$C$16,AND(MONTH(WORKDAY(L184,-(Setup!$C$13+Setup!$G$30),Setup!$C$39:$C$50))&gt;=Setup!$C$15,MONTH(WORKDAY(L184,-(Setup!$C$13+Setup!$G$30),Setup!$C$39:$C$50))&lt;=Setup!$C$16),OR(MONTH(WORKDAY(L184,-(Setup!$C$13+Setup!$G$30),Setup!$C$39:$C$50))&gt;=Setup!$C$15,MONTH(WORKDAY(L184,-(Setup!$C$13+Setup!$G$30),Setup!$C$39:$C$50))&lt;=Setup!$C$16))),WORKDAY(L184,-(Setup!$C$13+Setup!$G$30+Setup!$C$14),Setup!$C$39:$C$50),WORKDAY(L184,-(Setup!$C$13+Setup!$G$30),Setup!$C$39:$C$50))+(179*100+11)/10000000)))</f>
        <v/>
      </c>
      <c r="AC184" t="str">
        <f>IF(M184="","",IF(M184&lt;Setup!$C$5-Setup!$C$6,"",IF(IF(ISNUMBER(Roster!$D184),Setup!$C$31&lt;=Roster!$D184,FALSE),"",IF(OR(IF(Setup!$C$15&lt;=Setup!$C$16,AND(MONTH(M184)&gt;=Setup!$C$15,MONTH(M184)&lt;=Setup!$C$16),OR(MONTH(M184)&gt;=Setup!$C$15,MONTH(M184)&lt;=Setup!$C$16)),IF(Setup!$C$15&lt;=Setup!$C$16,AND(MONTH(WORKDAY(M184,-(Setup!$C$13+Setup!$G$31),Setup!$C$39:$C$50))&gt;=Setup!$C$15,MONTH(WORKDAY(M184,-(Setup!$C$13+Setup!$G$31),Setup!$C$39:$C$50))&lt;=Setup!$C$16),OR(MONTH(WORKDAY(M184,-(Setup!$C$13+Setup!$G$31),Setup!$C$39:$C$50))&gt;=Setup!$C$15,MONTH(WORKDAY(M184,-(Setup!$C$13+Setup!$G$31),Setup!$C$39:$C$50))&lt;=Setup!$C$16))),WORKDAY(M184,-(Setup!$C$13+Setup!$G$31+Setup!$C$14),Setup!$C$39:$C$50),WORKDAY(M184,-(Setup!$C$13+Setup!$G$31),Setup!$C$39:$C$50))+(179*100+12)/10000000)))</f>
        <v/>
      </c>
      <c r="AD184" t="str">
        <f>IF(N184="","",IF(N184&lt;Setup!$C$5-Setup!$C$6,"",IF(IF(ISNUMBER(Roster!$D184),Setup!$C$32&lt;=Roster!$D184,FALSE),"",IF(OR(IF(Setup!$C$15&lt;=Setup!$C$16,AND(MONTH(N184)&gt;=Setup!$C$15,MONTH(N184)&lt;=Setup!$C$16),OR(MONTH(N184)&gt;=Setup!$C$15,MONTH(N184)&lt;=Setup!$C$16)),IF(Setup!$C$15&lt;=Setup!$C$16,AND(MONTH(WORKDAY(N184,-(Setup!$C$13+Setup!$G$32),Setup!$C$39:$C$50))&gt;=Setup!$C$15,MONTH(WORKDAY(N184,-(Setup!$C$13+Setup!$G$32),Setup!$C$39:$C$50))&lt;=Setup!$C$16),OR(MONTH(WORKDAY(N184,-(Setup!$C$13+Setup!$G$32),Setup!$C$39:$C$50))&gt;=Setup!$C$15,MONTH(WORKDAY(N184,-(Setup!$C$13+Setup!$G$32),Setup!$C$39:$C$50))&lt;=Setup!$C$16))),WORKDAY(N184,-(Setup!$C$13+Setup!$G$32+Setup!$C$14),Setup!$C$39:$C$50),WORKDAY(N184,-(Setup!$C$13+Setup!$G$32),Setup!$C$39:$C$50))+(179*100+13)/10000000)))</f>
        <v/>
      </c>
      <c r="AE184" t="str">
        <f>IF(O184="","",IF(O184&lt;Setup!$C$5-Setup!$C$6,"",IF(IF(ISNUMBER(Roster!$D184),Setup!$C$33&lt;=Roster!$D184,FALSE),"",IF(OR(IF(Setup!$C$15&lt;=Setup!$C$16,AND(MONTH(O184)&gt;=Setup!$C$15,MONTH(O184)&lt;=Setup!$C$16),OR(MONTH(O184)&gt;=Setup!$C$15,MONTH(O184)&lt;=Setup!$C$16)),IF(Setup!$C$15&lt;=Setup!$C$16,AND(MONTH(WORKDAY(O184,-(Setup!$C$13+Setup!$G$33),Setup!$C$39:$C$50))&gt;=Setup!$C$15,MONTH(WORKDAY(O184,-(Setup!$C$13+Setup!$G$33),Setup!$C$39:$C$50))&lt;=Setup!$C$16),OR(MONTH(WORKDAY(O184,-(Setup!$C$13+Setup!$G$33),Setup!$C$39:$C$50))&gt;=Setup!$C$15,MONTH(WORKDAY(O184,-(Setup!$C$13+Setup!$G$33),Setup!$C$39:$C$50))&lt;=Setup!$C$16))),WORKDAY(O184,-(Setup!$C$13+Setup!$G$33+Setup!$C$14),Setup!$C$39:$C$50),WORKDAY(O184,-(Setup!$C$13+Setup!$G$33),Setup!$C$39:$C$50))+(179*100+14)/10000000)))</f>
        <v/>
      </c>
      <c r="AF184" t="str">
        <f>IF(P184="","",IF(P184&lt;Setup!$C$5-Setup!$C$6,"",IF(IF(ISNUMBER(Roster!$D184),Setup!$C$34&lt;=Roster!$D184,FALSE),"",IF(OR(IF(Setup!$C$15&lt;=Setup!$C$16,AND(MONTH(P184)&gt;=Setup!$C$15,MONTH(P184)&lt;=Setup!$C$16),OR(MONTH(P184)&gt;=Setup!$C$15,MONTH(P184)&lt;=Setup!$C$16)),IF(Setup!$C$15&lt;=Setup!$C$16,AND(MONTH(WORKDAY(P184,-(Setup!$C$13+Setup!$G$34),Setup!$C$39:$C$50))&gt;=Setup!$C$15,MONTH(WORKDAY(P184,-(Setup!$C$13+Setup!$G$34),Setup!$C$39:$C$50))&lt;=Setup!$C$16),OR(MONTH(WORKDAY(P184,-(Setup!$C$13+Setup!$G$34),Setup!$C$39:$C$50))&gt;=Setup!$C$15,MONTH(WORKDAY(P184,-(Setup!$C$13+Setup!$G$34),Setup!$C$39:$C$50))&lt;=Setup!$C$16))),WORKDAY(P184,-(Setup!$C$13+Setup!$G$34+Setup!$C$14),Setup!$C$39:$C$50),WORKDAY(P184,-(Setup!$C$13+Setup!$G$34),Setup!$C$39:$C$50))+(179*100+15)/10000000)))</f>
        <v/>
      </c>
      <c r="AH184" t="str">
        <f t="shared" si="17"/>
        <v/>
      </c>
      <c r="AI184" t="str">
        <f t="shared" si="18"/>
        <v/>
      </c>
      <c r="AK184" t="str">
        <f ca="1">IF(179&gt;$AK$2,"",SMALL($R$6:$AF$505,179))</f>
        <v/>
      </c>
      <c r="AL184" t="str">
        <f t="shared" ca="1" si="19"/>
        <v/>
      </c>
      <c r="AM184" t="str">
        <f t="shared" ca="1" si="20"/>
        <v/>
      </c>
      <c r="AN184" t="str">
        <f t="shared" ca="1" si="21"/>
        <v/>
      </c>
      <c r="AP184" t="str">
        <f>IF(ISNUMBER(Roster!$B184),MAX(1,YEAR(Setup!$C$5)-YEAR(Roster!$B184)+IF(EDATE(Roster!$B184,12*(YEAR(Setup!$C$5)-YEAR(Roster!$B184)))&lt;Setup!$C$5,1,0)),"")</f>
        <v/>
      </c>
      <c r="AQ184" s="32" t="str">
        <f>IF(AP184="","",EDATE(Roster!$B184,12*AP184))</f>
        <v/>
      </c>
      <c r="AR184" t="str">
        <f>IF(AQ184="","",IF(AQ184&lt;DATE(YEAR(Setup!$C$5)+1,MONTH(Setup!$C$5),DAY(Setup!$C$5)),AQ184+179/1000,""))</f>
        <v/>
      </c>
      <c r="AS184" t="str">
        <f t="shared" si="22"/>
        <v/>
      </c>
      <c r="AT184" t="str">
        <f>IF(AS184="","",IF(ISNUMBER(Roster!$D184),Roster!$D184&gt;=AP184,FALSE))</f>
        <v/>
      </c>
      <c r="AU184" t="str">
        <f t="shared" si="23"/>
        <v/>
      </c>
      <c r="AV184" t="str">
        <f ca="1">IF(179&gt;$AV$2,"",SMALL($AR$6:$AR$505,179))</f>
        <v/>
      </c>
      <c r="AW184" t="str">
        <f t="shared" ca="1" si="24"/>
        <v/>
      </c>
    </row>
    <row r="185" spans="2:49" x14ac:dyDescent="0.2">
      <c r="B185" s="32" t="str">
        <f>IF(AND(ISNUMBER(Roster!$B185),Setup!$B$20="Yes",ISNUMBER(Setup!$C$20)),EDATE(Roster!$B185,12*Setup!$C$20),"")</f>
        <v/>
      </c>
      <c r="C185" s="32" t="str">
        <f>IF(AND(ISNUMBER(Roster!$B185),Setup!$B$21="Yes",ISNUMBER(Setup!$C$21)),EDATE(Roster!$B185,12*Setup!$C$21),"")</f>
        <v/>
      </c>
      <c r="D185" s="32" t="str">
        <f>IF(AND(ISNUMBER(Roster!$B185),Setup!$B$22="Yes",ISNUMBER(Setup!$C$22)),EDATE(Roster!$B185,12*Setup!$C$22),"")</f>
        <v/>
      </c>
      <c r="E185" s="32" t="str">
        <f>IF(AND(ISNUMBER(Roster!$B185),Setup!$B$23="Yes",ISNUMBER(Setup!$C$23)),EDATE(Roster!$B185,12*Setup!$C$23),"")</f>
        <v/>
      </c>
      <c r="F185" s="32" t="str">
        <f>IF(AND(ISNUMBER(Roster!$B185),Setup!$B$24="Yes",ISNUMBER(Setup!$C$24)),EDATE(Roster!$B185,12*Setup!$C$24),"")</f>
        <v/>
      </c>
      <c r="G185" s="32" t="str">
        <f>IF(AND(ISNUMBER(Roster!$B185),Setup!$B$25="Yes",ISNUMBER(Setup!$C$25)),EDATE(Roster!$B185,12*Setup!$C$25),"")</f>
        <v/>
      </c>
      <c r="H185" s="32" t="str">
        <f>IF(AND(ISNUMBER(Roster!$B185),Setup!$B$26="Yes",ISNUMBER(Setup!$C$26)),EDATE(Roster!$B185,12*Setup!$C$26),"")</f>
        <v/>
      </c>
      <c r="I185" s="32" t="str">
        <f>IF(AND(ISNUMBER(Roster!$B185),Setup!$B$27="Yes",ISNUMBER(Setup!$C$27)),EDATE(Roster!$B185,12*Setup!$C$27),"")</f>
        <v/>
      </c>
      <c r="J185" s="32" t="str">
        <f>IF(AND(ISNUMBER(Roster!$B185),Setup!$B$28="Yes",ISNUMBER(Setup!$C$28)),EDATE(Roster!$B185,12*Setup!$C$28),"")</f>
        <v/>
      </c>
      <c r="K185" s="32" t="str">
        <f>IF(AND(ISNUMBER(Roster!$B185),Setup!$B$29="Yes",ISNUMBER(Setup!$C$29)),EDATE(Roster!$B185,12*Setup!$C$29),"")</f>
        <v/>
      </c>
      <c r="L185" s="32" t="str">
        <f>IF(AND(ISNUMBER(Roster!$B185),Setup!$B$30="Yes",ISNUMBER(Setup!$C$30)),EDATE(Roster!$B185,12*Setup!$C$30),"")</f>
        <v/>
      </c>
      <c r="M185" s="32" t="str">
        <f>IF(AND(ISNUMBER(Roster!$B185),Setup!$B$31="Yes",ISNUMBER(Setup!$C$31)),EDATE(Roster!$B185,12*Setup!$C$31),"")</f>
        <v/>
      </c>
      <c r="N185" s="32" t="str">
        <f>IF(AND(ISNUMBER(Roster!$B185),Setup!$B$32="Yes",ISNUMBER(Setup!$C$32)),EDATE(Roster!$B185,12*Setup!$C$32),"")</f>
        <v/>
      </c>
      <c r="O185" s="32" t="str">
        <f>IF(AND(ISNUMBER(Roster!$B185),Setup!$B$33="Yes",ISNUMBER(Setup!$C$33)),EDATE(Roster!$B185,12*Setup!$C$33),"")</f>
        <v/>
      </c>
      <c r="P185" s="32" t="str">
        <f>IF(AND(ISNUMBER(Roster!$B185),Setup!$B$34="Yes",ISNUMBER(Setup!$C$34)),EDATE(Roster!$B185,12*Setup!$C$34),"")</f>
        <v/>
      </c>
      <c r="R185" t="str">
        <f>IF(B185="","",IF(B185&lt;Setup!$C$5-Setup!$C$6,"",IF(IF(ISNUMBER(Roster!$D185),Setup!$C$20&lt;=Roster!$D185,FALSE),"",IF(OR(IF(Setup!$C$15&lt;=Setup!$C$16,AND(MONTH(B185)&gt;=Setup!$C$15,MONTH(B185)&lt;=Setup!$C$16),OR(MONTH(B185)&gt;=Setup!$C$15,MONTH(B185)&lt;=Setup!$C$16)),IF(Setup!$C$15&lt;=Setup!$C$16,AND(MONTH(WORKDAY(B185,-(Setup!$C$13+Setup!$G$20),Setup!$C$39:$C$50))&gt;=Setup!$C$15,MONTH(WORKDAY(B185,-(Setup!$C$13+Setup!$G$20),Setup!$C$39:$C$50))&lt;=Setup!$C$16),OR(MONTH(WORKDAY(B185,-(Setup!$C$13+Setup!$G$20),Setup!$C$39:$C$50))&gt;=Setup!$C$15,MONTH(WORKDAY(B185,-(Setup!$C$13+Setup!$G$20),Setup!$C$39:$C$50))&lt;=Setup!$C$16))),WORKDAY(B185,-(Setup!$C$13+Setup!$G$20+Setup!$C$14),Setup!$C$39:$C$50),WORKDAY(B185,-(Setup!$C$13+Setup!$G$20),Setup!$C$39:$C$50))+(180*100+1)/10000000)))</f>
        <v/>
      </c>
      <c r="S185" t="str">
        <f>IF(C185="","",IF(C185&lt;Setup!$C$5-Setup!$C$6,"",IF(IF(ISNUMBER(Roster!$D185),Setup!$C$21&lt;=Roster!$D185,FALSE),"",IF(OR(IF(Setup!$C$15&lt;=Setup!$C$16,AND(MONTH(C185)&gt;=Setup!$C$15,MONTH(C185)&lt;=Setup!$C$16),OR(MONTH(C185)&gt;=Setup!$C$15,MONTH(C185)&lt;=Setup!$C$16)),IF(Setup!$C$15&lt;=Setup!$C$16,AND(MONTH(WORKDAY(C185,-(Setup!$C$13+Setup!$G$21),Setup!$C$39:$C$50))&gt;=Setup!$C$15,MONTH(WORKDAY(C185,-(Setup!$C$13+Setup!$G$21),Setup!$C$39:$C$50))&lt;=Setup!$C$16),OR(MONTH(WORKDAY(C185,-(Setup!$C$13+Setup!$G$21),Setup!$C$39:$C$50))&gt;=Setup!$C$15,MONTH(WORKDAY(C185,-(Setup!$C$13+Setup!$G$21),Setup!$C$39:$C$50))&lt;=Setup!$C$16))),WORKDAY(C185,-(Setup!$C$13+Setup!$G$21+Setup!$C$14),Setup!$C$39:$C$50),WORKDAY(C185,-(Setup!$C$13+Setup!$G$21),Setup!$C$39:$C$50))+(180*100+2)/10000000)))</f>
        <v/>
      </c>
      <c r="T185" t="str">
        <f>IF(D185="","",IF(D185&lt;Setup!$C$5-Setup!$C$6,"",IF(IF(ISNUMBER(Roster!$D185),Setup!$C$22&lt;=Roster!$D185,FALSE),"",IF(OR(IF(Setup!$C$15&lt;=Setup!$C$16,AND(MONTH(D185)&gt;=Setup!$C$15,MONTH(D185)&lt;=Setup!$C$16),OR(MONTH(D185)&gt;=Setup!$C$15,MONTH(D185)&lt;=Setup!$C$16)),IF(Setup!$C$15&lt;=Setup!$C$16,AND(MONTH(WORKDAY(D185,-(Setup!$C$13+Setup!$G$22),Setup!$C$39:$C$50))&gt;=Setup!$C$15,MONTH(WORKDAY(D185,-(Setup!$C$13+Setup!$G$22),Setup!$C$39:$C$50))&lt;=Setup!$C$16),OR(MONTH(WORKDAY(D185,-(Setup!$C$13+Setup!$G$22),Setup!$C$39:$C$50))&gt;=Setup!$C$15,MONTH(WORKDAY(D185,-(Setup!$C$13+Setup!$G$22),Setup!$C$39:$C$50))&lt;=Setup!$C$16))),WORKDAY(D185,-(Setup!$C$13+Setup!$G$22+Setup!$C$14),Setup!$C$39:$C$50),WORKDAY(D185,-(Setup!$C$13+Setup!$G$22),Setup!$C$39:$C$50))+(180*100+3)/10000000)))</f>
        <v/>
      </c>
      <c r="U185" t="str">
        <f>IF(E185="","",IF(E185&lt;Setup!$C$5-Setup!$C$6,"",IF(IF(ISNUMBER(Roster!$D185),Setup!$C$23&lt;=Roster!$D185,FALSE),"",IF(OR(IF(Setup!$C$15&lt;=Setup!$C$16,AND(MONTH(E185)&gt;=Setup!$C$15,MONTH(E185)&lt;=Setup!$C$16),OR(MONTH(E185)&gt;=Setup!$C$15,MONTH(E185)&lt;=Setup!$C$16)),IF(Setup!$C$15&lt;=Setup!$C$16,AND(MONTH(WORKDAY(E185,-(Setup!$C$13+Setup!$G$23),Setup!$C$39:$C$50))&gt;=Setup!$C$15,MONTH(WORKDAY(E185,-(Setup!$C$13+Setup!$G$23),Setup!$C$39:$C$50))&lt;=Setup!$C$16),OR(MONTH(WORKDAY(E185,-(Setup!$C$13+Setup!$G$23),Setup!$C$39:$C$50))&gt;=Setup!$C$15,MONTH(WORKDAY(E185,-(Setup!$C$13+Setup!$G$23),Setup!$C$39:$C$50))&lt;=Setup!$C$16))),WORKDAY(E185,-(Setup!$C$13+Setup!$G$23+Setup!$C$14),Setup!$C$39:$C$50),WORKDAY(E185,-(Setup!$C$13+Setup!$G$23),Setup!$C$39:$C$50))+(180*100+4)/10000000)))</f>
        <v/>
      </c>
      <c r="V185" t="str">
        <f>IF(F185="","",IF(F185&lt;Setup!$C$5-Setup!$C$6,"",IF(IF(ISNUMBER(Roster!$D185),Setup!$C$24&lt;=Roster!$D185,FALSE),"",IF(OR(IF(Setup!$C$15&lt;=Setup!$C$16,AND(MONTH(F185)&gt;=Setup!$C$15,MONTH(F185)&lt;=Setup!$C$16),OR(MONTH(F185)&gt;=Setup!$C$15,MONTH(F185)&lt;=Setup!$C$16)),IF(Setup!$C$15&lt;=Setup!$C$16,AND(MONTH(WORKDAY(F185,-(Setup!$C$13+Setup!$G$24),Setup!$C$39:$C$50))&gt;=Setup!$C$15,MONTH(WORKDAY(F185,-(Setup!$C$13+Setup!$G$24),Setup!$C$39:$C$50))&lt;=Setup!$C$16),OR(MONTH(WORKDAY(F185,-(Setup!$C$13+Setup!$G$24),Setup!$C$39:$C$50))&gt;=Setup!$C$15,MONTH(WORKDAY(F185,-(Setup!$C$13+Setup!$G$24),Setup!$C$39:$C$50))&lt;=Setup!$C$16))),WORKDAY(F185,-(Setup!$C$13+Setup!$G$24+Setup!$C$14),Setup!$C$39:$C$50),WORKDAY(F185,-(Setup!$C$13+Setup!$G$24),Setup!$C$39:$C$50))+(180*100+5)/10000000)))</f>
        <v/>
      </c>
      <c r="W185" t="str">
        <f>IF(G185="","",IF(G185&lt;Setup!$C$5-Setup!$C$6,"",IF(IF(ISNUMBER(Roster!$D185),Setup!$C$25&lt;=Roster!$D185,FALSE),"",IF(OR(IF(Setup!$C$15&lt;=Setup!$C$16,AND(MONTH(G185)&gt;=Setup!$C$15,MONTH(G185)&lt;=Setup!$C$16),OR(MONTH(G185)&gt;=Setup!$C$15,MONTH(G185)&lt;=Setup!$C$16)),IF(Setup!$C$15&lt;=Setup!$C$16,AND(MONTH(WORKDAY(G185,-(Setup!$C$13+Setup!$G$25),Setup!$C$39:$C$50))&gt;=Setup!$C$15,MONTH(WORKDAY(G185,-(Setup!$C$13+Setup!$G$25),Setup!$C$39:$C$50))&lt;=Setup!$C$16),OR(MONTH(WORKDAY(G185,-(Setup!$C$13+Setup!$G$25),Setup!$C$39:$C$50))&gt;=Setup!$C$15,MONTH(WORKDAY(G185,-(Setup!$C$13+Setup!$G$25),Setup!$C$39:$C$50))&lt;=Setup!$C$16))),WORKDAY(G185,-(Setup!$C$13+Setup!$G$25+Setup!$C$14),Setup!$C$39:$C$50),WORKDAY(G185,-(Setup!$C$13+Setup!$G$25),Setup!$C$39:$C$50))+(180*100+6)/10000000)))</f>
        <v/>
      </c>
      <c r="X185" t="str">
        <f>IF(H185="","",IF(H185&lt;Setup!$C$5-Setup!$C$6,"",IF(IF(ISNUMBER(Roster!$D185),Setup!$C$26&lt;=Roster!$D185,FALSE),"",IF(OR(IF(Setup!$C$15&lt;=Setup!$C$16,AND(MONTH(H185)&gt;=Setup!$C$15,MONTH(H185)&lt;=Setup!$C$16),OR(MONTH(H185)&gt;=Setup!$C$15,MONTH(H185)&lt;=Setup!$C$16)),IF(Setup!$C$15&lt;=Setup!$C$16,AND(MONTH(WORKDAY(H185,-(Setup!$C$13+Setup!$G$26),Setup!$C$39:$C$50))&gt;=Setup!$C$15,MONTH(WORKDAY(H185,-(Setup!$C$13+Setup!$G$26),Setup!$C$39:$C$50))&lt;=Setup!$C$16),OR(MONTH(WORKDAY(H185,-(Setup!$C$13+Setup!$G$26),Setup!$C$39:$C$50))&gt;=Setup!$C$15,MONTH(WORKDAY(H185,-(Setup!$C$13+Setup!$G$26),Setup!$C$39:$C$50))&lt;=Setup!$C$16))),WORKDAY(H185,-(Setup!$C$13+Setup!$G$26+Setup!$C$14),Setup!$C$39:$C$50),WORKDAY(H185,-(Setup!$C$13+Setup!$G$26),Setup!$C$39:$C$50))+(180*100+7)/10000000)))</f>
        <v/>
      </c>
      <c r="Y185" t="str">
        <f>IF(I185="","",IF(I185&lt;Setup!$C$5-Setup!$C$6,"",IF(IF(ISNUMBER(Roster!$D185),Setup!$C$27&lt;=Roster!$D185,FALSE),"",IF(OR(IF(Setup!$C$15&lt;=Setup!$C$16,AND(MONTH(I185)&gt;=Setup!$C$15,MONTH(I185)&lt;=Setup!$C$16),OR(MONTH(I185)&gt;=Setup!$C$15,MONTH(I185)&lt;=Setup!$C$16)),IF(Setup!$C$15&lt;=Setup!$C$16,AND(MONTH(WORKDAY(I185,-(Setup!$C$13+Setup!$G$27),Setup!$C$39:$C$50))&gt;=Setup!$C$15,MONTH(WORKDAY(I185,-(Setup!$C$13+Setup!$G$27),Setup!$C$39:$C$50))&lt;=Setup!$C$16),OR(MONTH(WORKDAY(I185,-(Setup!$C$13+Setup!$G$27),Setup!$C$39:$C$50))&gt;=Setup!$C$15,MONTH(WORKDAY(I185,-(Setup!$C$13+Setup!$G$27),Setup!$C$39:$C$50))&lt;=Setup!$C$16))),WORKDAY(I185,-(Setup!$C$13+Setup!$G$27+Setup!$C$14),Setup!$C$39:$C$50),WORKDAY(I185,-(Setup!$C$13+Setup!$G$27),Setup!$C$39:$C$50))+(180*100+8)/10000000)))</f>
        <v/>
      </c>
      <c r="Z185" t="str">
        <f>IF(J185="","",IF(J185&lt;Setup!$C$5-Setup!$C$6,"",IF(IF(ISNUMBER(Roster!$D185),Setup!$C$28&lt;=Roster!$D185,FALSE),"",IF(OR(IF(Setup!$C$15&lt;=Setup!$C$16,AND(MONTH(J185)&gt;=Setup!$C$15,MONTH(J185)&lt;=Setup!$C$16),OR(MONTH(J185)&gt;=Setup!$C$15,MONTH(J185)&lt;=Setup!$C$16)),IF(Setup!$C$15&lt;=Setup!$C$16,AND(MONTH(WORKDAY(J185,-(Setup!$C$13+Setup!$G$28),Setup!$C$39:$C$50))&gt;=Setup!$C$15,MONTH(WORKDAY(J185,-(Setup!$C$13+Setup!$G$28),Setup!$C$39:$C$50))&lt;=Setup!$C$16),OR(MONTH(WORKDAY(J185,-(Setup!$C$13+Setup!$G$28),Setup!$C$39:$C$50))&gt;=Setup!$C$15,MONTH(WORKDAY(J185,-(Setup!$C$13+Setup!$G$28),Setup!$C$39:$C$50))&lt;=Setup!$C$16))),WORKDAY(J185,-(Setup!$C$13+Setup!$G$28+Setup!$C$14),Setup!$C$39:$C$50),WORKDAY(J185,-(Setup!$C$13+Setup!$G$28),Setup!$C$39:$C$50))+(180*100+9)/10000000)))</f>
        <v/>
      </c>
      <c r="AA185" t="str">
        <f>IF(K185="","",IF(K185&lt;Setup!$C$5-Setup!$C$6,"",IF(IF(ISNUMBER(Roster!$D185),Setup!$C$29&lt;=Roster!$D185,FALSE),"",IF(OR(IF(Setup!$C$15&lt;=Setup!$C$16,AND(MONTH(K185)&gt;=Setup!$C$15,MONTH(K185)&lt;=Setup!$C$16),OR(MONTH(K185)&gt;=Setup!$C$15,MONTH(K185)&lt;=Setup!$C$16)),IF(Setup!$C$15&lt;=Setup!$C$16,AND(MONTH(WORKDAY(K185,-(Setup!$C$13+Setup!$G$29),Setup!$C$39:$C$50))&gt;=Setup!$C$15,MONTH(WORKDAY(K185,-(Setup!$C$13+Setup!$G$29),Setup!$C$39:$C$50))&lt;=Setup!$C$16),OR(MONTH(WORKDAY(K185,-(Setup!$C$13+Setup!$G$29),Setup!$C$39:$C$50))&gt;=Setup!$C$15,MONTH(WORKDAY(K185,-(Setup!$C$13+Setup!$G$29),Setup!$C$39:$C$50))&lt;=Setup!$C$16))),WORKDAY(K185,-(Setup!$C$13+Setup!$G$29+Setup!$C$14),Setup!$C$39:$C$50),WORKDAY(K185,-(Setup!$C$13+Setup!$G$29),Setup!$C$39:$C$50))+(180*100+10)/10000000)))</f>
        <v/>
      </c>
      <c r="AB185" t="str">
        <f>IF(L185="","",IF(L185&lt;Setup!$C$5-Setup!$C$6,"",IF(IF(ISNUMBER(Roster!$D185),Setup!$C$30&lt;=Roster!$D185,FALSE),"",IF(OR(IF(Setup!$C$15&lt;=Setup!$C$16,AND(MONTH(L185)&gt;=Setup!$C$15,MONTH(L185)&lt;=Setup!$C$16),OR(MONTH(L185)&gt;=Setup!$C$15,MONTH(L185)&lt;=Setup!$C$16)),IF(Setup!$C$15&lt;=Setup!$C$16,AND(MONTH(WORKDAY(L185,-(Setup!$C$13+Setup!$G$30),Setup!$C$39:$C$50))&gt;=Setup!$C$15,MONTH(WORKDAY(L185,-(Setup!$C$13+Setup!$G$30),Setup!$C$39:$C$50))&lt;=Setup!$C$16),OR(MONTH(WORKDAY(L185,-(Setup!$C$13+Setup!$G$30),Setup!$C$39:$C$50))&gt;=Setup!$C$15,MONTH(WORKDAY(L185,-(Setup!$C$13+Setup!$G$30),Setup!$C$39:$C$50))&lt;=Setup!$C$16))),WORKDAY(L185,-(Setup!$C$13+Setup!$G$30+Setup!$C$14),Setup!$C$39:$C$50),WORKDAY(L185,-(Setup!$C$13+Setup!$G$30),Setup!$C$39:$C$50))+(180*100+11)/10000000)))</f>
        <v/>
      </c>
      <c r="AC185" t="str">
        <f>IF(M185="","",IF(M185&lt;Setup!$C$5-Setup!$C$6,"",IF(IF(ISNUMBER(Roster!$D185),Setup!$C$31&lt;=Roster!$D185,FALSE),"",IF(OR(IF(Setup!$C$15&lt;=Setup!$C$16,AND(MONTH(M185)&gt;=Setup!$C$15,MONTH(M185)&lt;=Setup!$C$16),OR(MONTH(M185)&gt;=Setup!$C$15,MONTH(M185)&lt;=Setup!$C$16)),IF(Setup!$C$15&lt;=Setup!$C$16,AND(MONTH(WORKDAY(M185,-(Setup!$C$13+Setup!$G$31),Setup!$C$39:$C$50))&gt;=Setup!$C$15,MONTH(WORKDAY(M185,-(Setup!$C$13+Setup!$G$31),Setup!$C$39:$C$50))&lt;=Setup!$C$16),OR(MONTH(WORKDAY(M185,-(Setup!$C$13+Setup!$G$31),Setup!$C$39:$C$50))&gt;=Setup!$C$15,MONTH(WORKDAY(M185,-(Setup!$C$13+Setup!$G$31),Setup!$C$39:$C$50))&lt;=Setup!$C$16))),WORKDAY(M185,-(Setup!$C$13+Setup!$G$31+Setup!$C$14),Setup!$C$39:$C$50),WORKDAY(M185,-(Setup!$C$13+Setup!$G$31),Setup!$C$39:$C$50))+(180*100+12)/10000000)))</f>
        <v/>
      </c>
      <c r="AD185" t="str">
        <f>IF(N185="","",IF(N185&lt;Setup!$C$5-Setup!$C$6,"",IF(IF(ISNUMBER(Roster!$D185),Setup!$C$32&lt;=Roster!$D185,FALSE),"",IF(OR(IF(Setup!$C$15&lt;=Setup!$C$16,AND(MONTH(N185)&gt;=Setup!$C$15,MONTH(N185)&lt;=Setup!$C$16),OR(MONTH(N185)&gt;=Setup!$C$15,MONTH(N185)&lt;=Setup!$C$16)),IF(Setup!$C$15&lt;=Setup!$C$16,AND(MONTH(WORKDAY(N185,-(Setup!$C$13+Setup!$G$32),Setup!$C$39:$C$50))&gt;=Setup!$C$15,MONTH(WORKDAY(N185,-(Setup!$C$13+Setup!$G$32),Setup!$C$39:$C$50))&lt;=Setup!$C$16),OR(MONTH(WORKDAY(N185,-(Setup!$C$13+Setup!$G$32),Setup!$C$39:$C$50))&gt;=Setup!$C$15,MONTH(WORKDAY(N185,-(Setup!$C$13+Setup!$G$32),Setup!$C$39:$C$50))&lt;=Setup!$C$16))),WORKDAY(N185,-(Setup!$C$13+Setup!$G$32+Setup!$C$14),Setup!$C$39:$C$50),WORKDAY(N185,-(Setup!$C$13+Setup!$G$32),Setup!$C$39:$C$50))+(180*100+13)/10000000)))</f>
        <v/>
      </c>
      <c r="AE185" t="str">
        <f>IF(O185="","",IF(O185&lt;Setup!$C$5-Setup!$C$6,"",IF(IF(ISNUMBER(Roster!$D185),Setup!$C$33&lt;=Roster!$D185,FALSE),"",IF(OR(IF(Setup!$C$15&lt;=Setup!$C$16,AND(MONTH(O185)&gt;=Setup!$C$15,MONTH(O185)&lt;=Setup!$C$16),OR(MONTH(O185)&gt;=Setup!$C$15,MONTH(O185)&lt;=Setup!$C$16)),IF(Setup!$C$15&lt;=Setup!$C$16,AND(MONTH(WORKDAY(O185,-(Setup!$C$13+Setup!$G$33),Setup!$C$39:$C$50))&gt;=Setup!$C$15,MONTH(WORKDAY(O185,-(Setup!$C$13+Setup!$G$33),Setup!$C$39:$C$50))&lt;=Setup!$C$16),OR(MONTH(WORKDAY(O185,-(Setup!$C$13+Setup!$G$33),Setup!$C$39:$C$50))&gt;=Setup!$C$15,MONTH(WORKDAY(O185,-(Setup!$C$13+Setup!$G$33),Setup!$C$39:$C$50))&lt;=Setup!$C$16))),WORKDAY(O185,-(Setup!$C$13+Setup!$G$33+Setup!$C$14),Setup!$C$39:$C$50),WORKDAY(O185,-(Setup!$C$13+Setup!$G$33),Setup!$C$39:$C$50))+(180*100+14)/10000000)))</f>
        <v/>
      </c>
      <c r="AF185" t="str">
        <f>IF(P185="","",IF(P185&lt;Setup!$C$5-Setup!$C$6,"",IF(IF(ISNUMBER(Roster!$D185),Setup!$C$34&lt;=Roster!$D185,FALSE),"",IF(OR(IF(Setup!$C$15&lt;=Setup!$C$16,AND(MONTH(P185)&gt;=Setup!$C$15,MONTH(P185)&lt;=Setup!$C$16),OR(MONTH(P185)&gt;=Setup!$C$15,MONTH(P185)&lt;=Setup!$C$16)),IF(Setup!$C$15&lt;=Setup!$C$16,AND(MONTH(WORKDAY(P185,-(Setup!$C$13+Setup!$G$34),Setup!$C$39:$C$50))&gt;=Setup!$C$15,MONTH(WORKDAY(P185,-(Setup!$C$13+Setup!$G$34),Setup!$C$39:$C$50))&lt;=Setup!$C$16),OR(MONTH(WORKDAY(P185,-(Setup!$C$13+Setup!$G$34),Setup!$C$39:$C$50))&gt;=Setup!$C$15,MONTH(WORKDAY(P185,-(Setup!$C$13+Setup!$G$34),Setup!$C$39:$C$50))&lt;=Setup!$C$16))),WORKDAY(P185,-(Setup!$C$13+Setup!$G$34+Setup!$C$14),Setup!$C$39:$C$50),WORKDAY(P185,-(Setup!$C$13+Setup!$G$34),Setup!$C$39:$C$50))+(180*100+15)/10000000)))</f>
        <v/>
      </c>
      <c r="AH185" t="str">
        <f t="shared" si="17"/>
        <v/>
      </c>
      <c r="AI185" t="str">
        <f t="shared" si="18"/>
        <v/>
      </c>
      <c r="AK185" t="str">
        <f ca="1">IF(180&gt;$AK$2,"",SMALL($R$6:$AF$505,180))</f>
        <v/>
      </c>
      <c r="AL185" t="str">
        <f t="shared" ca="1" si="19"/>
        <v/>
      </c>
      <c r="AM185" t="str">
        <f t="shared" ca="1" si="20"/>
        <v/>
      </c>
      <c r="AN185" t="str">
        <f t="shared" ca="1" si="21"/>
        <v/>
      </c>
      <c r="AP185" t="str">
        <f>IF(ISNUMBER(Roster!$B185),MAX(1,YEAR(Setup!$C$5)-YEAR(Roster!$B185)+IF(EDATE(Roster!$B185,12*(YEAR(Setup!$C$5)-YEAR(Roster!$B185)))&lt;Setup!$C$5,1,0)),"")</f>
        <v/>
      </c>
      <c r="AQ185" s="32" t="str">
        <f>IF(AP185="","",EDATE(Roster!$B185,12*AP185))</f>
        <v/>
      </c>
      <c r="AR185" t="str">
        <f>IF(AQ185="","",IF(AQ185&lt;DATE(YEAR(Setup!$C$5)+1,MONTH(Setup!$C$5),DAY(Setup!$C$5)),AQ185+180/1000,""))</f>
        <v/>
      </c>
      <c r="AS185" t="str">
        <f t="shared" si="22"/>
        <v/>
      </c>
      <c r="AT185" t="str">
        <f>IF(AS185="","",IF(ISNUMBER(Roster!$D185),Roster!$D185&gt;=AP185,FALSE))</f>
        <v/>
      </c>
      <c r="AU185" t="str">
        <f t="shared" si="23"/>
        <v/>
      </c>
      <c r="AV185" t="str">
        <f ca="1">IF(180&gt;$AV$2,"",SMALL($AR$6:$AR$505,180))</f>
        <v/>
      </c>
      <c r="AW185" t="str">
        <f t="shared" ca="1" si="24"/>
        <v/>
      </c>
    </row>
    <row r="186" spans="2:49" x14ac:dyDescent="0.2">
      <c r="B186" s="32" t="str">
        <f>IF(AND(ISNUMBER(Roster!$B186),Setup!$B$20="Yes",ISNUMBER(Setup!$C$20)),EDATE(Roster!$B186,12*Setup!$C$20),"")</f>
        <v/>
      </c>
      <c r="C186" s="32" t="str">
        <f>IF(AND(ISNUMBER(Roster!$B186),Setup!$B$21="Yes",ISNUMBER(Setup!$C$21)),EDATE(Roster!$B186,12*Setup!$C$21),"")</f>
        <v/>
      </c>
      <c r="D186" s="32" t="str">
        <f>IF(AND(ISNUMBER(Roster!$B186),Setup!$B$22="Yes",ISNUMBER(Setup!$C$22)),EDATE(Roster!$B186,12*Setup!$C$22),"")</f>
        <v/>
      </c>
      <c r="E186" s="32" t="str">
        <f>IF(AND(ISNUMBER(Roster!$B186),Setup!$B$23="Yes",ISNUMBER(Setup!$C$23)),EDATE(Roster!$B186,12*Setup!$C$23),"")</f>
        <v/>
      </c>
      <c r="F186" s="32" t="str">
        <f>IF(AND(ISNUMBER(Roster!$B186),Setup!$B$24="Yes",ISNUMBER(Setup!$C$24)),EDATE(Roster!$B186,12*Setup!$C$24),"")</f>
        <v/>
      </c>
      <c r="G186" s="32" t="str">
        <f>IF(AND(ISNUMBER(Roster!$B186),Setup!$B$25="Yes",ISNUMBER(Setup!$C$25)),EDATE(Roster!$B186,12*Setup!$C$25),"")</f>
        <v/>
      </c>
      <c r="H186" s="32" t="str">
        <f>IF(AND(ISNUMBER(Roster!$B186),Setup!$B$26="Yes",ISNUMBER(Setup!$C$26)),EDATE(Roster!$B186,12*Setup!$C$26),"")</f>
        <v/>
      </c>
      <c r="I186" s="32" t="str">
        <f>IF(AND(ISNUMBER(Roster!$B186),Setup!$B$27="Yes",ISNUMBER(Setup!$C$27)),EDATE(Roster!$B186,12*Setup!$C$27),"")</f>
        <v/>
      </c>
      <c r="J186" s="32" t="str">
        <f>IF(AND(ISNUMBER(Roster!$B186),Setup!$B$28="Yes",ISNUMBER(Setup!$C$28)),EDATE(Roster!$B186,12*Setup!$C$28),"")</f>
        <v/>
      </c>
      <c r="K186" s="32" t="str">
        <f>IF(AND(ISNUMBER(Roster!$B186),Setup!$B$29="Yes",ISNUMBER(Setup!$C$29)),EDATE(Roster!$B186,12*Setup!$C$29),"")</f>
        <v/>
      </c>
      <c r="L186" s="32" t="str">
        <f>IF(AND(ISNUMBER(Roster!$B186),Setup!$B$30="Yes",ISNUMBER(Setup!$C$30)),EDATE(Roster!$B186,12*Setup!$C$30),"")</f>
        <v/>
      </c>
      <c r="M186" s="32" t="str">
        <f>IF(AND(ISNUMBER(Roster!$B186),Setup!$B$31="Yes",ISNUMBER(Setup!$C$31)),EDATE(Roster!$B186,12*Setup!$C$31),"")</f>
        <v/>
      </c>
      <c r="N186" s="32" t="str">
        <f>IF(AND(ISNUMBER(Roster!$B186),Setup!$B$32="Yes",ISNUMBER(Setup!$C$32)),EDATE(Roster!$B186,12*Setup!$C$32),"")</f>
        <v/>
      </c>
      <c r="O186" s="32" t="str">
        <f>IF(AND(ISNUMBER(Roster!$B186),Setup!$B$33="Yes",ISNUMBER(Setup!$C$33)),EDATE(Roster!$B186,12*Setup!$C$33),"")</f>
        <v/>
      </c>
      <c r="P186" s="32" t="str">
        <f>IF(AND(ISNUMBER(Roster!$B186),Setup!$B$34="Yes",ISNUMBER(Setup!$C$34)),EDATE(Roster!$B186,12*Setup!$C$34),"")</f>
        <v/>
      </c>
      <c r="R186" t="str">
        <f>IF(B186="","",IF(B186&lt;Setup!$C$5-Setup!$C$6,"",IF(IF(ISNUMBER(Roster!$D186),Setup!$C$20&lt;=Roster!$D186,FALSE),"",IF(OR(IF(Setup!$C$15&lt;=Setup!$C$16,AND(MONTH(B186)&gt;=Setup!$C$15,MONTH(B186)&lt;=Setup!$C$16),OR(MONTH(B186)&gt;=Setup!$C$15,MONTH(B186)&lt;=Setup!$C$16)),IF(Setup!$C$15&lt;=Setup!$C$16,AND(MONTH(WORKDAY(B186,-(Setup!$C$13+Setup!$G$20),Setup!$C$39:$C$50))&gt;=Setup!$C$15,MONTH(WORKDAY(B186,-(Setup!$C$13+Setup!$G$20),Setup!$C$39:$C$50))&lt;=Setup!$C$16),OR(MONTH(WORKDAY(B186,-(Setup!$C$13+Setup!$G$20),Setup!$C$39:$C$50))&gt;=Setup!$C$15,MONTH(WORKDAY(B186,-(Setup!$C$13+Setup!$G$20),Setup!$C$39:$C$50))&lt;=Setup!$C$16))),WORKDAY(B186,-(Setup!$C$13+Setup!$G$20+Setup!$C$14),Setup!$C$39:$C$50),WORKDAY(B186,-(Setup!$C$13+Setup!$G$20),Setup!$C$39:$C$50))+(181*100+1)/10000000)))</f>
        <v/>
      </c>
      <c r="S186" t="str">
        <f>IF(C186="","",IF(C186&lt;Setup!$C$5-Setup!$C$6,"",IF(IF(ISNUMBER(Roster!$D186),Setup!$C$21&lt;=Roster!$D186,FALSE),"",IF(OR(IF(Setup!$C$15&lt;=Setup!$C$16,AND(MONTH(C186)&gt;=Setup!$C$15,MONTH(C186)&lt;=Setup!$C$16),OR(MONTH(C186)&gt;=Setup!$C$15,MONTH(C186)&lt;=Setup!$C$16)),IF(Setup!$C$15&lt;=Setup!$C$16,AND(MONTH(WORKDAY(C186,-(Setup!$C$13+Setup!$G$21),Setup!$C$39:$C$50))&gt;=Setup!$C$15,MONTH(WORKDAY(C186,-(Setup!$C$13+Setup!$G$21),Setup!$C$39:$C$50))&lt;=Setup!$C$16),OR(MONTH(WORKDAY(C186,-(Setup!$C$13+Setup!$G$21),Setup!$C$39:$C$50))&gt;=Setup!$C$15,MONTH(WORKDAY(C186,-(Setup!$C$13+Setup!$G$21),Setup!$C$39:$C$50))&lt;=Setup!$C$16))),WORKDAY(C186,-(Setup!$C$13+Setup!$G$21+Setup!$C$14),Setup!$C$39:$C$50),WORKDAY(C186,-(Setup!$C$13+Setup!$G$21),Setup!$C$39:$C$50))+(181*100+2)/10000000)))</f>
        <v/>
      </c>
      <c r="T186" t="str">
        <f>IF(D186="","",IF(D186&lt;Setup!$C$5-Setup!$C$6,"",IF(IF(ISNUMBER(Roster!$D186),Setup!$C$22&lt;=Roster!$D186,FALSE),"",IF(OR(IF(Setup!$C$15&lt;=Setup!$C$16,AND(MONTH(D186)&gt;=Setup!$C$15,MONTH(D186)&lt;=Setup!$C$16),OR(MONTH(D186)&gt;=Setup!$C$15,MONTH(D186)&lt;=Setup!$C$16)),IF(Setup!$C$15&lt;=Setup!$C$16,AND(MONTH(WORKDAY(D186,-(Setup!$C$13+Setup!$G$22),Setup!$C$39:$C$50))&gt;=Setup!$C$15,MONTH(WORKDAY(D186,-(Setup!$C$13+Setup!$G$22),Setup!$C$39:$C$50))&lt;=Setup!$C$16),OR(MONTH(WORKDAY(D186,-(Setup!$C$13+Setup!$G$22),Setup!$C$39:$C$50))&gt;=Setup!$C$15,MONTH(WORKDAY(D186,-(Setup!$C$13+Setup!$G$22),Setup!$C$39:$C$50))&lt;=Setup!$C$16))),WORKDAY(D186,-(Setup!$C$13+Setup!$G$22+Setup!$C$14),Setup!$C$39:$C$50),WORKDAY(D186,-(Setup!$C$13+Setup!$G$22),Setup!$C$39:$C$50))+(181*100+3)/10000000)))</f>
        <v/>
      </c>
      <c r="U186" t="str">
        <f>IF(E186="","",IF(E186&lt;Setup!$C$5-Setup!$C$6,"",IF(IF(ISNUMBER(Roster!$D186),Setup!$C$23&lt;=Roster!$D186,FALSE),"",IF(OR(IF(Setup!$C$15&lt;=Setup!$C$16,AND(MONTH(E186)&gt;=Setup!$C$15,MONTH(E186)&lt;=Setup!$C$16),OR(MONTH(E186)&gt;=Setup!$C$15,MONTH(E186)&lt;=Setup!$C$16)),IF(Setup!$C$15&lt;=Setup!$C$16,AND(MONTH(WORKDAY(E186,-(Setup!$C$13+Setup!$G$23),Setup!$C$39:$C$50))&gt;=Setup!$C$15,MONTH(WORKDAY(E186,-(Setup!$C$13+Setup!$G$23),Setup!$C$39:$C$50))&lt;=Setup!$C$16),OR(MONTH(WORKDAY(E186,-(Setup!$C$13+Setup!$G$23),Setup!$C$39:$C$50))&gt;=Setup!$C$15,MONTH(WORKDAY(E186,-(Setup!$C$13+Setup!$G$23),Setup!$C$39:$C$50))&lt;=Setup!$C$16))),WORKDAY(E186,-(Setup!$C$13+Setup!$G$23+Setup!$C$14),Setup!$C$39:$C$50),WORKDAY(E186,-(Setup!$C$13+Setup!$G$23),Setup!$C$39:$C$50))+(181*100+4)/10000000)))</f>
        <v/>
      </c>
      <c r="V186" t="str">
        <f>IF(F186="","",IF(F186&lt;Setup!$C$5-Setup!$C$6,"",IF(IF(ISNUMBER(Roster!$D186),Setup!$C$24&lt;=Roster!$D186,FALSE),"",IF(OR(IF(Setup!$C$15&lt;=Setup!$C$16,AND(MONTH(F186)&gt;=Setup!$C$15,MONTH(F186)&lt;=Setup!$C$16),OR(MONTH(F186)&gt;=Setup!$C$15,MONTH(F186)&lt;=Setup!$C$16)),IF(Setup!$C$15&lt;=Setup!$C$16,AND(MONTH(WORKDAY(F186,-(Setup!$C$13+Setup!$G$24),Setup!$C$39:$C$50))&gt;=Setup!$C$15,MONTH(WORKDAY(F186,-(Setup!$C$13+Setup!$G$24),Setup!$C$39:$C$50))&lt;=Setup!$C$16),OR(MONTH(WORKDAY(F186,-(Setup!$C$13+Setup!$G$24),Setup!$C$39:$C$50))&gt;=Setup!$C$15,MONTH(WORKDAY(F186,-(Setup!$C$13+Setup!$G$24),Setup!$C$39:$C$50))&lt;=Setup!$C$16))),WORKDAY(F186,-(Setup!$C$13+Setup!$G$24+Setup!$C$14),Setup!$C$39:$C$50),WORKDAY(F186,-(Setup!$C$13+Setup!$G$24),Setup!$C$39:$C$50))+(181*100+5)/10000000)))</f>
        <v/>
      </c>
      <c r="W186" t="str">
        <f>IF(G186="","",IF(G186&lt;Setup!$C$5-Setup!$C$6,"",IF(IF(ISNUMBER(Roster!$D186),Setup!$C$25&lt;=Roster!$D186,FALSE),"",IF(OR(IF(Setup!$C$15&lt;=Setup!$C$16,AND(MONTH(G186)&gt;=Setup!$C$15,MONTH(G186)&lt;=Setup!$C$16),OR(MONTH(G186)&gt;=Setup!$C$15,MONTH(G186)&lt;=Setup!$C$16)),IF(Setup!$C$15&lt;=Setup!$C$16,AND(MONTH(WORKDAY(G186,-(Setup!$C$13+Setup!$G$25),Setup!$C$39:$C$50))&gt;=Setup!$C$15,MONTH(WORKDAY(G186,-(Setup!$C$13+Setup!$G$25),Setup!$C$39:$C$50))&lt;=Setup!$C$16),OR(MONTH(WORKDAY(G186,-(Setup!$C$13+Setup!$G$25),Setup!$C$39:$C$50))&gt;=Setup!$C$15,MONTH(WORKDAY(G186,-(Setup!$C$13+Setup!$G$25),Setup!$C$39:$C$50))&lt;=Setup!$C$16))),WORKDAY(G186,-(Setup!$C$13+Setup!$G$25+Setup!$C$14),Setup!$C$39:$C$50),WORKDAY(G186,-(Setup!$C$13+Setup!$G$25),Setup!$C$39:$C$50))+(181*100+6)/10000000)))</f>
        <v/>
      </c>
      <c r="X186" t="str">
        <f>IF(H186="","",IF(H186&lt;Setup!$C$5-Setup!$C$6,"",IF(IF(ISNUMBER(Roster!$D186),Setup!$C$26&lt;=Roster!$D186,FALSE),"",IF(OR(IF(Setup!$C$15&lt;=Setup!$C$16,AND(MONTH(H186)&gt;=Setup!$C$15,MONTH(H186)&lt;=Setup!$C$16),OR(MONTH(H186)&gt;=Setup!$C$15,MONTH(H186)&lt;=Setup!$C$16)),IF(Setup!$C$15&lt;=Setup!$C$16,AND(MONTH(WORKDAY(H186,-(Setup!$C$13+Setup!$G$26),Setup!$C$39:$C$50))&gt;=Setup!$C$15,MONTH(WORKDAY(H186,-(Setup!$C$13+Setup!$G$26),Setup!$C$39:$C$50))&lt;=Setup!$C$16),OR(MONTH(WORKDAY(H186,-(Setup!$C$13+Setup!$G$26),Setup!$C$39:$C$50))&gt;=Setup!$C$15,MONTH(WORKDAY(H186,-(Setup!$C$13+Setup!$G$26),Setup!$C$39:$C$50))&lt;=Setup!$C$16))),WORKDAY(H186,-(Setup!$C$13+Setup!$G$26+Setup!$C$14),Setup!$C$39:$C$50),WORKDAY(H186,-(Setup!$C$13+Setup!$G$26),Setup!$C$39:$C$50))+(181*100+7)/10000000)))</f>
        <v/>
      </c>
      <c r="Y186" t="str">
        <f>IF(I186="","",IF(I186&lt;Setup!$C$5-Setup!$C$6,"",IF(IF(ISNUMBER(Roster!$D186),Setup!$C$27&lt;=Roster!$D186,FALSE),"",IF(OR(IF(Setup!$C$15&lt;=Setup!$C$16,AND(MONTH(I186)&gt;=Setup!$C$15,MONTH(I186)&lt;=Setup!$C$16),OR(MONTH(I186)&gt;=Setup!$C$15,MONTH(I186)&lt;=Setup!$C$16)),IF(Setup!$C$15&lt;=Setup!$C$16,AND(MONTH(WORKDAY(I186,-(Setup!$C$13+Setup!$G$27),Setup!$C$39:$C$50))&gt;=Setup!$C$15,MONTH(WORKDAY(I186,-(Setup!$C$13+Setup!$G$27),Setup!$C$39:$C$50))&lt;=Setup!$C$16),OR(MONTH(WORKDAY(I186,-(Setup!$C$13+Setup!$G$27),Setup!$C$39:$C$50))&gt;=Setup!$C$15,MONTH(WORKDAY(I186,-(Setup!$C$13+Setup!$G$27),Setup!$C$39:$C$50))&lt;=Setup!$C$16))),WORKDAY(I186,-(Setup!$C$13+Setup!$G$27+Setup!$C$14),Setup!$C$39:$C$50),WORKDAY(I186,-(Setup!$C$13+Setup!$G$27),Setup!$C$39:$C$50))+(181*100+8)/10000000)))</f>
        <v/>
      </c>
      <c r="Z186" t="str">
        <f>IF(J186="","",IF(J186&lt;Setup!$C$5-Setup!$C$6,"",IF(IF(ISNUMBER(Roster!$D186),Setup!$C$28&lt;=Roster!$D186,FALSE),"",IF(OR(IF(Setup!$C$15&lt;=Setup!$C$16,AND(MONTH(J186)&gt;=Setup!$C$15,MONTH(J186)&lt;=Setup!$C$16),OR(MONTH(J186)&gt;=Setup!$C$15,MONTH(J186)&lt;=Setup!$C$16)),IF(Setup!$C$15&lt;=Setup!$C$16,AND(MONTH(WORKDAY(J186,-(Setup!$C$13+Setup!$G$28),Setup!$C$39:$C$50))&gt;=Setup!$C$15,MONTH(WORKDAY(J186,-(Setup!$C$13+Setup!$G$28),Setup!$C$39:$C$50))&lt;=Setup!$C$16),OR(MONTH(WORKDAY(J186,-(Setup!$C$13+Setup!$G$28),Setup!$C$39:$C$50))&gt;=Setup!$C$15,MONTH(WORKDAY(J186,-(Setup!$C$13+Setup!$G$28),Setup!$C$39:$C$50))&lt;=Setup!$C$16))),WORKDAY(J186,-(Setup!$C$13+Setup!$G$28+Setup!$C$14),Setup!$C$39:$C$50),WORKDAY(J186,-(Setup!$C$13+Setup!$G$28),Setup!$C$39:$C$50))+(181*100+9)/10000000)))</f>
        <v/>
      </c>
      <c r="AA186" t="str">
        <f>IF(K186="","",IF(K186&lt;Setup!$C$5-Setup!$C$6,"",IF(IF(ISNUMBER(Roster!$D186),Setup!$C$29&lt;=Roster!$D186,FALSE),"",IF(OR(IF(Setup!$C$15&lt;=Setup!$C$16,AND(MONTH(K186)&gt;=Setup!$C$15,MONTH(K186)&lt;=Setup!$C$16),OR(MONTH(K186)&gt;=Setup!$C$15,MONTH(K186)&lt;=Setup!$C$16)),IF(Setup!$C$15&lt;=Setup!$C$16,AND(MONTH(WORKDAY(K186,-(Setup!$C$13+Setup!$G$29),Setup!$C$39:$C$50))&gt;=Setup!$C$15,MONTH(WORKDAY(K186,-(Setup!$C$13+Setup!$G$29),Setup!$C$39:$C$50))&lt;=Setup!$C$16),OR(MONTH(WORKDAY(K186,-(Setup!$C$13+Setup!$G$29),Setup!$C$39:$C$50))&gt;=Setup!$C$15,MONTH(WORKDAY(K186,-(Setup!$C$13+Setup!$G$29),Setup!$C$39:$C$50))&lt;=Setup!$C$16))),WORKDAY(K186,-(Setup!$C$13+Setup!$G$29+Setup!$C$14),Setup!$C$39:$C$50),WORKDAY(K186,-(Setup!$C$13+Setup!$G$29),Setup!$C$39:$C$50))+(181*100+10)/10000000)))</f>
        <v/>
      </c>
      <c r="AB186" t="str">
        <f>IF(L186="","",IF(L186&lt;Setup!$C$5-Setup!$C$6,"",IF(IF(ISNUMBER(Roster!$D186),Setup!$C$30&lt;=Roster!$D186,FALSE),"",IF(OR(IF(Setup!$C$15&lt;=Setup!$C$16,AND(MONTH(L186)&gt;=Setup!$C$15,MONTH(L186)&lt;=Setup!$C$16),OR(MONTH(L186)&gt;=Setup!$C$15,MONTH(L186)&lt;=Setup!$C$16)),IF(Setup!$C$15&lt;=Setup!$C$16,AND(MONTH(WORKDAY(L186,-(Setup!$C$13+Setup!$G$30),Setup!$C$39:$C$50))&gt;=Setup!$C$15,MONTH(WORKDAY(L186,-(Setup!$C$13+Setup!$G$30),Setup!$C$39:$C$50))&lt;=Setup!$C$16),OR(MONTH(WORKDAY(L186,-(Setup!$C$13+Setup!$G$30),Setup!$C$39:$C$50))&gt;=Setup!$C$15,MONTH(WORKDAY(L186,-(Setup!$C$13+Setup!$G$30),Setup!$C$39:$C$50))&lt;=Setup!$C$16))),WORKDAY(L186,-(Setup!$C$13+Setup!$G$30+Setup!$C$14),Setup!$C$39:$C$50),WORKDAY(L186,-(Setup!$C$13+Setup!$G$30),Setup!$C$39:$C$50))+(181*100+11)/10000000)))</f>
        <v/>
      </c>
      <c r="AC186" t="str">
        <f>IF(M186="","",IF(M186&lt;Setup!$C$5-Setup!$C$6,"",IF(IF(ISNUMBER(Roster!$D186),Setup!$C$31&lt;=Roster!$D186,FALSE),"",IF(OR(IF(Setup!$C$15&lt;=Setup!$C$16,AND(MONTH(M186)&gt;=Setup!$C$15,MONTH(M186)&lt;=Setup!$C$16),OR(MONTH(M186)&gt;=Setup!$C$15,MONTH(M186)&lt;=Setup!$C$16)),IF(Setup!$C$15&lt;=Setup!$C$16,AND(MONTH(WORKDAY(M186,-(Setup!$C$13+Setup!$G$31),Setup!$C$39:$C$50))&gt;=Setup!$C$15,MONTH(WORKDAY(M186,-(Setup!$C$13+Setup!$G$31),Setup!$C$39:$C$50))&lt;=Setup!$C$16),OR(MONTH(WORKDAY(M186,-(Setup!$C$13+Setup!$G$31),Setup!$C$39:$C$50))&gt;=Setup!$C$15,MONTH(WORKDAY(M186,-(Setup!$C$13+Setup!$G$31),Setup!$C$39:$C$50))&lt;=Setup!$C$16))),WORKDAY(M186,-(Setup!$C$13+Setup!$G$31+Setup!$C$14),Setup!$C$39:$C$50),WORKDAY(M186,-(Setup!$C$13+Setup!$G$31),Setup!$C$39:$C$50))+(181*100+12)/10000000)))</f>
        <v/>
      </c>
      <c r="AD186" t="str">
        <f>IF(N186="","",IF(N186&lt;Setup!$C$5-Setup!$C$6,"",IF(IF(ISNUMBER(Roster!$D186),Setup!$C$32&lt;=Roster!$D186,FALSE),"",IF(OR(IF(Setup!$C$15&lt;=Setup!$C$16,AND(MONTH(N186)&gt;=Setup!$C$15,MONTH(N186)&lt;=Setup!$C$16),OR(MONTH(N186)&gt;=Setup!$C$15,MONTH(N186)&lt;=Setup!$C$16)),IF(Setup!$C$15&lt;=Setup!$C$16,AND(MONTH(WORKDAY(N186,-(Setup!$C$13+Setup!$G$32),Setup!$C$39:$C$50))&gt;=Setup!$C$15,MONTH(WORKDAY(N186,-(Setup!$C$13+Setup!$G$32),Setup!$C$39:$C$50))&lt;=Setup!$C$16),OR(MONTH(WORKDAY(N186,-(Setup!$C$13+Setup!$G$32),Setup!$C$39:$C$50))&gt;=Setup!$C$15,MONTH(WORKDAY(N186,-(Setup!$C$13+Setup!$G$32),Setup!$C$39:$C$50))&lt;=Setup!$C$16))),WORKDAY(N186,-(Setup!$C$13+Setup!$G$32+Setup!$C$14),Setup!$C$39:$C$50),WORKDAY(N186,-(Setup!$C$13+Setup!$G$32),Setup!$C$39:$C$50))+(181*100+13)/10000000)))</f>
        <v/>
      </c>
      <c r="AE186" t="str">
        <f>IF(O186="","",IF(O186&lt;Setup!$C$5-Setup!$C$6,"",IF(IF(ISNUMBER(Roster!$D186),Setup!$C$33&lt;=Roster!$D186,FALSE),"",IF(OR(IF(Setup!$C$15&lt;=Setup!$C$16,AND(MONTH(O186)&gt;=Setup!$C$15,MONTH(O186)&lt;=Setup!$C$16),OR(MONTH(O186)&gt;=Setup!$C$15,MONTH(O186)&lt;=Setup!$C$16)),IF(Setup!$C$15&lt;=Setup!$C$16,AND(MONTH(WORKDAY(O186,-(Setup!$C$13+Setup!$G$33),Setup!$C$39:$C$50))&gt;=Setup!$C$15,MONTH(WORKDAY(O186,-(Setup!$C$13+Setup!$G$33),Setup!$C$39:$C$50))&lt;=Setup!$C$16),OR(MONTH(WORKDAY(O186,-(Setup!$C$13+Setup!$G$33),Setup!$C$39:$C$50))&gt;=Setup!$C$15,MONTH(WORKDAY(O186,-(Setup!$C$13+Setup!$G$33),Setup!$C$39:$C$50))&lt;=Setup!$C$16))),WORKDAY(O186,-(Setup!$C$13+Setup!$G$33+Setup!$C$14),Setup!$C$39:$C$50),WORKDAY(O186,-(Setup!$C$13+Setup!$G$33),Setup!$C$39:$C$50))+(181*100+14)/10000000)))</f>
        <v/>
      </c>
      <c r="AF186" t="str">
        <f>IF(P186="","",IF(P186&lt;Setup!$C$5-Setup!$C$6,"",IF(IF(ISNUMBER(Roster!$D186),Setup!$C$34&lt;=Roster!$D186,FALSE),"",IF(OR(IF(Setup!$C$15&lt;=Setup!$C$16,AND(MONTH(P186)&gt;=Setup!$C$15,MONTH(P186)&lt;=Setup!$C$16),OR(MONTH(P186)&gt;=Setup!$C$15,MONTH(P186)&lt;=Setup!$C$16)),IF(Setup!$C$15&lt;=Setup!$C$16,AND(MONTH(WORKDAY(P186,-(Setup!$C$13+Setup!$G$34),Setup!$C$39:$C$50))&gt;=Setup!$C$15,MONTH(WORKDAY(P186,-(Setup!$C$13+Setup!$G$34),Setup!$C$39:$C$50))&lt;=Setup!$C$16),OR(MONTH(WORKDAY(P186,-(Setup!$C$13+Setup!$G$34),Setup!$C$39:$C$50))&gt;=Setup!$C$15,MONTH(WORKDAY(P186,-(Setup!$C$13+Setup!$G$34),Setup!$C$39:$C$50))&lt;=Setup!$C$16))),WORKDAY(P186,-(Setup!$C$13+Setup!$G$34+Setup!$C$14),Setup!$C$39:$C$50),WORKDAY(P186,-(Setup!$C$13+Setup!$G$34),Setup!$C$39:$C$50))+(181*100+15)/10000000)))</f>
        <v/>
      </c>
      <c r="AH186" t="str">
        <f t="shared" si="17"/>
        <v/>
      </c>
      <c r="AI186" t="str">
        <f t="shared" si="18"/>
        <v/>
      </c>
      <c r="AK186" t="str">
        <f ca="1">IF(181&gt;$AK$2,"",SMALL($R$6:$AF$505,181))</f>
        <v/>
      </c>
      <c r="AL186" t="str">
        <f t="shared" ca="1" si="19"/>
        <v/>
      </c>
      <c r="AM186" t="str">
        <f t="shared" ca="1" si="20"/>
        <v/>
      </c>
      <c r="AN186" t="str">
        <f t="shared" ca="1" si="21"/>
        <v/>
      </c>
      <c r="AP186" t="str">
        <f>IF(ISNUMBER(Roster!$B186),MAX(1,YEAR(Setup!$C$5)-YEAR(Roster!$B186)+IF(EDATE(Roster!$B186,12*(YEAR(Setup!$C$5)-YEAR(Roster!$B186)))&lt;Setup!$C$5,1,0)),"")</f>
        <v/>
      </c>
      <c r="AQ186" s="32" t="str">
        <f>IF(AP186="","",EDATE(Roster!$B186,12*AP186))</f>
        <v/>
      </c>
      <c r="AR186" t="str">
        <f>IF(AQ186="","",IF(AQ186&lt;DATE(YEAR(Setup!$C$5)+1,MONTH(Setup!$C$5),DAY(Setup!$C$5)),AQ186+181/1000,""))</f>
        <v/>
      </c>
      <c r="AS186" t="str">
        <f t="shared" si="22"/>
        <v/>
      </c>
      <c r="AT186" t="str">
        <f>IF(AS186="","",IF(ISNUMBER(Roster!$D186),Roster!$D186&gt;=AP186,FALSE))</f>
        <v/>
      </c>
      <c r="AU186" t="str">
        <f t="shared" si="23"/>
        <v/>
      </c>
      <c r="AV186" t="str">
        <f ca="1">IF(181&gt;$AV$2,"",SMALL($AR$6:$AR$505,181))</f>
        <v/>
      </c>
      <c r="AW186" t="str">
        <f t="shared" ca="1" si="24"/>
        <v/>
      </c>
    </row>
    <row r="187" spans="2:49" x14ac:dyDescent="0.2">
      <c r="B187" s="32" t="str">
        <f>IF(AND(ISNUMBER(Roster!$B187),Setup!$B$20="Yes",ISNUMBER(Setup!$C$20)),EDATE(Roster!$B187,12*Setup!$C$20),"")</f>
        <v/>
      </c>
      <c r="C187" s="32" t="str">
        <f>IF(AND(ISNUMBER(Roster!$B187),Setup!$B$21="Yes",ISNUMBER(Setup!$C$21)),EDATE(Roster!$B187,12*Setup!$C$21),"")</f>
        <v/>
      </c>
      <c r="D187" s="32" t="str">
        <f>IF(AND(ISNUMBER(Roster!$B187),Setup!$B$22="Yes",ISNUMBER(Setup!$C$22)),EDATE(Roster!$B187,12*Setup!$C$22),"")</f>
        <v/>
      </c>
      <c r="E187" s="32" t="str">
        <f>IF(AND(ISNUMBER(Roster!$B187),Setup!$B$23="Yes",ISNUMBER(Setup!$C$23)),EDATE(Roster!$B187,12*Setup!$C$23),"")</f>
        <v/>
      </c>
      <c r="F187" s="32" t="str">
        <f>IF(AND(ISNUMBER(Roster!$B187),Setup!$B$24="Yes",ISNUMBER(Setup!$C$24)),EDATE(Roster!$B187,12*Setup!$C$24),"")</f>
        <v/>
      </c>
      <c r="G187" s="32" t="str">
        <f>IF(AND(ISNUMBER(Roster!$B187),Setup!$B$25="Yes",ISNUMBER(Setup!$C$25)),EDATE(Roster!$B187,12*Setup!$C$25),"")</f>
        <v/>
      </c>
      <c r="H187" s="32" t="str">
        <f>IF(AND(ISNUMBER(Roster!$B187),Setup!$B$26="Yes",ISNUMBER(Setup!$C$26)),EDATE(Roster!$B187,12*Setup!$C$26),"")</f>
        <v/>
      </c>
      <c r="I187" s="32" t="str">
        <f>IF(AND(ISNUMBER(Roster!$B187),Setup!$B$27="Yes",ISNUMBER(Setup!$C$27)),EDATE(Roster!$B187,12*Setup!$C$27),"")</f>
        <v/>
      </c>
      <c r="J187" s="32" t="str">
        <f>IF(AND(ISNUMBER(Roster!$B187),Setup!$B$28="Yes",ISNUMBER(Setup!$C$28)),EDATE(Roster!$B187,12*Setup!$C$28),"")</f>
        <v/>
      </c>
      <c r="K187" s="32" t="str">
        <f>IF(AND(ISNUMBER(Roster!$B187),Setup!$B$29="Yes",ISNUMBER(Setup!$C$29)),EDATE(Roster!$B187,12*Setup!$C$29),"")</f>
        <v/>
      </c>
      <c r="L187" s="32" t="str">
        <f>IF(AND(ISNUMBER(Roster!$B187),Setup!$B$30="Yes",ISNUMBER(Setup!$C$30)),EDATE(Roster!$B187,12*Setup!$C$30),"")</f>
        <v/>
      </c>
      <c r="M187" s="32" t="str">
        <f>IF(AND(ISNUMBER(Roster!$B187),Setup!$B$31="Yes",ISNUMBER(Setup!$C$31)),EDATE(Roster!$B187,12*Setup!$C$31),"")</f>
        <v/>
      </c>
      <c r="N187" s="32" t="str">
        <f>IF(AND(ISNUMBER(Roster!$B187),Setup!$B$32="Yes",ISNUMBER(Setup!$C$32)),EDATE(Roster!$B187,12*Setup!$C$32),"")</f>
        <v/>
      </c>
      <c r="O187" s="32" t="str">
        <f>IF(AND(ISNUMBER(Roster!$B187),Setup!$B$33="Yes",ISNUMBER(Setup!$C$33)),EDATE(Roster!$B187,12*Setup!$C$33),"")</f>
        <v/>
      </c>
      <c r="P187" s="32" t="str">
        <f>IF(AND(ISNUMBER(Roster!$B187),Setup!$B$34="Yes",ISNUMBER(Setup!$C$34)),EDATE(Roster!$B187,12*Setup!$C$34),"")</f>
        <v/>
      </c>
      <c r="R187" t="str">
        <f>IF(B187="","",IF(B187&lt;Setup!$C$5-Setup!$C$6,"",IF(IF(ISNUMBER(Roster!$D187),Setup!$C$20&lt;=Roster!$D187,FALSE),"",IF(OR(IF(Setup!$C$15&lt;=Setup!$C$16,AND(MONTH(B187)&gt;=Setup!$C$15,MONTH(B187)&lt;=Setup!$C$16),OR(MONTH(B187)&gt;=Setup!$C$15,MONTH(B187)&lt;=Setup!$C$16)),IF(Setup!$C$15&lt;=Setup!$C$16,AND(MONTH(WORKDAY(B187,-(Setup!$C$13+Setup!$G$20),Setup!$C$39:$C$50))&gt;=Setup!$C$15,MONTH(WORKDAY(B187,-(Setup!$C$13+Setup!$G$20),Setup!$C$39:$C$50))&lt;=Setup!$C$16),OR(MONTH(WORKDAY(B187,-(Setup!$C$13+Setup!$G$20),Setup!$C$39:$C$50))&gt;=Setup!$C$15,MONTH(WORKDAY(B187,-(Setup!$C$13+Setup!$G$20),Setup!$C$39:$C$50))&lt;=Setup!$C$16))),WORKDAY(B187,-(Setup!$C$13+Setup!$G$20+Setup!$C$14),Setup!$C$39:$C$50),WORKDAY(B187,-(Setup!$C$13+Setup!$G$20),Setup!$C$39:$C$50))+(182*100+1)/10000000)))</f>
        <v/>
      </c>
      <c r="S187" t="str">
        <f>IF(C187="","",IF(C187&lt;Setup!$C$5-Setup!$C$6,"",IF(IF(ISNUMBER(Roster!$D187),Setup!$C$21&lt;=Roster!$D187,FALSE),"",IF(OR(IF(Setup!$C$15&lt;=Setup!$C$16,AND(MONTH(C187)&gt;=Setup!$C$15,MONTH(C187)&lt;=Setup!$C$16),OR(MONTH(C187)&gt;=Setup!$C$15,MONTH(C187)&lt;=Setup!$C$16)),IF(Setup!$C$15&lt;=Setup!$C$16,AND(MONTH(WORKDAY(C187,-(Setup!$C$13+Setup!$G$21),Setup!$C$39:$C$50))&gt;=Setup!$C$15,MONTH(WORKDAY(C187,-(Setup!$C$13+Setup!$G$21),Setup!$C$39:$C$50))&lt;=Setup!$C$16),OR(MONTH(WORKDAY(C187,-(Setup!$C$13+Setup!$G$21),Setup!$C$39:$C$50))&gt;=Setup!$C$15,MONTH(WORKDAY(C187,-(Setup!$C$13+Setup!$G$21),Setup!$C$39:$C$50))&lt;=Setup!$C$16))),WORKDAY(C187,-(Setup!$C$13+Setup!$G$21+Setup!$C$14),Setup!$C$39:$C$50),WORKDAY(C187,-(Setup!$C$13+Setup!$G$21),Setup!$C$39:$C$50))+(182*100+2)/10000000)))</f>
        <v/>
      </c>
      <c r="T187" t="str">
        <f>IF(D187="","",IF(D187&lt;Setup!$C$5-Setup!$C$6,"",IF(IF(ISNUMBER(Roster!$D187),Setup!$C$22&lt;=Roster!$D187,FALSE),"",IF(OR(IF(Setup!$C$15&lt;=Setup!$C$16,AND(MONTH(D187)&gt;=Setup!$C$15,MONTH(D187)&lt;=Setup!$C$16),OR(MONTH(D187)&gt;=Setup!$C$15,MONTH(D187)&lt;=Setup!$C$16)),IF(Setup!$C$15&lt;=Setup!$C$16,AND(MONTH(WORKDAY(D187,-(Setup!$C$13+Setup!$G$22),Setup!$C$39:$C$50))&gt;=Setup!$C$15,MONTH(WORKDAY(D187,-(Setup!$C$13+Setup!$G$22),Setup!$C$39:$C$50))&lt;=Setup!$C$16),OR(MONTH(WORKDAY(D187,-(Setup!$C$13+Setup!$G$22),Setup!$C$39:$C$50))&gt;=Setup!$C$15,MONTH(WORKDAY(D187,-(Setup!$C$13+Setup!$G$22),Setup!$C$39:$C$50))&lt;=Setup!$C$16))),WORKDAY(D187,-(Setup!$C$13+Setup!$G$22+Setup!$C$14),Setup!$C$39:$C$50),WORKDAY(D187,-(Setup!$C$13+Setup!$G$22),Setup!$C$39:$C$50))+(182*100+3)/10000000)))</f>
        <v/>
      </c>
      <c r="U187" t="str">
        <f>IF(E187="","",IF(E187&lt;Setup!$C$5-Setup!$C$6,"",IF(IF(ISNUMBER(Roster!$D187),Setup!$C$23&lt;=Roster!$D187,FALSE),"",IF(OR(IF(Setup!$C$15&lt;=Setup!$C$16,AND(MONTH(E187)&gt;=Setup!$C$15,MONTH(E187)&lt;=Setup!$C$16),OR(MONTH(E187)&gt;=Setup!$C$15,MONTH(E187)&lt;=Setup!$C$16)),IF(Setup!$C$15&lt;=Setup!$C$16,AND(MONTH(WORKDAY(E187,-(Setup!$C$13+Setup!$G$23),Setup!$C$39:$C$50))&gt;=Setup!$C$15,MONTH(WORKDAY(E187,-(Setup!$C$13+Setup!$G$23),Setup!$C$39:$C$50))&lt;=Setup!$C$16),OR(MONTH(WORKDAY(E187,-(Setup!$C$13+Setup!$G$23),Setup!$C$39:$C$50))&gt;=Setup!$C$15,MONTH(WORKDAY(E187,-(Setup!$C$13+Setup!$G$23),Setup!$C$39:$C$50))&lt;=Setup!$C$16))),WORKDAY(E187,-(Setup!$C$13+Setup!$G$23+Setup!$C$14),Setup!$C$39:$C$50),WORKDAY(E187,-(Setup!$C$13+Setup!$G$23),Setup!$C$39:$C$50))+(182*100+4)/10000000)))</f>
        <v/>
      </c>
      <c r="V187" t="str">
        <f>IF(F187="","",IF(F187&lt;Setup!$C$5-Setup!$C$6,"",IF(IF(ISNUMBER(Roster!$D187),Setup!$C$24&lt;=Roster!$D187,FALSE),"",IF(OR(IF(Setup!$C$15&lt;=Setup!$C$16,AND(MONTH(F187)&gt;=Setup!$C$15,MONTH(F187)&lt;=Setup!$C$16),OR(MONTH(F187)&gt;=Setup!$C$15,MONTH(F187)&lt;=Setup!$C$16)),IF(Setup!$C$15&lt;=Setup!$C$16,AND(MONTH(WORKDAY(F187,-(Setup!$C$13+Setup!$G$24),Setup!$C$39:$C$50))&gt;=Setup!$C$15,MONTH(WORKDAY(F187,-(Setup!$C$13+Setup!$G$24),Setup!$C$39:$C$50))&lt;=Setup!$C$16),OR(MONTH(WORKDAY(F187,-(Setup!$C$13+Setup!$G$24),Setup!$C$39:$C$50))&gt;=Setup!$C$15,MONTH(WORKDAY(F187,-(Setup!$C$13+Setup!$G$24),Setup!$C$39:$C$50))&lt;=Setup!$C$16))),WORKDAY(F187,-(Setup!$C$13+Setup!$G$24+Setup!$C$14),Setup!$C$39:$C$50),WORKDAY(F187,-(Setup!$C$13+Setup!$G$24),Setup!$C$39:$C$50))+(182*100+5)/10000000)))</f>
        <v/>
      </c>
      <c r="W187" t="str">
        <f>IF(G187="","",IF(G187&lt;Setup!$C$5-Setup!$C$6,"",IF(IF(ISNUMBER(Roster!$D187),Setup!$C$25&lt;=Roster!$D187,FALSE),"",IF(OR(IF(Setup!$C$15&lt;=Setup!$C$16,AND(MONTH(G187)&gt;=Setup!$C$15,MONTH(G187)&lt;=Setup!$C$16),OR(MONTH(G187)&gt;=Setup!$C$15,MONTH(G187)&lt;=Setup!$C$16)),IF(Setup!$C$15&lt;=Setup!$C$16,AND(MONTH(WORKDAY(G187,-(Setup!$C$13+Setup!$G$25),Setup!$C$39:$C$50))&gt;=Setup!$C$15,MONTH(WORKDAY(G187,-(Setup!$C$13+Setup!$G$25),Setup!$C$39:$C$50))&lt;=Setup!$C$16),OR(MONTH(WORKDAY(G187,-(Setup!$C$13+Setup!$G$25),Setup!$C$39:$C$50))&gt;=Setup!$C$15,MONTH(WORKDAY(G187,-(Setup!$C$13+Setup!$G$25),Setup!$C$39:$C$50))&lt;=Setup!$C$16))),WORKDAY(G187,-(Setup!$C$13+Setup!$G$25+Setup!$C$14),Setup!$C$39:$C$50),WORKDAY(G187,-(Setup!$C$13+Setup!$G$25),Setup!$C$39:$C$50))+(182*100+6)/10000000)))</f>
        <v/>
      </c>
      <c r="X187" t="str">
        <f>IF(H187="","",IF(H187&lt;Setup!$C$5-Setup!$C$6,"",IF(IF(ISNUMBER(Roster!$D187),Setup!$C$26&lt;=Roster!$D187,FALSE),"",IF(OR(IF(Setup!$C$15&lt;=Setup!$C$16,AND(MONTH(H187)&gt;=Setup!$C$15,MONTH(H187)&lt;=Setup!$C$16),OR(MONTH(H187)&gt;=Setup!$C$15,MONTH(H187)&lt;=Setup!$C$16)),IF(Setup!$C$15&lt;=Setup!$C$16,AND(MONTH(WORKDAY(H187,-(Setup!$C$13+Setup!$G$26),Setup!$C$39:$C$50))&gt;=Setup!$C$15,MONTH(WORKDAY(H187,-(Setup!$C$13+Setup!$G$26),Setup!$C$39:$C$50))&lt;=Setup!$C$16),OR(MONTH(WORKDAY(H187,-(Setup!$C$13+Setup!$G$26),Setup!$C$39:$C$50))&gt;=Setup!$C$15,MONTH(WORKDAY(H187,-(Setup!$C$13+Setup!$G$26),Setup!$C$39:$C$50))&lt;=Setup!$C$16))),WORKDAY(H187,-(Setup!$C$13+Setup!$G$26+Setup!$C$14),Setup!$C$39:$C$50),WORKDAY(H187,-(Setup!$C$13+Setup!$G$26),Setup!$C$39:$C$50))+(182*100+7)/10000000)))</f>
        <v/>
      </c>
      <c r="Y187" t="str">
        <f>IF(I187="","",IF(I187&lt;Setup!$C$5-Setup!$C$6,"",IF(IF(ISNUMBER(Roster!$D187),Setup!$C$27&lt;=Roster!$D187,FALSE),"",IF(OR(IF(Setup!$C$15&lt;=Setup!$C$16,AND(MONTH(I187)&gt;=Setup!$C$15,MONTH(I187)&lt;=Setup!$C$16),OR(MONTH(I187)&gt;=Setup!$C$15,MONTH(I187)&lt;=Setup!$C$16)),IF(Setup!$C$15&lt;=Setup!$C$16,AND(MONTH(WORKDAY(I187,-(Setup!$C$13+Setup!$G$27),Setup!$C$39:$C$50))&gt;=Setup!$C$15,MONTH(WORKDAY(I187,-(Setup!$C$13+Setup!$G$27),Setup!$C$39:$C$50))&lt;=Setup!$C$16),OR(MONTH(WORKDAY(I187,-(Setup!$C$13+Setup!$G$27),Setup!$C$39:$C$50))&gt;=Setup!$C$15,MONTH(WORKDAY(I187,-(Setup!$C$13+Setup!$G$27),Setup!$C$39:$C$50))&lt;=Setup!$C$16))),WORKDAY(I187,-(Setup!$C$13+Setup!$G$27+Setup!$C$14),Setup!$C$39:$C$50),WORKDAY(I187,-(Setup!$C$13+Setup!$G$27),Setup!$C$39:$C$50))+(182*100+8)/10000000)))</f>
        <v/>
      </c>
      <c r="Z187" t="str">
        <f>IF(J187="","",IF(J187&lt;Setup!$C$5-Setup!$C$6,"",IF(IF(ISNUMBER(Roster!$D187),Setup!$C$28&lt;=Roster!$D187,FALSE),"",IF(OR(IF(Setup!$C$15&lt;=Setup!$C$16,AND(MONTH(J187)&gt;=Setup!$C$15,MONTH(J187)&lt;=Setup!$C$16),OR(MONTH(J187)&gt;=Setup!$C$15,MONTH(J187)&lt;=Setup!$C$16)),IF(Setup!$C$15&lt;=Setup!$C$16,AND(MONTH(WORKDAY(J187,-(Setup!$C$13+Setup!$G$28),Setup!$C$39:$C$50))&gt;=Setup!$C$15,MONTH(WORKDAY(J187,-(Setup!$C$13+Setup!$G$28),Setup!$C$39:$C$50))&lt;=Setup!$C$16),OR(MONTH(WORKDAY(J187,-(Setup!$C$13+Setup!$G$28),Setup!$C$39:$C$50))&gt;=Setup!$C$15,MONTH(WORKDAY(J187,-(Setup!$C$13+Setup!$G$28),Setup!$C$39:$C$50))&lt;=Setup!$C$16))),WORKDAY(J187,-(Setup!$C$13+Setup!$G$28+Setup!$C$14),Setup!$C$39:$C$50),WORKDAY(J187,-(Setup!$C$13+Setup!$G$28),Setup!$C$39:$C$50))+(182*100+9)/10000000)))</f>
        <v/>
      </c>
      <c r="AA187" t="str">
        <f>IF(K187="","",IF(K187&lt;Setup!$C$5-Setup!$C$6,"",IF(IF(ISNUMBER(Roster!$D187),Setup!$C$29&lt;=Roster!$D187,FALSE),"",IF(OR(IF(Setup!$C$15&lt;=Setup!$C$16,AND(MONTH(K187)&gt;=Setup!$C$15,MONTH(K187)&lt;=Setup!$C$16),OR(MONTH(K187)&gt;=Setup!$C$15,MONTH(K187)&lt;=Setup!$C$16)),IF(Setup!$C$15&lt;=Setup!$C$16,AND(MONTH(WORKDAY(K187,-(Setup!$C$13+Setup!$G$29),Setup!$C$39:$C$50))&gt;=Setup!$C$15,MONTH(WORKDAY(K187,-(Setup!$C$13+Setup!$G$29),Setup!$C$39:$C$50))&lt;=Setup!$C$16),OR(MONTH(WORKDAY(K187,-(Setup!$C$13+Setup!$G$29),Setup!$C$39:$C$50))&gt;=Setup!$C$15,MONTH(WORKDAY(K187,-(Setup!$C$13+Setup!$G$29),Setup!$C$39:$C$50))&lt;=Setup!$C$16))),WORKDAY(K187,-(Setup!$C$13+Setup!$G$29+Setup!$C$14),Setup!$C$39:$C$50),WORKDAY(K187,-(Setup!$C$13+Setup!$G$29),Setup!$C$39:$C$50))+(182*100+10)/10000000)))</f>
        <v/>
      </c>
      <c r="AB187" t="str">
        <f>IF(L187="","",IF(L187&lt;Setup!$C$5-Setup!$C$6,"",IF(IF(ISNUMBER(Roster!$D187),Setup!$C$30&lt;=Roster!$D187,FALSE),"",IF(OR(IF(Setup!$C$15&lt;=Setup!$C$16,AND(MONTH(L187)&gt;=Setup!$C$15,MONTH(L187)&lt;=Setup!$C$16),OR(MONTH(L187)&gt;=Setup!$C$15,MONTH(L187)&lt;=Setup!$C$16)),IF(Setup!$C$15&lt;=Setup!$C$16,AND(MONTH(WORKDAY(L187,-(Setup!$C$13+Setup!$G$30),Setup!$C$39:$C$50))&gt;=Setup!$C$15,MONTH(WORKDAY(L187,-(Setup!$C$13+Setup!$G$30),Setup!$C$39:$C$50))&lt;=Setup!$C$16),OR(MONTH(WORKDAY(L187,-(Setup!$C$13+Setup!$G$30),Setup!$C$39:$C$50))&gt;=Setup!$C$15,MONTH(WORKDAY(L187,-(Setup!$C$13+Setup!$G$30),Setup!$C$39:$C$50))&lt;=Setup!$C$16))),WORKDAY(L187,-(Setup!$C$13+Setup!$G$30+Setup!$C$14),Setup!$C$39:$C$50),WORKDAY(L187,-(Setup!$C$13+Setup!$G$30),Setup!$C$39:$C$50))+(182*100+11)/10000000)))</f>
        <v/>
      </c>
      <c r="AC187" t="str">
        <f>IF(M187="","",IF(M187&lt;Setup!$C$5-Setup!$C$6,"",IF(IF(ISNUMBER(Roster!$D187),Setup!$C$31&lt;=Roster!$D187,FALSE),"",IF(OR(IF(Setup!$C$15&lt;=Setup!$C$16,AND(MONTH(M187)&gt;=Setup!$C$15,MONTH(M187)&lt;=Setup!$C$16),OR(MONTH(M187)&gt;=Setup!$C$15,MONTH(M187)&lt;=Setup!$C$16)),IF(Setup!$C$15&lt;=Setup!$C$16,AND(MONTH(WORKDAY(M187,-(Setup!$C$13+Setup!$G$31),Setup!$C$39:$C$50))&gt;=Setup!$C$15,MONTH(WORKDAY(M187,-(Setup!$C$13+Setup!$G$31),Setup!$C$39:$C$50))&lt;=Setup!$C$16),OR(MONTH(WORKDAY(M187,-(Setup!$C$13+Setup!$G$31),Setup!$C$39:$C$50))&gt;=Setup!$C$15,MONTH(WORKDAY(M187,-(Setup!$C$13+Setup!$G$31),Setup!$C$39:$C$50))&lt;=Setup!$C$16))),WORKDAY(M187,-(Setup!$C$13+Setup!$G$31+Setup!$C$14),Setup!$C$39:$C$50),WORKDAY(M187,-(Setup!$C$13+Setup!$G$31),Setup!$C$39:$C$50))+(182*100+12)/10000000)))</f>
        <v/>
      </c>
      <c r="AD187" t="str">
        <f>IF(N187="","",IF(N187&lt;Setup!$C$5-Setup!$C$6,"",IF(IF(ISNUMBER(Roster!$D187),Setup!$C$32&lt;=Roster!$D187,FALSE),"",IF(OR(IF(Setup!$C$15&lt;=Setup!$C$16,AND(MONTH(N187)&gt;=Setup!$C$15,MONTH(N187)&lt;=Setup!$C$16),OR(MONTH(N187)&gt;=Setup!$C$15,MONTH(N187)&lt;=Setup!$C$16)),IF(Setup!$C$15&lt;=Setup!$C$16,AND(MONTH(WORKDAY(N187,-(Setup!$C$13+Setup!$G$32),Setup!$C$39:$C$50))&gt;=Setup!$C$15,MONTH(WORKDAY(N187,-(Setup!$C$13+Setup!$G$32),Setup!$C$39:$C$50))&lt;=Setup!$C$16),OR(MONTH(WORKDAY(N187,-(Setup!$C$13+Setup!$G$32),Setup!$C$39:$C$50))&gt;=Setup!$C$15,MONTH(WORKDAY(N187,-(Setup!$C$13+Setup!$G$32),Setup!$C$39:$C$50))&lt;=Setup!$C$16))),WORKDAY(N187,-(Setup!$C$13+Setup!$G$32+Setup!$C$14),Setup!$C$39:$C$50),WORKDAY(N187,-(Setup!$C$13+Setup!$G$32),Setup!$C$39:$C$50))+(182*100+13)/10000000)))</f>
        <v/>
      </c>
      <c r="AE187" t="str">
        <f>IF(O187="","",IF(O187&lt;Setup!$C$5-Setup!$C$6,"",IF(IF(ISNUMBER(Roster!$D187),Setup!$C$33&lt;=Roster!$D187,FALSE),"",IF(OR(IF(Setup!$C$15&lt;=Setup!$C$16,AND(MONTH(O187)&gt;=Setup!$C$15,MONTH(O187)&lt;=Setup!$C$16),OR(MONTH(O187)&gt;=Setup!$C$15,MONTH(O187)&lt;=Setup!$C$16)),IF(Setup!$C$15&lt;=Setup!$C$16,AND(MONTH(WORKDAY(O187,-(Setup!$C$13+Setup!$G$33),Setup!$C$39:$C$50))&gt;=Setup!$C$15,MONTH(WORKDAY(O187,-(Setup!$C$13+Setup!$G$33),Setup!$C$39:$C$50))&lt;=Setup!$C$16),OR(MONTH(WORKDAY(O187,-(Setup!$C$13+Setup!$G$33),Setup!$C$39:$C$50))&gt;=Setup!$C$15,MONTH(WORKDAY(O187,-(Setup!$C$13+Setup!$G$33),Setup!$C$39:$C$50))&lt;=Setup!$C$16))),WORKDAY(O187,-(Setup!$C$13+Setup!$G$33+Setup!$C$14),Setup!$C$39:$C$50),WORKDAY(O187,-(Setup!$C$13+Setup!$G$33),Setup!$C$39:$C$50))+(182*100+14)/10000000)))</f>
        <v/>
      </c>
      <c r="AF187" t="str">
        <f>IF(P187="","",IF(P187&lt;Setup!$C$5-Setup!$C$6,"",IF(IF(ISNUMBER(Roster!$D187),Setup!$C$34&lt;=Roster!$D187,FALSE),"",IF(OR(IF(Setup!$C$15&lt;=Setup!$C$16,AND(MONTH(P187)&gt;=Setup!$C$15,MONTH(P187)&lt;=Setup!$C$16),OR(MONTH(P187)&gt;=Setup!$C$15,MONTH(P187)&lt;=Setup!$C$16)),IF(Setup!$C$15&lt;=Setup!$C$16,AND(MONTH(WORKDAY(P187,-(Setup!$C$13+Setup!$G$34),Setup!$C$39:$C$50))&gt;=Setup!$C$15,MONTH(WORKDAY(P187,-(Setup!$C$13+Setup!$G$34),Setup!$C$39:$C$50))&lt;=Setup!$C$16),OR(MONTH(WORKDAY(P187,-(Setup!$C$13+Setup!$G$34),Setup!$C$39:$C$50))&gt;=Setup!$C$15,MONTH(WORKDAY(P187,-(Setup!$C$13+Setup!$G$34),Setup!$C$39:$C$50))&lt;=Setup!$C$16))),WORKDAY(P187,-(Setup!$C$13+Setup!$G$34+Setup!$C$14),Setup!$C$39:$C$50),WORKDAY(P187,-(Setup!$C$13+Setup!$G$34),Setup!$C$39:$C$50))+(182*100+15)/10000000)))</f>
        <v/>
      </c>
      <c r="AH187" t="str">
        <f t="shared" si="17"/>
        <v/>
      </c>
      <c r="AI187" t="str">
        <f t="shared" si="18"/>
        <v/>
      </c>
      <c r="AK187" t="str">
        <f ca="1">IF(182&gt;$AK$2,"",SMALL($R$6:$AF$505,182))</f>
        <v/>
      </c>
      <c r="AL187" t="str">
        <f t="shared" ca="1" si="19"/>
        <v/>
      </c>
      <c r="AM187" t="str">
        <f t="shared" ca="1" si="20"/>
        <v/>
      </c>
      <c r="AN187" t="str">
        <f t="shared" ca="1" si="21"/>
        <v/>
      </c>
      <c r="AP187" t="str">
        <f>IF(ISNUMBER(Roster!$B187),MAX(1,YEAR(Setup!$C$5)-YEAR(Roster!$B187)+IF(EDATE(Roster!$B187,12*(YEAR(Setup!$C$5)-YEAR(Roster!$B187)))&lt;Setup!$C$5,1,0)),"")</f>
        <v/>
      </c>
      <c r="AQ187" s="32" t="str">
        <f>IF(AP187="","",EDATE(Roster!$B187,12*AP187))</f>
        <v/>
      </c>
      <c r="AR187" t="str">
        <f>IF(AQ187="","",IF(AQ187&lt;DATE(YEAR(Setup!$C$5)+1,MONTH(Setup!$C$5),DAY(Setup!$C$5)),AQ187+182/1000,""))</f>
        <v/>
      </c>
      <c r="AS187" t="str">
        <f t="shared" si="22"/>
        <v/>
      </c>
      <c r="AT187" t="str">
        <f>IF(AS187="","",IF(ISNUMBER(Roster!$D187),Roster!$D187&gt;=AP187,FALSE))</f>
        <v/>
      </c>
      <c r="AU187" t="str">
        <f t="shared" si="23"/>
        <v/>
      </c>
      <c r="AV187" t="str">
        <f ca="1">IF(182&gt;$AV$2,"",SMALL($AR$6:$AR$505,182))</f>
        <v/>
      </c>
      <c r="AW187" t="str">
        <f t="shared" ca="1" si="24"/>
        <v/>
      </c>
    </row>
    <row r="188" spans="2:49" x14ac:dyDescent="0.2">
      <c r="B188" s="32" t="str">
        <f>IF(AND(ISNUMBER(Roster!$B188),Setup!$B$20="Yes",ISNUMBER(Setup!$C$20)),EDATE(Roster!$B188,12*Setup!$C$20),"")</f>
        <v/>
      </c>
      <c r="C188" s="32" t="str">
        <f>IF(AND(ISNUMBER(Roster!$B188),Setup!$B$21="Yes",ISNUMBER(Setup!$C$21)),EDATE(Roster!$B188,12*Setup!$C$21),"")</f>
        <v/>
      </c>
      <c r="D188" s="32" t="str">
        <f>IF(AND(ISNUMBER(Roster!$B188),Setup!$B$22="Yes",ISNUMBER(Setup!$C$22)),EDATE(Roster!$B188,12*Setup!$C$22),"")</f>
        <v/>
      </c>
      <c r="E188" s="32" t="str">
        <f>IF(AND(ISNUMBER(Roster!$B188),Setup!$B$23="Yes",ISNUMBER(Setup!$C$23)),EDATE(Roster!$B188,12*Setup!$C$23),"")</f>
        <v/>
      </c>
      <c r="F188" s="32" t="str">
        <f>IF(AND(ISNUMBER(Roster!$B188),Setup!$B$24="Yes",ISNUMBER(Setup!$C$24)),EDATE(Roster!$B188,12*Setup!$C$24),"")</f>
        <v/>
      </c>
      <c r="G188" s="32" t="str">
        <f>IF(AND(ISNUMBER(Roster!$B188),Setup!$B$25="Yes",ISNUMBER(Setup!$C$25)),EDATE(Roster!$B188,12*Setup!$C$25),"")</f>
        <v/>
      </c>
      <c r="H188" s="32" t="str">
        <f>IF(AND(ISNUMBER(Roster!$B188),Setup!$B$26="Yes",ISNUMBER(Setup!$C$26)),EDATE(Roster!$B188,12*Setup!$C$26),"")</f>
        <v/>
      </c>
      <c r="I188" s="32" t="str">
        <f>IF(AND(ISNUMBER(Roster!$B188),Setup!$B$27="Yes",ISNUMBER(Setup!$C$27)),EDATE(Roster!$B188,12*Setup!$C$27),"")</f>
        <v/>
      </c>
      <c r="J188" s="32" t="str">
        <f>IF(AND(ISNUMBER(Roster!$B188),Setup!$B$28="Yes",ISNUMBER(Setup!$C$28)),EDATE(Roster!$B188,12*Setup!$C$28),"")</f>
        <v/>
      </c>
      <c r="K188" s="32" t="str">
        <f>IF(AND(ISNUMBER(Roster!$B188),Setup!$B$29="Yes",ISNUMBER(Setup!$C$29)),EDATE(Roster!$B188,12*Setup!$C$29),"")</f>
        <v/>
      </c>
      <c r="L188" s="32" t="str">
        <f>IF(AND(ISNUMBER(Roster!$B188),Setup!$B$30="Yes",ISNUMBER(Setup!$C$30)),EDATE(Roster!$B188,12*Setup!$C$30),"")</f>
        <v/>
      </c>
      <c r="M188" s="32" t="str">
        <f>IF(AND(ISNUMBER(Roster!$B188),Setup!$B$31="Yes",ISNUMBER(Setup!$C$31)),EDATE(Roster!$B188,12*Setup!$C$31),"")</f>
        <v/>
      </c>
      <c r="N188" s="32" t="str">
        <f>IF(AND(ISNUMBER(Roster!$B188),Setup!$B$32="Yes",ISNUMBER(Setup!$C$32)),EDATE(Roster!$B188,12*Setup!$C$32),"")</f>
        <v/>
      </c>
      <c r="O188" s="32" t="str">
        <f>IF(AND(ISNUMBER(Roster!$B188),Setup!$B$33="Yes",ISNUMBER(Setup!$C$33)),EDATE(Roster!$B188,12*Setup!$C$33),"")</f>
        <v/>
      </c>
      <c r="P188" s="32" t="str">
        <f>IF(AND(ISNUMBER(Roster!$B188),Setup!$B$34="Yes",ISNUMBER(Setup!$C$34)),EDATE(Roster!$B188,12*Setup!$C$34),"")</f>
        <v/>
      </c>
      <c r="R188" t="str">
        <f>IF(B188="","",IF(B188&lt;Setup!$C$5-Setup!$C$6,"",IF(IF(ISNUMBER(Roster!$D188),Setup!$C$20&lt;=Roster!$D188,FALSE),"",IF(OR(IF(Setup!$C$15&lt;=Setup!$C$16,AND(MONTH(B188)&gt;=Setup!$C$15,MONTH(B188)&lt;=Setup!$C$16),OR(MONTH(B188)&gt;=Setup!$C$15,MONTH(B188)&lt;=Setup!$C$16)),IF(Setup!$C$15&lt;=Setup!$C$16,AND(MONTH(WORKDAY(B188,-(Setup!$C$13+Setup!$G$20),Setup!$C$39:$C$50))&gt;=Setup!$C$15,MONTH(WORKDAY(B188,-(Setup!$C$13+Setup!$G$20),Setup!$C$39:$C$50))&lt;=Setup!$C$16),OR(MONTH(WORKDAY(B188,-(Setup!$C$13+Setup!$G$20),Setup!$C$39:$C$50))&gt;=Setup!$C$15,MONTH(WORKDAY(B188,-(Setup!$C$13+Setup!$G$20),Setup!$C$39:$C$50))&lt;=Setup!$C$16))),WORKDAY(B188,-(Setup!$C$13+Setup!$G$20+Setup!$C$14),Setup!$C$39:$C$50),WORKDAY(B188,-(Setup!$C$13+Setup!$G$20),Setup!$C$39:$C$50))+(183*100+1)/10000000)))</f>
        <v/>
      </c>
      <c r="S188" t="str">
        <f>IF(C188="","",IF(C188&lt;Setup!$C$5-Setup!$C$6,"",IF(IF(ISNUMBER(Roster!$D188),Setup!$C$21&lt;=Roster!$D188,FALSE),"",IF(OR(IF(Setup!$C$15&lt;=Setup!$C$16,AND(MONTH(C188)&gt;=Setup!$C$15,MONTH(C188)&lt;=Setup!$C$16),OR(MONTH(C188)&gt;=Setup!$C$15,MONTH(C188)&lt;=Setup!$C$16)),IF(Setup!$C$15&lt;=Setup!$C$16,AND(MONTH(WORKDAY(C188,-(Setup!$C$13+Setup!$G$21),Setup!$C$39:$C$50))&gt;=Setup!$C$15,MONTH(WORKDAY(C188,-(Setup!$C$13+Setup!$G$21),Setup!$C$39:$C$50))&lt;=Setup!$C$16),OR(MONTH(WORKDAY(C188,-(Setup!$C$13+Setup!$G$21),Setup!$C$39:$C$50))&gt;=Setup!$C$15,MONTH(WORKDAY(C188,-(Setup!$C$13+Setup!$G$21),Setup!$C$39:$C$50))&lt;=Setup!$C$16))),WORKDAY(C188,-(Setup!$C$13+Setup!$G$21+Setup!$C$14),Setup!$C$39:$C$50),WORKDAY(C188,-(Setup!$C$13+Setup!$G$21),Setup!$C$39:$C$50))+(183*100+2)/10000000)))</f>
        <v/>
      </c>
      <c r="T188" t="str">
        <f>IF(D188="","",IF(D188&lt;Setup!$C$5-Setup!$C$6,"",IF(IF(ISNUMBER(Roster!$D188),Setup!$C$22&lt;=Roster!$D188,FALSE),"",IF(OR(IF(Setup!$C$15&lt;=Setup!$C$16,AND(MONTH(D188)&gt;=Setup!$C$15,MONTH(D188)&lt;=Setup!$C$16),OR(MONTH(D188)&gt;=Setup!$C$15,MONTH(D188)&lt;=Setup!$C$16)),IF(Setup!$C$15&lt;=Setup!$C$16,AND(MONTH(WORKDAY(D188,-(Setup!$C$13+Setup!$G$22),Setup!$C$39:$C$50))&gt;=Setup!$C$15,MONTH(WORKDAY(D188,-(Setup!$C$13+Setup!$G$22),Setup!$C$39:$C$50))&lt;=Setup!$C$16),OR(MONTH(WORKDAY(D188,-(Setup!$C$13+Setup!$G$22),Setup!$C$39:$C$50))&gt;=Setup!$C$15,MONTH(WORKDAY(D188,-(Setup!$C$13+Setup!$G$22),Setup!$C$39:$C$50))&lt;=Setup!$C$16))),WORKDAY(D188,-(Setup!$C$13+Setup!$G$22+Setup!$C$14),Setup!$C$39:$C$50),WORKDAY(D188,-(Setup!$C$13+Setup!$G$22),Setup!$C$39:$C$50))+(183*100+3)/10000000)))</f>
        <v/>
      </c>
      <c r="U188" t="str">
        <f>IF(E188="","",IF(E188&lt;Setup!$C$5-Setup!$C$6,"",IF(IF(ISNUMBER(Roster!$D188),Setup!$C$23&lt;=Roster!$D188,FALSE),"",IF(OR(IF(Setup!$C$15&lt;=Setup!$C$16,AND(MONTH(E188)&gt;=Setup!$C$15,MONTH(E188)&lt;=Setup!$C$16),OR(MONTH(E188)&gt;=Setup!$C$15,MONTH(E188)&lt;=Setup!$C$16)),IF(Setup!$C$15&lt;=Setup!$C$16,AND(MONTH(WORKDAY(E188,-(Setup!$C$13+Setup!$G$23),Setup!$C$39:$C$50))&gt;=Setup!$C$15,MONTH(WORKDAY(E188,-(Setup!$C$13+Setup!$G$23),Setup!$C$39:$C$50))&lt;=Setup!$C$16),OR(MONTH(WORKDAY(E188,-(Setup!$C$13+Setup!$G$23),Setup!$C$39:$C$50))&gt;=Setup!$C$15,MONTH(WORKDAY(E188,-(Setup!$C$13+Setup!$G$23),Setup!$C$39:$C$50))&lt;=Setup!$C$16))),WORKDAY(E188,-(Setup!$C$13+Setup!$G$23+Setup!$C$14),Setup!$C$39:$C$50),WORKDAY(E188,-(Setup!$C$13+Setup!$G$23),Setup!$C$39:$C$50))+(183*100+4)/10000000)))</f>
        <v/>
      </c>
      <c r="V188" t="str">
        <f>IF(F188="","",IF(F188&lt;Setup!$C$5-Setup!$C$6,"",IF(IF(ISNUMBER(Roster!$D188),Setup!$C$24&lt;=Roster!$D188,FALSE),"",IF(OR(IF(Setup!$C$15&lt;=Setup!$C$16,AND(MONTH(F188)&gt;=Setup!$C$15,MONTH(F188)&lt;=Setup!$C$16),OR(MONTH(F188)&gt;=Setup!$C$15,MONTH(F188)&lt;=Setup!$C$16)),IF(Setup!$C$15&lt;=Setup!$C$16,AND(MONTH(WORKDAY(F188,-(Setup!$C$13+Setup!$G$24),Setup!$C$39:$C$50))&gt;=Setup!$C$15,MONTH(WORKDAY(F188,-(Setup!$C$13+Setup!$G$24),Setup!$C$39:$C$50))&lt;=Setup!$C$16),OR(MONTH(WORKDAY(F188,-(Setup!$C$13+Setup!$G$24),Setup!$C$39:$C$50))&gt;=Setup!$C$15,MONTH(WORKDAY(F188,-(Setup!$C$13+Setup!$G$24),Setup!$C$39:$C$50))&lt;=Setup!$C$16))),WORKDAY(F188,-(Setup!$C$13+Setup!$G$24+Setup!$C$14),Setup!$C$39:$C$50),WORKDAY(F188,-(Setup!$C$13+Setup!$G$24),Setup!$C$39:$C$50))+(183*100+5)/10000000)))</f>
        <v/>
      </c>
      <c r="W188" t="str">
        <f>IF(G188="","",IF(G188&lt;Setup!$C$5-Setup!$C$6,"",IF(IF(ISNUMBER(Roster!$D188),Setup!$C$25&lt;=Roster!$D188,FALSE),"",IF(OR(IF(Setup!$C$15&lt;=Setup!$C$16,AND(MONTH(G188)&gt;=Setup!$C$15,MONTH(G188)&lt;=Setup!$C$16),OR(MONTH(G188)&gt;=Setup!$C$15,MONTH(G188)&lt;=Setup!$C$16)),IF(Setup!$C$15&lt;=Setup!$C$16,AND(MONTH(WORKDAY(G188,-(Setup!$C$13+Setup!$G$25),Setup!$C$39:$C$50))&gt;=Setup!$C$15,MONTH(WORKDAY(G188,-(Setup!$C$13+Setup!$G$25),Setup!$C$39:$C$50))&lt;=Setup!$C$16),OR(MONTH(WORKDAY(G188,-(Setup!$C$13+Setup!$G$25),Setup!$C$39:$C$50))&gt;=Setup!$C$15,MONTH(WORKDAY(G188,-(Setup!$C$13+Setup!$G$25),Setup!$C$39:$C$50))&lt;=Setup!$C$16))),WORKDAY(G188,-(Setup!$C$13+Setup!$G$25+Setup!$C$14),Setup!$C$39:$C$50),WORKDAY(G188,-(Setup!$C$13+Setup!$G$25),Setup!$C$39:$C$50))+(183*100+6)/10000000)))</f>
        <v/>
      </c>
      <c r="X188" t="str">
        <f>IF(H188="","",IF(H188&lt;Setup!$C$5-Setup!$C$6,"",IF(IF(ISNUMBER(Roster!$D188),Setup!$C$26&lt;=Roster!$D188,FALSE),"",IF(OR(IF(Setup!$C$15&lt;=Setup!$C$16,AND(MONTH(H188)&gt;=Setup!$C$15,MONTH(H188)&lt;=Setup!$C$16),OR(MONTH(H188)&gt;=Setup!$C$15,MONTH(H188)&lt;=Setup!$C$16)),IF(Setup!$C$15&lt;=Setup!$C$16,AND(MONTH(WORKDAY(H188,-(Setup!$C$13+Setup!$G$26),Setup!$C$39:$C$50))&gt;=Setup!$C$15,MONTH(WORKDAY(H188,-(Setup!$C$13+Setup!$G$26),Setup!$C$39:$C$50))&lt;=Setup!$C$16),OR(MONTH(WORKDAY(H188,-(Setup!$C$13+Setup!$G$26),Setup!$C$39:$C$50))&gt;=Setup!$C$15,MONTH(WORKDAY(H188,-(Setup!$C$13+Setup!$G$26),Setup!$C$39:$C$50))&lt;=Setup!$C$16))),WORKDAY(H188,-(Setup!$C$13+Setup!$G$26+Setup!$C$14),Setup!$C$39:$C$50),WORKDAY(H188,-(Setup!$C$13+Setup!$G$26),Setup!$C$39:$C$50))+(183*100+7)/10000000)))</f>
        <v/>
      </c>
      <c r="Y188" t="str">
        <f>IF(I188="","",IF(I188&lt;Setup!$C$5-Setup!$C$6,"",IF(IF(ISNUMBER(Roster!$D188),Setup!$C$27&lt;=Roster!$D188,FALSE),"",IF(OR(IF(Setup!$C$15&lt;=Setup!$C$16,AND(MONTH(I188)&gt;=Setup!$C$15,MONTH(I188)&lt;=Setup!$C$16),OR(MONTH(I188)&gt;=Setup!$C$15,MONTH(I188)&lt;=Setup!$C$16)),IF(Setup!$C$15&lt;=Setup!$C$16,AND(MONTH(WORKDAY(I188,-(Setup!$C$13+Setup!$G$27),Setup!$C$39:$C$50))&gt;=Setup!$C$15,MONTH(WORKDAY(I188,-(Setup!$C$13+Setup!$G$27),Setup!$C$39:$C$50))&lt;=Setup!$C$16),OR(MONTH(WORKDAY(I188,-(Setup!$C$13+Setup!$G$27),Setup!$C$39:$C$50))&gt;=Setup!$C$15,MONTH(WORKDAY(I188,-(Setup!$C$13+Setup!$G$27),Setup!$C$39:$C$50))&lt;=Setup!$C$16))),WORKDAY(I188,-(Setup!$C$13+Setup!$G$27+Setup!$C$14),Setup!$C$39:$C$50),WORKDAY(I188,-(Setup!$C$13+Setup!$G$27),Setup!$C$39:$C$50))+(183*100+8)/10000000)))</f>
        <v/>
      </c>
      <c r="Z188" t="str">
        <f>IF(J188="","",IF(J188&lt;Setup!$C$5-Setup!$C$6,"",IF(IF(ISNUMBER(Roster!$D188),Setup!$C$28&lt;=Roster!$D188,FALSE),"",IF(OR(IF(Setup!$C$15&lt;=Setup!$C$16,AND(MONTH(J188)&gt;=Setup!$C$15,MONTH(J188)&lt;=Setup!$C$16),OR(MONTH(J188)&gt;=Setup!$C$15,MONTH(J188)&lt;=Setup!$C$16)),IF(Setup!$C$15&lt;=Setup!$C$16,AND(MONTH(WORKDAY(J188,-(Setup!$C$13+Setup!$G$28),Setup!$C$39:$C$50))&gt;=Setup!$C$15,MONTH(WORKDAY(J188,-(Setup!$C$13+Setup!$G$28),Setup!$C$39:$C$50))&lt;=Setup!$C$16),OR(MONTH(WORKDAY(J188,-(Setup!$C$13+Setup!$G$28),Setup!$C$39:$C$50))&gt;=Setup!$C$15,MONTH(WORKDAY(J188,-(Setup!$C$13+Setup!$G$28),Setup!$C$39:$C$50))&lt;=Setup!$C$16))),WORKDAY(J188,-(Setup!$C$13+Setup!$G$28+Setup!$C$14),Setup!$C$39:$C$50),WORKDAY(J188,-(Setup!$C$13+Setup!$G$28),Setup!$C$39:$C$50))+(183*100+9)/10000000)))</f>
        <v/>
      </c>
      <c r="AA188" t="str">
        <f>IF(K188="","",IF(K188&lt;Setup!$C$5-Setup!$C$6,"",IF(IF(ISNUMBER(Roster!$D188),Setup!$C$29&lt;=Roster!$D188,FALSE),"",IF(OR(IF(Setup!$C$15&lt;=Setup!$C$16,AND(MONTH(K188)&gt;=Setup!$C$15,MONTH(K188)&lt;=Setup!$C$16),OR(MONTH(K188)&gt;=Setup!$C$15,MONTH(K188)&lt;=Setup!$C$16)),IF(Setup!$C$15&lt;=Setup!$C$16,AND(MONTH(WORKDAY(K188,-(Setup!$C$13+Setup!$G$29),Setup!$C$39:$C$50))&gt;=Setup!$C$15,MONTH(WORKDAY(K188,-(Setup!$C$13+Setup!$G$29),Setup!$C$39:$C$50))&lt;=Setup!$C$16),OR(MONTH(WORKDAY(K188,-(Setup!$C$13+Setup!$G$29),Setup!$C$39:$C$50))&gt;=Setup!$C$15,MONTH(WORKDAY(K188,-(Setup!$C$13+Setup!$G$29),Setup!$C$39:$C$50))&lt;=Setup!$C$16))),WORKDAY(K188,-(Setup!$C$13+Setup!$G$29+Setup!$C$14),Setup!$C$39:$C$50),WORKDAY(K188,-(Setup!$C$13+Setup!$G$29),Setup!$C$39:$C$50))+(183*100+10)/10000000)))</f>
        <v/>
      </c>
      <c r="AB188" t="str">
        <f>IF(L188="","",IF(L188&lt;Setup!$C$5-Setup!$C$6,"",IF(IF(ISNUMBER(Roster!$D188),Setup!$C$30&lt;=Roster!$D188,FALSE),"",IF(OR(IF(Setup!$C$15&lt;=Setup!$C$16,AND(MONTH(L188)&gt;=Setup!$C$15,MONTH(L188)&lt;=Setup!$C$16),OR(MONTH(L188)&gt;=Setup!$C$15,MONTH(L188)&lt;=Setup!$C$16)),IF(Setup!$C$15&lt;=Setup!$C$16,AND(MONTH(WORKDAY(L188,-(Setup!$C$13+Setup!$G$30),Setup!$C$39:$C$50))&gt;=Setup!$C$15,MONTH(WORKDAY(L188,-(Setup!$C$13+Setup!$G$30),Setup!$C$39:$C$50))&lt;=Setup!$C$16),OR(MONTH(WORKDAY(L188,-(Setup!$C$13+Setup!$G$30),Setup!$C$39:$C$50))&gt;=Setup!$C$15,MONTH(WORKDAY(L188,-(Setup!$C$13+Setup!$G$30),Setup!$C$39:$C$50))&lt;=Setup!$C$16))),WORKDAY(L188,-(Setup!$C$13+Setup!$G$30+Setup!$C$14),Setup!$C$39:$C$50),WORKDAY(L188,-(Setup!$C$13+Setup!$G$30),Setup!$C$39:$C$50))+(183*100+11)/10000000)))</f>
        <v/>
      </c>
      <c r="AC188" t="str">
        <f>IF(M188="","",IF(M188&lt;Setup!$C$5-Setup!$C$6,"",IF(IF(ISNUMBER(Roster!$D188),Setup!$C$31&lt;=Roster!$D188,FALSE),"",IF(OR(IF(Setup!$C$15&lt;=Setup!$C$16,AND(MONTH(M188)&gt;=Setup!$C$15,MONTH(M188)&lt;=Setup!$C$16),OR(MONTH(M188)&gt;=Setup!$C$15,MONTH(M188)&lt;=Setup!$C$16)),IF(Setup!$C$15&lt;=Setup!$C$16,AND(MONTH(WORKDAY(M188,-(Setup!$C$13+Setup!$G$31),Setup!$C$39:$C$50))&gt;=Setup!$C$15,MONTH(WORKDAY(M188,-(Setup!$C$13+Setup!$G$31),Setup!$C$39:$C$50))&lt;=Setup!$C$16),OR(MONTH(WORKDAY(M188,-(Setup!$C$13+Setup!$G$31),Setup!$C$39:$C$50))&gt;=Setup!$C$15,MONTH(WORKDAY(M188,-(Setup!$C$13+Setup!$G$31),Setup!$C$39:$C$50))&lt;=Setup!$C$16))),WORKDAY(M188,-(Setup!$C$13+Setup!$G$31+Setup!$C$14),Setup!$C$39:$C$50),WORKDAY(M188,-(Setup!$C$13+Setup!$G$31),Setup!$C$39:$C$50))+(183*100+12)/10000000)))</f>
        <v/>
      </c>
      <c r="AD188" t="str">
        <f>IF(N188="","",IF(N188&lt;Setup!$C$5-Setup!$C$6,"",IF(IF(ISNUMBER(Roster!$D188),Setup!$C$32&lt;=Roster!$D188,FALSE),"",IF(OR(IF(Setup!$C$15&lt;=Setup!$C$16,AND(MONTH(N188)&gt;=Setup!$C$15,MONTH(N188)&lt;=Setup!$C$16),OR(MONTH(N188)&gt;=Setup!$C$15,MONTH(N188)&lt;=Setup!$C$16)),IF(Setup!$C$15&lt;=Setup!$C$16,AND(MONTH(WORKDAY(N188,-(Setup!$C$13+Setup!$G$32),Setup!$C$39:$C$50))&gt;=Setup!$C$15,MONTH(WORKDAY(N188,-(Setup!$C$13+Setup!$G$32),Setup!$C$39:$C$50))&lt;=Setup!$C$16),OR(MONTH(WORKDAY(N188,-(Setup!$C$13+Setup!$G$32),Setup!$C$39:$C$50))&gt;=Setup!$C$15,MONTH(WORKDAY(N188,-(Setup!$C$13+Setup!$G$32),Setup!$C$39:$C$50))&lt;=Setup!$C$16))),WORKDAY(N188,-(Setup!$C$13+Setup!$G$32+Setup!$C$14),Setup!$C$39:$C$50),WORKDAY(N188,-(Setup!$C$13+Setup!$G$32),Setup!$C$39:$C$50))+(183*100+13)/10000000)))</f>
        <v/>
      </c>
      <c r="AE188" t="str">
        <f>IF(O188="","",IF(O188&lt;Setup!$C$5-Setup!$C$6,"",IF(IF(ISNUMBER(Roster!$D188),Setup!$C$33&lt;=Roster!$D188,FALSE),"",IF(OR(IF(Setup!$C$15&lt;=Setup!$C$16,AND(MONTH(O188)&gt;=Setup!$C$15,MONTH(O188)&lt;=Setup!$C$16),OR(MONTH(O188)&gt;=Setup!$C$15,MONTH(O188)&lt;=Setup!$C$16)),IF(Setup!$C$15&lt;=Setup!$C$16,AND(MONTH(WORKDAY(O188,-(Setup!$C$13+Setup!$G$33),Setup!$C$39:$C$50))&gt;=Setup!$C$15,MONTH(WORKDAY(O188,-(Setup!$C$13+Setup!$G$33),Setup!$C$39:$C$50))&lt;=Setup!$C$16),OR(MONTH(WORKDAY(O188,-(Setup!$C$13+Setup!$G$33),Setup!$C$39:$C$50))&gt;=Setup!$C$15,MONTH(WORKDAY(O188,-(Setup!$C$13+Setup!$G$33),Setup!$C$39:$C$50))&lt;=Setup!$C$16))),WORKDAY(O188,-(Setup!$C$13+Setup!$G$33+Setup!$C$14),Setup!$C$39:$C$50),WORKDAY(O188,-(Setup!$C$13+Setup!$G$33),Setup!$C$39:$C$50))+(183*100+14)/10000000)))</f>
        <v/>
      </c>
      <c r="AF188" t="str">
        <f>IF(P188="","",IF(P188&lt;Setup!$C$5-Setup!$C$6,"",IF(IF(ISNUMBER(Roster!$D188),Setup!$C$34&lt;=Roster!$D188,FALSE),"",IF(OR(IF(Setup!$C$15&lt;=Setup!$C$16,AND(MONTH(P188)&gt;=Setup!$C$15,MONTH(P188)&lt;=Setup!$C$16),OR(MONTH(P188)&gt;=Setup!$C$15,MONTH(P188)&lt;=Setup!$C$16)),IF(Setup!$C$15&lt;=Setup!$C$16,AND(MONTH(WORKDAY(P188,-(Setup!$C$13+Setup!$G$34),Setup!$C$39:$C$50))&gt;=Setup!$C$15,MONTH(WORKDAY(P188,-(Setup!$C$13+Setup!$G$34),Setup!$C$39:$C$50))&lt;=Setup!$C$16),OR(MONTH(WORKDAY(P188,-(Setup!$C$13+Setup!$G$34),Setup!$C$39:$C$50))&gt;=Setup!$C$15,MONTH(WORKDAY(P188,-(Setup!$C$13+Setup!$G$34),Setup!$C$39:$C$50))&lt;=Setup!$C$16))),WORKDAY(P188,-(Setup!$C$13+Setup!$G$34+Setup!$C$14),Setup!$C$39:$C$50),WORKDAY(P188,-(Setup!$C$13+Setup!$G$34),Setup!$C$39:$C$50))+(183*100+15)/10000000)))</f>
        <v/>
      </c>
      <c r="AH188" t="str">
        <f t="shared" si="17"/>
        <v/>
      </c>
      <c r="AI188" t="str">
        <f t="shared" si="18"/>
        <v/>
      </c>
      <c r="AK188" t="str">
        <f ca="1">IF(183&gt;$AK$2,"",SMALL($R$6:$AF$505,183))</f>
        <v/>
      </c>
      <c r="AL188" t="str">
        <f t="shared" ca="1" si="19"/>
        <v/>
      </c>
      <c r="AM188" t="str">
        <f t="shared" ca="1" si="20"/>
        <v/>
      </c>
      <c r="AN188" t="str">
        <f t="shared" ca="1" si="21"/>
        <v/>
      </c>
      <c r="AP188" t="str">
        <f>IF(ISNUMBER(Roster!$B188),MAX(1,YEAR(Setup!$C$5)-YEAR(Roster!$B188)+IF(EDATE(Roster!$B188,12*(YEAR(Setup!$C$5)-YEAR(Roster!$B188)))&lt;Setup!$C$5,1,0)),"")</f>
        <v/>
      </c>
      <c r="AQ188" s="32" t="str">
        <f>IF(AP188="","",EDATE(Roster!$B188,12*AP188))</f>
        <v/>
      </c>
      <c r="AR188" t="str">
        <f>IF(AQ188="","",IF(AQ188&lt;DATE(YEAR(Setup!$C$5)+1,MONTH(Setup!$C$5),DAY(Setup!$C$5)),AQ188+183/1000,""))</f>
        <v/>
      </c>
      <c r="AS188" t="str">
        <f t="shared" si="22"/>
        <v/>
      </c>
      <c r="AT188" t="str">
        <f>IF(AS188="","",IF(ISNUMBER(Roster!$D188),Roster!$D188&gt;=AP188,FALSE))</f>
        <v/>
      </c>
      <c r="AU188" t="str">
        <f t="shared" si="23"/>
        <v/>
      </c>
      <c r="AV188" t="str">
        <f ca="1">IF(183&gt;$AV$2,"",SMALL($AR$6:$AR$505,183))</f>
        <v/>
      </c>
      <c r="AW188" t="str">
        <f t="shared" ca="1" si="24"/>
        <v/>
      </c>
    </row>
    <row r="189" spans="2:49" x14ac:dyDescent="0.2">
      <c r="B189" s="32" t="str">
        <f>IF(AND(ISNUMBER(Roster!$B189),Setup!$B$20="Yes",ISNUMBER(Setup!$C$20)),EDATE(Roster!$B189,12*Setup!$C$20),"")</f>
        <v/>
      </c>
      <c r="C189" s="32" t="str">
        <f>IF(AND(ISNUMBER(Roster!$B189),Setup!$B$21="Yes",ISNUMBER(Setup!$C$21)),EDATE(Roster!$B189,12*Setup!$C$21),"")</f>
        <v/>
      </c>
      <c r="D189" s="32" t="str">
        <f>IF(AND(ISNUMBER(Roster!$B189),Setup!$B$22="Yes",ISNUMBER(Setup!$C$22)),EDATE(Roster!$B189,12*Setup!$C$22),"")</f>
        <v/>
      </c>
      <c r="E189" s="32" t="str">
        <f>IF(AND(ISNUMBER(Roster!$B189),Setup!$B$23="Yes",ISNUMBER(Setup!$C$23)),EDATE(Roster!$B189,12*Setup!$C$23),"")</f>
        <v/>
      </c>
      <c r="F189" s="32" t="str">
        <f>IF(AND(ISNUMBER(Roster!$B189),Setup!$B$24="Yes",ISNUMBER(Setup!$C$24)),EDATE(Roster!$B189,12*Setup!$C$24),"")</f>
        <v/>
      </c>
      <c r="G189" s="32" t="str">
        <f>IF(AND(ISNUMBER(Roster!$B189),Setup!$B$25="Yes",ISNUMBER(Setup!$C$25)),EDATE(Roster!$B189,12*Setup!$C$25),"")</f>
        <v/>
      </c>
      <c r="H189" s="32" t="str">
        <f>IF(AND(ISNUMBER(Roster!$B189),Setup!$B$26="Yes",ISNUMBER(Setup!$C$26)),EDATE(Roster!$B189,12*Setup!$C$26),"")</f>
        <v/>
      </c>
      <c r="I189" s="32" t="str">
        <f>IF(AND(ISNUMBER(Roster!$B189),Setup!$B$27="Yes",ISNUMBER(Setup!$C$27)),EDATE(Roster!$B189,12*Setup!$C$27),"")</f>
        <v/>
      </c>
      <c r="J189" s="32" t="str">
        <f>IF(AND(ISNUMBER(Roster!$B189),Setup!$B$28="Yes",ISNUMBER(Setup!$C$28)),EDATE(Roster!$B189,12*Setup!$C$28),"")</f>
        <v/>
      </c>
      <c r="K189" s="32" t="str">
        <f>IF(AND(ISNUMBER(Roster!$B189),Setup!$B$29="Yes",ISNUMBER(Setup!$C$29)),EDATE(Roster!$B189,12*Setup!$C$29),"")</f>
        <v/>
      </c>
      <c r="L189" s="32" t="str">
        <f>IF(AND(ISNUMBER(Roster!$B189),Setup!$B$30="Yes",ISNUMBER(Setup!$C$30)),EDATE(Roster!$B189,12*Setup!$C$30),"")</f>
        <v/>
      </c>
      <c r="M189" s="32" t="str">
        <f>IF(AND(ISNUMBER(Roster!$B189),Setup!$B$31="Yes",ISNUMBER(Setup!$C$31)),EDATE(Roster!$B189,12*Setup!$C$31),"")</f>
        <v/>
      </c>
      <c r="N189" s="32" t="str">
        <f>IF(AND(ISNUMBER(Roster!$B189),Setup!$B$32="Yes",ISNUMBER(Setup!$C$32)),EDATE(Roster!$B189,12*Setup!$C$32),"")</f>
        <v/>
      </c>
      <c r="O189" s="32" t="str">
        <f>IF(AND(ISNUMBER(Roster!$B189),Setup!$B$33="Yes",ISNUMBER(Setup!$C$33)),EDATE(Roster!$B189,12*Setup!$C$33),"")</f>
        <v/>
      </c>
      <c r="P189" s="32" t="str">
        <f>IF(AND(ISNUMBER(Roster!$B189),Setup!$B$34="Yes",ISNUMBER(Setup!$C$34)),EDATE(Roster!$B189,12*Setup!$C$34),"")</f>
        <v/>
      </c>
      <c r="R189" t="str">
        <f>IF(B189="","",IF(B189&lt;Setup!$C$5-Setup!$C$6,"",IF(IF(ISNUMBER(Roster!$D189),Setup!$C$20&lt;=Roster!$D189,FALSE),"",IF(OR(IF(Setup!$C$15&lt;=Setup!$C$16,AND(MONTH(B189)&gt;=Setup!$C$15,MONTH(B189)&lt;=Setup!$C$16),OR(MONTH(B189)&gt;=Setup!$C$15,MONTH(B189)&lt;=Setup!$C$16)),IF(Setup!$C$15&lt;=Setup!$C$16,AND(MONTH(WORKDAY(B189,-(Setup!$C$13+Setup!$G$20),Setup!$C$39:$C$50))&gt;=Setup!$C$15,MONTH(WORKDAY(B189,-(Setup!$C$13+Setup!$G$20),Setup!$C$39:$C$50))&lt;=Setup!$C$16),OR(MONTH(WORKDAY(B189,-(Setup!$C$13+Setup!$G$20),Setup!$C$39:$C$50))&gt;=Setup!$C$15,MONTH(WORKDAY(B189,-(Setup!$C$13+Setup!$G$20),Setup!$C$39:$C$50))&lt;=Setup!$C$16))),WORKDAY(B189,-(Setup!$C$13+Setup!$G$20+Setup!$C$14),Setup!$C$39:$C$50),WORKDAY(B189,-(Setup!$C$13+Setup!$G$20),Setup!$C$39:$C$50))+(184*100+1)/10000000)))</f>
        <v/>
      </c>
      <c r="S189" t="str">
        <f>IF(C189="","",IF(C189&lt;Setup!$C$5-Setup!$C$6,"",IF(IF(ISNUMBER(Roster!$D189),Setup!$C$21&lt;=Roster!$D189,FALSE),"",IF(OR(IF(Setup!$C$15&lt;=Setup!$C$16,AND(MONTH(C189)&gt;=Setup!$C$15,MONTH(C189)&lt;=Setup!$C$16),OR(MONTH(C189)&gt;=Setup!$C$15,MONTH(C189)&lt;=Setup!$C$16)),IF(Setup!$C$15&lt;=Setup!$C$16,AND(MONTH(WORKDAY(C189,-(Setup!$C$13+Setup!$G$21),Setup!$C$39:$C$50))&gt;=Setup!$C$15,MONTH(WORKDAY(C189,-(Setup!$C$13+Setup!$G$21),Setup!$C$39:$C$50))&lt;=Setup!$C$16),OR(MONTH(WORKDAY(C189,-(Setup!$C$13+Setup!$G$21),Setup!$C$39:$C$50))&gt;=Setup!$C$15,MONTH(WORKDAY(C189,-(Setup!$C$13+Setup!$G$21),Setup!$C$39:$C$50))&lt;=Setup!$C$16))),WORKDAY(C189,-(Setup!$C$13+Setup!$G$21+Setup!$C$14),Setup!$C$39:$C$50),WORKDAY(C189,-(Setup!$C$13+Setup!$G$21),Setup!$C$39:$C$50))+(184*100+2)/10000000)))</f>
        <v/>
      </c>
      <c r="T189" t="str">
        <f>IF(D189="","",IF(D189&lt;Setup!$C$5-Setup!$C$6,"",IF(IF(ISNUMBER(Roster!$D189),Setup!$C$22&lt;=Roster!$D189,FALSE),"",IF(OR(IF(Setup!$C$15&lt;=Setup!$C$16,AND(MONTH(D189)&gt;=Setup!$C$15,MONTH(D189)&lt;=Setup!$C$16),OR(MONTH(D189)&gt;=Setup!$C$15,MONTH(D189)&lt;=Setup!$C$16)),IF(Setup!$C$15&lt;=Setup!$C$16,AND(MONTH(WORKDAY(D189,-(Setup!$C$13+Setup!$G$22),Setup!$C$39:$C$50))&gt;=Setup!$C$15,MONTH(WORKDAY(D189,-(Setup!$C$13+Setup!$G$22),Setup!$C$39:$C$50))&lt;=Setup!$C$16),OR(MONTH(WORKDAY(D189,-(Setup!$C$13+Setup!$G$22),Setup!$C$39:$C$50))&gt;=Setup!$C$15,MONTH(WORKDAY(D189,-(Setup!$C$13+Setup!$G$22),Setup!$C$39:$C$50))&lt;=Setup!$C$16))),WORKDAY(D189,-(Setup!$C$13+Setup!$G$22+Setup!$C$14),Setup!$C$39:$C$50),WORKDAY(D189,-(Setup!$C$13+Setup!$G$22),Setup!$C$39:$C$50))+(184*100+3)/10000000)))</f>
        <v/>
      </c>
      <c r="U189" t="str">
        <f>IF(E189="","",IF(E189&lt;Setup!$C$5-Setup!$C$6,"",IF(IF(ISNUMBER(Roster!$D189),Setup!$C$23&lt;=Roster!$D189,FALSE),"",IF(OR(IF(Setup!$C$15&lt;=Setup!$C$16,AND(MONTH(E189)&gt;=Setup!$C$15,MONTH(E189)&lt;=Setup!$C$16),OR(MONTH(E189)&gt;=Setup!$C$15,MONTH(E189)&lt;=Setup!$C$16)),IF(Setup!$C$15&lt;=Setup!$C$16,AND(MONTH(WORKDAY(E189,-(Setup!$C$13+Setup!$G$23),Setup!$C$39:$C$50))&gt;=Setup!$C$15,MONTH(WORKDAY(E189,-(Setup!$C$13+Setup!$G$23),Setup!$C$39:$C$50))&lt;=Setup!$C$16),OR(MONTH(WORKDAY(E189,-(Setup!$C$13+Setup!$G$23),Setup!$C$39:$C$50))&gt;=Setup!$C$15,MONTH(WORKDAY(E189,-(Setup!$C$13+Setup!$G$23),Setup!$C$39:$C$50))&lt;=Setup!$C$16))),WORKDAY(E189,-(Setup!$C$13+Setup!$G$23+Setup!$C$14),Setup!$C$39:$C$50),WORKDAY(E189,-(Setup!$C$13+Setup!$G$23),Setup!$C$39:$C$50))+(184*100+4)/10000000)))</f>
        <v/>
      </c>
      <c r="V189" t="str">
        <f>IF(F189="","",IF(F189&lt;Setup!$C$5-Setup!$C$6,"",IF(IF(ISNUMBER(Roster!$D189),Setup!$C$24&lt;=Roster!$D189,FALSE),"",IF(OR(IF(Setup!$C$15&lt;=Setup!$C$16,AND(MONTH(F189)&gt;=Setup!$C$15,MONTH(F189)&lt;=Setup!$C$16),OR(MONTH(F189)&gt;=Setup!$C$15,MONTH(F189)&lt;=Setup!$C$16)),IF(Setup!$C$15&lt;=Setup!$C$16,AND(MONTH(WORKDAY(F189,-(Setup!$C$13+Setup!$G$24),Setup!$C$39:$C$50))&gt;=Setup!$C$15,MONTH(WORKDAY(F189,-(Setup!$C$13+Setup!$G$24),Setup!$C$39:$C$50))&lt;=Setup!$C$16),OR(MONTH(WORKDAY(F189,-(Setup!$C$13+Setup!$G$24),Setup!$C$39:$C$50))&gt;=Setup!$C$15,MONTH(WORKDAY(F189,-(Setup!$C$13+Setup!$G$24),Setup!$C$39:$C$50))&lt;=Setup!$C$16))),WORKDAY(F189,-(Setup!$C$13+Setup!$G$24+Setup!$C$14),Setup!$C$39:$C$50),WORKDAY(F189,-(Setup!$C$13+Setup!$G$24),Setup!$C$39:$C$50))+(184*100+5)/10000000)))</f>
        <v/>
      </c>
      <c r="W189" t="str">
        <f>IF(G189="","",IF(G189&lt;Setup!$C$5-Setup!$C$6,"",IF(IF(ISNUMBER(Roster!$D189),Setup!$C$25&lt;=Roster!$D189,FALSE),"",IF(OR(IF(Setup!$C$15&lt;=Setup!$C$16,AND(MONTH(G189)&gt;=Setup!$C$15,MONTH(G189)&lt;=Setup!$C$16),OR(MONTH(G189)&gt;=Setup!$C$15,MONTH(G189)&lt;=Setup!$C$16)),IF(Setup!$C$15&lt;=Setup!$C$16,AND(MONTH(WORKDAY(G189,-(Setup!$C$13+Setup!$G$25),Setup!$C$39:$C$50))&gt;=Setup!$C$15,MONTH(WORKDAY(G189,-(Setup!$C$13+Setup!$G$25),Setup!$C$39:$C$50))&lt;=Setup!$C$16),OR(MONTH(WORKDAY(G189,-(Setup!$C$13+Setup!$G$25),Setup!$C$39:$C$50))&gt;=Setup!$C$15,MONTH(WORKDAY(G189,-(Setup!$C$13+Setup!$G$25),Setup!$C$39:$C$50))&lt;=Setup!$C$16))),WORKDAY(G189,-(Setup!$C$13+Setup!$G$25+Setup!$C$14),Setup!$C$39:$C$50),WORKDAY(G189,-(Setup!$C$13+Setup!$G$25),Setup!$C$39:$C$50))+(184*100+6)/10000000)))</f>
        <v/>
      </c>
      <c r="X189" t="str">
        <f>IF(H189="","",IF(H189&lt;Setup!$C$5-Setup!$C$6,"",IF(IF(ISNUMBER(Roster!$D189),Setup!$C$26&lt;=Roster!$D189,FALSE),"",IF(OR(IF(Setup!$C$15&lt;=Setup!$C$16,AND(MONTH(H189)&gt;=Setup!$C$15,MONTH(H189)&lt;=Setup!$C$16),OR(MONTH(H189)&gt;=Setup!$C$15,MONTH(H189)&lt;=Setup!$C$16)),IF(Setup!$C$15&lt;=Setup!$C$16,AND(MONTH(WORKDAY(H189,-(Setup!$C$13+Setup!$G$26),Setup!$C$39:$C$50))&gt;=Setup!$C$15,MONTH(WORKDAY(H189,-(Setup!$C$13+Setup!$G$26),Setup!$C$39:$C$50))&lt;=Setup!$C$16),OR(MONTH(WORKDAY(H189,-(Setup!$C$13+Setup!$G$26),Setup!$C$39:$C$50))&gt;=Setup!$C$15,MONTH(WORKDAY(H189,-(Setup!$C$13+Setup!$G$26),Setup!$C$39:$C$50))&lt;=Setup!$C$16))),WORKDAY(H189,-(Setup!$C$13+Setup!$G$26+Setup!$C$14),Setup!$C$39:$C$50),WORKDAY(H189,-(Setup!$C$13+Setup!$G$26),Setup!$C$39:$C$50))+(184*100+7)/10000000)))</f>
        <v/>
      </c>
      <c r="Y189" t="str">
        <f>IF(I189="","",IF(I189&lt;Setup!$C$5-Setup!$C$6,"",IF(IF(ISNUMBER(Roster!$D189),Setup!$C$27&lt;=Roster!$D189,FALSE),"",IF(OR(IF(Setup!$C$15&lt;=Setup!$C$16,AND(MONTH(I189)&gt;=Setup!$C$15,MONTH(I189)&lt;=Setup!$C$16),OR(MONTH(I189)&gt;=Setup!$C$15,MONTH(I189)&lt;=Setup!$C$16)),IF(Setup!$C$15&lt;=Setup!$C$16,AND(MONTH(WORKDAY(I189,-(Setup!$C$13+Setup!$G$27),Setup!$C$39:$C$50))&gt;=Setup!$C$15,MONTH(WORKDAY(I189,-(Setup!$C$13+Setup!$G$27),Setup!$C$39:$C$50))&lt;=Setup!$C$16),OR(MONTH(WORKDAY(I189,-(Setup!$C$13+Setup!$G$27),Setup!$C$39:$C$50))&gt;=Setup!$C$15,MONTH(WORKDAY(I189,-(Setup!$C$13+Setup!$G$27),Setup!$C$39:$C$50))&lt;=Setup!$C$16))),WORKDAY(I189,-(Setup!$C$13+Setup!$G$27+Setup!$C$14),Setup!$C$39:$C$50),WORKDAY(I189,-(Setup!$C$13+Setup!$G$27),Setup!$C$39:$C$50))+(184*100+8)/10000000)))</f>
        <v/>
      </c>
      <c r="Z189" t="str">
        <f>IF(J189="","",IF(J189&lt;Setup!$C$5-Setup!$C$6,"",IF(IF(ISNUMBER(Roster!$D189),Setup!$C$28&lt;=Roster!$D189,FALSE),"",IF(OR(IF(Setup!$C$15&lt;=Setup!$C$16,AND(MONTH(J189)&gt;=Setup!$C$15,MONTH(J189)&lt;=Setup!$C$16),OR(MONTH(J189)&gt;=Setup!$C$15,MONTH(J189)&lt;=Setup!$C$16)),IF(Setup!$C$15&lt;=Setup!$C$16,AND(MONTH(WORKDAY(J189,-(Setup!$C$13+Setup!$G$28),Setup!$C$39:$C$50))&gt;=Setup!$C$15,MONTH(WORKDAY(J189,-(Setup!$C$13+Setup!$G$28),Setup!$C$39:$C$50))&lt;=Setup!$C$16),OR(MONTH(WORKDAY(J189,-(Setup!$C$13+Setup!$G$28),Setup!$C$39:$C$50))&gt;=Setup!$C$15,MONTH(WORKDAY(J189,-(Setup!$C$13+Setup!$G$28),Setup!$C$39:$C$50))&lt;=Setup!$C$16))),WORKDAY(J189,-(Setup!$C$13+Setup!$G$28+Setup!$C$14),Setup!$C$39:$C$50),WORKDAY(J189,-(Setup!$C$13+Setup!$G$28),Setup!$C$39:$C$50))+(184*100+9)/10000000)))</f>
        <v/>
      </c>
      <c r="AA189" t="str">
        <f>IF(K189="","",IF(K189&lt;Setup!$C$5-Setup!$C$6,"",IF(IF(ISNUMBER(Roster!$D189),Setup!$C$29&lt;=Roster!$D189,FALSE),"",IF(OR(IF(Setup!$C$15&lt;=Setup!$C$16,AND(MONTH(K189)&gt;=Setup!$C$15,MONTH(K189)&lt;=Setup!$C$16),OR(MONTH(K189)&gt;=Setup!$C$15,MONTH(K189)&lt;=Setup!$C$16)),IF(Setup!$C$15&lt;=Setup!$C$16,AND(MONTH(WORKDAY(K189,-(Setup!$C$13+Setup!$G$29),Setup!$C$39:$C$50))&gt;=Setup!$C$15,MONTH(WORKDAY(K189,-(Setup!$C$13+Setup!$G$29),Setup!$C$39:$C$50))&lt;=Setup!$C$16),OR(MONTH(WORKDAY(K189,-(Setup!$C$13+Setup!$G$29),Setup!$C$39:$C$50))&gt;=Setup!$C$15,MONTH(WORKDAY(K189,-(Setup!$C$13+Setup!$G$29),Setup!$C$39:$C$50))&lt;=Setup!$C$16))),WORKDAY(K189,-(Setup!$C$13+Setup!$G$29+Setup!$C$14),Setup!$C$39:$C$50),WORKDAY(K189,-(Setup!$C$13+Setup!$G$29),Setup!$C$39:$C$50))+(184*100+10)/10000000)))</f>
        <v/>
      </c>
      <c r="AB189" t="str">
        <f>IF(L189="","",IF(L189&lt;Setup!$C$5-Setup!$C$6,"",IF(IF(ISNUMBER(Roster!$D189),Setup!$C$30&lt;=Roster!$D189,FALSE),"",IF(OR(IF(Setup!$C$15&lt;=Setup!$C$16,AND(MONTH(L189)&gt;=Setup!$C$15,MONTH(L189)&lt;=Setup!$C$16),OR(MONTH(L189)&gt;=Setup!$C$15,MONTH(L189)&lt;=Setup!$C$16)),IF(Setup!$C$15&lt;=Setup!$C$16,AND(MONTH(WORKDAY(L189,-(Setup!$C$13+Setup!$G$30),Setup!$C$39:$C$50))&gt;=Setup!$C$15,MONTH(WORKDAY(L189,-(Setup!$C$13+Setup!$G$30),Setup!$C$39:$C$50))&lt;=Setup!$C$16),OR(MONTH(WORKDAY(L189,-(Setup!$C$13+Setup!$G$30),Setup!$C$39:$C$50))&gt;=Setup!$C$15,MONTH(WORKDAY(L189,-(Setup!$C$13+Setup!$G$30),Setup!$C$39:$C$50))&lt;=Setup!$C$16))),WORKDAY(L189,-(Setup!$C$13+Setup!$G$30+Setup!$C$14),Setup!$C$39:$C$50),WORKDAY(L189,-(Setup!$C$13+Setup!$G$30),Setup!$C$39:$C$50))+(184*100+11)/10000000)))</f>
        <v/>
      </c>
      <c r="AC189" t="str">
        <f>IF(M189="","",IF(M189&lt;Setup!$C$5-Setup!$C$6,"",IF(IF(ISNUMBER(Roster!$D189),Setup!$C$31&lt;=Roster!$D189,FALSE),"",IF(OR(IF(Setup!$C$15&lt;=Setup!$C$16,AND(MONTH(M189)&gt;=Setup!$C$15,MONTH(M189)&lt;=Setup!$C$16),OR(MONTH(M189)&gt;=Setup!$C$15,MONTH(M189)&lt;=Setup!$C$16)),IF(Setup!$C$15&lt;=Setup!$C$16,AND(MONTH(WORKDAY(M189,-(Setup!$C$13+Setup!$G$31),Setup!$C$39:$C$50))&gt;=Setup!$C$15,MONTH(WORKDAY(M189,-(Setup!$C$13+Setup!$G$31),Setup!$C$39:$C$50))&lt;=Setup!$C$16),OR(MONTH(WORKDAY(M189,-(Setup!$C$13+Setup!$G$31),Setup!$C$39:$C$50))&gt;=Setup!$C$15,MONTH(WORKDAY(M189,-(Setup!$C$13+Setup!$G$31),Setup!$C$39:$C$50))&lt;=Setup!$C$16))),WORKDAY(M189,-(Setup!$C$13+Setup!$G$31+Setup!$C$14),Setup!$C$39:$C$50),WORKDAY(M189,-(Setup!$C$13+Setup!$G$31),Setup!$C$39:$C$50))+(184*100+12)/10000000)))</f>
        <v/>
      </c>
      <c r="AD189" t="str">
        <f>IF(N189="","",IF(N189&lt;Setup!$C$5-Setup!$C$6,"",IF(IF(ISNUMBER(Roster!$D189),Setup!$C$32&lt;=Roster!$D189,FALSE),"",IF(OR(IF(Setup!$C$15&lt;=Setup!$C$16,AND(MONTH(N189)&gt;=Setup!$C$15,MONTH(N189)&lt;=Setup!$C$16),OR(MONTH(N189)&gt;=Setup!$C$15,MONTH(N189)&lt;=Setup!$C$16)),IF(Setup!$C$15&lt;=Setup!$C$16,AND(MONTH(WORKDAY(N189,-(Setup!$C$13+Setup!$G$32),Setup!$C$39:$C$50))&gt;=Setup!$C$15,MONTH(WORKDAY(N189,-(Setup!$C$13+Setup!$G$32),Setup!$C$39:$C$50))&lt;=Setup!$C$16),OR(MONTH(WORKDAY(N189,-(Setup!$C$13+Setup!$G$32),Setup!$C$39:$C$50))&gt;=Setup!$C$15,MONTH(WORKDAY(N189,-(Setup!$C$13+Setup!$G$32),Setup!$C$39:$C$50))&lt;=Setup!$C$16))),WORKDAY(N189,-(Setup!$C$13+Setup!$G$32+Setup!$C$14),Setup!$C$39:$C$50),WORKDAY(N189,-(Setup!$C$13+Setup!$G$32),Setup!$C$39:$C$50))+(184*100+13)/10000000)))</f>
        <v/>
      </c>
      <c r="AE189" t="str">
        <f>IF(O189="","",IF(O189&lt;Setup!$C$5-Setup!$C$6,"",IF(IF(ISNUMBER(Roster!$D189),Setup!$C$33&lt;=Roster!$D189,FALSE),"",IF(OR(IF(Setup!$C$15&lt;=Setup!$C$16,AND(MONTH(O189)&gt;=Setup!$C$15,MONTH(O189)&lt;=Setup!$C$16),OR(MONTH(O189)&gt;=Setup!$C$15,MONTH(O189)&lt;=Setup!$C$16)),IF(Setup!$C$15&lt;=Setup!$C$16,AND(MONTH(WORKDAY(O189,-(Setup!$C$13+Setup!$G$33),Setup!$C$39:$C$50))&gt;=Setup!$C$15,MONTH(WORKDAY(O189,-(Setup!$C$13+Setup!$G$33),Setup!$C$39:$C$50))&lt;=Setup!$C$16),OR(MONTH(WORKDAY(O189,-(Setup!$C$13+Setup!$G$33),Setup!$C$39:$C$50))&gt;=Setup!$C$15,MONTH(WORKDAY(O189,-(Setup!$C$13+Setup!$G$33),Setup!$C$39:$C$50))&lt;=Setup!$C$16))),WORKDAY(O189,-(Setup!$C$13+Setup!$G$33+Setup!$C$14),Setup!$C$39:$C$50),WORKDAY(O189,-(Setup!$C$13+Setup!$G$33),Setup!$C$39:$C$50))+(184*100+14)/10000000)))</f>
        <v/>
      </c>
      <c r="AF189" t="str">
        <f>IF(P189="","",IF(P189&lt;Setup!$C$5-Setup!$C$6,"",IF(IF(ISNUMBER(Roster!$D189),Setup!$C$34&lt;=Roster!$D189,FALSE),"",IF(OR(IF(Setup!$C$15&lt;=Setup!$C$16,AND(MONTH(P189)&gt;=Setup!$C$15,MONTH(P189)&lt;=Setup!$C$16),OR(MONTH(P189)&gt;=Setup!$C$15,MONTH(P189)&lt;=Setup!$C$16)),IF(Setup!$C$15&lt;=Setup!$C$16,AND(MONTH(WORKDAY(P189,-(Setup!$C$13+Setup!$G$34),Setup!$C$39:$C$50))&gt;=Setup!$C$15,MONTH(WORKDAY(P189,-(Setup!$C$13+Setup!$G$34),Setup!$C$39:$C$50))&lt;=Setup!$C$16),OR(MONTH(WORKDAY(P189,-(Setup!$C$13+Setup!$G$34),Setup!$C$39:$C$50))&gt;=Setup!$C$15,MONTH(WORKDAY(P189,-(Setup!$C$13+Setup!$G$34),Setup!$C$39:$C$50))&lt;=Setup!$C$16))),WORKDAY(P189,-(Setup!$C$13+Setup!$G$34+Setup!$C$14),Setup!$C$39:$C$50),WORKDAY(P189,-(Setup!$C$13+Setup!$G$34),Setup!$C$39:$C$50))+(184*100+15)/10000000)))</f>
        <v/>
      </c>
      <c r="AH189" t="str">
        <f t="shared" si="17"/>
        <v/>
      </c>
      <c r="AI189" t="str">
        <f t="shared" si="18"/>
        <v/>
      </c>
      <c r="AK189" t="str">
        <f ca="1">IF(184&gt;$AK$2,"",SMALL($R$6:$AF$505,184))</f>
        <v/>
      </c>
      <c r="AL189" t="str">
        <f t="shared" ca="1" si="19"/>
        <v/>
      </c>
      <c r="AM189" t="str">
        <f t="shared" ca="1" si="20"/>
        <v/>
      </c>
      <c r="AN189" t="str">
        <f t="shared" ca="1" si="21"/>
        <v/>
      </c>
      <c r="AP189" t="str">
        <f>IF(ISNUMBER(Roster!$B189),MAX(1,YEAR(Setup!$C$5)-YEAR(Roster!$B189)+IF(EDATE(Roster!$B189,12*(YEAR(Setup!$C$5)-YEAR(Roster!$B189)))&lt;Setup!$C$5,1,0)),"")</f>
        <v/>
      </c>
      <c r="AQ189" s="32" t="str">
        <f>IF(AP189="","",EDATE(Roster!$B189,12*AP189))</f>
        <v/>
      </c>
      <c r="AR189" t="str">
        <f>IF(AQ189="","",IF(AQ189&lt;DATE(YEAR(Setup!$C$5)+1,MONTH(Setup!$C$5),DAY(Setup!$C$5)),AQ189+184/1000,""))</f>
        <v/>
      </c>
      <c r="AS189" t="str">
        <f t="shared" si="22"/>
        <v/>
      </c>
      <c r="AT189" t="str">
        <f>IF(AS189="","",IF(ISNUMBER(Roster!$D189),Roster!$D189&gt;=AP189,FALSE))</f>
        <v/>
      </c>
      <c r="AU189" t="str">
        <f t="shared" si="23"/>
        <v/>
      </c>
      <c r="AV189" t="str">
        <f ca="1">IF(184&gt;$AV$2,"",SMALL($AR$6:$AR$505,184))</f>
        <v/>
      </c>
      <c r="AW189" t="str">
        <f t="shared" ca="1" si="24"/>
        <v/>
      </c>
    </row>
    <row r="190" spans="2:49" x14ac:dyDescent="0.2">
      <c r="B190" s="32" t="str">
        <f>IF(AND(ISNUMBER(Roster!$B190),Setup!$B$20="Yes",ISNUMBER(Setup!$C$20)),EDATE(Roster!$B190,12*Setup!$C$20),"")</f>
        <v/>
      </c>
      <c r="C190" s="32" t="str">
        <f>IF(AND(ISNUMBER(Roster!$B190),Setup!$B$21="Yes",ISNUMBER(Setup!$C$21)),EDATE(Roster!$B190,12*Setup!$C$21),"")</f>
        <v/>
      </c>
      <c r="D190" s="32" t="str">
        <f>IF(AND(ISNUMBER(Roster!$B190),Setup!$B$22="Yes",ISNUMBER(Setup!$C$22)),EDATE(Roster!$B190,12*Setup!$C$22),"")</f>
        <v/>
      </c>
      <c r="E190" s="32" t="str">
        <f>IF(AND(ISNUMBER(Roster!$B190),Setup!$B$23="Yes",ISNUMBER(Setup!$C$23)),EDATE(Roster!$B190,12*Setup!$C$23),"")</f>
        <v/>
      </c>
      <c r="F190" s="32" t="str">
        <f>IF(AND(ISNUMBER(Roster!$B190),Setup!$B$24="Yes",ISNUMBER(Setup!$C$24)),EDATE(Roster!$B190,12*Setup!$C$24),"")</f>
        <v/>
      </c>
      <c r="G190" s="32" t="str">
        <f>IF(AND(ISNUMBER(Roster!$B190),Setup!$B$25="Yes",ISNUMBER(Setup!$C$25)),EDATE(Roster!$B190,12*Setup!$C$25),"")</f>
        <v/>
      </c>
      <c r="H190" s="32" t="str">
        <f>IF(AND(ISNUMBER(Roster!$B190),Setup!$B$26="Yes",ISNUMBER(Setup!$C$26)),EDATE(Roster!$B190,12*Setup!$C$26),"")</f>
        <v/>
      </c>
      <c r="I190" s="32" t="str">
        <f>IF(AND(ISNUMBER(Roster!$B190),Setup!$B$27="Yes",ISNUMBER(Setup!$C$27)),EDATE(Roster!$B190,12*Setup!$C$27),"")</f>
        <v/>
      </c>
      <c r="J190" s="32" t="str">
        <f>IF(AND(ISNUMBER(Roster!$B190),Setup!$B$28="Yes",ISNUMBER(Setup!$C$28)),EDATE(Roster!$B190,12*Setup!$C$28),"")</f>
        <v/>
      </c>
      <c r="K190" s="32" t="str">
        <f>IF(AND(ISNUMBER(Roster!$B190),Setup!$B$29="Yes",ISNUMBER(Setup!$C$29)),EDATE(Roster!$B190,12*Setup!$C$29),"")</f>
        <v/>
      </c>
      <c r="L190" s="32" t="str">
        <f>IF(AND(ISNUMBER(Roster!$B190),Setup!$B$30="Yes",ISNUMBER(Setup!$C$30)),EDATE(Roster!$B190,12*Setup!$C$30),"")</f>
        <v/>
      </c>
      <c r="M190" s="32" t="str">
        <f>IF(AND(ISNUMBER(Roster!$B190),Setup!$B$31="Yes",ISNUMBER(Setup!$C$31)),EDATE(Roster!$B190,12*Setup!$C$31),"")</f>
        <v/>
      </c>
      <c r="N190" s="32" t="str">
        <f>IF(AND(ISNUMBER(Roster!$B190),Setup!$B$32="Yes",ISNUMBER(Setup!$C$32)),EDATE(Roster!$B190,12*Setup!$C$32),"")</f>
        <v/>
      </c>
      <c r="O190" s="32" t="str">
        <f>IF(AND(ISNUMBER(Roster!$B190),Setup!$B$33="Yes",ISNUMBER(Setup!$C$33)),EDATE(Roster!$B190,12*Setup!$C$33),"")</f>
        <v/>
      </c>
      <c r="P190" s="32" t="str">
        <f>IF(AND(ISNUMBER(Roster!$B190),Setup!$B$34="Yes",ISNUMBER(Setup!$C$34)),EDATE(Roster!$B190,12*Setup!$C$34),"")</f>
        <v/>
      </c>
      <c r="R190" t="str">
        <f>IF(B190="","",IF(B190&lt;Setup!$C$5-Setup!$C$6,"",IF(IF(ISNUMBER(Roster!$D190),Setup!$C$20&lt;=Roster!$D190,FALSE),"",IF(OR(IF(Setup!$C$15&lt;=Setup!$C$16,AND(MONTH(B190)&gt;=Setup!$C$15,MONTH(B190)&lt;=Setup!$C$16),OR(MONTH(B190)&gt;=Setup!$C$15,MONTH(B190)&lt;=Setup!$C$16)),IF(Setup!$C$15&lt;=Setup!$C$16,AND(MONTH(WORKDAY(B190,-(Setup!$C$13+Setup!$G$20),Setup!$C$39:$C$50))&gt;=Setup!$C$15,MONTH(WORKDAY(B190,-(Setup!$C$13+Setup!$G$20),Setup!$C$39:$C$50))&lt;=Setup!$C$16),OR(MONTH(WORKDAY(B190,-(Setup!$C$13+Setup!$G$20),Setup!$C$39:$C$50))&gt;=Setup!$C$15,MONTH(WORKDAY(B190,-(Setup!$C$13+Setup!$G$20),Setup!$C$39:$C$50))&lt;=Setup!$C$16))),WORKDAY(B190,-(Setup!$C$13+Setup!$G$20+Setup!$C$14),Setup!$C$39:$C$50),WORKDAY(B190,-(Setup!$C$13+Setup!$G$20),Setup!$C$39:$C$50))+(185*100+1)/10000000)))</f>
        <v/>
      </c>
      <c r="S190" t="str">
        <f>IF(C190="","",IF(C190&lt;Setup!$C$5-Setup!$C$6,"",IF(IF(ISNUMBER(Roster!$D190),Setup!$C$21&lt;=Roster!$D190,FALSE),"",IF(OR(IF(Setup!$C$15&lt;=Setup!$C$16,AND(MONTH(C190)&gt;=Setup!$C$15,MONTH(C190)&lt;=Setup!$C$16),OR(MONTH(C190)&gt;=Setup!$C$15,MONTH(C190)&lt;=Setup!$C$16)),IF(Setup!$C$15&lt;=Setup!$C$16,AND(MONTH(WORKDAY(C190,-(Setup!$C$13+Setup!$G$21),Setup!$C$39:$C$50))&gt;=Setup!$C$15,MONTH(WORKDAY(C190,-(Setup!$C$13+Setup!$G$21),Setup!$C$39:$C$50))&lt;=Setup!$C$16),OR(MONTH(WORKDAY(C190,-(Setup!$C$13+Setup!$G$21),Setup!$C$39:$C$50))&gt;=Setup!$C$15,MONTH(WORKDAY(C190,-(Setup!$C$13+Setup!$G$21),Setup!$C$39:$C$50))&lt;=Setup!$C$16))),WORKDAY(C190,-(Setup!$C$13+Setup!$G$21+Setup!$C$14),Setup!$C$39:$C$50),WORKDAY(C190,-(Setup!$C$13+Setup!$G$21),Setup!$C$39:$C$50))+(185*100+2)/10000000)))</f>
        <v/>
      </c>
      <c r="T190" t="str">
        <f>IF(D190="","",IF(D190&lt;Setup!$C$5-Setup!$C$6,"",IF(IF(ISNUMBER(Roster!$D190),Setup!$C$22&lt;=Roster!$D190,FALSE),"",IF(OR(IF(Setup!$C$15&lt;=Setup!$C$16,AND(MONTH(D190)&gt;=Setup!$C$15,MONTH(D190)&lt;=Setup!$C$16),OR(MONTH(D190)&gt;=Setup!$C$15,MONTH(D190)&lt;=Setup!$C$16)),IF(Setup!$C$15&lt;=Setup!$C$16,AND(MONTH(WORKDAY(D190,-(Setup!$C$13+Setup!$G$22),Setup!$C$39:$C$50))&gt;=Setup!$C$15,MONTH(WORKDAY(D190,-(Setup!$C$13+Setup!$G$22),Setup!$C$39:$C$50))&lt;=Setup!$C$16),OR(MONTH(WORKDAY(D190,-(Setup!$C$13+Setup!$G$22),Setup!$C$39:$C$50))&gt;=Setup!$C$15,MONTH(WORKDAY(D190,-(Setup!$C$13+Setup!$G$22),Setup!$C$39:$C$50))&lt;=Setup!$C$16))),WORKDAY(D190,-(Setup!$C$13+Setup!$G$22+Setup!$C$14),Setup!$C$39:$C$50),WORKDAY(D190,-(Setup!$C$13+Setup!$G$22),Setup!$C$39:$C$50))+(185*100+3)/10000000)))</f>
        <v/>
      </c>
      <c r="U190" t="str">
        <f>IF(E190="","",IF(E190&lt;Setup!$C$5-Setup!$C$6,"",IF(IF(ISNUMBER(Roster!$D190),Setup!$C$23&lt;=Roster!$D190,FALSE),"",IF(OR(IF(Setup!$C$15&lt;=Setup!$C$16,AND(MONTH(E190)&gt;=Setup!$C$15,MONTH(E190)&lt;=Setup!$C$16),OR(MONTH(E190)&gt;=Setup!$C$15,MONTH(E190)&lt;=Setup!$C$16)),IF(Setup!$C$15&lt;=Setup!$C$16,AND(MONTH(WORKDAY(E190,-(Setup!$C$13+Setup!$G$23),Setup!$C$39:$C$50))&gt;=Setup!$C$15,MONTH(WORKDAY(E190,-(Setup!$C$13+Setup!$G$23),Setup!$C$39:$C$50))&lt;=Setup!$C$16),OR(MONTH(WORKDAY(E190,-(Setup!$C$13+Setup!$G$23),Setup!$C$39:$C$50))&gt;=Setup!$C$15,MONTH(WORKDAY(E190,-(Setup!$C$13+Setup!$G$23),Setup!$C$39:$C$50))&lt;=Setup!$C$16))),WORKDAY(E190,-(Setup!$C$13+Setup!$G$23+Setup!$C$14),Setup!$C$39:$C$50),WORKDAY(E190,-(Setup!$C$13+Setup!$G$23),Setup!$C$39:$C$50))+(185*100+4)/10000000)))</f>
        <v/>
      </c>
      <c r="V190" t="str">
        <f>IF(F190="","",IF(F190&lt;Setup!$C$5-Setup!$C$6,"",IF(IF(ISNUMBER(Roster!$D190),Setup!$C$24&lt;=Roster!$D190,FALSE),"",IF(OR(IF(Setup!$C$15&lt;=Setup!$C$16,AND(MONTH(F190)&gt;=Setup!$C$15,MONTH(F190)&lt;=Setup!$C$16),OR(MONTH(F190)&gt;=Setup!$C$15,MONTH(F190)&lt;=Setup!$C$16)),IF(Setup!$C$15&lt;=Setup!$C$16,AND(MONTH(WORKDAY(F190,-(Setup!$C$13+Setup!$G$24),Setup!$C$39:$C$50))&gt;=Setup!$C$15,MONTH(WORKDAY(F190,-(Setup!$C$13+Setup!$G$24),Setup!$C$39:$C$50))&lt;=Setup!$C$16),OR(MONTH(WORKDAY(F190,-(Setup!$C$13+Setup!$G$24),Setup!$C$39:$C$50))&gt;=Setup!$C$15,MONTH(WORKDAY(F190,-(Setup!$C$13+Setup!$G$24),Setup!$C$39:$C$50))&lt;=Setup!$C$16))),WORKDAY(F190,-(Setup!$C$13+Setup!$G$24+Setup!$C$14),Setup!$C$39:$C$50),WORKDAY(F190,-(Setup!$C$13+Setup!$G$24),Setup!$C$39:$C$50))+(185*100+5)/10000000)))</f>
        <v/>
      </c>
      <c r="W190" t="str">
        <f>IF(G190="","",IF(G190&lt;Setup!$C$5-Setup!$C$6,"",IF(IF(ISNUMBER(Roster!$D190),Setup!$C$25&lt;=Roster!$D190,FALSE),"",IF(OR(IF(Setup!$C$15&lt;=Setup!$C$16,AND(MONTH(G190)&gt;=Setup!$C$15,MONTH(G190)&lt;=Setup!$C$16),OR(MONTH(G190)&gt;=Setup!$C$15,MONTH(G190)&lt;=Setup!$C$16)),IF(Setup!$C$15&lt;=Setup!$C$16,AND(MONTH(WORKDAY(G190,-(Setup!$C$13+Setup!$G$25),Setup!$C$39:$C$50))&gt;=Setup!$C$15,MONTH(WORKDAY(G190,-(Setup!$C$13+Setup!$G$25),Setup!$C$39:$C$50))&lt;=Setup!$C$16),OR(MONTH(WORKDAY(G190,-(Setup!$C$13+Setup!$G$25),Setup!$C$39:$C$50))&gt;=Setup!$C$15,MONTH(WORKDAY(G190,-(Setup!$C$13+Setup!$G$25),Setup!$C$39:$C$50))&lt;=Setup!$C$16))),WORKDAY(G190,-(Setup!$C$13+Setup!$G$25+Setup!$C$14),Setup!$C$39:$C$50),WORKDAY(G190,-(Setup!$C$13+Setup!$G$25),Setup!$C$39:$C$50))+(185*100+6)/10000000)))</f>
        <v/>
      </c>
      <c r="X190" t="str">
        <f>IF(H190="","",IF(H190&lt;Setup!$C$5-Setup!$C$6,"",IF(IF(ISNUMBER(Roster!$D190),Setup!$C$26&lt;=Roster!$D190,FALSE),"",IF(OR(IF(Setup!$C$15&lt;=Setup!$C$16,AND(MONTH(H190)&gt;=Setup!$C$15,MONTH(H190)&lt;=Setup!$C$16),OR(MONTH(H190)&gt;=Setup!$C$15,MONTH(H190)&lt;=Setup!$C$16)),IF(Setup!$C$15&lt;=Setup!$C$16,AND(MONTH(WORKDAY(H190,-(Setup!$C$13+Setup!$G$26),Setup!$C$39:$C$50))&gt;=Setup!$C$15,MONTH(WORKDAY(H190,-(Setup!$C$13+Setup!$G$26),Setup!$C$39:$C$50))&lt;=Setup!$C$16),OR(MONTH(WORKDAY(H190,-(Setup!$C$13+Setup!$G$26),Setup!$C$39:$C$50))&gt;=Setup!$C$15,MONTH(WORKDAY(H190,-(Setup!$C$13+Setup!$G$26),Setup!$C$39:$C$50))&lt;=Setup!$C$16))),WORKDAY(H190,-(Setup!$C$13+Setup!$G$26+Setup!$C$14),Setup!$C$39:$C$50),WORKDAY(H190,-(Setup!$C$13+Setup!$G$26),Setup!$C$39:$C$50))+(185*100+7)/10000000)))</f>
        <v/>
      </c>
      <c r="Y190" t="str">
        <f>IF(I190="","",IF(I190&lt;Setup!$C$5-Setup!$C$6,"",IF(IF(ISNUMBER(Roster!$D190),Setup!$C$27&lt;=Roster!$D190,FALSE),"",IF(OR(IF(Setup!$C$15&lt;=Setup!$C$16,AND(MONTH(I190)&gt;=Setup!$C$15,MONTH(I190)&lt;=Setup!$C$16),OR(MONTH(I190)&gt;=Setup!$C$15,MONTH(I190)&lt;=Setup!$C$16)),IF(Setup!$C$15&lt;=Setup!$C$16,AND(MONTH(WORKDAY(I190,-(Setup!$C$13+Setup!$G$27),Setup!$C$39:$C$50))&gt;=Setup!$C$15,MONTH(WORKDAY(I190,-(Setup!$C$13+Setup!$G$27),Setup!$C$39:$C$50))&lt;=Setup!$C$16),OR(MONTH(WORKDAY(I190,-(Setup!$C$13+Setup!$G$27),Setup!$C$39:$C$50))&gt;=Setup!$C$15,MONTH(WORKDAY(I190,-(Setup!$C$13+Setup!$G$27),Setup!$C$39:$C$50))&lt;=Setup!$C$16))),WORKDAY(I190,-(Setup!$C$13+Setup!$G$27+Setup!$C$14),Setup!$C$39:$C$50),WORKDAY(I190,-(Setup!$C$13+Setup!$G$27),Setup!$C$39:$C$50))+(185*100+8)/10000000)))</f>
        <v/>
      </c>
      <c r="Z190" t="str">
        <f>IF(J190="","",IF(J190&lt;Setup!$C$5-Setup!$C$6,"",IF(IF(ISNUMBER(Roster!$D190),Setup!$C$28&lt;=Roster!$D190,FALSE),"",IF(OR(IF(Setup!$C$15&lt;=Setup!$C$16,AND(MONTH(J190)&gt;=Setup!$C$15,MONTH(J190)&lt;=Setup!$C$16),OR(MONTH(J190)&gt;=Setup!$C$15,MONTH(J190)&lt;=Setup!$C$16)),IF(Setup!$C$15&lt;=Setup!$C$16,AND(MONTH(WORKDAY(J190,-(Setup!$C$13+Setup!$G$28),Setup!$C$39:$C$50))&gt;=Setup!$C$15,MONTH(WORKDAY(J190,-(Setup!$C$13+Setup!$G$28),Setup!$C$39:$C$50))&lt;=Setup!$C$16),OR(MONTH(WORKDAY(J190,-(Setup!$C$13+Setup!$G$28),Setup!$C$39:$C$50))&gt;=Setup!$C$15,MONTH(WORKDAY(J190,-(Setup!$C$13+Setup!$G$28),Setup!$C$39:$C$50))&lt;=Setup!$C$16))),WORKDAY(J190,-(Setup!$C$13+Setup!$G$28+Setup!$C$14),Setup!$C$39:$C$50),WORKDAY(J190,-(Setup!$C$13+Setup!$G$28),Setup!$C$39:$C$50))+(185*100+9)/10000000)))</f>
        <v/>
      </c>
      <c r="AA190" t="str">
        <f>IF(K190="","",IF(K190&lt;Setup!$C$5-Setup!$C$6,"",IF(IF(ISNUMBER(Roster!$D190),Setup!$C$29&lt;=Roster!$D190,FALSE),"",IF(OR(IF(Setup!$C$15&lt;=Setup!$C$16,AND(MONTH(K190)&gt;=Setup!$C$15,MONTH(K190)&lt;=Setup!$C$16),OR(MONTH(K190)&gt;=Setup!$C$15,MONTH(K190)&lt;=Setup!$C$16)),IF(Setup!$C$15&lt;=Setup!$C$16,AND(MONTH(WORKDAY(K190,-(Setup!$C$13+Setup!$G$29),Setup!$C$39:$C$50))&gt;=Setup!$C$15,MONTH(WORKDAY(K190,-(Setup!$C$13+Setup!$G$29),Setup!$C$39:$C$50))&lt;=Setup!$C$16),OR(MONTH(WORKDAY(K190,-(Setup!$C$13+Setup!$G$29),Setup!$C$39:$C$50))&gt;=Setup!$C$15,MONTH(WORKDAY(K190,-(Setup!$C$13+Setup!$G$29),Setup!$C$39:$C$50))&lt;=Setup!$C$16))),WORKDAY(K190,-(Setup!$C$13+Setup!$G$29+Setup!$C$14),Setup!$C$39:$C$50),WORKDAY(K190,-(Setup!$C$13+Setup!$G$29),Setup!$C$39:$C$50))+(185*100+10)/10000000)))</f>
        <v/>
      </c>
      <c r="AB190" t="str">
        <f>IF(L190="","",IF(L190&lt;Setup!$C$5-Setup!$C$6,"",IF(IF(ISNUMBER(Roster!$D190),Setup!$C$30&lt;=Roster!$D190,FALSE),"",IF(OR(IF(Setup!$C$15&lt;=Setup!$C$16,AND(MONTH(L190)&gt;=Setup!$C$15,MONTH(L190)&lt;=Setup!$C$16),OR(MONTH(L190)&gt;=Setup!$C$15,MONTH(L190)&lt;=Setup!$C$16)),IF(Setup!$C$15&lt;=Setup!$C$16,AND(MONTH(WORKDAY(L190,-(Setup!$C$13+Setup!$G$30),Setup!$C$39:$C$50))&gt;=Setup!$C$15,MONTH(WORKDAY(L190,-(Setup!$C$13+Setup!$G$30),Setup!$C$39:$C$50))&lt;=Setup!$C$16),OR(MONTH(WORKDAY(L190,-(Setup!$C$13+Setup!$G$30),Setup!$C$39:$C$50))&gt;=Setup!$C$15,MONTH(WORKDAY(L190,-(Setup!$C$13+Setup!$G$30),Setup!$C$39:$C$50))&lt;=Setup!$C$16))),WORKDAY(L190,-(Setup!$C$13+Setup!$G$30+Setup!$C$14),Setup!$C$39:$C$50),WORKDAY(L190,-(Setup!$C$13+Setup!$G$30),Setup!$C$39:$C$50))+(185*100+11)/10000000)))</f>
        <v/>
      </c>
      <c r="AC190" t="str">
        <f>IF(M190="","",IF(M190&lt;Setup!$C$5-Setup!$C$6,"",IF(IF(ISNUMBER(Roster!$D190),Setup!$C$31&lt;=Roster!$D190,FALSE),"",IF(OR(IF(Setup!$C$15&lt;=Setup!$C$16,AND(MONTH(M190)&gt;=Setup!$C$15,MONTH(M190)&lt;=Setup!$C$16),OR(MONTH(M190)&gt;=Setup!$C$15,MONTH(M190)&lt;=Setup!$C$16)),IF(Setup!$C$15&lt;=Setup!$C$16,AND(MONTH(WORKDAY(M190,-(Setup!$C$13+Setup!$G$31),Setup!$C$39:$C$50))&gt;=Setup!$C$15,MONTH(WORKDAY(M190,-(Setup!$C$13+Setup!$G$31),Setup!$C$39:$C$50))&lt;=Setup!$C$16),OR(MONTH(WORKDAY(M190,-(Setup!$C$13+Setup!$G$31),Setup!$C$39:$C$50))&gt;=Setup!$C$15,MONTH(WORKDAY(M190,-(Setup!$C$13+Setup!$G$31),Setup!$C$39:$C$50))&lt;=Setup!$C$16))),WORKDAY(M190,-(Setup!$C$13+Setup!$G$31+Setup!$C$14),Setup!$C$39:$C$50),WORKDAY(M190,-(Setup!$C$13+Setup!$G$31),Setup!$C$39:$C$50))+(185*100+12)/10000000)))</f>
        <v/>
      </c>
      <c r="AD190" t="str">
        <f>IF(N190="","",IF(N190&lt;Setup!$C$5-Setup!$C$6,"",IF(IF(ISNUMBER(Roster!$D190),Setup!$C$32&lt;=Roster!$D190,FALSE),"",IF(OR(IF(Setup!$C$15&lt;=Setup!$C$16,AND(MONTH(N190)&gt;=Setup!$C$15,MONTH(N190)&lt;=Setup!$C$16),OR(MONTH(N190)&gt;=Setup!$C$15,MONTH(N190)&lt;=Setup!$C$16)),IF(Setup!$C$15&lt;=Setup!$C$16,AND(MONTH(WORKDAY(N190,-(Setup!$C$13+Setup!$G$32),Setup!$C$39:$C$50))&gt;=Setup!$C$15,MONTH(WORKDAY(N190,-(Setup!$C$13+Setup!$G$32),Setup!$C$39:$C$50))&lt;=Setup!$C$16),OR(MONTH(WORKDAY(N190,-(Setup!$C$13+Setup!$G$32),Setup!$C$39:$C$50))&gt;=Setup!$C$15,MONTH(WORKDAY(N190,-(Setup!$C$13+Setup!$G$32),Setup!$C$39:$C$50))&lt;=Setup!$C$16))),WORKDAY(N190,-(Setup!$C$13+Setup!$G$32+Setup!$C$14),Setup!$C$39:$C$50),WORKDAY(N190,-(Setup!$C$13+Setup!$G$32),Setup!$C$39:$C$50))+(185*100+13)/10000000)))</f>
        <v/>
      </c>
      <c r="AE190" t="str">
        <f>IF(O190="","",IF(O190&lt;Setup!$C$5-Setup!$C$6,"",IF(IF(ISNUMBER(Roster!$D190),Setup!$C$33&lt;=Roster!$D190,FALSE),"",IF(OR(IF(Setup!$C$15&lt;=Setup!$C$16,AND(MONTH(O190)&gt;=Setup!$C$15,MONTH(O190)&lt;=Setup!$C$16),OR(MONTH(O190)&gt;=Setup!$C$15,MONTH(O190)&lt;=Setup!$C$16)),IF(Setup!$C$15&lt;=Setup!$C$16,AND(MONTH(WORKDAY(O190,-(Setup!$C$13+Setup!$G$33),Setup!$C$39:$C$50))&gt;=Setup!$C$15,MONTH(WORKDAY(O190,-(Setup!$C$13+Setup!$G$33),Setup!$C$39:$C$50))&lt;=Setup!$C$16),OR(MONTH(WORKDAY(O190,-(Setup!$C$13+Setup!$G$33),Setup!$C$39:$C$50))&gt;=Setup!$C$15,MONTH(WORKDAY(O190,-(Setup!$C$13+Setup!$G$33),Setup!$C$39:$C$50))&lt;=Setup!$C$16))),WORKDAY(O190,-(Setup!$C$13+Setup!$G$33+Setup!$C$14),Setup!$C$39:$C$50),WORKDAY(O190,-(Setup!$C$13+Setup!$G$33),Setup!$C$39:$C$50))+(185*100+14)/10000000)))</f>
        <v/>
      </c>
      <c r="AF190" t="str">
        <f>IF(P190="","",IF(P190&lt;Setup!$C$5-Setup!$C$6,"",IF(IF(ISNUMBER(Roster!$D190),Setup!$C$34&lt;=Roster!$D190,FALSE),"",IF(OR(IF(Setup!$C$15&lt;=Setup!$C$16,AND(MONTH(P190)&gt;=Setup!$C$15,MONTH(P190)&lt;=Setup!$C$16),OR(MONTH(P190)&gt;=Setup!$C$15,MONTH(P190)&lt;=Setup!$C$16)),IF(Setup!$C$15&lt;=Setup!$C$16,AND(MONTH(WORKDAY(P190,-(Setup!$C$13+Setup!$G$34),Setup!$C$39:$C$50))&gt;=Setup!$C$15,MONTH(WORKDAY(P190,-(Setup!$C$13+Setup!$G$34),Setup!$C$39:$C$50))&lt;=Setup!$C$16),OR(MONTH(WORKDAY(P190,-(Setup!$C$13+Setup!$G$34),Setup!$C$39:$C$50))&gt;=Setup!$C$15,MONTH(WORKDAY(P190,-(Setup!$C$13+Setup!$G$34),Setup!$C$39:$C$50))&lt;=Setup!$C$16))),WORKDAY(P190,-(Setup!$C$13+Setup!$G$34+Setup!$C$14),Setup!$C$39:$C$50),WORKDAY(P190,-(Setup!$C$13+Setup!$G$34),Setup!$C$39:$C$50))+(185*100+15)/10000000)))</f>
        <v/>
      </c>
      <c r="AH190" t="str">
        <f t="shared" si="17"/>
        <v/>
      </c>
      <c r="AI190" t="str">
        <f t="shared" si="18"/>
        <v/>
      </c>
      <c r="AK190" t="str">
        <f ca="1">IF(185&gt;$AK$2,"",SMALL($R$6:$AF$505,185))</f>
        <v/>
      </c>
      <c r="AL190" t="str">
        <f t="shared" ca="1" si="19"/>
        <v/>
      </c>
      <c r="AM190" t="str">
        <f t="shared" ca="1" si="20"/>
        <v/>
      </c>
      <c r="AN190" t="str">
        <f t="shared" ca="1" si="21"/>
        <v/>
      </c>
      <c r="AP190" t="str">
        <f>IF(ISNUMBER(Roster!$B190),MAX(1,YEAR(Setup!$C$5)-YEAR(Roster!$B190)+IF(EDATE(Roster!$B190,12*(YEAR(Setup!$C$5)-YEAR(Roster!$B190)))&lt;Setup!$C$5,1,0)),"")</f>
        <v/>
      </c>
      <c r="AQ190" s="32" t="str">
        <f>IF(AP190="","",EDATE(Roster!$B190,12*AP190))</f>
        <v/>
      </c>
      <c r="AR190" t="str">
        <f>IF(AQ190="","",IF(AQ190&lt;DATE(YEAR(Setup!$C$5)+1,MONTH(Setup!$C$5),DAY(Setup!$C$5)),AQ190+185/1000,""))</f>
        <v/>
      </c>
      <c r="AS190" t="str">
        <f t="shared" si="22"/>
        <v/>
      </c>
      <c r="AT190" t="str">
        <f>IF(AS190="","",IF(ISNUMBER(Roster!$D190),Roster!$D190&gt;=AP190,FALSE))</f>
        <v/>
      </c>
      <c r="AU190" t="str">
        <f t="shared" si="23"/>
        <v/>
      </c>
      <c r="AV190" t="str">
        <f ca="1">IF(185&gt;$AV$2,"",SMALL($AR$6:$AR$505,185))</f>
        <v/>
      </c>
      <c r="AW190" t="str">
        <f t="shared" ca="1" si="24"/>
        <v/>
      </c>
    </row>
    <row r="191" spans="2:49" x14ac:dyDescent="0.2">
      <c r="B191" s="32" t="str">
        <f>IF(AND(ISNUMBER(Roster!$B191),Setup!$B$20="Yes",ISNUMBER(Setup!$C$20)),EDATE(Roster!$B191,12*Setup!$C$20),"")</f>
        <v/>
      </c>
      <c r="C191" s="32" t="str">
        <f>IF(AND(ISNUMBER(Roster!$B191),Setup!$B$21="Yes",ISNUMBER(Setup!$C$21)),EDATE(Roster!$B191,12*Setup!$C$21),"")</f>
        <v/>
      </c>
      <c r="D191" s="32" t="str">
        <f>IF(AND(ISNUMBER(Roster!$B191),Setup!$B$22="Yes",ISNUMBER(Setup!$C$22)),EDATE(Roster!$B191,12*Setup!$C$22),"")</f>
        <v/>
      </c>
      <c r="E191" s="32" t="str">
        <f>IF(AND(ISNUMBER(Roster!$B191),Setup!$B$23="Yes",ISNUMBER(Setup!$C$23)),EDATE(Roster!$B191,12*Setup!$C$23),"")</f>
        <v/>
      </c>
      <c r="F191" s="32" t="str">
        <f>IF(AND(ISNUMBER(Roster!$B191),Setup!$B$24="Yes",ISNUMBER(Setup!$C$24)),EDATE(Roster!$B191,12*Setup!$C$24),"")</f>
        <v/>
      </c>
      <c r="G191" s="32" t="str">
        <f>IF(AND(ISNUMBER(Roster!$B191),Setup!$B$25="Yes",ISNUMBER(Setup!$C$25)),EDATE(Roster!$B191,12*Setup!$C$25),"")</f>
        <v/>
      </c>
      <c r="H191" s="32" t="str">
        <f>IF(AND(ISNUMBER(Roster!$B191),Setup!$B$26="Yes",ISNUMBER(Setup!$C$26)),EDATE(Roster!$B191,12*Setup!$C$26),"")</f>
        <v/>
      </c>
      <c r="I191" s="32" t="str">
        <f>IF(AND(ISNUMBER(Roster!$B191),Setup!$B$27="Yes",ISNUMBER(Setup!$C$27)),EDATE(Roster!$B191,12*Setup!$C$27),"")</f>
        <v/>
      </c>
      <c r="J191" s="32" t="str">
        <f>IF(AND(ISNUMBER(Roster!$B191),Setup!$B$28="Yes",ISNUMBER(Setup!$C$28)),EDATE(Roster!$B191,12*Setup!$C$28),"")</f>
        <v/>
      </c>
      <c r="K191" s="32" t="str">
        <f>IF(AND(ISNUMBER(Roster!$B191),Setup!$B$29="Yes",ISNUMBER(Setup!$C$29)),EDATE(Roster!$B191,12*Setup!$C$29),"")</f>
        <v/>
      </c>
      <c r="L191" s="32" t="str">
        <f>IF(AND(ISNUMBER(Roster!$B191),Setup!$B$30="Yes",ISNUMBER(Setup!$C$30)),EDATE(Roster!$B191,12*Setup!$C$30),"")</f>
        <v/>
      </c>
      <c r="M191" s="32" t="str">
        <f>IF(AND(ISNUMBER(Roster!$B191),Setup!$B$31="Yes",ISNUMBER(Setup!$C$31)),EDATE(Roster!$B191,12*Setup!$C$31),"")</f>
        <v/>
      </c>
      <c r="N191" s="32" t="str">
        <f>IF(AND(ISNUMBER(Roster!$B191),Setup!$B$32="Yes",ISNUMBER(Setup!$C$32)),EDATE(Roster!$B191,12*Setup!$C$32),"")</f>
        <v/>
      </c>
      <c r="O191" s="32" t="str">
        <f>IF(AND(ISNUMBER(Roster!$B191),Setup!$B$33="Yes",ISNUMBER(Setup!$C$33)),EDATE(Roster!$B191,12*Setup!$C$33),"")</f>
        <v/>
      </c>
      <c r="P191" s="32" t="str">
        <f>IF(AND(ISNUMBER(Roster!$B191),Setup!$B$34="Yes",ISNUMBER(Setup!$C$34)),EDATE(Roster!$B191,12*Setup!$C$34),"")</f>
        <v/>
      </c>
      <c r="R191" t="str">
        <f>IF(B191="","",IF(B191&lt;Setup!$C$5-Setup!$C$6,"",IF(IF(ISNUMBER(Roster!$D191),Setup!$C$20&lt;=Roster!$D191,FALSE),"",IF(OR(IF(Setup!$C$15&lt;=Setup!$C$16,AND(MONTH(B191)&gt;=Setup!$C$15,MONTH(B191)&lt;=Setup!$C$16),OR(MONTH(B191)&gt;=Setup!$C$15,MONTH(B191)&lt;=Setup!$C$16)),IF(Setup!$C$15&lt;=Setup!$C$16,AND(MONTH(WORKDAY(B191,-(Setup!$C$13+Setup!$G$20),Setup!$C$39:$C$50))&gt;=Setup!$C$15,MONTH(WORKDAY(B191,-(Setup!$C$13+Setup!$G$20),Setup!$C$39:$C$50))&lt;=Setup!$C$16),OR(MONTH(WORKDAY(B191,-(Setup!$C$13+Setup!$G$20),Setup!$C$39:$C$50))&gt;=Setup!$C$15,MONTH(WORKDAY(B191,-(Setup!$C$13+Setup!$G$20),Setup!$C$39:$C$50))&lt;=Setup!$C$16))),WORKDAY(B191,-(Setup!$C$13+Setup!$G$20+Setup!$C$14),Setup!$C$39:$C$50),WORKDAY(B191,-(Setup!$C$13+Setup!$G$20),Setup!$C$39:$C$50))+(186*100+1)/10000000)))</f>
        <v/>
      </c>
      <c r="S191" t="str">
        <f>IF(C191="","",IF(C191&lt;Setup!$C$5-Setup!$C$6,"",IF(IF(ISNUMBER(Roster!$D191),Setup!$C$21&lt;=Roster!$D191,FALSE),"",IF(OR(IF(Setup!$C$15&lt;=Setup!$C$16,AND(MONTH(C191)&gt;=Setup!$C$15,MONTH(C191)&lt;=Setup!$C$16),OR(MONTH(C191)&gt;=Setup!$C$15,MONTH(C191)&lt;=Setup!$C$16)),IF(Setup!$C$15&lt;=Setup!$C$16,AND(MONTH(WORKDAY(C191,-(Setup!$C$13+Setup!$G$21),Setup!$C$39:$C$50))&gt;=Setup!$C$15,MONTH(WORKDAY(C191,-(Setup!$C$13+Setup!$G$21),Setup!$C$39:$C$50))&lt;=Setup!$C$16),OR(MONTH(WORKDAY(C191,-(Setup!$C$13+Setup!$G$21),Setup!$C$39:$C$50))&gt;=Setup!$C$15,MONTH(WORKDAY(C191,-(Setup!$C$13+Setup!$G$21),Setup!$C$39:$C$50))&lt;=Setup!$C$16))),WORKDAY(C191,-(Setup!$C$13+Setup!$G$21+Setup!$C$14),Setup!$C$39:$C$50),WORKDAY(C191,-(Setup!$C$13+Setup!$G$21),Setup!$C$39:$C$50))+(186*100+2)/10000000)))</f>
        <v/>
      </c>
      <c r="T191" t="str">
        <f>IF(D191="","",IF(D191&lt;Setup!$C$5-Setup!$C$6,"",IF(IF(ISNUMBER(Roster!$D191),Setup!$C$22&lt;=Roster!$D191,FALSE),"",IF(OR(IF(Setup!$C$15&lt;=Setup!$C$16,AND(MONTH(D191)&gt;=Setup!$C$15,MONTH(D191)&lt;=Setup!$C$16),OR(MONTH(D191)&gt;=Setup!$C$15,MONTH(D191)&lt;=Setup!$C$16)),IF(Setup!$C$15&lt;=Setup!$C$16,AND(MONTH(WORKDAY(D191,-(Setup!$C$13+Setup!$G$22),Setup!$C$39:$C$50))&gt;=Setup!$C$15,MONTH(WORKDAY(D191,-(Setup!$C$13+Setup!$G$22),Setup!$C$39:$C$50))&lt;=Setup!$C$16),OR(MONTH(WORKDAY(D191,-(Setup!$C$13+Setup!$G$22),Setup!$C$39:$C$50))&gt;=Setup!$C$15,MONTH(WORKDAY(D191,-(Setup!$C$13+Setup!$G$22),Setup!$C$39:$C$50))&lt;=Setup!$C$16))),WORKDAY(D191,-(Setup!$C$13+Setup!$G$22+Setup!$C$14),Setup!$C$39:$C$50),WORKDAY(D191,-(Setup!$C$13+Setup!$G$22),Setup!$C$39:$C$50))+(186*100+3)/10000000)))</f>
        <v/>
      </c>
      <c r="U191" t="str">
        <f>IF(E191="","",IF(E191&lt;Setup!$C$5-Setup!$C$6,"",IF(IF(ISNUMBER(Roster!$D191),Setup!$C$23&lt;=Roster!$D191,FALSE),"",IF(OR(IF(Setup!$C$15&lt;=Setup!$C$16,AND(MONTH(E191)&gt;=Setup!$C$15,MONTH(E191)&lt;=Setup!$C$16),OR(MONTH(E191)&gt;=Setup!$C$15,MONTH(E191)&lt;=Setup!$C$16)),IF(Setup!$C$15&lt;=Setup!$C$16,AND(MONTH(WORKDAY(E191,-(Setup!$C$13+Setup!$G$23),Setup!$C$39:$C$50))&gt;=Setup!$C$15,MONTH(WORKDAY(E191,-(Setup!$C$13+Setup!$G$23),Setup!$C$39:$C$50))&lt;=Setup!$C$16),OR(MONTH(WORKDAY(E191,-(Setup!$C$13+Setup!$G$23),Setup!$C$39:$C$50))&gt;=Setup!$C$15,MONTH(WORKDAY(E191,-(Setup!$C$13+Setup!$G$23),Setup!$C$39:$C$50))&lt;=Setup!$C$16))),WORKDAY(E191,-(Setup!$C$13+Setup!$G$23+Setup!$C$14),Setup!$C$39:$C$50),WORKDAY(E191,-(Setup!$C$13+Setup!$G$23),Setup!$C$39:$C$50))+(186*100+4)/10000000)))</f>
        <v/>
      </c>
      <c r="V191" t="str">
        <f>IF(F191="","",IF(F191&lt;Setup!$C$5-Setup!$C$6,"",IF(IF(ISNUMBER(Roster!$D191),Setup!$C$24&lt;=Roster!$D191,FALSE),"",IF(OR(IF(Setup!$C$15&lt;=Setup!$C$16,AND(MONTH(F191)&gt;=Setup!$C$15,MONTH(F191)&lt;=Setup!$C$16),OR(MONTH(F191)&gt;=Setup!$C$15,MONTH(F191)&lt;=Setup!$C$16)),IF(Setup!$C$15&lt;=Setup!$C$16,AND(MONTH(WORKDAY(F191,-(Setup!$C$13+Setup!$G$24),Setup!$C$39:$C$50))&gt;=Setup!$C$15,MONTH(WORKDAY(F191,-(Setup!$C$13+Setup!$G$24),Setup!$C$39:$C$50))&lt;=Setup!$C$16),OR(MONTH(WORKDAY(F191,-(Setup!$C$13+Setup!$G$24),Setup!$C$39:$C$50))&gt;=Setup!$C$15,MONTH(WORKDAY(F191,-(Setup!$C$13+Setup!$G$24),Setup!$C$39:$C$50))&lt;=Setup!$C$16))),WORKDAY(F191,-(Setup!$C$13+Setup!$G$24+Setup!$C$14),Setup!$C$39:$C$50),WORKDAY(F191,-(Setup!$C$13+Setup!$G$24),Setup!$C$39:$C$50))+(186*100+5)/10000000)))</f>
        <v/>
      </c>
      <c r="W191" t="str">
        <f>IF(G191="","",IF(G191&lt;Setup!$C$5-Setup!$C$6,"",IF(IF(ISNUMBER(Roster!$D191),Setup!$C$25&lt;=Roster!$D191,FALSE),"",IF(OR(IF(Setup!$C$15&lt;=Setup!$C$16,AND(MONTH(G191)&gt;=Setup!$C$15,MONTH(G191)&lt;=Setup!$C$16),OR(MONTH(G191)&gt;=Setup!$C$15,MONTH(G191)&lt;=Setup!$C$16)),IF(Setup!$C$15&lt;=Setup!$C$16,AND(MONTH(WORKDAY(G191,-(Setup!$C$13+Setup!$G$25),Setup!$C$39:$C$50))&gt;=Setup!$C$15,MONTH(WORKDAY(G191,-(Setup!$C$13+Setup!$G$25),Setup!$C$39:$C$50))&lt;=Setup!$C$16),OR(MONTH(WORKDAY(G191,-(Setup!$C$13+Setup!$G$25),Setup!$C$39:$C$50))&gt;=Setup!$C$15,MONTH(WORKDAY(G191,-(Setup!$C$13+Setup!$G$25),Setup!$C$39:$C$50))&lt;=Setup!$C$16))),WORKDAY(G191,-(Setup!$C$13+Setup!$G$25+Setup!$C$14),Setup!$C$39:$C$50),WORKDAY(G191,-(Setup!$C$13+Setup!$G$25),Setup!$C$39:$C$50))+(186*100+6)/10000000)))</f>
        <v/>
      </c>
      <c r="X191" t="str">
        <f>IF(H191="","",IF(H191&lt;Setup!$C$5-Setup!$C$6,"",IF(IF(ISNUMBER(Roster!$D191),Setup!$C$26&lt;=Roster!$D191,FALSE),"",IF(OR(IF(Setup!$C$15&lt;=Setup!$C$16,AND(MONTH(H191)&gt;=Setup!$C$15,MONTH(H191)&lt;=Setup!$C$16),OR(MONTH(H191)&gt;=Setup!$C$15,MONTH(H191)&lt;=Setup!$C$16)),IF(Setup!$C$15&lt;=Setup!$C$16,AND(MONTH(WORKDAY(H191,-(Setup!$C$13+Setup!$G$26),Setup!$C$39:$C$50))&gt;=Setup!$C$15,MONTH(WORKDAY(H191,-(Setup!$C$13+Setup!$G$26),Setup!$C$39:$C$50))&lt;=Setup!$C$16),OR(MONTH(WORKDAY(H191,-(Setup!$C$13+Setup!$G$26),Setup!$C$39:$C$50))&gt;=Setup!$C$15,MONTH(WORKDAY(H191,-(Setup!$C$13+Setup!$G$26),Setup!$C$39:$C$50))&lt;=Setup!$C$16))),WORKDAY(H191,-(Setup!$C$13+Setup!$G$26+Setup!$C$14),Setup!$C$39:$C$50),WORKDAY(H191,-(Setup!$C$13+Setup!$G$26),Setup!$C$39:$C$50))+(186*100+7)/10000000)))</f>
        <v/>
      </c>
      <c r="Y191" t="str">
        <f>IF(I191="","",IF(I191&lt;Setup!$C$5-Setup!$C$6,"",IF(IF(ISNUMBER(Roster!$D191),Setup!$C$27&lt;=Roster!$D191,FALSE),"",IF(OR(IF(Setup!$C$15&lt;=Setup!$C$16,AND(MONTH(I191)&gt;=Setup!$C$15,MONTH(I191)&lt;=Setup!$C$16),OR(MONTH(I191)&gt;=Setup!$C$15,MONTH(I191)&lt;=Setup!$C$16)),IF(Setup!$C$15&lt;=Setup!$C$16,AND(MONTH(WORKDAY(I191,-(Setup!$C$13+Setup!$G$27),Setup!$C$39:$C$50))&gt;=Setup!$C$15,MONTH(WORKDAY(I191,-(Setup!$C$13+Setup!$G$27),Setup!$C$39:$C$50))&lt;=Setup!$C$16),OR(MONTH(WORKDAY(I191,-(Setup!$C$13+Setup!$G$27),Setup!$C$39:$C$50))&gt;=Setup!$C$15,MONTH(WORKDAY(I191,-(Setup!$C$13+Setup!$G$27),Setup!$C$39:$C$50))&lt;=Setup!$C$16))),WORKDAY(I191,-(Setup!$C$13+Setup!$G$27+Setup!$C$14),Setup!$C$39:$C$50),WORKDAY(I191,-(Setup!$C$13+Setup!$G$27),Setup!$C$39:$C$50))+(186*100+8)/10000000)))</f>
        <v/>
      </c>
      <c r="Z191" t="str">
        <f>IF(J191="","",IF(J191&lt;Setup!$C$5-Setup!$C$6,"",IF(IF(ISNUMBER(Roster!$D191),Setup!$C$28&lt;=Roster!$D191,FALSE),"",IF(OR(IF(Setup!$C$15&lt;=Setup!$C$16,AND(MONTH(J191)&gt;=Setup!$C$15,MONTH(J191)&lt;=Setup!$C$16),OR(MONTH(J191)&gt;=Setup!$C$15,MONTH(J191)&lt;=Setup!$C$16)),IF(Setup!$C$15&lt;=Setup!$C$16,AND(MONTH(WORKDAY(J191,-(Setup!$C$13+Setup!$G$28),Setup!$C$39:$C$50))&gt;=Setup!$C$15,MONTH(WORKDAY(J191,-(Setup!$C$13+Setup!$G$28),Setup!$C$39:$C$50))&lt;=Setup!$C$16),OR(MONTH(WORKDAY(J191,-(Setup!$C$13+Setup!$G$28),Setup!$C$39:$C$50))&gt;=Setup!$C$15,MONTH(WORKDAY(J191,-(Setup!$C$13+Setup!$G$28),Setup!$C$39:$C$50))&lt;=Setup!$C$16))),WORKDAY(J191,-(Setup!$C$13+Setup!$G$28+Setup!$C$14),Setup!$C$39:$C$50),WORKDAY(J191,-(Setup!$C$13+Setup!$G$28),Setup!$C$39:$C$50))+(186*100+9)/10000000)))</f>
        <v/>
      </c>
      <c r="AA191" t="str">
        <f>IF(K191="","",IF(K191&lt;Setup!$C$5-Setup!$C$6,"",IF(IF(ISNUMBER(Roster!$D191),Setup!$C$29&lt;=Roster!$D191,FALSE),"",IF(OR(IF(Setup!$C$15&lt;=Setup!$C$16,AND(MONTH(K191)&gt;=Setup!$C$15,MONTH(K191)&lt;=Setup!$C$16),OR(MONTH(K191)&gt;=Setup!$C$15,MONTH(K191)&lt;=Setup!$C$16)),IF(Setup!$C$15&lt;=Setup!$C$16,AND(MONTH(WORKDAY(K191,-(Setup!$C$13+Setup!$G$29),Setup!$C$39:$C$50))&gt;=Setup!$C$15,MONTH(WORKDAY(K191,-(Setup!$C$13+Setup!$G$29),Setup!$C$39:$C$50))&lt;=Setup!$C$16),OR(MONTH(WORKDAY(K191,-(Setup!$C$13+Setup!$G$29),Setup!$C$39:$C$50))&gt;=Setup!$C$15,MONTH(WORKDAY(K191,-(Setup!$C$13+Setup!$G$29),Setup!$C$39:$C$50))&lt;=Setup!$C$16))),WORKDAY(K191,-(Setup!$C$13+Setup!$G$29+Setup!$C$14),Setup!$C$39:$C$50),WORKDAY(K191,-(Setup!$C$13+Setup!$G$29),Setup!$C$39:$C$50))+(186*100+10)/10000000)))</f>
        <v/>
      </c>
      <c r="AB191" t="str">
        <f>IF(L191="","",IF(L191&lt;Setup!$C$5-Setup!$C$6,"",IF(IF(ISNUMBER(Roster!$D191),Setup!$C$30&lt;=Roster!$D191,FALSE),"",IF(OR(IF(Setup!$C$15&lt;=Setup!$C$16,AND(MONTH(L191)&gt;=Setup!$C$15,MONTH(L191)&lt;=Setup!$C$16),OR(MONTH(L191)&gt;=Setup!$C$15,MONTH(L191)&lt;=Setup!$C$16)),IF(Setup!$C$15&lt;=Setup!$C$16,AND(MONTH(WORKDAY(L191,-(Setup!$C$13+Setup!$G$30),Setup!$C$39:$C$50))&gt;=Setup!$C$15,MONTH(WORKDAY(L191,-(Setup!$C$13+Setup!$G$30),Setup!$C$39:$C$50))&lt;=Setup!$C$16),OR(MONTH(WORKDAY(L191,-(Setup!$C$13+Setup!$G$30),Setup!$C$39:$C$50))&gt;=Setup!$C$15,MONTH(WORKDAY(L191,-(Setup!$C$13+Setup!$G$30),Setup!$C$39:$C$50))&lt;=Setup!$C$16))),WORKDAY(L191,-(Setup!$C$13+Setup!$G$30+Setup!$C$14),Setup!$C$39:$C$50),WORKDAY(L191,-(Setup!$C$13+Setup!$G$30),Setup!$C$39:$C$50))+(186*100+11)/10000000)))</f>
        <v/>
      </c>
      <c r="AC191" t="str">
        <f>IF(M191="","",IF(M191&lt;Setup!$C$5-Setup!$C$6,"",IF(IF(ISNUMBER(Roster!$D191),Setup!$C$31&lt;=Roster!$D191,FALSE),"",IF(OR(IF(Setup!$C$15&lt;=Setup!$C$16,AND(MONTH(M191)&gt;=Setup!$C$15,MONTH(M191)&lt;=Setup!$C$16),OR(MONTH(M191)&gt;=Setup!$C$15,MONTH(M191)&lt;=Setup!$C$16)),IF(Setup!$C$15&lt;=Setup!$C$16,AND(MONTH(WORKDAY(M191,-(Setup!$C$13+Setup!$G$31),Setup!$C$39:$C$50))&gt;=Setup!$C$15,MONTH(WORKDAY(M191,-(Setup!$C$13+Setup!$G$31),Setup!$C$39:$C$50))&lt;=Setup!$C$16),OR(MONTH(WORKDAY(M191,-(Setup!$C$13+Setup!$G$31),Setup!$C$39:$C$50))&gt;=Setup!$C$15,MONTH(WORKDAY(M191,-(Setup!$C$13+Setup!$G$31),Setup!$C$39:$C$50))&lt;=Setup!$C$16))),WORKDAY(M191,-(Setup!$C$13+Setup!$G$31+Setup!$C$14),Setup!$C$39:$C$50),WORKDAY(M191,-(Setup!$C$13+Setup!$G$31),Setup!$C$39:$C$50))+(186*100+12)/10000000)))</f>
        <v/>
      </c>
      <c r="AD191" t="str">
        <f>IF(N191="","",IF(N191&lt;Setup!$C$5-Setup!$C$6,"",IF(IF(ISNUMBER(Roster!$D191),Setup!$C$32&lt;=Roster!$D191,FALSE),"",IF(OR(IF(Setup!$C$15&lt;=Setup!$C$16,AND(MONTH(N191)&gt;=Setup!$C$15,MONTH(N191)&lt;=Setup!$C$16),OR(MONTH(N191)&gt;=Setup!$C$15,MONTH(N191)&lt;=Setup!$C$16)),IF(Setup!$C$15&lt;=Setup!$C$16,AND(MONTH(WORKDAY(N191,-(Setup!$C$13+Setup!$G$32),Setup!$C$39:$C$50))&gt;=Setup!$C$15,MONTH(WORKDAY(N191,-(Setup!$C$13+Setup!$G$32),Setup!$C$39:$C$50))&lt;=Setup!$C$16),OR(MONTH(WORKDAY(N191,-(Setup!$C$13+Setup!$G$32),Setup!$C$39:$C$50))&gt;=Setup!$C$15,MONTH(WORKDAY(N191,-(Setup!$C$13+Setup!$G$32),Setup!$C$39:$C$50))&lt;=Setup!$C$16))),WORKDAY(N191,-(Setup!$C$13+Setup!$G$32+Setup!$C$14),Setup!$C$39:$C$50),WORKDAY(N191,-(Setup!$C$13+Setup!$G$32),Setup!$C$39:$C$50))+(186*100+13)/10000000)))</f>
        <v/>
      </c>
      <c r="AE191" t="str">
        <f>IF(O191="","",IF(O191&lt;Setup!$C$5-Setup!$C$6,"",IF(IF(ISNUMBER(Roster!$D191),Setup!$C$33&lt;=Roster!$D191,FALSE),"",IF(OR(IF(Setup!$C$15&lt;=Setup!$C$16,AND(MONTH(O191)&gt;=Setup!$C$15,MONTH(O191)&lt;=Setup!$C$16),OR(MONTH(O191)&gt;=Setup!$C$15,MONTH(O191)&lt;=Setup!$C$16)),IF(Setup!$C$15&lt;=Setup!$C$16,AND(MONTH(WORKDAY(O191,-(Setup!$C$13+Setup!$G$33),Setup!$C$39:$C$50))&gt;=Setup!$C$15,MONTH(WORKDAY(O191,-(Setup!$C$13+Setup!$G$33),Setup!$C$39:$C$50))&lt;=Setup!$C$16),OR(MONTH(WORKDAY(O191,-(Setup!$C$13+Setup!$G$33),Setup!$C$39:$C$50))&gt;=Setup!$C$15,MONTH(WORKDAY(O191,-(Setup!$C$13+Setup!$G$33),Setup!$C$39:$C$50))&lt;=Setup!$C$16))),WORKDAY(O191,-(Setup!$C$13+Setup!$G$33+Setup!$C$14),Setup!$C$39:$C$50),WORKDAY(O191,-(Setup!$C$13+Setup!$G$33),Setup!$C$39:$C$50))+(186*100+14)/10000000)))</f>
        <v/>
      </c>
      <c r="AF191" t="str">
        <f>IF(P191="","",IF(P191&lt;Setup!$C$5-Setup!$C$6,"",IF(IF(ISNUMBER(Roster!$D191),Setup!$C$34&lt;=Roster!$D191,FALSE),"",IF(OR(IF(Setup!$C$15&lt;=Setup!$C$16,AND(MONTH(P191)&gt;=Setup!$C$15,MONTH(P191)&lt;=Setup!$C$16),OR(MONTH(P191)&gt;=Setup!$C$15,MONTH(P191)&lt;=Setup!$C$16)),IF(Setup!$C$15&lt;=Setup!$C$16,AND(MONTH(WORKDAY(P191,-(Setup!$C$13+Setup!$G$34),Setup!$C$39:$C$50))&gt;=Setup!$C$15,MONTH(WORKDAY(P191,-(Setup!$C$13+Setup!$G$34),Setup!$C$39:$C$50))&lt;=Setup!$C$16),OR(MONTH(WORKDAY(P191,-(Setup!$C$13+Setup!$G$34),Setup!$C$39:$C$50))&gt;=Setup!$C$15,MONTH(WORKDAY(P191,-(Setup!$C$13+Setup!$G$34),Setup!$C$39:$C$50))&lt;=Setup!$C$16))),WORKDAY(P191,-(Setup!$C$13+Setup!$G$34+Setup!$C$14),Setup!$C$39:$C$50),WORKDAY(P191,-(Setup!$C$13+Setup!$G$34),Setup!$C$39:$C$50))+(186*100+15)/10000000)))</f>
        <v/>
      </c>
      <c r="AH191" t="str">
        <f t="shared" si="17"/>
        <v/>
      </c>
      <c r="AI191" t="str">
        <f t="shared" si="18"/>
        <v/>
      </c>
      <c r="AK191" t="str">
        <f ca="1">IF(186&gt;$AK$2,"",SMALL($R$6:$AF$505,186))</f>
        <v/>
      </c>
      <c r="AL191" t="str">
        <f t="shared" ca="1" si="19"/>
        <v/>
      </c>
      <c r="AM191" t="str">
        <f t="shared" ca="1" si="20"/>
        <v/>
      </c>
      <c r="AN191" t="str">
        <f t="shared" ca="1" si="21"/>
        <v/>
      </c>
      <c r="AP191" t="str">
        <f>IF(ISNUMBER(Roster!$B191),MAX(1,YEAR(Setup!$C$5)-YEAR(Roster!$B191)+IF(EDATE(Roster!$B191,12*(YEAR(Setup!$C$5)-YEAR(Roster!$B191)))&lt;Setup!$C$5,1,0)),"")</f>
        <v/>
      </c>
      <c r="AQ191" s="32" t="str">
        <f>IF(AP191="","",EDATE(Roster!$B191,12*AP191))</f>
        <v/>
      </c>
      <c r="AR191" t="str">
        <f>IF(AQ191="","",IF(AQ191&lt;DATE(YEAR(Setup!$C$5)+1,MONTH(Setup!$C$5),DAY(Setup!$C$5)),AQ191+186/1000,""))</f>
        <v/>
      </c>
      <c r="AS191" t="str">
        <f t="shared" si="22"/>
        <v/>
      </c>
      <c r="AT191" t="str">
        <f>IF(AS191="","",IF(ISNUMBER(Roster!$D191),Roster!$D191&gt;=AP191,FALSE))</f>
        <v/>
      </c>
      <c r="AU191" t="str">
        <f t="shared" si="23"/>
        <v/>
      </c>
      <c r="AV191" t="str">
        <f ca="1">IF(186&gt;$AV$2,"",SMALL($AR$6:$AR$505,186))</f>
        <v/>
      </c>
      <c r="AW191" t="str">
        <f t="shared" ca="1" si="24"/>
        <v/>
      </c>
    </row>
    <row r="192" spans="2:49" x14ac:dyDescent="0.2">
      <c r="B192" s="32" t="str">
        <f>IF(AND(ISNUMBER(Roster!$B192),Setup!$B$20="Yes",ISNUMBER(Setup!$C$20)),EDATE(Roster!$B192,12*Setup!$C$20),"")</f>
        <v/>
      </c>
      <c r="C192" s="32" t="str">
        <f>IF(AND(ISNUMBER(Roster!$B192),Setup!$B$21="Yes",ISNUMBER(Setup!$C$21)),EDATE(Roster!$B192,12*Setup!$C$21),"")</f>
        <v/>
      </c>
      <c r="D192" s="32" t="str">
        <f>IF(AND(ISNUMBER(Roster!$B192),Setup!$B$22="Yes",ISNUMBER(Setup!$C$22)),EDATE(Roster!$B192,12*Setup!$C$22),"")</f>
        <v/>
      </c>
      <c r="E192" s="32" t="str">
        <f>IF(AND(ISNUMBER(Roster!$B192),Setup!$B$23="Yes",ISNUMBER(Setup!$C$23)),EDATE(Roster!$B192,12*Setup!$C$23),"")</f>
        <v/>
      </c>
      <c r="F192" s="32" t="str">
        <f>IF(AND(ISNUMBER(Roster!$B192),Setup!$B$24="Yes",ISNUMBER(Setup!$C$24)),EDATE(Roster!$B192,12*Setup!$C$24),"")</f>
        <v/>
      </c>
      <c r="G192" s="32" t="str">
        <f>IF(AND(ISNUMBER(Roster!$B192),Setup!$B$25="Yes",ISNUMBER(Setup!$C$25)),EDATE(Roster!$B192,12*Setup!$C$25),"")</f>
        <v/>
      </c>
      <c r="H192" s="32" t="str">
        <f>IF(AND(ISNUMBER(Roster!$B192),Setup!$B$26="Yes",ISNUMBER(Setup!$C$26)),EDATE(Roster!$B192,12*Setup!$C$26),"")</f>
        <v/>
      </c>
      <c r="I192" s="32" t="str">
        <f>IF(AND(ISNUMBER(Roster!$B192),Setup!$B$27="Yes",ISNUMBER(Setup!$C$27)),EDATE(Roster!$B192,12*Setup!$C$27),"")</f>
        <v/>
      </c>
      <c r="J192" s="32" t="str">
        <f>IF(AND(ISNUMBER(Roster!$B192),Setup!$B$28="Yes",ISNUMBER(Setup!$C$28)),EDATE(Roster!$B192,12*Setup!$C$28),"")</f>
        <v/>
      </c>
      <c r="K192" s="32" t="str">
        <f>IF(AND(ISNUMBER(Roster!$B192),Setup!$B$29="Yes",ISNUMBER(Setup!$C$29)),EDATE(Roster!$B192,12*Setup!$C$29),"")</f>
        <v/>
      </c>
      <c r="L192" s="32" t="str">
        <f>IF(AND(ISNUMBER(Roster!$B192),Setup!$B$30="Yes",ISNUMBER(Setup!$C$30)),EDATE(Roster!$B192,12*Setup!$C$30),"")</f>
        <v/>
      </c>
      <c r="M192" s="32" t="str">
        <f>IF(AND(ISNUMBER(Roster!$B192),Setup!$B$31="Yes",ISNUMBER(Setup!$C$31)),EDATE(Roster!$B192,12*Setup!$C$31),"")</f>
        <v/>
      </c>
      <c r="N192" s="32" t="str">
        <f>IF(AND(ISNUMBER(Roster!$B192),Setup!$B$32="Yes",ISNUMBER(Setup!$C$32)),EDATE(Roster!$B192,12*Setup!$C$32),"")</f>
        <v/>
      </c>
      <c r="O192" s="32" t="str">
        <f>IF(AND(ISNUMBER(Roster!$B192),Setup!$B$33="Yes",ISNUMBER(Setup!$C$33)),EDATE(Roster!$B192,12*Setup!$C$33),"")</f>
        <v/>
      </c>
      <c r="P192" s="32" t="str">
        <f>IF(AND(ISNUMBER(Roster!$B192),Setup!$B$34="Yes",ISNUMBER(Setup!$C$34)),EDATE(Roster!$B192,12*Setup!$C$34),"")</f>
        <v/>
      </c>
      <c r="R192" t="str">
        <f>IF(B192="","",IF(B192&lt;Setup!$C$5-Setup!$C$6,"",IF(IF(ISNUMBER(Roster!$D192),Setup!$C$20&lt;=Roster!$D192,FALSE),"",IF(OR(IF(Setup!$C$15&lt;=Setup!$C$16,AND(MONTH(B192)&gt;=Setup!$C$15,MONTH(B192)&lt;=Setup!$C$16),OR(MONTH(B192)&gt;=Setup!$C$15,MONTH(B192)&lt;=Setup!$C$16)),IF(Setup!$C$15&lt;=Setup!$C$16,AND(MONTH(WORKDAY(B192,-(Setup!$C$13+Setup!$G$20),Setup!$C$39:$C$50))&gt;=Setup!$C$15,MONTH(WORKDAY(B192,-(Setup!$C$13+Setup!$G$20),Setup!$C$39:$C$50))&lt;=Setup!$C$16),OR(MONTH(WORKDAY(B192,-(Setup!$C$13+Setup!$G$20),Setup!$C$39:$C$50))&gt;=Setup!$C$15,MONTH(WORKDAY(B192,-(Setup!$C$13+Setup!$G$20),Setup!$C$39:$C$50))&lt;=Setup!$C$16))),WORKDAY(B192,-(Setup!$C$13+Setup!$G$20+Setup!$C$14),Setup!$C$39:$C$50),WORKDAY(B192,-(Setup!$C$13+Setup!$G$20),Setup!$C$39:$C$50))+(187*100+1)/10000000)))</f>
        <v/>
      </c>
      <c r="S192" t="str">
        <f>IF(C192="","",IF(C192&lt;Setup!$C$5-Setup!$C$6,"",IF(IF(ISNUMBER(Roster!$D192),Setup!$C$21&lt;=Roster!$D192,FALSE),"",IF(OR(IF(Setup!$C$15&lt;=Setup!$C$16,AND(MONTH(C192)&gt;=Setup!$C$15,MONTH(C192)&lt;=Setup!$C$16),OR(MONTH(C192)&gt;=Setup!$C$15,MONTH(C192)&lt;=Setup!$C$16)),IF(Setup!$C$15&lt;=Setup!$C$16,AND(MONTH(WORKDAY(C192,-(Setup!$C$13+Setup!$G$21),Setup!$C$39:$C$50))&gt;=Setup!$C$15,MONTH(WORKDAY(C192,-(Setup!$C$13+Setup!$G$21),Setup!$C$39:$C$50))&lt;=Setup!$C$16),OR(MONTH(WORKDAY(C192,-(Setup!$C$13+Setup!$G$21),Setup!$C$39:$C$50))&gt;=Setup!$C$15,MONTH(WORKDAY(C192,-(Setup!$C$13+Setup!$G$21),Setup!$C$39:$C$50))&lt;=Setup!$C$16))),WORKDAY(C192,-(Setup!$C$13+Setup!$G$21+Setup!$C$14),Setup!$C$39:$C$50),WORKDAY(C192,-(Setup!$C$13+Setup!$G$21),Setup!$C$39:$C$50))+(187*100+2)/10000000)))</f>
        <v/>
      </c>
      <c r="T192" t="str">
        <f>IF(D192="","",IF(D192&lt;Setup!$C$5-Setup!$C$6,"",IF(IF(ISNUMBER(Roster!$D192),Setup!$C$22&lt;=Roster!$D192,FALSE),"",IF(OR(IF(Setup!$C$15&lt;=Setup!$C$16,AND(MONTH(D192)&gt;=Setup!$C$15,MONTH(D192)&lt;=Setup!$C$16),OR(MONTH(D192)&gt;=Setup!$C$15,MONTH(D192)&lt;=Setup!$C$16)),IF(Setup!$C$15&lt;=Setup!$C$16,AND(MONTH(WORKDAY(D192,-(Setup!$C$13+Setup!$G$22),Setup!$C$39:$C$50))&gt;=Setup!$C$15,MONTH(WORKDAY(D192,-(Setup!$C$13+Setup!$G$22),Setup!$C$39:$C$50))&lt;=Setup!$C$16),OR(MONTH(WORKDAY(D192,-(Setup!$C$13+Setup!$G$22),Setup!$C$39:$C$50))&gt;=Setup!$C$15,MONTH(WORKDAY(D192,-(Setup!$C$13+Setup!$G$22),Setup!$C$39:$C$50))&lt;=Setup!$C$16))),WORKDAY(D192,-(Setup!$C$13+Setup!$G$22+Setup!$C$14),Setup!$C$39:$C$50),WORKDAY(D192,-(Setup!$C$13+Setup!$G$22),Setup!$C$39:$C$50))+(187*100+3)/10000000)))</f>
        <v/>
      </c>
      <c r="U192" t="str">
        <f>IF(E192="","",IF(E192&lt;Setup!$C$5-Setup!$C$6,"",IF(IF(ISNUMBER(Roster!$D192),Setup!$C$23&lt;=Roster!$D192,FALSE),"",IF(OR(IF(Setup!$C$15&lt;=Setup!$C$16,AND(MONTH(E192)&gt;=Setup!$C$15,MONTH(E192)&lt;=Setup!$C$16),OR(MONTH(E192)&gt;=Setup!$C$15,MONTH(E192)&lt;=Setup!$C$16)),IF(Setup!$C$15&lt;=Setup!$C$16,AND(MONTH(WORKDAY(E192,-(Setup!$C$13+Setup!$G$23),Setup!$C$39:$C$50))&gt;=Setup!$C$15,MONTH(WORKDAY(E192,-(Setup!$C$13+Setup!$G$23),Setup!$C$39:$C$50))&lt;=Setup!$C$16),OR(MONTH(WORKDAY(E192,-(Setup!$C$13+Setup!$G$23),Setup!$C$39:$C$50))&gt;=Setup!$C$15,MONTH(WORKDAY(E192,-(Setup!$C$13+Setup!$G$23),Setup!$C$39:$C$50))&lt;=Setup!$C$16))),WORKDAY(E192,-(Setup!$C$13+Setup!$G$23+Setup!$C$14),Setup!$C$39:$C$50),WORKDAY(E192,-(Setup!$C$13+Setup!$G$23),Setup!$C$39:$C$50))+(187*100+4)/10000000)))</f>
        <v/>
      </c>
      <c r="V192" t="str">
        <f>IF(F192="","",IF(F192&lt;Setup!$C$5-Setup!$C$6,"",IF(IF(ISNUMBER(Roster!$D192),Setup!$C$24&lt;=Roster!$D192,FALSE),"",IF(OR(IF(Setup!$C$15&lt;=Setup!$C$16,AND(MONTH(F192)&gt;=Setup!$C$15,MONTH(F192)&lt;=Setup!$C$16),OR(MONTH(F192)&gt;=Setup!$C$15,MONTH(F192)&lt;=Setup!$C$16)),IF(Setup!$C$15&lt;=Setup!$C$16,AND(MONTH(WORKDAY(F192,-(Setup!$C$13+Setup!$G$24),Setup!$C$39:$C$50))&gt;=Setup!$C$15,MONTH(WORKDAY(F192,-(Setup!$C$13+Setup!$G$24),Setup!$C$39:$C$50))&lt;=Setup!$C$16),OR(MONTH(WORKDAY(F192,-(Setup!$C$13+Setup!$G$24),Setup!$C$39:$C$50))&gt;=Setup!$C$15,MONTH(WORKDAY(F192,-(Setup!$C$13+Setup!$G$24),Setup!$C$39:$C$50))&lt;=Setup!$C$16))),WORKDAY(F192,-(Setup!$C$13+Setup!$G$24+Setup!$C$14),Setup!$C$39:$C$50),WORKDAY(F192,-(Setup!$C$13+Setup!$G$24),Setup!$C$39:$C$50))+(187*100+5)/10000000)))</f>
        <v/>
      </c>
      <c r="W192" t="str">
        <f>IF(G192="","",IF(G192&lt;Setup!$C$5-Setup!$C$6,"",IF(IF(ISNUMBER(Roster!$D192),Setup!$C$25&lt;=Roster!$D192,FALSE),"",IF(OR(IF(Setup!$C$15&lt;=Setup!$C$16,AND(MONTH(G192)&gt;=Setup!$C$15,MONTH(G192)&lt;=Setup!$C$16),OR(MONTH(G192)&gt;=Setup!$C$15,MONTH(G192)&lt;=Setup!$C$16)),IF(Setup!$C$15&lt;=Setup!$C$16,AND(MONTH(WORKDAY(G192,-(Setup!$C$13+Setup!$G$25),Setup!$C$39:$C$50))&gt;=Setup!$C$15,MONTH(WORKDAY(G192,-(Setup!$C$13+Setup!$G$25),Setup!$C$39:$C$50))&lt;=Setup!$C$16),OR(MONTH(WORKDAY(G192,-(Setup!$C$13+Setup!$G$25),Setup!$C$39:$C$50))&gt;=Setup!$C$15,MONTH(WORKDAY(G192,-(Setup!$C$13+Setup!$G$25),Setup!$C$39:$C$50))&lt;=Setup!$C$16))),WORKDAY(G192,-(Setup!$C$13+Setup!$G$25+Setup!$C$14),Setup!$C$39:$C$50),WORKDAY(G192,-(Setup!$C$13+Setup!$G$25),Setup!$C$39:$C$50))+(187*100+6)/10000000)))</f>
        <v/>
      </c>
      <c r="X192" t="str">
        <f>IF(H192="","",IF(H192&lt;Setup!$C$5-Setup!$C$6,"",IF(IF(ISNUMBER(Roster!$D192),Setup!$C$26&lt;=Roster!$D192,FALSE),"",IF(OR(IF(Setup!$C$15&lt;=Setup!$C$16,AND(MONTH(H192)&gt;=Setup!$C$15,MONTH(H192)&lt;=Setup!$C$16),OR(MONTH(H192)&gt;=Setup!$C$15,MONTH(H192)&lt;=Setup!$C$16)),IF(Setup!$C$15&lt;=Setup!$C$16,AND(MONTH(WORKDAY(H192,-(Setup!$C$13+Setup!$G$26),Setup!$C$39:$C$50))&gt;=Setup!$C$15,MONTH(WORKDAY(H192,-(Setup!$C$13+Setup!$G$26),Setup!$C$39:$C$50))&lt;=Setup!$C$16),OR(MONTH(WORKDAY(H192,-(Setup!$C$13+Setup!$G$26),Setup!$C$39:$C$50))&gt;=Setup!$C$15,MONTH(WORKDAY(H192,-(Setup!$C$13+Setup!$G$26),Setup!$C$39:$C$50))&lt;=Setup!$C$16))),WORKDAY(H192,-(Setup!$C$13+Setup!$G$26+Setup!$C$14),Setup!$C$39:$C$50),WORKDAY(H192,-(Setup!$C$13+Setup!$G$26),Setup!$C$39:$C$50))+(187*100+7)/10000000)))</f>
        <v/>
      </c>
      <c r="Y192" t="str">
        <f>IF(I192="","",IF(I192&lt;Setup!$C$5-Setup!$C$6,"",IF(IF(ISNUMBER(Roster!$D192),Setup!$C$27&lt;=Roster!$D192,FALSE),"",IF(OR(IF(Setup!$C$15&lt;=Setup!$C$16,AND(MONTH(I192)&gt;=Setup!$C$15,MONTH(I192)&lt;=Setup!$C$16),OR(MONTH(I192)&gt;=Setup!$C$15,MONTH(I192)&lt;=Setup!$C$16)),IF(Setup!$C$15&lt;=Setup!$C$16,AND(MONTH(WORKDAY(I192,-(Setup!$C$13+Setup!$G$27),Setup!$C$39:$C$50))&gt;=Setup!$C$15,MONTH(WORKDAY(I192,-(Setup!$C$13+Setup!$G$27),Setup!$C$39:$C$50))&lt;=Setup!$C$16),OR(MONTH(WORKDAY(I192,-(Setup!$C$13+Setup!$G$27),Setup!$C$39:$C$50))&gt;=Setup!$C$15,MONTH(WORKDAY(I192,-(Setup!$C$13+Setup!$G$27),Setup!$C$39:$C$50))&lt;=Setup!$C$16))),WORKDAY(I192,-(Setup!$C$13+Setup!$G$27+Setup!$C$14),Setup!$C$39:$C$50),WORKDAY(I192,-(Setup!$C$13+Setup!$G$27),Setup!$C$39:$C$50))+(187*100+8)/10000000)))</f>
        <v/>
      </c>
      <c r="Z192" t="str">
        <f>IF(J192="","",IF(J192&lt;Setup!$C$5-Setup!$C$6,"",IF(IF(ISNUMBER(Roster!$D192),Setup!$C$28&lt;=Roster!$D192,FALSE),"",IF(OR(IF(Setup!$C$15&lt;=Setup!$C$16,AND(MONTH(J192)&gt;=Setup!$C$15,MONTH(J192)&lt;=Setup!$C$16),OR(MONTH(J192)&gt;=Setup!$C$15,MONTH(J192)&lt;=Setup!$C$16)),IF(Setup!$C$15&lt;=Setup!$C$16,AND(MONTH(WORKDAY(J192,-(Setup!$C$13+Setup!$G$28),Setup!$C$39:$C$50))&gt;=Setup!$C$15,MONTH(WORKDAY(J192,-(Setup!$C$13+Setup!$G$28),Setup!$C$39:$C$50))&lt;=Setup!$C$16),OR(MONTH(WORKDAY(J192,-(Setup!$C$13+Setup!$G$28),Setup!$C$39:$C$50))&gt;=Setup!$C$15,MONTH(WORKDAY(J192,-(Setup!$C$13+Setup!$G$28),Setup!$C$39:$C$50))&lt;=Setup!$C$16))),WORKDAY(J192,-(Setup!$C$13+Setup!$G$28+Setup!$C$14),Setup!$C$39:$C$50),WORKDAY(J192,-(Setup!$C$13+Setup!$G$28),Setup!$C$39:$C$50))+(187*100+9)/10000000)))</f>
        <v/>
      </c>
      <c r="AA192" t="str">
        <f>IF(K192="","",IF(K192&lt;Setup!$C$5-Setup!$C$6,"",IF(IF(ISNUMBER(Roster!$D192),Setup!$C$29&lt;=Roster!$D192,FALSE),"",IF(OR(IF(Setup!$C$15&lt;=Setup!$C$16,AND(MONTH(K192)&gt;=Setup!$C$15,MONTH(K192)&lt;=Setup!$C$16),OR(MONTH(K192)&gt;=Setup!$C$15,MONTH(K192)&lt;=Setup!$C$16)),IF(Setup!$C$15&lt;=Setup!$C$16,AND(MONTH(WORKDAY(K192,-(Setup!$C$13+Setup!$G$29),Setup!$C$39:$C$50))&gt;=Setup!$C$15,MONTH(WORKDAY(K192,-(Setup!$C$13+Setup!$G$29),Setup!$C$39:$C$50))&lt;=Setup!$C$16),OR(MONTH(WORKDAY(K192,-(Setup!$C$13+Setup!$G$29),Setup!$C$39:$C$50))&gt;=Setup!$C$15,MONTH(WORKDAY(K192,-(Setup!$C$13+Setup!$G$29),Setup!$C$39:$C$50))&lt;=Setup!$C$16))),WORKDAY(K192,-(Setup!$C$13+Setup!$G$29+Setup!$C$14),Setup!$C$39:$C$50),WORKDAY(K192,-(Setup!$C$13+Setup!$G$29),Setup!$C$39:$C$50))+(187*100+10)/10000000)))</f>
        <v/>
      </c>
      <c r="AB192" t="str">
        <f>IF(L192="","",IF(L192&lt;Setup!$C$5-Setup!$C$6,"",IF(IF(ISNUMBER(Roster!$D192),Setup!$C$30&lt;=Roster!$D192,FALSE),"",IF(OR(IF(Setup!$C$15&lt;=Setup!$C$16,AND(MONTH(L192)&gt;=Setup!$C$15,MONTH(L192)&lt;=Setup!$C$16),OR(MONTH(L192)&gt;=Setup!$C$15,MONTH(L192)&lt;=Setup!$C$16)),IF(Setup!$C$15&lt;=Setup!$C$16,AND(MONTH(WORKDAY(L192,-(Setup!$C$13+Setup!$G$30),Setup!$C$39:$C$50))&gt;=Setup!$C$15,MONTH(WORKDAY(L192,-(Setup!$C$13+Setup!$G$30),Setup!$C$39:$C$50))&lt;=Setup!$C$16),OR(MONTH(WORKDAY(L192,-(Setup!$C$13+Setup!$G$30),Setup!$C$39:$C$50))&gt;=Setup!$C$15,MONTH(WORKDAY(L192,-(Setup!$C$13+Setup!$G$30),Setup!$C$39:$C$50))&lt;=Setup!$C$16))),WORKDAY(L192,-(Setup!$C$13+Setup!$G$30+Setup!$C$14),Setup!$C$39:$C$50),WORKDAY(L192,-(Setup!$C$13+Setup!$G$30),Setup!$C$39:$C$50))+(187*100+11)/10000000)))</f>
        <v/>
      </c>
      <c r="AC192" t="str">
        <f>IF(M192="","",IF(M192&lt;Setup!$C$5-Setup!$C$6,"",IF(IF(ISNUMBER(Roster!$D192),Setup!$C$31&lt;=Roster!$D192,FALSE),"",IF(OR(IF(Setup!$C$15&lt;=Setup!$C$16,AND(MONTH(M192)&gt;=Setup!$C$15,MONTH(M192)&lt;=Setup!$C$16),OR(MONTH(M192)&gt;=Setup!$C$15,MONTH(M192)&lt;=Setup!$C$16)),IF(Setup!$C$15&lt;=Setup!$C$16,AND(MONTH(WORKDAY(M192,-(Setup!$C$13+Setup!$G$31),Setup!$C$39:$C$50))&gt;=Setup!$C$15,MONTH(WORKDAY(M192,-(Setup!$C$13+Setup!$G$31),Setup!$C$39:$C$50))&lt;=Setup!$C$16),OR(MONTH(WORKDAY(M192,-(Setup!$C$13+Setup!$G$31),Setup!$C$39:$C$50))&gt;=Setup!$C$15,MONTH(WORKDAY(M192,-(Setup!$C$13+Setup!$G$31),Setup!$C$39:$C$50))&lt;=Setup!$C$16))),WORKDAY(M192,-(Setup!$C$13+Setup!$G$31+Setup!$C$14),Setup!$C$39:$C$50),WORKDAY(M192,-(Setup!$C$13+Setup!$G$31),Setup!$C$39:$C$50))+(187*100+12)/10000000)))</f>
        <v/>
      </c>
      <c r="AD192" t="str">
        <f>IF(N192="","",IF(N192&lt;Setup!$C$5-Setup!$C$6,"",IF(IF(ISNUMBER(Roster!$D192),Setup!$C$32&lt;=Roster!$D192,FALSE),"",IF(OR(IF(Setup!$C$15&lt;=Setup!$C$16,AND(MONTH(N192)&gt;=Setup!$C$15,MONTH(N192)&lt;=Setup!$C$16),OR(MONTH(N192)&gt;=Setup!$C$15,MONTH(N192)&lt;=Setup!$C$16)),IF(Setup!$C$15&lt;=Setup!$C$16,AND(MONTH(WORKDAY(N192,-(Setup!$C$13+Setup!$G$32),Setup!$C$39:$C$50))&gt;=Setup!$C$15,MONTH(WORKDAY(N192,-(Setup!$C$13+Setup!$G$32),Setup!$C$39:$C$50))&lt;=Setup!$C$16),OR(MONTH(WORKDAY(N192,-(Setup!$C$13+Setup!$G$32),Setup!$C$39:$C$50))&gt;=Setup!$C$15,MONTH(WORKDAY(N192,-(Setup!$C$13+Setup!$G$32),Setup!$C$39:$C$50))&lt;=Setup!$C$16))),WORKDAY(N192,-(Setup!$C$13+Setup!$G$32+Setup!$C$14),Setup!$C$39:$C$50),WORKDAY(N192,-(Setup!$C$13+Setup!$G$32),Setup!$C$39:$C$50))+(187*100+13)/10000000)))</f>
        <v/>
      </c>
      <c r="AE192" t="str">
        <f>IF(O192="","",IF(O192&lt;Setup!$C$5-Setup!$C$6,"",IF(IF(ISNUMBER(Roster!$D192),Setup!$C$33&lt;=Roster!$D192,FALSE),"",IF(OR(IF(Setup!$C$15&lt;=Setup!$C$16,AND(MONTH(O192)&gt;=Setup!$C$15,MONTH(O192)&lt;=Setup!$C$16),OR(MONTH(O192)&gt;=Setup!$C$15,MONTH(O192)&lt;=Setup!$C$16)),IF(Setup!$C$15&lt;=Setup!$C$16,AND(MONTH(WORKDAY(O192,-(Setup!$C$13+Setup!$G$33),Setup!$C$39:$C$50))&gt;=Setup!$C$15,MONTH(WORKDAY(O192,-(Setup!$C$13+Setup!$G$33),Setup!$C$39:$C$50))&lt;=Setup!$C$16),OR(MONTH(WORKDAY(O192,-(Setup!$C$13+Setup!$G$33),Setup!$C$39:$C$50))&gt;=Setup!$C$15,MONTH(WORKDAY(O192,-(Setup!$C$13+Setup!$G$33),Setup!$C$39:$C$50))&lt;=Setup!$C$16))),WORKDAY(O192,-(Setup!$C$13+Setup!$G$33+Setup!$C$14),Setup!$C$39:$C$50),WORKDAY(O192,-(Setup!$C$13+Setup!$G$33),Setup!$C$39:$C$50))+(187*100+14)/10000000)))</f>
        <v/>
      </c>
      <c r="AF192" t="str">
        <f>IF(P192="","",IF(P192&lt;Setup!$C$5-Setup!$C$6,"",IF(IF(ISNUMBER(Roster!$D192),Setup!$C$34&lt;=Roster!$D192,FALSE),"",IF(OR(IF(Setup!$C$15&lt;=Setup!$C$16,AND(MONTH(P192)&gt;=Setup!$C$15,MONTH(P192)&lt;=Setup!$C$16),OR(MONTH(P192)&gt;=Setup!$C$15,MONTH(P192)&lt;=Setup!$C$16)),IF(Setup!$C$15&lt;=Setup!$C$16,AND(MONTH(WORKDAY(P192,-(Setup!$C$13+Setup!$G$34),Setup!$C$39:$C$50))&gt;=Setup!$C$15,MONTH(WORKDAY(P192,-(Setup!$C$13+Setup!$G$34),Setup!$C$39:$C$50))&lt;=Setup!$C$16),OR(MONTH(WORKDAY(P192,-(Setup!$C$13+Setup!$G$34),Setup!$C$39:$C$50))&gt;=Setup!$C$15,MONTH(WORKDAY(P192,-(Setup!$C$13+Setup!$G$34),Setup!$C$39:$C$50))&lt;=Setup!$C$16))),WORKDAY(P192,-(Setup!$C$13+Setup!$G$34+Setup!$C$14),Setup!$C$39:$C$50),WORKDAY(P192,-(Setup!$C$13+Setup!$G$34),Setup!$C$39:$C$50))+(187*100+15)/10000000)))</f>
        <v/>
      </c>
      <c r="AH192" t="str">
        <f t="shared" si="17"/>
        <v/>
      </c>
      <c r="AI192" t="str">
        <f t="shared" si="18"/>
        <v/>
      </c>
      <c r="AK192" t="str">
        <f ca="1">IF(187&gt;$AK$2,"",SMALL($R$6:$AF$505,187))</f>
        <v/>
      </c>
      <c r="AL192" t="str">
        <f t="shared" ca="1" si="19"/>
        <v/>
      </c>
      <c r="AM192" t="str">
        <f t="shared" ca="1" si="20"/>
        <v/>
      </c>
      <c r="AN192" t="str">
        <f t="shared" ca="1" si="21"/>
        <v/>
      </c>
      <c r="AP192" t="str">
        <f>IF(ISNUMBER(Roster!$B192),MAX(1,YEAR(Setup!$C$5)-YEAR(Roster!$B192)+IF(EDATE(Roster!$B192,12*(YEAR(Setup!$C$5)-YEAR(Roster!$B192)))&lt;Setup!$C$5,1,0)),"")</f>
        <v/>
      </c>
      <c r="AQ192" s="32" t="str">
        <f>IF(AP192="","",EDATE(Roster!$B192,12*AP192))</f>
        <v/>
      </c>
      <c r="AR192" t="str">
        <f>IF(AQ192="","",IF(AQ192&lt;DATE(YEAR(Setup!$C$5)+1,MONTH(Setup!$C$5),DAY(Setup!$C$5)),AQ192+187/1000,""))</f>
        <v/>
      </c>
      <c r="AS192" t="str">
        <f t="shared" si="22"/>
        <v/>
      </c>
      <c r="AT192" t="str">
        <f>IF(AS192="","",IF(ISNUMBER(Roster!$D192),Roster!$D192&gt;=AP192,FALSE))</f>
        <v/>
      </c>
      <c r="AU192" t="str">
        <f t="shared" si="23"/>
        <v/>
      </c>
      <c r="AV192" t="str">
        <f ca="1">IF(187&gt;$AV$2,"",SMALL($AR$6:$AR$505,187))</f>
        <v/>
      </c>
      <c r="AW192" t="str">
        <f t="shared" ca="1" si="24"/>
        <v/>
      </c>
    </row>
    <row r="193" spans="2:49" x14ac:dyDescent="0.2">
      <c r="B193" s="32" t="str">
        <f>IF(AND(ISNUMBER(Roster!$B193),Setup!$B$20="Yes",ISNUMBER(Setup!$C$20)),EDATE(Roster!$B193,12*Setup!$C$20),"")</f>
        <v/>
      </c>
      <c r="C193" s="32" t="str">
        <f>IF(AND(ISNUMBER(Roster!$B193),Setup!$B$21="Yes",ISNUMBER(Setup!$C$21)),EDATE(Roster!$B193,12*Setup!$C$21),"")</f>
        <v/>
      </c>
      <c r="D193" s="32" t="str">
        <f>IF(AND(ISNUMBER(Roster!$B193),Setup!$B$22="Yes",ISNUMBER(Setup!$C$22)),EDATE(Roster!$B193,12*Setup!$C$22),"")</f>
        <v/>
      </c>
      <c r="E193" s="32" t="str">
        <f>IF(AND(ISNUMBER(Roster!$B193),Setup!$B$23="Yes",ISNUMBER(Setup!$C$23)),EDATE(Roster!$B193,12*Setup!$C$23),"")</f>
        <v/>
      </c>
      <c r="F193" s="32" t="str">
        <f>IF(AND(ISNUMBER(Roster!$B193),Setup!$B$24="Yes",ISNUMBER(Setup!$C$24)),EDATE(Roster!$B193,12*Setup!$C$24),"")</f>
        <v/>
      </c>
      <c r="G193" s="32" t="str">
        <f>IF(AND(ISNUMBER(Roster!$B193),Setup!$B$25="Yes",ISNUMBER(Setup!$C$25)),EDATE(Roster!$B193,12*Setup!$C$25),"")</f>
        <v/>
      </c>
      <c r="H193" s="32" t="str">
        <f>IF(AND(ISNUMBER(Roster!$B193),Setup!$B$26="Yes",ISNUMBER(Setup!$C$26)),EDATE(Roster!$B193,12*Setup!$C$26),"")</f>
        <v/>
      </c>
      <c r="I193" s="32" t="str">
        <f>IF(AND(ISNUMBER(Roster!$B193),Setup!$B$27="Yes",ISNUMBER(Setup!$C$27)),EDATE(Roster!$B193,12*Setup!$C$27),"")</f>
        <v/>
      </c>
      <c r="J193" s="32" t="str">
        <f>IF(AND(ISNUMBER(Roster!$B193),Setup!$B$28="Yes",ISNUMBER(Setup!$C$28)),EDATE(Roster!$B193,12*Setup!$C$28),"")</f>
        <v/>
      </c>
      <c r="K193" s="32" t="str">
        <f>IF(AND(ISNUMBER(Roster!$B193),Setup!$B$29="Yes",ISNUMBER(Setup!$C$29)),EDATE(Roster!$B193,12*Setup!$C$29),"")</f>
        <v/>
      </c>
      <c r="L193" s="32" t="str">
        <f>IF(AND(ISNUMBER(Roster!$B193),Setup!$B$30="Yes",ISNUMBER(Setup!$C$30)),EDATE(Roster!$B193,12*Setup!$C$30),"")</f>
        <v/>
      </c>
      <c r="M193" s="32" t="str">
        <f>IF(AND(ISNUMBER(Roster!$B193),Setup!$B$31="Yes",ISNUMBER(Setup!$C$31)),EDATE(Roster!$B193,12*Setup!$C$31),"")</f>
        <v/>
      </c>
      <c r="N193" s="32" t="str">
        <f>IF(AND(ISNUMBER(Roster!$B193),Setup!$B$32="Yes",ISNUMBER(Setup!$C$32)),EDATE(Roster!$B193,12*Setup!$C$32),"")</f>
        <v/>
      </c>
      <c r="O193" s="32" t="str">
        <f>IF(AND(ISNUMBER(Roster!$B193),Setup!$B$33="Yes",ISNUMBER(Setup!$C$33)),EDATE(Roster!$B193,12*Setup!$C$33),"")</f>
        <v/>
      </c>
      <c r="P193" s="32" t="str">
        <f>IF(AND(ISNUMBER(Roster!$B193),Setup!$B$34="Yes",ISNUMBER(Setup!$C$34)),EDATE(Roster!$B193,12*Setup!$C$34),"")</f>
        <v/>
      </c>
      <c r="R193" t="str">
        <f>IF(B193="","",IF(B193&lt;Setup!$C$5-Setup!$C$6,"",IF(IF(ISNUMBER(Roster!$D193),Setup!$C$20&lt;=Roster!$D193,FALSE),"",IF(OR(IF(Setup!$C$15&lt;=Setup!$C$16,AND(MONTH(B193)&gt;=Setup!$C$15,MONTH(B193)&lt;=Setup!$C$16),OR(MONTH(B193)&gt;=Setup!$C$15,MONTH(B193)&lt;=Setup!$C$16)),IF(Setup!$C$15&lt;=Setup!$C$16,AND(MONTH(WORKDAY(B193,-(Setup!$C$13+Setup!$G$20),Setup!$C$39:$C$50))&gt;=Setup!$C$15,MONTH(WORKDAY(B193,-(Setup!$C$13+Setup!$G$20),Setup!$C$39:$C$50))&lt;=Setup!$C$16),OR(MONTH(WORKDAY(B193,-(Setup!$C$13+Setup!$G$20),Setup!$C$39:$C$50))&gt;=Setup!$C$15,MONTH(WORKDAY(B193,-(Setup!$C$13+Setup!$G$20),Setup!$C$39:$C$50))&lt;=Setup!$C$16))),WORKDAY(B193,-(Setup!$C$13+Setup!$G$20+Setup!$C$14),Setup!$C$39:$C$50),WORKDAY(B193,-(Setup!$C$13+Setup!$G$20),Setup!$C$39:$C$50))+(188*100+1)/10000000)))</f>
        <v/>
      </c>
      <c r="S193" t="str">
        <f>IF(C193="","",IF(C193&lt;Setup!$C$5-Setup!$C$6,"",IF(IF(ISNUMBER(Roster!$D193),Setup!$C$21&lt;=Roster!$D193,FALSE),"",IF(OR(IF(Setup!$C$15&lt;=Setup!$C$16,AND(MONTH(C193)&gt;=Setup!$C$15,MONTH(C193)&lt;=Setup!$C$16),OR(MONTH(C193)&gt;=Setup!$C$15,MONTH(C193)&lt;=Setup!$C$16)),IF(Setup!$C$15&lt;=Setup!$C$16,AND(MONTH(WORKDAY(C193,-(Setup!$C$13+Setup!$G$21),Setup!$C$39:$C$50))&gt;=Setup!$C$15,MONTH(WORKDAY(C193,-(Setup!$C$13+Setup!$G$21),Setup!$C$39:$C$50))&lt;=Setup!$C$16),OR(MONTH(WORKDAY(C193,-(Setup!$C$13+Setup!$G$21),Setup!$C$39:$C$50))&gt;=Setup!$C$15,MONTH(WORKDAY(C193,-(Setup!$C$13+Setup!$G$21),Setup!$C$39:$C$50))&lt;=Setup!$C$16))),WORKDAY(C193,-(Setup!$C$13+Setup!$G$21+Setup!$C$14),Setup!$C$39:$C$50),WORKDAY(C193,-(Setup!$C$13+Setup!$G$21),Setup!$C$39:$C$50))+(188*100+2)/10000000)))</f>
        <v/>
      </c>
      <c r="T193" t="str">
        <f>IF(D193="","",IF(D193&lt;Setup!$C$5-Setup!$C$6,"",IF(IF(ISNUMBER(Roster!$D193),Setup!$C$22&lt;=Roster!$D193,FALSE),"",IF(OR(IF(Setup!$C$15&lt;=Setup!$C$16,AND(MONTH(D193)&gt;=Setup!$C$15,MONTH(D193)&lt;=Setup!$C$16),OR(MONTH(D193)&gt;=Setup!$C$15,MONTH(D193)&lt;=Setup!$C$16)),IF(Setup!$C$15&lt;=Setup!$C$16,AND(MONTH(WORKDAY(D193,-(Setup!$C$13+Setup!$G$22),Setup!$C$39:$C$50))&gt;=Setup!$C$15,MONTH(WORKDAY(D193,-(Setup!$C$13+Setup!$G$22),Setup!$C$39:$C$50))&lt;=Setup!$C$16),OR(MONTH(WORKDAY(D193,-(Setup!$C$13+Setup!$G$22),Setup!$C$39:$C$50))&gt;=Setup!$C$15,MONTH(WORKDAY(D193,-(Setup!$C$13+Setup!$G$22),Setup!$C$39:$C$50))&lt;=Setup!$C$16))),WORKDAY(D193,-(Setup!$C$13+Setup!$G$22+Setup!$C$14),Setup!$C$39:$C$50),WORKDAY(D193,-(Setup!$C$13+Setup!$G$22),Setup!$C$39:$C$50))+(188*100+3)/10000000)))</f>
        <v/>
      </c>
      <c r="U193" t="str">
        <f>IF(E193="","",IF(E193&lt;Setup!$C$5-Setup!$C$6,"",IF(IF(ISNUMBER(Roster!$D193),Setup!$C$23&lt;=Roster!$D193,FALSE),"",IF(OR(IF(Setup!$C$15&lt;=Setup!$C$16,AND(MONTH(E193)&gt;=Setup!$C$15,MONTH(E193)&lt;=Setup!$C$16),OR(MONTH(E193)&gt;=Setup!$C$15,MONTH(E193)&lt;=Setup!$C$16)),IF(Setup!$C$15&lt;=Setup!$C$16,AND(MONTH(WORKDAY(E193,-(Setup!$C$13+Setup!$G$23),Setup!$C$39:$C$50))&gt;=Setup!$C$15,MONTH(WORKDAY(E193,-(Setup!$C$13+Setup!$G$23),Setup!$C$39:$C$50))&lt;=Setup!$C$16),OR(MONTH(WORKDAY(E193,-(Setup!$C$13+Setup!$G$23),Setup!$C$39:$C$50))&gt;=Setup!$C$15,MONTH(WORKDAY(E193,-(Setup!$C$13+Setup!$G$23),Setup!$C$39:$C$50))&lt;=Setup!$C$16))),WORKDAY(E193,-(Setup!$C$13+Setup!$G$23+Setup!$C$14),Setup!$C$39:$C$50),WORKDAY(E193,-(Setup!$C$13+Setup!$G$23),Setup!$C$39:$C$50))+(188*100+4)/10000000)))</f>
        <v/>
      </c>
      <c r="V193" t="str">
        <f>IF(F193="","",IF(F193&lt;Setup!$C$5-Setup!$C$6,"",IF(IF(ISNUMBER(Roster!$D193),Setup!$C$24&lt;=Roster!$D193,FALSE),"",IF(OR(IF(Setup!$C$15&lt;=Setup!$C$16,AND(MONTH(F193)&gt;=Setup!$C$15,MONTH(F193)&lt;=Setup!$C$16),OR(MONTH(F193)&gt;=Setup!$C$15,MONTH(F193)&lt;=Setup!$C$16)),IF(Setup!$C$15&lt;=Setup!$C$16,AND(MONTH(WORKDAY(F193,-(Setup!$C$13+Setup!$G$24),Setup!$C$39:$C$50))&gt;=Setup!$C$15,MONTH(WORKDAY(F193,-(Setup!$C$13+Setup!$G$24),Setup!$C$39:$C$50))&lt;=Setup!$C$16),OR(MONTH(WORKDAY(F193,-(Setup!$C$13+Setup!$G$24),Setup!$C$39:$C$50))&gt;=Setup!$C$15,MONTH(WORKDAY(F193,-(Setup!$C$13+Setup!$G$24),Setup!$C$39:$C$50))&lt;=Setup!$C$16))),WORKDAY(F193,-(Setup!$C$13+Setup!$G$24+Setup!$C$14),Setup!$C$39:$C$50),WORKDAY(F193,-(Setup!$C$13+Setup!$G$24),Setup!$C$39:$C$50))+(188*100+5)/10000000)))</f>
        <v/>
      </c>
      <c r="W193" t="str">
        <f>IF(G193="","",IF(G193&lt;Setup!$C$5-Setup!$C$6,"",IF(IF(ISNUMBER(Roster!$D193),Setup!$C$25&lt;=Roster!$D193,FALSE),"",IF(OR(IF(Setup!$C$15&lt;=Setup!$C$16,AND(MONTH(G193)&gt;=Setup!$C$15,MONTH(G193)&lt;=Setup!$C$16),OR(MONTH(G193)&gt;=Setup!$C$15,MONTH(G193)&lt;=Setup!$C$16)),IF(Setup!$C$15&lt;=Setup!$C$16,AND(MONTH(WORKDAY(G193,-(Setup!$C$13+Setup!$G$25),Setup!$C$39:$C$50))&gt;=Setup!$C$15,MONTH(WORKDAY(G193,-(Setup!$C$13+Setup!$G$25),Setup!$C$39:$C$50))&lt;=Setup!$C$16),OR(MONTH(WORKDAY(G193,-(Setup!$C$13+Setup!$G$25),Setup!$C$39:$C$50))&gt;=Setup!$C$15,MONTH(WORKDAY(G193,-(Setup!$C$13+Setup!$G$25),Setup!$C$39:$C$50))&lt;=Setup!$C$16))),WORKDAY(G193,-(Setup!$C$13+Setup!$G$25+Setup!$C$14),Setup!$C$39:$C$50),WORKDAY(G193,-(Setup!$C$13+Setup!$G$25),Setup!$C$39:$C$50))+(188*100+6)/10000000)))</f>
        <v/>
      </c>
      <c r="X193" t="str">
        <f>IF(H193="","",IF(H193&lt;Setup!$C$5-Setup!$C$6,"",IF(IF(ISNUMBER(Roster!$D193),Setup!$C$26&lt;=Roster!$D193,FALSE),"",IF(OR(IF(Setup!$C$15&lt;=Setup!$C$16,AND(MONTH(H193)&gt;=Setup!$C$15,MONTH(H193)&lt;=Setup!$C$16),OR(MONTH(H193)&gt;=Setup!$C$15,MONTH(H193)&lt;=Setup!$C$16)),IF(Setup!$C$15&lt;=Setup!$C$16,AND(MONTH(WORKDAY(H193,-(Setup!$C$13+Setup!$G$26),Setup!$C$39:$C$50))&gt;=Setup!$C$15,MONTH(WORKDAY(H193,-(Setup!$C$13+Setup!$G$26),Setup!$C$39:$C$50))&lt;=Setup!$C$16),OR(MONTH(WORKDAY(H193,-(Setup!$C$13+Setup!$G$26),Setup!$C$39:$C$50))&gt;=Setup!$C$15,MONTH(WORKDAY(H193,-(Setup!$C$13+Setup!$G$26),Setup!$C$39:$C$50))&lt;=Setup!$C$16))),WORKDAY(H193,-(Setup!$C$13+Setup!$G$26+Setup!$C$14),Setup!$C$39:$C$50),WORKDAY(H193,-(Setup!$C$13+Setup!$G$26),Setup!$C$39:$C$50))+(188*100+7)/10000000)))</f>
        <v/>
      </c>
      <c r="Y193" t="str">
        <f>IF(I193="","",IF(I193&lt;Setup!$C$5-Setup!$C$6,"",IF(IF(ISNUMBER(Roster!$D193),Setup!$C$27&lt;=Roster!$D193,FALSE),"",IF(OR(IF(Setup!$C$15&lt;=Setup!$C$16,AND(MONTH(I193)&gt;=Setup!$C$15,MONTH(I193)&lt;=Setup!$C$16),OR(MONTH(I193)&gt;=Setup!$C$15,MONTH(I193)&lt;=Setup!$C$16)),IF(Setup!$C$15&lt;=Setup!$C$16,AND(MONTH(WORKDAY(I193,-(Setup!$C$13+Setup!$G$27),Setup!$C$39:$C$50))&gt;=Setup!$C$15,MONTH(WORKDAY(I193,-(Setup!$C$13+Setup!$G$27),Setup!$C$39:$C$50))&lt;=Setup!$C$16),OR(MONTH(WORKDAY(I193,-(Setup!$C$13+Setup!$G$27),Setup!$C$39:$C$50))&gt;=Setup!$C$15,MONTH(WORKDAY(I193,-(Setup!$C$13+Setup!$G$27),Setup!$C$39:$C$50))&lt;=Setup!$C$16))),WORKDAY(I193,-(Setup!$C$13+Setup!$G$27+Setup!$C$14),Setup!$C$39:$C$50),WORKDAY(I193,-(Setup!$C$13+Setup!$G$27),Setup!$C$39:$C$50))+(188*100+8)/10000000)))</f>
        <v/>
      </c>
      <c r="Z193" t="str">
        <f>IF(J193="","",IF(J193&lt;Setup!$C$5-Setup!$C$6,"",IF(IF(ISNUMBER(Roster!$D193),Setup!$C$28&lt;=Roster!$D193,FALSE),"",IF(OR(IF(Setup!$C$15&lt;=Setup!$C$16,AND(MONTH(J193)&gt;=Setup!$C$15,MONTH(J193)&lt;=Setup!$C$16),OR(MONTH(J193)&gt;=Setup!$C$15,MONTH(J193)&lt;=Setup!$C$16)),IF(Setup!$C$15&lt;=Setup!$C$16,AND(MONTH(WORKDAY(J193,-(Setup!$C$13+Setup!$G$28),Setup!$C$39:$C$50))&gt;=Setup!$C$15,MONTH(WORKDAY(J193,-(Setup!$C$13+Setup!$G$28),Setup!$C$39:$C$50))&lt;=Setup!$C$16),OR(MONTH(WORKDAY(J193,-(Setup!$C$13+Setup!$G$28),Setup!$C$39:$C$50))&gt;=Setup!$C$15,MONTH(WORKDAY(J193,-(Setup!$C$13+Setup!$G$28),Setup!$C$39:$C$50))&lt;=Setup!$C$16))),WORKDAY(J193,-(Setup!$C$13+Setup!$G$28+Setup!$C$14),Setup!$C$39:$C$50),WORKDAY(J193,-(Setup!$C$13+Setup!$G$28),Setup!$C$39:$C$50))+(188*100+9)/10000000)))</f>
        <v/>
      </c>
      <c r="AA193" t="str">
        <f>IF(K193="","",IF(K193&lt;Setup!$C$5-Setup!$C$6,"",IF(IF(ISNUMBER(Roster!$D193),Setup!$C$29&lt;=Roster!$D193,FALSE),"",IF(OR(IF(Setup!$C$15&lt;=Setup!$C$16,AND(MONTH(K193)&gt;=Setup!$C$15,MONTH(K193)&lt;=Setup!$C$16),OR(MONTH(K193)&gt;=Setup!$C$15,MONTH(K193)&lt;=Setup!$C$16)),IF(Setup!$C$15&lt;=Setup!$C$16,AND(MONTH(WORKDAY(K193,-(Setup!$C$13+Setup!$G$29),Setup!$C$39:$C$50))&gt;=Setup!$C$15,MONTH(WORKDAY(K193,-(Setup!$C$13+Setup!$G$29),Setup!$C$39:$C$50))&lt;=Setup!$C$16),OR(MONTH(WORKDAY(K193,-(Setup!$C$13+Setup!$G$29),Setup!$C$39:$C$50))&gt;=Setup!$C$15,MONTH(WORKDAY(K193,-(Setup!$C$13+Setup!$G$29),Setup!$C$39:$C$50))&lt;=Setup!$C$16))),WORKDAY(K193,-(Setup!$C$13+Setup!$G$29+Setup!$C$14),Setup!$C$39:$C$50),WORKDAY(K193,-(Setup!$C$13+Setup!$G$29),Setup!$C$39:$C$50))+(188*100+10)/10000000)))</f>
        <v/>
      </c>
      <c r="AB193" t="str">
        <f>IF(L193="","",IF(L193&lt;Setup!$C$5-Setup!$C$6,"",IF(IF(ISNUMBER(Roster!$D193),Setup!$C$30&lt;=Roster!$D193,FALSE),"",IF(OR(IF(Setup!$C$15&lt;=Setup!$C$16,AND(MONTH(L193)&gt;=Setup!$C$15,MONTH(L193)&lt;=Setup!$C$16),OR(MONTH(L193)&gt;=Setup!$C$15,MONTH(L193)&lt;=Setup!$C$16)),IF(Setup!$C$15&lt;=Setup!$C$16,AND(MONTH(WORKDAY(L193,-(Setup!$C$13+Setup!$G$30),Setup!$C$39:$C$50))&gt;=Setup!$C$15,MONTH(WORKDAY(L193,-(Setup!$C$13+Setup!$G$30),Setup!$C$39:$C$50))&lt;=Setup!$C$16),OR(MONTH(WORKDAY(L193,-(Setup!$C$13+Setup!$G$30),Setup!$C$39:$C$50))&gt;=Setup!$C$15,MONTH(WORKDAY(L193,-(Setup!$C$13+Setup!$G$30),Setup!$C$39:$C$50))&lt;=Setup!$C$16))),WORKDAY(L193,-(Setup!$C$13+Setup!$G$30+Setup!$C$14),Setup!$C$39:$C$50),WORKDAY(L193,-(Setup!$C$13+Setup!$G$30),Setup!$C$39:$C$50))+(188*100+11)/10000000)))</f>
        <v/>
      </c>
      <c r="AC193" t="str">
        <f>IF(M193="","",IF(M193&lt;Setup!$C$5-Setup!$C$6,"",IF(IF(ISNUMBER(Roster!$D193),Setup!$C$31&lt;=Roster!$D193,FALSE),"",IF(OR(IF(Setup!$C$15&lt;=Setup!$C$16,AND(MONTH(M193)&gt;=Setup!$C$15,MONTH(M193)&lt;=Setup!$C$16),OR(MONTH(M193)&gt;=Setup!$C$15,MONTH(M193)&lt;=Setup!$C$16)),IF(Setup!$C$15&lt;=Setup!$C$16,AND(MONTH(WORKDAY(M193,-(Setup!$C$13+Setup!$G$31),Setup!$C$39:$C$50))&gt;=Setup!$C$15,MONTH(WORKDAY(M193,-(Setup!$C$13+Setup!$G$31),Setup!$C$39:$C$50))&lt;=Setup!$C$16),OR(MONTH(WORKDAY(M193,-(Setup!$C$13+Setup!$G$31),Setup!$C$39:$C$50))&gt;=Setup!$C$15,MONTH(WORKDAY(M193,-(Setup!$C$13+Setup!$G$31),Setup!$C$39:$C$50))&lt;=Setup!$C$16))),WORKDAY(M193,-(Setup!$C$13+Setup!$G$31+Setup!$C$14),Setup!$C$39:$C$50),WORKDAY(M193,-(Setup!$C$13+Setup!$G$31),Setup!$C$39:$C$50))+(188*100+12)/10000000)))</f>
        <v/>
      </c>
      <c r="AD193" t="str">
        <f>IF(N193="","",IF(N193&lt;Setup!$C$5-Setup!$C$6,"",IF(IF(ISNUMBER(Roster!$D193),Setup!$C$32&lt;=Roster!$D193,FALSE),"",IF(OR(IF(Setup!$C$15&lt;=Setup!$C$16,AND(MONTH(N193)&gt;=Setup!$C$15,MONTH(N193)&lt;=Setup!$C$16),OR(MONTH(N193)&gt;=Setup!$C$15,MONTH(N193)&lt;=Setup!$C$16)),IF(Setup!$C$15&lt;=Setup!$C$16,AND(MONTH(WORKDAY(N193,-(Setup!$C$13+Setup!$G$32),Setup!$C$39:$C$50))&gt;=Setup!$C$15,MONTH(WORKDAY(N193,-(Setup!$C$13+Setup!$G$32),Setup!$C$39:$C$50))&lt;=Setup!$C$16),OR(MONTH(WORKDAY(N193,-(Setup!$C$13+Setup!$G$32),Setup!$C$39:$C$50))&gt;=Setup!$C$15,MONTH(WORKDAY(N193,-(Setup!$C$13+Setup!$G$32),Setup!$C$39:$C$50))&lt;=Setup!$C$16))),WORKDAY(N193,-(Setup!$C$13+Setup!$G$32+Setup!$C$14),Setup!$C$39:$C$50),WORKDAY(N193,-(Setup!$C$13+Setup!$G$32),Setup!$C$39:$C$50))+(188*100+13)/10000000)))</f>
        <v/>
      </c>
      <c r="AE193" t="str">
        <f>IF(O193="","",IF(O193&lt;Setup!$C$5-Setup!$C$6,"",IF(IF(ISNUMBER(Roster!$D193),Setup!$C$33&lt;=Roster!$D193,FALSE),"",IF(OR(IF(Setup!$C$15&lt;=Setup!$C$16,AND(MONTH(O193)&gt;=Setup!$C$15,MONTH(O193)&lt;=Setup!$C$16),OR(MONTH(O193)&gt;=Setup!$C$15,MONTH(O193)&lt;=Setup!$C$16)),IF(Setup!$C$15&lt;=Setup!$C$16,AND(MONTH(WORKDAY(O193,-(Setup!$C$13+Setup!$G$33),Setup!$C$39:$C$50))&gt;=Setup!$C$15,MONTH(WORKDAY(O193,-(Setup!$C$13+Setup!$G$33),Setup!$C$39:$C$50))&lt;=Setup!$C$16),OR(MONTH(WORKDAY(O193,-(Setup!$C$13+Setup!$G$33),Setup!$C$39:$C$50))&gt;=Setup!$C$15,MONTH(WORKDAY(O193,-(Setup!$C$13+Setup!$G$33),Setup!$C$39:$C$50))&lt;=Setup!$C$16))),WORKDAY(O193,-(Setup!$C$13+Setup!$G$33+Setup!$C$14),Setup!$C$39:$C$50),WORKDAY(O193,-(Setup!$C$13+Setup!$G$33),Setup!$C$39:$C$50))+(188*100+14)/10000000)))</f>
        <v/>
      </c>
      <c r="AF193" t="str">
        <f>IF(P193="","",IF(P193&lt;Setup!$C$5-Setup!$C$6,"",IF(IF(ISNUMBER(Roster!$D193),Setup!$C$34&lt;=Roster!$D193,FALSE),"",IF(OR(IF(Setup!$C$15&lt;=Setup!$C$16,AND(MONTH(P193)&gt;=Setup!$C$15,MONTH(P193)&lt;=Setup!$C$16),OR(MONTH(P193)&gt;=Setup!$C$15,MONTH(P193)&lt;=Setup!$C$16)),IF(Setup!$C$15&lt;=Setup!$C$16,AND(MONTH(WORKDAY(P193,-(Setup!$C$13+Setup!$G$34),Setup!$C$39:$C$50))&gt;=Setup!$C$15,MONTH(WORKDAY(P193,-(Setup!$C$13+Setup!$G$34),Setup!$C$39:$C$50))&lt;=Setup!$C$16),OR(MONTH(WORKDAY(P193,-(Setup!$C$13+Setup!$G$34),Setup!$C$39:$C$50))&gt;=Setup!$C$15,MONTH(WORKDAY(P193,-(Setup!$C$13+Setup!$G$34),Setup!$C$39:$C$50))&lt;=Setup!$C$16))),WORKDAY(P193,-(Setup!$C$13+Setup!$G$34+Setup!$C$14),Setup!$C$39:$C$50),WORKDAY(P193,-(Setup!$C$13+Setup!$G$34),Setup!$C$39:$C$50))+(188*100+15)/10000000)))</f>
        <v/>
      </c>
      <c r="AH193" t="str">
        <f t="shared" si="17"/>
        <v/>
      </c>
      <c r="AI193" t="str">
        <f t="shared" si="18"/>
        <v/>
      </c>
      <c r="AK193" t="str">
        <f ca="1">IF(188&gt;$AK$2,"",SMALL($R$6:$AF$505,188))</f>
        <v/>
      </c>
      <c r="AL193" t="str">
        <f t="shared" ca="1" si="19"/>
        <v/>
      </c>
      <c r="AM193" t="str">
        <f t="shared" ca="1" si="20"/>
        <v/>
      </c>
      <c r="AN193" t="str">
        <f t="shared" ca="1" si="21"/>
        <v/>
      </c>
      <c r="AP193" t="str">
        <f>IF(ISNUMBER(Roster!$B193),MAX(1,YEAR(Setup!$C$5)-YEAR(Roster!$B193)+IF(EDATE(Roster!$B193,12*(YEAR(Setup!$C$5)-YEAR(Roster!$B193)))&lt;Setup!$C$5,1,0)),"")</f>
        <v/>
      </c>
      <c r="AQ193" s="32" t="str">
        <f>IF(AP193="","",EDATE(Roster!$B193,12*AP193))</f>
        <v/>
      </c>
      <c r="AR193" t="str">
        <f>IF(AQ193="","",IF(AQ193&lt;DATE(YEAR(Setup!$C$5)+1,MONTH(Setup!$C$5),DAY(Setup!$C$5)),AQ193+188/1000,""))</f>
        <v/>
      </c>
      <c r="AS193" t="str">
        <f t="shared" si="22"/>
        <v/>
      </c>
      <c r="AT193" t="str">
        <f>IF(AS193="","",IF(ISNUMBER(Roster!$D193),Roster!$D193&gt;=AP193,FALSE))</f>
        <v/>
      </c>
      <c r="AU193" t="str">
        <f t="shared" si="23"/>
        <v/>
      </c>
      <c r="AV193" t="str">
        <f ca="1">IF(188&gt;$AV$2,"",SMALL($AR$6:$AR$505,188))</f>
        <v/>
      </c>
      <c r="AW193" t="str">
        <f t="shared" ca="1" si="24"/>
        <v/>
      </c>
    </row>
    <row r="194" spans="2:49" x14ac:dyDescent="0.2">
      <c r="B194" s="32" t="str">
        <f>IF(AND(ISNUMBER(Roster!$B194),Setup!$B$20="Yes",ISNUMBER(Setup!$C$20)),EDATE(Roster!$B194,12*Setup!$C$20),"")</f>
        <v/>
      </c>
      <c r="C194" s="32" t="str">
        <f>IF(AND(ISNUMBER(Roster!$B194),Setup!$B$21="Yes",ISNUMBER(Setup!$C$21)),EDATE(Roster!$B194,12*Setup!$C$21),"")</f>
        <v/>
      </c>
      <c r="D194" s="32" t="str">
        <f>IF(AND(ISNUMBER(Roster!$B194),Setup!$B$22="Yes",ISNUMBER(Setup!$C$22)),EDATE(Roster!$B194,12*Setup!$C$22),"")</f>
        <v/>
      </c>
      <c r="E194" s="32" t="str">
        <f>IF(AND(ISNUMBER(Roster!$B194),Setup!$B$23="Yes",ISNUMBER(Setup!$C$23)),EDATE(Roster!$B194,12*Setup!$C$23),"")</f>
        <v/>
      </c>
      <c r="F194" s="32" t="str">
        <f>IF(AND(ISNUMBER(Roster!$B194),Setup!$B$24="Yes",ISNUMBER(Setup!$C$24)),EDATE(Roster!$B194,12*Setup!$C$24),"")</f>
        <v/>
      </c>
      <c r="G194" s="32" t="str">
        <f>IF(AND(ISNUMBER(Roster!$B194),Setup!$B$25="Yes",ISNUMBER(Setup!$C$25)),EDATE(Roster!$B194,12*Setup!$C$25),"")</f>
        <v/>
      </c>
      <c r="H194" s="32" t="str">
        <f>IF(AND(ISNUMBER(Roster!$B194),Setup!$B$26="Yes",ISNUMBER(Setup!$C$26)),EDATE(Roster!$B194,12*Setup!$C$26),"")</f>
        <v/>
      </c>
      <c r="I194" s="32" t="str">
        <f>IF(AND(ISNUMBER(Roster!$B194),Setup!$B$27="Yes",ISNUMBER(Setup!$C$27)),EDATE(Roster!$B194,12*Setup!$C$27),"")</f>
        <v/>
      </c>
      <c r="J194" s="32" t="str">
        <f>IF(AND(ISNUMBER(Roster!$B194),Setup!$B$28="Yes",ISNUMBER(Setup!$C$28)),EDATE(Roster!$B194,12*Setup!$C$28),"")</f>
        <v/>
      </c>
      <c r="K194" s="32" t="str">
        <f>IF(AND(ISNUMBER(Roster!$B194),Setup!$B$29="Yes",ISNUMBER(Setup!$C$29)),EDATE(Roster!$B194,12*Setup!$C$29),"")</f>
        <v/>
      </c>
      <c r="L194" s="32" t="str">
        <f>IF(AND(ISNUMBER(Roster!$B194),Setup!$B$30="Yes",ISNUMBER(Setup!$C$30)),EDATE(Roster!$B194,12*Setup!$C$30),"")</f>
        <v/>
      </c>
      <c r="M194" s="32" t="str">
        <f>IF(AND(ISNUMBER(Roster!$B194),Setup!$B$31="Yes",ISNUMBER(Setup!$C$31)),EDATE(Roster!$B194,12*Setup!$C$31),"")</f>
        <v/>
      </c>
      <c r="N194" s="32" t="str">
        <f>IF(AND(ISNUMBER(Roster!$B194),Setup!$B$32="Yes",ISNUMBER(Setup!$C$32)),EDATE(Roster!$B194,12*Setup!$C$32),"")</f>
        <v/>
      </c>
      <c r="O194" s="32" t="str">
        <f>IF(AND(ISNUMBER(Roster!$B194),Setup!$B$33="Yes",ISNUMBER(Setup!$C$33)),EDATE(Roster!$B194,12*Setup!$C$33),"")</f>
        <v/>
      </c>
      <c r="P194" s="32" t="str">
        <f>IF(AND(ISNUMBER(Roster!$B194),Setup!$B$34="Yes",ISNUMBER(Setup!$C$34)),EDATE(Roster!$B194,12*Setup!$C$34),"")</f>
        <v/>
      </c>
      <c r="R194" t="str">
        <f>IF(B194="","",IF(B194&lt;Setup!$C$5-Setup!$C$6,"",IF(IF(ISNUMBER(Roster!$D194),Setup!$C$20&lt;=Roster!$D194,FALSE),"",IF(OR(IF(Setup!$C$15&lt;=Setup!$C$16,AND(MONTH(B194)&gt;=Setup!$C$15,MONTH(B194)&lt;=Setup!$C$16),OR(MONTH(B194)&gt;=Setup!$C$15,MONTH(B194)&lt;=Setup!$C$16)),IF(Setup!$C$15&lt;=Setup!$C$16,AND(MONTH(WORKDAY(B194,-(Setup!$C$13+Setup!$G$20),Setup!$C$39:$C$50))&gt;=Setup!$C$15,MONTH(WORKDAY(B194,-(Setup!$C$13+Setup!$G$20),Setup!$C$39:$C$50))&lt;=Setup!$C$16),OR(MONTH(WORKDAY(B194,-(Setup!$C$13+Setup!$G$20),Setup!$C$39:$C$50))&gt;=Setup!$C$15,MONTH(WORKDAY(B194,-(Setup!$C$13+Setup!$G$20),Setup!$C$39:$C$50))&lt;=Setup!$C$16))),WORKDAY(B194,-(Setup!$C$13+Setup!$G$20+Setup!$C$14),Setup!$C$39:$C$50),WORKDAY(B194,-(Setup!$C$13+Setup!$G$20),Setup!$C$39:$C$50))+(189*100+1)/10000000)))</f>
        <v/>
      </c>
      <c r="S194" t="str">
        <f>IF(C194="","",IF(C194&lt;Setup!$C$5-Setup!$C$6,"",IF(IF(ISNUMBER(Roster!$D194),Setup!$C$21&lt;=Roster!$D194,FALSE),"",IF(OR(IF(Setup!$C$15&lt;=Setup!$C$16,AND(MONTH(C194)&gt;=Setup!$C$15,MONTH(C194)&lt;=Setup!$C$16),OR(MONTH(C194)&gt;=Setup!$C$15,MONTH(C194)&lt;=Setup!$C$16)),IF(Setup!$C$15&lt;=Setup!$C$16,AND(MONTH(WORKDAY(C194,-(Setup!$C$13+Setup!$G$21),Setup!$C$39:$C$50))&gt;=Setup!$C$15,MONTH(WORKDAY(C194,-(Setup!$C$13+Setup!$G$21),Setup!$C$39:$C$50))&lt;=Setup!$C$16),OR(MONTH(WORKDAY(C194,-(Setup!$C$13+Setup!$G$21),Setup!$C$39:$C$50))&gt;=Setup!$C$15,MONTH(WORKDAY(C194,-(Setup!$C$13+Setup!$G$21),Setup!$C$39:$C$50))&lt;=Setup!$C$16))),WORKDAY(C194,-(Setup!$C$13+Setup!$G$21+Setup!$C$14),Setup!$C$39:$C$50),WORKDAY(C194,-(Setup!$C$13+Setup!$G$21),Setup!$C$39:$C$50))+(189*100+2)/10000000)))</f>
        <v/>
      </c>
      <c r="T194" t="str">
        <f>IF(D194="","",IF(D194&lt;Setup!$C$5-Setup!$C$6,"",IF(IF(ISNUMBER(Roster!$D194),Setup!$C$22&lt;=Roster!$D194,FALSE),"",IF(OR(IF(Setup!$C$15&lt;=Setup!$C$16,AND(MONTH(D194)&gt;=Setup!$C$15,MONTH(D194)&lt;=Setup!$C$16),OR(MONTH(D194)&gt;=Setup!$C$15,MONTH(D194)&lt;=Setup!$C$16)),IF(Setup!$C$15&lt;=Setup!$C$16,AND(MONTH(WORKDAY(D194,-(Setup!$C$13+Setup!$G$22),Setup!$C$39:$C$50))&gt;=Setup!$C$15,MONTH(WORKDAY(D194,-(Setup!$C$13+Setup!$G$22),Setup!$C$39:$C$50))&lt;=Setup!$C$16),OR(MONTH(WORKDAY(D194,-(Setup!$C$13+Setup!$G$22),Setup!$C$39:$C$50))&gt;=Setup!$C$15,MONTH(WORKDAY(D194,-(Setup!$C$13+Setup!$G$22),Setup!$C$39:$C$50))&lt;=Setup!$C$16))),WORKDAY(D194,-(Setup!$C$13+Setup!$G$22+Setup!$C$14),Setup!$C$39:$C$50),WORKDAY(D194,-(Setup!$C$13+Setup!$G$22),Setup!$C$39:$C$50))+(189*100+3)/10000000)))</f>
        <v/>
      </c>
      <c r="U194" t="str">
        <f>IF(E194="","",IF(E194&lt;Setup!$C$5-Setup!$C$6,"",IF(IF(ISNUMBER(Roster!$D194),Setup!$C$23&lt;=Roster!$D194,FALSE),"",IF(OR(IF(Setup!$C$15&lt;=Setup!$C$16,AND(MONTH(E194)&gt;=Setup!$C$15,MONTH(E194)&lt;=Setup!$C$16),OR(MONTH(E194)&gt;=Setup!$C$15,MONTH(E194)&lt;=Setup!$C$16)),IF(Setup!$C$15&lt;=Setup!$C$16,AND(MONTH(WORKDAY(E194,-(Setup!$C$13+Setup!$G$23),Setup!$C$39:$C$50))&gt;=Setup!$C$15,MONTH(WORKDAY(E194,-(Setup!$C$13+Setup!$G$23),Setup!$C$39:$C$50))&lt;=Setup!$C$16),OR(MONTH(WORKDAY(E194,-(Setup!$C$13+Setup!$G$23),Setup!$C$39:$C$50))&gt;=Setup!$C$15,MONTH(WORKDAY(E194,-(Setup!$C$13+Setup!$G$23),Setup!$C$39:$C$50))&lt;=Setup!$C$16))),WORKDAY(E194,-(Setup!$C$13+Setup!$G$23+Setup!$C$14),Setup!$C$39:$C$50),WORKDAY(E194,-(Setup!$C$13+Setup!$G$23),Setup!$C$39:$C$50))+(189*100+4)/10000000)))</f>
        <v/>
      </c>
      <c r="V194" t="str">
        <f>IF(F194="","",IF(F194&lt;Setup!$C$5-Setup!$C$6,"",IF(IF(ISNUMBER(Roster!$D194),Setup!$C$24&lt;=Roster!$D194,FALSE),"",IF(OR(IF(Setup!$C$15&lt;=Setup!$C$16,AND(MONTH(F194)&gt;=Setup!$C$15,MONTH(F194)&lt;=Setup!$C$16),OR(MONTH(F194)&gt;=Setup!$C$15,MONTH(F194)&lt;=Setup!$C$16)),IF(Setup!$C$15&lt;=Setup!$C$16,AND(MONTH(WORKDAY(F194,-(Setup!$C$13+Setup!$G$24),Setup!$C$39:$C$50))&gt;=Setup!$C$15,MONTH(WORKDAY(F194,-(Setup!$C$13+Setup!$G$24),Setup!$C$39:$C$50))&lt;=Setup!$C$16),OR(MONTH(WORKDAY(F194,-(Setup!$C$13+Setup!$G$24),Setup!$C$39:$C$50))&gt;=Setup!$C$15,MONTH(WORKDAY(F194,-(Setup!$C$13+Setup!$G$24),Setup!$C$39:$C$50))&lt;=Setup!$C$16))),WORKDAY(F194,-(Setup!$C$13+Setup!$G$24+Setup!$C$14),Setup!$C$39:$C$50),WORKDAY(F194,-(Setup!$C$13+Setup!$G$24),Setup!$C$39:$C$50))+(189*100+5)/10000000)))</f>
        <v/>
      </c>
      <c r="W194" t="str">
        <f>IF(G194="","",IF(G194&lt;Setup!$C$5-Setup!$C$6,"",IF(IF(ISNUMBER(Roster!$D194),Setup!$C$25&lt;=Roster!$D194,FALSE),"",IF(OR(IF(Setup!$C$15&lt;=Setup!$C$16,AND(MONTH(G194)&gt;=Setup!$C$15,MONTH(G194)&lt;=Setup!$C$16),OR(MONTH(G194)&gt;=Setup!$C$15,MONTH(G194)&lt;=Setup!$C$16)),IF(Setup!$C$15&lt;=Setup!$C$16,AND(MONTH(WORKDAY(G194,-(Setup!$C$13+Setup!$G$25),Setup!$C$39:$C$50))&gt;=Setup!$C$15,MONTH(WORKDAY(G194,-(Setup!$C$13+Setup!$G$25),Setup!$C$39:$C$50))&lt;=Setup!$C$16),OR(MONTH(WORKDAY(G194,-(Setup!$C$13+Setup!$G$25),Setup!$C$39:$C$50))&gt;=Setup!$C$15,MONTH(WORKDAY(G194,-(Setup!$C$13+Setup!$G$25),Setup!$C$39:$C$50))&lt;=Setup!$C$16))),WORKDAY(G194,-(Setup!$C$13+Setup!$G$25+Setup!$C$14),Setup!$C$39:$C$50),WORKDAY(G194,-(Setup!$C$13+Setup!$G$25),Setup!$C$39:$C$50))+(189*100+6)/10000000)))</f>
        <v/>
      </c>
      <c r="X194" t="str">
        <f>IF(H194="","",IF(H194&lt;Setup!$C$5-Setup!$C$6,"",IF(IF(ISNUMBER(Roster!$D194),Setup!$C$26&lt;=Roster!$D194,FALSE),"",IF(OR(IF(Setup!$C$15&lt;=Setup!$C$16,AND(MONTH(H194)&gt;=Setup!$C$15,MONTH(H194)&lt;=Setup!$C$16),OR(MONTH(H194)&gt;=Setup!$C$15,MONTH(H194)&lt;=Setup!$C$16)),IF(Setup!$C$15&lt;=Setup!$C$16,AND(MONTH(WORKDAY(H194,-(Setup!$C$13+Setup!$G$26),Setup!$C$39:$C$50))&gt;=Setup!$C$15,MONTH(WORKDAY(H194,-(Setup!$C$13+Setup!$G$26),Setup!$C$39:$C$50))&lt;=Setup!$C$16),OR(MONTH(WORKDAY(H194,-(Setup!$C$13+Setup!$G$26),Setup!$C$39:$C$50))&gt;=Setup!$C$15,MONTH(WORKDAY(H194,-(Setup!$C$13+Setup!$G$26),Setup!$C$39:$C$50))&lt;=Setup!$C$16))),WORKDAY(H194,-(Setup!$C$13+Setup!$G$26+Setup!$C$14),Setup!$C$39:$C$50),WORKDAY(H194,-(Setup!$C$13+Setup!$G$26),Setup!$C$39:$C$50))+(189*100+7)/10000000)))</f>
        <v/>
      </c>
      <c r="Y194" t="str">
        <f>IF(I194="","",IF(I194&lt;Setup!$C$5-Setup!$C$6,"",IF(IF(ISNUMBER(Roster!$D194),Setup!$C$27&lt;=Roster!$D194,FALSE),"",IF(OR(IF(Setup!$C$15&lt;=Setup!$C$16,AND(MONTH(I194)&gt;=Setup!$C$15,MONTH(I194)&lt;=Setup!$C$16),OR(MONTH(I194)&gt;=Setup!$C$15,MONTH(I194)&lt;=Setup!$C$16)),IF(Setup!$C$15&lt;=Setup!$C$16,AND(MONTH(WORKDAY(I194,-(Setup!$C$13+Setup!$G$27),Setup!$C$39:$C$50))&gt;=Setup!$C$15,MONTH(WORKDAY(I194,-(Setup!$C$13+Setup!$G$27),Setup!$C$39:$C$50))&lt;=Setup!$C$16),OR(MONTH(WORKDAY(I194,-(Setup!$C$13+Setup!$G$27),Setup!$C$39:$C$50))&gt;=Setup!$C$15,MONTH(WORKDAY(I194,-(Setup!$C$13+Setup!$G$27),Setup!$C$39:$C$50))&lt;=Setup!$C$16))),WORKDAY(I194,-(Setup!$C$13+Setup!$G$27+Setup!$C$14),Setup!$C$39:$C$50),WORKDAY(I194,-(Setup!$C$13+Setup!$G$27),Setup!$C$39:$C$50))+(189*100+8)/10000000)))</f>
        <v/>
      </c>
      <c r="Z194" t="str">
        <f>IF(J194="","",IF(J194&lt;Setup!$C$5-Setup!$C$6,"",IF(IF(ISNUMBER(Roster!$D194),Setup!$C$28&lt;=Roster!$D194,FALSE),"",IF(OR(IF(Setup!$C$15&lt;=Setup!$C$16,AND(MONTH(J194)&gt;=Setup!$C$15,MONTH(J194)&lt;=Setup!$C$16),OR(MONTH(J194)&gt;=Setup!$C$15,MONTH(J194)&lt;=Setup!$C$16)),IF(Setup!$C$15&lt;=Setup!$C$16,AND(MONTH(WORKDAY(J194,-(Setup!$C$13+Setup!$G$28),Setup!$C$39:$C$50))&gt;=Setup!$C$15,MONTH(WORKDAY(J194,-(Setup!$C$13+Setup!$G$28),Setup!$C$39:$C$50))&lt;=Setup!$C$16),OR(MONTH(WORKDAY(J194,-(Setup!$C$13+Setup!$G$28),Setup!$C$39:$C$50))&gt;=Setup!$C$15,MONTH(WORKDAY(J194,-(Setup!$C$13+Setup!$G$28),Setup!$C$39:$C$50))&lt;=Setup!$C$16))),WORKDAY(J194,-(Setup!$C$13+Setup!$G$28+Setup!$C$14),Setup!$C$39:$C$50),WORKDAY(J194,-(Setup!$C$13+Setup!$G$28),Setup!$C$39:$C$50))+(189*100+9)/10000000)))</f>
        <v/>
      </c>
      <c r="AA194" t="str">
        <f>IF(K194="","",IF(K194&lt;Setup!$C$5-Setup!$C$6,"",IF(IF(ISNUMBER(Roster!$D194),Setup!$C$29&lt;=Roster!$D194,FALSE),"",IF(OR(IF(Setup!$C$15&lt;=Setup!$C$16,AND(MONTH(K194)&gt;=Setup!$C$15,MONTH(K194)&lt;=Setup!$C$16),OR(MONTH(K194)&gt;=Setup!$C$15,MONTH(K194)&lt;=Setup!$C$16)),IF(Setup!$C$15&lt;=Setup!$C$16,AND(MONTH(WORKDAY(K194,-(Setup!$C$13+Setup!$G$29),Setup!$C$39:$C$50))&gt;=Setup!$C$15,MONTH(WORKDAY(K194,-(Setup!$C$13+Setup!$G$29),Setup!$C$39:$C$50))&lt;=Setup!$C$16),OR(MONTH(WORKDAY(K194,-(Setup!$C$13+Setup!$G$29),Setup!$C$39:$C$50))&gt;=Setup!$C$15,MONTH(WORKDAY(K194,-(Setup!$C$13+Setup!$G$29),Setup!$C$39:$C$50))&lt;=Setup!$C$16))),WORKDAY(K194,-(Setup!$C$13+Setup!$G$29+Setup!$C$14),Setup!$C$39:$C$50),WORKDAY(K194,-(Setup!$C$13+Setup!$G$29),Setup!$C$39:$C$50))+(189*100+10)/10000000)))</f>
        <v/>
      </c>
      <c r="AB194" t="str">
        <f>IF(L194="","",IF(L194&lt;Setup!$C$5-Setup!$C$6,"",IF(IF(ISNUMBER(Roster!$D194),Setup!$C$30&lt;=Roster!$D194,FALSE),"",IF(OR(IF(Setup!$C$15&lt;=Setup!$C$16,AND(MONTH(L194)&gt;=Setup!$C$15,MONTH(L194)&lt;=Setup!$C$16),OR(MONTH(L194)&gt;=Setup!$C$15,MONTH(L194)&lt;=Setup!$C$16)),IF(Setup!$C$15&lt;=Setup!$C$16,AND(MONTH(WORKDAY(L194,-(Setup!$C$13+Setup!$G$30),Setup!$C$39:$C$50))&gt;=Setup!$C$15,MONTH(WORKDAY(L194,-(Setup!$C$13+Setup!$G$30),Setup!$C$39:$C$50))&lt;=Setup!$C$16),OR(MONTH(WORKDAY(L194,-(Setup!$C$13+Setup!$G$30),Setup!$C$39:$C$50))&gt;=Setup!$C$15,MONTH(WORKDAY(L194,-(Setup!$C$13+Setup!$G$30),Setup!$C$39:$C$50))&lt;=Setup!$C$16))),WORKDAY(L194,-(Setup!$C$13+Setup!$G$30+Setup!$C$14),Setup!$C$39:$C$50),WORKDAY(L194,-(Setup!$C$13+Setup!$G$30),Setup!$C$39:$C$50))+(189*100+11)/10000000)))</f>
        <v/>
      </c>
      <c r="AC194" t="str">
        <f>IF(M194="","",IF(M194&lt;Setup!$C$5-Setup!$C$6,"",IF(IF(ISNUMBER(Roster!$D194),Setup!$C$31&lt;=Roster!$D194,FALSE),"",IF(OR(IF(Setup!$C$15&lt;=Setup!$C$16,AND(MONTH(M194)&gt;=Setup!$C$15,MONTH(M194)&lt;=Setup!$C$16),OR(MONTH(M194)&gt;=Setup!$C$15,MONTH(M194)&lt;=Setup!$C$16)),IF(Setup!$C$15&lt;=Setup!$C$16,AND(MONTH(WORKDAY(M194,-(Setup!$C$13+Setup!$G$31),Setup!$C$39:$C$50))&gt;=Setup!$C$15,MONTH(WORKDAY(M194,-(Setup!$C$13+Setup!$G$31),Setup!$C$39:$C$50))&lt;=Setup!$C$16),OR(MONTH(WORKDAY(M194,-(Setup!$C$13+Setup!$G$31),Setup!$C$39:$C$50))&gt;=Setup!$C$15,MONTH(WORKDAY(M194,-(Setup!$C$13+Setup!$G$31),Setup!$C$39:$C$50))&lt;=Setup!$C$16))),WORKDAY(M194,-(Setup!$C$13+Setup!$G$31+Setup!$C$14),Setup!$C$39:$C$50),WORKDAY(M194,-(Setup!$C$13+Setup!$G$31),Setup!$C$39:$C$50))+(189*100+12)/10000000)))</f>
        <v/>
      </c>
      <c r="AD194" t="str">
        <f>IF(N194="","",IF(N194&lt;Setup!$C$5-Setup!$C$6,"",IF(IF(ISNUMBER(Roster!$D194),Setup!$C$32&lt;=Roster!$D194,FALSE),"",IF(OR(IF(Setup!$C$15&lt;=Setup!$C$16,AND(MONTH(N194)&gt;=Setup!$C$15,MONTH(N194)&lt;=Setup!$C$16),OR(MONTH(N194)&gt;=Setup!$C$15,MONTH(N194)&lt;=Setup!$C$16)),IF(Setup!$C$15&lt;=Setup!$C$16,AND(MONTH(WORKDAY(N194,-(Setup!$C$13+Setup!$G$32),Setup!$C$39:$C$50))&gt;=Setup!$C$15,MONTH(WORKDAY(N194,-(Setup!$C$13+Setup!$G$32),Setup!$C$39:$C$50))&lt;=Setup!$C$16),OR(MONTH(WORKDAY(N194,-(Setup!$C$13+Setup!$G$32),Setup!$C$39:$C$50))&gt;=Setup!$C$15,MONTH(WORKDAY(N194,-(Setup!$C$13+Setup!$G$32),Setup!$C$39:$C$50))&lt;=Setup!$C$16))),WORKDAY(N194,-(Setup!$C$13+Setup!$G$32+Setup!$C$14),Setup!$C$39:$C$50),WORKDAY(N194,-(Setup!$C$13+Setup!$G$32),Setup!$C$39:$C$50))+(189*100+13)/10000000)))</f>
        <v/>
      </c>
      <c r="AE194" t="str">
        <f>IF(O194="","",IF(O194&lt;Setup!$C$5-Setup!$C$6,"",IF(IF(ISNUMBER(Roster!$D194),Setup!$C$33&lt;=Roster!$D194,FALSE),"",IF(OR(IF(Setup!$C$15&lt;=Setup!$C$16,AND(MONTH(O194)&gt;=Setup!$C$15,MONTH(O194)&lt;=Setup!$C$16),OR(MONTH(O194)&gt;=Setup!$C$15,MONTH(O194)&lt;=Setup!$C$16)),IF(Setup!$C$15&lt;=Setup!$C$16,AND(MONTH(WORKDAY(O194,-(Setup!$C$13+Setup!$G$33),Setup!$C$39:$C$50))&gt;=Setup!$C$15,MONTH(WORKDAY(O194,-(Setup!$C$13+Setup!$G$33),Setup!$C$39:$C$50))&lt;=Setup!$C$16),OR(MONTH(WORKDAY(O194,-(Setup!$C$13+Setup!$G$33),Setup!$C$39:$C$50))&gt;=Setup!$C$15,MONTH(WORKDAY(O194,-(Setup!$C$13+Setup!$G$33),Setup!$C$39:$C$50))&lt;=Setup!$C$16))),WORKDAY(O194,-(Setup!$C$13+Setup!$G$33+Setup!$C$14),Setup!$C$39:$C$50),WORKDAY(O194,-(Setup!$C$13+Setup!$G$33),Setup!$C$39:$C$50))+(189*100+14)/10000000)))</f>
        <v/>
      </c>
      <c r="AF194" t="str">
        <f>IF(P194="","",IF(P194&lt;Setup!$C$5-Setup!$C$6,"",IF(IF(ISNUMBER(Roster!$D194),Setup!$C$34&lt;=Roster!$D194,FALSE),"",IF(OR(IF(Setup!$C$15&lt;=Setup!$C$16,AND(MONTH(P194)&gt;=Setup!$C$15,MONTH(P194)&lt;=Setup!$C$16),OR(MONTH(P194)&gt;=Setup!$C$15,MONTH(P194)&lt;=Setup!$C$16)),IF(Setup!$C$15&lt;=Setup!$C$16,AND(MONTH(WORKDAY(P194,-(Setup!$C$13+Setup!$G$34),Setup!$C$39:$C$50))&gt;=Setup!$C$15,MONTH(WORKDAY(P194,-(Setup!$C$13+Setup!$G$34),Setup!$C$39:$C$50))&lt;=Setup!$C$16),OR(MONTH(WORKDAY(P194,-(Setup!$C$13+Setup!$G$34),Setup!$C$39:$C$50))&gt;=Setup!$C$15,MONTH(WORKDAY(P194,-(Setup!$C$13+Setup!$G$34),Setup!$C$39:$C$50))&lt;=Setup!$C$16))),WORKDAY(P194,-(Setup!$C$13+Setup!$G$34+Setup!$C$14),Setup!$C$39:$C$50),WORKDAY(P194,-(Setup!$C$13+Setup!$G$34),Setup!$C$39:$C$50))+(189*100+15)/10000000)))</f>
        <v/>
      </c>
      <c r="AH194" t="str">
        <f t="shared" si="17"/>
        <v/>
      </c>
      <c r="AI194" t="str">
        <f t="shared" si="18"/>
        <v/>
      </c>
      <c r="AK194" t="str">
        <f ca="1">IF(189&gt;$AK$2,"",SMALL($R$6:$AF$505,189))</f>
        <v/>
      </c>
      <c r="AL194" t="str">
        <f t="shared" ca="1" si="19"/>
        <v/>
      </c>
      <c r="AM194" t="str">
        <f t="shared" ca="1" si="20"/>
        <v/>
      </c>
      <c r="AN194" t="str">
        <f t="shared" ca="1" si="21"/>
        <v/>
      </c>
      <c r="AP194" t="str">
        <f>IF(ISNUMBER(Roster!$B194),MAX(1,YEAR(Setup!$C$5)-YEAR(Roster!$B194)+IF(EDATE(Roster!$B194,12*(YEAR(Setup!$C$5)-YEAR(Roster!$B194)))&lt;Setup!$C$5,1,0)),"")</f>
        <v/>
      </c>
      <c r="AQ194" s="32" t="str">
        <f>IF(AP194="","",EDATE(Roster!$B194,12*AP194))</f>
        <v/>
      </c>
      <c r="AR194" t="str">
        <f>IF(AQ194="","",IF(AQ194&lt;DATE(YEAR(Setup!$C$5)+1,MONTH(Setup!$C$5),DAY(Setup!$C$5)),AQ194+189/1000,""))</f>
        <v/>
      </c>
      <c r="AS194" t="str">
        <f t="shared" si="22"/>
        <v/>
      </c>
      <c r="AT194" t="str">
        <f>IF(AS194="","",IF(ISNUMBER(Roster!$D194),Roster!$D194&gt;=AP194,FALSE))</f>
        <v/>
      </c>
      <c r="AU194" t="str">
        <f t="shared" si="23"/>
        <v/>
      </c>
      <c r="AV194" t="str">
        <f ca="1">IF(189&gt;$AV$2,"",SMALL($AR$6:$AR$505,189))</f>
        <v/>
      </c>
      <c r="AW194" t="str">
        <f t="shared" ca="1" si="24"/>
        <v/>
      </c>
    </row>
    <row r="195" spans="2:49" x14ac:dyDescent="0.2">
      <c r="B195" s="32" t="str">
        <f>IF(AND(ISNUMBER(Roster!$B195),Setup!$B$20="Yes",ISNUMBER(Setup!$C$20)),EDATE(Roster!$B195,12*Setup!$C$20),"")</f>
        <v/>
      </c>
      <c r="C195" s="32" t="str">
        <f>IF(AND(ISNUMBER(Roster!$B195),Setup!$B$21="Yes",ISNUMBER(Setup!$C$21)),EDATE(Roster!$B195,12*Setup!$C$21),"")</f>
        <v/>
      </c>
      <c r="D195" s="32" t="str">
        <f>IF(AND(ISNUMBER(Roster!$B195),Setup!$B$22="Yes",ISNUMBER(Setup!$C$22)),EDATE(Roster!$B195,12*Setup!$C$22),"")</f>
        <v/>
      </c>
      <c r="E195" s="32" t="str">
        <f>IF(AND(ISNUMBER(Roster!$B195),Setup!$B$23="Yes",ISNUMBER(Setup!$C$23)),EDATE(Roster!$B195,12*Setup!$C$23),"")</f>
        <v/>
      </c>
      <c r="F195" s="32" t="str">
        <f>IF(AND(ISNUMBER(Roster!$B195),Setup!$B$24="Yes",ISNUMBER(Setup!$C$24)),EDATE(Roster!$B195,12*Setup!$C$24),"")</f>
        <v/>
      </c>
      <c r="G195" s="32" t="str">
        <f>IF(AND(ISNUMBER(Roster!$B195),Setup!$B$25="Yes",ISNUMBER(Setup!$C$25)),EDATE(Roster!$B195,12*Setup!$C$25),"")</f>
        <v/>
      </c>
      <c r="H195" s="32" t="str">
        <f>IF(AND(ISNUMBER(Roster!$B195),Setup!$B$26="Yes",ISNUMBER(Setup!$C$26)),EDATE(Roster!$B195,12*Setup!$C$26),"")</f>
        <v/>
      </c>
      <c r="I195" s="32" t="str">
        <f>IF(AND(ISNUMBER(Roster!$B195),Setup!$B$27="Yes",ISNUMBER(Setup!$C$27)),EDATE(Roster!$B195,12*Setup!$C$27),"")</f>
        <v/>
      </c>
      <c r="J195" s="32" t="str">
        <f>IF(AND(ISNUMBER(Roster!$B195),Setup!$B$28="Yes",ISNUMBER(Setup!$C$28)),EDATE(Roster!$B195,12*Setup!$C$28),"")</f>
        <v/>
      </c>
      <c r="K195" s="32" t="str">
        <f>IF(AND(ISNUMBER(Roster!$B195),Setup!$B$29="Yes",ISNUMBER(Setup!$C$29)),EDATE(Roster!$B195,12*Setup!$C$29),"")</f>
        <v/>
      </c>
      <c r="L195" s="32" t="str">
        <f>IF(AND(ISNUMBER(Roster!$B195),Setup!$B$30="Yes",ISNUMBER(Setup!$C$30)),EDATE(Roster!$B195,12*Setup!$C$30),"")</f>
        <v/>
      </c>
      <c r="M195" s="32" t="str">
        <f>IF(AND(ISNUMBER(Roster!$B195),Setup!$B$31="Yes",ISNUMBER(Setup!$C$31)),EDATE(Roster!$B195,12*Setup!$C$31),"")</f>
        <v/>
      </c>
      <c r="N195" s="32" t="str">
        <f>IF(AND(ISNUMBER(Roster!$B195),Setup!$B$32="Yes",ISNUMBER(Setup!$C$32)),EDATE(Roster!$B195,12*Setup!$C$32),"")</f>
        <v/>
      </c>
      <c r="O195" s="32" t="str">
        <f>IF(AND(ISNUMBER(Roster!$B195),Setup!$B$33="Yes",ISNUMBER(Setup!$C$33)),EDATE(Roster!$B195,12*Setup!$C$33),"")</f>
        <v/>
      </c>
      <c r="P195" s="32" t="str">
        <f>IF(AND(ISNUMBER(Roster!$B195),Setup!$B$34="Yes",ISNUMBER(Setup!$C$34)),EDATE(Roster!$B195,12*Setup!$C$34),"")</f>
        <v/>
      </c>
      <c r="R195" t="str">
        <f>IF(B195="","",IF(B195&lt;Setup!$C$5-Setup!$C$6,"",IF(IF(ISNUMBER(Roster!$D195),Setup!$C$20&lt;=Roster!$D195,FALSE),"",IF(OR(IF(Setup!$C$15&lt;=Setup!$C$16,AND(MONTH(B195)&gt;=Setup!$C$15,MONTH(B195)&lt;=Setup!$C$16),OR(MONTH(B195)&gt;=Setup!$C$15,MONTH(B195)&lt;=Setup!$C$16)),IF(Setup!$C$15&lt;=Setup!$C$16,AND(MONTH(WORKDAY(B195,-(Setup!$C$13+Setup!$G$20),Setup!$C$39:$C$50))&gt;=Setup!$C$15,MONTH(WORKDAY(B195,-(Setup!$C$13+Setup!$G$20),Setup!$C$39:$C$50))&lt;=Setup!$C$16),OR(MONTH(WORKDAY(B195,-(Setup!$C$13+Setup!$G$20),Setup!$C$39:$C$50))&gt;=Setup!$C$15,MONTH(WORKDAY(B195,-(Setup!$C$13+Setup!$G$20),Setup!$C$39:$C$50))&lt;=Setup!$C$16))),WORKDAY(B195,-(Setup!$C$13+Setup!$G$20+Setup!$C$14),Setup!$C$39:$C$50),WORKDAY(B195,-(Setup!$C$13+Setup!$G$20),Setup!$C$39:$C$50))+(190*100+1)/10000000)))</f>
        <v/>
      </c>
      <c r="S195" t="str">
        <f>IF(C195="","",IF(C195&lt;Setup!$C$5-Setup!$C$6,"",IF(IF(ISNUMBER(Roster!$D195),Setup!$C$21&lt;=Roster!$D195,FALSE),"",IF(OR(IF(Setup!$C$15&lt;=Setup!$C$16,AND(MONTH(C195)&gt;=Setup!$C$15,MONTH(C195)&lt;=Setup!$C$16),OR(MONTH(C195)&gt;=Setup!$C$15,MONTH(C195)&lt;=Setup!$C$16)),IF(Setup!$C$15&lt;=Setup!$C$16,AND(MONTH(WORKDAY(C195,-(Setup!$C$13+Setup!$G$21),Setup!$C$39:$C$50))&gt;=Setup!$C$15,MONTH(WORKDAY(C195,-(Setup!$C$13+Setup!$G$21),Setup!$C$39:$C$50))&lt;=Setup!$C$16),OR(MONTH(WORKDAY(C195,-(Setup!$C$13+Setup!$G$21),Setup!$C$39:$C$50))&gt;=Setup!$C$15,MONTH(WORKDAY(C195,-(Setup!$C$13+Setup!$G$21),Setup!$C$39:$C$50))&lt;=Setup!$C$16))),WORKDAY(C195,-(Setup!$C$13+Setup!$G$21+Setup!$C$14),Setup!$C$39:$C$50),WORKDAY(C195,-(Setup!$C$13+Setup!$G$21),Setup!$C$39:$C$50))+(190*100+2)/10000000)))</f>
        <v/>
      </c>
      <c r="T195" t="str">
        <f>IF(D195="","",IF(D195&lt;Setup!$C$5-Setup!$C$6,"",IF(IF(ISNUMBER(Roster!$D195),Setup!$C$22&lt;=Roster!$D195,FALSE),"",IF(OR(IF(Setup!$C$15&lt;=Setup!$C$16,AND(MONTH(D195)&gt;=Setup!$C$15,MONTH(D195)&lt;=Setup!$C$16),OR(MONTH(D195)&gt;=Setup!$C$15,MONTH(D195)&lt;=Setup!$C$16)),IF(Setup!$C$15&lt;=Setup!$C$16,AND(MONTH(WORKDAY(D195,-(Setup!$C$13+Setup!$G$22),Setup!$C$39:$C$50))&gt;=Setup!$C$15,MONTH(WORKDAY(D195,-(Setup!$C$13+Setup!$G$22),Setup!$C$39:$C$50))&lt;=Setup!$C$16),OR(MONTH(WORKDAY(D195,-(Setup!$C$13+Setup!$G$22),Setup!$C$39:$C$50))&gt;=Setup!$C$15,MONTH(WORKDAY(D195,-(Setup!$C$13+Setup!$G$22),Setup!$C$39:$C$50))&lt;=Setup!$C$16))),WORKDAY(D195,-(Setup!$C$13+Setup!$G$22+Setup!$C$14),Setup!$C$39:$C$50),WORKDAY(D195,-(Setup!$C$13+Setup!$G$22),Setup!$C$39:$C$50))+(190*100+3)/10000000)))</f>
        <v/>
      </c>
      <c r="U195" t="str">
        <f>IF(E195="","",IF(E195&lt;Setup!$C$5-Setup!$C$6,"",IF(IF(ISNUMBER(Roster!$D195),Setup!$C$23&lt;=Roster!$D195,FALSE),"",IF(OR(IF(Setup!$C$15&lt;=Setup!$C$16,AND(MONTH(E195)&gt;=Setup!$C$15,MONTH(E195)&lt;=Setup!$C$16),OR(MONTH(E195)&gt;=Setup!$C$15,MONTH(E195)&lt;=Setup!$C$16)),IF(Setup!$C$15&lt;=Setup!$C$16,AND(MONTH(WORKDAY(E195,-(Setup!$C$13+Setup!$G$23),Setup!$C$39:$C$50))&gt;=Setup!$C$15,MONTH(WORKDAY(E195,-(Setup!$C$13+Setup!$G$23),Setup!$C$39:$C$50))&lt;=Setup!$C$16),OR(MONTH(WORKDAY(E195,-(Setup!$C$13+Setup!$G$23),Setup!$C$39:$C$50))&gt;=Setup!$C$15,MONTH(WORKDAY(E195,-(Setup!$C$13+Setup!$G$23),Setup!$C$39:$C$50))&lt;=Setup!$C$16))),WORKDAY(E195,-(Setup!$C$13+Setup!$G$23+Setup!$C$14),Setup!$C$39:$C$50),WORKDAY(E195,-(Setup!$C$13+Setup!$G$23),Setup!$C$39:$C$50))+(190*100+4)/10000000)))</f>
        <v/>
      </c>
      <c r="V195" t="str">
        <f>IF(F195="","",IF(F195&lt;Setup!$C$5-Setup!$C$6,"",IF(IF(ISNUMBER(Roster!$D195),Setup!$C$24&lt;=Roster!$D195,FALSE),"",IF(OR(IF(Setup!$C$15&lt;=Setup!$C$16,AND(MONTH(F195)&gt;=Setup!$C$15,MONTH(F195)&lt;=Setup!$C$16),OR(MONTH(F195)&gt;=Setup!$C$15,MONTH(F195)&lt;=Setup!$C$16)),IF(Setup!$C$15&lt;=Setup!$C$16,AND(MONTH(WORKDAY(F195,-(Setup!$C$13+Setup!$G$24),Setup!$C$39:$C$50))&gt;=Setup!$C$15,MONTH(WORKDAY(F195,-(Setup!$C$13+Setup!$G$24),Setup!$C$39:$C$50))&lt;=Setup!$C$16),OR(MONTH(WORKDAY(F195,-(Setup!$C$13+Setup!$G$24),Setup!$C$39:$C$50))&gt;=Setup!$C$15,MONTH(WORKDAY(F195,-(Setup!$C$13+Setup!$G$24),Setup!$C$39:$C$50))&lt;=Setup!$C$16))),WORKDAY(F195,-(Setup!$C$13+Setup!$G$24+Setup!$C$14),Setup!$C$39:$C$50),WORKDAY(F195,-(Setup!$C$13+Setup!$G$24),Setup!$C$39:$C$50))+(190*100+5)/10000000)))</f>
        <v/>
      </c>
      <c r="W195" t="str">
        <f>IF(G195="","",IF(G195&lt;Setup!$C$5-Setup!$C$6,"",IF(IF(ISNUMBER(Roster!$D195),Setup!$C$25&lt;=Roster!$D195,FALSE),"",IF(OR(IF(Setup!$C$15&lt;=Setup!$C$16,AND(MONTH(G195)&gt;=Setup!$C$15,MONTH(G195)&lt;=Setup!$C$16),OR(MONTH(G195)&gt;=Setup!$C$15,MONTH(G195)&lt;=Setup!$C$16)),IF(Setup!$C$15&lt;=Setup!$C$16,AND(MONTH(WORKDAY(G195,-(Setup!$C$13+Setup!$G$25),Setup!$C$39:$C$50))&gt;=Setup!$C$15,MONTH(WORKDAY(G195,-(Setup!$C$13+Setup!$G$25),Setup!$C$39:$C$50))&lt;=Setup!$C$16),OR(MONTH(WORKDAY(G195,-(Setup!$C$13+Setup!$G$25),Setup!$C$39:$C$50))&gt;=Setup!$C$15,MONTH(WORKDAY(G195,-(Setup!$C$13+Setup!$G$25),Setup!$C$39:$C$50))&lt;=Setup!$C$16))),WORKDAY(G195,-(Setup!$C$13+Setup!$G$25+Setup!$C$14),Setup!$C$39:$C$50),WORKDAY(G195,-(Setup!$C$13+Setup!$G$25),Setup!$C$39:$C$50))+(190*100+6)/10000000)))</f>
        <v/>
      </c>
      <c r="X195" t="str">
        <f>IF(H195="","",IF(H195&lt;Setup!$C$5-Setup!$C$6,"",IF(IF(ISNUMBER(Roster!$D195),Setup!$C$26&lt;=Roster!$D195,FALSE),"",IF(OR(IF(Setup!$C$15&lt;=Setup!$C$16,AND(MONTH(H195)&gt;=Setup!$C$15,MONTH(H195)&lt;=Setup!$C$16),OR(MONTH(H195)&gt;=Setup!$C$15,MONTH(H195)&lt;=Setup!$C$16)),IF(Setup!$C$15&lt;=Setup!$C$16,AND(MONTH(WORKDAY(H195,-(Setup!$C$13+Setup!$G$26),Setup!$C$39:$C$50))&gt;=Setup!$C$15,MONTH(WORKDAY(H195,-(Setup!$C$13+Setup!$G$26),Setup!$C$39:$C$50))&lt;=Setup!$C$16),OR(MONTH(WORKDAY(H195,-(Setup!$C$13+Setup!$G$26),Setup!$C$39:$C$50))&gt;=Setup!$C$15,MONTH(WORKDAY(H195,-(Setup!$C$13+Setup!$G$26),Setup!$C$39:$C$50))&lt;=Setup!$C$16))),WORKDAY(H195,-(Setup!$C$13+Setup!$G$26+Setup!$C$14),Setup!$C$39:$C$50),WORKDAY(H195,-(Setup!$C$13+Setup!$G$26),Setup!$C$39:$C$50))+(190*100+7)/10000000)))</f>
        <v/>
      </c>
      <c r="Y195" t="str">
        <f>IF(I195="","",IF(I195&lt;Setup!$C$5-Setup!$C$6,"",IF(IF(ISNUMBER(Roster!$D195),Setup!$C$27&lt;=Roster!$D195,FALSE),"",IF(OR(IF(Setup!$C$15&lt;=Setup!$C$16,AND(MONTH(I195)&gt;=Setup!$C$15,MONTH(I195)&lt;=Setup!$C$16),OR(MONTH(I195)&gt;=Setup!$C$15,MONTH(I195)&lt;=Setup!$C$16)),IF(Setup!$C$15&lt;=Setup!$C$16,AND(MONTH(WORKDAY(I195,-(Setup!$C$13+Setup!$G$27),Setup!$C$39:$C$50))&gt;=Setup!$C$15,MONTH(WORKDAY(I195,-(Setup!$C$13+Setup!$G$27),Setup!$C$39:$C$50))&lt;=Setup!$C$16),OR(MONTH(WORKDAY(I195,-(Setup!$C$13+Setup!$G$27),Setup!$C$39:$C$50))&gt;=Setup!$C$15,MONTH(WORKDAY(I195,-(Setup!$C$13+Setup!$G$27),Setup!$C$39:$C$50))&lt;=Setup!$C$16))),WORKDAY(I195,-(Setup!$C$13+Setup!$G$27+Setup!$C$14),Setup!$C$39:$C$50),WORKDAY(I195,-(Setup!$C$13+Setup!$G$27),Setup!$C$39:$C$50))+(190*100+8)/10000000)))</f>
        <v/>
      </c>
      <c r="Z195" t="str">
        <f>IF(J195="","",IF(J195&lt;Setup!$C$5-Setup!$C$6,"",IF(IF(ISNUMBER(Roster!$D195),Setup!$C$28&lt;=Roster!$D195,FALSE),"",IF(OR(IF(Setup!$C$15&lt;=Setup!$C$16,AND(MONTH(J195)&gt;=Setup!$C$15,MONTH(J195)&lt;=Setup!$C$16),OR(MONTH(J195)&gt;=Setup!$C$15,MONTH(J195)&lt;=Setup!$C$16)),IF(Setup!$C$15&lt;=Setup!$C$16,AND(MONTH(WORKDAY(J195,-(Setup!$C$13+Setup!$G$28),Setup!$C$39:$C$50))&gt;=Setup!$C$15,MONTH(WORKDAY(J195,-(Setup!$C$13+Setup!$G$28),Setup!$C$39:$C$50))&lt;=Setup!$C$16),OR(MONTH(WORKDAY(J195,-(Setup!$C$13+Setup!$G$28),Setup!$C$39:$C$50))&gt;=Setup!$C$15,MONTH(WORKDAY(J195,-(Setup!$C$13+Setup!$G$28),Setup!$C$39:$C$50))&lt;=Setup!$C$16))),WORKDAY(J195,-(Setup!$C$13+Setup!$G$28+Setup!$C$14),Setup!$C$39:$C$50),WORKDAY(J195,-(Setup!$C$13+Setup!$G$28),Setup!$C$39:$C$50))+(190*100+9)/10000000)))</f>
        <v/>
      </c>
      <c r="AA195" t="str">
        <f>IF(K195="","",IF(K195&lt;Setup!$C$5-Setup!$C$6,"",IF(IF(ISNUMBER(Roster!$D195),Setup!$C$29&lt;=Roster!$D195,FALSE),"",IF(OR(IF(Setup!$C$15&lt;=Setup!$C$16,AND(MONTH(K195)&gt;=Setup!$C$15,MONTH(K195)&lt;=Setup!$C$16),OR(MONTH(K195)&gt;=Setup!$C$15,MONTH(K195)&lt;=Setup!$C$16)),IF(Setup!$C$15&lt;=Setup!$C$16,AND(MONTH(WORKDAY(K195,-(Setup!$C$13+Setup!$G$29),Setup!$C$39:$C$50))&gt;=Setup!$C$15,MONTH(WORKDAY(K195,-(Setup!$C$13+Setup!$G$29),Setup!$C$39:$C$50))&lt;=Setup!$C$16),OR(MONTH(WORKDAY(K195,-(Setup!$C$13+Setup!$G$29),Setup!$C$39:$C$50))&gt;=Setup!$C$15,MONTH(WORKDAY(K195,-(Setup!$C$13+Setup!$G$29),Setup!$C$39:$C$50))&lt;=Setup!$C$16))),WORKDAY(K195,-(Setup!$C$13+Setup!$G$29+Setup!$C$14),Setup!$C$39:$C$50),WORKDAY(K195,-(Setup!$C$13+Setup!$G$29),Setup!$C$39:$C$50))+(190*100+10)/10000000)))</f>
        <v/>
      </c>
      <c r="AB195" t="str">
        <f>IF(L195="","",IF(L195&lt;Setup!$C$5-Setup!$C$6,"",IF(IF(ISNUMBER(Roster!$D195),Setup!$C$30&lt;=Roster!$D195,FALSE),"",IF(OR(IF(Setup!$C$15&lt;=Setup!$C$16,AND(MONTH(L195)&gt;=Setup!$C$15,MONTH(L195)&lt;=Setup!$C$16),OR(MONTH(L195)&gt;=Setup!$C$15,MONTH(L195)&lt;=Setup!$C$16)),IF(Setup!$C$15&lt;=Setup!$C$16,AND(MONTH(WORKDAY(L195,-(Setup!$C$13+Setup!$G$30),Setup!$C$39:$C$50))&gt;=Setup!$C$15,MONTH(WORKDAY(L195,-(Setup!$C$13+Setup!$G$30),Setup!$C$39:$C$50))&lt;=Setup!$C$16),OR(MONTH(WORKDAY(L195,-(Setup!$C$13+Setup!$G$30),Setup!$C$39:$C$50))&gt;=Setup!$C$15,MONTH(WORKDAY(L195,-(Setup!$C$13+Setup!$G$30),Setup!$C$39:$C$50))&lt;=Setup!$C$16))),WORKDAY(L195,-(Setup!$C$13+Setup!$G$30+Setup!$C$14),Setup!$C$39:$C$50),WORKDAY(L195,-(Setup!$C$13+Setup!$G$30),Setup!$C$39:$C$50))+(190*100+11)/10000000)))</f>
        <v/>
      </c>
      <c r="AC195" t="str">
        <f>IF(M195="","",IF(M195&lt;Setup!$C$5-Setup!$C$6,"",IF(IF(ISNUMBER(Roster!$D195),Setup!$C$31&lt;=Roster!$D195,FALSE),"",IF(OR(IF(Setup!$C$15&lt;=Setup!$C$16,AND(MONTH(M195)&gt;=Setup!$C$15,MONTH(M195)&lt;=Setup!$C$16),OR(MONTH(M195)&gt;=Setup!$C$15,MONTH(M195)&lt;=Setup!$C$16)),IF(Setup!$C$15&lt;=Setup!$C$16,AND(MONTH(WORKDAY(M195,-(Setup!$C$13+Setup!$G$31),Setup!$C$39:$C$50))&gt;=Setup!$C$15,MONTH(WORKDAY(M195,-(Setup!$C$13+Setup!$G$31),Setup!$C$39:$C$50))&lt;=Setup!$C$16),OR(MONTH(WORKDAY(M195,-(Setup!$C$13+Setup!$G$31),Setup!$C$39:$C$50))&gt;=Setup!$C$15,MONTH(WORKDAY(M195,-(Setup!$C$13+Setup!$G$31),Setup!$C$39:$C$50))&lt;=Setup!$C$16))),WORKDAY(M195,-(Setup!$C$13+Setup!$G$31+Setup!$C$14),Setup!$C$39:$C$50),WORKDAY(M195,-(Setup!$C$13+Setup!$G$31),Setup!$C$39:$C$50))+(190*100+12)/10000000)))</f>
        <v/>
      </c>
      <c r="AD195" t="str">
        <f>IF(N195="","",IF(N195&lt;Setup!$C$5-Setup!$C$6,"",IF(IF(ISNUMBER(Roster!$D195),Setup!$C$32&lt;=Roster!$D195,FALSE),"",IF(OR(IF(Setup!$C$15&lt;=Setup!$C$16,AND(MONTH(N195)&gt;=Setup!$C$15,MONTH(N195)&lt;=Setup!$C$16),OR(MONTH(N195)&gt;=Setup!$C$15,MONTH(N195)&lt;=Setup!$C$16)),IF(Setup!$C$15&lt;=Setup!$C$16,AND(MONTH(WORKDAY(N195,-(Setup!$C$13+Setup!$G$32),Setup!$C$39:$C$50))&gt;=Setup!$C$15,MONTH(WORKDAY(N195,-(Setup!$C$13+Setup!$G$32),Setup!$C$39:$C$50))&lt;=Setup!$C$16),OR(MONTH(WORKDAY(N195,-(Setup!$C$13+Setup!$G$32),Setup!$C$39:$C$50))&gt;=Setup!$C$15,MONTH(WORKDAY(N195,-(Setup!$C$13+Setup!$G$32),Setup!$C$39:$C$50))&lt;=Setup!$C$16))),WORKDAY(N195,-(Setup!$C$13+Setup!$G$32+Setup!$C$14),Setup!$C$39:$C$50),WORKDAY(N195,-(Setup!$C$13+Setup!$G$32),Setup!$C$39:$C$50))+(190*100+13)/10000000)))</f>
        <v/>
      </c>
      <c r="AE195" t="str">
        <f>IF(O195="","",IF(O195&lt;Setup!$C$5-Setup!$C$6,"",IF(IF(ISNUMBER(Roster!$D195),Setup!$C$33&lt;=Roster!$D195,FALSE),"",IF(OR(IF(Setup!$C$15&lt;=Setup!$C$16,AND(MONTH(O195)&gt;=Setup!$C$15,MONTH(O195)&lt;=Setup!$C$16),OR(MONTH(O195)&gt;=Setup!$C$15,MONTH(O195)&lt;=Setup!$C$16)),IF(Setup!$C$15&lt;=Setup!$C$16,AND(MONTH(WORKDAY(O195,-(Setup!$C$13+Setup!$G$33),Setup!$C$39:$C$50))&gt;=Setup!$C$15,MONTH(WORKDAY(O195,-(Setup!$C$13+Setup!$G$33),Setup!$C$39:$C$50))&lt;=Setup!$C$16),OR(MONTH(WORKDAY(O195,-(Setup!$C$13+Setup!$G$33),Setup!$C$39:$C$50))&gt;=Setup!$C$15,MONTH(WORKDAY(O195,-(Setup!$C$13+Setup!$G$33),Setup!$C$39:$C$50))&lt;=Setup!$C$16))),WORKDAY(O195,-(Setup!$C$13+Setup!$G$33+Setup!$C$14),Setup!$C$39:$C$50),WORKDAY(O195,-(Setup!$C$13+Setup!$G$33),Setup!$C$39:$C$50))+(190*100+14)/10000000)))</f>
        <v/>
      </c>
      <c r="AF195" t="str">
        <f>IF(P195="","",IF(P195&lt;Setup!$C$5-Setup!$C$6,"",IF(IF(ISNUMBER(Roster!$D195),Setup!$C$34&lt;=Roster!$D195,FALSE),"",IF(OR(IF(Setup!$C$15&lt;=Setup!$C$16,AND(MONTH(P195)&gt;=Setup!$C$15,MONTH(P195)&lt;=Setup!$C$16),OR(MONTH(P195)&gt;=Setup!$C$15,MONTH(P195)&lt;=Setup!$C$16)),IF(Setup!$C$15&lt;=Setup!$C$16,AND(MONTH(WORKDAY(P195,-(Setup!$C$13+Setup!$G$34),Setup!$C$39:$C$50))&gt;=Setup!$C$15,MONTH(WORKDAY(P195,-(Setup!$C$13+Setup!$G$34),Setup!$C$39:$C$50))&lt;=Setup!$C$16),OR(MONTH(WORKDAY(P195,-(Setup!$C$13+Setup!$G$34),Setup!$C$39:$C$50))&gt;=Setup!$C$15,MONTH(WORKDAY(P195,-(Setup!$C$13+Setup!$G$34),Setup!$C$39:$C$50))&lt;=Setup!$C$16))),WORKDAY(P195,-(Setup!$C$13+Setup!$G$34+Setup!$C$14),Setup!$C$39:$C$50),WORKDAY(P195,-(Setup!$C$13+Setup!$G$34),Setup!$C$39:$C$50))+(190*100+15)/10000000)))</f>
        <v/>
      </c>
      <c r="AH195" t="str">
        <f t="shared" si="17"/>
        <v/>
      </c>
      <c r="AI195" t="str">
        <f t="shared" si="18"/>
        <v/>
      </c>
      <c r="AK195" t="str">
        <f ca="1">IF(190&gt;$AK$2,"",SMALL($R$6:$AF$505,190))</f>
        <v/>
      </c>
      <c r="AL195" t="str">
        <f t="shared" ca="1" si="19"/>
        <v/>
      </c>
      <c r="AM195" t="str">
        <f t="shared" ca="1" si="20"/>
        <v/>
      </c>
      <c r="AN195" t="str">
        <f t="shared" ca="1" si="21"/>
        <v/>
      </c>
      <c r="AP195" t="str">
        <f>IF(ISNUMBER(Roster!$B195),MAX(1,YEAR(Setup!$C$5)-YEAR(Roster!$B195)+IF(EDATE(Roster!$B195,12*(YEAR(Setup!$C$5)-YEAR(Roster!$B195)))&lt;Setup!$C$5,1,0)),"")</f>
        <v/>
      </c>
      <c r="AQ195" s="32" t="str">
        <f>IF(AP195="","",EDATE(Roster!$B195,12*AP195))</f>
        <v/>
      </c>
      <c r="AR195" t="str">
        <f>IF(AQ195="","",IF(AQ195&lt;DATE(YEAR(Setup!$C$5)+1,MONTH(Setup!$C$5),DAY(Setup!$C$5)),AQ195+190/1000,""))</f>
        <v/>
      </c>
      <c r="AS195" t="str">
        <f t="shared" si="22"/>
        <v/>
      </c>
      <c r="AT195" t="str">
        <f>IF(AS195="","",IF(ISNUMBER(Roster!$D195),Roster!$D195&gt;=AP195,FALSE))</f>
        <v/>
      </c>
      <c r="AU195" t="str">
        <f t="shared" si="23"/>
        <v/>
      </c>
      <c r="AV195" t="str">
        <f ca="1">IF(190&gt;$AV$2,"",SMALL($AR$6:$AR$505,190))</f>
        <v/>
      </c>
      <c r="AW195" t="str">
        <f t="shared" ca="1" si="24"/>
        <v/>
      </c>
    </row>
    <row r="196" spans="2:49" x14ac:dyDescent="0.2">
      <c r="B196" s="32" t="str">
        <f>IF(AND(ISNUMBER(Roster!$B196),Setup!$B$20="Yes",ISNUMBER(Setup!$C$20)),EDATE(Roster!$B196,12*Setup!$C$20),"")</f>
        <v/>
      </c>
      <c r="C196" s="32" t="str">
        <f>IF(AND(ISNUMBER(Roster!$B196),Setup!$B$21="Yes",ISNUMBER(Setup!$C$21)),EDATE(Roster!$B196,12*Setup!$C$21),"")</f>
        <v/>
      </c>
      <c r="D196" s="32" t="str">
        <f>IF(AND(ISNUMBER(Roster!$B196),Setup!$B$22="Yes",ISNUMBER(Setup!$C$22)),EDATE(Roster!$B196,12*Setup!$C$22),"")</f>
        <v/>
      </c>
      <c r="E196" s="32" t="str">
        <f>IF(AND(ISNUMBER(Roster!$B196),Setup!$B$23="Yes",ISNUMBER(Setup!$C$23)),EDATE(Roster!$B196,12*Setup!$C$23),"")</f>
        <v/>
      </c>
      <c r="F196" s="32" t="str">
        <f>IF(AND(ISNUMBER(Roster!$B196),Setup!$B$24="Yes",ISNUMBER(Setup!$C$24)),EDATE(Roster!$B196,12*Setup!$C$24),"")</f>
        <v/>
      </c>
      <c r="G196" s="32" t="str">
        <f>IF(AND(ISNUMBER(Roster!$B196),Setup!$B$25="Yes",ISNUMBER(Setup!$C$25)),EDATE(Roster!$B196,12*Setup!$C$25),"")</f>
        <v/>
      </c>
      <c r="H196" s="32" t="str">
        <f>IF(AND(ISNUMBER(Roster!$B196),Setup!$B$26="Yes",ISNUMBER(Setup!$C$26)),EDATE(Roster!$B196,12*Setup!$C$26),"")</f>
        <v/>
      </c>
      <c r="I196" s="32" t="str">
        <f>IF(AND(ISNUMBER(Roster!$B196),Setup!$B$27="Yes",ISNUMBER(Setup!$C$27)),EDATE(Roster!$B196,12*Setup!$C$27),"")</f>
        <v/>
      </c>
      <c r="J196" s="32" t="str">
        <f>IF(AND(ISNUMBER(Roster!$B196),Setup!$B$28="Yes",ISNUMBER(Setup!$C$28)),EDATE(Roster!$B196,12*Setup!$C$28),"")</f>
        <v/>
      </c>
      <c r="K196" s="32" t="str">
        <f>IF(AND(ISNUMBER(Roster!$B196),Setup!$B$29="Yes",ISNUMBER(Setup!$C$29)),EDATE(Roster!$B196,12*Setup!$C$29),"")</f>
        <v/>
      </c>
      <c r="L196" s="32" t="str">
        <f>IF(AND(ISNUMBER(Roster!$B196),Setup!$B$30="Yes",ISNUMBER(Setup!$C$30)),EDATE(Roster!$B196,12*Setup!$C$30),"")</f>
        <v/>
      </c>
      <c r="M196" s="32" t="str">
        <f>IF(AND(ISNUMBER(Roster!$B196),Setup!$B$31="Yes",ISNUMBER(Setup!$C$31)),EDATE(Roster!$B196,12*Setup!$C$31),"")</f>
        <v/>
      </c>
      <c r="N196" s="32" t="str">
        <f>IF(AND(ISNUMBER(Roster!$B196),Setup!$B$32="Yes",ISNUMBER(Setup!$C$32)),EDATE(Roster!$B196,12*Setup!$C$32),"")</f>
        <v/>
      </c>
      <c r="O196" s="32" t="str">
        <f>IF(AND(ISNUMBER(Roster!$B196),Setup!$B$33="Yes",ISNUMBER(Setup!$C$33)),EDATE(Roster!$B196,12*Setup!$C$33),"")</f>
        <v/>
      </c>
      <c r="P196" s="32" t="str">
        <f>IF(AND(ISNUMBER(Roster!$B196),Setup!$B$34="Yes",ISNUMBER(Setup!$C$34)),EDATE(Roster!$B196,12*Setup!$C$34),"")</f>
        <v/>
      </c>
      <c r="R196" t="str">
        <f>IF(B196="","",IF(B196&lt;Setup!$C$5-Setup!$C$6,"",IF(IF(ISNUMBER(Roster!$D196),Setup!$C$20&lt;=Roster!$D196,FALSE),"",IF(OR(IF(Setup!$C$15&lt;=Setup!$C$16,AND(MONTH(B196)&gt;=Setup!$C$15,MONTH(B196)&lt;=Setup!$C$16),OR(MONTH(B196)&gt;=Setup!$C$15,MONTH(B196)&lt;=Setup!$C$16)),IF(Setup!$C$15&lt;=Setup!$C$16,AND(MONTH(WORKDAY(B196,-(Setup!$C$13+Setup!$G$20),Setup!$C$39:$C$50))&gt;=Setup!$C$15,MONTH(WORKDAY(B196,-(Setup!$C$13+Setup!$G$20),Setup!$C$39:$C$50))&lt;=Setup!$C$16),OR(MONTH(WORKDAY(B196,-(Setup!$C$13+Setup!$G$20),Setup!$C$39:$C$50))&gt;=Setup!$C$15,MONTH(WORKDAY(B196,-(Setup!$C$13+Setup!$G$20),Setup!$C$39:$C$50))&lt;=Setup!$C$16))),WORKDAY(B196,-(Setup!$C$13+Setup!$G$20+Setup!$C$14),Setup!$C$39:$C$50),WORKDAY(B196,-(Setup!$C$13+Setup!$G$20),Setup!$C$39:$C$50))+(191*100+1)/10000000)))</f>
        <v/>
      </c>
      <c r="S196" t="str">
        <f>IF(C196="","",IF(C196&lt;Setup!$C$5-Setup!$C$6,"",IF(IF(ISNUMBER(Roster!$D196),Setup!$C$21&lt;=Roster!$D196,FALSE),"",IF(OR(IF(Setup!$C$15&lt;=Setup!$C$16,AND(MONTH(C196)&gt;=Setup!$C$15,MONTH(C196)&lt;=Setup!$C$16),OR(MONTH(C196)&gt;=Setup!$C$15,MONTH(C196)&lt;=Setup!$C$16)),IF(Setup!$C$15&lt;=Setup!$C$16,AND(MONTH(WORKDAY(C196,-(Setup!$C$13+Setup!$G$21),Setup!$C$39:$C$50))&gt;=Setup!$C$15,MONTH(WORKDAY(C196,-(Setup!$C$13+Setup!$G$21),Setup!$C$39:$C$50))&lt;=Setup!$C$16),OR(MONTH(WORKDAY(C196,-(Setup!$C$13+Setup!$G$21),Setup!$C$39:$C$50))&gt;=Setup!$C$15,MONTH(WORKDAY(C196,-(Setup!$C$13+Setup!$G$21),Setup!$C$39:$C$50))&lt;=Setup!$C$16))),WORKDAY(C196,-(Setup!$C$13+Setup!$G$21+Setup!$C$14),Setup!$C$39:$C$50),WORKDAY(C196,-(Setup!$C$13+Setup!$G$21),Setup!$C$39:$C$50))+(191*100+2)/10000000)))</f>
        <v/>
      </c>
      <c r="T196" t="str">
        <f>IF(D196="","",IF(D196&lt;Setup!$C$5-Setup!$C$6,"",IF(IF(ISNUMBER(Roster!$D196),Setup!$C$22&lt;=Roster!$D196,FALSE),"",IF(OR(IF(Setup!$C$15&lt;=Setup!$C$16,AND(MONTH(D196)&gt;=Setup!$C$15,MONTH(D196)&lt;=Setup!$C$16),OR(MONTH(D196)&gt;=Setup!$C$15,MONTH(D196)&lt;=Setup!$C$16)),IF(Setup!$C$15&lt;=Setup!$C$16,AND(MONTH(WORKDAY(D196,-(Setup!$C$13+Setup!$G$22),Setup!$C$39:$C$50))&gt;=Setup!$C$15,MONTH(WORKDAY(D196,-(Setup!$C$13+Setup!$G$22),Setup!$C$39:$C$50))&lt;=Setup!$C$16),OR(MONTH(WORKDAY(D196,-(Setup!$C$13+Setup!$G$22),Setup!$C$39:$C$50))&gt;=Setup!$C$15,MONTH(WORKDAY(D196,-(Setup!$C$13+Setup!$G$22),Setup!$C$39:$C$50))&lt;=Setup!$C$16))),WORKDAY(D196,-(Setup!$C$13+Setup!$G$22+Setup!$C$14),Setup!$C$39:$C$50),WORKDAY(D196,-(Setup!$C$13+Setup!$G$22),Setup!$C$39:$C$50))+(191*100+3)/10000000)))</f>
        <v/>
      </c>
      <c r="U196" t="str">
        <f>IF(E196="","",IF(E196&lt;Setup!$C$5-Setup!$C$6,"",IF(IF(ISNUMBER(Roster!$D196),Setup!$C$23&lt;=Roster!$D196,FALSE),"",IF(OR(IF(Setup!$C$15&lt;=Setup!$C$16,AND(MONTH(E196)&gt;=Setup!$C$15,MONTH(E196)&lt;=Setup!$C$16),OR(MONTH(E196)&gt;=Setup!$C$15,MONTH(E196)&lt;=Setup!$C$16)),IF(Setup!$C$15&lt;=Setup!$C$16,AND(MONTH(WORKDAY(E196,-(Setup!$C$13+Setup!$G$23),Setup!$C$39:$C$50))&gt;=Setup!$C$15,MONTH(WORKDAY(E196,-(Setup!$C$13+Setup!$G$23),Setup!$C$39:$C$50))&lt;=Setup!$C$16),OR(MONTH(WORKDAY(E196,-(Setup!$C$13+Setup!$G$23),Setup!$C$39:$C$50))&gt;=Setup!$C$15,MONTH(WORKDAY(E196,-(Setup!$C$13+Setup!$G$23),Setup!$C$39:$C$50))&lt;=Setup!$C$16))),WORKDAY(E196,-(Setup!$C$13+Setup!$G$23+Setup!$C$14),Setup!$C$39:$C$50),WORKDAY(E196,-(Setup!$C$13+Setup!$G$23),Setup!$C$39:$C$50))+(191*100+4)/10000000)))</f>
        <v/>
      </c>
      <c r="V196" t="str">
        <f>IF(F196="","",IF(F196&lt;Setup!$C$5-Setup!$C$6,"",IF(IF(ISNUMBER(Roster!$D196),Setup!$C$24&lt;=Roster!$D196,FALSE),"",IF(OR(IF(Setup!$C$15&lt;=Setup!$C$16,AND(MONTH(F196)&gt;=Setup!$C$15,MONTH(F196)&lt;=Setup!$C$16),OR(MONTH(F196)&gt;=Setup!$C$15,MONTH(F196)&lt;=Setup!$C$16)),IF(Setup!$C$15&lt;=Setup!$C$16,AND(MONTH(WORKDAY(F196,-(Setup!$C$13+Setup!$G$24),Setup!$C$39:$C$50))&gt;=Setup!$C$15,MONTH(WORKDAY(F196,-(Setup!$C$13+Setup!$G$24),Setup!$C$39:$C$50))&lt;=Setup!$C$16),OR(MONTH(WORKDAY(F196,-(Setup!$C$13+Setup!$G$24),Setup!$C$39:$C$50))&gt;=Setup!$C$15,MONTH(WORKDAY(F196,-(Setup!$C$13+Setup!$G$24),Setup!$C$39:$C$50))&lt;=Setup!$C$16))),WORKDAY(F196,-(Setup!$C$13+Setup!$G$24+Setup!$C$14),Setup!$C$39:$C$50),WORKDAY(F196,-(Setup!$C$13+Setup!$G$24),Setup!$C$39:$C$50))+(191*100+5)/10000000)))</f>
        <v/>
      </c>
      <c r="W196" t="str">
        <f>IF(G196="","",IF(G196&lt;Setup!$C$5-Setup!$C$6,"",IF(IF(ISNUMBER(Roster!$D196),Setup!$C$25&lt;=Roster!$D196,FALSE),"",IF(OR(IF(Setup!$C$15&lt;=Setup!$C$16,AND(MONTH(G196)&gt;=Setup!$C$15,MONTH(G196)&lt;=Setup!$C$16),OR(MONTH(G196)&gt;=Setup!$C$15,MONTH(G196)&lt;=Setup!$C$16)),IF(Setup!$C$15&lt;=Setup!$C$16,AND(MONTH(WORKDAY(G196,-(Setup!$C$13+Setup!$G$25),Setup!$C$39:$C$50))&gt;=Setup!$C$15,MONTH(WORKDAY(G196,-(Setup!$C$13+Setup!$G$25),Setup!$C$39:$C$50))&lt;=Setup!$C$16),OR(MONTH(WORKDAY(G196,-(Setup!$C$13+Setup!$G$25),Setup!$C$39:$C$50))&gt;=Setup!$C$15,MONTH(WORKDAY(G196,-(Setup!$C$13+Setup!$G$25),Setup!$C$39:$C$50))&lt;=Setup!$C$16))),WORKDAY(G196,-(Setup!$C$13+Setup!$G$25+Setup!$C$14),Setup!$C$39:$C$50),WORKDAY(G196,-(Setup!$C$13+Setup!$G$25),Setup!$C$39:$C$50))+(191*100+6)/10000000)))</f>
        <v/>
      </c>
      <c r="X196" t="str">
        <f>IF(H196="","",IF(H196&lt;Setup!$C$5-Setup!$C$6,"",IF(IF(ISNUMBER(Roster!$D196),Setup!$C$26&lt;=Roster!$D196,FALSE),"",IF(OR(IF(Setup!$C$15&lt;=Setup!$C$16,AND(MONTH(H196)&gt;=Setup!$C$15,MONTH(H196)&lt;=Setup!$C$16),OR(MONTH(H196)&gt;=Setup!$C$15,MONTH(H196)&lt;=Setup!$C$16)),IF(Setup!$C$15&lt;=Setup!$C$16,AND(MONTH(WORKDAY(H196,-(Setup!$C$13+Setup!$G$26),Setup!$C$39:$C$50))&gt;=Setup!$C$15,MONTH(WORKDAY(H196,-(Setup!$C$13+Setup!$G$26),Setup!$C$39:$C$50))&lt;=Setup!$C$16),OR(MONTH(WORKDAY(H196,-(Setup!$C$13+Setup!$G$26),Setup!$C$39:$C$50))&gt;=Setup!$C$15,MONTH(WORKDAY(H196,-(Setup!$C$13+Setup!$G$26),Setup!$C$39:$C$50))&lt;=Setup!$C$16))),WORKDAY(H196,-(Setup!$C$13+Setup!$G$26+Setup!$C$14),Setup!$C$39:$C$50),WORKDAY(H196,-(Setup!$C$13+Setup!$G$26),Setup!$C$39:$C$50))+(191*100+7)/10000000)))</f>
        <v/>
      </c>
      <c r="Y196" t="str">
        <f>IF(I196="","",IF(I196&lt;Setup!$C$5-Setup!$C$6,"",IF(IF(ISNUMBER(Roster!$D196),Setup!$C$27&lt;=Roster!$D196,FALSE),"",IF(OR(IF(Setup!$C$15&lt;=Setup!$C$16,AND(MONTH(I196)&gt;=Setup!$C$15,MONTH(I196)&lt;=Setup!$C$16),OR(MONTH(I196)&gt;=Setup!$C$15,MONTH(I196)&lt;=Setup!$C$16)),IF(Setup!$C$15&lt;=Setup!$C$16,AND(MONTH(WORKDAY(I196,-(Setup!$C$13+Setup!$G$27),Setup!$C$39:$C$50))&gt;=Setup!$C$15,MONTH(WORKDAY(I196,-(Setup!$C$13+Setup!$G$27),Setup!$C$39:$C$50))&lt;=Setup!$C$16),OR(MONTH(WORKDAY(I196,-(Setup!$C$13+Setup!$G$27),Setup!$C$39:$C$50))&gt;=Setup!$C$15,MONTH(WORKDAY(I196,-(Setup!$C$13+Setup!$G$27),Setup!$C$39:$C$50))&lt;=Setup!$C$16))),WORKDAY(I196,-(Setup!$C$13+Setup!$G$27+Setup!$C$14),Setup!$C$39:$C$50),WORKDAY(I196,-(Setup!$C$13+Setup!$G$27),Setup!$C$39:$C$50))+(191*100+8)/10000000)))</f>
        <v/>
      </c>
      <c r="Z196" t="str">
        <f>IF(J196="","",IF(J196&lt;Setup!$C$5-Setup!$C$6,"",IF(IF(ISNUMBER(Roster!$D196),Setup!$C$28&lt;=Roster!$D196,FALSE),"",IF(OR(IF(Setup!$C$15&lt;=Setup!$C$16,AND(MONTH(J196)&gt;=Setup!$C$15,MONTH(J196)&lt;=Setup!$C$16),OR(MONTH(J196)&gt;=Setup!$C$15,MONTH(J196)&lt;=Setup!$C$16)),IF(Setup!$C$15&lt;=Setup!$C$16,AND(MONTH(WORKDAY(J196,-(Setup!$C$13+Setup!$G$28),Setup!$C$39:$C$50))&gt;=Setup!$C$15,MONTH(WORKDAY(J196,-(Setup!$C$13+Setup!$G$28),Setup!$C$39:$C$50))&lt;=Setup!$C$16),OR(MONTH(WORKDAY(J196,-(Setup!$C$13+Setup!$G$28),Setup!$C$39:$C$50))&gt;=Setup!$C$15,MONTH(WORKDAY(J196,-(Setup!$C$13+Setup!$G$28),Setup!$C$39:$C$50))&lt;=Setup!$C$16))),WORKDAY(J196,-(Setup!$C$13+Setup!$G$28+Setup!$C$14),Setup!$C$39:$C$50),WORKDAY(J196,-(Setup!$C$13+Setup!$G$28),Setup!$C$39:$C$50))+(191*100+9)/10000000)))</f>
        <v/>
      </c>
      <c r="AA196" t="str">
        <f>IF(K196="","",IF(K196&lt;Setup!$C$5-Setup!$C$6,"",IF(IF(ISNUMBER(Roster!$D196),Setup!$C$29&lt;=Roster!$D196,FALSE),"",IF(OR(IF(Setup!$C$15&lt;=Setup!$C$16,AND(MONTH(K196)&gt;=Setup!$C$15,MONTH(K196)&lt;=Setup!$C$16),OR(MONTH(K196)&gt;=Setup!$C$15,MONTH(K196)&lt;=Setup!$C$16)),IF(Setup!$C$15&lt;=Setup!$C$16,AND(MONTH(WORKDAY(K196,-(Setup!$C$13+Setup!$G$29),Setup!$C$39:$C$50))&gt;=Setup!$C$15,MONTH(WORKDAY(K196,-(Setup!$C$13+Setup!$G$29),Setup!$C$39:$C$50))&lt;=Setup!$C$16),OR(MONTH(WORKDAY(K196,-(Setup!$C$13+Setup!$G$29),Setup!$C$39:$C$50))&gt;=Setup!$C$15,MONTH(WORKDAY(K196,-(Setup!$C$13+Setup!$G$29),Setup!$C$39:$C$50))&lt;=Setup!$C$16))),WORKDAY(K196,-(Setup!$C$13+Setup!$G$29+Setup!$C$14),Setup!$C$39:$C$50),WORKDAY(K196,-(Setup!$C$13+Setup!$G$29),Setup!$C$39:$C$50))+(191*100+10)/10000000)))</f>
        <v/>
      </c>
      <c r="AB196" t="str">
        <f>IF(L196="","",IF(L196&lt;Setup!$C$5-Setup!$C$6,"",IF(IF(ISNUMBER(Roster!$D196),Setup!$C$30&lt;=Roster!$D196,FALSE),"",IF(OR(IF(Setup!$C$15&lt;=Setup!$C$16,AND(MONTH(L196)&gt;=Setup!$C$15,MONTH(L196)&lt;=Setup!$C$16),OR(MONTH(L196)&gt;=Setup!$C$15,MONTH(L196)&lt;=Setup!$C$16)),IF(Setup!$C$15&lt;=Setup!$C$16,AND(MONTH(WORKDAY(L196,-(Setup!$C$13+Setup!$G$30),Setup!$C$39:$C$50))&gt;=Setup!$C$15,MONTH(WORKDAY(L196,-(Setup!$C$13+Setup!$G$30),Setup!$C$39:$C$50))&lt;=Setup!$C$16),OR(MONTH(WORKDAY(L196,-(Setup!$C$13+Setup!$G$30),Setup!$C$39:$C$50))&gt;=Setup!$C$15,MONTH(WORKDAY(L196,-(Setup!$C$13+Setup!$G$30),Setup!$C$39:$C$50))&lt;=Setup!$C$16))),WORKDAY(L196,-(Setup!$C$13+Setup!$G$30+Setup!$C$14),Setup!$C$39:$C$50),WORKDAY(L196,-(Setup!$C$13+Setup!$G$30),Setup!$C$39:$C$50))+(191*100+11)/10000000)))</f>
        <v/>
      </c>
      <c r="AC196" t="str">
        <f>IF(M196="","",IF(M196&lt;Setup!$C$5-Setup!$C$6,"",IF(IF(ISNUMBER(Roster!$D196),Setup!$C$31&lt;=Roster!$D196,FALSE),"",IF(OR(IF(Setup!$C$15&lt;=Setup!$C$16,AND(MONTH(M196)&gt;=Setup!$C$15,MONTH(M196)&lt;=Setup!$C$16),OR(MONTH(M196)&gt;=Setup!$C$15,MONTH(M196)&lt;=Setup!$C$16)),IF(Setup!$C$15&lt;=Setup!$C$16,AND(MONTH(WORKDAY(M196,-(Setup!$C$13+Setup!$G$31),Setup!$C$39:$C$50))&gt;=Setup!$C$15,MONTH(WORKDAY(M196,-(Setup!$C$13+Setup!$G$31),Setup!$C$39:$C$50))&lt;=Setup!$C$16),OR(MONTH(WORKDAY(M196,-(Setup!$C$13+Setup!$G$31),Setup!$C$39:$C$50))&gt;=Setup!$C$15,MONTH(WORKDAY(M196,-(Setup!$C$13+Setup!$G$31),Setup!$C$39:$C$50))&lt;=Setup!$C$16))),WORKDAY(M196,-(Setup!$C$13+Setup!$G$31+Setup!$C$14),Setup!$C$39:$C$50),WORKDAY(M196,-(Setup!$C$13+Setup!$G$31),Setup!$C$39:$C$50))+(191*100+12)/10000000)))</f>
        <v/>
      </c>
      <c r="AD196" t="str">
        <f>IF(N196="","",IF(N196&lt;Setup!$C$5-Setup!$C$6,"",IF(IF(ISNUMBER(Roster!$D196),Setup!$C$32&lt;=Roster!$D196,FALSE),"",IF(OR(IF(Setup!$C$15&lt;=Setup!$C$16,AND(MONTH(N196)&gt;=Setup!$C$15,MONTH(N196)&lt;=Setup!$C$16),OR(MONTH(N196)&gt;=Setup!$C$15,MONTH(N196)&lt;=Setup!$C$16)),IF(Setup!$C$15&lt;=Setup!$C$16,AND(MONTH(WORKDAY(N196,-(Setup!$C$13+Setup!$G$32),Setup!$C$39:$C$50))&gt;=Setup!$C$15,MONTH(WORKDAY(N196,-(Setup!$C$13+Setup!$G$32),Setup!$C$39:$C$50))&lt;=Setup!$C$16),OR(MONTH(WORKDAY(N196,-(Setup!$C$13+Setup!$G$32),Setup!$C$39:$C$50))&gt;=Setup!$C$15,MONTH(WORKDAY(N196,-(Setup!$C$13+Setup!$G$32),Setup!$C$39:$C$50))&lt;=Setup!$C$16))),WORKDAY(N196,-(Setup!$C$13+Setup!$G$32+Setup!$C$14),Setup!$C$39:$C$50),WORKDAY(N196,-(Setup!$C$13+Setup!$G$32),Setup!$C$39:$C$50))+(191*100+13)/10000000)))</f>
        <v/>
      </c>
      <c r="AE196" t="str">
        <f>IF(O196="","",IF(O196&lt;Setup!$C$5-Setup!$C$6,"",IF(IF(ISNUMBER(Roster!$D196),Setup!$C$33&lt;=Roster!$D196,FALSE),"",IF(OR(IF(Setup!$C$15&lt;=Setup!$C$16,AND(MONTH(O196)&gt;=Setup!$C$15,MONTH(O196)&lt;=Setup!$C$16),OR(MONTH(O196)&gt;=Setup!$C$15,MONTH(O196)&lt;=Setup!$C$16)),IF(Setup!$C$15&lt;=Setup!$C$16,AND(MONTH(WORKDAY(O196,-(Setup!$C$13+Setup!$G$33),Setup!$C$39:$C$50))&gt;=Setup!$C$15,MONTH(WORKDAY(O196,-(Setup!$C$13+Setup!$G$33),Setup!$C$39:$C$50))&lt;=Setup!$C$16),OR(MONTH(WORKDAY(O196,-(Setup!$C$13+Setup!$G$33),Setup!$C$39:$C$50))&gt;=Setup!$C$15,MONTH(WORKDAY(O196,-(Setup!$C$13+Setup!$G$33),Setup!$C$39:$C$50))&lt;=Setup!$C$16))),WORKDAY(O196,-(Setup!$C$13+Setup!$G$33+Setup!$C$14),Setup!$C$39:$C$50),WORKDAY(O196,-(Setup!$C$13+Setup!$G$33),Setup!$C$39:$C$50))+(191*100+14)/10000000)))</f>
        <v/>
      </c>
      <c r="AF196" t="str">
        <f>IF(P196="","",IF(P196&lt;Setup!$C$5-Setup!$C$6,"",IF(IF(ISNUMBER(Roster!$D196),Setup!$C$34&lt;=Roster!$D196,FALSE),"",IF(OR(IF(Setup!$C$15&lt;=Setup!$C$16,AND(MONTH(P196)&gt;=Setup!$C$15,MONTH(P196)&lt;=Setup!$C$16),OR(MONTH(P196)&gt;=Setup!$C$15,MONTH(P196)&lt;=Setup!$C$16)),IF(Setup!$C$15&lt;=Setup!$C$16,AND(MONTH(WORKDAY(P196,-(Setup!$C$13+Setup!$G$34),Setup!$C$39:$C$50))&gt;=Setup!$C$15,MONTH(WORKDAY(P196,-(Setup!$C$13+Setup!$G$34),Setup!$C$39:$C$50))&lt;=Setup!$C$16),OR(MONTH(WORKDAY(P196,-(Setup!$C$13+Setup!$G$34),Setup!$C$39:$C$50))&gt;=Setup!$C$15,MONTH(WORKDAY(P196,-(Setup!$C$13+Setup!$G$34),Setup!$C$39:$C$50))&lt;=Setup!$C$16))),WORKDAY(P196,-(Setup!$C$13+Setup!$G$34+Setup!$C$14),Setup!$C$39:$C$50),WORKDAY(P196,-(Setup!$C$13+Setup!$G$34),Setup!$C$39:$C$50))+(191*100+15)/10000000)))</f>
        <v/>
      </c>
      <c r="AH196" t="str">
        <f t="shared" si="17"/>
        <v/>
      </c>
      <c r="AI196" t="str">
        <f t="shared" si="18"/>
        <v/>
      </c>
      <c r="AK196" t="str">
        <f ca="1">IF(191&gt;$AK$2,"",SMALL($R$6:$AF$505,191))</f>
        <v/>
      </c>
      <c r="AL196" t="str">
        <f t="shared" ca="1" si="19"/>
        <v/>
      </c>
      <c r="AM196" t="str">
        <f t="shared" ca="1" si="20"/>
        <v/>
      </c>
      <c r="AN196" t="str">
        <f t="shared" ca="1" si="21"/>
        <v/>
      </c>
      <c r="AP196" t="str">
        <f>IF(ISNUMBER(Roster!$B196),MAX(1,YEAR(Setup!$C$5)-YEAR(Roster!$B196)+IF(EDATE(Roster!$B196,12*(YEAR(Setup!$C$5)-YEAR(Roster!$B196)))&lt;Setup!$C$5,1,0)),"")</f>
        <v/>
      </c>
      <c r="AQ196" s="32" t="str">
        <f>IF(AP196="","",EDATE(Roster!$B196,12*AP196))</f>
        <v/>
      </c>
      <c r="AR196" t="str">
        <f>IF(AQ196="","",IF(AQ196&lt;DATE(YEAR(Setup!$C$5)+1,MONTH(Setup!$C$5),DAY(Setup!$C$5)),AQ196+191/1000,""))</f>
        <v/>
      </c>
      <c r="AS196" t="str">
        <f t="shared" si="22"/>
        <v/>
      </c>
      <c r="AT196" t="str">
        <f>IF(AS196="","",IF(ISNUMBER(Roster!$D196),Roster!$D196&gt;=AP196,FALSE))</f>
        <v/>
      </c>
      <c r="AU196" t="str">
        <f t="shared" si="23"/>
        <v/>
      </c>
      <c r="AV196" t="str">
        <f ca="1">IF(191&gt;$AV$2,"",SMALL($AR$6:$AR$505,191))</f>
        <v/>
      </c>
      <c r="AW196" t="str">
        <f t="shared" ca="1" si="24"/>
        <v/>
      </c>
    </row>
    <row r="197" spans="2:49" x14ac:dyDescent="0.2">
      <c r="B197" s="32" t="str">
        <f>IF(AND(ISNUMBER(Roster!$B197),Setup!$B$20="Yes",ISNUMBER(Setup!$C$20)),EDATE(Roster!$B197,12*Setup!$C$20),"")</f>
        <v/>
      </c>
      <c r="C197" s="32" t="str">
        <f>IF(AND(ISNUMBER(Roster!$B197),Setup!$B$21="Yes",ISNUMBER(Setup!$C$21)),EDATE(Roster!$B197,12*Setup!$C$21),"")</f>
        <v/>
      </c>
      <c r="D197" s="32" t="str">
        <f>IF(AND(ISNUMBER(Roster!$B197),Setup!$B$22="Yes",ISNUMBER(Setup!$C$22)),EDATE(Roster!$B197,12*Setup!$C$22),"")</f>
        <v/>
      </c>
      <c r="E197" s="32" t="str">
        <f>IF(AND(ISNUMBER(Roster!$B197),Setup!$B$23="Yes",ISNUMBER(Setup!$C$23)),EDATE(Roster!$B197,12*Setup!$C$23),"")</f>
        <v/>
      </c>
      <c r="F197" s="32" t="str">
        <f>IF(AND(ISNUMBER(Roster!$B197),Setup!$B$24="Yes",ISNUMBER(Setup!$C$24)),EDATE(Roster!$B197,12*Setup!$C$24),"")</f>
        <v/>
      </c>
      <c r="G197" s="32" t="str">
        <f>IF(AND(ISNUMBER(Roster!$B197),Setup!$B$25="Yes",ISNUMBER(Setup!$C$25)),EDATE(Roster!$B197,12*Setup!$C$25),"")</f>
        <v/>
      </c>
      <c r="H197" s="32" t="str">
        <f>IF(AND(ISNUMBER(Roster!$B197),Setup!$B$26="Yes",ISNUMBER(Setup!$C$26)),EDATE(Roster!$B197,12*Setup!$C$26),"")</f>
        <v/>
      </c>
      <c r="I197" s="32" t="str">
        <f>IF(AND(ISNUMBER(Roster!$B197),Setup!$B$27="Yes",ISNUMBER(Setup!$C$27)),EDATE(Roster!$B197,12*Setup!$C$27),"")</f>
        <v/>
      </c>
      <c r="J197" s="32" t="str">
        <f>IF(AND(ISNUMBER(Roster!$B197),Setup!$B$28="Yes",ISNUMBER(Setup!$C$28)),EDATE(Roster!$B197,12*Setup!$C$28),"")</f>
        <v/>
      </c>
      <c r="K197" s="32" t="str">
        <f>IF(AND(ISNUMBER(Roster!$B197),Setup!$B$29="Yes",ISNUMBER(Setup!$C$29)),EDATE(Roster!$B197,12*Setup!$C$29),"")</f>
        <v/>
      </c>
      <c r="L197" s="32" t="str">
        <f>IF(AND(ISNUMBER(Roster!$B197),Setup!$B$30="Yes",ISNUMBER(Setup!$C$30)),EDATE(Roster!$B197,12*Setup!$C$30),"")</f>
        <v/>
      </c>
      <c r="M197" s="32" t="str">
        <f>IF(AND(ISNUMBER(Roster!$B197),Setup!$B$31="Yes",ISNUMBER(Setup!$C$31)),EDATE(Roster!$B197,12*Setup!$C$31),"")</f>
        <v/>
      </c>
      <c r="N197" s="32" t="str">
        <f>IF(AND(ISNUMBER(Roster!$B197),Setup!$B$32="Yes",ISNUMBER(Setup!$C$32)),EDATE(Roster!$B197,12*Setup!$C$32),"")</f>
        <v/>
      </c>
      <c r="O197" s="32" t="str">
        <f>IF(AND(ISNUMBER(Roster!$B197),Setup!$B$33="Yes",ISNUMBER(Setup!$C$33)),EDATE(Roster!$B197,12*Setup!$C$33),"")</f>
        <v/>
      </c>
      <c r="P197" s="32" t="str">
        <f>IF(AND(ISNUMBER(Roster!$B197),Setup!$B$34="Yes",ISNUMBER(Setup!$C$34)),EDATE(Roster!$B197,12*Setup!$C$34),"")</f>
        <v/>
      </c>
      <c r="R197" t="str">
        <f>IF(B197="","",IF(B197&lt;Setup!$C$5-Setup!$C$6,"",IF(IF(ISNUMBER(Roster!$D197),Setup!$C$20&lt;=Roster!$D197,FALSE),"",IF(OR(IF(Setup!$C$15&lt;=Setup!$C$16,AND(MONTH(B197)&gt;=Setup!$C$15,MONTH(B197)&lt;=Setup!$C$16),OR(MONTH(B197)&gt;=Setup!$C$15,MONTH(B197)&lt;=Setup!$C$16)),IF(Setup!$C$15&lt;=Setup!$C$16,AND(MONTH(WORKDAY(B197,-(Setup!$C$13+Setup!$G$20),Setup!$C$39:$C$50))&gt;=Setup!$C$15,MONTH(WORKDAY(B197,-(Setup!$C$13+Setup!$G$20),Setup!$C$39:$C$50))&lt;=Setup!$C$16),OR(MONTH(WORKDAY(B197,-(Setup!$C$13+Setup!$G$20),Setup!$C$39:$C$50))&gt;=Setup!$C$15,MONTH(WORKDAY(B197,-(Setup!$C$13+Setup!$G$20),Setup!$C$39:$C$50))&lt;=Setup!$C$16))),WORKDAY(B197,-(Setup!$C$13+Setup!$G$20+Setup!$C$14),Setup!$C$39:$C$50),WORKDAY(B197,-(Setup!$C$13+Setup!$G$20),Setup!$C$39:$C$50))+(192*100+1)/10000000)))</f>
        <v/>
      </c>
      <c r="S197" t="str">
        <f>IF(C197="","",IF(C197&lt;Setup!$C$5-Setup!$C$6,"",IF(IF(ISNUMBER(Roster!$D197),Setup!$C$21&lt;=Roster!$D197,FALSE),"",IF(OR(IF(Setup!$C$15&lt;=Setup!$C$16,AND(MONTH(C197)&gt;=Setup!$C$15,MONTH(C197)&lt;=Setup!$C$16),OR(MONTH(C197)&gt;=Setup!$C$15,MONTH(C197)&lt;=Setup!$C$16)),IF(Setup!$C$15&lt;=Setup!$C$16,AND(MONTH(WORKDAY(C197,-(Setup!$C$13+Setup!$G$21),Setup!$C$39:$C$50))&gt;=Setup!$C$15,MONTH(WORKDAY(C197,-(Setup!$C$13+Setup!$G$21),Setup!$C$39:$C$50))&lt;=Setup!$C$16),OR(MONTH(WORKDAY(C197,-(Setup!$C$13+Setup!$G$21),Setup!$C$39:$C$50))&gt;=Setup!$C$15,MONTH(WORKDAY(C197,-(Setup!$C$13+Setup!$G$21),Setup!$C$39:$C$50))&lt;=Setup!$C$16))),WORKDAY(C197,-(Setup!$C$13+Setup!$G$21+Setup!$C$14),Setup!$C$39:$C$50),WORKDAY(C197,-(Setup!$C$13+Setup!$G$21),Setup!$C$39:$C$50))+(192*100+2)/10000000)))</f>
        <v/>
      </c>
      <c r="T197" t="str">
        <f>IF(D197="","",IF(D197&lt;Setup!$C$5-Setup!$C$6,"",IF(IF(ISNUMBER(Roster!$D197),Setup!$C$22&lt;=Roster!$D197,FALSE),"",IF(OR(IF(Setup!$C$15&lt;=Setup!$C$16,AND(MONTH(D197)&gt;=Setup!$C$15,MONTH(D197)&lt;=Setup!$C$16),OR(MONTH(D197)&gt;=Setup!$C$15,MONTH(D197)&lt;=Setup!$C$16)),IF(Setup!$C$15&lt;=Setup!$C$16,AND(MONTH(WORKDAY(D197,-(Setup!$C$13+Setup!$G$22),Setup!$C$39:$C$50))&gt;=Setup!$C$15,MONTH(WORKDAY(D197,-(Setup!$C$13+Setup!$G$22),Setup!$C$39:$C$50))&lt;=Setup!$C$16),OR(MONTH(WORKDAY(D197,-(Setup!$C$13+Setup!$G$22),Setup!$C$39:$C$50))&gt;=Setup!$C$15,MONTH(WORKDAY(D197,-(Setup!$C$13+Setup!$G$22),Setup!$C$39:$C$50))&lt;=Setup!$C$16))),WORKDAY(D197,-(Setup!$C$13+Setup!$G$22+Setup!$C$14),Setup!$C$39:$C$50),WORKDAY(D197,-(Setup!$C$13+Setup!$G$22),Setup!$C$39:$C$50))+(192*100+3)/10000000)))</f>
        <v/>
      </c>
      <c r="U197" t="str">
        <f>IF(E197="","",IF(E197&lt;Setup!$C$5-Setup!$C$6,"",IF(IF(ISNUMBER(Roster!$D197),Setup!$C$23&lt;=Roster!$D197,FALSE),"",IF(OR(IF(Setup!$C$15&lt;=Setup!$C$16,AND(MONTH(E197)&gt;=Setup!$C$15,MONTH(E197)&lt;=Setup!$C$16),OR(MONTH(E197)&gt;=Setup!$C$15,MONTH(E197)&lt;=Setup!$C$16)),IF(Setup!$C$15&lt;=Setup!$C$16,AND(MONTH(WORKDAY(E197,-(Setup!$C$13+Setup!$G$23),Setup!$C$39:$C$50))&gt;=Setup!$C$15,MONTH(WORKDAY(E197,-(Setup!$C$13+Setup!$G$23),Setup!$C$39:$C$50))&lt;=Setup!$C$16),OR(MONTH(WORKDAY(E197,-(Setup!$C$13+Setup!$G$23),Setup!$C$39:$C$50))&gt;=Setup!$C$15,MONTH(WORKDAY(E197,-(Setup!$C$13+Setup!$G$23),Setup!$C$39:$C$50))&lt;=Setup!$C$16))),WORKDAY(E197,-(Setup!$C$13+Setup!$G$23+Setup!$C$14),Setup!$C$39:$C$50),WORKDAY(E197,-(Setup!$C$13+Setup!$G$23),Setup!$C$39:$C$50))+(192*100+4)/10000000)))</f>
        <v/>
      </c>
      <c r="V197" t="str">
        <f>IF(F197="","",IF(F197&lt;Setup!$C$5-Setup!$C$6,"",IF(IF(ISNUMBER(Roster!$D197),Setup!$C$24&lt;=Roster!$D197,FALSE),"",IF(OR(IF(Setup!$C$15&lt;=Setup!$C$16,AND(MONTH(F197)&gt;=Setup!$C$15,MONTH(F197)&lt;=Setup!$C$16),OR(MONTH(F197)&gt;=Setup!$C$15,MONTH(F197)&lt;=Setup!$C$16)),IF(Setup!$C$15&lt;=Setup!$C$16,AND(MONTH(WORKDAY(F197,-(Setup!$C$13+Setup!$G$24),Setup!$C$39:$C$50))&gt;=Setup!$C$15,MONTH(WORKDAY(F197,-(Setup!$C$13+Setup!$G$24),Setup!$C$39:$C$50))&lt;=Setup!$C$16),OR(MONTH(WORKDAY(F197,-(Setup!$C$13+Setup!$G$24),Setup!$C$39:$C$50))&gt;=Setup!$C$15,MONTH(WORKDAY(F197,-(Setup!$C$13+Setup!$G$24),Setup!$C$39:$C$50))&lt;=Setup!$C$16))),WORKDAY(F197,-(Setup!$C$13+Setup!$G$24+Setup!$C$14),Setup!$C$39:$C$50),WORKDAY(F197,-(Setup!$C$13+Setup!$G$24),Setup!$C$39:$C$50))+(192*100+5)/10000000)))</f>
        <v/>
      </c>
      <c r="W197" t="str">
        <f>IF(G197="","",IF(G197&lt;Setup!$C$5-Setup!$C$6,"",IF(IF(ISNUMBER(Roster!$D197),Setup!$C$25&lt;=Roster!$D197,FALSE),"",IF(OR(IF(Setup!$C$15&lt;=Setup!$C$16,AND(MONTH(G197)&gt;=Setup!$C$15,MONTH(G197)&lt;=Setup!$C$16),OR(MONTH(G197)&gt;=Setup!$C$15,MONTH(G197)&lt;=Setup!$C$16)),IF(Setup!$C$15&lt;=Setup!$C$16,AND(MONTH(WORKDAY(G197,-(Setup!$C$13+Setup!$G$25),Setup!$C$39:$C$50))&gt;=Setup!$C$15,MONTH(WORKDAY(G197,-(Setup!$C$13+Setup!$G$25),Setup!$C$39:$C$50))&lt;=Setup!$C$16),OR(MONTH(WORKDAY(G197,-(Setup!$C$13+Setup!$G$25),Setup!$C$39:$C$50))&gt;=Setup!$C$15,MONTH(WORKDAY(G197,-(Setup!$C$13+Setup!$G$25),Setup!$C$39:$C$50))&lt;=Setup!$C$16))),WORKDAY(G197,-(Setup!$C$13+Setup!$G$25+Setup!$C$14),Setup!$C$39:$C$50),WORKDAY(G197,-(Setup!$C$13+Setup!$G$25),Setup!$C$39:$C$50))+(192*100+6)/10000000)))</f>
        <v/>
      </c>
      <c r="X197" t="str">
        <f>IF(H197="","",IF(H197&lt;Setup!$C$5-Setup!$C$6,"",IF(IF(ISNUMBER(Roster!$D197),Setup!$C$26&lt;=Roster!$D197,FALSE),"",IF(OR(IF(Setup!$C$15&lt;=Setup!$C$16,AND(MONTH(H197)&gt;=Setup!$C$15,MONTH(H197)&lt;=Setup!$C$16),OR(MONTH(H197)&gt;=Setup!$C$15,MONTH(H197)&lt;=Setup!$C$16)),IF(Setup!$C$15&lt;=Setup!$C$16,AND(MONTH(WORKDAY(H197,-(Setup!$C$13+Setup!$G$26),Setup!$C$39:$C$50))&gt;=Setup!$C$15,MONTH(WORKDAY(H197,-(Setup!$C$13+Setup!$G$26),Setup!$C$39:$C$50))&lt;=Setup!$C$16),OR(MONTH(WORKDAY(H197,-(Setup!$C$13+Setup!$G$26),Setup!$C$39:$C$50))&gt;=Setup!$C$15,MONTH(WORKDAY(H197,-(Setup!$C$13+Setup!$G$26),Setup!$C$39:$C$50))&lt;=Setup!$C$16))),WORKDAY(H197,-(Setup!$C$13+Setup!$G$26+Setup!$C$14),Setup!$C$39:$C$50),WORKDAY(H197,-(Setup!$C$13+Setup!$G$26),Setup!$C$39:$C$50))+(192*100+7)/10000000)))</f>
        <v/>
      </c>
      <c r="Y197" t="str">
        <f>IF(I197="","",IF(I197&lt;Setup!$C$5-Setup!$C$6,"",IF(IF(ISNUMBER(Roster!$D197),Setup!$C$27&lt;=Roster!$D197,FALSE),"",IF(OR(IF(Setup!$C$15&lt;=Setup!$C$16,AND(MONTH(I197)&gt;=Setup!$C$15,MONTH(I197)&lt;=Setup!$C$16),OR(MONTH(I197)&gt;=Setup!$C$15,MONTH(I197)&lt;=Setup!$C$16)),IF(Setup!$C$15&lt;=Setup!$C$16,AND(MONTH(WORKDAY(I197,-(Setup!$C$13+Setup!$G$27),Setup!$C$39:$C$50))&gt;=Setup!$C$15,MONTH(WORKDAY(I197,-(Setup!$C$13+Setup!$G$27),Setup!$C$39:$C$50))&lt;=Setup!$C$16),OR(MONTH(WORKDAY(I197,-(Setup!$C$13+Setup!$G$27),Setup!$C$39:$C$50))&gt;=Setup!$C$15,MONTH(WORKDAY(I197,-(Setup!$C$13+Setup!$G$27),Setup!$C$39:$C$50))&lt;=Setup!$C$16))),WORKDAY(I197,-(Setup!$C$13+Setup!$G$27+Setup!$C$14),Setup!$C$39:$C$50),WORKDAY(I197,-(Setup!$C$13+Setup!$G$27),Setup!$C$39:$C$50))+(192*100+8)/10000000)))</f>
        <v/>
      </c>
      <c r="Z197" t="str">
        <f>IF(J197="","",IF(J197&lt;Setup!$C$5-Setup!$C$6,"",IF(IF(ISNUMBER(Roster!$D197),Setup!$C$28&lt;=Roster!$D197,FALSE),"",IF(OR(IF(Setup!$C$15&lt;=Setup!$C$16,AND(MONTH(J197)&gt;=Setup!$C$15,MONTH(J197)&lt;=Setup!$C$16),OR(MONTH(J197)&gt;=Setup!$C$15,MONTH(J197)&lt;=Setup!$C$16)),IF(Setup!$C$15&lt;=Setup!$C$16,AND(MONTH(WORKDAY(J197,-(Setup!$C$13+Setup!$G$28),Setup!$C$39:$C$50))&gt;=Setup!$C$15,MONTH(WORKDAY(J197,-(Setup!$C$13+Setup!$G$28),Setup!$C$39:$C$50))&lt;=Setup!$C$16),OR(MONTH(WORKDAY(J197,-(Setup!$C$13+Setup!$G$28),Setup!$C$39:$C$50))&gt;=Setup!$C$15,MONTH(WORKDAY(J197,-(Setup!$C$13+Setup!$G$28),Setup!$C$39:$C$50))&lt;=Setup!$C$16))),WORKDAY(J197,-(Setup!$C$13+Setup!$G$28+Setup!$C$14),Setup!$C$39:$C$50),WORKDAY(J197,-(Setup!$C$13+Setup!$G$28),Setup!$C$39:$C$50))+(192*100+9)/10000000)))</f>
        <v/>
      </c>
      <c r="AA197" t="str">
        <f>IF(K197="","",IF(K197&lt;Setup!$C$5-Setup!$C$6,"",IF(IF(ISNUMBER(Roster!$D197),Setup!$C$29&lt;=Roster!$D197,FALSE),"",IF(OR(IF(Setup!$C$15&lt;=Setup!$C$16,AND(MONTH(K197)&gt;=Setup!$C$15,MONTH(K197)&lt;=Setup!$C$16),OR(MONTH(K197)&gt;=Setup!$C$15,MONTH(K197)&lt;=Setup!$C$16)),IF(Setup!$C$15&lt;=Setup!$C$16,AND(MONTH(WORKDAY(K197,-(Setup!$C$13+Setup!$G$29),Setup!$C$39:$C$50))&gt;=Setup!$C$15,MONTH(WORKDAY(K197,-(Setup!$C$13+Setup!$G$29),Setup!$C$39:$C$50))&lt;=Setup!$C$16),OR(MONTH(WORKDAY(K197,-(Setup!$C$13+Setup!$G$29),Setup!$C$39:$C$50))&gt;=Setup!$C$15,MONTH(WORKDAY(K197,-(Setup!$C$13+Setup!$G$29),Setup!$C$39:$C$50))&lt;=Setup!$C$16))),WORKDAY(K197,-(Setup!$C$13+Setup!$G$29+Setup!$C$14),Setup!$C$39:$C$50),WORKDAY(K197,-(Setup!$C$13+Setup!$G$29),Setup!$C$39:$C$50))+(192*100+10)/10000000)))</f>
        <v/>
      </c>
      <c r="AB197" t="str">
        <f>IF(L197="","",IF(L197&lt;Setup!$C$5-Setup!$C$6,"",IF(IF(ISNUMBER(Roster!$D197),Setup!$C$30&lt;=Roster!$D197,FALSE),"",IF(OR(IF(Setup!$C$15&lt;=Setup!$C$16,AND(MONTH(L197)&gt;=Setup!$C$15,MONTH(L197)&lt;=Setup!$C$16),OR(MONTH(L197)&gt;=Setup!$C$15,MONTH(L197)&lt;=Setup!$C$16)),IF(Setup!$C$15&lt;=Setup!$C$16,AND(MONTH(WORKDAY(L197,-(Setup!$C$13+Setup!$G$30),Setup!$C$39:$C$50))&gt;=Setup!$C$15,MONTH(WORKDAY(L197,-(Setup!$C$13+Setup!$G$30),Setup!$C$39:$C$50))&lt;=Setup!$C$16),OR(MONTH(WORKDAY(L197,-(Setup!$C$13+Setup!$G$30),Setup!$C$39:$C$50))&gt;=Setup!$C$15,MONTH(WORKDAY(L197,-(Setup!$C$13+Setup!$G$30),Setup!$C$39:$C$50))&lt;=Setup!$C$16))),WORKDAY(L197,-(Setup!$C$13+Setup!$G$30+Setup!$C$14),Setup!$C$39:$C$50),WORKDAY(L197,-(Setup!$C$13+Setup!$G$30),Setup!$C$39:$C$50))+(192*100+11)/10000000)))</f>
        <v/>
      </c>
      <c r="AC197" t="str">
        <f>IF(M197="","",IF(M197&lt;Setup!$C$5-Setup!$C$6,"",IF(IF(ISNUMBER(Roster!$D197),Setup!$C$31&lt;=Roster!$D197,FALSE),"",IF(OR(IF(Setup!$C$15&lt;=Setup!$C$16,AND(MONTH(M197)&gt;=Setup!$C$15,MONTH(M197)&lt;=Setup!$C$16),OR(MONTH(M197)&gt;=Setup!$C$15,MONTH(M197)&lt;=Setup!$C$16)),IF(Setup!$C$15&lt;=Setup!$C$16,AND(MONTH(WORKDAY(M197,-(Setup!$C$13+Setup!$G$31),Setup!$C$39:$C$50))&gt;=Setup!$C$15,MONTH(WORKDAY(M197,-(Setup!$C$13+Setup!$G$31),Setup!$C$39:$C$50))&lt;=Setup!$C$16),OR(MONTH(WORKDAY(M197,-(Setup!$C$13+Setup!$G$31),Setup!$C$39:$C$50))&gt;=Setup!$C$15,MONTH(WORKDAY(M197,-(Setup!$C$13+Setup!$G$31),Setup!$C$39:$C$50))&lt;=Setup!$C$16))),WORKDAY(M197,-(Setup!$C$13+Setup!$G$31+Setup!$C$14),Setup!$C$39:$C$50),WORKDAY(M197,-(Setup!$C$13+Setup!$G$31),Setup!$C$39:$C$50))+(192*100+12)/10000000)))</f>
        <v/>
      </c>
      <c r="AD197" t="str">
        <f>IF(N197="","",IF(N197&lt;Setup!$C$5-Setup!$C$6,"",IF(IF(ISNUMBER(Roster!$D197),Setup!$C$32&lt;=Roster!$D197,FALSE),"",IF(OR(IF(Setup!$C$15&lt;=Setup!$C$16,AND(MONTH(N197)&gt;=Setup!$C$15,MONTH(N197)&lt;=Setup!$C$16),OR(MONTH(N197)&gt;=Setup!$C$15,MONTH(N197)&lt;=Setup!$C$16)),IF(Setup!$C$15&lt;=Setup!$C$16,AND(MONTH(WORKDAY(N197,-(Setup!$C$13+Setup!$G$32),Setup!$C$39:$C$50))&gt;=Setup!$C$15,MONTH(WORKDAY(N197,-(Setup!$C$13+Setup!$G$32),Setup!$C$39:$C$50))&lt;=Setup!$C$16),OR(MONTH(WORKDAY(N197,-(Setup!$C$13+Setup!$G$32),Setup!$C$39:$C$50))&gt;=Setup!$C$15,MONTH(WORKDAY(N197,-(Setup!$C$13+Setup!$G$32),Setup!$C$39:$C$50))&lt;=Setup!$C$16))),WORKDAY(N197,-(Setup!$C$13+Setup!$G$32+Setup!$C$14),Setup!$C$39:$C$50),WORKDAY(N197,-(Setup!$C$13+Setup!$G$32),Setup!$C$39:$C$50))+(192*100+13)/10000000)))</f>
        <v/>
      </c>
      <c r="AE197" t="str">
        <f>IF(O197="","",IF(O197&lt;Setup!$C$5-Setup!$C$6,"",IF(IF(ISNUMBER(Roster!$D197),Setup!$C$33&lt;=Roster!$D197,FALSE),"",IF(OR(IF(Setup!$C$15&lt;=Setup!$C$16,AND(MONTH(O197)&gt;=Setup!$C$15,MONTH(O197)&lt;=Setup!$C$16),OR(MONTH(O197)&gt;=Setup!$C$15,MONTH(O197)&lt;=Setup!$C$16)),IF(Setup!$C$15&lt;=Setup!$C$16,AND(MONTH(WORKDAY(O197,-(Setup!$C$13+Setup!$G$33),Setup!$C$39:$C$50))&gt;=Setup!$C$15,MONTH(WORKDAY(O197,-(Setup!$C$13+Setup!$G$33),Setup!$C$39:$C$50))&lt;=Setup!$C$16),OR(MONTH(WORKDAY(O197,-(Setup!$C$13+Setup!$G$33),Setup!$C$39:$C$50))&gt;=Setup!$C$15,MONTH(WORKDAY(O197,-(Setup!$C$13+Setup!$G$33),Setup!$C$39:$C$50))&lt;=Setup!$C$16))),WORKDAY(O197,-(Setup!$C$13+Setup!$G$33+Setup!$C$14),Setup!$C$39:$C$50),WORKDAY(O197,-(Setup!$C$13+Setup!$G$33),Setup!$C$39:$C$50))+(192*100+14)/10000000)))</f>
        <v/>
      </c>
      <c r="AF197" t="str">
        <f>IF(P197="","",IF(P197&lt;Setup!$C$5-Setup!$C$6,"",IF(IF(ISNUMBER(Roster!$D197),Setup!$C$34&lt;=Roster!$D197,FALSE),"",IF(OR(IF(Setup!$C$15&lt;=Setup!$C$16,AND(MONTH(P197)&gt;=Setup!$C$15,MONTH(P197)&lt;=Setup!$C$16),OR(MONTH(P197)&gt;=Setup!$C$15,MONTH(P197)&lt;=Setup!$C$16)),IF(Setup!$C$15&lt;=Setup!$C$16,AND(MONTH(WORKDAY(P197,-(Setup!$C$13+Setup!$G$34),Setup!$C$39:$C$50))&gt;=Setup!$C$15,MONTH(WORKDAY(P197,-(Setup!$C$13+Setup!$G$34),Setup!$C$39:$C$50))&lt;=Setup!$C$16),OR(MONTH(WORKDAY(P197,-(Setup!$C$13+Setup!$G$34),Setup!$C$39:$C$50))&gt;=Setup!$C$15,MONTH(WORKDAY(P197,-(Setup!$C$13+Setup!$G$34),Setup!$C$39:$C$50))&lt;=Setup!$C$16))),WORKDAY(P197,-(Setup!$C$13+Setup!$G$34+Setup!$C$14),Setup!$C$39:$C$50),WORKDAY(P197,-(Setup!$C$13+Setup!$G$34),Setup!$C$39:$C$50))+(192*100+15)/10000000)))</f>
        <v/>
      </c>
      <c r="AH197" t="str">
        <f t="shared" si="17"/>
        <v/>
      </c>
      <c r="AI197" t="str">
        <f t="shared" si="18"/>
        <v/>
      </c>
      <c r="AK197" t="str">
        <f ca="1">IF(192&gt;$AK$2,"",SMALL($R$6:$AF$505,192))</f>
        <v/>
      </c>
      <c r="AL197" t="str">
        <f t="shared" ca="1" si="19"/>
        <v/>
      </c>
      <c r="AM197" t="str">
        <f t="shared" ca="1" si="20"/>
        <v/>
      </c>
      <c r="AN197" t="str">
        <f t="shared" ca="1" si="21"/>
        <v/>
      </c>
      <c r="AP197" t="str">
        <f>IF(ISNUMBER(Roster!$B197),MAX(1,YEAR(Setup!$C$5)-YEAR(Roster!$B197)+IF(EDATE(Roster!$B197,12*(YEAR(Setup!$C$5)-YEAR(Roster!$B197)))&lt;Setup!$C$5,1,0)),"")</f>
        <v/>
      </c>
      <c r="AQ197" s="32" t="str">
        <f>IF(AP197="","",EDATE(Roster!$B197,12*AP197))</f>
        <v/>
      </c>
      <c r="AR197" t="str">
        <f>IF(AQ197="","",IF(AQ197&lt;DATE(YEAR(Setup!$C$5)+1,MONTH(Setup!$C$5),DAY(Setup!$C$5)),AQ197+192/1000,""))</f>
        <v/>
      </c>
      <c r="AS197" t="str">
        <f t="shared" si="22"/>
        <v/>
      </c>
      <c r="AT197" t="str">
        <f>IF(AS197="","",IF(ISNUMBER(Roster!$D197),Roster!$D197&gt;=AP197,FALSE))</f>
        <v/>
      </c>
      <c r="AU197" t="str">
        <f t="shared" si="23"/>
        <v/>
      </c>
      <c r="AV197" t="str">
        <f ca="1">IF(192&gt;$AV$2,"",SMALL($AR$6:$AR$505,192))</f>
        <v/>
      </c>
      <c r="AW197" t="str">
        <f t="shared" ca="1" si="24"/>
        <v/>
      </c>
    </row>
    <row r="198" spans="2:49" x14ac:dyDescent="0.2">
      <c r="B198" s="32" t="str">
        <f>IF(AND(ISNUMBER(Roster!$B198),Setup!$B$20="Yes",ISNUMBER(Setup!$C$20)),EDATE(Roster!$B198,12*Setup!$C$20),"")</f>
        <v/>
      </c>
      <c r="C198" s="32" t="str">
        <f>IF(AND(ISNUMBER(Roster!$B198),Setup!$B$21="Yes",ISNUMBER(Setup!$C$21)),EDATE(Roster!$B198,12*Setup!$C$21),"")</f>
        <v/>
      </c>
      <c r="D198" s="32" t="str">
        <f>IF(AND(ISNUMBER(Roster!$B198),Setup!$B$22="Yes",ISNUMBER(Setup!$C$22)),EDATE(Roster!$B198,12*Setup!$C$22),"")</f>
        <v/>
      </c>
      <c r="E198" s="32" t="str">
        <f>IF(AND(ISNUMBER(Roster!$B198),Setup!$B$23="Yes",ISNUMBER(Setup!$C$23)),EDATE(Roster!$B198,12*Setup!$C$23),"")</f>
        <v/>
      </c>
      <c r="F198" s="32" t="str">
        <f>IF(AND(ISNUMBER(Roster!$B198),Setup!$B$24="Yes",ISNUMBER(Setup!$C$24)),EDATE(Roster!$B198,12*Setup!$C$24),"")</f>
        <v/>
      </c>
      <c r="G198" s="32" t="str">
        <f>IF(AND(ISNUMBER(Roster!$B198),Setup!$B$25="Yes",ISNUMBER(Setup!$C$25)),EDATE(Roster!$B198,12*Setup!$C$25),"")</f>
        <v/>
      </c>
      <c r="H198" s="32" t="str">
        <f>IF(AND(ISNUMBER(Roster!$B198),Setup!$B$26="Yes",ISNUMBER(Setup!$C$26)),EDATE(Roster!$B198,12*Setup!$C$26),"")</f>
        <v/>
      </c>
      <c r="I198" s="32" t="str">
        <f>IF(AND(ISNUMBER(Roster!$B198),Setup!$B$27="Yes",ISNUMBER(Setup!$C$27)),EDATE(Roster!$B198,12*Setup!$C$27),"")</f>
        <v/>
      </c>
      <c r="J198" s="32" t="str">
        <f>IF(AND(ISNUMBER(Roster!$B198),Setup!$B$28="Yes",ISNUMBER(Setup!$C$28)),EDATE(Roster!$B198,12*Setup!$C$28),"")</f>
        <v/>
      </c>
      <c r="K198" s="32" t="str">
        <f>IF(AND(ISNUMBER(Roster!$B198),Setup!$B$29="Yes",ISNUMBER(Setup!$C$29)),EDATE(Roster!$B198,12*Setup!$C$29),"")</f>
        <v/>
      </c>
      <c r="L198" s="32" t="str">
        <f>IF(AND(ISNUMBER(Roster!$B198),Setup!$B$30="Yes",ISNUMBER(Setup!$C$30)),EDATE(Roster!$B198,12*Setup!$C$30),"")</f>
        <v/>
      </c>
      <c r="M198" s="32" t="str">
        <f>IF(AND(ISNUMBER(Roster!$B198),Setup!$B$31="Yes",ISNUMBER(Setup!$C$31)),EDATE(Roster!$B198,12*Setup!$C$31),"")</f>
        <v/>
      </c>
      <c r="N198" s="32" t="str">
        <f>IF(AND(ISNUMBER(Roster!$B198),Setup!$B$32="Yes",ISNUMBER(Setup!$C$32)),EDATE(Roster!$B198,12*Setup!$C$32),"")</f>
        <v/>
      </c>
      <c r="O198" s="32" t="str">
        <f>IF(AND(ISNUMBER(Roster!$B198),Setup!$B$33="Yes",ISNUMBER(Setup!$C$33)),EDATE(Roster!$B198,12*Setup!$C$33),"")</f>
        <v/>
      </c>
      <c r="P198" s="32" t="str">
        <f>IF(AND(ISNUMBER(Roster!$B198),Setup!$B$34="Yes",ISNUMBER(Setup!$C$34)),EDATE(Roster!$B198,12*Setup!$C$34),"")</f>
        <v/>
      </c>
      <c r="R198" t="str">
        <f>IF(B198="","",IF(B198&lt;Setup!$C$5-Setup!$C$6,"",IF(IF(ISNUMBER(Roster!$D198),Setup!$C$20&lt;=Roster!$D198,FALSE),"",IF(OR(IF(Setup!$C$15&lt;=Setup!$C$16,AND(MONTH(B198)&gt;=Setup!$C$15,MONTH(B198)&lt;=Setup!$C$16),OR(MONTH(B198)&gt;=Setup!$C$15,MONTH(B198)&lt;=Setup!$C$16)),IF(Setup!$C$15&lt;=Setup!$C$16,AND(MONTH(WORKDAY(B198,-(Setup!$C$13+Setup!$G$20),Setup!$C$39:$C$50))&gt;=Setup!$C$15,MONTH(WORKDAY(B198,-(Setup!$C$13+Setup!$G$20),Setup!$C$39:$C$50))&lt;=Setup!$C$16),OR(MONTH(WORKDAY(B198,-(Setup!$C$13+Setup!$G$20),Setup!$C$39:$C$50))&gt;=Setup!$C$15,MONTH(WORKDAY(B198,-(Setup!$C$13+Setup!$G$20),Setup!$C$39:$C$50))&lt;=Setup!$C$16))),WORKDAY(B198,-(Setup!$C$13+Setup!$G$20+Setup!$C$14),Setup!$C$39:$C$50),WORKDAY(B198,-(Setup!$C$13+Setup!$G$20),Setup!$C$39:$C$50))+(193*100+1)/10000000)))</f>
        <v/>
      </c>
      <c r="S198" t="str">
        <f>IF(C198="","",IF(C198&lt;Setup!$C$5-Setup!$C$6,"",IF(IF(ISNUMBER(Roster!$D198),Setup!$C$21&lt;=Roster!$D198,FALSE),"",IF(OR(IF(Setup!$C$15&lt;=Setup!$C$16,AND(MONTH(C198)&gt;=Setup!$C$15,MONTH(C198)&lt;=Setup!$C$16),OR(MONTH(C198)&gt;=Setup!$C$15,MONTH(C198)&lt;=Setup!$C$16)),IF(Setup!$C$15&lt;=Setup!$C$16,AND(MONTH(WORKDAY(C198,-(Setup!$C$13+Setup!$G$21),Setup!$C$39:$C$50))&gt;=Setup!$C$15,MONTH(WORKDAY(C198,-(Setup!$C$13+Setup!$G$21),Setup!$C$39:$C$50))&lt;=Setup!$C$16),OR(MONTH(WORKDAY(C198,-(Setup!$C$13+Setup!$G$21),Setup!$C$39:$C$50))&gt;=Setup!$C$15,MONTH(WORKDAY(C198,-(Setup!$C$13+Setup!$G$21),Setup!$C$39:$C$50))&lt;=Setup!$C$16))),WORKDAY(C198,-(Setup!$C$13+Setup!$G$21+Setup!$C$14),Setup!$C$39:$C$50),WORKDAY(C198,-(Setup!$C$13+Setup!$G$21),Setup!$C$39:$C$50))+(193*100+2)/10000000)))</f>
        <v/>
      </c>
      <c r="T198" t="str">
        <f>IF(D198="","",IF(D198&lt;Setup!$C$5-Setup!$C$6,"",IF(IF(ISNUMBER(Roster!$D198),Setup!$C$22&lt;=Roster!$D198,FALSE),"",IF(OR(IF(Setup!$C$15&lt;=Setup!$C$16,AND(MONTH(D198)&gt;=Setup!$C$15,MONTH(D198)&lt;=Setup!$C$16),OR(MONTH(D198)&gt;=Setup!$C$15,MONTH(D198)&lt;=Setup!$C$16)),IF(Setup!$C$15&lt;=Setup!$C$16,AND(MONTH(WORKDAY(D198,-(Setup!$C$13+Setup!$G$22),Setup!$C$39:$C$50))&gt;=Setup!$C$15,MONTH(WORKDAY(D198,-(Setup!$C$13+Setup!$G$22),Setup!$C$39:$C$50))&lt;=Setup!$C$16),OR(MONTH(WORKDAY(D198,-(Setup!$C$13+Setup!$G$22),Setup!$C$39:$C$50))&gt;=Setup!$C$15,MONTH(WORKDAY(D198,-(Setup!$C$13+Setup!$G$22),Setup!$C$39:$C$50))&lt;=Setup!$C$16))),WORKDAY(D198,-(Setup!$C$13+Setup!$G$22+Setup!$C$14),Setup!$C$39:$C$50),WORKDAY(D198,-(Setup!$C$13+Setup!$G$22),Setup!$C$39:$C$50))+(193*100+3)/10000000)))</f>
        <v/>
      </c>
      <c r="U198" t="str">
        <f>IF(E198="","",IF(E198&lt;Setup!$C$5-Setup!$C$6,"",IF(IF(ISNUMBER(Roster!$D198),Setup!$C$23&lt;=Roster!$D198,FALSE),"",IF(OR(IF(Setup!$C$15&lt;=Setup!$C$16,AND(MONTH(E198)&gt;=Setup!$C$15,MONTH(E198)&lt;=Setup!$C$16),OR(MONTH(E198)&gt;=Setup!$C$15,MONTH(E198)&lt;=Setup!$C$16)),IF(Setup!$C$15&lt;=Setup!$C$16,AND(MONTH(WORKDAY(E198,-(Setup!$C$13+Setup!$G$23),Setup!$C$39:$C$50))&gt;=Setup!$C$15,MONTH(WORKDAY(E198,-(Setup!$C$13+Setup!$G$23),Setup!$C$39:$C$50))&lt;=Setup!$C$16),OR(MONTH(WORKDAY(E198,-(Setup!$C$13+Setup!$G$23),Setup!$C$39:$C$50))&gt;=Setup!$C$15,MONTH(WORKDAY(E198,-(Setup!$C$13+Setup!$G$23),Setup!$C$39:$C$50))&lt;=Setup!$C$16))),WORKDAY(E198,-(Setup!$C$13+Setup!$G$23+Setup!$C$14),Setup!$C$39:$C$50),WORKDAY(E198,-(Setup!$C$13+Setup!$G$23),Setup!$C$39:$C$50))+(193*100+4)/10000000)))</f>
        <v/>
      </c>
      <c r="V198" t="str">
        <f>IF(F198="","",IF(F198&lt;Setup!$C$5-Setup!$C$6,"",IF(IF(ISNUMBER(Roster!$D198),Setup!$C$24&lt;=Roster!$D198,FALSE),"",IF(OR(IF(Setup!$C$15&lt;=Setup!$C$16,AND(MONTH(F198)&gt;=Setup!$C$15,MONTH(F198)&lt;=Setup!$C$16),OR(MONTH(F198)&gt;=Setup!$C$15,MONTH(F198)&lt;=Setup!$C$16)),IF(Setup!$C$15&lt;=Setup!$C$16,AND(MONTH(WORKDAY(F198,-(Setup!$C$13+Setup!$G$24),Setup!$C$39:$C$50))&gt;=Setup!$C$15,MONTH(WORKDAY(F198,-(Setup!$C$13+Setup!$G$24),Setup!$C$39:$C$50))&lt;=Setup!$C$16),OR(MONTH(WORKDAY(F198,-(Setup!$C$13+Setup!$G$24),Setup!$C$39:$C$50))&gt;=Setup!$C$15,MONTH(WORKDAY(F198,-(Setup!$C$13+Setup!$G$24),Setup!$C$39:$C$50))&lt;=Setup!$C$16))),WORKDAY(F198,-(Setup!$C$13+Setup!$G$24+Setup!$C$14),Setup!$C$39:$C$50),WORKDAY(F198,-(Setup!$C$13+Setup!$G$24),Setup!$C$39:$C$50))+(193*100+5)/10000000)))</f>
        <v/>
      </c>
      <c r="W198" t="str">
        <f>IF(G198="","",IF(G198&lt;Setup!$C$5-Setup!$C$6,"",IF(IF(ISNUMBER(Roster!$D198),Setup!$C$25&lt;=Roster!$D198,FALSE),"",IF(OR(IF(Setup!$C$15&lt;=Setup!$C$16,AND(MONTH(G198)&gt;=Setup!$C$15,MONTH(G198)&lt;=Setup!$C$16),OR(MONTH(G198)&gt;=Setup!$C$15,MONTH(G198)&lt;=Setup!$C$16)),IF(Setup!$C$15&lt;=Setup!$C$16,AND(MONTH(WORKDAY(G198,-(Setup!$C$13+Setup!$G$25),Setup!$C$39:$C$50))&gt;=Setup!$C$15,MONTH(WORKDAY(G198,-(Setup!$C$13+Setup!$G$25),Setup!$C$39:$C$50))&lt;=Setup!$C$16),OR(MONTH(WORKDAY(G198,-(Setup!$C$13+Setup!$G$25),Setup!$C$39:$C$50))&gt;=Setup!$C$15,MONTH(WORKDAY(G198,-(Setup!$C$13+Setup!$G$25),Setup!$C$39:$C$50))&lt;=Setup!$C$16))),WORKDAY(G198,-(Setup!$C$13+Setup!$G$25+Setup!$C$14),Setup!$C$39:$C$50),WORKDAY(G198,-(Setup!$C$13+Setup!$G$25),Setup!$C$39:$C$50))+(193*100+6)/10000000)))</f>
        <v/>
      </c>
      <c r="X198" t="str">
        <f>IF(H198="","",IF(H198&lt;Setup!$C$5-Setup!$C$6,"",IF(IF(ISNUMBER(Roster!$D198),Setup!$C$26&lt;=Roster!$D198,FALSE),"",IF(OR(IF(Setup!$C$15&lt;=Setup!$C$16,AND(MONTH(H198)&gt;=Setup!$C$15,MONTH(H198)&lt;=Setup!$C$16),OR(MONTH(H198)&gt;=Setup!$C$15,MONTH(H198)&lt;=Setup!$C$16)),IF(Setup!$C$15&lt;=Setup!$C$16,AND(MONTH(WORKDAY(H198,-(Setup!$C$13+Setup!$G$26),Setup!$C$39:$C$50))&gt;=Setup!$C$15,MONTH(WORKDAY(H198,-(Setup!$C$13+Setup!$G$26),Setup!$C$39:$C$50))&lt;=Setup!$C$16),OR(MONTH(WORKDAY(H198,-(Setup!$C$13+Setup!$G$26),Setup!$C$39:$C$50))&gt;=Setup!$C$15,MONTH(WORKDAY(H198,-(Setup!$C$13+Setup!$G$26),Setup!$C$39:$C$50))&lt;=Setup!$C$16))),WORKDAY(H198,-(Setup!$C$13+Setup!$G$26+Setup!$C$14),Setup!$C$39:$C$50),WORKDAY(H198,-(Setup!$C$13+Setup!$G$26),Setup!$C$39:$C$50))+(193*100+7)/10000000)))</f>
        <v/>
      </c>
      <c r="Y198" t="str">
        <f>IF(I198="","",IF(I198&lt;Setup!$C$5-Setup!$C$6,"",IF(IF(ISNUMBER(Roster!$D198),Setup!$C$27&lt;=Roster!$D198,FALSE),"",IF(OR(IF(Setup!$C$15&lt;=Setup!$C$16,AND(MONTH(I198)&gt;=Setup!$C$15,MONTH(I198)&lt;=Setup!$C$16),OR(MONTH(I198)&gt;=Setup!$C$15,MONTH(I198)&lt;=Setup!$C$16)),IF(Setup!$C$15&lt;=Setup!$C$16,AND(MONTH(WORKDAY(I198,-(Setup!$C$13+Setup!$G$27),Setup!$C$39:$C$50))&gt;=Setup!$C$15,MONTH(WORKDAY(I198,-(Setup!$C$13+Setup!$G$27),Setup!$C$39:$C$50))&lt;=Setup!$C$16),OR(MONTH(WORKDAY(I198,-(Setup!$C$13+Setup!$G$27),Setup!$C$39:$C$50))&gt;=Setup!$C$15,MONTH(WORKDAY(I198,-(Setup!$C$13+Setup!$G$27),Setup!$C$39:$C$50))&lt;=Setup!$C$16))),WORKDAY(I198,-(Setup!$C$13+Setup!$G$27+Setup!$C$14),Setup!$C$39:$C$50),WORKDAY(I198,-(Setup!$C$13+Setup!$G$27),Setup!$C$39:$C$50))+(193*100+8)/10000000)))</f>
        <v/>
      </c>
      <c r="Z198" t="str">
        <f>IF(J198="","",IF(J198&lt;Setup!$C$5-Setup!$C$6,"",IF(IF(ISNUMBER(Roster!$D198),Setup!$C$28&lt;=Roster!$D198,FALSE),"",IF(OR(IF(Setup!$C$15&lt;=Setup!$C$16,AND(MONTH(J198)&gt;=Setup!$C$15,MONTH(J198)&lt;=Setup!$C$16),OR(MONTH(J198)&gt;=Setup!$C$15,MONTH(J198)&lt;=Setup!$C$16)),IF(Setup!$C$15&lt;=Setup!$C$16,AND(MONTH(WORKDAY(J198,-(Setup!$C$13+Setup!$G$28),Setup!$C$39:$C$50))&gt;=Setup!$C$15,MONTH(WORKDAY(J198,-(Setup!$C$13+Setup!$G$28),Setup!$C$39:$C$50))&lt;=Setup!$C$16),OR(MONTH(WORKDAY(J198,-(Setup!$C$13+Setup!$G$28),Setup!$C$39:$C$50))&gt;=Setup!$C$15,MONTH(WORKDAY(J198,-(Setup!$C$13+Setup!$G$28),Setup!$C$39:$C$50))&lt;=Setup!$C$16))),WORKDAY(J198,-(Setup!$C$13+Setup!$G$28+Setup!$C$14),Setup!$C$39:$C$50),WORKDAY(J198,-(Setup!$C$13+Setup!$G$28),Setup!$C$39:$C$50))+(193*100+9)/10000000)))</f>
        <v/>
      </c>
      <c r="AA198" t="str">
        <f>IF(K198="","",IF(K198&lt;Setup!$C$5-Setup!$C$6,"",IF(IF(ISNUMBER(Roster!$D198),Setup!$C$29&lt;=Roster!$D198,FALSE),"",IF(OR(IF(Setup!$C$15&lt;=Setup!$C$16,AND(MONTH(K198)&gt;=Setup!$C$15,MONTH(K198)&lt;=Setup!$C$16),OR(MONTH(K198)&gt;=Setup!$C$15,MONTH(K198)&lt;=Setup!$C$16)),IF(Setup!$C$15&lt;=Setup!$C$16,AND(MONTH(WORKDAY(K198,-(Setup!$C$13+Setup!$G$29),Setup!$C$39:$C$50))&gt;=Setup!$C$15,MONTH(WORKDAY(K198,-(Setup!$C$13+Setup!$G$29),Setup!$C$39:$C$50))&lt;=Setup!$C$16),OR(MONTH(WORKDAY(K198,-(Setup!$C$13+Setup!$G$29),Setup!$C$39:$C$50))&gt;=Setup!$C$15,MONTH(WORKDAY(K198,-(Setup!$C$13+Setup!$G$29),Setup!$C$39:$C$50))&lt;=Setup!$C$16))),WORKDAY(K198,-(Setup!$C$13+Setup!$G$29+Setup!$C$14),Setup!$C$39:$C$50),WORKDAY(K198,-(Setup!$C$13+Setup!$G$29),Setup!$C$39:$C$50))+(193*100+10)/10000000)))</f>
        <v/>
      </c>
      <c r="AB198" t="str">
        <f>IF(L198="","",IF(L198&lt;Setup!$C$5-Setup!$C$6,"",IF(IF(ISNUMBER(Roster!$D198),Setup!$C$30&lt;=Roster!$D198,FALSE),"",IF(OR(IF(Setup!$C$15&lt;=Setup!$C$16,AND(MONTH(L198)&gt;=Setup!$C$15,MONTH(L198)&lt;=Setup!$C$16),OR(MONTH(L198)&gt;=Setup!$C$15,MONTH(L198)&lt;=Setup!$C$16)),IF(Setup!$C$15&lt;=Setup!$C$16,AND(MONTH(WORKDAY(L198,-(Setup!$C$13+Setup!$G$30),Setup!$C$39:$C$50))&gt;=Setup!$C$15,MONTH(WORKDAY(L198,-(Setup!$C$13+Setup!$G$30),Setup!$C$39:$C$50))&lt;=Setup!$C$16),OR(MONTH(WORKDAY(L198,-(Setup!$C$13+Setup!$G$30),Setup!$C$39:$C$50))&gt;=Setup!$C$15,MONTH(WORKDAY(L198,-(Setup!$C$13+Setup!$G$30),Setup!$C$39:$C$50))&lt;=Setup!$C$16))),WORKDAY(L198,-(Setup!$C$13+Setup!$G$30+Setup!$C$14),Setup!$C$39:$C$50),WORKDAY(L198,-(Setup!$C$13+Setup!$G$30),Setup!$C$39:$C$50))+(193*100+11)/10000000)))</f>
        <v/>
      </c>
      <c r="AC198" t="str">
        <f>IF(M198="","",IF(M198&lt;Setup!$C$5-Setup!$C$6,"",IF(IF(ISNUMBER(Roster!$D198),Setup!$C$31&lt;=Roster!$D198,FALSE),"",IF(OR(IF(Setup!$C$15&lt;=Setup!$C$16,AND(MONTH(M198)&gt;=Setup!$C$15,MONTH(M198)&lt;=Setup!$C$16),OR(MONTH(M198)&gt;=Setup!$C$15,MONTH(M198)&lt;=Setup!$C$16)),IF(Setup!$C$15&lt;=Setup!$C$16,AND(MONTH(WORKDAY(M198,-(Setup!$C$13+Setup!$G$31),Setup!$C$39:$C$50))&gt;=Setup!$C$15,MONTH(WORKDAY(M198,-(Setup!$C$13+Setup!$G$31),Setup!$C$39:$C$50))&lt;=Setup!$C$16),OR(MONTH(WORKDAY(M198,-(Setup!$C$13+Setup!$G$31),Setup!$C$39:$C$50))&gt;=Setup!$C$15,MONTH(WORKDAY(M198,-(Setup!$C$13+Setup!$G$31),Setup!$C$39:$C$50))&lt;=Setup!$C$16))),WORKDAY(M198,-(Setup!$C$13+Setup!$G$31+Setup!$C$14),Setup!$C$39:$C$50),WORKDAY(M198,-(Setup!$C$13+Setup!$G$31),Setup!$C$39:$C$50))+(193*100+12)/10000000)))</f>
        <v/>
      </c>
      <c r="AD198" t="str">
        <f>IF(N198="","",IF(N198&lt;Setup!$C$5-Setup!$C$6,"",IF(IF(ISNUMBER(Roster!$D198),Setup!$C$32&lt;=Roster!$D198,FALSE),"",IF(OR(IF(Setup!$C$15&lt;=Setup!$C$16,AND(MONTH(N198)&gt;=Setup!$C$15,MONTH(N198)&lt;=Setup!$C$16),OR(MONTH(N198)&gt;=Setup!$C$15,MONTH(N198)&lt;=Setup!$C$16)),IF(Setup!$C$15&lt;=Setup!$C$16,AND(MONTH(WORKDAY(N198,-(Setup!$C$13+Setup!$G$32),Setup!$C$39:$C$50))&gt;=Setup!$C$15,MONTH(WORKDAY(N198,-(Setup!$C$13+Setup!$G$32),Setup!$C$39:$C$50))&lt;=Setup!$C$16),OR(MONTH(WORKDAY(N198,-(Setup!$C$13+Setup!$G$32),Setup!$C$39:$C$50))&gt;=Setup!$C$15,MONTH(WORKDAY(N198,-(Setup!$C$13+Setup!$G$32),Setup!$C$39:$C$50))&lt;=Setup!$C$16))),WORKDAY(N198,-(Setup!$C$13+Setup!$G$32+Setup!$C$14),Setup!$C$39:$C$50),WORKDAY(N198,-(Setup!$C$13+Setup!$G$32),Setup!$C$39:$C$50))+(193*100+13)/10000000)))</f>
        <v/>
      </c>
      <c r="AE198" t="str">
        <f>IF(O198="","",IF(O198&lt;Setup!$C$5-Setup!$C$6,"",IF(IF(ISNUMBER(Roster!$D198),Setup!$C$33&lt;=Roster!$D198,FALSE),"",IF(OR(IF(Setup!$C$15&lt;=Setup!$C$16,AND(MONTH(O198)&gt;=Setup!$C$15,MONTH(O198)&lt;=Setup!$C$16),OR(MONTH(O198)&gt;=Setup!$C$15,MONTH(O198)&lt;=Setup!$C$16)),IF(Setup!$C$15&lt;=Setup!$C$16,AND(MONTH(WORKDAY(O198,-(Setup!$C$13+Setup!$G$33),Setup!$C$39:$C$50))&gt;=Setup!$C$15,MONTH(WORKDAY(O198,-(Setup!$C$13+Setup!$G$33),Setup!$C$39:$C$50))&lt;=Setup!$C$16),OR(MONTH(WORKDAY(O198,-(Setup!$C$13+Setup!$G$33),Setup!$C$39:$C$50))&gt;=Setup!$C$15,MONTH(WORKDAY(O198,-(Setup!$C$13+Setup!$G$33),Setup!$C$39:$C$50))&lt;=Setup!$C$16))),WORKDAY(O198,-(Setup!$C$13+Setup!$G$33+Setup!$C$14),Setup!$C$39:$C$50),WORKDAY(O198,-(Setup!$C$13+Setup!$G$33),Setup!$C$39:$C$50))+(193*100+14)/10000000)))</f>
        <v/>
      </c>
      <c r="AF198" t="str">
        <f>IF(P198="","",IF(P198&lt;Setup!$C$5-Setup!$C$6,"",IF(IF(ISNUMBER(Roster!$D198),Setup!$C$34&lt;=Roster!$D198,FALSE),"",IF(OR(IF(Setup!$C$15&lt;=Setup!$C$16,AND(MONTH(P198)&gt;=Setup!$C$15,MONTH(P198)&lt;=Setup!$C$16),OR(MONTH(P198)&gt;=Setup!$C$15,MONTH(P198)&lt;=Setup!$C$16)),IF(Setup!$C$15&lt;=Setup!$C$16,AND(MONTH(WORKDAY(P198,-(Setup!$C$13+Setup!$G$34),Setup!$C$39:$C$50))&gt;=Setup!$C$15,MONTH(WORKDAY(P198,-(Setup!$C$13+Setup!$G$34),Setup!$C$39:$C$50))&lt;=Setup!$C$16),OR(MONTH(WORKDAY(P198,-(Setup!$C$13+Setup!$G$34),Setup!$C$39:$C$50))&gt;=Setup!$C$15,MONTH(WORKDAY(P198,-(Setup!$C$13+Setup!$G$34),Setup!$C$39:$C$50))&lt;=Setup!$C$16))),WORKDAY(P198,-(Setup!$C$13+Setup!$G$34+Setup!$C$14),Setup!$C$39:$C$50),WORKDAY(P198,-(Setup!$C$13+Setup!$G$34),Setup!$C$39:$C$50))+(193*100+15)/10000000)))</f>
        <v/>
      </c>
      <c r="AH198" t="str">
        <f t="shared" ref="AH198:AH261" si="25">IF(COUNT(R198:AF198)=0,"",MIN(R198:AF198))</f>
        <v/>
      </c>
      <c r="AI198" t="str">
        <f t="shared" ref="AI198:AI261" si="26">IF(AH198="","",MOD(ROUND((AH198-INT(AH198))*10000000,0),100))</f>
        <v/>
      </c>
      <c r="AK198" t="str">
        <f ca="1">IF(193&gt;$AK$2,"",SMALL($R$6:$AF$505,193))</f>
        <v/>
      </c>
      <c r="AL198" t="str">
        <f t="shared" ref="AL198:AL261" ca="1" si="27">IF(AK198="","",ROUND((AK198-INT(AK198))*10000000,0))</f>
        <v/>
      </c>
      <c r="AM198" t="str">
        <f t="shared" ref="AM198:AM261" ca="1" si="28">IF(AL198="","",INT(AL198/100))</f>
        <v/>
      </c>
      <c r="AN198" t="str">
        <f t="shared" ref="AN198:AN261" ca="1" si="29">IF(AL198="","",MOD(AL198,100))</f>
        <v/>
      </c>
      <c r="AP198" t="str">
        <f>IF(ISNUMBER(Roster!$B198),MAX(1,YEAR(Setup!$C$5)-YEAR(Roster!$B198)+IF(EDATE(Roster!$B198,12*(YEAR(Setup!$C$5)-YEAR(Roster!$B198)))&lt;Setup!$C$5,1,0)),"")</f>
        <v/>
      </c>
      <c r="AQ198" s="32" t="str">
        <f>IF(AP198="","",EDATE(Roster!$B198,12*AP198))</f>
        <v/>
      </c>
      <c r="AR198" t="str">
        <f>IF(AQ198="","",IF(AQ198&lt;DATE(YEAR(Setup!$C$5)+1,MONTH(Setup!$C$5),DAY(Setup!$C$5)),AQ198+193/1000,""))</f>
        <v/>
      </c>
      <c r="AS198" t="str">
        <f t="shared" ref="AS198:AS261" si="30">IF(AR198="","",IFERROR(MATCH(AP198,$AY$20:$AY$34,0),""))</f>
        <v/>
      </c>
      <c r="AT198" t="str">
        <f>IF(AS198="","",IF(ISNUMBER(Roster!$D198),Roster!$D198&gt;=AP198,FALSE))</f>
        <v/>
      </c>
      <c r="AU198" t="str">
        <f t="shared" ref="AU198:AU261" si="31">IF(AS198="","",IF(AT198,"",INT(INDEX($R198:$AF198,1,AS198))))</f>
        <v/>
      </c>
      <c r="AV198" t="str">
        <f ca="1">IF(193&gt;$AV$2,"",SMALL($AR$6:$AR$505,193))</f>
        <v/>
      </c>
      <c r="AW198" t="str">
        <f t="shared" ref="AW198:AW261" ca="1" si="32">IF(AV198="","",ROUND((AV198-INT(AV198))*1000,0))</f>
        <v/>
      </c>
    </row>
    <row r="199" spans="2:49" x14ac:dyDescent="0.2">
      <c r="B199" s="32" t="str">
        <f>IF(AND(ISNUMBER(Roster!$B199),Setup!$B$20="Yes",ISNUMBER(Setup!$C$20)),EDATE(Roster!$B199,12*Setup!$C$20),"")</f>
        <v/>
      </c>
      <c r="C199" s="32" t="str">
        <f>IF(AND(ISNUMBER(Roster!$B199),Setup!$B$21="Yes",ISNUMBER(Setup!$C$21)),EDATE(Roster!$B199,12*Setup!$C$21),"")</f>
        <v/>
      </c>
      <c r="D199" s="32" t="str">
        <f>IF(AND(ISNUMBER(Roster!$B199),Setup!$B$22="Yes",ISNUMBER(Setup!$C$22)),EDATE(Roster!$B199,12*Setup!$C$22),"")</f>
        <v/>
      </c>
      <c r="E199" s="32" t="str">
        <f>IF(AND(ISNUMBER(Roster!$B199),Setup!$B$23="Yes",ISNUMBER(Setup!$C$23)),EDATE(Roster!$B199,12*Setup!$C$23),"")</f>
        <v/>
      </c>
      <c r="F199" s="32" t="str">
        <f>IF(AND(ISNUMBER(Roster!$B199),Setup!$B$24="Yes",ISNUMBER(Setup!$C$24)),EDATE(Roster!$B199,12*Setup!$C$24),"")</f>
        <v/>
      </c>
      <c r="G199" s="32" t="str">
        <f>IF(AND(ISNUMBER(Roster!$B199),Setup!$B$25="Yes",ISNUMBER(Setup!$C$25)),EDATE(Roster!$B199,12*Setup!$C$25),"")</f>
        <v/>
      </c>
      <c r="H199" s="32" t="str">
        <f>IF(AND(ISNUMBER(Roster!$B199),Setup!$B$26="Yes",ISNUMBER(Setup!$C$26)),EDATE(Roster!$B199,12*Setup!$C$26),"")</f>
        <v/>
      </c>
      <c r="I199" s="32" t="str">
        <f>IF(AND(ISNUMBER(Roster!$B199),Setup!$B$27="Yes",ISNUMBER(Setup!$C$27)),EDATE(Roster!$B199,12*Setup!$C$27),"")</f>
        <v/>
      </c>
      <c r="J199" s="32" t="str">
        <f>IF(AND(ISNUMBER(Roster!$B199),Setup!$B$28="Yes",ISNUMBER(Setup!$C$28)),EDATE(Roster!$B199,12*Setup!$C$28),"")</f>
        <v/>
      </c>
      <c r="K199" s="32" t="str">
        <f>IF(AND(ISNUMBER(Roster!$B199),Setup!$B$29="Yes",ISNUMBER(Setup!$C$29)),EDATE(Roster!$B199,12*Setup!$C$29),"")</f>
        <v/>
      </c>
      <c r="L199" s="32" t="str">
        <f>IF(AND(ISNUMBER(Roster!$B199),Setup!$B$30="Yes",ISNUMBER(Setup!$C$30)),EDATE(Roster!$B199,12*Setup!$C$30),"")</f>
        <v/>
      </c>
      <c r="M199" s="32" t="str">
        <f>IF(AND(ISNUMBER(Roster!$B199),Setup!$B$31="Yes",ISNUMBER(Setup!$C$31)),EDATE(Roster!$B199,12*Setup!$C$31),"")</f>
        <v/>
      </c>
      <c r="N199" s="32" t="str">
        <f>IF(AND(ISNUMBER(Roster!$B199),Setup!$B$32="Yes",ISNUMBER(Setup!$C$32)),EDATE(Roster!$B199,12*Setup!$C$32),"")</f>
        <v/>
      </c>
      <c r="O199" s="32" t="str">
        <f>IF(AND(ISNUMBER(Roster!$B199),Setup!$B$33="Yes",ISNUMBER(Setup!$C$33)),EDATE(Roster!$B199,12*Setup!$C$33),"")</f>
        <v/>
      </c>
      <c r="P199" s="32" t="str">
        <f>IF(AND(ISNUMBER(Roster!$B199),Setup!$B$34="Yes",ISNUMBER(Setup!$C$34)),EDATE(Roster!$B199,12*Setup!$C$34),"")</f>
        <v/>
      </c>
      <c r="R199" t="str">
        <f>IF(B199="","",IF(B199&lt;Setup!$C$5-Setup!$C$6,"",IF(IF(ISNUMBER(Roster!$D199),Setup!$C$20&lt;=Roster!$D199,FALSE),"",IF(OR(IF(Setup!$C$15&lt;=Setup!$C$16,AND(MONTH(B199)&gt;=Setup!$C$15,MONTH(B199)&lt;=Setup!$C$16),OR(MONTH(B199)&gt;=Setup!$C$15,MONTH(B199)&lt;=Setup!$C$16)),IF(Setup!$C$15&lt;=Setup!$C$16,AND(MONTH(WORKDAY(B199,-(Setup!$C$13+Setup!$G$20),Setup!$C$39:$C$50))&gt;=Setup!$C$15,MONTH(WORKDAY(B199,-(Setup!$C$13+Setup!$G$20),Setup!$C$39:$C$50))&lt;=Setup!$C$16),OR(MONTH(WORKDAY(B199,-(Setup!$C$13+Setup!$G$20),Setup!$C$39:$C$50))&gt;=Setup!$C$15,MONTH(WORKDAY(B199,-(Setup!$C$13+Setup!$G$20),Setup!$C$39:$C$50))&lt;=Setup!$C$16))),WORKDAY(B199,-(Setup!$C$13+Setup!$G$20+Setup!$C$14),Setup!$C$39:$C$50),WORKDAY(B199,-(Setup!$C$13+Setup!$G$20),Setup!$C$39:$C$50))+(194*100+1)/10000000)))</f>
        <v/>
      </c>
      <c r="S199" t="str">
        <f>IF(C199="","",IF(C199&lt;Setup!$C$5-Setup!$C$6,"",IF(IF(ISNUMBER(Roster!$D199),Setup!$C$21&lt;=Roster!$D199,FALSE),"",IF(OR(IF(Setup!$C$15&lt;=Setup!$C$16,AND(MONTH(C199)&gt;=Setup!$C$15,MONTH(C199)&lt;=Setup!$C$16),OR(MONTH(C199)&gt;=Setup!$C$15,MONTH(C199)&lt;=Setup!$C$16)),IF(Setup!$C$15&lt;=Setup!$C$16,AND(MONTH(WORKDAY(C199,-(Setup!$C$13+Setup!$G$21),Setup!$C$39:$C$50))&gt;=Setup!$C$15,MONTH(WORKDAY(C199,-(Setup!$C$13+Setup!$G$21),Setup!$C$39:$C$50))&lt;=Setup!$C$16),OR(MONTH(WORKDAY(C199,-(Setup!$C$13+Setup!$G$21),Setup!$C$39:$C$50))&gt;=Setup!$C$15,MONTH(WORKDAY(C199,-(Setup!$C$13+Setup!$G$21),Setup!$C$39:$C$50))&lt;=Setup!$C$16))),WORKDAY(C199,-(Setup!$C$13+Setup!$G$21+Setup!$C$14),Setup!$C$39:$C$50),WORKDAY(C199,-(Setup!$C$13+Setup!$G$21),Setup!$C$39:$C$50))+(194*100+2)/10000000)))</f>
        <v/>
      </c>
      <c r="T199" t="str">
        <f>IF(D199="","",IF(D199&lt;Setup!$C$5-Setup!$C$6,"",IF(IF(ISNUMBER(Roster!$D199),Setup!$C$22&lt;=Roster!$D199,FALSE),"",IF(OR(IF(Setup!$C$15&lt;=Setup!$C$16,AND(MONTH(D199)&gt;=Setup!$C$15,MONTH(D199)&lt;=Setup!$C$16),OR(MONTH(D199)&gt;=Setup!$C$15,MONTH(D199)&lt;=Setup!$C$16)),IF(Setup!$C$15&lt;=Setup!$C$16,AND(MONTH(WORKDAY(D199,-(Setup!$C$13+Setup!$G$22),Setup!$C$39:$C$50))&gt;=Setup!$C$15,MONTH(WORKDAY(D199,-(Setup!$C$13+Setup!$G$22),Setup!$C$39:$C$50))&lt;=Setup!$C$16),OR(MONTH(WORKDAY(D199,-(Setup!$C$13+Setup!$G$22),Setup!$C$39:$C$50))&gt;=Setup!$C$15,MONTH(WORKDAY(D199,-(Setup!$C$13+Setup!$G$22),Setup!$C$39:$C$50))&lt;=Setup!$C$16))),WORKDAY(D199,-(Setup!$C$13+Setup!$G$22+Setup!$C$14),Setup!$C$39:$C$50),WORKDAY(D199,-(Setup!$C$13+Setup!$G$22),Setup!$C$39:$C$50))+(194*100+3)/10000000)))</f>
        <v/>
      </c>
      <c r="U199" t="str">
        <f>IF(E199="","",IF(E199&lt;Setup!$C$5-Setup!$C$6,"",IF(IF(ISNUMBER(Roster!$D199),Setup!$C$23&lt;=Roster!$D199,FALSE),"",IF(OR(IF(Setup!$C$15&lt;=Setup!$C$16,AND(MONTH(E199)&gt;=Setup!$C$15,MONTH(E199)&lt;=Setup!$C$16),OR(MONTH(E199)&gt;=Setup!$C$15,MONTH(E199)&lt;=Setup!$C$16)),IF(Setup!$C$15&lt;=Setup!$C$16,AND(MONTH(WORKDAY(E199,-(Setup!$C$13+Setup!$G$23),Setup!$C$39:$C$50))&gt;=Setup!$C$15,MONTH(WORKDAY(E199,-(Setup!$C$13+Setup!$G$23),Setup!$C$39:$C$50))&lt;=Setup!$C$16),OR(MONTH(WORKDAY(E199,-(Setup!$C$13+Setup!$G$23),Setup!$C$39:$C$50))&gt;=Setup!$C$15,MONTH(WORKDAY(E199,-(Setup!$C$13+Setup!$G$23),Setup!$C$39:$C$50))&lt;=Setup!$C$16))),WORKDAY(E199,-(Setup!$C$13+Setup!$G$23+Setup!$C$14),Setup!$C$39:$C$50),WORKDAY(E199,-(Setup!$C$13+Setup!$G$23),Setup!$C$39:$C$50))+(194*100+4)/10000000)))</f>
        <v/>
      </c>
      <c r="V199" t="str">
        <f>IF(F199="","",IF(F199&lt;Setup!$C$5-Setup!$C$6,"",IF(IF(ISNUMBER(Roster!$D199),Setup!$C$24&lt;=Roster!$D199,FALSE),"",IF(OR(IF(Setup!$C$15&lt;=Setup!$C$16,AND(MONTH(F199)&gt;=Setup!$C$15,MONTH(F199)&lt;=Setup!$C$16),OR(MONTH(F199)&gt;=Setup!$C$15,MONTH(F199)&lt;=Setup!$C$16)),IF(Setup!$C$15&lt;=Setup!$C$16,AND(MONTH(WORKDAY(F199,-(Setup!$C$13+Setup!$G$24),Setup!$C$39:$C$50))&gt;=Setup!$C$15,MONTH(WORKDAY(F199,-(Setup!$C$13+Setup!$G$24),Setup!$C$39:$C$50))&lt;=Setup!$C$16),OR(MONTH(WORKDAY(F199,-(Setup!$C$13+Setup!$G$24),Setup!$C$39:$C$50))&gt;=Setup!$C$15,MONTH(WORKDAY(F199,-(Setup!$C$13+Setup!$G$24),Setup!$C$39:$C$50))&lt;=Setup!$C$16))),WORKDAY(F199,-(Setup!$C$13+Setup!$G$24+Setup!$C$14),Setup!$C$39:$C$50),WORKDAY(F199,-(Setup!$C$13+Setup!$G$24),Setup!$C$39:$C$50))+(194*100+5)/10000000)))</f>
        <v/>
      </c>
      <c r="W199" t="str">
        <f>IF(G199="","",IF(G199&lt;Setup!$C$5-Setup!$C$6,"",IF(IF(ISNUMBER(Roster!$D199),Setup!$C$25&lt;=Roster!$D199,FALSE),"",IF(OR(IF(Setup!$C$15&lt;=Setup!$C$16,AND(MONTH(G199)&gt;=Setup!$C$15,MONTH(G199)&lt;=Setup!$C$16),OR(MONTH(G199)&gt;=Setup!$C$15,MONTH(G199)&lt;=Setup!$C$16)),IF(Setup!$C$15&lt;=Setup!$C$16,AND(MONTH(WORKDAY(G199,-(Setup!$C$13+Setup!$G$25),Setup!$C$39:$C$50))&gt;=Setup!$C$15,MONTH(WORKDAY(G199,-(Setup!$C$13+Setup!$G$25),Setup!$C$39:$C$50))&lt;=Setup!$C$16),OR(MONTH(WORKDAY(G199,-(Setup!$C$13+Setup!$G$25),Setup!$C$39:$C$50))&gt;=Setup!$C$15,MONTH(WORKDAY(G199,-(Setup!$C$13+Setup!$G$25),Setup!$C$39:$C$50))&lt;=Setup!$C$16))),WORKDAY(G199,-(Setup!$C$13+Setup!$G$25+Setup!$C$14),Setup!$C$39:$C$50),WORKDAY(G199,-(Setup!$C$13+Setup!$G$25),Setup!$C$39:$C$50))+(194*100+6)/10000000)))</f>
        <v/>
      </c>
      <c r="X199" t="str">
        <f>IF(H199="","",IF(H199&lt;Setup!$C$5-Setup!$C$6,"",IF(IF(ISNUMBER(Roster!$D199),Setup!$C$26&lt;=Roster!$D199,FALSE),"",IF(OR(IF(Setup!$C$15&lt;=Setup!$C$16,AND(MONTH(H199)&gt;=Setup!$C$15,MONTH(H199)&lt;=Setup!$C$16),OR(MONTH(H199)&gt;=Setup!$C$15,MONTH(H199)&lt;=Setup!$C$16)),IF(Setup!$C$15&lt;=Setup!$C$16,AND(MONTH(WORKDAY(H199,-(Setup!$C$13+Setup!$G$26),Setup!$C$39:$C$50))&gt;=Setup!$C$15,MONTH(WORKDAY(H199,-(Setup!$C$13+Setup!$G$26),Setup!$C$39:$C$50))&lt;=Setup!$C$16),OR(MONTH(WORKDAY(H199,-(Setup!$C$13+Setup!$G$26),Setup!$C$39:$C$50))&gt;=Setup!$C$15,MONTH(WORKDAY(H199,-(Setup!$C$13+Setup!$G$26),Setup!$C$39:$C$50))&lt;=Setup!$C$16))),WORKDAY(H199,-(Setup!$C$13+Setup!$G$26+Setup!$C$14),Setup!$C$39:$C$50),WORKDAY(H199,-(Setup!$C$13+Setup!$G$26),Setup!$C$39:$C$50))+(194*100+7)/10000000)))</f>
        <v/>
      </c>
      <c r="Y199" t="str">
        <f>IF(I199="","",IF(I199&lt;Setup!$C$5-Setup!$C$6,"",IF(IF(ISNUMBER(Roster!$D199),Setup!$C$27&lt;=Roster!$D199,FALSE),"",IF(OR(IF(Setup!$C$15&lt;=Setup!$C$16,AND(MONTH(I199)&gt;=Setup!$C$15,MONTH(I199)&lt;=Setup!$C$16),OR(MONTH(I199)&gt;=Setup!$C$15,MONTH(I199)&lt;=Setup!$C$16)),IF(Setup!$C$15&lt;=Setup!$C$16,AND(MONTH(WORKDAY(I199,-(Setup!$C$13+Setup!$G$27),Setup!$C$39:$C$50))&gt;=Setup!$C$15,MONTH(WORKDAY(I199,-(Setup!$C$13+Setup!$G$27),Setup!$C$39:$C$50))&lt;=Setup!$C$16),OR(MONTH(WORKDAY(I199,-(Setup!$C$13+Setup!$G$27),Setup!$C$39:$C$50))&gt;=Setup!$C$15,MONTH(WORKDAY(I199,-(Setup!$C$13+Setup!$G$27),Setup!$C$39:$C$50))&lt;=Setup!$C$16))),WORKDAY(I199,-(Setup!$C$13+Setup!$G$27+Setup!$C$14),Setup!$C$39:$C$50),WORKDAY(I199,-(Setup!$C$13+Setup!$G$27),Setup!$C$39:$C$50))+(194*100+8)/10000000)))</f>
        <v/>
      </c>
      <c r="Z199" t="str">
        <f>IF(J199="","",IF(J199&lt;Setup!$C$5-Setup!$C$6,"",IF(IF(ISNUMBER(Roster!$D199),Setup!$C$28&lt;=Roster!$D199,FALSE),"",IF(OR(IF(Setup!$C$15&lt;=Setup!$C$16,AND(MONTH(J199)&gt;=Setup!$C$15,MONTH(J199)&lt;=Setup!$C$16),OR(MONTH(J199)&gt;=Setup!$C$15,MONTH(J199)&lt;=Setup!$C$16)),IF(Setup!$C$15&lt;=Setup!$C$16,AND(MONTH(WORKDAY(J199,-(Setup!$C$13+Setup!$G$28),Setup!$C$39:$C$50))&gt;=Setup!$C$15,MONTH(WORKDAY(J199,-(Setup!$C$13+Setup!$G$28),Setup!$C$39:$C$50))&lt;=Setup!$C$16),OR(MONTH(WORKDAY(J199,-(Setup!$C$13+Setup!$G$28),Setup!$C$39:$C$50))&gt;=Setup!$C$15,MONTH(WORKDAY(J199,-(Setup!$C$13+Setup!$G$28),Setup!$C$39:$C$50))&lt;=Setup!$C$16))),WORKDAY(J199,-(Setup!$C$13+Setup!$G$28+Setup!$C$14),Setup!$C$39:$C$50),WORKDAY(J199,-(Setup!$C$13+Setup!$G$28),Setup!$C$39:$C$50))+(194*100+9)/10000000)))</f>
        <v/>
      </c>
      <c r="AA199" t="str">
        <f>IF(K199="","",IF(K199&lt;Setup!$C$5-Setup!$C$6,"",IF(IF(ISNUMBER(Roster!$D199),Setup!$C$29&lt;=Roster!$D199,FALSE),"",IF(OR(IF(Setup!$C$15&lt;=Setup!$C$16,AND(MONTH(K199)&gt;=Setup!$C$15,MONTH(K199)&lt;=Setup!$C$16),OR(MONTH(K199)&gt;=Setup!$C$15,MONTH(K199)&lt;=Setup!$C$16)),IF(Setup!$C$15&lt;=Setup!$C$16,AND(MONTH(WORKDAY(K199,-(Setup!$C$13+Setup!$G$29),Setup!$C$39:$C$50))&gt;=Setup!$C$15,MONTH(WORKDAY(K199,-(Setup!$C$13+Setup!$G$29),Setup!$C$39:$C$50))&lt;=Setup!$C$16),OR(MONTH(WORKDAY(K199,-(Setup!$C$13+Setup!$G$29),Setup!$C$39:$C$50))&gt;=Setup!$C$15,MONTH(WORKDAY(K199,-(Setup!$C$13+Setup!$G$29),Setup!$C$39:$C$50))&lt;=Setup!$C$16))),WORKDAY(K199,-(Setup!$C$13+Setup!$G$29+Setup!$C$14),Setup!$C$39:$C$50),WORKDAY(K199,-(Setup!$C$13+Setup!$G$29),Setup!$C$39:$C$50))+(194*100+10)/10000000)))</f>
        <v/>
      </c>
      <c r="AB199" t="str">
        <f>IF(L199="","",IF(L199&lt;Setup!$C$5-Setup!$C$6,"",IF(IF(ISNUMBER(Roster!$D199),Setup!$C$30&lt;=Roster!$D199,FALSE),"",IF(OR(IF(Setup!$C$15&lt;=Setup!$C$16,AND(MONTH(L199)&gt;=Setup!$C$15,MONTH(L199)&lt;=Setup!$C$16),OR(MONTH(L199)&gt;=Setup!$C$15,MONTH(L199)&lt;=Setup!$C$16)),IF(Setup!$C$15&lt;=Setup!$C$16,AND(MONTH(WORKDAY(L199,-(Setup!$C$13+Setup!$G$30),Setup!$C$39:$C$50))&gt;=Setup!$C$15,MONTH(WORKDAY(L199,-(Setup!$C$13+Setup!$G$30),Setup!$C$39:$C$50))&lt;=Setup!$C$16),OR(MONTH(WORKDAY(L199,-(Setup!$C$13+Setup!$G$30),Setup!$C$39:$C$50))&gt;=Setup!$C$15,MONTH(WORKDAY(L199,-(Setup!$C$13+Setup!$G$30),Setup!$C$39:$C$50))&lt;=Setup!$C$16))),WORKDAY(L199,-(Setup!$C$13+Setup!$G$30+Setup!$C$14),Setup!$C$39:$C$50),WORKDAY(L199,-(Setup!$C$13+Setup!$G$30),Setup!$C$39:$C$50))+(194*100+11)/10000000)))</f>
        <v/>
      </c>
      <c r="AC199" t="str">
        <f>IF(M199="","",IF(M199&lt;Setup!$C$5-Setup!$C$6,"",IF(IF(ISNUMBER(Roster!$D199),Setup!$C$31&lt;=Roster!$D199,FALSE),"",IF(OR(IF(Setup!$C$15&lt;=Setup!$C$16,AND(MONTH(M199)&gt;=Setup!$C$15,MONTH(M199)&lt;=Setup!$C$16),OR(MONTH(M199)&gt;=Setup!$C$15,MONTH(M199)&lt;=Setup!$C$16)),IF(Setup!$C$15&lt;=Setup!$C$16,AND(MONTH(WORKDAY(M199,-(Setup!$C$13+Setup!$G$31),Setup!$C$39:$C$50))&gt;=Setup!$C$15,MONTH(WORKDAY(M199,-(Setup!$C$13+Setup!$G$31),Setup!$C$39:$C$50))&lt;=Setup!$C$16),OR(MONTH(WORKDAY(M199,-(Setup!$C$13+Setup!$G$31),Setup!$C$39:$C$50))&gt;=Setup!$C$15,MONTH(WORKDAY(M199,-(Setup!$C$13+Setup!$G$31),Setup!$C$39:$C$50))&lt;=Setup!$C$16))),WORKDAY(M199,-(Setup!$C$13+Setup!$G$31+Setup!$C$14),Setup!$C$39:$C$50),WORKDAY(M199,-(Setup!$C$13+Setup!$G$31),Setup!$C$39:$C$50))+(194*100+12)/10000000)))</f>
        <v/>
      </c>
      <c r="AD199" t="str">
        <f>IF(N199="","",IF(N199&lt;Setup!$C$5-Setup!$C$6,"",IF(IF(ISNUMBER(Roster!$D199),Setup!$C$32&lt;=Roster!$D199,FALSE),"",IF(OR(IF(Setup!$C$15&lt;=Setup!$C$16,AND(MONTH(N199)&gt;=Setup!$C$15,MONTH(N199)&lt;=Setup!$C$16),OR(MONTH(N199)&gt;=Setup!$C$15,MONTH(N199)&lt;=Setup!$C$16)),IF(Setup!$C$15&lt;=Setup!$C$16,AND(MONTH(WORKDAY(N199,-(Setup!$C$13+Setup!$G$32),Setup!$C$39:$C$50))&gt;=Setup!$C$15,MONTH(WORKDAY(N199,-(Setup!$C$13+Setup!$G$32),Setup!$C$39:$C$50))&lt;=Setup!$C$16),OR(MONTH(WORKDAY(N199,-(Setup!$C$13+Setup!$G$32),Setup!$C$39:$C$50))&gt;=Setup!$C$15,MONTH(WORKDAY(N199,-(Setup!$C$13+Setup!$G$32),Setup!$C$39:$C$50))&lt;=Setup!$C$16))),WORKDAY(N199,-(Setup!$C$13+Setup!$G$32+Setup!$C$14),Setup!$C$39:$C$50),WORKDAY(N199,-(Setup!$C$13+Setup!$G$32),Setup!$C$39:$C$50))+(194*100+13)/10000000)))</f>
        <v/>
      </c>
      <c r="AE199" t="str">
        <f>IF(O199="","",IF(O199&lt;Setup!$C$5-Setup!$C$6,"",IF(IF(ISNUMBER(Roster!$D199),Setup!$C$33&lt;=Roster!$D199,FALSE),"",IF(OR(IF(Setup!$C$15&lt;=Setup!$C$16,AND(MONTH(O199)&gt;=Setup!$C$15,MONTH(O199)&lt;=Setup!$C$16),OR(MONTH(O199)&gt;=Setup!$C$15,MONTH(O199)&lt;=Setup!$C$16)),IF(Setup!$C$15&lt;=Setup!$C$16,AND(MONTH(WORKDAY(O199,-(Setup!$C$13+Setup!$G$33),Setup!$C$39:$C$50))&gt;=Setup!$C$15,MONTH(WORKDAY(O199,-(Setup!$C$13+Setup!$G$33),Setup!$C$39:$C$50))&lt;=Setup!$C$16),OR(MONTH(WORKDAY(O199,-(Setup!$C$13+Setup!$G$33),Setup!$C$39:$C$50))&gt;=Setup!$C$15,MONTH(WORKDAY(O199,-(Setup!$C$13+Setup!$G$33),Setup!$C$39:$C$50))&lt;=Setup!$C$16))),WORKDAY(O199,-(Setup!$C$13+Setup!$G$33+Setup!$C$14),Setup!$C$39:$C$50),WORKDAY(O199,-(Setup!$C$13+Setup!$G$33),Setup!$C$39:$C$50))+(194*100+14)/10000000)))</f>
        <v/>
      </c>
      <c r="AF199" t="str">
        <f>IF(P199="","",IF(P199&lt;Setup!$C$5-Setup!$C$6,"",IF(IF(ISNUMBER(Roster!$D199),Setup!$C$34&lt;=Roster!$D199,FALSE),"",IF(OR(IF(Setup!$C$15&lt;=Setup!$C$16,AND(MONTH(P199)&gt;=Setup!$C$15,MONTH(P199)&lt;=Setup!$C$16),OR(MONTH(P199)&gt;=Setup!$C$15,MONTH(P199)&lt;=Setup!$C$16)),IF(Setup!$C$15&lt;=Setup!$C$16,AND(MONTH(WORKDAY(P199,-(Setup!$C$13+Setup!$G$34),Setup!$C$39:$C$50))&gt;=Setup!$C$15,MONTH(WORKDAY(P199,-(Setup!$C$13+Setup!$G$34),Setup!$C$39:$C$50))&lt;=Setup!$C$16),OR(MONTH(WORKDAY(P199,-(Setup!$C$13+Setup!$G$34),Setup!$C$39:$C$50))&gt;=Setup!$C$15,MONTH(WORKDAY(P199,-(Setup!$C$13+Setup!$G$34),Setup!$C$39:$C$50))&lt;=Setup!$C$16))),WORKDAY(P199,-(Setup!$C$13+Setup!$G$34+Setup!$C$14),Setup!$C$39:$C$50),WORKDAY(P199,-(Setup!$C$13+Setup!$G$34),Setup!$C$39:$C$50))+(194*100+15)/10000000)))</f>
        <v/>
      </c>
      <c r="AH199" t="str">
        <f t="shared" si="25"/>
        <v/>
      </c>
      <c r="AI199" t="str">
        <f t="shared" si="26"/>
        <v/>
      </c>
      <c r="AK199" t="str">
        <f ca="1">IF(194&gt;$AK$2,"",SMALL($R$6:$AF$505,194))</f>
        <v/>
      </c>
      <c r="AL199" t="str">
        <f t="shared" ca="1" si="27"/>
        <v/>
      </c>
      <c r="AM199" t="str">
        <f t="shared" ca="1" si="28"/>
        <v/>
      </c>
      <c r="AN199" t="str">
        <f t="shared" ca="1" si="29"/>
        <v/>
      </c>
      <c r="AP199" t="str">
        <f>IF(ISNUMBER(Roster!$B199),MAX(1,YEAR(Setup!$C$5)-YEAR(Roster!$B199)+IF(EDATE(Roster!$B199,12*(YEAR(Setup!$C$5)-YEAR(Roster!$B199)))&lt;Setup!$C$5,1,0)),"")</f>
        <v/>
      </c>
      <c r="AQ199" s="32" t="str">
        <f>IF(AP199="","",EDATE(Roster!$B199,12*AP199))</f>
        <v/>
      </c>
      <c r="AR199" t="str">
        <f>IF(AQ199="","",IF(AQ199&lt;DATE(YEAR(Setup!$C$5)+1,MONTH(Setup!$C$5),DAY(Setup!$C$5)),AQ199+194/1000,""))</f>
        <v/>
      </c>
      <c r="AS199" t="str">
        <f t="shared" si="30"/>
        <v/>
      </c>
      <c r="AT199" t="str">
        <f>IF(AS199="","",IF(ISNUMBER(Roster!$D199),Roster!$D199&gt;=AP199,FALSE))</f>
        <v/>
      </c>
      <c r="AU199" t="str">
        <f t="shared" si="31"/>
        <v/>
      </c>
      <c r="AV199" t="str">
        <f ca="1">IF(194&gt;$AV$2,"",SMALL($AR$6:$AR$505,194))</f>
        <v/>
      </c>
      <c r="AW199" t="str">
        <f t="shared" ca="1" si="32"/>
        <v/>
      </c>
    </row>
    <row r="200" spans="2:49" x14ac:dyDescent="0.2">
      <c r="B200" s="32" t="str">
        <f>IF(AND(ISNUMBER(Roster!$B200),Setup!$B$20="Yes",ISNUMBER(Setup!$C$20)),EDATE(Roster!$B200,12*Setup!$C$20),"")</f>
        <v/>
      </c>
      <c r="C200" s="32" t="str">
        <f>IF(AND(ISNUMBER(Roster!$B200),Setup!$B$21="Yes",ISNUMBER(Setup!$C$21)),EDATE(Roster!$B200,12*Setup!$C$21),"")</f>
        <v/>
      </c>
      <c r="D200" s="32" t="str">
        <f>IF(AND(ISNUMBER(Roster!$B200),Setup!$B$22="Yes",ISNUMBER(Setup!$C$22)),EDATE(Roster!$B200,12*Setup!$C$22),"")</f>
        <v/>
      </c>
      <c r="E200" s="32" t="str">
        <f>IF(AND(ISNUMBER(Roster!$B200),Setup!$B$23="Yes",ISNUMBER(Setup!$C$23)),EDATE(Roster!$B200,12*Setup!$C$23),"")</f>
        <v/>
      </c>
      <c r="F200" s="32" t="str">
        <f>IF(AND(ISNUMBER(Roster!$B200),Setup!$B$24="Yes",ISNUMBER(Setup!$C$24)),EDATE(Roster!$B200,12*Setup!$C$24),"")</f>
        <v/>
      </c>
      <c r="G200" s="32" t="str">
        <f>IF(AND(ISNUMBER(Roster!$B200),Setup!$B$25="Yes",ISNUMBER(Setup!$C$25)),EDATE(Roster!$B200,12*Setup!$C$25),"")</f>
        <v/>
      </c>
      <c r="H200" s="32" t="str">
        <f>IF(AND(ISNUMBER(Roster!$B200),Setup!$B$26="Yes",ISNUMBER(Setup!$C$26)),EDATE(Roster!$B200,12*Setup!$C$26),"")</f>
        <v/>
      </c>
      <c r="I200" s="32" t="str">
        <f>IF(AND(ISNUMBER(Roster!$B200),Setup!$B$27="Yes",ISNUMBER(Setup!$C$27)),EDATE(Roster!$B200,12*Setup!$C$27),"")</f>
        <v/>
      </c>
      <c r="J200" s="32" t="str">
        <f>IF(AND(ISNUMBER(Roster!$B200),Setup!$B$28="Yes",ISNUMBER(Setup!$C$28)),EDATE(Roster!$B200,12*Setup!$C$28),"")</f>
        <v/>
      </c>
      <c r="K200" s="32" t="str">
        <f>IF(AND(ISNUMBER(Roster!$B200),Setup!$B$29="Yes",ISNUMBER(Setup!$C$29)),EDATE(Roster!$B200,12*Setup!$C$29),"")</f>
        <v/>
      </c>
      <c r="L200" s="32" t="str">
        <f>IF(AND(ISNUMBER(Roster!$B200),Setup!$B$30="Yes",ISNUMBER(Setup!$C$30)),EDATE(Roster!$B200,12*Setup!$C$30),"")</f>
        <v/>
      </c>
      <c r="M200" s="32" t="str">
        <f>IF(AND(ISNUMBER(Roster!$B200),Setup!$B$31="Yes",ISNUMBER(Setup!$C$31)),EDATE(Roster!$B200,12*Setup!$C$31),"")</f>
        <v/>
      </c>
      <c r="N200" s="32" t="str">
        <f>IF(AND(ISNUMBER(Roster!$B200),Setup!$B$32="Yes",ISNUMBER(Setup!$C$32)),EDATE(Roster!$B200,12*Setup!$C$32),"")</f>
        <v/>
      </c>
      <c r="O200" s="32" t="str">
        <f>IF(AND(ISNUMBER(Roster!$B200),Setup!$B$33="Yes",ISNUMBER(Setup!$C$33)),EDATE(Roster!$B200,12*Setup!$C$33),"")</f>
        <v/>
      </c>
      <c r="P200" s="32" t="str">
        <f>IF(AND(ISNUMBER(Roster!$B200),Setup!$B$34="Yes",ISNUMBER(Setup!$C$34)),EDATE(Roster!$B200,12*Setup!$C$34),"")</f>
        <v/>
      </c>
      <c r="R200" t="str">
        <f>IF(B200="","",IF(B200&lt;Setup!$C$5-Setup!$C$6,"",IF(IF(ISNUMBER(Roster!$D200),Setup!$C$20&lt;=Roster!$D200,FALSE),"",IF(OR(IF(Setup!$C$15&lt;=Setup!$C$16,AND(MONTH(B200)&gt;=Setup!$C$15,MONTH(B200)&lt;=Setup!$C$16),OR(MONTH(B200)&gt;=Setup!$C$15,MONTH(B200)&lt;=Setup!$C$16)),IF(Setup!$C$15&lt;=Setup!$C$16,AND(MONTH(WORKDAY(B200,-(Setup!$C$13+Setup!$G$20),Setup!$C$39:$C$50))&gt;=Setup!$C$15,MONTH(WORKDAY(B200,-(Setup!$C$13+Setup!$G$20),Setup!$C$39:$C$50))&lt;=Setup!$C$16),OR(MONTH(WORKDAY(B200,-(Setup!$C$13+Setup!$G$20),Setup!$C$39:$C$50))&gt;=Setup!$C$15,MONTH(WORKDAY(B200,-(Setup!$C$13+Setup!$G$20),Setup!$C$39:$C$50))&lt;=Setup!$C$16))),WORKDAY(B200,-(Setup!$C$13+Setup!$G$20+Setup!$C$14),Setup!$C$39:$C$50),WORKDAY(B200,-(Setup!$C$13+Setup!$G$20),Setup!$C$39:$C$50))+(195*100+1)/10000000)))</f>
        <v/>
      </c>
      <c r="S200" t="str">
        <f>IF(C200="","",IF(C200&lt;Setup!$C$5-Setup!$C$6,"",IF(IF(ISNUMBER(Roster!$D200),Setup!$C$21&lt;=Roster!$D200,FALSE),"",IF(OR(IF(Setup!$C$15&lt;=Setup!$C$16,AND(MONTH(C200)&gt;=Setup!$C$15,MONTH(C200)&lt;=Setup!$C$16),OR(MONTH(C200)&gt;=Setup!$C$15,MONTH(C200)&lt;=Setup!$C$16)),IF(Setup!$C$15&lt;=Setup!$C$16,AND(MONTH(WORKDAY(C200,-(Setup!$C$13+Setup!$G$21),Setup!$C$39:$C$50))&gt;=Setup!$C$15,MONTH(WORKDAY(C200,-(Setup!$C$13+Setup!$G$21),Setup!$C$39:$C$50))&lt;=Setup!$C$16),OR(MONTH(WORKDAY(C200,-(Setup!$C$13+Setup!$G$21),Setup!$C$39:$C$50))&gt;=Setup!$C$15,MONTH(WORKDAY(C200,-(Setup!$C$13+Setup!$G$21),Setup!$C$39:$C$50))&lt;=Setup!$C$16))),WORKDAY(C200,-(Setup!$C$13+Setup!$G$21+Setup!$C$14),Setup!$C$39:$C$50),WORKDAY(C200,-(Setup!$C$13+Setup!$G$21),Setup!$C$39:$C$50))+(195*100+2)/10000000)))</f>
        <v/>
      </c>
      <c r="T200" t="str">
        <f>IF(D200="","",IF(D200&lt;Setup!$C$5-Setup!$C$6,"",IF(IF(ISNUMBER(Roster!$D200),Setup!$C$22&lt;=Roster!$D200,FALSE),"",IF(OR(IF(Setup!$C$15&lt;=Setup!$C$16,AND(MONTH(D200)&gt;=Setup!$C$15,MONTH(D200)&lt;=Setup!$C$16),OR(MONTH(D200)&gt;=Setup!$C$15,MONTH(D200)&lt;=Setup!$C$16)),IF(Setup!$C$15&lt;=Setup!$C$16,AND(MONTH(WORKDAY(D200,-(Setup!$C$13+Setup!$G$22),Setup!$C$39:$C$50))&gt;=Setup!$C$15,MONTH(WORKDAY(D200,-(Setup!$C$13+Setup!$G$22),Setup!$C$39:$C$50))&lt;=Setup!$C$16),OR(MONTH(WORKDAY(D200,-(Setup!$C$13+Setup!$G$22),Setup!$C$39:$C$50))&gt;=Setup!$C$15,MONTH(WORKDAY(D200,-(Setup!$C$13+Setup!$G$22),Setup!$C$39:$C$50))&lt;=Setup!$C$16))),WORKDAY(D200,-(Setup!$C$13+Setup!$G$22+Setup!$C$14),Setup!$C$39:$C$50),WORKDAY(D200,-(Setup!$C$13+Setup!$G$22),Setup!$C$39:$C$50))+(195*100+3)/10000000)))</f>
        <v/>
      </c>
      <c r="U200" t="str">
        <f>IF(E200="","",IF(E200&lt;Setup!$C$5-Setup!$C$6,"",IF(IF(ISNUMBER(Roster!$D200),Setup!$C$23&lt;=Roster!$D200,FALSE),"",IF(OR(IF(Setup!$C$15&lt;=Setup!$C$16,AND(MONTH(E200)&gt;=Setup!$C$15,MONTH(E200)&lt;=Setup!$C$16),OR(MONTH(E200)&gt;=Setup!$C$15,MONTH(E200)&lt;=Setup!$C$16)),IF(Setup!$C$15&lt;=Setup!$C$16,AND(MONTH(WORKDAY(E200,-(Setup!$C$13+Setup!$G$23),Setup!$C$39:$C$50))&gt;=Setup!$C$15,MONTH(WORKDAY(E200,-(Setup!$C$13+Setup!$G$23),Setup!$C$39:$C$50))&lt;=Setup!$C$16),OR(MONTH(WORKDAY(E200,-(Setup!$C$13+Setup!$G$23),Setup!$C$39:$C$50))&gt;=Setup!$C$15,MONTH(WORKDAY(E200,-(Setup!$C$13+Setup!$G$23),Setup!$C$39:$C$50))&lt;=Setup!$C$16))),WORKDAY(E200,-(Setup!$C$13+Setup!$G$23+Setup!$C$14),Setup!$C$39:$C$50),WORKDAY(E200,-(Setup!$C$13+Setup!$G$23),Setup!$C$39:$C$50))+(195*100+4)/10000000)))</f>
        <v/>
      </c>
      <c r="V200" t="str">
        <f>IF(F200="","",IF(F200&lt;Setup!$C$5-Setup!$C$6,"",IF(IF(ISNUMBER(Roster!$D200),Setup!$C$24&lt;=Roster!$D200,FALSE),"",IF(OR(IF(Setup!$C$15&lt;=Setup!$C$16,AND(MONTH(F200)&gt;=Setup!$C$15,MONTH(F200)&lt;=Setup!$C$16),OR(MONTH(F200)&gt;=Setup!$C$15,MONTH(F200)&lt;=Setup!$C$16)),IF(Setup!$C$15&lt;=Setup!$C$16,AND(MONTH(WORKDAY(F200,-(Setup!$C$13+Setup!$G$24),Setup!$C$39:$C$50))&gt;=Setup!$C$15,MONTH(WORKDAY(F200,-(Setup!$C$13+Setup!$G$24),Setup!$C$39:$C$50))&lt;=Setup!$C$16),OR(MONTH(WORKDAY(F200,-(Setup!$C$13+Setup!$G$24),Setup!$C$39:$C$50))&gt;=Setup!$C$15,MONTH(WORKDAY(F200,-(Setup!$C$13+Setup!$G$24),Setup!$C$39:$C$50))&lt;=Setup!$C$16))),WORKDAY(F200,-(Setup!$C$13+Setup!$G$24+Setup!$C$14),Setup!$C$39:$C$50),WORKDAY(F200,-(Setup!$C$13+Setup!$G$24),Setup!$C$39:$C$50))+(195*100+5)/10000000)))</f>
        <v/>
      </c>
      <c r="W200" t="str">
        <f>IF(G200="","",IF(G200&lt;Setup!$C$5-Setup!$C$6,"",IF(IF(ISNUMBER(Roster!$D200),Setup!$C$25&lt;=Roster!$D200,FALSE),"",IF(OR(IF(Setup!$C$15&lt;=Setup!$C$16,AND(MONTH(G200)&gt;=Setup!$C$15,MONTH(G200)&lt;=Setup!$C$16),OR(MONTH(G200)&gt;=Setup!$C$15,MONTH(G200)&lt;=Setup!$C$16)),IF(Setup!$C$15&lt;=Setup!$C$16,AND(MONTH(WORKDAY(G200,-(Setup!$C$13+Setup!$G$25),Setup!$C$39:$C$50))&gt;=Setup!$C$15,MONTH(WORKDAY(G200,-(Setup!$C$13+Setup!$G$25),Setup!$C$39:$C$50))&lt;=Setup!$C$16),OR(MONTH(WORKDAY(G200,-(Setup!$C$13+Setup!$G$25),Setup!$C$39:$C$50))&gt;=Setup!$C$15,MONTH(WORKDAY(G200,-(Setup!$C$13+Setup!$G$25),Setup!$C$39:$C$50))&lt;=Setup!$C$16))),WORKDAY(G200,-(Setup!$C$13+Setup!$G$25+Setup!$C$14),Setup!$C$39:$C$50),WORKDAY(G200,-(Setup!$C$13+Setup!$G$25),Setup!$C$39:$C$50))+(195*100+6)/10000000)))</f>
        <v/>
      </c>
      <c r="X200" t="str">
        <f>IF(H200="","",IF(H200&lt;Setup!$C$5-Setup!$C$6,"",IF(IF(ISNUMBER(Roster!$D200),Setup!$C$26&lt;=Roster!$D200,FALSE),"",IF(OR(IF(Setup!$C$15&lt;=Setup!$C$16,AND(MONTH(H200)&gt;=Setup!$C$15,MONTH(H200)&lt;=Setup!$C$16),OR(MONTH(H200)&gt;=Setup!$C$15,MONTH(H200)&lt;=Setup!$C$16)),IF(Setup!$C$15&lt;=Setup!$C$16,AND(MONTH(WORKDAY(H200,-(Setup!$C$13+Setup!$G$26),Setup!$C$39:$C$50))&gt;=Setup!$C$15,MONTH(WORKDAY(H200,-(Setup!$C$13+Setup!$G$26),Setup!$C$39:$C$50))&lt;=Setup!$C$16),OR(MONTH(WORKDAY(H200,-(Setup!$C$13+Setup!$G$26),Setup!$C$39:$C$50))&gt;=Setup!$C$15,MONTH(WORKDAY(H200,-(Setup!$C$13+Setup!$G$26),Setup!$C$39:$C$50))&lt;=Setup!$C$16))),WORKDAY(H200,-(Setup!$C$13+Setup!$G$26+Setup!$C$14),Setup!$C$39:$C$50),WORKDAY(H200,-(Setup!$C$13+Setup!$G$26),Setup!$C$39:$C$50))+(195*100+7)/10000000)))</f>
        <v/>
      </c>
      <c r="Y200" t="str">
        <f>IF(I200="","",IF(I200&lt;Setup!$C$5-Setup!$C$6,"",IF(IF(ISNUMBER(Roster!$D200),Setup!$C$27&lt;=Roster!$D200,FALSE),"",IF(OR(IF(Setup!$C$15&lt;=Setup!$C$16,AND(MONTH(I200)&gt;=Setup!$C$15,MONTH(I200)&lt;=Setup!$C$16),OR(MONTH(I200)&gt;=Setup!$C$15,MONTH(I200)&lt;=Setup!$C$16)),IF(Setup!$C$15&lt;=Setup!$C$16,AND(MONTH(WORKDAY(I200,-(Setup!$C$13+Setup!$G$27),Setup!$C$39:$C$50))&gt;=Setup!$C$15,MONTH(WORKDAY(I200,-(Setup!$C$13+Setup!$G$27),Setup!$C$39:$C$50))&lt;=Setup!$C$16),OR(MONTH(WORKDAY(I200,-(Setup!$C$13+Setup!$G$27),Setup!$C$39:$C$50))&gt;=Setup!$C$15,MONTH(WORKDAY(I200,-(Setup!$C$13+Setup!$G$27),Setup!$C$39:$C$50))&lt;=Setup!$C$16))),WORKDAY(I200,-(Setup!$C$13+Setup!$G$27+Setup!$C$14),Setup!$C$39:$C$50),WORKDAY(I200,-(Setup!$C$13+Setup!$G$27),Setup!$C$39:$C$50))+(195*100+8)/10000000)))</f>
        <v/>
      </c>
      <c r="Z200" t="str">
        <f>IF(J200="","",IF(J200&lt;Setup!$C$5-Setup!$C$6,"",IF(IF(ISNUMBER(Roster!$D200),Setup!$C$28&lt;=Roster!$D200,FALSE),"",IF(OR(IF(Setup!$C$15&lt;=Setup!$C$16,AND(MONTH(J200)&gt;=Setup!$C$15,MONTH(J200)&lt;=Setup!$C$16),OR(MONTH(J200)&gt;=Setup!$C$15,MONTH(J200)&lt;=Setup!$C$16)),IF(Setup!$C$15&lt;=Setup!$C$16,AND(MONTH(WORKDAY(J200,-(Setup!$C$13+Setup!$G$28),Setup!$C$39:$C$50))&gt;=Setup!$C$15,MONTH(WORKDAY(J200,-(Setup!$C$13+Setup!$G$28),Setup!$C$39:$C$50))&lt;=Setup!$C$16),OR(MONTH(WORKDAY(J200,-(Setup!$C$13+Setup!$G$28),Setup!$C$39:$C$50))&gt;=Setup!$C$15,MONTH(WORKDAY(J200,-(Setup!$C$13+Setup!$G$28),Setup!$C$39:$C$50))&lt;=Setup!$C$16))),WORKDAY(J200,-(Setup!$C$13+Setup!$G$28+Setup!$C$14),Setup!$C$39:$C$50),WORKDAY(J200,-(Setup!$C$13+Setup!$G$28),Setup!$C$39:$C$50))+(195*100+9)/10000000)))</f>
        <v/>
      </c>
      <c r="AA200" t="str">
        <f>IF(K200="","",IF(K200&lt;Setup!$C$5-Setup!$C$6,"",IF(IF(ISNUMBER(Roster!$D200),Setup!$C$29&lt;=Roster!$D200,FALSE),"",IF(OR(IF(Setup!$C$15&lt;=Setup!$C$16,AND(MONTH(K200)&gt;=Setup!$C$15,MONTH(K200)&lt;=Setup!$C$16),OR(MONTH(K200)&gt;=Setup!$C$15,MONTH(K200)&lt;=Setup!$C$16)),IF(Setup!$C$15&lt;=Setup!$C$16,AND(MONTH(WORKDAY(K200,-(Setup!$C$13+Setup!$G$29),Setup!$C$39:$C$50))&gt;=Setup!$C$15,MONTH(WORKDAY(K200,-(Setup!$C$13+Setup!$G$29),Setup!$C$39:$C$50))&lt;=Setup!$C$16),OR(MONTH(WORKDAY(K200,-(Setup!$C$13+Setup!$G$29),Setup!$C$39:$C$50))&gt;=Setup!$C$15,MONTH(WORKDAY(K200,-(Setup!$C$13+Setup!$G$29),Setup!$C$39:$C$50))&lt;=Setup!$C$16))),WORKDAY(K200,-(Setup!$C$13+Setup!$G$29+Setup!$C$14),Setup!$C$39:$C$50),WORKDAY(K200,-(Setup!$C$13+Setup!$G$29),Setup!$C$39:$C$50))+(195*100+10)/10000000)))</f>
        <v/>
      </c>
      <c r="AB200" t="str">
        <f>IF(L200="","",IF(L200&lt;Setup!$C$5-Setup!$C$6,"",IF(IF(ISNUMBER(Roster!$D200),Setup!$C$30&lt;=Roster!$D200,FALSE),"",IF(OR(IF(Setup!$C$15&lt;=Setup!$C$16,AND(MONTH(L200)&gt;=Setup!$C$15,MONTH(L200)&lt;=Setup!$C$16),OR(MONTH(L200)&gt;=Setup!$C$15,MONTH(L200)&lt;=Setup!$C$16)),IF(Setup!$C$15&lt;=Setup!$C$16,AND(MONTH(WORKDAY(L200,-(Setup!$C$13+Setup!$G$30),Setup!$C$39:$C$50))&gt;=Setup!$C$15,MONTH(WORKDAY(L200,-(Setup!$C$13+Setup!$G$30),Setup!$C$39:$C$50))&lt;=Setup!$C$16),OR(MONTH(WORKDAY(L200,-(Setup!$C$13+Setup!$G$30),Setup!$C$39:$C$50))&gt;=Setup!$C$15,MONTH(WORKDAY(L200,-(Setup!$C$13+Setup!$G$30),Setup!$C$39:$C$50))&lt;=Setup!$C$16))),WORKDAY(L200,-(Setup!$C$13+Setup!$G$30+Setup!$C$14),Setup!$C$39:$C$50),WORKDAY(L200,-(Setup!$C$13+Setup!$G$30),Setup!$C$39:$C$50))+(195*100+11)/10000000)))</f>
        <v/>
      </c>
      <c r="AC200" t="str">
        <f>IF(M200="","",IF(M200&lt;Setup!$C$5-Setup!$C$6,"",IF(IF(ISNUMBER(Roster!$D200),Setup!$C$31&lt;=Roster!$D200,FALSE),"",IF(OR(IF(Setup!$C$15&lt;=Setup!$C$16,AND(MONTH(M200)&gt;=Setup!$C$15,MONTH(M200)&lt;=Setup!$C$16),OR(MONTH(M200)&gt;=Setup!$C$15,MONTH(M200)&lt;=Setup!$C$16)),IF(Setup!$C$15&lt;=Setup!$C$16,AND(MONTH(WORKDAY(M200,-(Setup!$C$13+Setup!$G$31),Setup!$C$39:$C$50))&gt;=Setup!$C$15,MONTH(WORKDAY(M200,-(Setup!$C$13+Setup!$G$31),Setup!$C$39:$C$50))&lt;=Setup!$C$16),OR(MONTH(WORKDAY(M200,-(Setup!$C$13+Setup!$G$31),Setup!$C$39:$C$50))&gt;=Setup!$C$15,MONTH(WORKDAY(M200,-(Setup!$C$13+Setup!$G$31),Setup!$C$39:$C$50))&lt;=Setup!$C$16))),WORKDAY(M200,-(Setup!$C$13+Setup!$G$31+Setup!$C$14),Setup!$C$39:$C$50),WORKDAY(M200,-(Setup!$C$13+Setup!$G$31),Setup!$C$39:$C$50))+(195*100+12)/10000000)))</f>
        <v/>
      </c>
      <c r="AD200" t="str">
        <f>IF(N200="","",IF(N200&lt;Setup!$C$5-Setup!$C$6,"",IF(IF(ISNUMBER(Roster!$D200),Setup!$C$32&lt;=Roster!$D200,FALSE),"",IF(OR(IF(Setup!$C$15&lt;=Setup!$C$16,AND(MONTH(N200)&gt;=Setup!$C$15,MONTH(N200)&lt;=Setup!$C$16),OR(MONTH(N200)&gt;=Setup!$C$15,MONTH(N200)&lt;=Setup!$C$16)),IF(Setup!$C$15&lt;=Setup!$C$16,AND(MONTH(WORKDAY(N200,-(Setup!$C$13+Setup!$G$32),Setup!$C$39:$C$50))&gt;=Setup!$C$15,MONTH(WORKDAY(N200,-(Setup!$C$13+Setup!$G$32),Setup!$C$39:$C$50))&lt;=Setup!$C$16),OR(MONTH(WORKDAY(N200,-(Setup!$C$13+Setup!$G$32),Setup!$C$39:$C$50))&gt;=Setup!$C$15,MONTH(WORKDAY(N200,-(Setup!$C$13+Setup!$G$32),Setup!$C$39:$C$50))&lt;=Setup!$C$16))),WORKDAY(N200,-(Setup!$C$13+Setup!$G$32+Setup!$C$14),Setup!$C$39:$C$50),WORKDAY(N200,-(Setup!$C$13+Setup!$G$32),Setup!$C$39:$C$50))+(195*100+13)/10000000)))</f>
        <v/>
      </c>
      <c r="AE200" t="str">
        <f>IF(O200="","",IF(O200&lt;Setup!$C$5-Setup!$C$6,"",IF(IF(ISNUMBER(Roster!$D200),Setup!$C$33&lt;=Roster!$D200,FALSE),"",IF(OR(IF(Setup!$C$15&lt;=Setup!$C$16,AND(MONTH(O200)&gt;=Setup!$C$15,MONTH(O200)&lt;=Setup!$C$16),OR(MONTH(O200)&gt;=Setup!$C$15,MONTH(O200)&lt;=Setup!$C$16)),IF(Setup!$C$15&lt;=Setup!$C$16,AND(MONTH(WORKDAY(O200,-(Setup!$C$13+Setup!$G$33),Setup!$C$39:$C$50))&gt;=Setup!$C$15,MONTH(WORKDAY(O200,-(Setup!$C$13+Setup!$G$33),Setup!$C$39:$C$50))&lt;=Setup!$C$16),OR(MONTH(WORKDAY(O200,-(Setup!$C$13+Setup!$G$33),Setup!$C$39:$C$50))&gt;=Setup!$C$15,MONTH(WORKDAY(O200,-(Setup!$C$13+Setup!$G$33),Setup!$C$39:$C$50))&lt;=Setup!$C$16))),WORKDAY(O200,-(Setup!$C$13+Setup!$G$33+Setup!$C$14),Setup!$C$39:$C$50),WORKDAY(O200,-(Setup!$C$13+Setup!$G$33),Setup!$C$39:$C$50))+(195*100+14)/10000000)))</f>
        <v/>
      </c>
      <c r="AF200" t="str">
        <f>IF(P200="","",IF(P200&lt;Setup!$C$5-Setup!$C$6,"",IF(IF(ISNUMBER(Roster!$D200),Setup!$C$34&lt;=Roster!$D200,FALSE),"",IF(OR(IF(Setup!$C$15&lt;=Setup!$C$16,AND(MONTH(P200)&gt;=Setup!$C$15,MONTH(P200)&lt;=Setup!$C$16),OR(MONTH(P200)&gt;=Setup!$C$15,MONTH(P200)&lt;=Setup!$C$16)),IF(Setup!$C$15&lt;=Setup!$C$16,AND(MONTH(WORKDAY(P200,-(Setup!$C$13+Setup!$G$34),Setup!$C$39:$C$50))&gt;=Setup!$C$15,MONTH(WORKDAY(P200,-(Setup!$C$13+Setup!$G$34),Setup!$C$39:$C$50))&lt;=Setup!$C$16),OR(MONTH(WORKDAY(P200,-(Setup!$C$13+Setup!$G$34),Setup!$C$39:$C$50))&gt;=Setup!$C$15,MONTH(WORKDAY(P200,-(Setup!$C$13+Setup!$G$34),Setup!$C$39:$C$50))&lt;=Setup!$C$16))),WORKDAY(P200,-(Setup!$C$13+Setup!$G$34+Setup!$C$14),Setup!$C$39:$C$50),WORKDAY(P200,-(Setup!$C$13+Setup!$G$34),Setup!$C$39:$C$50))+(195*100+15)/10000000)))</f>
        <v/>
      </c>
      <c r="AH200" t="str">
        <f t="shared" si="25"/>
        <v/>
      </c>
      <c r="AI200" t="str">
        <f t="shared" si="26"/>
        <v/>
      </c>
      <c r="AK200" t="str">
        <f ca="1">IF(195&gt;$AK$2,"",SMALL($R$6:$AF$505,195))</f>
        <v/>
      </c>
      <c r="AL200" t="str">
        <f t="shared" ca="1" si="27"/>
        <v/>
      </c>
      <c r="AM200" t="str">
        <f t="shared" ca="1" si="28"/>
        <v/>
      </c>
      <c r="AN200" t="str">
        <f t="shared" ca="1" si="29"/>
        <v/>
      </c>
      <c r="AP200" t="str">
        <f>IF(ISNUMBER(Roster!$B200),MAX(1,YEAR(Setup!$C$5)-YEAR(Roster!$B200)+IF(EDATE(Roster!$B200,12*(YEAR(Setup!$C$5)-YEAR(Roster!$B200)))&lt;Setup!$C$5,1,0)),"")</f>
        <v/>
      </c>
      <c r="AQ200" s="32" t="str">
        <f>IF(AP200="","",EDATE(Roster!$B200,12*AP200))</f>
        <v/>
      </c>
      <c r="AR200" t="str">
        <f>IF(AQ200="","",IF(AQ200&lt;DATE(YEAR(Setup!$C$5)+1,MONTH(Setup!$C$5),DAY(Setup!$C$5)),AQ200+195/1000,""))</f>
        <v/>
      </c>
      <c r="AS200" t="str">
        <f t="shared" si="30"/>
        <v/>
      </c>
      <c r="AT200" t="str">
        <f>IF(AS200="","",IF(ISNUMBER(Roster!$D200),Roster!$D200&gt;=AP200,FALSE))</f>
        <v/>
      </c>
      <c r="AU200" t="str">
        <f t="shared" si="31"/>
        <v/>
      </c>
      <c r="AV200" t="str">
        <f ca="1">IF(195&gt;$AV$2,"",SMALL($AR$6:$AR$505,195))</f>
        <v/>
      </c>
      <c r="AW200" t="str">
        <f t="shared" ca="1" si="32"/>
        <v/>
      </c>
    </row>
    <row r="201" spans="2:49" x14ac:dyDescent="0.2">
      <c r="B201" s="32" t="str">
        <f>IF(AND(ISNUMBER(Roster!$B201),Setup!$B$20="Yes",ISNUMBER(Setup!$C$20)),EDATE(Roster!$B201,12*Setup!$C$20),"")</f>
        <v/>
      </c>
      <c r="C201" s="32" t="str">
        <f>IF(AND(ISNUMBER(Roster!$B201),Setup!$B$21="Yes",ISNUMBER(Setup!$C$21)),EDATE(Roster!$B201,12*Setup!$C$21),"")</f>
        <v/>
      </c>
      <c r="D201" s="32" t="str">
        <f>IF(AND(ISNUMBER(Roster!$B201),Setup!$B$22="Yes",ISNUMBER(Setup!$C$22)),EDATE(Roster!$B201,12*Setup!$C$22),"")</f>
        <v/>
      </c>
      <c r="E201" s="32" t="str">
        <f>IF(AND(ISNUMBER(Roster!$B201),Setup!$B$23="Yes",ISNUMBER(Setup!$C$23)),EDATE(Roster!$B201,12*Setup!$C$23),"")</f>
        <v/>
      </c>
      <c r="F201" s="32" t="str">
        <f>IF(AND(ISNUMBER(Roster!$B201),Setup!$B$24="Yes",ISNUMBER(Setup!$C$24)),EDATE(Roster!$B201,12*Setup!$C$24),"")</f>
        <v/>
      </c>
      <c r="G201" s="32" t="str">
        <f>IF(AND(ISNUMBER(Roster!$B201),Setup!$B$25="Yes",ISNUMBER(Setup!$C$25)),EDATE(Roster!$B201,12*Setup!$C$25),"")</f>
        <v/>
      </c>
      <c r="H201" s="32" t="str">
        <f>IF(AND(ISNUMBER(Roster!$B201),Setup!$B$26="Yes",ISNUMBER(Setup!$C$26)),EDATE(Roster!$B201,12*Setup!$C$26),"")</f>
        <v/>
      </c>
      <c r="I201" s="32" t="str">
        <f>IF(AND(ISNUMBER(Roster!$B201),Setup!$B$27="Yes",ISNUMBER(Setup!$C$27)),EDATE(Roster!$B201,12*Setup!$C$27),"")</f>
        <v/>
      </c>
      <c r="J201" s="32" t="str">
        <f>IF(AND(ISNUMBER(Roster!$B201),Setup!$B$28="Yes",ISNUMBER(Setup!$C$28)),EDATE(Roster!$B201,12*Setup!$C$28),"")</f>
        <v/>
      </c>
      <c r="K201" s="32" t="str">
        <f>IF(AND(ISNUMBER(Roster!$B201),Setup!$B$29="Yes",ISNUMBER(Setup!$C$29)),EDATE(Roster!$B201,12*Setup!$C$29),"")</f>
        <v/>
      </c>
      <c r="L201" s="32" t="str">
        <f>IF(AND(ISNUMBER(Roster!$B201),Setup!$B$30="Yes",ISNUMBER(Setup!$C$30)),EDATE(Roster!$B201,12*Setup!$C$30),"")</f>
        <v/>
      </c>
      <c r="M201" s="32" t="str">
        <f>IF(AND(ISNUMBER(Roster!$B201),Setup!$B$31="Yes",ISNUMBER(Setup!$C$31)),EDATE(Roster!$B201,12*Setup!$C$31),"")</f>
        <v/>
      </c>
      <c r="N201" s="32" t="str">
        <f>IF(AND(ISNUMBER(Roster!$B201),Setup!$B$32="Yes",ISNUMBER(Setup!$C$32)),EDATE(Roster!$B201,12*Setup!$C$32),"")</f>
        <v/>
      </c>
      <c r="O201" s="32" t="str">
        <f>IF(AND(ISNUMBER(Roster!$B201),Setup!$B$33="Yes",ISNUMBER(Setup!$C$33)),EDATE(Roster!$B201,12*Setup!$C$33),"")</f>
        <v/>
      </c>
      <c r="P201" s="32" t="str">
        <f>IF(AND(ISNUMBER(Roster!$B201),Setup!$B$34="Yes",ISNUMBER(Setup!$C$34)),EDATE(Roster!$B201,12*Setup!$C$34),"")</f>
        <v/>
      </c>
      <c r="R201" t="str">
        <f>IF(B201="","",IF(B201&lt;Setup!$C$5-Setup!$C$6,"",IF(IF(ISNUMBER(Roster!$D201),Setup!$C$20&lt;=Roster!$D201,FALSE),"",IF(OR(IF(Setup!$C$15&lt;=Setup!$C$16,AND(MONTH(B201)&gt;=Setup!$C$15,MONTH(B201)&lt;=Setup!$C$16),OR(MONTH(B201)&gt;=Setup!$C$15,MONTH(B201)&lt;=Setup!$C$16)),IF(Setup!$C$15&lt;=Setup!$C$16,AND(MONTH(WORKDAY(B201,-(Setup!$C$13+Setup!$G$20),Setup!$C$39:$C$50))&gt;=Setup!$C$15,MONTH(WORKDAY(B201,-(Setup!$C$13+Setup!$G$20),Setup!$C$39:$C$50))&lt;=Setup!$C$16),OR(MONTH(WORKDAY(B201,-(Setup!$C$13+Setup!$G$20),Setup!$C$39:$C$50))&gt;=Setup!$C$15,MONTH(WORKDAY(B201,-(Setup!$C$13+Setup!$G$20),Setup!$C$39:$C$50))&lt;=Setup!$C$16))),WORKDAY(B201,-(Setup!$C$13+Setup!$G$20+Setup!$C$14),Setup!$C$39:$C$50),WORKDAY(B201,-(Setup!$C$13+Setup!$G$20),Setup!$C$39:$C$50))+(196*100+1)/10000000)))</f>
        <v/>
      </c>
      <c r="S201" t="str">
        <f>IF(C201="","",IF(C201&lt;Setup!$C$5-Setup!$C$6,"",IF(IF(ISNUMBER(Roster!$D201),Setup!$C$21&lt;=Roster!$D201,FALSE),"",IF(OR(IF(Setup!$C$15&lt;=Setup!$C$16,AND(MONTH(C201)&gt;=Setup!$C$15,MONTH(C201)&lt;=Setup!$C$16),OR(MONTH(C201)&gt;=Setup!$C$15,MONTH(C201)&lt;=Setup!$C$16)),IF(Setup!$C$15&lt;=Setup!$C$16,AND(MONTH(WORKDAY(C201,-(Setup!$C$13+Setup!$G$21),Setup!$C$39:$C$50))&gt;=Setup!$C$15,MONTH(WORKDAY(C201,-(Setup!$C$13+Setup!$G$21),Setup!$C$39:$C$50))&lt;=Setup!$C$16),OR(MONTH(WORKDAY(C201,-(Setup!$C$13+Setup!$G$21),Setup!$C$39:$C$50))&gt;=Setup!$C$15,MONTH(WORKDAY(C201,-(Setup!$C$13+Setup!$G$21),Setup!$C$39:$C$50))&lt;=Setup!$C$16))),WORKDAY(C201,-(Setup!$C$13+Setup!$G$21+Setup!$C$14),Setup!$C$39:$C$50),WORKDAY(C201,-(Setup!$C$13+Setup!$G$21),Setup!$C$39:$C$50))+(196*100+2)/10000000)))</f>
        <v/>
      </c>
      <c r="T201" t="str">
        <f>IF(D201="","",IF(D201&lt;Setup!$C$5-Setup!$C$6,"",IF(IF(ISNUMBER(Roster!$D201),Setup!$C$22&lt;=Roster!$D201,FALSE),"",IF(OR(IF(Setup!$C$15&lt;=Setup!$C$16,AND(MONTH(D201)&gt;=Setup!$C$15,MONTH(D201)&lt;=Setup!$C$16),OR(MONTH(D201)&gt;=Setup!$C$15,MONTH(D201)&lt;=Setup!$C$16)),IF(Setup!$C$15&lt;=Setup!$C$16,AND(MONTH(WORKDAY(D201,-(Setup!$C$13+Setup!$G$22),Setup!$C$39:$C$50))&gt;=Setup!$C$15,MONTH(WORKDAY(D201,-(Setup!$C$13+Setup!$G$22),Setup!$C$39:$C$50))&lt;=Setup!$C$16),OR(MONTH(WORKDAY(D201,-(Setup!$C$13+Setup!$G$22),Setup!$C$39:$C$50))&gt;=Setup!$C$15,MONTH(WORKDAY(D201,-(Setup!$C$13+Setup!$G$22),Setup!$C$39:$C$50))&lt;=Setup!$C$16))),WORKDAY(D201,-(Setup!$C$13+Setup!$G$22+Setup!$C$14),Setup!$C$39:$C$50),WORKDAY(D201,-(Setup!$C$13+Setup!$G$22),Setup!$C$39:$C$50))+(196*100+3)/10000000)))</f>
        <v/>
      </c>
      <c r="U201" t="str">
        <f>IF(E201="","",IF(E201&lt;Setup!$C$5-Setup!$C$6,"",IF(IF(ISNUMBER(Roster!$D201),Setup!$C$23&lt;=Roster!$D201,FALSE),"",IF(OR(IF(Setup!$C$15&lt;=Setup!$C$16,AND(MONTH(E201)&gt;=Setup!$C$15,MONTH(E201)&lt;=Setup!$C$16),OR(MONTH(E201)&gt;=Setup!$C$15,MONTH(E201)&lt;=Setup!$C$16)),IF(Setup!$C$15&lt;=Setup!$C$16,AND(MONTH(WORKDAY(E201,-(Setup!$C$13+Setup!$G$23),Setup!$C$39:$C$50))&gt;=Setup!$C$15,MONTH(WORKDAY(E201,-(Setup!$C$13+Setup!$G$23),Setup!$C$39:$C$50))&lt;=Setup!$C$16),OR(MONTH(WORKDAY(E201,-(Setup!$C$13+Setup!$G$23),Setup!$C$39:$C$50))&gt;=Setup!$C$15,MONTH(WORKDAY(E201,-(Setup!$C$13+Setup!$G$23),Setup!$C$39:$C$50))&lt;=Setup!$C$16))),WORKDAY(E201,-(Setup!$C$13+Setup!$G$23+Setup!$C$14),Setup!$C$39:$C$50),WORKDAY(E201,-(Setup!$C$13+Setup!$G$23),Setup!$C$39:$C$50))+(196*100+4)/10000000)))</f>
        <v/>
      </c>
      <c r="V201" t="str">
        <f>IF(F201="","",IF(F201&lt;Setup!$C$5-Setup!$C$6,"",IF(IF(ISNUMBER(Roster!$D201),Setup!$C$24&lt;=Roster!$D201,FALSE),"",IF(OR(IF(Setup!$C$15&lt;=Setup!$C$16,AND(MONTH(F201)&gt;=Setup!$C$15,MONTH(F201)&lt;=Setup!$C$16),OR(MONTH(F201)&gt;=Setup!$C$15,MONTH(F201)&lt;=Setup!$C$16)),IF(Setup!$C$15&lt;=Setup!$C$16,AND(MONTH(WORKDAY(F201,-(Setup!$C$13+Setup!$G$24),Setup!$C$39:$C$50))&gt;=Setup!$C$15,MONTH(WORKDAY(F201,-(Setup!$C$13+Setup!$G$24),Setup!$C$39:$C$50))&lt;=Setup!$C$16),OR(MONTH(WORKDAY(F201,-(Setup!$C$13+Setup!$G$24),Setup!$C$39:$C$50))&gt;=Setup!$C$15,MONTH(WORKDAY(F201,-(Setup!$C$13+Setup!$G$24),Setup!$C$39:$C$50))&lt;=Setup!$C$16))),WORKDAY(F201,-(Setup!$C$13+Setup!$G$24+Setup!$C$14),Setup!$C$39:$C$50),WORKDAY(F201,-(Setup!$C$13+Setup!$G$24),Setup!$C$39:$C$50))+(196*100+5)/10000000)))</f>
        <v/>
      </c>
      <c r="W201" t="str">
        <f>IF(G201="","",IF(G201&lt;Setup!$C$5-Setup!$C$6,"",IF(IF(ISNUMBER(Roster!$D201),Setup!$C$25&lt;=Roster!$D201,FALSE),"",IF(OR(IF(Setup!$C$15&lt;=Setup!$C$16,AND(MONTH(G201)&gt;=Setup!$C$15,MONTH(G201)&lt;=Setup!$C$16),OR(MONTH(G201)&gt;=Setup!$C$15,MONTH(G201)&lt;=Setup!$C$16)),IF(Setup!$C$15&lt;=Setup!$C$16,AND(MONTH(WORKDAY(G201,-(Setup!$C$13+Setup!$G$25),Setup!$C$39:$C$50))&gt;=Setup!$C$15,MONTH(WORKDAY(G201,-(Setup!$C$13+Setup!$G$25),Setup!$C$39:$C$50))&lt;=Setup!$C$16),OR(MONTH(WORKDAY(G201,-(Setup!$C$13+Setup!$G$25),Setup!$C$39:$C$50))&gt;=Setup!$C$15,MONTH(WORKDAY(G201,-(Setup!$C$13+Setup!$G$25),Setup!$C$39:$C$50))&lt;=Setup!$C$16))),WORKDAY(G201,-(Setup!$C$13+Setup!$G$25+Setup!$C$14),Setup!$C$39:$C$50),WORKDAY(G201,-(Setup!$C$13+Setup!$G$25),Setup!$C$39:$C$50))+(196*100+6)/10000000)))</f>
        <v/>
      </c>
      <c r="X201" t="str">
        <f>IF(H201="","",IF(H201&lt;Setup!$C$5-Setup!$C$6,"",IF(IF(ISNUMBER(Roster!$D201),Setup!$C$26&lt;=Roster!$D201,FALSE),"",IF(OR(IF(Setup!$C$15&lt;=Setup!$C$16,AND(MONTH(H201)&gt;=Setup!$C$15,MONTH(H201)&lt;=Setup!$C$16),OR(MONTH(H201)&gt;=Setup!$C$15,MONTH(H201)&lt;=Setup!$C$16)),IF(Setup!$C$15&lt;=Setup!$C$16,AND(MONTH(WORKDAY(H201,-(Setup!$C$13+Setup!$G$26),Setup!$C$39:$C$50))&gt;=Setup!$C$15,MONTH(WORKDAY(H201,-(Setup!$C$13+Setup!$G$26),Setup!$C$39:$C$50))&lt;=Setup!$C$16),OR(MONTH(WORKDAY(H201,-(Setup!$C$13+Setup!$G$26),Setup!$C$39:$C$50))&gt;=Setup!$C$15,MONTH(WORKDAY(H201,-(Setup!$C$13+Setup!$G$26),Setup!$C$39:$C$50))&lt;=Setup!$C$16))),WORKDAY(H201,-(Setup!$C$13+Setup!$G$26+Setup!$C$14),Setup!$C$39:$C$50),WORKDAY(H201,-(Setup!$C$13+Setup!$G$26),Setup!$C$39:$C$50))+(196*100+7)/10000000)))</f>
        <v/>
      </c>
      <c r="Y201" t="str">
        <f>IF(I201="","",IF(I201&lt;Setup!$C$5-Setup!$C$6,"",IF(IF(ISNUMBER(Roster!$D201),Setup!$C$27&lt;=Roster!$D201,FALSE),"",IF(OR(IF(Setup!$C$15&lt;=Setup!$C$16,AND(MONTH(I201)&gt;=Setup!$C$15,MONTH(I201)&lt;=Setup!$C$16),OR(MONTH(I201)&gt;=Setup!$C$15,MONTH(I201)&lt;=Setup!$C$16)),IF(Setup!$C$15&lt;=Setup!$C$16,AND(MONTH(WORKDAY(I201,-(Setup!$C$13+Setup!$G$27),Setup!$C$39:$C$50))&gt;=Setup!$C$15,MONTH(WORKDAY(I201,-(Setup!$C$13+Setup!$G$27),Setup!$C$39:$C$50))&lt;=Setup!$C$16),OR(MONTH(WORKDAY(I201,-(Setup!$C$13+Setup!$G$27),Setup!$C$39:$C$50))&gt;=Setup!$C$15,MONTH(WORKDAY(I201,-(Setup!$C$13+Setup!$G$27),Setup!$C$39:$C$50))&lt;=Setup!$C$16))),WORKDAY(I201,-(Setup!$C$13+Setup!$G$27+Setup!$C$14),Setup!$C$39:$C$50),WORKDAY(I201,-(Setup!$C$13+Setup!$G$27),Setup!$C$39:$C$50))+(196*100+8)/10000000)))</f>
        <v/>
      </c>
      <c r="Z201" t="str">
        <f>IF(J201="","",IF(J201&lt;Setup!$C$5-Setup!$C$6,"",IF(IF(ISNUMBER(Roster!$D201),Setup!$C$28&lt;=Roster!$D201,FALSE),"",IF(OR(IF(Setup!$C$15&lt;=Setup!$C$16,AND(MONTH(J201)&gt;=Setup!$C$15,MONTH(J201)&lt;=Setup!$C$16),OR(MONTH(J201)&gt;=Setup!$C$15,MONTH(J201)&lt;=Setup!$C$16)),IF(Setup!$C$15&lt;=Setup!$C$16,AND(MONTH(WORKDAY(J201,-(Setup!$C$13+Setup!$G$28),Setup!$C$39:$C$50))&gt;=Setup!$C$15,MONTH(WORKDAY(J201,-(Setup!$C$13+Setup!$G$28),Setup!$C$39:$C$50))&lt;=Setup!$C$16),OR(MONTH(WORKDAY(J201,-(Setup!$C$13+Setup!$G$28),Setup!$C$39:$C$50))&gt;=Setup!$C$15,MONTH(WORKDAY(J201,-(Setup!$C$13+Setup!$G$28),Setup!$C$39:$C$50))&lt;=Setup!$C$16))),WORKDAY(J201,-(Setup!$C$13+Setup!$G$28+Setup!$C$14),Setup!$C$39:$C$50),WORKDAY(J201,-(Setup!$C$13+Setup!$G$28),Setup!$C$39:$C$50))+(196*100+9)/10000000)))</f>
        <v/>
      </c>
      <c r="AA201" t="str">
        <f>IF(K201="","",IF(K201&lt;Setup!$C$5-Setup!$C$6,"",IF(IF(ISNUMBER(Roster!$D201),Setup!$C$29&lt;=Roster!$D201,FALSE),"",IF(OR(IF(Setup!$C$15&lt;=Setup!$C$16,AND(MONTH(K201)&gt;=Setup!$C$15,MONTH(K201)&lt;=Setup!$C$16),OR(MONTH(K201)&gt;=Setup!$C$15,MONTH(K201)&lt;=Setup!$C$16)),IF(Setup!$C$15&lt;=Setup!$C$16,AND(MONTH(WORKDAY(K201,-(Setup!$C$13+Setup!$G$29),Setup!$C$39:$C$50))&gt;=Setup!$C$15,MONTH(WORKDAY(K201,-(Setup!$C$13+Setup!$G$29),Setup!$C$39:$C$50))&lt;=Setup!$C$16),OR(MONTH(WORKDAY(K201,-(Setup!$C$13+Setup!$G$29),Setup!$C$39:$C$50))&gt;=Setup!$C$15,MONTH(WORKDAY(K201,-(Setup!$C$13+Setup!$G$29),Setup!$C$39:$C$50))&lt;=Setup!$C$16))),WORKDAY(K201,-(Setup!$C$13+Setup!$G$29+Setup!$C$14),Setup!$C$39:$C$50),WORKDAY(K201,-(Setup!$C$13+Setup!$G$29),Setup!$C$39:$C$50))+(196*100+10)/10000000)))</f>
        <v/>
      </c>
      <c r="AB201" t="str">
        <f>IF(L201="","",IF(L201&lt;Setup!$C$5-Setup!$C$6,"",IF(IF(ISNUMBER(Roster!$D201),Setup!$C$30&lt;=Roster!$D201,FALSE),"",IF(OR(IF(Setup!$C$15&lt;=Setup!$C$16,AND(MONTH(L201)&gt;=Setup!$C$15,MONTH(L201)&lt;=Setup!$C$16),OR(MONTH(L201)&gt;=Setup!$C$15,MONTH(L201)&lt;=Setup!$C$16)),IF(Setup!$C$15&lt;=Setup!$C$16,AND(MONTH(WORKDAY(L201,-(Setup!$C$13+Setup!$G$30),Setup!$C$39:$C$50))&gt;=Setup!$C$15,MONTH(WORKDAY(L201,-(Setup!$C$13+Setup!$G$30),Setup!$C$39:$C$50))&lt;=Setup!$C$16),OR(MONTH(WORKDAY(L201,-(Setup!$C$13+Setup!$G$30),Setup!$C$39:$C$50))&gt;=Setup!$C$15,MONTH(WORKDAY(L201,-(Setup!$C$13+Setup!$G$30),Setup!$C$39:$C$50))&lt;=Setup!$C$16))),WORKDAY(L201,-(Setup!$C$13+Setup!$G$30+Setup!$C$14),Setup!$C$39:$C$50),WORKDAY(L201,-(Setup!$C$13+Setup!$G$30),Setup!$C$39:$C$50))+(196*100+11)/10000000)))</f>
        <v/>
      </c>
      <c r="AC201" t="str">
        <f>IF(M201="","",IF(M201&lt;Setup!$C$5-Setup!$C$6,"",IF(IF(ISNUMBER(Roster!$D201),Setup!$C$31&lt;=Roster!$D201,FALSE),"",IF(OR(IF(Setup!$C$15&lt;=Setup!$C$16,AND(MONTH(M201)&gt;=Setup!$C$15,MONTH(M201)&lt;=Setup!$C$16),OR(MONTH(M201)&gt;=Setup!$C$15,MONTH(M201)&lt;=Setup!$C$16)),IF(Setup!$C$15&lt;=Setup!$C$16,AND(MONTH(WORKDAY(M201,-(Setup!$C$13+Setup!$G$31),Setup!$C$39:$C$50))&gt;=Setup!$C$15,MONTH(WORKDAY(M201,-(Setup!$C$13+Setup!$G$31),Setup!$C$39:$C$50))&lt;=Setup!$C$16),OR(MONTH(WORKDAY(M201,-(Setup!$C$13+Setup!$G$31),Setup!$C$39:$C$50))&gt;=Setup!$C$15,MONTH(WORKDAY(M201,-(Setup!$C$13+Setup!$G$31),Setup!$C$39:$C$50))&lt;=Setup!$C$16))),WORKDAY(M201,-(Setup!$C$13+Setup!$G$31+Setup!$C$14),Setup!$C$39:$C$50),WORKDAY(M201,-(Setup!$C$13+Setup!$G$31),Setup!$C$39:$C$50))+(196*100+12)/10000000)))</f>
        <v/>
      </c>
      <c r="AD201" t="str">
        <f>IF(N201="","",IF(N201&lt;Setup!$C$5-Setup!$C$6,"",IF(IF(ISNUMBER(Roster!$D201),Setup!$C$32&lt;=Roster!$D201,FALSE),"",IF(OR(IF(Setup!$C$15&lt;=Setup!$C$16,AND(MONTH(N201)&gt;=Setup!$C$15,MONTH(N201)&lt;=Setup!$C$16),OR(MONTH(N201)&gt;=Setup!$C$15,MONTH(N201)&lt;=Setup!$C$16)),IF(Setup!$C$15&lt;=Setup!$C$16,AND(MONTH(WORKDAY(N201,-(Setup!$C$13+Setup!$G$32),Setup!$C$39:$C$50))&gt;=Setup!$C$15,MONTH(WORKDAY(N201,-(Setup!$C$13+Setup!$G$32),Setup!$C$39:$C$50))&lt;=Setup!$C$16),OR(MONTH(WORKDAY(N201,-(Setup!$C$13+Setup!$G$32),Setup!$C$39:$C$50))&gt;=Setup!$C$15,MONTH(WORKDAY(N201,-(Setup!$C$13+Setup!$G$32),Setup!$C$39:$C$50))&lt;=Setup!$C$16))),WORKDAY(N201,-(Setup!$C$13+Setup!$G$32+Setup!$C$14),Setup!$C$39:$C$50),WORKDAY(N201,-(Setup!$C$13+Setup!$G$32),Setup!$C$39:$C$50))+(196*100+13)/10000000)))</f>
        <v/>
      </c>
      <c r="AE201" t="str">
        <f>IF(O201="","",IF(O201&lt;Setup!$C$5-Setup!$C$6,"",IF(IF(ISNUMBER(Roster!$D201),Setup!$C$33&lt;=Roster!$D201,FALSE),"",IF(OR(IF(Setup!$C$15&lt;=Setup!$C$16,AND(MONTH(O201)&gt;=Setup!$C$15,MONTH(O201)&lt;=Setup!$C$16),OR(MONTH(O201)&gt;=Setup!$C$15,MONTH(O201)&lt;=Setup!$C$16)),IF(Setup!$C$15&lt;=Setup!$C$16,AND(MONTH(WORKDAY(O201,-(Setup!$C$13+Setup!$G$33),Setup!$C$39:$C$50))&gt;=Setup!$C$15,MONTH(WORKDAY(O201,-(Setup!$C$13+Setup!$G$33),Setup!$C$39:$C$50))&lt;=Setup!$C$16),OR(MONTH(WORKDAY(O201,-(Setup!$C$13+Setup!$G$33),Setup!$C$39:$C$50))&gt;=Setup!$C$15,MONTH(WORKDAY(O201,-(Setup!$C$13+Setup!$G$33),Setup!$C$39:$C$50))&lt;=Setup!$C$16))),WORKDAY(O201,-(Setup!$C$13+Setup!$G$33+Setup!$C$14),Setup!$C$39:$C$50),WORKDAY(O201,-(Setup!$C$13+Setup!$G$33),Setup!$C$39:$C$50))+(196*100+14)/10000000)))</f>
        <v/>
      </c>
      <c r="AF201" t="str">
        <f>IF(P201="","",IF(P201&lt;Setup!$C$5-Setup!$C$6,"",IF(IF(ISNUMBER(Roster!$D201),Setup!$C$34&lt;=Roster!$D201,FALSE),"",IF(OR(IF(Setup!$C$15&lt;=Setup!$C$16,AND(MONTH(P201)&gt;=Setup!$C$15,MONTH(P201)&lt;=Setup!$C$16),OR(MONTH(P201)&gt;=Setup!$C$15,MONTH(P201)&lt;=Setup!$C$16)),IF(Setup!$C$15&lt;=Setup!$C$16,AND(MONTH(WORKDAY(P201,-(Setup!$C$13+Setup!$G$34),Setup!$C$39:$C$50))&gt;=Setup!$C$15,MONTH(WORKDAY(P201,-(Setup!$C$13+Setup!$G$34),Setup!$C$39:$C$50))&lt;=Setup!$C$16),OR(MONTH(WORKDAY(P201,-(Setup!$C$13+Setup!$G$34),Setup!$C$39:$C$50))&gt;=Setup!$C$15,MONTH(WORKDAY(P201,-(Setup!$C$13+Setup!$G$34),Setup!$C$39:$C$50))&lt;=Setup!$C$16))),WORKDAY(P201,-(Setup!$C$13+Setup!$G$34+Setup!$C$14),Setup!$C$39:$C$50),WORKDAY(P201,-(Setup!$C$13+Setup!$G$34),Setup!$C$39:$C$50))+(196*100+15)/10000000)))</f>
        <v/>
      </c>
      <c r="AH201" t="str">
        <f t="shared" si="25"/>
        <v/>
      </c>
      <c r="AI201" t="str">
        <f t="shared" si="26"/>
        <v/>
      </c>
      <c r="AK201" t="str">
        <f ca="1">IF(196&gt;$AK$2,"",SMALL($R$6:$AF$505,196))</f>
        <v/>
      </c>
      <c r="AL201" t="str">
        <f t="shared" ca="1" si="27"/>
        <v/>
      </c>
      <c r="AM201" t="str">
        <f t="shared" ca="1" si="28"/>
        <v/>
      </c>
      <c r="AN201" t="str">
        <f t="shared" ca="1" si="29"/>
        <v/>
      </c>
      <c r="AP201" t="str">
        <f>IF(ISNUMBER(Roster!$B201),MAX(1,YEAR(Setup!$C$5)-YEAR(Roster!$B201)+IF(EDATE(Roster!$B201,12*(YEAR(Setup!$C$5)-YEAR(Roster!$B201)))&lt;Setup!$C$5,1,0)),"")</f>
        <v/>
      </c>
      <c r="AQ201" s="32" t="str">
        <f>IF(AP201="","",EDATE(Roster!$B201,12*AP201))</f>
        <v/>
      </c>
      <c r="AR201" t="str">
        <f>IF(AQ201="","",IF(AQ201&lt;DATE(YEAR(Setup!$C$5)+1,MONTH(Setup!$C$5),DAY(Setup!$C$5)),AQ201+196/1000,""))</f>
        <v/>
      </c>
      <c r="AS201" t="str">
        <f t="shared" si="30"/>
        <v/>
      </c>
      <c r="AT201" t="str">
        <f>IF(AS201="","",IF(ISNUMBER(Roster!$D201),Roster!$D201&gt;=AP201,FALSE))</f>
        <v/>
      </c>
      <c r="AU201" t="str">
        <f t="shared" si="31"/>
        <v/>
      </c>
      <c r="AV201" t="str">
        <f ca="1">IF(196&gt;$AV$2,"",SMALL($AR$6:$AR$505,196))</f>
        <v/>
      </c>
      <c r="AW201" t="str">
        <f t="shared" ca="1" si="32"/>
        <v/>
      </c>
    </row>
    <row r="202" spans="2:49" x14ac:dyDescent="0.2">
      <c r="B202" s="32" t="str">
        <f>IF(AND(ISNUMBER(Roster!$B202),Setup!$B$20="Yes",ISNUMBER(Setup!$C$20)),EDATE(Roster!$B202,12*Setup!$C$20),"")</f>
        <v/>
      </c>
      <c r="C202" s="32" t="str">
        <f>IF(AND(ISNUMBER(Roster!$B202),Setup!$B$21="Yes",ISNUMBER(Setup!$C$21)),EDATE(Roster!$B202,12*Setup!$C$21),"")</f>
        <v/>
      </c>
      <c r="D202" s="32" t="str">
        <f>IF(AND(ISNUMBER(Roster!$B202),Setup!$B$22="Yes",ISNUMBER(Setup!$C$22)),EDATE(Roster!$B202,12*Setup!$C$22),"")</f>
        <v/>
      </c>
      <c r="E202" s="32" t="str">
        <f>IF(AND(ISNUMBER(Roster!$B202),Setup!$B$23="Yes",ISNUMBER(Setup!$C$23)),EDATE(Roster!$B202,12*Setup!$C$23),"")</f>
        <v/>
      </c>
      <c r="F202" s="32" t="str">
        <f>IF(AND(ISNUMBER(Roster!$B202),Setup!$B$24="Yes",ISNUMBER(Setup!$C$24)),EDATE(Roster!$B202,12*Setup!$C$24),"")</f>
        <v/>
      </c>
      <c r="G202" s="32" t="str">
        <f>IF(AND(ISNUMBER(Roster!$B202),Setup!$B$25="Yes",ISNUMBER(Setup!$C$25)),EDATE(Roster!$B202,12*Setup!$C$25),"")</f>
        <v/>
      </c>
      <c r="H202" s="32" t="str">
        <f>IF(AND(ISNUMBER(Roster!$B202),Setup!$B$26="Yes",ISNUMBER(Setup!$C$26)),EDATE(Roster!$B202,12*Setup!$C$26),"")</f>
        <v/>
      </c>
      <c r="I202" s="32" t="str">
        <f>IF(AND(ISNUMBER(Roster!$B202),Setup!$B$27="Yes",ISNUMBER(Setup!$C$27)),EDATE(Roster!$B202,12*Setup!$C$27),"")</f>
        <v/>
      </c>
      <c r="J202" s="32" t="str">
        <f>IF(AND(ISNUMBER(Roster!$B202),Setup!$B$28="Yes",ISNUMBER(Setup!$C$28)),EDATE(Roster!$B202,12*Setup!$C$28),"")</f>
        <v/>
      </c>
      <c r="K202" s="32" t="str">
        <f>IF(AND(ISNUMBER(Roster!$B202),Setup!$B$29="Yes",ISNUMBER(Setup!$C$29)),EDATE(Roster!$B202,12*Setup!$C$29),"")</f>
        <v/>
      </c>
      <c r="L202" s="32" t="str">
        <f>IF(AND(ISNUMBER(Roster!$B202),Setup!$B$30="Yes",ISNUMBER(Setup!$C$30)),EDATE(Roster!$B202,12*Setup!$C$30),"")</f>
        <v/>
      </c>
      <c r="M202" s="32" t="str">
        <f>IF(AND(ISNUMBER(Roster!$B202),Setup!$B$31="Yes",ISNUMBER(Setup!$C$31)),EDATE(Roster!$B202,12*Setup!$C$31),"")</f>
        <v/>
      </c>
      <c r="N202" s="32" t="str">
        <f>IF(AND(ISNUMBER(Roster!$B202),Setup!$B$32="Yes",ISNUMBER(Setup!$C$32)),EDATE(Roster!$B202,12*Setup!$C$32),"")</f>
        <v/>
      </c>
      <c r="O202" s="32" t="str">
        <f>IF(AND(ISNUMBER(Roster!$B202),Setup!$B$33="Yes",ISNUMBER(Setup!$C$33)),EDATE(Roster!$B202,12*Setup!$C$33),"")</f>
        <v/>
      </c>
      <c r="P202" s="32" t="str">
        <f>IF(AND(ISNUMBER(Roster!$B202),Setup!$B$34="Yes",ISNUMBER(Setup!$C$34)),EDATE(Roster!$B202,12*Setup!$C$34),"")</f>
        <v/>
      </c>
      <c r="R202" t="str">
        <f>IF(B202="","",IF(B202&lt;Setup!$C$5-Setup!$C$6,"",IF(IF(ISNUMBER(Roster!$D202),Setup!$C$20&lt;=Roster!$D202,FALSE),"",IF(OR(IF(Setup!$C$15&lt;=Setup!$C$16,AND(MONTH(B202)&gt;=Setup!$C$15,MONTH(B202)&lt;=Setup!$C$16),OR(MONTH(B202)&gt;=Setup!$C$15,MONTH(B202)&lt;=Setup!$C$16)),IF(Setup!$C$15&lt;=Setup!$C$16,AND(MONTH(WORKDAY(B202,-(Setup!$C$13+Setup!$G$20),Setup!$C$39:$C$50))&gt;=Setup!$C$15,MONTH(WORKDAY(B202,-(Setup!$C$13+Setup!$G$20),Setup!$C$39:$C$50))&lt;=Setup!$C$16),OR(MONTH(WORKDAY(B202,-(Setup!$C$13+Setup!$G$20),Setup!$C$39:$C$50))&gt;=Setup!$C$15,MONTH(WORKDAY(B202,-(Setup!$C$13+Setup!$G$20),Setup!$C$39:$C$50))&lt;=Setup!$C$16))),WORKDAY(B202,-(Setup!$C$13+Setup!$G$20+Setup!$C$14),Setup!$C$39:$C$50),WORKDAY(B202,-(Setup!$C$13+Setup!$G$20),Setup!$C$39:$C$50))+(197*100+1)/10000000)))</f>
        <v/>
      </c>
      <c r="S202" t="str">
        <f>IF(C202="","",IF(C202&lt;Setup!$C$5-Setup!$C$6,"",IF(IF(ISNUMBER(Roster!$D202),Setup!$C$21&lt;=Roster!$D202,FALSE),"",IF(OR(IF(Setup!$C$15&lt;=Setup!$C$16,AND(MONTH(C202)&gt;=Setup!$C$15,MONTH(C202)&lt;=Setup!$C$16),OR(MONTH(C202)&gt;=Setup!$C$15,MONTH(C202)&lt;=Setup!$C$16)),IF(Setup!$C$15&lt;=Setup!$C$16,AND(MONTH(WORKDAY(C202,-(Setup!$C$13+Setup!$G$21),Setup!$C$39:$C$50))&gt;=Setup!$C$15,MONTH(WORKDAY(C202,-(Setup!$C$13+Setup!$G$21),Setup!$C$39:$C$50))&lt;=Setup!$C$16),OR(MONTH(WORKDAY(C202,-(Setup!$C$13+Setup!$G$21),Setup!$C$39:$C$50))&gt;=Setup!$C$15,MONTH(WORKDAY(C202,-(Setup!$C$13+Setup!$G$21),Setup!$C$39:$C$50))&lt;=Setup!$C$16))),WORKDAY(C202,-(Setup!$C$13+Setup!$G$21+Setup!$C$14),Setup!$C$39:$C$50),WORKDAY(C202,-(Setup!$C$13+Setup!$G$21),Setup!$C$39:$C$50))+(197*100+2)/10000000)))</f>
        <v/>
      </c>
      <c r="T202" t="str">
        <f>IF(D202="","",IF(D202&lt;Setup!$C$5-Setup!$C$6,"",IF(IF(ISNUMBER(Roster!$D202),Setup!$C$22&lt;=Roster!$D202,FALSE),"",IF(OR(IF(Setup!$C$15&lt;=Setup!$C$16,AND(MONTH(D202)&gt;=Setup!$C$15,MONTH(D202)&lt;=Setup!$C$16),OR(MONTH(D202)&gt;=Setup!$C$15,MONTH(D202)&lt;=Setup!$C$16)),IF(Setup!$C$15&lt;=Setup!$C$16,AND(MONTH(WORKDAY(D202,-(Setup!$C$13+Setup!$G$22),Setup!$C$39:$C$50))&gt;=Setup!$C$15,MONTH(WORKDAY(D202,-(Setup!$C$13+Setup!$G$22),Setup!$C$39:$C$50))&lt;=Setup!$C$16),OR(MONTH(WORKDAY(D202,-(Setup!$C$13+Setup!$G$22),Setup!$C$39:$C$50))&gt;=Setup!$C$15,MONTH(WORKDAY(D202,-(Setup!$C$13+Setup!$G$22),Setup!$C$39:$C$50))&lt;=Setup!$C$16))),WORKDAY(D202,-(Setup!$C$13+Setup!$G$22+Setup!$C$14),Setup!$C$39:$C$50),WORKDAY(D202,-(Setup!$C$13+Setup!$G$22),Setup!$C$39:$C$50))+(197*100+3)/10000000)))</f>
        <v/>
      </c>
      <c r="U202" t="str">
        <f>IF(E202="","",IF(E202&lt;Setup!$C$5-Setup!$C$6,"",IF(IF(ISNUMBER(Roster!$D202),Setup!$C$23&lt;=Roster!$D202,FALSE),"",IF(OR(IF(Setup!$C$15&lt;=Setup!$C$16,AND(MONTH(E202)&gt;=Setup!$C$15,MONTH(E202)&lt;=Setup!$C$16),OR(MONTH(E202)&gt;=Setup!$C$15,MONTH(E202)&lt;=Setup!$C$16)),IF(Setup!$C$15&lt;=Setup!$C$16,AND(MONTH(WORKDAY(E202,-(Setup!$C$13+Setup!$G$23),Setup!$C$39:$C$50))&gt;=Setup!$C$15,MONTH(WORKDAY(E202,-(Setup!$C$13+Setup!$G$23),Setup!$C$39:$C$50))&lt;=Setup!$C$16),OR(MONTH(WORKDAY(E202,-(Setup!$C$13+Setup!$G$23),Setup!$C$39:$C$50))&gt;=Setup!$C$15,MONTH(WORKDAY(E202,-(Setup!$C$13+Setup!$G$23),Setup!$C$39:$C$50))&lt;=Setup!$C$16))),WORKDAY(E202,-(Setup!$C$13+Setup!$G$23+Setup!$C$14),Setup!$C$39:$C$50),WORKDAY(E202,-(Setup!$C$13+Setup!$G$23),Setup!$C$39:$C$50))+(197*100+4)/10000000)))</f>
        <v/>
      </c>
      <c r="V202" t="str">
        <f>IF(F202="","",IF(F202&lt;Setup!$C$5-Setup!$C$6,"",IF(IF(ISNUMBER(Roster!$D202),Setup!$C$24&lt;=Roster!$D202,FALSE),"",IF(OR(IF(Setup!$C$15&lt;=Setup!$C$16,AND(MONTH(F202)&gt;=Setup!$C$15,MONTH(F202)&lt;=Setup!$C$16),OR(MONTH(F202)&gt;=Setup!$C$15,MONTH(F202)&lt;=Setup!$C$16)),IF(Setup!$C$15&lt;=Setup!$C$16,AND(MONTH(WORKDAY(F202,-(Setup!$C$13+Setup!$G$24),Setup!$C$39:$C$50))&gt;=Setup!$C$15,MONTH(WORKDAY(F202,-(Setup!$C$13+Setup!$G$24),Setup!$C$39:$C$50))&lt;=Setup!$C$16),OR(MONTH(WORKDAY(F202,-(Setup!$C$13+Setup!$G$24),Setup!$C$39:$C$50))&gt;=Setup!$C$15,MONTH(WORKDAY(F202,-(Setup!$C$13+Setup!$G$24),Setup!$C$39:$C$50))&lt;=Setup!$C$16))),WORKDAY(F202,-(Setup!$C$13+Setup!$G$24+Setup!$C$14),Setup!$C$39:$C$50),WORKDAY(F202,-(Setup!$C$13+Setup!$G$24),Setup!$C$39:$C$50))+(197*100+5)/10000000)))</f>
        <v/>
      </c>
      <c r="W202" t="str">
        <f>IF(G202="","",IF(G202&lt;Setup!$C$5-Setup!$C$6,"",IF(IF(ISNUMBER(Roster!$D202),Setup!$C$25&lt;=Roster!$D202,FALSE),"",IF(OR(IF(Setup!$C$15&lt;=Setup!$C$16,AND(MONTH(G202)&gt;=Setup!$C$15,MONTH(G202)&lt;=Setup!$C$16),OR(MONTH(G202)&gt;=Setup!$C$15,MONTH(G202)&lt;=Setup!$C$16)),IF(Setup!$C$15&lt;=Setup!$C$16,AND(MONTH(WORKDAY(G202,-(Setup!$C$13+Setup!$G$25),Setup!$C$39:$C$50))&gt;=Setup!$C$15,MONTH(WORKDAY(G202,-(Setup!$C$13+Setup!$G$25),Setup!$C$39:$C$50))&lt;=Setup!$C$16),OR(MONTH(WORKDAY(G202,-(Setup!$C$13+Setup!$G$25),Setup!$C$39:$C$50))&gt;=Setup!$C$15,MONTH(WORKDAY(G202,-(Setup!$C$13+Setup!$G$25),Setup!$C$39:$C$50))&lt;=Setup!$C$16))),WORKDAY(G202,-(Setup!$C$13+Setup!$G$25+Setup!$C$14),Setup!$C$39:$C$50),WORKDAY(G202,-(Setup!$C$13+Setup!$G$25),Setup!$C$39:$C$50))+(197*100+6)/10000000)))</f>
        <v/>
      </c>
      <c r="X202" t="str">
        <f>IF(H202="","",IF(H202&lt;Setup!$C$5-Setup!$C$6,"",IF(IF(ISNUMBER(Roster!$D202),Setup!$C$26&lt;=Roster!$D202,FALSE),"",IF(OR(IF(Setup!$C$15&lt;=Setup!$C$16,AND(MONTH(H202)&gt;=Setup!$C$15,MONTH(H202)&lt;=Setup!$C$16),OR(MONTH(H202)&gt;=Setup!$C$15,MONTH(H202)&lt;=Setup!$C$16)),IF(Setup!$C$15&lt;=Setup!$C$16,AND(MONTH(WORKDAY(H202,-(Setup!$C$13+Setup!$G$26),Setup!$C$39:$C$50))&gt;=Setup!$C$15,MONTH(WORKDAY(H202,-(Setup!$C$13+Setup!$G$26),Setup!$C$39:$C$50))&lt;=Setup!$C$16),OR(MONTH(WORKDAY(H202,-(Setup!$C$13+Setup!$G$26),Setup!$C$39:$C$50))&gt;=Setup!$C$15,MONTH(WORKDAY(H202,-(Setup!$C$13+Setup!$G$26),Setup!$C$39:$C$50))&lt;=Setup!$C$16))),WORKDAY(H202,-(Setup!$C$13+Setup!$G$26+Setup!$C$14),Setup!$C$39:$C$50),WORKDAY(H202,-(Setup!$C$13+Setup!$G$26),Setup!$C$39:$C$50))+(197*100+7)/10000000)))</f>
        <v/>
      </c>
      <c r="Y202" t="str">
        <f>IF(I202="","",IF(I202&lt;Setup!$C$5-Setup!$C$6,"",IF(IF(ISNUMBER(Roster!$D202),Setup!$C$27&lt;=Roster!$D202,FALSE),"",IF(OR(IF(Setup!$C$15&lt;=Setup!$C$16,AND(MONTH(I202)&gt;=Setup!$C$15,MONTH(I202)&lt;=Setup!$C$16),OR(MONTH(I202)&gt;=Setup!$C$15,MONTH(I202)&lt;=Setup!$C$16)),IF(Setup!$C$15&lt;=Setup!$C$16,AND(MONTH(WORKDAY(I202,-(Setup!$C$13+Setup!$G$27),Setup!$C$39:$C$50))&gt;=Setup!$C$15,MONTH(WORKDAY(I202,-(Setup!$C$13+Setup!$G$27),Setup!$C$39:$C$50))&lt;=Setup!$C$16),OR(MONTH(WORKDAY(I202,-(Setup!$C$13+Setup!$G$27),Setup!$C$39:$C$50))&gt;=Setup!$C$15,MONTH(WORKDAY(I202,-(Setup!$C$13+Setup!$G$27),Setup!$C$39:$C$50))&lt;=Setup!$C$16))),WORKDAY(I202,-(Setup!$C$13+Setup!$G$27+Setup!$C$14),Setup!$C$39:$C$50),WORKDAY(I202,-(Setup!$C$13+Setup!$G$27),Setup!$C$39:$C$50))+(197*100+8)/10000000)))</f>
        <v/>
      </c>
      <c r="Z202" t="str">
        <f>IF(J202="","",IF(J202&lt;Setup!$C$5-Setup!$C$6,"",IF(IF(ISNUMBER(Roster!$D202),Setup!$C$28&lt;=Roster!$D202,FALSE),"",IF(OR(IF(Setup!$C$15&lt;=Setup!$C$16,AND(MONTH(J202)&gt;=Setup!$C$15,MONTH(J202)&lt;=Setup!$C$16),OR(MONTH(J202)&gt;=Setup!$C$15,MONTH(J202)&lt;=Setup!$C$16)),IF(Setup!$C$15&lt;=Setup!$C$16,AND(MONTH(WORKDAY(J202,-(Setup!$C$13+Setup!$G$28),Setup!$C$39:$C$50))&gt;=Setup!$C$15,MONTH(WORKDAY(J202,-(Setup!$C$13+Setup!$G$28),Setup!$C$39:$C$50))&lt;=Setup!$C$16),OR(MONTH(WORKDAY(J202,-(Setup!$C$13+Setup!$G$28),Setup!$C$39:$C$50))&gt;=Setup!$C$15,MONTH(WORKDAY(J202,-(Setup!$C$13+Setup!$G$28),Setup!$C$39:$C$50))&lt;=Setup!$C$16))),WORKDAY(J202,-(Setup!$C$13+Setup!$G$28+Setup!$C$14),Setup!$C$39:$C$50),WORKDAY(J202,-(Setup!$C$13+Setup!$G$28),Setup!$C$39:$C$50))+(197*100+9)/10000000)))</f>
        <v/>
      </c>
      <c r="AA202" t="str">
        <f>IF(K202="","",IF(K202&lt;Setup!$C$5-Setup!$C$6,"",IF(IF(ISNUMBER(Roster!$D202),Setup!$C$29&lt;=Roster!$D202,FALSE),"",IF(OR(IF(Setup!$C$15&lt;=Setup!$C$16,AND(MONTH(K202)&gt;=Setup!$C$15,MONTH(K202)&lt;=Setup!$C$16),OR(MONTH(K202)&gt;=Setup!$C$15,MONTH(K202)&lt;=Setup!$C$16)),IF(Setup!$C$15&lt;=Setup!$C$16,AND(MONTH(WORKDAY(K202,-(Setup!$C$13+Setup!$G$29),Setup!$C$39:$C$50))&gt;=Setup!$C$15,MONTH(WORKDAY(K202,-(Setup!$C$13+Setup!$G$29),Setup!$C$39:$C$50))&lt;=Setup!$C$16),OR(MONTH(WORKDAY(K202,-(Setup!$C$13+Setup!$G$29),Setup!$C$39:$C$50))&gt;=Setup!$C$15,MONTH(WORKDAY(K202,-(Setup!$C$13+Setup!$G$29),Setup!$C$39:$C$50))&lt;=Setup!$C$16))),WORKDAY(K202,-(Setup!$C$13+Setup!$G$29+Setup!$C$14),Setup!$C$39:$C$50),WORKDAY(K202,-(Setup!$C$13+Setup!$G$29),Setup!$C$39:$C$50))+(197*100+10)/10000000)))</f>
        <v/>
      </c>
      <c r="AB202" t="str">
        <f>IF(L202="","",IF(L202&lt;Setup!$C$5-Setup!$C$6,"",IF(IF(ISNUMBER(Roster!$D202),Setup!$C$30&lt;=Roster!$D202,FALSE),"",IF(OR(IF(Setup!$C$15&lt;=Setup!$C$16,AND(MONTH(L202)&gt;=Setup!$C$15,MONTH(L202)&lt;=Setup!$C$16),OR(MONTH(L202)&gt;=Setup!$C$15,MONTH(L202)&lt;=Setup!$C$16)),IF(Setup!$C$15&lt;=Setup!$C$16,AND(MONTH(WORKDAY(L202,-(Setup!$C$13+Setup!$G$30),Setup!$C$39:$C$50))&gt;=Setup!$C$15,MONTH(WORKDAY(L202,-(Setup!$C$13+Setup!$G$30),Setup!$C$39:$C$50))&lt;=Setup!$C$16),OR(MONTH(WORKDAY(L202,-(Setup!$C$13+Setup!$G$30),Setup!$C$39:$C$50))&gt;=Setup!$C$15,MONTH(WORKDAY(L202,-(Setup!$C$13+Setup!$G$30),Setup!$C$39:$C$50))&lt;=Setup!$C$16))),WORKDAY(L202,-(Setup!$C$13+Setup!$G$30+Setup!$C$14),Setup!$C$39:$C$50),WORKDAY(L202,-(Setup!$C$13+Setup!$G$30),Setup!$C$39:$C$50))+(197*100+11)/10000000)))</f>
        <v/>
      </c>
      <c r="AC202" t="str">
        <f>IF(M202="","",IF(M202&lt;Setup!$C$5-Setup!$C$6,"",IF(IF(ISNUMBER(Roster!$D202),Setup!$C$31&lt;=Roster!$D202,FALSE),"",IF(OR(IF(Setup!$C$15&lt;=Setup!$C$16,AND(MONTH(M202)&gt;=Setup!$C$15,MONTH(M202)&lt;=Setup!$C$16),OR(MONTH(M202)&gt;=Setup!$C$15,MONTH(M202)&lt;=Setup!$C$16)),IF(Setup!$C$15&lt;=Setup!$C$16,AND(MONTH(WORKDAY(M202,-(Setup!$C$13+Setup!$G$31),Setup!$C$39:$C$50))&gt;=Setup!$C$15,MONTH(WORKDAY(M202,-(Setup!$C$13+Setup!$G$31),Setup!$C$39:$C$50))&lt;=Setup!$C$16),OR(MONTH(WORKDAY(M202,-(Setup!$C$13+Setup!$G$31),Setup!$C$39:$C$50))&gt;=Setup!$C$15,MONTH(WORKDAY(M202,-(Setup!$C$13+Setup!$G$31),Setup!$C$39:$C$50))&lt;=Setup!$C$16))),WORKDAY(M202,-(Setup!$C$13+Setup!$G$31+Setup!$C$14),Setup!$C$39:$C$50),WORKDAY(M202,-(Setup!$C$13+Setup!$G$31),Setup!$C$39:$C$50))+(197*100+12)/10000000)))</f>
        <v/>
      </c>
      <c r="AD202" t="str">
        <f>IF(N202="","",IF(N202&lt;Setup!$C$5-Setup!$C$6,"",IF(IF(ISNUMBER(Roster!$D202),Setup!$C$32&lt;=Roster!$D202,FALSE),"",IF(OR(IF(Setup!$C$15&lt;=Setup!$C$16,AND(MONTH(N202)&gt;=Setup!$C$15,MONTH(N202)&lt;=Setup!$C$16),OR(MONTH(N202)&gt;=Setup!$C$15,MONTH(N202)&lt;=Setup!$C$16)),IF(Setup!$C$15&lt;=Setup!$C$16,AND(MONTH(WORKDAY(N202,-(Setup!$C$13+Setup!$G$32),Setup!$C$39:$C$50))&gt;=Setup!$C$15,MONTH(WORKDAY(N202,-(Setup!$C$13+Setup!$G$32),Setup!$C$39:$C$50))&lt;=Setup!$C$16),OR(MONTH(WORKDAY(N202,-(Setup!$C$13+Setup!$G$32),Setup!$C$39:$C$50))&gt;=Setup!$C$15,MONTH(WORKDAY(N202,-(Setup!$C$13+Setup!$G$32),Setup!$C$39:$C$50))&lt;=Setup!$C$16))),WORKDAY(N202,-(Setup!$C$13+Setup!$G$32+Setup!$C$14),Setup!$C$39:$C$50),WORKDAY(N202,-(Setup!$C$13+Setup!$G$32),Setup!$C$39:$C$50))+(197*100+13)/10000000)))</f>
        <v/>
      </c>
      <c r="AE202" t="str">
        <f>IF(O202="","",IF(O202&lt;Setup!$C$5-Setup!$C$6,"",IF(IF(ISNUMBER(Roster!$D202),Setup!$C$33&lt;=Roster!$D202,FALSE),"",IF(OR(IF(Setup!$C$15&lt;=Setup!$C$16,AND(MONTH(O202)&gt;=Setup!$C$15,MONTH(O202)&lt;=Setup!$C$16),OR(MONTH(O202)&gt;=Setup!$C$15,MONTH(O202)&lt;=Setup!$C$16)),IF(Setup!$C$15&lt;=Setup!$C$16,AND(MONTH(WORKDAY(O202,-(Setup!$C$13+Setup!$G$33),Setup!$C$39:$C$50))&gt;=Setup!$C$15,MONTH(WORKDAY(O202,-(Setup!$C$13+Setup!$G$33),Setup!$C$39:$C$50))&lt;=Setup!$C$16),OR(MONTH(WORKDAY(O202,-(Setup!$C$13+Setup!$G$33),Setup!$C$39:$C$50))&gt;=Setup!$C$15,MONTH(WORKDAY(O202,-(Setup!$C$13+Setup!$G$33),Setup!$C$39:$C$50))&lt;=Setup!$C$16))),WORKDAY(O202,-(Setup!$C$13+Setup!$G$33+Setup!$C$14),Setup!$C$39:$C$50),WORKDAY(O202,-(Setup!$C$13+Setup!$G$33),Setup!$C$39:$C$50))+(197*100+14)/10000000)))</f>
        <v/>
      </c>
      <c r="AF202" t="str">
        <f>IF(P202="","",IF(P202&lt;Setup!$C$5-Setup!$C$6,"",IF(IF(ISNUMBER(Roster!$D202),Setup!$C$34&lt;=Roster!$D202,FALSE),"",IF(OR(IF(Setup!$C$15&lt;=Setup!$C$16,AND(MONTH(P202)&gt;=Setup!$C$15,MONTH(P202)&lt;=Setup!$C$16),OR(MONTH(P202)&gt;=Setup!$C$15,MONTH(P202)&lt;=Setup!$C$16)),IF(Setup!$C$15&lt;=Setup!$C$16,AND(MONTH(WORKDAY(P202,-(Setup!$C$13+Setup!$G$34),Setup!$C$39:$C$50))&gt;=Setup!$C$15,MONTH(WORKDAY(P202,-(Setup!$C$13+Setup!$G$34),Setup!$C$39:$C$50))&lt;=Setup!$C$16),OR(MONTH(WORKDAY(P202,-(Setup!$C$13+Setup!$G$34),Setup!$C$39:$C$50))&gt;=Setup!$C$15,MONTH(WORKDAY(P202,-(Setup!$C$13+Setup!$G$34),Setup!$C$39:$C$50))&lt;=Setup!$C$16))),WORKDAY(P202,-(Setup!$C$13+Setup!$G$34+Setup!$C$14),Setup!$C$39:$C$50),WORKDAY(P202,-(Setup!$C$13+Setup!$G$34),Setup!$C$39:$C$50))+(197*100+15)/10000000)))</f>
        <v/>
      </c>
      <c r="AH202" t="str">
        <f t="shared" si="25"/>
        <v/>
      </c>
      <c r="AI202" t="str">
        <f t="shared" si="26"/>
        <v/>
      </c>
      <c r="AK202" t="str">
        <f ca="1">IF(197&gt;$AK$2,"",SMALL($R$6:$AF$505,197))</f>
        <v/>
      </c>
      <c r="AL202" t="str">
        <f t="shared" ca="1" si="27"/>
        <v/>
      </c>
      <c r="AM202" t="str">
        <f t="shared" ca="1" si="28"/>
        <v/>
      </c>
      <c r="AN202" t="str">
        <f t="shared" ca="1" si="29"/>
        <v/>
      </c>
      <c r="AP202" t="str">
        <f>IF(ISNUMBER(Roster!$B202),MAX(1,YEAR(Setup!$C$5)-YEAR(Roster!$B202)+IF(EDATE(Roster!$B202,12*(YEAR(Setup!$C$5)-YEAR(Roster!$B202)))&lt;Setup!$C$5,1,0)),"")</f>
        <v/>
      </c>
      <c r="AQ202" s="32" t="str">
        <f>IF(AP202="","",EDATE(Roster!$B202,12*AP202))</f>
        <v/>
      </c>
      <c r="AR202" t="str">
        <f>IF(AQ202="","",IF(AQ202&lt;DATE(YEAR(Setup!$C$5)+1,MONTH(Setup!$C$5),DAY(Setup!$C$5)),AQ202+197/1000,""))</f>
        <v/>
      </c>
      <c r="AS202" t="str">
        <f t="shared" si="30"/>
        <v/>
      </c>
      <c r="AT202" t="str">
        <f>IF(AS202="","",IF(ISNUMBER(Roster!$D202),Roster!$D202&gt;=AP202,FALSE))</f>
        <v/>
      </c>
      <c r="AU202" t="str">
        <f t="shared" si="31"/>
        <v/>
      </c>
      <c r="AV202" t="str">
        <f ca="1">IF(197&gt;$AV$2,"",SMALL($AR$6:$AR$505,197))</f>
        <v/>
      </c>
      <c r="AW202" t="str">
        <f t="shared" ca="1" si="32"/>
        <v/>
      </c>
    </row>
    <row r="203" spans="2:49" x14ac:dyDescent="0.2">
      <c r="B203" s="32" t="str">
        <f>IF(AND(ISNUMBER(Roster!$B203),Setup!$B$20="Yes",ISNUMBER(Setup!$C$20)),EDATE(Roster!$B203,12*Setup!$C$20),"")</f>
        <v/>
      </c>
      <c r="C203" s="32" t="str">
        <f>IF(AND(ISNUMBER(Roster!$B203),Setup!$B$21="Yes",ISNUMBER(Setup!$C$21)),EDATE(Roster!$B203,12*Setup!$C$21),"")</f>
        <v/>
      </c>
      <c r="D203" s="32" t="str">
        <f>IF(AND(ISNUMBER(Roster!$B203),Setup!$B$22="Yes",ISNUMBER(Setup!$C$22)),EDATE(Roster!$B203,12*Setup!$C$22),"")</f>
        <v/>
      </c>
      <c r="E203" s="32" t="str">
        <f>IF(AND(ISNUMBER(Roster!$B203),Setup!$B$23="Yes",ISNUMBER(Setup!$C$23)),EDATE(Roster!$B203,12*Setup!$C$23),"")</f>
        <v/>
      </c>
      <c r="F203" s="32" t="str">
        <f>IF(AND(ISNUMBER(Roster!$B203),Setup!$B$24="Yes",ISNUMBER(Setup!$C$24)),EDATE(Roster!$B203,12*Setup!$C$24),"")</f>
        <v/>
      </c>
      <c r="G203" s="32" t="str">
        <f>IF(AND(ISNUMBER(Roster!$B203),Setup!$B$25="Yes",ISNUMBER(Setup!$C$25)),EDATE(Roster!$B203,12*Setup!$C$25),"")</f>
        <v/>
      </c>
      <c r="H203" s="32" t="str">
        <f>IF(AND(ISNUMBER(Roster!$B203),Setup!$B$26="Yes",ISNUMBER(Setup!$C$26)),EDATE(Roster!$B203,12*Setup!$C$26),"")</f>
        <v/>
      </c>
      <c r="I203" s="32" t="str">
        <f>IF(AND(ISNUMBER(Roster!$B203),Setup!$B$27="Yes",ISNUMBER(Setup!$C$27)),EDATE(Roster!$B203,12*Setup!$C$27),"")</f>
        <v/>
      </c>
      <c r="J203" s="32" t="str">
        <f>IF(AND(ISNUMBER(Roster!$B203),Setup!$B$28="Yes",ISNUMBER(Setup!$C$28)),EDATE(Roster!$B203,12*Setup!$C$28),"")</f>
        <v/>
      </c>
      <c r="K203" s="32" t="str">
        <f>IF(AND(ISNUMBER(Roster!$B203),Setup!$B$29="Yes",ISNUMBER(Setup!$C$29)),EDATE(Roster!$B203,12*Setup!$C$29),"")</f>
        <v/>
      </c>
      <c r="L203" s="32" t="str">
        <f>IF(AND(ISNUMBER(Roster!$B203),Setup!$B$30="Yes",ISNUMBER(Setup!$C$30)),EDATE(Roster!$B203,12*Setup!$C$30),"")</f>
        <v/>
      </c>
      <c r="M203" s="32" t="str">
        <f>IF(AND(ISNUMBER(Roster!$B203),Setup!$B$31="Yes",ISNUMBER(Setup!$C$31)),EDATE(Roster!$B203,12*Setup!$C$31),"")</f>
        <v/>
      </c>
      <c r="N203" s="32" t="str">
        <f>IF(AND(ISNUMBER(Roster!$B203),Setup!$B$32="Yes",ISNUMBER(Setup!$C$32)),EDATE(Roster!$B203,12*Setup!$C$32),"")</f>
        <v/>
      </c>
      <c r="O203" s="32" t="str">
        <f>IF(AND(ISNUMBER(Roster!$B203),Setup!$B$33="Yes",ISNUMBER(Setup!$C$33)),EDATE(Roster!$B203,12*Setup!$C$33),"")</f>
        <v/>
      </c>
      <c r="P203" s="32" t="str">
        <f>IF(AND(ISNUMBER(Roster!$B203),Setup!$B$34="Yes",ISNUMBER(Setup!$C$34)),EDATE(Roster!$B203,12*Setup!$C$34),"")</f>
        <v/>
      </c>
      <c r="R203" t="str">
        <f>IF(B203="","",IF(B203&lt;Setup!$C$5-Setup!$C$6,"",IF(IF(ISNUMBER(Roster!$D203),Setup!$C$20&lt;=Roster!$D203,FALSE),"",IF(OR(IF(Setup!$C$15&lt;=Setup!$C$16,AND(MONTH(B203)&gt;=Setup!$C$15,MONTH(B203)&lt;=Setup!$C$16),OR(MONTH(B203)&gt;=Setup!$C$15,MONTH(B203)&lt;=Setup!$C$16)),IF(Setup!$C$15&lt;=Setup!$C$16,AND(MONTH(WORKDAY(B203,-(Setup!$C$13+Setup!$G$20),Setup!$C$39:$C$50))&gt;=Setup!$C$15,MONTH(WORKDAY(B203,-(Setup!$C$13+Setup!$G$20),Setup!$C$39:$C$50))&lt;=Setup!$C$16),OR(MONTH(WORKDAY(B203,-(Setup!$C$13+Setup!$G$20),Setup!$C$39:$C$50))&gt;=Setup!$C$15,MONTH(WORKDAY(B203,-(Setup!$C$13+Setup!$G$20),Setup!$C$39:$C$50))&lt;=Setup!$C$16))),WORKDAY(B203,-(Setup!$C$13+Setup!$G$20+Setup!$C$14),Setup!$C$39:$C$50),WORKDAY(B203,-(Setup!$C$13+Setup!$G$20),Setup!$C$39:$C$50))+(198*100+1)/10000000)))</f>
        <v/>
      </c>
      <c r="S203" t="str">
        <f>IF(C203="","",IF(C203&lt;Setup!$C$5-Setup!$C$6,"",IF(IF(ISNUMBER(Roster!$D203),Setup!$C$21&lt;=Roster!$D203,FALSE),"",IF(OR(IF(Setup!$C$15&lt;=Setup!$C$16,AND(MONTH(C203)&gt;=Setup!$C$15,MONTH(C203)&lt;=Setup!$C$16),OR(MONTH(C203)&gt;=Setup!$C$15,MONTH(C203)&lt;=Setup!$C$16)),IF(Setup!$C$15&lt;=Setup!$C$16,AND(MONTH(WORKDAY(C203,-(Setup!$C$13+Setup!$G$21),Setup!$C$39:$C$50))&gt;=Setup!$C$15,MONTH(WORKDAY(C203,-(Setup!$C$13+Setup!$G$21),Setup!$C$39:$C$50))&lt;=Setup!$C$16),OR(MONTH(WORKDAY(C203,-(Setup!$C$13+Setup!$G$21),Setup!$C$39:$C$50))&gt;=Setup!$C$15,MONTH(WORKDAY(C203,-(Setup!$C$13+Setup!$G$21),Setup!$C$39:$C$50))&lt;=Setup!$C$16))),WORKDAY(C203,-(Setup!$C$13+Setup!$G$21+Setup!$C$14),Setup!$C$39:$C$50),WORKDAY(C203,-(Setup!$C$13+Setup!$G$21),Setup!$C$39:$C$50))+(198*100+2)/10000000)))</f>
        <v/>
      </c>
      <c r="T203" t="str">
        <f>IF(D203="","",IF(D203&lt;Setup!$C$5-Setup!$C$6,"",IF(IF(ISNUMBER(Roster!$D203),Setup!$C$22&lt;=Roster!$D203,FALSE),"",IF(OR(IF(Setup!$C$15&lt;=Setup!$C$16,AND(MONTH(D203)&gt;=Setup!$C$15,MONTH(D203)&lt;=Setup!$C$16),OR(MONTH(D203)&gt;=Setup!$C$15,MONTH(D203)&lt;=Setup!$C$16)),IF(Setup!$C$15&lt;=Setup!$C$16,AND(MONTH(WORKDAY(D203,-(Setup!$C$13+Setup!$G$22),Setup!$C$39:$C$50))&gt;=Setup!$C$15,MONTH(WORKDAY(D203,-(Setup!$C$13+Setup!$G$22),Setup!$C$39:$C$50))&lt;=Setup!$C$16),OR(MONTH(WORKDAY(D203,-(Setup!$C$13+Setup!$G$22),Setup!$C$39:$C$50))&gt;=Setup!$C$15,MONTH(WORKDAY(D203,-(Setup!$C$13+Setup!$G$22),Setup!$C$39:$C$50))&lt;=Setup!$C$16))),WORKDAY(D203,-(Setup!$C$13+Setup!$G$22+Setup!$C$14),Setup!$C$39:$C$50),WORKDAY(D203,-(Setup!$C$13+Setup!$G$22),Setup!$C$39:$C$50))+(198*100+3)/10000000)))</f>
        <v/>
      </c>
      <c r="U203" t="str">
        <f>IF(E203="","",IF(E203&lt;Setup!$C$5-Setup!$C$6,"",IF(IF(ISNUMBER(Roster!$D203),Setup!$C$23&lt;=Roster!$D203,FALSE),"",IF(OR(IF(Setup!$C$15&lt;=Setup!$C$16,AND(MONTH(E203)&gt;=Setup!$C$15,MONTH(E203)&lt;=Setup!$C$16),OR(MONTH(E203)&gt;=Setup!$C$15,MONTH(E203)&lt;=Setup!$C$16)),IF(Setup!$C$15&lt;=Setup!$C$16,AND(MONTH(WORKDAY(E203,-(Setup!$C$13+Setup!$G$23),Setup!$C$39:$C$50))&gt;=Setup!$C$15,MONTH(WORKDAY(E203,-(Setup!$C$13+Setup!$G$23),Setup!$C$39:$C$50))&lt;=Setup!$C$16),OR(MONTH(WORKDAY(E203,-(Setup!$C$13+Setup!$G$23),Setup!$C$39:$C$50))&gt;=Setup!$C$15,MONTH(WORKDAY(E203,-(Setup!$C$13+Setup!$G$23),Setup!$C$39:$C$50))&lt;=Setup!$C$16))),WORKDAY(E203,-(Setup!$C$13+Setup!$G$23+Setup!$C$14),Setup!$C$39:$C$50),WORKDAY(E203,-(Setup!$C$13+Setup!$G$23),Setup!$C$39:$C$50))+(198*100+4)/10000000)))</f>
        <v/>
      </c>
      <c r="V203" t="str">
        <f>IF(F203="","",IF(F203&lt;Setup!$C$5-Setup!$C$6,"",IF(IF(ISNUMBER(Roster!$D203),Setup!$C$24&lt;=Roster!$D203,FALSE),"",IF(OR(IF(Setup!$C$15&lt;=Setup!$C$16,AND(MONTH(F203)&gt;=Setup!$C$15,MONTH(F203)&lt;=Setup!$C$16),OR(MONTH(F203)&gt;=Setup!$C$15,MONTH(F203)&lt;=Setup!$C$16)),IF(Setup!$C$15&lt;=Setup!$C$16,AND(MONTH(WORKDAY(F203,-(Setup!$C$13+Setup!$G$24),Setup!$C$39:$C$50))&gt;=Setup!$C$15,MONTH(WORKDAY(F203,-(Setup!$C$13+Setup!$G$24),Setup!$C$39:$C$50))&lt;=Setup!$C$16),OR(MONTH(WORKDAY(F203,-(Setup!$C$13+Setup!$G$24),Setup!$C$39:$C$50))&gt;=Setup!$C$15,MONTH(WORKDAY(F203,-(Setup!$C$13+Setup!$G$24),Setup!$C$39:$C$50))&lt;=Setup!$C$16))),WORKDAY(F203,-(Setup!$C$13+Setup!$G$24+Setup!$C$14),Setup!$C$39:$C$50),WORKDAY(F203,-(Setup!$C$13+Setup!$G$24),Setup!$C$39:$C$50))+(198*100+5)/10000000)))</f>
        <v/>
      </c>
      <c r="W203" t="str">
        <f>IF(G203="","",IF(G203&lt;Setup!$C$5-Setup!$C$6,"",IF(IF(ISNUMBER(Roster!$D203),Setup!$C$25&lt;=Roster!$D203,FALSE),"",IF(OR(IF(Setup!$C$15&lt;=Setup!$C$16,AND(MONTH(G203)&gt;=Setup!$C$15,MONTH(G203)&lt;=Setup!$C$16),OR(MONTH(G203)&gt;=Setup!$C$15,MONTH(G203)&lt;=Setup!$C$16)),IF(Setup!$C$15&lt;=Setup!$C$16,AND(MONTH(WORKDAY(G203,-(Setup!$C$13+Setup!$G$25),Setup!$C$39:$C$50))&gt;=Setup!$C$15,MONTH(WORKDAY(G203,-(Setup!$C$13+Setup!$G$25),Setup!$C$39:$C$50))&lt;=Setup!$C$16),OR(MONTH(WORKDAY(G203,-(Setup!$C$13+Setup!$G$25),Setup!$C$39:$C$50))&gt;=Setup!$C$15,MONTH(WORKDAY(G203,-(Setup!$C$13+Setup!$G$25),Setup!$C$39:$C$50))&lt;=Setup!$C$16))),WORKDAY(G203,-(Setup!$C$13+Setup!$G$25+Setup!$C$14),Setup!$C$39:$C$50),WORKDAY(G203,-(Setup!$C$13+Setup!$G$25),Setup!$C$39:$C$50))+(198*100+6)/10000000)))</f>
        <v/>
      </c>
      <c r="X203" t="str">
        <f>IF(H203="","",IF(H203&lt;Setup!$C$5-Setup!$C$6,"",IF(IF(ISNUMBER(Roster!$D203),Setup!$C$26&lt;=Roster!$D203,FALSE),"",IF(OR(IF(Setup!$C$15&lt;=Setup!$C$16,AND(MONTH(H203)&gt;=Setup!$C$15,MONTH(H203)&lt;=Setup!$C$16),OR(MONTH(H203)&gt;=Setup!$C$15,MONTH(H203)&lt;=Setup!$C$16)),IF(Setup!$C$15&lt;=Setup!$C$16,AND(MONTH(WORKDAY(H203,-(Setup!$C$13+Setup!$G$26),Setup!$C$39:$C$50))&gt;=Setup!$C$15,MONTH(WORKDAY(H203,-(Setup!$C$13+Setup!$G$26),Setup!$C$39:$C$50))&lt;=Setup!$C$16),OR(MONTH(WORKDAY(H203,-(Setup!$C$13+Setup!$G$26),Setup!$C$39:$C$50))&gt;=Setup!$C$15,MONTH(WORKDAY(H203,-(Setup!$C$13+Setup!$G$26),Setup!$C$39:$C$50))&lt;=Setup!$C$16))),WORKDAY(H203,-(Setup!$C$13+Setup!$G$26+Setup!$C$14),Setup!$C$39:$C$50),WORKDAY(H203,-(Setup!$C$13+Setup!$G$26),Setup!$C$39:$C$50))+(198*100+7)/10000000)))</f>
        <v/>
      </c>
      <c r="Y203" t="str">
        <f>IF(I203="","",IF(I203&lt;Setup!$C$5-Setup!$C$6,"",IF(IF(ISNUMBER(Roster!$D203),Setup!$C$27&lt;=Roster!$D203,FALSE),"",IF(OR(IF(Setup!$C$15&lt;=Setup!$C$16,AND(MONTH(I203)&gt;=Setup!$C$15,MONTH(I203)&lt;=Setup!$C$16),OR(MONTH(I203)&gt;=Setup!$C$15,MONTH(I203)&lt;=Setup!$C$16)),IF(Setup!$C$15&lt;=Setup!$C$16,AND(MONTH(WORKDAY(I203,-(Setup!$C$13+Setup!$G$27),Setup!$C$39:$C$50))&gt;=Setup!$C$15,MONTH(WORKDAY(I203,-(Setup!$C$13+Setup!$G$27),Setup!$C$39:$C$50))&lt;=Setup!$C$16),OR(MONTH(WORKDAY(I203,-(Setup!$C$13+Setup!$G$27),Setup!$C$39:$C$50))&gt;=Setup!$C$15,MONTH(WORKDAY(I203,-(Setup!$C$13+Setup!$G$27),Setup!$C$39:$C$50))&lt;=Setup!$C$16))),WORKDAY(I203,-(Setup!$C$13+Setup!$G$27+Setup!$C$14),Setup!$C$39:$C$50),WORKDAY(I203,-(Setup!$C$13+Setup!$G$27),Setup!$C$39:$C$50))+(198*100+8)/10000000)))</f>
        <v/>
      </c>
      <c r="Z203" t="str">
        <f>IF(J203="","",IF(J203&lt;Setup!$C$5-Setup!$C$6,"",IF(IF(ISNUMBER(Roster!$D203),Setup!$C$28&lt;=Roster!$D203,FALSE),"",IF(OR(IF(Setup!$C$15&lt;=Setup!$C$16,AND(MONTH(J203)&gt;=Setup!$C$15,MONTH(J203)&lt;=Setup!$C$16),OR(MONTH(J203)&gt;=Setup!$C$15,MONTH(J203)&lt;=Setup!$C$16)),IF(Setup!$C$15&lt;=Setup!$C$16,AND(MONTH(WORKDAY(J203,-(Setup!$C$13+Setup!$G$28),Setup!$C$39:$C$50))&gt;=Setup!$C$15,MONTH(WORKDAY(J203,-(Setup!$C$13+Setup!$G$28),Setup!$C$39:$C$50))&lt;=Setup!$C$16),OR(MONTH(WORKDAY(J203,-(Setup!$C$13+Setup!$G$28),Setup!$C$39:$C$50))&gt;=Setup!$C$15,MONTH(WORKDAY(J203,-(Setup!$C$13+Setup!$G$28),Setup!$C$39:$C$50))&lt;=Setup!$C$16))),WORKDAY(J203,-(Setup!$C$13+Setup!$G$28+Setup!$C$14),Setup!$C$39:$C$50),WORKDAY(J203,-(Setup!$C$13+Setup!$G$28),Setup!$C$39:$C$50))+(198*100+9)/10000000)))</f>
        <v/>
      </c>
      <c r="AA203" t="str">
        <f>IF(K203="","",IF(K203&lt;Setup!$C$5-Setup!$C$6,"",IF(IF(ISNUMBER(Roster!$D203),Setup!$C$29&lt;=Roster!$D203,FALSE),"",IF(OR(IF(Setup!$C$15&lt;=Setup!$C$16,AND(MONTH(K203)&gt;=Setup!$C$15,MONTH(K203)&lt;=Setup!$C$16),OR(MONTH(K203)&gt;=Setup!$C$15,MONTH(K203)&lt;=Setup!$C$16)),IF(Setup!$C$15&lt;=Setup!$C$16,AND(MONTH(WORKDAY(K203,-(Setup!$C$13+Setup!$G$29),Setup!$C$39:$C$50))&gt;=Setup!$C$15,MONTH(WORKDAY(K203,-(Setup!$C$13+Setup!$G$29),Setup!$C$39:$C$50))&lt;=Setup!$C$16),OR(MONTH(WORKDAY(K203,-(Setup!$C$13+Setup!$G$29),Setup!$C$39:$C$50))&gt;=Setup!$C$15,MONTH(WORKDAY(K203,-(Setup!$C$13+Setup!$G$29),Setup!$C$39:$C$50))&lt;=Setup!$C$16))),WORKDAY(K203,-(Setup!$C$13+Setup!$G$29+Setup!$C$14),Setup!$C$39:$C$50),WORKDAY(K203,-(Setup!$C$13+Setup!$G$29),Setup!$C$39:$C$50))+(198*100+10)/10000000)))</f>
        <v/>
      </c>
      <c r="AB203" t="str">
        <f>IF(L203="","",IF(L203&lt;Setup!$C$5-Setup!$C$6,"",IF(IF(ISNUMBER(Roster!$D203),Setup!$C$30&lt;=Roster!$D203,FALSE),"",IF(OR(IF(Setup!$C$15&lt;=Setup!$C$16,AND(MONTH(L203)&gt;=Setup!$C$15,MONTH(L203)&lt;=Setup!$C$16),OR(MONTH(L203)&gt;=Setup!$C$15,MONTH(L203)&lt;=Setup!$C$16)),IF(Setup!$C$15&lt;=Setup!$C$16,AND(MONTH(WORKDAY(L203,-(Setup!$C$13+Setup!$G$30),Setup!$C$39:$C$50))&gt;=Setup!$C$15,MONTH(WORKDAY(L203,-(Setup!$C$13+Setup!$G$30),Setup!$C$39:$C$50))&lt;=Setup!$C$16),OR(MONTH(WORKDAY(L203,-(Setup!$C$13+Setup!$G$30),Setup!$C$39:$C$50))&gt;=Setup!$C$15,MONTH(WORKDAY(L203,-(Setup!$C$13+Setup!$G$30),Setup!$C$39:$C$50))&lt;=Setup!$C$16))),WORKDAY(L203,-(Setup!$C$13+Setup!$G$30+Setup!$C$14),Setup!$C$39:$C$50),WORKDAY(L203,-(Setup!$C$13+Setup!$G$30),Setup!$C$39:$C$50))+(198*100+11)/10000000)))</f>
        <v/>
      </c>
      <c r="AC203" t="str">
        <f>IF(M203="","",IF(M203&lt;Setup!$C$5-Setup!$C$6,"",IF(IF(ISNUMBER(Roster!$D203),Setup!$C$31&lt;=Roster!$D203,FALSE),"",IF(OR(IF(Setup!$C$15&lt;=Setup!$C$16,AND(MONTH(M203)&gt;=Setup!$C$15,MONTH(M203)&lt;=Setup!$C$16),OR(MONTH(M203)&gt;=Setup!$C$15,MONTH(M203)&lt;=Setup!$C$16)),IF(Setup!$C$15&lt;=Setup!$C$16,AND(MONTH(WORKDAY(M203,-(Setup!$C$13+Setup!$G$31),Setup!$C$39:$C$50))&gt;=Setup!$C$15,MONTH(WORKDAY(M203,-(Setup!$C$13+Setup!$G$31),Setup!$C$39:$C$50))&lt;=Setup!$C$16),OR(MONTH(WORKDAY(M203,-(Setup!$C$13+Setup!$G$31),Setup!$C$39:$C$50))&gt;=Setup!$C$15,MONTH(WORKDAY(M203,-(Setup!$C$13+Setup!$G$31),Setup!$C$39:$C$50))&lt;=Setup!$C$16))),WORKDAY(M203,-(Setup!$C$13+Setup!$G$31+Setup!$C$14),Setup!$C$39:$C$50),WORKDAY(M203,-(Setup!$C$13+Setup!$G$31),Setup!$C$39:$C$50))+(198*100+12)/10000000)))</f>
        <v/>
      </c>
      <c r="AD203" t="str">
        <f>IF(N203="","",IF(N203&lt;Setup!$C$5-Setup!$C$6,"",IF(IF(ISNUMBER(Roster!$D203),Setup!$C$32&lt;=Roster!$D203,FALSE),"",IF(OR(IF(Setup!$C$15&lt;=Setup!$C$16,AND(MONTH(N203)&gt;=Setup!$C$15,MONTH(N203)&lt;=Setup!$C$16),OR(MONTH(N203)&gt;=Setup!$C$15,MONTH(N203)&lt;=Setup!$C$16)),IF(Setup!$C$15&lt;=Setup!$C$16,AND(MONTH(WORKDAY(N203,-(Setup!$C$13+Setup!$G$32),Setup!$C$39:$C$50))&gt;=Setup!$C$15,MONTH(WORKDAY(N203,-(Setup!$C$13+Setup!$G$32),Setup!$C$39:$C$50))&lt;=Setup!$C$16),OR(MONTH(WORKDAY(N203,-(Setup!$C$13+Setup!$G$32),Setup!$C$39:$C$50))&gt;=Setup!$C$15,MONTH(WORKDAY(N203,-(Setup!$C$13+Setup!$G$32),Setup!$C$39:$C$50))&lt;=Setup!$C$16))),WORKDAY(N203,-(Setup!$C$13+Setup!$G$32+Setup!$C$14),Setup!$C$39:$C$50),WORKDAY(N203,-(Setup!$C$13+Setup!$G$32),Setup!$C$39:$C$50))+(198*100+13)/10000000)))</f>
        <v/>
      </c>
      <c r="AE203" t="str">
        <f>IF(O203="","",IF(O203&lt;Setup!$C$5-Setup!$C$6,"",IF(IF(ISNUMBER(Roster!$D203),Setup!$C$33&lt;=Roster!$D203,FALSE),"",IF(OR(IF(Setup!$C$15&lt;=Setup!$C$16,AND(MONTH(O203)&gt;=Setup!$C$15,MONTH(O203)&lt;=Setup!$C$16),OR(MONTH(O203)&gt;=Setup!$C$15,MONTH(O203)&lt;=Setup!$C$16)),IF(Setup!$C$15&lt;=Setup!$C$16,AND(MONTH(WORKDAY(O203,-(Setup!$C$13+Setup!$G$33),Setup!$C$39:$C$50))&gt;=Setup!$C$15,MONTH(WORKDAY(O203,-(Setup!$C$13+Setup!$G$33),Setup!$C$39:$C$50))&lt;=Setup!$C$16),OR(MONTH(WORKDAY(O203,-(Setup!$C$13+Setup!$G$33),Setup!$C$39:$C$50))&gt;=Setup!$C$15,MONTH(WORKDAY(O203,-(Setup!$C$13+Setup!$G$33),Setup!$C$39:$C$50))&lt;=Setup!$C$16))),WORKDAY(O203,-(Setup!$C$13+Setup!$G$33+Setup!$C$14),Setup!$C$39:$C$50),WORKDAY(O203,-(Setup!$C$13+Setup!$G$33),Setup!$C$39:$C$50))+(198*100+14)/10000000)))</f>
        <v/>
      </c>
      <c r="AF203" t="str">
        <f>IF(P203="","",IF(P203&lt;Setup!$C$5-Setup!$C$6,"",IF(IF(ISNUMBER(Roster!$D203),Setup!$C$34&lt;=Roster!$D203,FALSE),"",IF(OR(IF(Setup!$C$15&lt;=Setup!$C$16,AND(MONTH(P203)&gt;=Setup!$C$15,MONTH(P203)&lt;=Setup!$C$16),OR(MONTH(P203)&gt;=Setup!$C$15,MONTH(P203)&lt;=Setup!$C$16)),IF(Setup!$C$15&lt;=Setup!$C$16,AND(MONTH(WORKDAY(P203,-(Setup!$C$13+Setup!$G$34),Setup!$C$39:$C$50))&gt;=Setup!$C$15,MONTH(WORKDAY(P203,-(Setup!$C$13+Setup!$G$34),Setup!$C$39:$C$50))&lt;=Setup!$C$16),OR(MONTH(WORKDAY(P203,-(Setup!$C$13+Setup!$G$34),Setup!$C$39:$C$50))&gt;=Setup!$C$15,MONTH(WORKDAY(P203,-(Setup!$C$13+Setup!$G$34),Setup!$C$39:$C$50))&lt;=Setup!$C$16))),WORKDAY(P203,-(Setup!$C$13+Setup!$G$34+Setup!$C$14),Setup!$C$39:$C$50),WORKDAY(P203,-(Setup!$C$13+Setup!$G$34),Setup!$C$39:$C$50))+(198*100+15)/10000000)))</f>
        <v/>
      </c>
      <c r="AH203" t="str">
        <f t="shared" si="25"/>
        <v/>
      </c>
      <c r="AI203" t="str">
        <f t="shared" si="26"/>
        <v/>
      </c>
      <c r="AK203" t="str">
        <f ca="1">IF(198&gt;$AK$2,"",SMALL($R$6:$AF$505,198))</f>
        <v/>
      </c>
      <c r="AL203" t="str">
        <f t="shared" ca="1" si="27"/>
        <v/>
      </c>
      <c r="AM203" t="str">
        <f t="shared" ca="1" si="28"/>
        <v/>
      </c>
      <c r="AN203" t="str">
        <f t="shared" ca="1" si="29"/>
        <v/>
      </c>
      <c r="AP203" t="str">
        <f>IF(ISNUMBER(Roster!$B203),MAX(1,YEAR(Setup!$C$5)-YEAR(Roster!$B203)+IF(EDATE(Roster!$B203,12*(YEAR(Setup!$C$5)-YEAR(Roster!$B203)))&lt;Setup!$C$5,1,0)),"")</f>
        <v/>
      </c>
      <c r="AQ203" s="32" t="str">
        <f>IF(AP203="","",EDATE(Roster!$B203,12*AP203))</f>
        <v/>
      </c>
      <c r="AR203" t="str">
        <f>IF(AQ203="","",IF(AQ203&lt;DATE(YEAR(Setup!$C$5)+1,MONTH(Setup!$C$5),DAY(Setup!$C$5)),AQ203+198/1000,""))</f>
        <v/>
      </c>
      <c r="AS203" t="str">
        <f t="shared" si="30"/>
        <v/>
      </c>
      <c r="AT203" t="str">
        <f>IF(AS203="","",IF(ISNUMBER(Roster!$D203),Roster!$D203&gt;=AP203,FALSE))</f>
        <v/>
      </c>
      <c r="AU203" t="str">
        <f t="shared" si="31"/>
        <v/>
      </c>
      <c r="AV203" t="str">
        <f ca="1">IF(198&gt;$AV$2,"",SMALL($AR$6:$AR$505,198))</f>
        <v/>
      </c>
      <c r="AW203" t="str">
        <f t="shared" ca="1" si="32"/>
        <v/>
      </c>
    </row>
    <row r="204" spans="2:49" x14ac:dyDescent="0.2">
      <c r="B204" s="32" t="str">
        <f>IF(AND(ISNUMBER(Roster!$B204),Setup!$B$20="Yes",ISNUMBER(Setup!$C$20)),EDATE(Roster!$B204,12*Setup!$C$20),"")</f>
        <v/>
      </c>
      <c r="C204" s="32" t="str">
        <f>IF(AND(ISNUMBER(Roster!$B204),Setup!$B$21="Yes",ISNUMBER(Setup!$C$21)),EDATE(Roster!$B204,12*Setup!$C$21),"")</f>
        <v/>
      </c>
      <c r="D204" s="32" t="str">
        <f>IF(AND(ISNUMBER(Roster!$B204),Setup!$B$22="Yes",ISNUMBER(Setup!$C$22)),EDATE(Roster!$B204,12*Setup!$C$22),"")</f>
        <v/>
      </c>
      <c r="E204" s="32" t="str">
        <f>IF(AND(ISNUMBER(Roster!$B204),Setup!$B$23="Yes",ISNUMBER(Setup!$C$23)),EDATE(Roster!$B204,12*Setup!$C$23),"")</f>
        <v/>
      </c>
      <c r="F204" s="32" t="str">
        <f>IF(AND(ISNUMBER(Roster!$B204),Setup!$B$24="Yes",ISNUMBER(Setup!$C$24)),EDATE(Roster!$B204,12*Setup!$C$24),"")</f>
        <v/>
      </c>
      <c r="G204" s="32" t="str">
        <f>IF(AND(ISNUMBER(Roster!$B204),Setup!$B$25="Yes",ISNUMBER(Setup!$C$25)),EDATE(Roster!$B204,12*Setup!$C$25),"")</f>
        <v/>
      </c>
      <c r="H204" s="32" t="str">
        <f>IF(AND(ISNUMBER(Roster!$B204),Setup!$B$26="Yes",ISNUMBER(Setup!$C$26)),EDATE(Roster!$B204,12*Setup!$C$26),"")</f>
        <v/>
      </c>
      <c r="I204" s="32" t="str">
        <f>IF(AND(ISNUMBER(Roster!$B204),Setup!$B$27="Yes",ISNUMBER(Setup!$C$27)),EDATE(Roster!$B204,12*Setup!$C$27),"")</f>
        <v/>
      </c>
      <c r="J204" s="32" t="str">
        <f>IF(AND(ISNUMBER(Roster!$B204),Setup!$B$28="Yes",ISNUMBER(Setup!$C$28)),EDATE(Roster!$B204,12*Setup!$C$28),"")</f>
        <v/>
      </c>
      <c r="K204" s="32" t="str">
        <f>IF(AND(ISNUMBER(Roster!$B204),Setup!$B$29="Yes",ISNUMBER(Setup!$C$29)),EDATE(Roster!$B204,12*Setup!$C$29),"")</f>
        <v/>
      </c>
      <c r="L204" s="32" t="str">
        <f>IF(AND(ISNUMBER(Roster!$B204),Setup!$B$30="Yes",ISNUMBER(Setup!$C$30)),EDATE(Roster!$B204,12*Setup!$C$30),"")</f>
        <v/>
      </c>
      <c r="M204" s="32" t="str">
        <f>IF(AND(ISNUMBER(Roster!$B204),Setup!$B$31="Yes",ISNUMBER(Setup!$C$31)),EDATE(Roster!$B204,12*Setup!$C$31),"")</f>
        <v/>
      </c>
      <c r="N204" s="32" t="str">
        <f>IF(AND(ISNUMBER(Roster!$B204),Setup!$B$32="Yes",ISNUMBER(Setup!$C$32)),EDATE(Roster!$B204,12*Setup!$C$32),"")</f>
        <v/>
      </c>
      <c r="O204" s="32" t="str">
        <f>IF(AND(ISNUMBER(Roster!$B204),Setup!$B$33="Yes",ISNUMBER(Setup!$C$33)),EDATE(Roster!$B204,12*Setup!$C$33),"")</f>
        <v/>
      </c>
      <c r="P204" s="32" t="str">
        <f>IF(AND(ISNUMBER(Roster!$B204),Setup!$B$34="Yes",ISNUMBER(Setup!$C$34)),EDATE(Roster!$B204,12*Setup!$C$34),"")</f>
        <v/>
      </c>
      <c r="R204" t="str">
        <f>IF(B204="","",IF(B204&lt;Setup!$C$5-Setup!$C$6,"",IF(IF(ISNUMBER(Roster!$D204),Setup!$C$20&lt;=Roster!$D204,FALSE),"",IF(OR(IF(Setup!$C$15&lt;=Setup!$C$16,AND(MONTH(B204)&gt;=Setup!$C$15,MONTH(B204)&lt;=Setup!$C$16),OR(MONTH(B204)&gt;=Setup!$C$15,MONTH(B204)&lt;=Setup!$C$16)),IF(Setup!$C$15&lt;=Setup!$C$16,AND(MONTH(WORKDAY(B204,-(Setup!$C$13+Setup!$G$20),Setup!$C$39:$C$50))&gt;=Setup!$C$15,MONTH(WORKDAY(B204,-(Setup!$C$13+Setup!$G$20),Setup!$C$39:$C$50))&lt;=Setup!$C$16),OR(MONTH(WORKDAY(B204,-(Setup!$C$13+Setup!$G$20),Setup!$C$39:$C$50))&gt;=Setup!$C$15,MONTH(WORKDAY(B204,-(Setup!$C$13+Setup!$G$20),Setup!$C$39:$C$50))&lt;=Setup!$C$16))),WORKDAY(B204,-(Setup!$C$13+Setup!$G$20+Setup!$C$14),Setup!$C$39:$C$50),WORKDAY(B204,-(Setup!$C$13+Setup!$G$20),Setup!$C$39:$C$50))+(199*100+1)/10000000)))</f>
        <v/>
      </c>
      <c r="S204" t="str">
        <f>IF(C204="","",IF(C204&lt;Setup!$C$5-Setup!$C$6,"",IF(IF(ISNUMBER(Roster!$D204),Setup!$C$21&lt;=Roster!$D204,FALSE),"",IF(OR(IF(Setup!$C$15&lt;=Setup!$C$16,AND(MONTH(C204)&gt;=Setup!$C$15,MONTH(C204)&lt;=Setup!$C$16),OR(MONTH(C204)&gt;=Setup!$C$15,MONTH(C204)&lt;=Setup!$C$16)),IF(Setup!$C$15&lt;=Setup!$C$16,AND(MONTH(WORKDAY(C204,-(Setup!$C$13+Setup!$G$21),Setup!$C$39:$C$50))&gt;=Setup!$C$15,MONTH(WORKDAY(C204,-(Setup!$C$13+Setup!$G$21),Setup!$C$39:$C$50))&lt;=Setup!$C$16),OR(MONTH(WORKDAY(C204,-(Setup!$C$13+Setup!$G$21),Setup!$C$39:$C$50))&gt;=Setup!$C$15,MONTH(WORKDAY(C204,-(Setup!$C$13+Setup!$G$21),Setup!$C$39:$C$50))&lt;=Setup!$C$16))),WORKDAY(C204,-(Setup!$C$13+Setup!$G$21+Setup!$C$14),Setup!$C$39:$C$50),WORKDAY(C204,-(Setup!$C$13+Setup!$G$21),Setup!$C$39:$C$50))+(199*100+2)/10000000)))</f>
        <v/>
      </c>
      <c r="T204" t="str">
        <f>IF(D204="","",IF(D204&lt;Setup!$C$5-Setup!$C$6,"",IF(IF(ISNUMBER(Roster!$D204),Setup!$C$22&lt;=Roster!$D204,FALSE),"",IF(OR(IF(Setup!$C$15&lt;=Setup!$C$16,AND(MONTH(D204)&gt;=Setup!$C$15,MONTH(D204)&lt;=Setup!$C$16),OR(MONTH(D204)&gt;=Setup!$C$15,MONTH(D204)&lt;=Setup!$C$16)),IF(Setup!$C$15&lt;=Setup!$C$16,AND(MONTH(WORKDAY(D204,-(Setup!$C$13+Setup!$G$22),Setup!$C$39:$C$50))&gt;=Setup!$C$15,MONTH(WORKDAY(D204,-(Setup!$C$13+Setup!$G$22),Setup!$C$39:$C$50))&lt;=Setup!$C$16),OR(MONTH(WORKDAY(D204,-(Setup!$C$13+Setup!$G$22),Setup!$C$39:$C$50))&gt;=Setup!$C$15,MONTH(WORKDAY(D204,-(Setup!$C$13+Setup!$G$22),Setup!$C$39:$C$50))&lt;=Setup!$C$16))),WORKDAY(D204,-(Setup!$C$13+Setup!$G$22+Setup!$C$14),Setup!$C$39:$C$50),WORKDAY(D204,-(Setup!$C$13+Setup!$G$22),Setup!$C$39:$C$50))+(199*100+3)/10000000)))</f>
        <v/>
      </c>
      <c r="U204" t="str">
        <f>IF(E204="","",IF(E204&lt;Setup!$C$5-Setup!$C$6,"",IF(IF(ISNUMBER(Roster!$D204),Setup!$C$23&lt;=Roster!$D204,FALSE),"",IF(OR(IF(Setup!$C$15&lt;=Setup!$C$16,AND(MONTH(E204)&gt;=Setup!$C$15,MONTH(E204)&lt;=Setup!$C$16),OR(MONTH(E204)&gt;=Setup!$C$15,MONTH(E204)&lt;=Setup!$C$16)),IF(Setup!$C$15&lt;=Setup!$C$16,AND(MONTH(WORKDAY(E204,-(Setup!$C$13+Setup!$G$23),Setup!$C$39:$C$50))&gt;=Setup!$C$15,MONTH(WORKDAY(E204,-(Setup!$C$13+Setup!$G$23),Setup!$C$39:$C$50))&lt;=Setup!$C$16),OR(MONTH(WORKDAY(E204,-(Setup!$C$13+Setup!$G$23),Setup!$C$39:$C$50))&gt;=Setup!$C$15,MONTH(WORKDAY(E204,-(Setup!$C$13+Setup!$G$23),Setup!$C$39:$C$50))&lt;=Setup!$C$16))),WORKDAY(E204,-(Setup!$C$13+Setup!$G$23+Setup!$C$14),Setup!$C$39:$C$50),WORKDAY(E204,-(Setup!$C$13+Setup!$G$23),Setup!$C$39:$C$50))+(199*100+4)/10000000)))</f>
        <v/>
      </c>
      <c r="V204" t="str">
        <f>IF(F204="","",IF(F204&lt;Setup!$C$5-Setup!$C$6,"",IF(IF(ISNUMBER(Roster!$D204),Setup!$C$24&lt;=Roster!$D204,FALSE),"",IF(OR(IF(Setup!$C$15&lt;=Setup!$C$16,AND(MONTH(F204)&gt;=Setup!$C$15,MONTH(F204)&lt;=Setup!$C$16),OR(MONTH(F204)&gt;=Setup!$C$15,MONTH(F204)&lt;=Setup!$C$16)),IF(Setup!$C$15&lt;=Setup!$C$16,AND(MONTH(WORKDAY(F204,-(Setup!$C$13+Setup!$G$24),Setup!$C$39:$C$50))&gt;=Setup!$C$15,MONTH(WORKDAY(F204,-(Setup!$C$13+Setup!$G$24),Setup!$C$39:$C$50))&lt;=Setup!$C$16),OR(MONTH(WORKDAY(F204,-(Setup!$C$13+Setup!$G$24),Setup!$C$39:$C$50))&gt;=Setup!$C$15,MONTH(WORKDAY(F204,-(Setup!$C$13+Setup!$G$24),Setup!$C$39:$C$50))&lt;=Setup!$C$16))),WORKDAY(F204,-(Setup!$C$13+Setup!$G$24+Setup!$C$14),Setup!$C$39:$C$50),WORKDAY(F204,-(Setup!$C$13+Setup!$G$24),Setup!$C$39:$C$50))+(199*100+5)/10000000)))</f>
        <v/>
      </c>
      <c r="W204" t="str">
        <f>IF(G204="","",IF(G204&lt;Setup!$C$5-Setup!$C$6,"",IF(IF(ISNUMBER(Roster!$D204),Setup!$C$25&lt;=Roster!$D204,FALSE),"",IF(OR(IF(Setup!$C$15&lt;=Setup!$C$16,AND(MONTH(G204)&gt;=Setup!$C$15,MONTH(G204)&lt;=Setup!$C$16),OR(MONTH(G204)&gt;=Setup!$C$15,MONTH(G204)&lt;=Setup!$C$16)),IF(Setup!$C$15&lt;=Setup!$C$16,AND(MONTH(WORKDAY(G204,-(Setup!$C$13+Setup!$G$25),Setup!$C$39:$C$50))&gt;=Setup!$C$15,MONTH(WORKDAY(G204,-(Setup!$C$13+Setup!$G$25),Setup!$C$39:$C$50))&lt;=Setup!$C$16),OR(MONTH(WORKDAY(G204,-(Setup!$C$13+Setup!$G$25),Setup!$C$39:$C$50))&gt;=Setup!$C$15,MONTH(WORKDAY(G204,-(Setup!$C$13+Setup!$G$25),Setup!$C$39:$C$50))&lt;=Setup!$C$16))),WORKDAY(G204,-(Setup!$C$13+Setup!$G$25+Setup!$C$14),Setup!$C$39:$C$50),WORKDAY(G204,-(Setup!$C$13+Setup!$G$25),Setup!$C$39:$C$50))+(199*100+6)/10000000)))</f>
        <v/>
      </c>
      <c r="X204" t="str">
        <f>IF(H204="","",IF(H204&lt;Setup!$C$5-Setup!$C$6,"",IF(IF(ISNUMBER(Roster!$D204),Setup!$C$26&lt;=Roster!$D204,FALSE),"",IF(OR(IF(Setup!$C$15&lt;=Setup!$C$16,AND(MONTH(H204)&gt;=Setup!$C$15,MONTH(H204)&lt;=Setup!$C$16),OR(MONTH(H204)&gt;=Setup!$C$15,MONTH(H204)&lt;=Setup!$C$16)),IF(Setup!$C$15&lt;=Setup!$C$16,AND(MONTH(WORKDAY(H204,-(Setup!$C$13+Setup!$G$26),Setup!$C$39:$C$50))&gt;=Setup!$C$15,MONTH(WORKDAY(H204,-(Setup!$C$13+Setup!$G$26),Setup!$C$39:$C$50))&lt;=Setup!$C$16),OR(MONTH(WORKDAY(H204,-(Setup!$C$13+Setup!$G$26),Setup!$C$39:$C$50))&gt;=Setup!$C$15,MONTH(WORKDAY(H204,-(Setup!$C$13+Setup!$G$26),Setup!$C$39:$C$50))&lt;=Setup!$C$16))),WORKDAY(H204,-(Setup!$C$13+Setup!$G$26+Setup!$C$14),Setup!$C$39:$C$50),WORKDAY(H204,-(Setup!$C$13+Setup!$G$26),Setup!$C$39:$C$50))+(199*100+7)/10000000)))</f>
        <v/>
      </c>
      <c r="Y204" t="str">
        <f>IF(I204="","",IF(I204&lt;Setup!$C$5-Setup!$C$6,"",IF(IF(ISNUMBER(Roster!$D204),Setup!$C$27&lt;=Roster!$D204,FALSE),"",IF(OR(IF(Setup!$C$15&lt;=Setup!$C$16,AND(MONTH(I204)&gt;=Setup!$C$15,MONTH(I204)&lt;=Setup!$C$16),OR(MONTH(I204)&gt;=Setup!$C$15,MONTH(I204)&lt;=Setup!$C$16)),IF(Setup!$C$15&lt;=Setup!$C$16,AND(MONTH(WORKDAY(I204,-(Setup!$C$13+Setup!$G$27),Setup!$C$39:$C$50))&gt;=Setup!$C$15,MONTH(WORKDAY(I204,-(Setup!$C$13+Setup!$G$27),Setup!$C$39:$C$50))&lt;=Setup!$C$16),OR(MONTH(WORKDAY(I204,-(Setup!$C$13+Setup!$G$27),Setup!$C$39:$C$50))&gt;=Setup!$C$15,MONTH(WORKDAY(I204,-(Setup!$C$13+Setup!$G$27),Setup!$C$39:$C$50))&lt;=Setup!$C$16))),WORKDAY(I204,-(Setup!$C$13+Setup!$G$27+Setup!$C$14),Setup!$C$39:$C$50),WORKDAY(I204,-(Setup!$C$13+Setup!$G$27),Setup!$C$39:$C$50))+(199*100+8)/10000000)))</f>
        <v/>
      </c>
      <c r="Z204" t="str">
        <f>IF(J204="","",IF(J204&lt;Setup!$C$5-Setup!$C$6,"",IF(IF(ISNUMBER(Roster!$D204),Setup!$C$28&lt;=Roster!$D204,FALSE),"",IF(OR(IF(Setup!$C$15&lt;=Setup!$C$16,AND(MONTH(J204)&gt;=Setup!$C$15,MONTH(J204)&lt;=Setup!$C$16),OR(MONTH(J204)&gt;=Setup!$C$15,MONTH(J204)&lt;=Setup!$C$16)),IF(Setup!$C$15&lt;=Setup!$C$16,AND(MONTH(WORKDAY(J204,-(Setup!$C$13+Setup!$G$28),Setup!$C$39:$C$50))&gt;=Setup!$C$15,MONTH(WORKDAY(J204,-(Setup!$C$13+Setup!$G$28),Setup!$C$39:$C$50))&lt;=Setup!$C$16),OR(MONTH(WORKDAY(J204,-(Setup!$C$13+Setup!$G$28),Setup!$C$39:$C$50))&gt;=Setup!$C$15,MONTH(WORKDAY(J204,-(Setup!$C$13+Setup!$G$28),Setup!$C$39:$C$50))&lt;=Setup!$C$16))),WORKDAY(J204,-(Setup!$C$13+Setup!$G$28+Setup!$C$14),Setup!$C$39:$C$50),WORKDAY(J204,-(Setup!$C$13+Setup!$G$28),Setup!$C$39:$C$50))+(199*100+9)/10000000)))</f>
        <v/>
      </c>
      <c r="AA204" t="str">
        <f>IF(K204="","",IF(K204&lt;Setup!$C$5-Setup!$C$6,"",IF(IF(ISNUMBER(Roster!$D204),Setup!$C$29&lt;=Roster!$D204,FALSE),"",IF(OR(IF(Setup!$C$15&lt;=Setup!$C$16,AND(MONTH(K204)&gt;=Setup!$C$15,MONTH(K204)&lt;=Setup!$C$16),OR(MONTH(K204)&gt;=Setup!$C$15,MONTH(K204)&lt;=Setup!$C$16)),IF(Setup!$C$15&lt;=Setup!$C$16,AND(MONTH(WORKDAY(K204,-(Setup!$C$13+Setup!$G$29),Setup!$C$39:$C$50))&gt;=Setup!$C$15,MONTH(WORKDAY(K204,-(Setup!$C$13+Setup!$G$29),Setup!$C$39:$C$50))&lt;=Setup!$C$16),OR(MONTH(WORKDAY(K204,-(Setup!$C$13+Setup!$G$29),Setup!$C$39:$C$50))&gt;=Setup!$C$15,MONTH(WORKDAY(K204,-(Setup!$C$13+Setup!$G$29),Setup!$C$39:$C$50))&lt;=Setup!$C$16))),WORKDAY(K204,-(Setup!$C$13+Setup!$G$29+Setup!$C$14),Setup!$C$39:$C$50),WORKDAY(K204,-(Setup!$C$13+Setup!$G$29),Setup!$C$39:$C$50))+(199*100+10)/10000000)))</f>
        <v/>
      </c>
      <c r="AB204" t="str">
        <f>IF(L204="","",IF(L204&lt;Setup!$C$5-Setup!$C$6,"",IF(IF(ISNUMBER(Roster!$D204),Setup!$C$30&lt;=Roster!$D204,FALSE),"",IF(OR(IF(Setup!$C$15&lt;=Setup!$C$16,AND(MONTH(L204)&gt;=Setup!$C$15,MONTH(L204)&lt;=Setup!$C$16),OR(MONTH(L204)&gt;=Setup!$C$15,MONTH(L204)&lt;=Setup!$C$16)),IF(Setup!$C$15&lt;=Setup!$C$16,AND(MONTH(WORKDAY(L204,-(Setup!$C$13+Setup!$G$30),Setup!$C$39:$C$50))&gt;=Setup!$C$15,MONTH(WORKDAY(L204,-(Setup!$C$13+Setup!$G$30),Setup!$C$39:$C$50))&lt;=Setup!$C$16),OR(MONTH(WORKDAY(L204,-(Setup!$C$13+Setup!$G$30),Setup!$C$39:$C$50))&gt;=Setup!$C$15,MONTH(WORKDAY(L204,-(Setup!$C$13+Setup!$G$30),Setup!$C$39:$C$50))&lt;=Setup!$C$16))),WORKDAY(L204,-(Setup!$C$13+Setup!$G$30+Setup!$C$14),Setup!$C$39:$C$50),WORKDAY(L204,-(Setup!$C$13+Setup!$G$30),Setup!$C$39:$C$50))+(199*100+11)/10000000)))</f>
        <v/>
      </c>
      <c r="AC204" t="str">
        <f>IF(M204="","",IF(M204&lt;Setup!$C$5-Setup!$C$6,"",IF(IF(ISNUMBER(Roster!$D204),Setup!$C$31&lt;=Roster!$D204,FALSE),"",IF(OR(IF(Setup!$C$15&lt;=Setup!$C$16,AND(MONTH(M204)&gt;=Setup!$C$15,MONTH(M204)&lt;=Setup!$C$16),OR(MONTH(M204)&gt;=Setup!$C$15,MONTH(M204)&lt;=Setup!$C$16)),IF(Setup!$C$15&lt;=Setup!$C$16,AND(MONTH(WORKDAY(M204,-(Setup!$C$13+Setup!$G$31),Setup!$C$39:$C$50))&gt;=Setup!$C$15,MONTH(WORKDAY(M204,-(Setup!$C$13+Setup!$G$31),Setup!$C$39:$C$50))&lt;=Setup!$C$16),OR(MONTH(WORKDAY(M204,-(Setup!$C$13+Setup!$G$31),Setup!$C$39:$C$50))&gt;=Setup!$C$15,MONTH(WORKDAY(M204,-(Setup!$C$13+Setup!$G$31),Setup!$C$39:$C$50))&lt;=Setup!$C$16))),WORKDAY(M204,-(Setup!$C$13+Setup!$G$31+Setup!$C$14),Setup!$C$39:$C$50),WORKDAY(M204,-(Setup!$C$13+Setup!$G$31),Setup!$C$39:$C$50))+(199*100+12)/10000000)))</f>
        <v/>
      </c>
      <c r="AD204" t="str">
        <f>IF(N204="","",IF(N204&lt;Setup!$C$5-Setup!$C$6,"",IF(IF(ISNUMBER(Roster!$D204),Setup!$C$32&lt;=Roster!$D204,FALSE),"",IF(OR(IF(Setup!$C$15&lt;=Setup!$C$16,AND(MONTH(N204)&gt;=Setup!$C$15,MONTH(N204)&lt;=Setup!$C$16),OR(MONTH(N204)&gt;=Setup!$C$15,MONTH(N204)&lt;=Setup!$C$16)),IF(Setup!$C$15&lt;=Setup!$C$16,AND(MONTH(WORKDAY(N204,-(Setup!$C$13+Setup!$G$32),Setup!$C$39:$C$50))&gt;=Setup!$C$15,MONTH(WORKDAY(N204,-(Setup!$C$13+Setup!$G$32),Setup!$C$39:$C$50))&lt;=Setup!$C$16),OR(MONTH(WORKDAY(N204,-(Setup!$C$13+Setup!$G$32),Setup!$C$39:$C$50))&gt;=Setup!$C$15,MONTH(WORKDAY(N204,-(Setup!$C$13+Setup!$G$32),Setup!$C$39:$C$50))&lt;=Setup!$C$16))),WORKDAY(N204,-(Setup!$C$13+Setup!$G$32+Setup!$C$14),Setup!$C$39:$C$50),WORKDAY(N204,-(Setup!$C$13+Setup!$G$32),Setup!$C$39:$C$50))+(199*100+13)/10000000)))</f>
        <v/>
      </c>
      <c r="AE204" t="str">
        <f>IF(O204="","",IF(O204&lt;Setup!$C$5-Setup!$C$6,"",IF(IF(ISNUMBER(Roster!$D204),Setup!$C$33&lt;=Roster!$D204,FALSE),"",IF(OR(IF(Setup!$C$15&lt;=Setup!$C$16,AND(MONTH(O204)&gt;=Setup!$C$15,MONTH(O204)&lt;=Setup!$C$16),OR(MONTH(O204)&gt;=Setup!$C$15,MONTH(O204)&lt;=Setup!$C$16)),IF(Setup!$C$15&lt;=Setup!$C$16,AND(MONTH(WORKDAY(O204,-(Setup!$C$13+Setup!$G$33),Setup!$C$39:$C$50))&gt;=Setup!$C$15,MONTH(WORKDAY(O204,-(Setup!$C$13+Setup!$G$33),Setup!$C$39:$C$50))&lt;=Setup!$C$16),OR(MONTH(WORKDAY(O204,-(Setup!$C$13+Setup!$G$33),Setup!$C$39:$C$50))&gt;=Setup!$C$15,MONTH(WORKDAY(O204,-(Setup!$C$13+Setup!$G$33),Setup!$C$39:$C$50))&lt;=Setup!$C$16))),WORKDAY(O204,-(Setup!$C$13+Setup!$G$33+Setup!$C$14),Setup!$C$39:$C$50),WORKDAY(O204,-(Setup!$C$13+Setup!$G$33),Setup!$C$39:$C$50))+(199*100+14)/10000000)))</f>
        <v/>
      </c>
      <c r="AF204" t="str">
        <f>IF(P204="","",IF(P204&lt;Setup!$C$5-Setup!$C$6,"",IF(IF(ISNUMBER(Roster!$D204),Setup!$C$34&lt;=Roster!$D204,FALSE),"",IF(OR(IF(Setup!$C$15&lt;=Setup!$C$16,AND(MONTH(P204)&gt;=Setup!$C$15,MONTH(P204)&lt;=Setup!$C$16),OR(MONTH(P204)&gt;=Setup!$C$15,MONTH(P204)&lt;=Setup!$C$16)),IF(Setup!$C$15&lt;=Setup!$C$16,AND(MONTH(WORKDAY(P204,-(Setup!$C$13+Setup!$G$34),Setup!$C$39:$C$50))&gt;=Setup!$C$15,MONTH(WORKDAY(P204,-(Setup!$C$13+Setup!$G$34),Setup!$C$39:$C$50))&lt;=Setup!$C$16),OR(MONTH(WORKDAY(P204,-(Setup!$C$13+Setup!$G$34),Setup!$C$39:$C$50))&gt;=Setup!$C$15,MONTH(WORKDAY(P204,-(Setup!$C$13+Setup!$G$34),Setup!$C$39:$C$50))&lt;=Setup!$C$16))),WORKDAY(P204,-(Setup!$C$13+Setup!$G$34+Setup!$C$14),Setup!$C$39:$C$50),WORKDAY(P204,-(Setup!$C$13+Setup!$G$34),Setup!$C$39:$C$50))+(199*100+15)/10000000)))</f>
        <v/>
      </c>
      <c r="AH204" t="str">
        <f t="shared" si="25"/>
        <v/>
      </c>
      <c r="AI204" t="str">
        <f t="shared" si="26"/>
        <v/>
      </c>
      <c r="AK204" t="str">
        <f ca="1">IF(199&gt;$AK$2,"",SMALL($R$6:$AF$505,199))</f>
        <v/>
      </c>
      <c r="AL204" t="str">
        <f t="shared" ca="1" si="27"/>
        <v/>
      </c>
      <c r="AM204" t="str">
        <f t="shared" ca="1" si="28"/>
        <v/>
      </c>
      <c r="AN204" t="str">
        <f t="shared" ca="1" si="29"/>
        <v/>
      </c>
      <c r="AP204" t="str">
        <f>IF(ISNUMBER(Roster!$B204),MAX(1,YEAR(Setup!$C$5)-YEAR(Roster!$B204)+IF(EDATE(Roster!$B204,12*(YEAR(Setup!$C$5)-YEAR(Roster!$B204)))&lt;Setup!$C$5,1,0)),"")</f>
        <v/>
      </c>
      <c r="AQ204" s="32" t="str">
        <f>IF(AP204="","",EDATE(Roster!$B204,12*AP204))</f>
        <v/>
      </c>
      <c r="AR204" t="str">
        <f>IF(AQ204="","",IF(AQ204&lt;DATE(YEAR(Setup!$C$5)+1,MONTH(Setup!$C$5),DAY(Setup!$C$5)),AQ204+199/1000,""))</f>
        <v/>
      </c>
      <c r="AS204" t="str">
        <f t="shared" si="30"/>
        <v/>
      </c>
      <c r="AT204" t="str">
        <f>IF(AS204="","",IF(ISNUMBER(Roster!$D204),Roster!$D204&gt;=AP204,FALSE))</f>
        <v/>
      </c>
      <c r="AU204" t="str">
        <f t="shared" si="31"/>
        <v/>
      </c>
      <c r="AV204" t="str">
        <f ca="1">IF(199&gt;$AV$2,"",SMALL($AR$6:$AR$505,199))</f>
        <v/>
      </c>
      <c r="AW204" t="str">
        <f t="shared" ca="1" si="32"/>
        <v/>
      </c>
    </row>
    <row r="205" spans="2:49" x14ac:dyDescent="0.2">
      <c r="B205" s="32" t="str">
        <f>IF(AND(ISNUMBER(Roster!$B205),Setup!$B$20="Yes",ISNUMBER(Setup!$C$20)),EDATE(Roster!$B205,12*Setup!$C$20),"")</f>
        <v/>
      </c>
      <c r="C205" s="32" t="str">
        <f>IF(AND(ISNUMBER(Roster!$B205),Setup!$B$21="Yes",ISNUMBER(Setup!$C$21)),EDATE(Roster!$B205,12*Setup!$C$21),"")</f>
        <v/>
      </c>
      <c r="D205" s="32" t="str">
        <f>IF(AND(ISNUMBER(Roster!$B205),Setup!$B$22="Yes",ISNUMBER(Setup!$C$22)),EDATE(Roster!$B205,12*Setup!$C$22),"")</f>
        <v/>
      </c>
      <c r="E205" s="32" t="str">
        <f>IF(AND(ISNUMBER(Roster!$B205),Setup!$B$23="Yes",ISNUMBER(Setup!$C$23)),EDATE(Roster!$B205,12*Setup!$C$23),"")</f>
        <v/>
      </c>
      <c r="F205" s="32" t="str">
        <f>IF(AND(ISNUMBER(Roster!$B205),Setup!$B$24="Yes",ISNUMBER(Setup!$C$24)),EDATE(Roster!$B205,12*Setup!$C$24),"")</f>
        <v/>
      </c>
      <c r="G205" s="32" t="str">
        <f>IF(AND(ISNUMBER(Roster!$B205),Setup!$B$25="Yes",ISNUMBER(Setup!$C$25)),EDATE(Roster!$B205,12*Setup!$C$25),"")</f>
        <v/>
      </c>
      <c r="H205" s="32" t="str">
        <f>IF(AND(ISNUMBER(Roster!$B205),Setup!$B$26="Yes",ISNUMBER(Setup!$C$26)),EDATE(Roster!$B205,12*Setup!$C$26),"")</f>
        <v/>
      </c>
      <c r="I205" s="32" t="str">
        <f>IF(AND(ISNUMBER(Roster!$B205),Setup!$B$27="Yes",ISNUMBER(Setup!$C$27)),EDATE(Roster!$B205,12*Setup!$C$27),"")</f>
        <v/>
      </c>
      <c r="J205" s="32" t="str">
        <f>IF(AND(ISNUMBER(Roster!$B205),Setup!$B$28="Yes",ISNUMBER(Setup!$C$28)),EDATE(Roster!$B205,12*Setup!$C$28),"")</f>
        <v/>
      </c>
      <c r="K205" s="32" t="str">
        <f>IF(AND(ISNUMBER(Roster!$B205),Setup!$B$29="Yes",ISNUMBER(Setup!$C$29)),EDATE(Roster!$B205,12*Setup!$C$29),"")</f>
        <v/>
      </c>
      <c r="L205" s="32" t="str">
        <f>IF(AND(ISNUMBER(Roster!$B205),Setup!$B$30="Yes",ISNUMBER(Setup!$C$30)),EDATE(Roster!$B205,12*Setup!$C$30),"")</f>
        <v/>
      </c>
      <c r="M205" s="32" t="str">
        <f>IF(AND(ISNUMBER(Roster!$B205),Setup!$B$31="Yes",ISNUMBER(Setup!$C$31)),EDATE(Roster!$B205,12*Setup!$C$31),"")</f>
        <v/>
      </c>
      <c r="N205" s="32" t="str">
        <f>IF(AND(ISNUMBER(Roster!$B205),Setup!$B$32="Yes",ISNUMBER(Setup!$C$32)),EDATE(Roster!$B205,12*Setup!$C$32),"")</f>
        <v/>
      </c>
      <c r="O205" s="32" t="str">
        <f>IF(AND(ISNUMBER(Roster!$B205),Setup!$B$33="Yes",ISNUMBER(Setup!$C$33)),EDATE(Roster!$B205,12*Setup!$C$33),"")</f>
        <v/>
      </c>
      <c r="P205" s="32" t="str">
        <f>IF(AND(ISNUMBER(Roster!$B205),Setup!$B$34="Yes",ISNUMBER(Setup!$C$34)),EDATE(Roster!$B205,12*Setup!$C$34),"")</f>
        <v/>
      </c>
      <c r="R205" t="str">
        <f>IF(B205="","",IF(B205&lt;Setup!$C$5-Setup!$C$6,"",IF(IF(ISNUMBER(Roster!$D205),Setup!$C$20&lt;=Roster!$D205,FALSE),"",IF(OR(IF(Setup!$C$15&lt;=Setup!$C$16,AND(MONTH(B205)&gt;=Setup!$C$15,MONTH(B205)&lt;=Setup!$C$16),OR(MONTH(B205)&gt;=Setup!$C$15,MONTH(B205)&lt;=Setup!$C$16)),IF(Setup!$C$15&lt;=Setup!$C$16,AND(MONTH(WORKDAY(B205,-(Setup!$C$13+Setup!$G$20),Setup!$C$39:$C$50))&gt;=Setup!$C$15,MONTH(WORKDAY(B205,-(Setup!$C$13+Setup!$G$20),Setup!$C$39:$C$50))&lt;=Setup!$C$16),OR(MONTH(WORKDAY(B205,-(Setup!$C$13+Setup!$G$20),Setup!$C$39:$C$50))&gt;=Setup!$C$15,MONTH(WORKDAY(B205,-(Setup!$C$13+Setup!$G$20),Setup!$C$39:$C$50))&lt;=Setup!$C$16))),WORKDAY(B205,-(Setup!$C$13+Setup!$G$20+Setup!$C$14),Setup!$C$39:$C$50),WORKDAY(B205,-(Setup!$C$13+Setup!$G$20),Setup!$C$39:$C$50))+(200*100+1)/10000000)))</f>
        <v/>
      </c>
      <c r="S205" t="str">
        <f>IF(C205="","",IF(C205&lt;Setup!$C$5-Setup!$C$6,"",IF(IF(ISNUMBER(Roster!$D205),Setup!$C$21&lt;=Roster!$D205,FALSE),"",IF(OR(IF(Setup!$C$15&lt;=Setup!$C$16,AND(MONTH(C205)&gt;=Setup!$C$15,MONTH(C205)&lt;=Setup!$C$16),OR(MONTH(C205)&gt;=Setup!$C$15,MONTH(C205)&lt;=Setup!$C$16)),IF(Setup!$C$15&lt;=Setup!$C$16,AND(MONTH(WORKDAY(C205,-(Setup!$C$13+Setup!$G$21),Setup!$C$39:$C$50))&gt;=Setup!$C$15,MONTH(WORKDAY(C205,-(Setup!$C$13+Setup!$G$21),Setup!$C$39:$C$50))&lt;=Setup!$C$16),OR(MONTH(WORKDAY(C205,-(Setup!$C$13+Setup!$G$21),Setup!$C$39:$C$50))&gt;=Setup!$C$15,MONTH(WORKDAY(C205,-(Setup!$C$13+Setup!$G$21),Setup!$C$39:$C$50))&lt;=Setup!$C$16))),WORKDAY(C205,-(Setup!$C$13+Setup!$G$21+Setup!$C$14),Setup!$C$39:$C$50),WORKDAY(C205,-(Setup!$C$13+Setup!$G$21),Setup!$C$39:$C$50))+(200*100+2)/10000000)))</f>
        <v/>
      </c>
      <c r="T205" t="str">
        <f>IF(D205="","",IF(D205&lt;Setup!$C$5-Setup!$C$6,"",IF(IF(ISNUMBER(Roster!$D205),Setup!$C$22&lt;=Roster!$D205,FALSE),"",IF(OR(IF(Setup!$C$15&lt;=Setup!$C$16,AND(MONTH(D205)&gt;=Setup!$C$15,MONTH(D205)&lt;=Setup!$C$16),OR(MONTH(D205)&gt;=Setup!$C$15,MONTH(D205)&lt;=Setup!$C$16)),IF(Setup!$C$15&lt;=Setup!$C$16,AND(MONTH(WORKDAY(D205,-(Setup!$C$13+Setup!$G$22),Setup!$C$39:$C$50))&gt;=Setup!$C$15,MONTH(WORKDAY(D205,-(Setup!$C$13+Setup!$G$22),Setup!$C$39:$C$50))&lt;=Setup!$C$16),OR(MONTH(WORKDAY(D205,-(Setup!$C$13+Setup!$G$22),Setup!$C$39:$C$50))&gt;=Setup!$C$15,MONTH(WORKDAY(D205,-(Setup!$C$13+Setup!$G$22),Setup!$C$39:$C$50))&lt;=Setup!$C$16))),WORKDAY(D205,-(Setup!$C$13+Setup!$G$22+Setup!$C$14),Setup!$C$39:$C$50),WORKDAY(D205,-(Setup!$C$13+Setup!$G$22),Setup!$C$39:$C$50))+(200*100+3)/10000000)))</f>
        <v/>
      </c>
      <c r="U205" t="str">
        <f>IF(E205="","",IF(E205&lt;Setup!$C$5-Setup!$C$6,"",IF(IF(ISNUMBER(Roster!$D205),Setup!$C$23&lt;=Roster!$D205,FALSE),"",IF(OR(IF(Setup!$C$15&lt;=Setup!$C$16,AND(MONTH(E205)&gt;=Setup!$C$15,MONTH(E205)&lt;=Setup!$C$16),OR(MONTH(E205)&gt;=Setup!$C$15,MONTH(E205)&lt;=Setup!$C$16)),IF(Setup!$C$15&lt;=Setup!$C$16,AND(MONTH(WORKDAY(E205,-(Setup!$C$13+Setup!$G$23),Setup!$C$39:$C$50))&gt;=Setup!$C$15,MONTH(WORKDAY(E205,-(Setup!$C$13+Setup!$G$23),Setup!$C$39:$C$50))&lt;=Setup!$C$16),OR(MONTH(WORKDAY(E205,-(Setup!$C$13+Setup!$G$23),Setup!$C$39:$C$50))&gt;=Setup!$C$15,MONTH(WORKDAY(E205,-(Setup!$C$13+Setup!$G$23),Setup!$C$39:$C$50))&lt;=Setup!$C$16))),WORKDAY(E205,-(Setup!$C$13+Setup!$G$23+Setup!$C$14),Setup!$C$39:$C$50),WORKDAY(E205,-(Setup!$C$13+Setup!$G$23),Setup!$C$39:$C$50))+(200*100+4)/10000000)))</f>
        <v/>
      </c>
      <c r="V205" t="str">
        <f>IF(F205="","",IF(F205&lt;Setup!$C$5-Setup!$C$6,"",IF(IF(ISNUMBER(Roster!$D205),Setup!$C$24&lt;=Roster!$D205,FALSE),"",IF(OR(IF(Setup!$C$15&lt;=Setup!$C$16,AND(MONTH(F205)&gt;=Setup!$C$15,MONTH(F205)&lt;=Setup!$C$16),OR(MONTH(F205)&gt;=Setup!$C$15,MONTH(F205)&lt;=Setup!$C$16)),IF(Setup!$C$15&lt;=Setup!$C$16,AND(MONTH(WORKDAY(F205,-(Setup!$C$13+Setup!$G$24),Setup!$C$39:$C$50))&gt;=Setup!$C$15,MONTH(WORKDAY(F205,-(Setup!$C$13+Setup!$G$24),Setup!$C$39:$C$50))&lt;=Setup!$C$16),OR(MONTH(WORKDAY(F205,-(Setup!$C$13+Setup!$G$24),Setup!$C$39:$C$50))&gt;=Setup!$C$15,MONTH(WORKDAY(F205,-(Setup!$C$13+Setup!$G$24),Setup!$C$39:$C$50))&lt;=Setup!$C$16))),WORKDAY(F205,-(Setup!$C$13+Setup!$G$24+Setup!$C$14),Setup!$C$39:$C$50),WORKDAY(F205,-(Setup!$C$13+Setup!$G$24),Setup!$C$39:$C$50))+(200*100+5)/10000000)))</f>
        <v/>
      </c>
      <c r="W205" t="str">
        <f>IF(G205="","",IF(G205&lt;Setup!$C$5-Setup!$C$6,"",IF(IF(ISNUMBER(Roster!$D205),Setup!$C$25&lt;=Roster!$D205,FALSE),"",IF(OR(IF(Setup!$C$15&lt;=Setup!$C$16,AND(MONTH(G205)&gt;=Setup!$C$15,MONTH(G205)&lt;=Setup!$C$16),OR(MONTH(G205)&gt;=Setup!$C$15,MONTH(G205)&lt;=Setup!$C$16)),IF(Setup!$C$15&lt;=Setup!$C$16,AND(MONTH(WORKDAY(G205,-(Setup!$C$13+Setup!$G$25),Setup!$C$39:$C$50))&gt;=Setup!$C$15,MONTH(WORKDAY(G205,-(Setup!$C$13+Setup!$G$25),Setup!$C$39:$C$50))&lt;=Setup!$C$16),OR(MONTH(WORKDAY(G205,-(Setup!$C$13+Setup!$G$25),Setup!$C$39:$C$50))&gt;=Setup!$C$15,MONTH(WORKDAY(G205,-(Setup!$C$13+Setup!$G$25),Setup!$C$39:$C$50))&lt;=Setup!$C$16))),WORKDAY(G205,-(Setup!$C$13+Setup!$G$25+Setup!$C$14),Setup!$C$39:$C$50),WORKDAY(G205,-(Setup!$C$13+Setup!$G$25),Setup!$C$39:$C$50))+(200*100+6)/10000000)))</f>
        <v/>
      </c>
      <c r="X205" t="str">
        <f>IF(H205="","",IF(H205&lt;Setup!$C$5-Setup!$C$6,"",IF(IF(ISNUMBER(Roster!$D205),Setup!$C$26&lt;=Roster!$D205,FALSE),"",IF(OR(IF(Setup!$C$15&lt;=Setup!$C$16,AND(MONTH(H205)&gt;=Setup!$C$15,MONTH(H205)&lt;=Setup!$C$16),OR(MONTH(H205)&gt;=Setup!$C$15,MONTH(H205)&lt;=Setup!$C$16)),IF(Setup!$C$15&lt;=Setup!$C$16,AND(MONTH(WORKDAY(H205,-(Setup!$C$13+Setup!$G$26),Setup!$C$39:$C$50))&gt;=Setup!$C$15,MONTH(WORKDAY(H205,-(Setup!$C$13+Setup!$G$26),Setup!$C$39:$C$50))&lt;=Setup!$C$16),OR(MONTH(WORKDAY(H205,-(Setup!$C$13+Setup!$G$26),Setup!$C$39:$C$50))&gt;=Setup!$C$15,MONTH(WORKDAY(H205,-(Setup!$C$13+Setup!$G$26),Setup!$C$39:$C$50))&lt;=Setup!$C$16))),WORKDAY(H205,-(Setup!$C$13+Setup!$G$26+Setup!$C$14),Setup!$C$39:$C$50),WORKDAY(H205,-(Setup!$C$13+Setup!$G$26),Setup!$C$39:$C$50))+(200*100+7)/10000000)))</f>
        <v/>
      </c>
      <c r="Y205" t="str">
        <f>IF(I205="","",IF(I205&lt;Setup!$C$5-Setup!$C$6,"",IF(IF(ISNUMBER(Roster!$D205),Setup!$C$27&lt;=Roster!$D205,FALSE),"",IF(OR(IF(Setup!$C$15&lt;=Setup!$C$16,AND(MONTH(I205)&gt;=Setup!$C$15,MONTH(I205)&lt;=Setup!$C$16),OR(MONTH(I205)&gt;=Setup!$C$15,MONTH(I205)&lt;=Setup!$C$16)),IF(Setup!$C$15&lt;=Setup!$C$16,AND(MONTH(WORKDAY(I205,-(Setup!$C$13+Setup!$G$27),Setup!$C$39:$C$50))&gt;=Setup!$C$15,MONTH(WORKDAY(I205,-(Setup!$C$13+Setup!$G$27),Setup!$C$39:$C$50))&lt;=Setup!$C$16),OR(MONTH(WORKDAY(I205,-(Setup!$C$13+Setup!$G$27),Setup!$C$39:$C$50))&gt;=Setup!$C$15,MONTH(WORKDAY(I205,-(Setup!$C$13+Setup!$G$27),Setup!$C$39:$C$50))&lt;=Setup!$C$16))),WORKDAY(I205,-(Setup!$C$13+Setup!$G$27+Setup!$C$14),Setup!$C$39:$C$50),WORKDAY(I205,-(Setup!$C$13+Setup!$G$27),Setup!$C$39:$C$50))+(200*100+8)/10000000)))</f>
        <v/>
      </c>
      <c r="Z205" t="str">
        <f>IF(J205="","",IF(J205&lt;Setup!$C$5-Setup!$C$6,"",IF(IF(ISNUMBER(Roster!$D205),Setup!$C$28&lt;=Roster!$D205,FALSE),"",IF(OR(IF(Setup!$C$15&lt;=Setup!$C$16,AND(MONTH(J205)&gt;=Setup!$C$15,MONTH(J205)&lt;=Setup!$C$16),OR(MONTH(J205)&gt;=Setup!$C$15,MONTH(J205)&lt;=Setup!$C$16)),IF(Setup!$C$15&lt;=Setup!$C$16,AND(MONTH(WORKDAY(J205,-(Setup!$C$13+Setup!$G$28),Setup!$C$39:$C$50))&gt;=Setup!$C$15,MONTH(WORKDAY(J205,-(Setup!$C$13+Setup!$G$28),Setup!$C$39:$C$50))&lt;=Setup!$C$16),OR(MONTH(WORKDAY(J205,-(Setup!$C$13+Setup!$G$28),Setup!$C$39:$C$50))&gt;=Setup!$C$15,MONTH(WORKDAY(J205,-(Setup!$C$13+Setup!$G$28),Setup!$C$39:$C$50))&lt;=Setup!$C$16))),WORKDAY(J205,-(Setup!$C$13+Setup!$G$28+Setup!$C$14),Setup!$C$39:$C$50),WORKDAY(J205,-(Setup!$C$13+Setup!$G$28),Setup!$C$39:$C$50))+(200*100+9)/10000000)))</f>
        <v/>
      </c>
      <c r="AA205" t="str">
        <f>IF(K205="","",IF(K205&lt;Setup!$C$5-Setup!$C$6,"",IF(IF(ISNUMBER(Roster!$D205),Setup!$C$29&lt;=Roster!$D205,FALSE),"",IF(OR(IF(Setup!$C$15&lt;=Setup!$C$16,AND(MONTH(K205)&gt;=Setup!$C$15,MONTH(K205)&lt;=Setup!$C$16),OR(MONTH(K205)&gt;=Setup!$C$15,MONTH(K205)&lt;=Setup!$C$16)),IF(Setup!$C$15&lt;=Setup!$C$16,AND(MONTH(WORKDAY(K205,-(Setup!$C$13+Setup!$G$29),Setup!$C$39:$C$50))&gt;=Setup!$C$15,MONTH(WORKDAY(K205,-(Setup!$C$13+Setup!$G$29),Setup!$C$39:$C$50))&lt;=Setup!$C$16),OR(MONTH(WORKDAY(K205,-(Setup!$C$13+Setup!$G$29),Setup!$C$39:$C$50))&gt;=Setup!$C$15,MONTH(WORKDAY(K205,-(Setup!$C$13+Setup!$G$29),Setup!$C$39:$C$50))&lt;=Setup!$C$16))),WORKDAY(K205,-(Setup!$C$13+Setup!$G$29+Setup!$C$14),Setup!$C$39:$C$50),WORKDAY(K205,-(Setup!$C$13+Setup!$G$29),Setup!$C$39:$C$50))+(200*100+10)/10000000)))</f>
        <v/>
      </c>
      <c r="AB205" t="str">
        <f>IF(L205="","",IF(L205&lt;Setup!$C$5-Setup!$C$6,"",IF(IF(ISNUMBER(Roster!$D205),Setup!$C$30&lt;=Roster!$D205,FALSE),"",IF(OR(IF(Setup!$C$15&lt;=Setup!$C$16,AND(MONTH(L205)&gt;=Setup!$C$15,MONTH(L205)&lt;=Setup!$C$16),OR(MONTH(L205)&gt;=Setup!$C$15,MONTH(L205)&lt;=Setup!$C$16)),IF(Setup!$C$15&lt;=Setup!$C$16,AND(MONTH(WORKDAY(L205,-(Setup!$C$13+Setup!$G$30),Setup!$C$39:$C$50))&gt;=Setup!$C$15,MONTH(WORKDAY(L205,-(Setup!$C$13+Setup!$G$30),Setup!$C$39:$C$50))&lt;=Setup!$C$16),OR(MONTH(WORKDAY(L205,-(Setup!$C$13+Setup!$G$30),Setup!$C$39:$C$50))&gt;=Setup!$C$15,MONTH(WORKDAY(L205,-(Setup!$C$13+Setup!$G$30),Setup!$C$39:$C$50))&lt;=Setup!$C$16))),WORKDAY(L205,-(Setup!$C$13+Setup!$G$30+Setup!$C$14),Setup!$C$39:$C$50),WORKDAY(L205,-(Setup!$C$13+Setup!$G$30),Setup!$C$39:$C$50))+(200*100+11)/10000000)))</f>
        <v/>
      </c>
      <c r="AC205" t="str">
        <f>IF(M205="","",IF(M205&lt;Setup!$C$5-Setup!$C$6,"",IF(IF(ISNUMBER(Roster!$D205),Setup!$C$31&lt;=Roster!$D205,FALSE),"",IF(OR(IF(Setup!$C$15&lt;=Setup!$C$16,AND(MONTH(M205)&gt;=Setup!$C$15,MONTH(M205)&lt;=Setup!$C$16),OR(MONTH(M205)&gt;=Setup!$C$15,MONTH(M205)&lt;=Setup!$C$16)),IF(Setup!$C$15&lt;=Setup!$C$16,AND(MONTH(WORKDAY(M205,-(Setup!$C$13+Setup!$G$31),Setup!$C$39:$C$50))&gt;=Setup!$C$15,MONTH(WORKDAY(M205,-(Setup!$C$13+Setup!$G$31),Setup!$C$39:$C$50))&lt;=Setup!$C$16),OR(MONTH(WORKDAY(M205,-(Setup!$C$13+Setup!$G$31),Setup!$C$39:$C$50))&gt;=Setup!$C$15,MONTH(WORKDAY(M205,-(Setup!$C$13+Setup!$G$31),Setup!$C$39:$C$50))&lt;=Setup!$C$16))),WORKDAY(M205,-(Setup!$C$13+Setup!$G$31+Setup!$C$14),Setup!$C$39:$C$50),WORKDAY(M205,-(Setup!$C$13+Setup!$G$31),Setup!$C$39:$C$50))+(200*100+12)/10000000)))</f>
        <v/>
      </c>
      <c r="AD205" t="str">
        <f>IF(N205="","",IF(N205&lt;Setup!$C$5-Setup!$C$6,"",IF(IF(ISNUMBER(Roster!$D205),Setup!$C$32&lt;=Roster!$D205,FALSE),"",IF(OR(IF(Setup!$C$15&lt;=Setup!$C$16,AND(MONTH(N205)&gt;=Setup!$C$15,MONTH(N205)&lt;=Setup!$C$16),OR(MONTH(N205)&gt;=Setup!$C$15,MONTH(N205)&lt;=Setup!$C$16)),IF(Setup!$C$15&lt;=Setup!$C$16,AND(MONTH(WORKDAY(N205,-(Setup!$C$13+Setup!$G$32),Setup!$C$39:$C$50))&gt;=Setup!$C$15,MONTH(WORKDAY(N205,-(Setup!$C$13+Setup!$G$32),Setup!$C$39:$C$50))&lt;=Setup!$C$16),OR(MONTH(WORKDAY(N205,-(Setup!$C$13+Setup!$G$32),Setup!$C$39:$C$50))&gt;=Setup!$C$15,MONTH(WORKDAY(N205,-(Setup!$C$13+Setup!$G$32),Setup!$C$39:$C$50))&lt;=Setup!$C$16))),WORKDAY(N205,-(Setup!$C$13+Setup!$G$32+Setup!$C$14),Setup!$C$39:$C$50),WORKDAY(N205,-(Setup!$C$13+Setup!$G$32),Setup!$C$39:$C$50))+(200*100+13)/10000000)))</f>
        <v/>
      </c>
      <c r="AE205" t="str">
        <f>IF(O205="","",IF(O205&lt;Setup!$C$5-Setup!$C$6,"",IF(IF(ISNUMBER(Roster!$D205),Setup!$C$33&lt;=Roster!$D205,FALSE),"",IF(OR(IF(Setup!$C$15&lt;=Setup!$C$16,AND(MONTH(O205)&gt;=Setup!$C$15,MONTH(O205)&lt;=Setup!$C$16),OR(MONTH(O205)&gt;=Setup!$C$15,MONTH(O205)&lt;=Setup!$C$16)),IF(Setup!$C$15&lt;=Setup!$C$16,AND(MONTH(WORKDAY(O205,-(Setup!$C$13+Setup!$G$33),Setup!$C$39:$C$50))&gt;=Setup!$C$15,MONTH(WORKDAY(O205,-(Setup!$C$13+Setup!$G$33),Setup!$C$39:$C$50))&lt;=Setup!$C$16),OR(MONTH(WORKDAY(O205,-(Setup!$C$13+Setup!$G$33),Setup!$C$39:$C$50))&gt;=Setup!$C$15,MONTH(WORKDAY(O205,-(Setup!$C$13+Setup!$G$33),Setup!$C$39:$C$50))&lt;=Setup!$C$16))),WORKDAY(O205,-(Setup!$C$13+Setup!$G$33+Setup!$C$14),Setup!$C$39:$C$50),WORKDAY(O205,-(Setup!$C$13+Setup!$G$33),Setup!$C$39:$C$50))+(200*100+14)/10000000)))</f>
        <v/>
      </c>
      <c r="AF205" t="str">
        <f>IF(P205="","",IF(P205&lt;Setup!$C$5-Setup!$C$6,"",IF(IF(ISNUMBER(Roster!$D205),Setup!$C$34&lt;=Roster!$D205,FALSE),"",IF(OR(IF(Setup!$C$15&lt;=Setup!$C$16,AND(MONTH(P205)&gt;=Setup!$C$15,MONTH(P205)&lt;=Setup!$C$16),OR(MONTH(P205)&gt;=Setup!$C$15,MONTH(P205)&lt;=Setup!$C$16)),IF(Setup!$C$15&lt;=Setup!$C$16,AND(MONTH(WORKDAY(P205,-(Setup!$C$13+Setup!$G$34),Setup!$C$39:$C$50))&gt;=Setup!$C$15,MONTH(WORKDAY(P205,-(Setup!$C$13+Setup!$G$34),Setup!$C$39:$C$50))&lt;=Setup!$C$16),OR(MONTH(WORKDAY(P205,-(Setup!$C$13+Setup!$G$34),Setup!$C$39:$C$50))&gt;=Setup!$C$15,MONTH(WORKDAY(P205,-(Setup!$C$13+Setup!$G$34),Setup!$C$39:$C$50))&lt;=Setup!$C$16))),WORKDAY(P205,-(Setup!$C$13+Setup!$G$34+Setup!$C$14),Setup!$C$39:$C$50),WORKDAY(P205,-(Setup!$C$13+Setup!$G$34),Setup!$C$39:$C$50))+(200*100+15)/10000000)))</f>
        <v/>
      </c>
      <c r="AH205" t="str">
        <f t="shared" si="25"/>
        <v/>
      </c>
      <c r="AI205" t="str">
        <f t="shared" si="26"/>
        <v/>
      </c>
      <c r="AK205" t="str">
        <f ca="1">IF(200&gt;$AK$2,"",SMALL($R$6:$AF$505,200))</f>
        <v/>
      </c>
      <c r="AL205" t="str">
        <f t="shared" ca="1" si="27"/>
        <v/>
      </c>
      <c r="AM205" t="str">
        <f t="shared" ca="1" si="28"/>
        <v/>
      </c>
      <c r="AN205" t="str">
        <f t="shared" ca="1" si="29"/>
        <v/>
      </c>
      <c r="AP205" t="str">
        <f>IF(ISNUMBER(Roster!$B205),MAX(1,YEAR(Setup!$C$5)-YEAR(Roster!$B205)+IF(EDATE(Roster!$B205,12*(YEAR(Setup!$C$5)-YEAR(Roster!$B205)))&lt;Setup!$C$5,1,0)),"")</f>
        <v/>
      </c>
      <c r="AQ205" s="32" t="str">
        <f>IF(AP205="","",EDATE(Roster!$B205,12*AP205))</f>
        <v/>
      </c>
      <c r="AR205" t="str">
        <f>IF(AQ205="","",IF(AQ205&lt;DATE(YEAR(Setup!$C$5)+1,MONTH(Setup!$C$5),DAY(Setup!$C$5)),AQ205+200/1000,""))</f>
        <v/>
      </c>
      <c r="AS205" t="str">
        <f t="shared" si="30"/>
        <v/>
      </c>
      <c r="AT205" t="str">
        <f>IF(AS205="","",IF(ISNUMBER(Roster!$D205),Roster!$D205&gt;=AP205,FALSE))</f>
        <v/>
      </c>
      <c r="AU205" t="str">
        <f t="shared" si="31"/>
        <v/>
      </c>
      <c r="AV205" t="str">
        <f ca="1">IF(200&gt;$AV$2,"",SMALL($AR$6:$AR$505,200))</f>
        <v/>
      </c>
      <c r="AW205" t="str">
        <f t="shared" ca="1" si="32"/>
        <v/>
      </c>
    </row>
    <row r="206" spans="2:49" x14ac:dyDescent="0.2">
      <c r="B206" s="32" t="str">
        <f>IF(AND(ISNUMBER(Roster!$B206),Setup!$B$20="Yes",ISNUMBER(Setup!$C$20)),EDATE(Roster!$B206,12*Setup!$C$20),"")</f>
        <v/>
      </c>
      <c r="C206" s="32" t="str">
        <f>IF(AND(ISNUMBER(Roster!$B206),Setup!$B$21="Yes",ISNUMBER(Setup!$C$21)),EDATE(Roster!$B206,12*Setup!$C$21),"")</f>
        <v/>
      </c>
      <c r="D206" s="32" t="str">
        <f>IF(AND(ISNUMBER(Roster!$B206),Setup!$B$22="Yes",ISNUMBER(Setup!$C$22)),EDATE(Roster!$B206,12*Setup!$C$22),"")</f>
        <v/>
      </c>
      <c r="E206" s="32" t="str">
        <f>IF(AND(ISNUMBER(Roster!$B206),Setup!$B$23="Yes",ISNUMBER(Setup!$C$23)),EDATE(Roster!$B206,12*Setup!$C$23),"")</f>
        <v/>
      </c>
      <c r="F206" s="32" t="str">
        <f>IF(AND(ISNUMBER(Roster!$B206),Setup!$B$24="Yes",ISNUMBER(Setup!$C$24)),EDATE(Roster!$B206,12*Setup!$C$24),"")</f>
        <v/>
      </c>
      <c r="G206" s="32" t="str">
        <f>IF(AND(ISNUMBER(Roster!$B206),Setup!$B$25="Yes",ISNUMBER(Setup!$C$25)),EDATE(Roster!$B206,12*Setup!$C$25),"")</f>
        <v/>
      </c>
      <c r="H206" s="32" t="str">
        <f>IF(AND(ISNUMBER(Roster!$B206),Setup!$B$26="Yes",ISNUMBER(Setup!$C$26)),EDATE(Roster!$B206,12*Setup!$C$26),"")</f>
        <v/>
      </c>
      <c r="I206" s="32" t="str">
        <f>IF(AND(ISNUMBER(Roster!$B206),Setup!$B$27="Yes",ISNUMBER(Setup!$C$27)),EDATE(Roster!$B206,12*Setup!$C$27),"")</f>
        <v/>
      </c>
      <c r="J206" s="32" t="str">
        <f>IF(AND(ISNUMBER(Roster!$B206),Setup!$B$28="Yes",ISNUMBER(Setup!$C$28)),EDATE(Roster!$B206,12*Setup!$C$28),"")</f>
        <v/>
      </c>
      <c r="K206" s="32" t="str">
        <f>IF(AND(ISNUMBER(Roster!$B206),Setup!$B$29="Yes",ISNUMBER(Setup!$C$29)),EDATE(Roster!$B206,12*Setup!$C$29),"")</f>
        <v/>
      </c>
      <c r="L206" s="32" t="str">
        <f>IF(AND(ISNUMBER(Roster!$B206),Setup!$B$30="Yes",ISNUMBER(Setup!$C$30)),EDATE(Roster!$B206,12*Setup!$C$30),"")</f>
        <v/>
      </c>
      <c r="M206" s="32" t="str">
        <f>IF(AND(ISNUMBER(Roster!$B206),Setup!$B$31="Yes",ISNUMBER(Setup!$C$31)),EDATE(Roster!$B206,12*Setup!$C$31),"")</f>
        <v/>
      </c>
      <c r="N206" s="32" t="str">
        <f>IF(AND(ISNUMBER(Roster!$B206),Setup!$B$32="Yes",ISNUMBER(Setup!$C$32)),EDATE(Roster!$B206,12*Setup!$C$32),"")</f>
        <v/>
      </c>
      <c r="O206" s="32" t="str">
        <f>IF(AND(ISNUMBER(Roster!$B206),Setup!$B$33="Yes",ISNUMBER(Setup!$C$33)),EDATE(Roster!$B206,12*Setup!$C$33),"")</f>
        <v/>
      </c>
      <c r="P206" s="32" t="str">
        <f>IF(AND(ISNUMBER(Roster!$B206),Setup!$B$34="Yes",ISNUMBER(Setup!$C$34)),EDATE(Roster!$B206,12*Setup!$C$34),"")</f>
        <v/>
      </c>
      <c r="R206" t="str">
        <f>IF(B206="","",IF(B206&lt;Setup!$C$5-Setup!$C$6,"",IF(IF(ISNUMBER(Roster!$D206),Setup!$C$20&lt;=Roster!$D206,FALSE),"",IF(OR(IF(Setup!$C$15&lt;=Setup!$C$16,AND(MONTH(B206)&gt;=Setup!$C$15,MONTH(B206)&lt;=Setup!$C$16),OR(MONTH(B206)&gt;=Setup!$C$15,MONTH(B206)&lt;=Setup!$C$16)),IF(Setup!$C$15&lt;=Setup!$C$16,AND(MONTH(WORKDAY(B206,-(Setup!$C$13+Setup!$G$20),Setup!$C$39:$C$50))&gt;=Setup!$C$15,MONTH(WORKDAY(B206,-(Setup!$C$13+Setup!$G$20),Setup!$C$39:$C$50))&lt;=Setup!$C$16),OR(MONTH(WORKDAY(B206,-(Setup!$C$13+Setup!$G$20),Setup!$C$39:$C$50))&gt;=Setup!$C$15,MONTH(WORKDAY(B206,-(Setup!$C$13+Setup!$G$20),Setup!$C$39:$C$50))&lt;=Setup!$C$16))),WORKDAY(B206,-(Setup!$C$13+Setup!$G$20+Setup!$C$14),Setup!$C$39:$C$50),WORKDAY(B206,-(Setup!$C$13+Setup!$G$20),Setup!$C$39:$C$50))+(201*100+1)/10000000)))</f>
        <v/>
      </c>
      <c r="S206" t="str">
        <f>IF(C206="","",IF(C206&lt;Setup!$C$5-Setup!$C$6,"",IF(IF(ISNUMBER(Roster!$D206),Setup!$C$21&lt;=Roster!$D206,FALSE),"",IF(OR(IF(Setup!$C$15&lt;=Setup!$C$16,AND(MONTH(C206)&gt;=Setup!$C$15,MONTH(C206)&lt;=Setup!$C$16),OR(MONTH(C206)&gt;=Setup!$C$15,MONTH(C206)&lt;=Setup!$C$16)),IF(Setup!$C$15&lt;=Setup!$C$16,AND(MONTH(WORKDAY(C206,-(Setup!$C$13+Setup!$G$21),Setup!$C$39:$C$50))&gt;=Setup!$C$15,MONTH(WORKDAY(C206,-(Setup!$C$13+Setup!$G$21),Setup!$C$39:$C$50))&lt;=Setup!$C$16),OR(MONTH(WORKDAY(C206,-(Setup!$C$13+Setup!$G$21),Setup!$C$39:$C$50))&gt;=Setup!$C$15,MONTH(WORKDAY(C206,-(Setup!$C$13+Setup!$G$21),Setup!$C$39:$C$50))&lt;=Setup!$C$16))),WORKDAY(C206,-(Setup!$C$13+Setup!$G$21+Setup!$C$14),Setup!$C$39:$C$50),WORKDAY(C206,-(Setup!$C$13+Setup!$G$21),Setup!$C$39:$C$50))+(201*100+2)/10000000)))</f>
        <v/>
      </c>
      <c r="T206" t="str">
        <f>IF(D206="","",IF(D206&lt;Setup!$C$5-Setup!$C$6,"",IF(IF(ISNUMBER(Roster!$D206),Setup!$C$22&lt;=Roster!$D206,FALSE),"",IF(OR(IF(Setup!$C$15&lt;=Setup!$C$16,AND(MONTH(D206)&gt;=Setup!$C$15,MONTH(D206)&lt;=Setup!$C$16),OR(MONTH(D206)&gt;=Setup!$C$15,MONTH(D206)&lt;=Setup!$C$16)),IF(Setup!$C$15&lt;=Setup!$C$16,AND(MONTH(WORKDAY(D206,-(Setup!$C$13+Setup!$G$22),Setup!$C$39:$C$50))&gt;=Setup!$C$15,MONTH(WORKDAY(D206,-(Setup!$C$13+Setup!$G$22),Setup!$C$39:$C$50))&lt;=Setup!$C$16),OR(MONTH(WORKDAY(D206,-(Setup!$C$13+Setup!$G$22),Setup!$C$39:$C$50))&gt;=Setup!$C$15,MONTH(WORKDAY(D206,-(Setup!$C$13+Setup!$G$22),Setup!$C$39:$C$50))&lt;=Setup!$C$16))),WORKDAY(D206,-(Setup!$C$13+Setup!$G$22+Setup!$C$14),Setup!$C$39:$C$50),WORKDAY(D206,-(Setup!$C$13+Setup!$G$22),Setup!$C$39:$C$50))+(201*100+3)/10000000)))</f>
        <v/>
      </c>
      <c r="U206" t="str">
        <f>IF(E206="","",IF(E206&lt;Setup!$C$5-Setup!$C$6,"",IF(IF(ISNUMBER(Roster!$D206),Setup!$C$23&lt;=Roster!$D206,FALSE),"",IF(OR(IF(Setup!$C$15&lt;=Setup!$C$16,AND(MONTH(E206)&gt;=Setup!$C$15,MONTH(E206)&lt;=Setup!$C$16),OR(MONTH(E206)&gt;=Setup!$C$15,MONTH(E206)&lt;=Setup!$C$16)),IF(Setup!$C$15&lt;=Setup!$C$16,AND(MONTH(WORKDAY(E206,-(Setup!$C$13+Setup!$G$23),Setup!$C$39:$C$50))&gt;=Setup!$C$15,MONTH(WORKDAY(E206,-(Setup!$C$13+Setup!$G$23),Setup!$C$39:$C$50))&lt;=Setup!$C$16),OR(MONTH(WORKDAY(E206,-(Setup!$C$13+Setup!$G$23),Setup!$C$39:$C$50))&gt;=Setup!$C$15,MONTH(WORKDAY(E206,-(Setup!$C$13+Setup!$G$23),Setup!$C$39:$C$50))&lt;=Setup!$C$16))),WORKDAY(E206,-(Setup!$C$13+Setup!$G$23+Setup!$C$14),Setup!$C$39:$C$50),WORKDAY(E206,-(Setup!$C$13+Setup!$G$23),Setup!$C$39:$C$50))+(201*100+4)/10000000)))</f>
        <v/>
      </c>
      <c r="V206" t="str">
        <f>IF(F206="","",IF(F206&lt;Setup!$C$5-Setup!$C$6,"",IF(IF(ISNUMBER(Roster!$D206),Setup!$C$24&lt;=Roster!$D206,FALSE),"",IF(OR(IF(Setup!$C$15&lt;=Setup!$C$16,AND(MONTH(F206)&gt;=Setup!$C$15,MONTH(F206)&lt;=Setup!$C$16),OR(MONTH(F206)&gt;=Setup!$C$15,MONTH(F206)&lt;=Setup!$C$16)),IF(Setup!$C$15&lt;=Setup!$C$16,AND(MONTH(WORKDAY(F206,-(Setup!$C$13+Setup!$G$24),Setup!$C$39:$C$50))&gt;=Setup!$C$15,MONTH(WORKDAY(F206,-(Setup!$C$13+Setup!$G$24),Setup!$C$39:$C$50))&lt;=Setup!$C$16),OR(MONTH(WORKDAY(F206,-(Setup!$C$13+Setup!$G$24),Setup!$C$39:$C$50))&gt;=Setup!$C$15,MONTH(WORKDAY(F206,-(Setup!$C$13+Setup!$G$24),Setup!$C$39:$C$50))&lt;=Setup!$C$16))),WORKDAY(F206,-(Setup!$C$13+Setup!$G$24+Setup!$C$14),Setup!$C$39:$C$50),WORKDAY(F206,-(Setup!$C$13+Setup!$G$24),Setup!$C$39:$C$50))+(201*100+5)/10000000)))</f>
        <v/>
      </c>
      <c r="W206" t="str">
        <f>IF(G206="","",IF(G206&lt;Setup!$C$5-Setup!$C$6,"",IF(IF(ISNUMBER(Roster!$D206),Setup!$C$25&lt;=Roster!$D206,FALSE),"",IF(OR(IF(Setup!$C$15&lt;=Setup!$C$16,AND(MONTH(G206)&gt;=Setup!$C$15,MONTH(G206)&lt;=Setup!$C$16),OR(MONTH(G206)&gt;=Setup!$C$15,MONTH(G206)&lt;=Setup!$C$16)),IF(Setup!$C$15&lt;=Setup!$C$16,AND(MONTH(WORKDAY(G206,-(Setup!$C$13+Setup!$G$25),Setup!$C$39:$C$50))&gt;=Setup!$C$15,MONTH(WORKDAY(G206,-(Setup!$C$13+Setup!$G$25),Setup!$C$39:$C$50))&lt;=Setup!$C$16),OR(MONTH(WORKDAY(G206,-(Setup!$C$13+Setup!$G$25),Setup!$C$39:$C$50))&gt;=Setup!$C$15,MONTH(WORKDAY(G206,-(Setup!$C$13+Setup!$G$25),Setup!$C$39:$C$50))&lt;=Setup!$C$16))),WORKDAY(G206,-(Setup!$C$13+Setup!$G$25+Setup!$C$14),Setup!$C$39:$C$50),WORKDAY(G206,-(Setup!$C$13+Setup!$G$25),Setup!$C$39:$C$50))+(201*100+6)/10000000)))</f>
        <v/>
      </c>
      <c r="X206" t="str">
        <f>IF(H206="","",IF(H206&lt;Setup!$C$5-Setup!$C$6,"",IF(IF(ISNUMBER(Roster!$D206),Setup!$C$26&lt;=Roster!$D206,FALSE),"",IF(OR(IF(Setup!$C$15&lt;=Setup!$C$16,AND(MONTH(H206)&gt;=Setup!$C$15,MONTH(H206)&lt;=Setup!$C$16),OR(MONTH(H206)&gt;=Setup!$C$15,MONTH(H206)&lt;=Setup!$C$16)),IF(Setup!$C$15&lt;=Setup!$C$16,AND(MONTH(WORKDAY(H206,-(Setup!$C$13+Setup!$G$26),Setup!$C$39:$C$50))&gt;=Setup!$C$15,MONTH(WORKDAY(H206,-(Setup!$C$13+Setup!$G$26),Setup!$C$39:$C$50))&lt;=Setup!$C$16),OR(MONTH(WORKDAY(H206,-(Setup!$C$13+Setup!$G$26),Setup!$C$39:$C$50))&gt;=Setup!$C$15,MONTH(WORKDAY(H206,-(Setup!$C$13+Setup!$G$26),Setup!$C$39:$C$50))&lt;=Setup!$C$16))),WORKDAY(H206,-(Setup!$C$13+Setup!$G$26+Setup!$C$14),Setup!$C$39:$C$50),WORKDAY(H206,-(Setup!$C$13+Setup!$G$26),Setup!$C$39:$C$50))+(201*100+7)/10000000)))</f>
        <v/>
      </c>
      <c r="Y206" t="str">
        <f>IF(I206="","",IF(I206&lt;Setup!$C$5-Setup!$C$6,"",IF(IF(ISNUMBER(Roster!$D206),Setup!$C$27&lt;=Roster!$D206,FALSE),"",IF(OR(IF(Setup!$C$15&lt;=Setup!$C$16,AND(MONTH(I206)&gt;=Setup!$C$15,MONTH(I206)&lt;=Setup!$C$16),OR(MONTH(I206)&gt;=Setup!$C$15,MONTH(I206)&lt;=Setup!$C$16)),IF(Setup!$C$15&lt;=Setup!$C$16,AND(MONTH(WORKDAY(I206,-(Setup!$C$13+Setup!$G$27),Setup!$C$39:$C$50))&gt;=Setup!$C$15,MONTH(WORKDAY(I206,-(Setup!$C$13+Setup!$G$27),Setup!$C$39:$C$50))&lt;=Setup!$C$16),OR(MONTH(WORKDAY(I206,-(Setup!$C$13+Setup!$G$27),Setup!$C$39:$C$50))&gt;=Setup!$C$15,MONTH(WORKDAY(I206,-(Setup!$C$13+Setup!$G$27),Setup!$C$39:$C$50))&lt;=Setup!$C$16))),WORKDAY(I206,-(Setup!$C$13+Setup!$G$27+Setup!$C$14),Setup!$C$39:$C$50),WORKDAY(I206,-(Setup!$C$13+Setup!$G$27),Setup!$C$39:$C$50))+(201*100+8)/10000000)))</f>
        <v/>
      </c>
      <c r="Z206" t="str">
        <f>IF(J206="","",IF(J206&lt;Setup!$C$5-Setup!$C$6,"",IF(IF(ISNUMBER(Roster!$D206),Setup!$C$28&lt;=Roster!$D206,FALSE),"",IF(OR(IF(Setup!$C$15&lt;=Setup!$C$16,AND(MONTH(J206)&gt;=Setup!$C$15,MONTH(J206)&lt;=Setup!$C$16),OR(MONTH(J206)&gt;=Setup!$C$15,MONTH(J206)&lt;=Setup!$C$16)),IF(Setup!$C$15&lt;=Setup!$C$16,AND(MONTH(WORKDAY(J206,-(Setup!$C$13+Setup!$G$28),Setup!$C$39:$C$50))&gt;=Setup!$C$15,MONTH(WORKDAY(J206,-(Setup!$C$13+Setup!$G$28),Setup!$C$39:$C$50))&lt;=Setup!$C$16),OR(MONTH(WORKDAY(J206,-(Setup!$C$13+Setup!$G$28),Setup!$C$39:$C$50))&gt;=Setup!$C$15,MONTH(WORKDAY(J206,-(Setup!$C$13+Setup!$G$28),Setup!$C$39:$C$50))&lt;=Setup!$C$16))),WORKDAY(J206,-(Setup!$C$13+Setup!$G$28+Setup!$C$14),Setup!$C$39:$C$50),WORKDAY(J206,-(Setup!$C$13+Setup!$G$28),Setup!$C$39:$C$50))+(201*100+9)/10000000)))</f>
        <v/>
      </c>
      <c r="AA206" t="str">
        <f>IF(K206="","",IF(K206&lt;Setup!$C$5-Setup!$C$6,"",IF(IF(ISNUMBER(Roster!$D206),Setup!$C$29&lt;=Roster!$D206,FALSE),"",IF(OR(IF(Setup!$C$15&lt;=Setup!$C$16,AND(MONTH(K206)&gt;=Setup!$C$15,MONTH(K206)&lt;=Setup!$C$16),OR(MONTH(K206)&gt;=Setup!$C$15,MONTH(K206)&lt;=Setup!$C$16)),IF(Setup!$C$15&lt;=Setup!$C$16,AND(MONTH(WORKDAY(K206,-(Setup!$C$13+Setup!$G$29),Setup!$C$39:$C$50))&gt;=Setup!$C$15,MONTH(WORKDAY(K206,-(Setup!$C$13+Setup!$G$29),Setup!$C$39:$C$50))&lt;=Setup!$C$16),OR(MONTH(WORKDAY(K206,-(Setup!$C$13+Setup!$G$29),Setup!$C$39:$C$50))&gt;=Setup!$C$15,MONTH(WORKDAY(K206,-(Setup!$C$13+Setup!$G$29),Setup!$C$39:$C$50))&lt;=Setup!$C$16))),WORKDAY(K206,-(Setup!$C$13+Setup!$G$29+Setup!$C$14),Setup!$C$39:$C$50),WORKDAY(K206,-(Setup!$C$13+Setup!$G$29),Setup!$C$39:$C$50))+(201*100+10)/10000000)))</f>
        <v/>
      </c>
      <c r="AB206" t="str">
        <f>IF(L206="","",IF(L206&lt;Setup!$C$5-Setup!$C$6,"",IF(IF(ISNUMBER(Roster!$D206),Setup!$C$30&lt;=Roster!$D206,FALSE),"",IF(OR(IF(Setup!$C$15&lt;=Setup!$C$16,AND(MONTH(L206)&gt;=Setup!$C$15,MONTH(L206)&lt;=Setup!$C$16),OR(MONTH(L206)&gt;=Setup!$C$15,MONTH(L206)&lt;=Setup!$C$16)),IF(Setup!$C$15&lt;=Setup!$C$16,AND(MONTH(WORKDAY(L206,-(Setup!$C$13+Setup!$G$30),Setup!$C$39:$C$50))&gt;=Setup!$C$15,MONTH(WORKDAY(L206,-(Setup!$C$13+Setup!$G$30),Setup!$C$39:$C$50))&lt;=Setup!$C$16),OR(MONTH(WORKDAY(L206,-(Setup!$C$13+Setup!$G$30),Setup!$C$39:$C$50))&gt;=Setup!$C$15,MONTH(WORKDAY(L206,-(Setup!$C$13+Setup!$G$30),Setup!$C$39:$C$50))&lt;=Setup!$C$16))),WORKDAY(L206,-(Setup!$C$13+Setup!$G$30+Setup!$C$14),Setup!$C$39:$C$50),WORKDAY(L206,-(Setup!$C$13+Setup!$G$30),Setup!$C$39:$C$50))+(201*100+11)/10000000)))</f>
        <v/>
      </c>
      <c r="AC206" t="str">
        <f>IF(M206="","",IF(M206&lt;Setup!$C$5-Setup!$C$6,"",IF(IF(ISNUMBER(Roster!$D206),Setup!$C$31&lt;=Roster!$D206,FALSE),"",IF(OR(IF(Setup!$C$15&lt;=Setup!$C$16,AND(MONTH(M206)&gt;=Setup!$C$15,MONTH(M206)&lt;=Setup!$C$16),OR(MONTH(M206)&gt;=Setup!$C$15,MONTH(M206)&lt;=Setup!$C$16)),IF(Setup!$C$15&lt;=Setup!$C$16,AND(MONTH(WORKDAY(M206,-(Setup!$C$13+Setup!$G$31),Setup!$C$39:$C$50))&gt;=Setup!$C$15,MONTH(WORKDAY(M206,-(Setup!$C$13+Setup!$G$31),Setup!$C$39:$C$50))&lt;=Setup!$C$16),OR(MONTH(WORKDAY(M206,-(Setup!$C$13+Setup!$G$31),Setup!$C$39:$C$50))&gt;=Setup!$C$15,MONTH(WORKDAY(M206,-(Setup!$C$13+Setup!$G$31),Setup!$C$39:$C$50))&lt;=Setup!$C$16))),WORKDAY(M206,-(Setup!$C$13+Setup!$G$31+Setup!$C$14),Setup!$C$39:$C$50),WORKDAY(M206,-(Setup!$C$13+Setup!$G$31),Setup!$C$39:$C$50))+(201*100+12)/10000000)))</f>
        <v/>
      </c>
      <c r="AD206" t="str">
        <f>IF(N206="","",IF(N206&lt;Setup!$C$5-Setup!$C$6,"",IF(IF(ISNUMBER(Roster!$D206),Setup!$C$32&lt;=Roster!$D206,FALSE),"",IF(OR(IF(Setup!$C$15&lt;=Setup!$C$16,AND(MONTH(N206)&gt;=Setup!$C$15,MONTH(N206)&lt;=Setup!$C$16),OR(MONTH(N206)&gt;=Setup!$C$15,MONTH(N206)&lt;=Setup!$C$16)),IF(Setup!$C$15&lt;=Setup!$C$16,AND(MONTH(WORKDAY(N206,-(Setup!$C$13+Setup!$G$32),Setup!$C$39:$C$50))&gt;=Setup!$C$15,MONTH(WORKDAY(N206,-(Setup!$C$13+Setup!$G$32),Setup!$C$39:$C$50))&lt;=Setup!$C$16),OR(MONTH(WORKDAY(N206,-(Setup!$C$13+Setup!$G$32),Setup!$C$39:$C$50))&gt;=Setup!$C$15,MONTH(WORKDAY(N206,-(Setup!$C$13+Setup!$G$32),Setup!$C$39:$C$50))&lt;=Setup!$C$16))),WORKDAY(N206,-(Setup!$C$13+Setup!$G$32+Setup!$C$14),Setup!$C$39:$C$50),WORKDAY(N206,-(Setup!$C$13+Setup!$G$32),Setup!$C$39:$C$50))+(201*100+13)/10000000)))</f>
        <v/>
      </c>
      <c r="AE206" t="str">
        <f>IF(O206="","",IF(O206&lt;Setup!$C$5-Setup!$C$6,"",IF(IF(ISNUMBER(Roster!$D206),Setup!$C$33&lt;=Roster!$D206,FALSE),"",IF(OR(IF(Setup!$C$15&lt;=Setup!$C$16,AND(MONTH(O206)&gt;=Setup!$C$15,MONTH(O206)&lt;=Setup!$C$16),OR(MONTH(O206)&gt;=Setup!$C$15,MONTH(O206)&lt;=Setup!$C$16)),IF(Setup!$C$15&lt;=Setup!$C$16,AND(MONTH(WORKDAY(O206,-(Setup!$C$13+Setup!$G$33),Setup!$C$39:$C$50))&gt;=Setup!$C$15,MONTH(WORKDAY(O206,-(Setup!$C$13+Setup!$G$33),Setup!$C$39:$C$50))&lt;=Setup!$C$16),OR(MONTH(WORKDAY(O206,-(Setup!$C$13+Setup!$G$33),Setup!$C$39:$C$50))&gt;=Setup!$C$15,MONTH(WORKDAY(O206,-(Setup!$C$13+Setup!$G$33),Setup!$C$39:$C$50))&lt;=Setup!$C$16))),WORKDAY(O206,-(Setup!$C$13+Setup!$G$33+Setup!$C$14),Setup!$C$39:$C$50),WORKDAY(O206,-(Setup!$C$13+Setup!$G$33),Setup!$C$39:$C$50))+(201*100+14)/10000000)))</f>
        <v/>
      </c>
      <c r="AF206" t="str">
        <f>IF(P206="","",IF(P206&lt;Setup!$C$5-Setup!$C$6,"",IF(IF(ISNUMBER(Roster!$D206),Setup!$C$34&lt;=Roster!$D206,FALSE),"",IF(OR(IF(Setup!$C$15&lt;=Setup!$C$16,AND(MONTH(P206)&gt;=Setup!$C$15,MONTH(P206)&lt;=Setup!$C$16),OR(MONTH(P206)&gt;=Setup!$C$15,MONTH(P206)&lt;=Setup!$C$16)),IF(Setup!$C$15&lt;=Setup!$C$16,AND(MONTH(WORKDAY(P206,-(Setup!$C$13+Setup!$G$34),Setup!$C$39:$C$50))&gt;=Setup!$C$15,MONTH(WORKDAY(P206,-(Setup!$C$13+Setup!$G$34),Setup!$C$39:$C$50))&lt;=Setup!$C$16),OR(MONTH(WORKDAY(P206,-(Setup!$C$13+Setup!$G$34),Setup!$C$39:$C$50))&gt;=Setup!$C$15,MONTH(WORKDAY(P206,-(Setup!$C$13+Setup!$G$34),Setup!$C$39:$C$50))&lt;=Setup!$C$16))),WORKDAY(P206,-(Setup!$C$13+Setup!$G$34+Setup!$C$14),Setup!$C$39:$C$50),WORKDAY(P206,-(Setup!$C$13+Setup!$G$34),Setup!$C$39:$C$50))+(201*100+15)/10000000)))</f>
        <v/>
      </c>
      <c r="AH206" t="str">
        <f t="shared" si="25"/>
        <v/>
      </c>
      <c r="AI206" t="str">
        <f t="shared" si="26"/>
        <v/>
      </c>
      <c r="AK206" t="str">
        <f ca="1">IF(201&gt;$AK$2,"",SMALL($R$6:$AF$505,201))</f>
        <v/>
      </c>
      <c r="AL206" t="str">
        <f t="shared" ca="1" si="27"/>
        <v/>
      </c>
      <c r="AM206" t="str">
        <f t="shared" ca="1" si="28"/>
        <v/>
      </c>
      <c r="AN206" t="str">
        <f t="shared" ca="1" si="29"/>
        <v/>
      </c>
      <c r="AP206" t="str">
        <f>IF(ISNUMBER(Roster!$B206),MAX(1,YEAR(Setup!$C$5)-YEAR(Roster!$B206)+IF(EDATE(Roster!$B206,12*(YEAR(Setup!$C$5)-YEAR(Roster!$B206)))&lt;Setup!$C$5,1,0)),"")</f>
        <v/>
      </c>
      <c r="AQ206" s="32" t="str">
        <f>IF(AP206="","",EDATE(Roster!$B206,12*AP206))</f>
        <v/>
      </c>
      <c r="AR206" t="str">
        <f>IF(AQ206="","",IF(AQ206&lt;DATE(YEAR(Setup!$C$5)+1,MONTH(Setup!$C$5),DAY(Setup!$C$5)),AQ206+201/1000,""))</f>
        <v/>
      </c>
      <c r="AS206" t="str">
        <f t="shared" si="30"/>
        <v/>
      </c>
      <c r="AT206" t="str">
        <f>IF(AS206="","",IF(ISNUMBER(Roster!$D206),Roster!$D206&gt;=AP206,FALSE))</f>
        <v/>
      </c>
      <c r="AU206" t="str">
        <f t="shared" si="31"/>
        <v/>
      </c>
      <c r="AV206" t="str">
        <f ca="1">IF(201&gt;$AV$2,"",SMALL($AR$6:$AR$505,201))</f>
        <v/>
      </c>
      <c r="AW206" t="str">
        <f t="shared" ca="1" si="32"/>
        <v/>
      </c>
    </row>
    <row r="207" spans="2:49" x14ac:dyDescent="0.2">
      <c r="B207" s="32" t="str">
        <f>IF(AND(ISNUMBER(Roster!$B207),Setup!$B$20="Yes",ISNUMBER(Setup!$C$20)),EDATE(Roster!$B207,12*Setup!$C$20),"")</f>
        <v/>
      </c>
      <c r="C207" s="32" t="str">
        <f>IF(AND(ISNUMBER(Roster!$B207),Setup!$B$21="Yes",ISNUMBER(Setup!$C$21)),EDATE(Roster!$B207,12*Setup!$C$21),"")</f>
        <v/>
      </c>
      <c r="D207" s="32" t="str">
        <f>IF(AND(ISNUMBER(Roster!$B207),Setup!$B$22="Yes",ISNUMBER(Setup!$C$22)),EDATE(Roster!$B207,12*Setup!$C$22),"")</f>
        <v/>
      </c>
      <c r="E207" s="32" t="str">
        <f>IF(AND(ISNUMBER(Roster!$B207),Setup!$B$23="Yes",ISNUMBER(Setup!$C$23)),EDATE(Roster!$B207,12*Setup!$C$23),"")</f>
        <v/>
      </c>
      <c r="F207" s="32" t="str">
        <f>IF(AND(ISNUMBER(Roster!$B207),Setup!$B$24="Yes",ISNUMBER(Setup!$C$24)),EDATE(Roster!$B207,12*Setup!$C$24),"")</f>
        <v/>
      </c>
      <c r="G207" s="32" t="str">
        <f>IF(AND(ISNUMBER(Roster!$B207),Setup!$B$25="Yes",ISNUMBER(Setup!$C$25)),EDATE(Roster!$B207,12*Setup!$C$25),"")</f>
        <v/>
      </c>
      <c r="H207" s="32" t="str">
        <f>IF(AND(ISNUMBER(Roster!$B207),Setup!$B$26="Yes",ISNUMBER(Setup!$C$26)),EDATE(Roster!$B207,12*Setup!$C$26),"")</f>
        <v/>
      </c>
      <c r="I207" s="32" t="str">
        <f>IF(AND(ISNUMBER(Roster!$B207),Setup!$B$27="Yes",ISNUMBER(Setup!$C$27)),EDATE(Roster!$B207,12*Setup!$C$27),"")</f>
        <v/>
      </c>
      <c r="J207" s="32" t="str">
        <f>IF(AND(ISNUMBER(Roster!$B207),Setup!$B$28="Yes",ISNUMBER(Setup!$C$28)),EDATE(Roster!$B207,12*Setup!$C$28),"")</f>
        <v/>
      </c>
      <c r="K207" s="32" t="str">
        <f>IF(AND(ISNUMBER(Roster!$B207),Setup!$B$29="Yes",ISNUMBER(Setup!$C$29)),EDATE(Roster!$B207,12*Setup!$C$29),"")</f>
        <v/>
      </c>
      <c r="L207" s="32" t="str">
        <f>IF(AND(ISNUMBER(Roster!$B207),Setup!$B$30="Yes",ISNUMBER(Setup!$C$30)),EDATE(Roster!$B207,12*Setup!$C$30),"")</f>
        <v/>
      </c>
      <c r="M207" s="32" t="str">
        <f>IF(AND(ISNUMBER(Roster!$B207),Setup!$B$31="Yes",ISNUMBER(Setup!$C$31)),EDATE(Roster!$B207,12*Setup!$C$31),"")</f>
        <v/>
      </c>
      <c r="N207" s="32" t="str">
        <f>IF(AND(ISNUMBER(Roster!$B207),Setup!$B$32="Yes",ISNUMBER(Setup!$C$32)),EDATE(Roster!$B207,12*Setup!$C$32),"")</f>
        <v/>
      </c>
      <c r="O207" s="32" t="str">
        <f>IF(AND(ISNUMBER(Roster!$B207),Setup!$B$33="Yes",ISNUMBER(Setup!$C$33)),EDATE(Roster!$B207,12*Setup!$C$33),"")</f>
        <v/>
      </c>
      <c r="P207" s="32" t="str">
        <f>IF(AND(ISNUMBER(Roster!$B207),Setup!$B$34="Yes",ISNUMBER(Setup!$C$34)),EDATE(Roster!$B207,12*Setup!$C$34),"")</f>
        <v/>
      </c>
      <c r="R207" t="str">
        <f>IF(B207="","",IF(B207&lt;Setup!$C$5-Setup!$C$6,"",IF(IF(ISNUMBER(Roster!$D207),Setup!$C$20&lt;=Roster!$D207,FALSE),"",IF(OR(IF(Setup!$C$15&lt;=Setup!$C$16,AND(MONTH(B207)&gt;=Setup!$C$15,MONTH(B207)&lt;=Setup!$C$16),OR(MONTH(B207)&gt;=Setup!$C$15,MONTH(B207)&lt;=Setup!$C$16)),IF(Setup!$C$15&lt;=Setup!$C$16,AND(MONTH(WORKDAY(B207,-(Setup!$C$13+Setup!$G$20),Setup!$C$39:$C$50))&gt;=Setup!$C$15,MONTH(WORKDAY(B207,-(Setup!$C$13+Setup!$G$20),Setup!$C$39:$C$50))&lt;=Setup!$C$16),OR(MONTH(WORKDAY(B207,-(Setup!$C$13+Setup!$G$20),Setup!$C$39:$C$50))&gt;=Setup!$C$15,MONTH(WORKDAY(B207,-(Setup!$C$13+Setup!$G$20),Setup!$C$39:$C$50))&lt;=Setup!$C$16))),WORKDAY(B207,-(Setup!$C$13+Setup!$G$20+Setup!$C$14),Setup!$C$39:$C$50),WORKDAY(B207,-(Setup!$C$13+Setup!$G$20),Setup!$C$39:$C$50))+(202*100+1)/10000000)))</f>
        <v/>
      </c>
      <c r="S207" t="str">
        <f>IF(C207="","",IF(C207&lt;Setup!$C$5-Setup!$C$6,"",IF(IF(ISNUMBER(Roster!$D207),Setup!$C$21&lt;=Roster!$D207,FALSE),"",IF(OR(IF(Setup!$C$15&lt;=Setup!$C$16,AND(MONTH(C207)&gt;=Setup!$C$15,MONTH(C207)&lt;=Setup!$C$16),OR(MONTH(C207)&gt;=Setup!$C$15,MONTH(C207)&lt;=Setup!$C$16)),IF(Setup!$C$15&lt;=Setup!$C$16,AND(MONTH(WORKDAY(C207,-(Setup!$C$13+Setup!$G$21),Setup!$C$39:$C$50))&gt;=Setup!$C$15,MONTH(WORKDAY(C207,-(Setup!$C$13+Setup!$G$21),Setup!$C$39:$C$50))&lt;=Setup!$C$16),OR(MONTH(WORKDAY(C207,-(Setup!$C$13+Setup!$G$21),Setup!$C$39:$C$50))&gt;=Setup!$C$15,MONTH(WORKDAY(C207,-(Setup!$C$13+Setup!$G$21),Setup!$C$39:$C$50))&lt;=Setup!$C$16))),WORKDAY(C207,-(Setup!$C$13+Setup!$G$21+Setup!$C$14),Setup!$C$39:$C$50),WORKDAY(C207,-(Setup!$C$13+Setup!$G$21),Setup!$C$39:$C$50))+(202*100+2)/10000000)))</f>
        <v/>
      </c>
      <c r="T207" t="str">
        <f>IF(D207="","",IF(D207&lt;Setup!$C$5-Setup!$C$6,"",IF(IF(ISNUMBER(Roster!$D207),Setup!$C$22&lt;=Roster!$D207,FALSE),"",IF(OR(IF(Setup!$C$15&lt;=Setup!$C$16,AND(MONTH(D207)&gt;=Setup!$C$15,MONTH(D207)&lt;=Setup!$C$16),OR(MONTH(D207)&gt;=Setup!$C$15,MONTH(D207)&lt;=Setup!$C$16)),IF(Setup!$C$15&lt;=Setup!$C$16,AND(MONTH(WORKDAY(D207,-(Setup!$C$13+Setup!$G$22),Setup!$C$39:$C$50))&gt;=Setup!$C$15,MONTH(WORKDAY(D207,-(Setup!$C$13+Setup!$G$22),Setup!$C$39:$C$50))&lt;=Setup!$C$16),OR(MONTH(WORKDAY(D207,-(Setup!$C$13+Setup!$G$22),Setup!$C$39:$C$50))&gt;=Setup!$C$15,MONTH(WORKDAY(D207,-(Setup!$C$13+Setup!$G$22),Setup!$C$39:$C$50))&lt;=Setup!$C$16))),WORKDAY(D207,-(Setup!$C$13+Setup!$G$22+Setup!$C$14),Setup!$C$39:$C$50),WORKDAY(D207,-(Setup!$C$13+Setup!$G$22),Setup!$C$39:$C$50))+(202*100+3)/10000000)))</f>
        <v/>
      </c>
      <c r="U207" t="str">
        <f>IF(E207="","",IF(E207&lt;Setup!$C$5-Setup!$C$6,"",IF(IF(ISNUMBER(Roster!$D207),Setup!$C$23&lt;=Roster!$D207,FALSE),"",IF(OR(IF(Setup!$C$15&lt;=Setup!$C$16,AND(MONTH(E207)&gt;=Setup!$C$15,MONTH(E207)&lt;=Setup!$C$16),OR(MONTH(E207)&gt;=Setup!$C$15,MONTH(E207)&lt;=Setup!$C$16)),IF(Setup!$C$15&lt;=Setup!$C$16,AND(MONTH(WORKDAY(E207,-(Setup!$C$13+Setup!$G$23),Setup!$C$39:$C$50))&gt;=Setup!$C$15,MONTH(WORKDAY(E207,-(Setup!$C$13+Setup!$G$23),Setup!$C$39:$C$50))&lt;=Setup!$C$16),OR(MONTH(WORKDAY(E207,-(Setup!$C$13+Setup!$G$23),Setup!$C$39:$C$50))&gt;=Setup!$C$15,MONTH(WORKDAY(E207,-(Setup!$C$13+Setup!$G$23),Setup!$C$39:$C$50))&lt;=Setup!$C$16))),WORKDAY(E207,-(Setup!$C$13+Setup!$G$23+Setup!$C$14),Setup!$C$39:$C$50),WORKDAY(E207,-(Setup!$C$13+Setup!$G$23),Setup!$C$39:$C$50))+(202*100+4)/10000000)))</f>
        <v/>
      </c>
      <c r="V207" t="str">
        <f>IF(F207="","",IF(F207&lt;Setup!$C$5-Setup!$C$6,"",IF(IF(ISNUMBER(Roster!$D207),Setup!$C$24&lt;=Roster!$D207,FALSE),"",IF(OR(IF(Setup!$C$15&lt;=Setup!$C$16,AND(MONTH(F207)&gt;=Setup!$C$15,MONTH(F207)&lt;=Setup!$C$16),OR(MONTH(F207)&gt;=Setup!$C$15,MONTH(F207)&lt;=Setup!$C$16)),IF(Setup!$C$15&lt;=Setup!$C$16,AND(MONTH(WORKDAY(F207,-(Setup!$C$13+Setup!$G$24),Setup!$C$39:$C$50))&gt;=Setup!$C$15,MONTH(WORKDAY(F207,-(Setup!$C$13+Setup!$G$24),Setup!$C$39:$C$50))&lt;=Setup!$C$16),OR(MONTH(WORKDAY(F207,-(Setup!$C$13+Setup!$G$24),Setup!$C$39:$C$50))&gt;=Setup!$C$15,MONTH(WORKDAY(F207,-(Setup!$C$13+Setup!$G$24),Setup!$C$39:$C$50))&lt;=Setup!$C$16))),WORKDAY(F207,-(Setup!$C$13+Setup!$G$24+Setup!$C$14),Setup!$C$39:$C$50),WORKDAY(F207,-(Setup!$C$13+Setup!$G$24),Setup!$C$39:$C$50))+(202*100+5)/10000000)))</f>
        <v/>
      </c>
      <c r="W207" t="str">
        <f>IF(G207="","",IF(G207&lt;Setup!$C$5-Setup!$C$6,"",IF(IF(ISNUMBER(Roster!$D207),Setup!$C$25&lt;=Roster!$D207,FALSE),"",IF(OR(IF(Setup!$C$15&lt;=Setup!$C$16,AND(MONTH(G207)&gt;=Setup!$C$15,MONTH(G207)&lt;=Setup!$C$16),OR(MONTH(G207)&gt;=Setup!$C$15,MONTH(G207)&lt;=Setup!$C$16)),IF(Setup!$C$15&lt;=Setup!$C$16,AND(MONTH(WORKDAY(G207,-(Setup!$C$13+Setup!$G$25),Setup!$C$39:$C$50))&gt;=Setup!$C$15,MONTH(WORKDAY(G207,-(Setup!$C$13+Setup!$G$25),Setup!$C$39:$C$50))&lt;=Setup!$C$16),OR(MONTH(WORKDAY(G207,-(Setup!$C$13+Setup!$G$25),Setup!$C$39:$C$50))&gt;=Setup!$C$15,MONTH(WORKDAY(G207,-(Setup!$C$13+Setup!$G$25),Setup!$C$39:$C$50))&lt;=Setup!$C$16))),WORKDAY(G207,-(Setup!$C$13+Setup!$G$25+Setup!$C$14),Setup!$C$39:$C$50),WORKDAY(G207,-(Setup!$C$13+Setup!$G$25),Setup!$C$39:$C$50))+(202*100+6)/10000000)))</f>
        <v/>
      </c>
      <c r="X207" t="str">
        <f>IF(H207="","",IF(H207&lt;Setup!$C$5-Setup!$C$6,"",IF(IF(ISNUMBER(Roster!$D207),Setup!$C$26&lt;=Roster!$D207,FALSE),"",IF(OR(IF(Setup!$C$15&lt;=Setup!$C$16,AND(MONTH(H207)&gt;=Setup!$C$15,MONTH(H207)&lt;=Setup!$C$16),OR(MONTH(H207)&gt;=Setup!$C$15,MONTH(H207)&lt;=Setup!$C$16)),IF(Setup!$C$15&lt;=Setup!$C$16,AND(MONTH(WORKDAY(H207,-(Setup!$C$13+Setup!$G$26),Setup!$C$39:$C$50))&gt;=Setup!$C$15,MONTH(WORKDAY(H207,-(Setup!$C$13+Setup!$G$26),Setup!$C$39:$C$50))&lt;=Setup!$C$16),OR(MONTH(WORKDAY(H207,-(Setup!$C$13+Setup!$G$26),Setup!$C$39:$C$50))&gt;=Setup!$C$15,MONTH(WORKDAY(H207,-(Setup!$C$13+Setup!$G$26),Setup!$C$39:$C$50))&lt;=Setup!$C$16))),WORKDAY(H207,-(Setup!$C$13+Setup!$G$26+Setup!$C$14),Setup!$C$39:$C$50),WORKDAY(H207,-(Setup!$C$13+Setup!$G$26),Setup!$C$39:$C$50))+(202*100+7)/10000000)))</f>
        <v/>
      </c>
      <c r="Y207" t="str">
        <f>IF(I207="","",IF(I207&lt;Setup!$C$5-Setup!$C$6,"",IF(IF(ISNUMBER(Roster!$D207),Setup!$C$27&lt;=Roster!$D207,FALSE),"",IF(OR(IF(Setup!$C$15&lt;=Setup!$C$16,AND(MONTH(I207)&gt;=Setup!$C$15,MONTH(I207)&lt;=Setup!$C$16),OR(MONTH(I207)&gt;=Setup!$C$15,MONTH(I207)&lt;=Setup!$C$16)),IF(Setup!$C$15&lt;=Setup!$C$16,AND(MONTH(WORKDAY(I207,-(Setup!$C$13+Setup!$G$27),Setup!$C$39:$C$50))&gt;=Setup!$C$15,MONTH(WORKDAY(I207,-(Setup!$C$13+Setup!$G$27),Setup!$C$39:$C$50))&lt;=Setup!$C$16),OR(MONTH(WORKDAY(I207,-(Setup!$C$13+Setup!$G$27),Setup!$C$39:$C$50))&gt;=Setup!$C$15,MONTH(WORKDAY(I207,-(Setup!$C$13+Setup!$G$27),Setup!$C$39:$C$50))&lt;=Setup!$C$16))),WORKDAY(I207,-(Setup!$C$13+Setup!$G$27+Setup!$C$14),Setup!$C$39:$C$50),WORKDAY(I207,-(Setup!$C$13+Setup!$G$27),Setup!$C$39:$C$50))+(202*100+8)/10000000)))</f>
        <v/>
      </c>
      <c r="Z207" t="str">
        <f>IF(J207="","",IF(J207&lt;Setup!$C$5-Setup!$C$6,"",IF(IF(ISNUMBER(Roster!$D207),Setup!$C$28&lt;=Roster!$D207,FALSE),"",IF(OR(IF(Setup!$C$15&lt;=Setup!$C$16,AND(MONTH(J207)&gt;=Setup!$C$15,MONTH(J207)&lt;=Setup!$C$16),OR(MONTH(J207)&gt;=Setup!$C$15,MONTH(J207)&lt;=Setup!$C$16)),IF(Setup!$C$15&lt;=Setup!$C$16,AND(MONTH(WORKDAY(J207,-(Setup!$C$13+Setup!$G$28),Setup!$C$39:$C$50))&gt;=Setup!$C$15,MONTH(WORKDAY(J207,-(Setup!$C$13+Setup!$G$28),Setup!$C$39:$C$50))&lt;=Setup!$C$16),OR(MONTH(WORKDAY(J207,-(Setup!$C$13+Setup!$G$28),Setup!$C$39:$C$50))&gt;=Setup!$C$15,MONTH(WORKDAY(J207,-(Setup!$C$13+Setup!$G$28),Setup!$C$39:$C$50))&lt;=Setup!$C$16))),WORKDAY(J207,-(Setup!$C$13+Setup!$G$28+Setup!$C$14),Setup!$C$39:$C$50),WORKDAY(J207,-(Setup!$C$13+Setup!$G$28),Setup!$C$39:$C$50))+(202*100+9)/10000000)))</f>
        <v/>
      </c>
      <c r="AA207" t="str">
        <f>IF(K207="","",IF(K207&lt;Setup!$C$5-Setup!$C$6,"",IF(IF(ISNUMBER(Roster!$D207),Setup!$C$29&lt;=Roster!$D207,FALSE),"",IF(OR(IF(Setup!$C$15&lt;=Setup!$C$16,AND(MONTH(K207)&gt;=Setup!$C$15,MONTH(K207)&lt;=Setup!$C$16),OR(MONTH(K207)&gt;=Setup!$C$15,MONTH(K207)&lt;=Setup!$C$16)),IF(Setup!$C$15&lt;=Setup!$C$16,AND(MONTH(WORKDAY(K207,-(Setup!$C$13+Setup!$G$29),Setup!$C$39:$C$50))&gt;=Setup!$C$15,MONTH(WORKDAY(K207,-(Setup!$C$13+Setup!$G$29),Setup!$C$39:$C$50))&lt;=Setup!$C$16),OR(MONTH(WORKDAY(K207,-(Setup!$C$13+Setup!$G$29),Setup!$C$39:$C$50))&gt;=Setup!$C$15,MONTH(WORKDAY(K207,-(Setup!$C$13+Setup!$G$29),Setup!$C$39:$C$50))&lt;=Setup!$C$16))),WORKDAY(K207,-(Setup!$C$13+Setup!$G$29+Setup!$C$14),Setup!$C$39:$C$50),WORKDAY(K207,-(Setup!$C$13+Setup!$G$29),Setup!$C$39:$C$50))+(202*100+10)/10000000)))</f>
        <v/>
      </c>
      <c r="AB207" t="str">
        <f>IF(L207="","",IF(L207&lt;Setup!$C$5-Setup!$C$6,"",IF(IF(ISNUMBER(Roster!$D207),Setup!$C$30&lt;=Roster!$D207,FALSE),"",IF(OR(IF(Setup!$C$15&lt;=Setup!$C$16,AND(MONTH(L207)&gt;=Setup!$C$15,MONTH(L207)&lt;=Setup!$C$16),OR(MONTH(L207)&gt;=Setup!$C$15,MONTH(L207)&lt;=Setup!$C$16)),IF(Setup!$C$15&lt;=Setup!$C$16,AND(MONTH(WORKDAY(L207,-(Setup!$C$13+Setup!$G$30),Setup!$C$39:$C$50))&gt;=Setup!$C$15,MONTH(WORKDAY(L207,-(Setup!$C$13+Setup!$G$30),Setup!$C$39:$C$50))&lt;=Setup!$C$16),OR(MONTH(WORKDAY(L207,-(Setup!$C$13+Setup!$G$30),Setup!$C$39:$C$50))&gt;=Setup!$C$15,MONTH(WORKDAY(L207,-(Setup!$C$13+Setup!$G$30),Setup!$C$39:$C$50))&lt;=Setup!$C$16))),WORKDAY(L207,-(Setup!$C$13+Setup!$G$30+Setup!$C$14),Setup!$C$39:$C$50),WORKDAY(L207,-(Setup!$C$13+Setup!$G$30),Setup!$C$39:$C$50))+(202*100+11)/10000000)))</f>
        <v/>
      </c>
      <c r="AC207" t="str">
        <f>IF(M207="","",IF(M207&lt;Setup!$C$5-Setup!$C$6,"",IF(IF(ISNUMBER(Roster!$D207),Setup!$C$31&lt;=Roster!$D207,FALSE),"",IF(OR(IF(Setup!$C$15&lt;=Setup!$C$16,AND(MONTH(M207)&gt;=Setup!$C$15,MONTH(M207)&lt;=Setup!$C$16),OR(MONTH(M207)&gt;=Setup!$C$15,MONTH(M207)&lt;=Setup!$C$16)),IF(Setup!$C$15&lt;=Setup!$C$16,AND(MONTH(WORKDAY(M207,-(Setup!$C$13+Setup!$G$31),Setup!$C$39:$C$50))&gt;=Setup!$C$15,MONTH(WORKDAY(M207,-(Setup!$C$13+Setup!$G$31),Setup!$C$39:$C$50))&lt;=Setup!$C$16),OR(MONTH(WORKDAY(M207,-(Setup!$C$13+Setup!$G$31),Setup!$C$39:$C$50))&gt;=Setup!$C$15,MONTH(WORKDAY(M207,-(Setup!$C$13+Setup!$G$31),Setup!$C$39:$C$50))&lt;=Setup!$C$16))),WORKDAY(M207,-(Setup!$C$13+Setup!$G$31+Setup!$C$14),Setup!$C$39:$C$50),WORKDAY(M207,-(Setup!$C$13+Setup!$G$31),Setup!$C$39:$C$50))+(202*100+12)/10000000)))</f>
        <v/>
      </c>
      <c r="AD207" t="str">
        <f>IF(N207="","",IF(N207&lt;Setup!$C$5-Setup!$C$6,"",IF(IF(ISNUMBER(Roster!$D207),Setup!$C$32&lt;=Roster!$D207,FALSE),"",IF(OR(IF(Setup!$C$15&lt;=Setup!$C$16,AND(MONTH(N207)&gt;=Setup!$C$15,MONTH(N207)&lt;=Setup!$C$16),OR(MONTH(N207)&gt;=Setup!$C$15,MONTH(N207)&lt;=Setup!$C$16)),IF(Setup!$C$15&lt;=Setup!$C$16,AND(MONTH(WORKDAY(N207,-(Setup!$C$13+Setup!$G$32),Setup!$C$39:$C$50))&gt;=Setup!$C$15,MONTH(WORKDAY(N207,-(Setup!$C$13+Setup!$G$32),Setup!$C$39:$C$50))&lt;=Setup!$C$16),OR(MONTH(WORKDAY(N207,-(Setup!$C$13+Setup!$G$32),Setup!$C$39:$C$50))&gt;=Setup!$C$15,MONTH(WORKDAY(N207,-(Setup!$C$13+Setup!$G$32),Setup!$C$39:$C$50))&lt;=Setup!$C$16))),WORKDAY(N207,-(Setup!$C$13+Setup!$G$32+Setup!$C$14),Setup!$C$39:$C$50),WORKDAY(N207,-(Setup!$C$13+Setup!$G$32),Setup!$C$39:$C$50))+(202*100+13)/10000000)))</f>
        <v/>
      </c>
      <c r="AE207" t="str">
        <f>IF(O207="","",IF(O207&lt;Setup!$C$5-Setup!$C$6,"",IF(IF(ISNUMBER(Roster!$D207),Setup!$C$33&lt;=Roster!$D207,FALSE),"",IF(OR(IF(Setup!$C$15&lt;=Setup!$C$16,AND(MONTH(O207)&gt;=Setup!$C$15,MONTH(O207)&lt;=Setup!$C$16),OR(MONTH(O207)&gt;=Setup!$C$15,MONTH(O207)&lt;=Setup!$C$16)),IF(Setup!$C$15&lt;=Setup!$C$16,AND(MONTH(WORKDAY(O207,-(Setup!$C$13+Setup!$G$33),Setup!$C$39:$C$50))&gt;=Setup!$C$15,MONTH(WORKDAY(O207,-(Setup!$C$13+Setup!$G$33),Setup!$C$39:$C$50))&lt;=Setup!$C$16),OR(MONTH(WORKDAY(O207,-(Setup!$C$13+Setup!$G$33),Setup!$C$39:$C$50))&gt;=Setup!$C$15,MONTH(WORKDAY(O207,-(Setup!$C$13+Setup!$G$33),Setup!$C$39:$C$50))&lt;=Setup!$C$16))),WORKDAY(O207,-(Setup!$C$13+Setup!$G$33+Setup!$C$14),Setup!$C$39:$C$50),WORKDAY(O207,-(Setup!$C$13+Setup!$G$33),Setup!$C$39:$C$50))+(202*100+14)/10000000)))</f>
        <v/>
      </c>
      <c r="AF207" t="str">
        <f>IF(P207="","",IF(P207&lt;Setup!$C$5-Setup!$C$6,"",IF(IF(ISNUMBER(Roster!$D207),Setup!$C$34&lt;=Roster!$D207,FALSE),"",IF(OR(IF(Setup!$C$15&lt;=Setup!$C$16,AND(MONTH(P207)&gt;=Setup!$C$15,MONTH(P207)&lt;=Setup!$C$16),OR(MONTH(P207)&gt;=Setup!$C$15,MONTH(P207)&lt;=Setup!$C$16)),IF(Setup!$C$15&lt;=Setup!$C$16,AND(MONTH(WORKDAY(P207,-(Setup!$C$13+Setup!$G$34),Setup!$C$39:$C$50))&gt;=Setup!$C$15,MONTH(WORKDAY(P207,-(Setup!$C$13+Setup!$G$34),Setup!$C$39:$C$50))&lt;=Setup!$C$16),OR(MONTH(WORKDAY(P207,-(Setup!$C$13+Setup!$G$34),Setup!$C$39:$C$50))&gt;=Setup!$C$15,MONTH(WORKDAY(P207,-(Setup!$C$13+Setup!$G$34),Setup!$C$39:$C$50))&lt;=Setup!$C$16))),WORKDAY(P207,-(Setup!$C$13+Setup!$G$34+Setup!$C$14),Setup!$C$39:$C$50),WORKDAY(P207,-(Setup!$C$13+Setup!$G$34),Setup!$C$39:$C$50))+(202*100+15)/10000000)))</f>
        <v/>
      </c>
      <c r="AH207" t="str">
        <f t="shared" si="25"/>
        <v/>
      </c>
      <c r="AI207" t="str">
        <f t="shared" si="26"/>
        <v/>
      </c>
      <c r="AK207" t="str">
        <f ca="1">IF(202&gt;$AK$2,"",SMALL($R$6:$AF$505,202))</f>
        <v/>
      </c>
      <c r="AL207" t="str">
        <f t="shared" ca="1" si="27"/>
        <v/>
      </c>
      <c r="AM207" t="str">
        <f t="shared" ca="1" si="28"/>
        <v/>
      </c>
      <c r="AN207" t="str">
        <f t="shared" ca="1" si="29"/>
        <v/>
      </c>
      <c r="AP207" t="str">
        <f>IF(ISNUMBER(Roster!$B207),MAX(1,YEAR(Setup!$C$5)-YEAR(Roster!$B207)+IF(EDATE(Roster!$B207,12*(YEAR(Setup!$C$5)-YEAR(Roster!$B207)))&lt;Setup!$C$5,1,0)),"")</f>
        <v/>
      </c>
      <c r="AQ207" s="32" t="str">
        <f>IF(AP207="","",EDATE(Roster!$B207,12*AP207))</f>
        <v/>
      </c>
      <c r="AR207" t="str">
        <f>IF(AQ207="","",IF(AQ207&lt;DATE(YEAR(Setup!$C$5)+1,MONTH(Setup!$C$5),DAY(Setup!$C$5)),AQ207+202/1000,""))</f>
        <v/>
      </c>
      <c r="AS207" t="str">
        <f t="shared" si="30"/>
        <v/>
      </c>
      <c r="AT207" t="str">
        <f>IF(AS207="","",IF(ISNUMBER(Roster!$D207),Roster!$D207&gt;=AP207,FALSE))</f>
        <v/>
      </c>
      <c r="AU207" t="str">
        <f t="shared" si="31"/>
        <v/>
      </c>
      <c r="AV207" t="str">
        <f ca="1">IF(202&gt;$AV$2,"",SMALL($AR$6:$AR$505,202))</f>
        <v/>
      </c>
      <c r="AW207" t="str">
        <f t="shared" ca="1" si="32"/>
        <v/>
      </c>
    </row>
    <row r="208" spans="2:49" x14ac:dyDescent="0.2">
      <c r="B208" s="32" t="str">
        <f>IF(AND(ISNUMBER(Roster!$B208),Setup!$B$20="Yes",ISNUMBER(Setup!$C$20)),EDATE(Roster!$B208,12*Setup!$C$20),"")</f>
        <v/>
      </c>
      <c r="C208" s="32" t="str">
        <f>IF(AND(ISNUMBER(Roster!$B208),Setup!$B$21="Yes",ISNUMBER(Setup!$C$21)),EDATE(Roster!$B208,12*Setup!$C$21),"")</f>
        <v/>
      </c>
      <c r="D208" s="32" t="str">
        <f>IF(AND(ISNUMBER(Roster!$B208),Setup!$B$22="Yes",ISNUMBER(Setup!$C$22)),EDATE(Roster!$B208,12*Setup!$C$22),"")</f>
        <v/>
      </c>
      <c r="E208" s="32" t="str">
        <f>IF(AND(ISNUMBER(Roster!$B208),Setup!$B$23="Yes",ISNUMBER(Setup!$C$23)),EDATE(Roster!$B208,12*Setup!$C$23),"")</f>
        <v/>
      </c>
      <c r="F208" s="32" t="str">
        <f>IF(AND(ISNUMBER(Roster!$B208),Setup!$B$24="Yes",ISNUMBER(Setup!$C$24)),EDATE(Roster!$B208,12*Setup!$C$24),"")</f>
        <v/>
      </c>
      <c r="G208" s="32" t="str">
        <f>IF(AND(ISNUMBER(Roster!$B208),Setup!$B$25="Yes",ISNUMBER(Setup!$C$25)),EDATE(Roster!$B208,12*Setup!$C$25),"")</f>
        <v/>
      </c>
      <c r="H208" s="32" t="str">
        <f>IF(AND(ISNUMBER(Roster!$B208),Setup!$B$26="Yes",ISNUMBER(Setup!$C$26)),EDATE(Roster!$B208,12*Setup!$C$26),"")</f>
        <v/>
      </c>
      <c r="I208" s="32" t="str">
        <f>IF(AND(ISNUMBER(Roster!$B208),Setup!$B$27="Yes",ISNUMBER(Setup!$C$27)),EDATE(Roster!$B208,12*Setup!$C$27),"")</f>
        <v/>
      </c>
      <c r="J208" s="32" t="str">
        <f>IF(AND(ISNUMBER(Roster!$B208),Setup!$B$28="Yes",ISNUMBER(Setup!$C$28)),EDATE(Roster!$B208,12*Setup!$C$28),"")</f>
        <v/>
      </c>
      <c r="K208" s="32" t="str">
        <f>IF(AND(ISNUMBER(Roster!$B208),Setup!$B$29="Yes",ISNUMBER(Setup!$C$29)),EDATE(Roster!$B208,12*Setup!$C$29),"")</f>
        <v/>
      </c>
      <c r="L208" s="32" t="str">
        <f>IF(AND(ISNUMBER(Roster!$B208),Setup!$B$30="Yes",ISNUMBER(Setup!$C$30)),EDATE(Roster!$B208,12*Setup!$C$30),"")</f>
        <v/>
      </c>
      <c r="M208" s="32" t="str">
        <f>IF(AND(ISNUMBER(Roster!$B208),Setup!$B$31="Yes",ISNUMBER(Setup!$C$31)),EDATE(Roster!$B208,12*Setup!$C$31),"")</f>
        <v/>
      </c>
      <c r="N208" s="32" t="str">
        <f>IF(AND(ISNUMBER(Roster!$B208),Setup!$B$32="Yes",ISNUMBER(Setup!$C$32)),EDATE(Roster!$B208,12*Setup!$C$32),"")</f>
        <v/>
      </c>
      <c r="O208" s="32" t="str">
        <f>IF(AND(ISNUMBER(Roster!$B208),Setup!$B$33="Yes",ISNUMBER(Setup!$C$33)),EDATE(Roster!$B208,12*Setup!$C$33),"")</f>
        <v/>
      </c>
      <c r="P208" s="32" t="str">
        <f>IF(AND(ISNUMBER(Roster!$B208),Setup!$B$34="Yes",ISNUMBER(Setup!$C$34)),EDATE(Roster!$B208,12*Setup!$C$34),"")</f>
        <v/>
      </c>
      <c r="R208" t="str">
        <f>IF(B208="","",IF(B208&lt;Setup!$C$5-Setup!$C$6,"",IF(IF(ISNUMBER(Roster!$D208),Setup!$C$20&lt;=Roster!$D208,FALSE),"",IF(OR(IF(Setup!$C$15&lt;=Setup!$C$16,AND(MONTH(B208)&gt;=Setup!$C$15,MONTH(B208)&lt;=Setup!$C$16),OR(MONTH(B208)&gt;=Setup!$C$15,MONTH(B208)&lt;=Setup!$C$16)),IF(Setup!$C$15&lt;=Setup!$C$16,AND(MONTH(WORKDAY(B208,-(Setup!$C$13+Setup!$G$20),Setup!$C$39:$C$50))&gt;=Setup!$C$15,MONTH(WORKDAY(B208,-(Setup!$C$13+Setup!$G$20),Setup!$C$39:$C$50))&lt;=Setup!$C$16),OR(MONTH(WORKDAY(B208,-(Setup!$C$13+Setup!$G$20),Setup!$C$39:$C$50))&gt;=Setup!$C$15,MONTH(WORKDAY(B208,-(Setup!$C$13+Setup!$G$20),Setup!$C$39:$C$50))&lt;=Setup!$C$16))),WORKDAY(B208,-(Setup!$C$13+Setup!$G$20+Setup!$C$14),Setup!$C$39:$C$50),WORKDAY(B208,-(Setup!$C$13+Setup!$G$20),Setup!$C$39:$C$50))+(203*100+1)/10000000)))</f>
        <v/>
      </c>
      <c r="S208" t="str">
        <f>IF(C208="","",IF(C208&lt;Setup!$C$5-Setup!$C$6,"",IF(IF(ISNUMBER(Roster!$D208),Setup!$C$21&lt;=Roster!$D208,FALSE),"",IF(OR(IF(Setup!$C$15&lt;=Setup!$C$16,AND(MONTH(C208)&gt;=Setup!$C$15,MONTH(C208)&lt;=Setup!$C$16),OR(MONTH(C208)&gt;=Setup!$C$15,MONTH(C208)&lt;=Setup!$C$16)),IF(Setup!$C$15&lt;=Setup!$C$16,AND(MONTH(WORKDAY(C208,-(Setup!$C$13+Setup!$G$21),Setup!$C$39:$C$50))&gt;=Setup!$C$15,MONTH(WORKDAY(C208,-(Setup!$C$13+Setup!$G$21),Setup!$C$39:$C$50))&lt;=Setup!$C$16),OR(MONTH(WORKDAY(C208,-(Setup!$C$13+Setup!$G$21),Setup!$C$39:$C$50))&gt;=Setup!$C$15,MONTH(WORKDAY(C208,-(Setup!$C$13+Setup!$G$21),Setup!$C$39:$C$50))&lt;=Setup!$C$16))),WORKDAY(C208,-(Setup!$C$13+Setup!$G$21+Setup!$C$14),Setup!$C$39:$C$50),WORKDAY(C208,-(Setup!$C$13+Setup!$G$21),Setup!$C$39:$C$50))+(203*100+2)/10000000)))</f>
        <v/>
      </c>
      <c r="T208" t="str">
        <f>IF(D208="","",IF(D208&lt;Setup!$C$5-Setup!$C$6,"",IF(IF(ISNUMBER(Roster!$D208),Setup!$C$22&lt;=Roster!$D208,FALSE),"",IF(OR(IF(Setup!$C$15&lt;=Setup!$C$16,AND(MONTH(D208)&gt;=Setup!$C$15,MONTH(D208)&lt;=Setup!$C$16),OR(MONTH(D208)&gt;=Setup!$C$15,MONTH(D208)&lt;=Setup!$C$16)),IF(Setup!$C$15&lt;=Setup!$C$16,AND(MONTH(WORKDAY(D208,-(Setup!$C$13+Setup!$G$22),Setup!$C$39:$C$50))&gt;=Setup!$C$15,MONTH(WORKDAY(D208,-(Setup!$C$13+Setup!$G$22),Setup!$C$39:$C$50))&lt;=Setup!$C$16),OR(MONTH(WORKDAY(D208,-(Setup!$C$13+Setup!$G$22),Setup!$C$39:$C$50))&gt;=Setup!$C$15,MONTH(WORKDAY(D208,-(Setup!$C$13+Setup!$G$22),Setup!$C$39:$C$50))&lt;=Setup!$C$16))),WORKDAY(D208,-(Setup!$C$13+Setup!$G$22+Setup!$C$14),Setup!$C$39:$C$50),WORKDAY(D208,-(Setup!$C$13+Setup!$G$22),Setup!$C$39:$C$50))+(203*100+3)/10000000)))</f>
        <v/>
      </c>
      <c r="U208" t="str">
        <f>IF(E208="","",IF(E208&lt;Setup!$C$5-Setup!$C$6,"",IF(IF(ISNUMBER(Roster!$D208),Setup!$C$23&lt;=Roster!$D208,FALSE),"",IF(OR(IF(Setup!$C$15&lt;=Setup!$C$16,AND(MONTH(E208)&gt;=Setup!$C$15,MONTH(E208)&lt;=Setup!$C$16),OR(MONTH(E208)&gt;=Setup!$C$15,MONTH(E208)&lt;=Setup!$C$16)),IF(Setup!$C$15&lt;=Setup!$C$16,AND(MONTH(WORKDAY(E208,-(Setup!$C$13+Setup!$G$23),Setup!$C$39:$C$50))&gt;=Setup!$C$15,MONTH(WORKDAY(E208,-(Setup!$C$13+Setup!$G$23),Setup!$C$39:$C$50))&lt;=Setup!$C$16),OR(MONTH(WORKDAY(E208,-(Setup!$C$13+Setup!$G$23),Setup!$C$39:$C$50))&gt;=Setup!$C$15,MONTH(WORKDAY(E208,-(Setup!$C$13+Setup!$G$23),Setup!$C$39:$C$50))&lt;=Setup!$C$16))),WORKDAY(E208,-(Setup!$C$13+Setup!$G$23+Setup!$C$14),Setup!$C$39:$C$50),WORKDAY(E208,-(Setup!$C$13+Setup!$G$23),Setup!$C$39:$C$50))+(203*100+4)/10000000)))</f>
        <v/>
      </c>
      <c r="V208" t="str">
        <f>IF(F208="","",IF(F208&lt;Setup!$C$5-Setup!$C$6,"",IF(IF(ISNUMBER(Roster!$D208),Setup!$C$24&lt;=Roster!$D208,FALSE),"",IF(OR(IF(Setup!$C$15&lt;=Setup!$C$16,AND(MONTH(F208)&gt;=Setup!$C$15,MONTH(F208)&lt;=Setup!$C$16),OR(MONTH(F208)&gt;=Setup!$C$15,MONTH(F208)&lt;=Setup!$C$16)),IF(Setup!$C$15&lt;=Setup!$C$16,AND(MONTH(WORKDAY(F208,-(Setup!$C$13+Setup!$G$24),Setup!$C$39:$C$50))&gt;=Setup!$C$15,MONTH(WORKDAY(F208,-(Setup!$C$13+Setup!$G$24),Setup!$C$39:$C$50))&lt;=Setup!$C$16),OR(MONTH(WORKDAY(F208,-(Setup!$C$13+Setup!$G$24),Setup!$C$39:$C$50))&gt;=Setup!$C$15,MONTH(WORKDAY(F208,-(Setup!$C$13+Setup!$G$24),Setup!$C$39:$C$50))&lt;=Setup!$C$16))),WORKDAY(F208,-(Setup!$C$13+Setup!$G$24+Setup!$C$14),Setup!$C$39:$C$50),WORKDAY(F208,-(Setup!$C$13+Setup!$G$24),Setup!$C$39:$C$50))+(203*100+5)/10000000)))</f>
        <v/>
      </c>
      <c r="W208" t="str">
        <f>IF(G208="","",IF(G208&lt;Setup!$C$5-Setup!$C$6,"",IF(IF(ISNUMBER(Roster!$D208),Setup!$C$25&lt;=Roster!$D208,FALSE),"",IF(OR(IF(Setup!$C$15&lt;=Setup!$C$16,AND(MONTH(G208)&gt;=Setup!$C$15,MONTH(G208)&lt;=Setup!$C$16),OR(MONTH(G208)&gt;=Setup!$C$15,MONTH(G208)&lt;=Setup!$C$16)),IF(Setup!$C$15&lt;=Setup!$C$16,AND(MONTH(WORKDAY(G208,-(Setup!$C$13+Setup!$G$25),Setup!$C$39:$C$50))&gt;=Setup!$C$15,MONTH(WORKDAY(G208,-(Setup!$C$13+Setup!$G$25),Setup!$C$39:$C$50))&lt;=Setup!$C$16),OR(MONTH(WORKDAY(G208,-(Setup!$C$13+Setup!$G$25),Setup!$C$39:$C$50))&gt;=Setup!$C$15,MONTH(WORKDAY(G208,-(Setup!$C$13+Setup!$G$25),Setup!$C$39:$C$50))&lt;=Setup!$C$16))),WORKDAY(G208,-(Setup!$C$13+Setup!$G$25+Setup!$C$14),Setup!$C$39:$C$50),WORKDAY(G208,-(Setup!$C$13+Setup!$G$25),Setup!$C$39:$C$50))+(203*100+6)/10000000)))</f>
        <v/>
      </c>
      <c r="X208" t="str">
        <f>IF(H208="","",IF(H208&lt;Setup!$C$5-Setup!$C$6,"",IF(IF(ISNUMBER(Roster!$D208),Setup!$C$26&lt;=Roster!$D208,FALSE),"",IF(OR(IF(Setup!$C$15&lt;=Setup!$C$16,AND(MONTH(H208)&gt;=Setup!$C$15,MONTH(H208)&lt;=Setup!$C$16),OR(MONTH(H208)&gt;=Setup!$C$15,MONTH(H208)&lt;=Setup!$C$16)),IF(Setup!$C$15&lt;=Setup!$C$16,AND(MONTH(WORKDAY(H208,-(Setup!$C$13+Setup!$G$26),Setup!$C$39:$C$50))&gt;=Setup!$C$15,MONTH(WORKDAY(H208,-(Setup!$C$13+Setup!$G$26),Setup!$C$39:$C$50))&lt;=Setup!$C$16),OR(MONTH(WORKDAY(H208,-(Setup!$C$13+Setup!$G$26),Setup!$C$39:$C$50))&gt;=Setup!$C$15,MONTH(WORKDAY(H208,-(Setup!$C$13+Setup!$G$26),Setup!$C$39:$C$50))&lt;=Setup!$C$16))),WORKDAY(H208,-(Setup!$C$13+Setup!$G$26+Setup!$C$14),Setup!$C$39:$C$50),WORKDAY(H208,-(Setup!$C$13+Setup!$G$26),Setup!$C$39:$C$50))+(203*100+7)/10000000)))</f>
        <v/>
      </c>
      <c r="Y208" t="str">
        <f>IF(I208="","",IF(I208&lt;Setup!$C$5-Setup!$C$6,"",IF(IF(ISNUMBER(Roster!$D208),Setup!$C$27&lt;=Roster!$D208,FALSE),"",IF(OR(IF(Setup!$C$15&lt;=Setup!$C$16,AND(MONTH(I208)&gt;=Setup!$C$15,MONTH(I208)&lt;=Setup!$C$16),OR(MONTH(I208)&gt;=Setup!$C$15,MONTH(I208)&lt;=Setup!$C$16)),IF(Setup!$C$15&lt;=Setup!$C$16,AND(MONTH(WORKDAY(I208,-(Setup!$C$13+Setup!$G$27),Setup!$C$39:$C$50))&gt;=Setup!$C$15,MONTH(WORKDAY(I208,-(Setup!$C$13+Setup!$G$27),Setup!$C$39:$C$50))&lt;=Setup!$C$16),OR(MONTH(WORKDAY(I208,-(Setup!$C$13+Setup!$G$27),Setup!$C$39:$C$50))&gt;=Setup!$C$15,MONTH(WORKDAY(I208,-(Setup!$C$13+Setup!$G$27),Setup!$C$39:$C$50))&lt;=Setup!$C$16))),WORKDAY(I208,-(Setup!$C$13+Setup!$G$27+Setup!$C$14),Setup!$C$39:$C$50),WORKDAY(I208,-(Setup!$C$13+Setup!$G$27),Setup!$C$39:$C$50))+(203*100+8)/10000000)))</f>
        <v/>
      </c>
      <c r="Z208" t="str">
        <f>IF(J208="","",IF(J208&lt;Setup!$C$5-Setup!$C$6,"",IF(IF(ISNUMBER(Roster!$D208),Setup!$C$28&lt;=Roster!$D208,FALSE),"",IF(OR(IF(Setup!$C$15&lt;=Setup!$C$16,AND(MONTH(J208)&gt;=Setup!$C$15,MONTH(J208)&lt;=Setup!$C$16),OR(MONTH(J208)&gt;=Setup!$C$15,MONTH(J208)&lt;=Setup!$C$16)),IF(Setup!$C$15&lt;=Setup!$C$16,AND(MONTH(WORKDAY(J208,-(Setup!$C$13+Setup!$G$28),Setup!$C$39:$C$50))&gt;=Setup!$C$15,MONTH(WORKDAY(J208,-(Setup!$C$13+Setup!$G$28),Setup!$C$39:$C$50))&lt;=Setup!$C$16),OR(MONTH(WORKDAY(J208,-(Setup!$C$13+Setup!$G$28),Setup!$C$39:$C$50))&gt;=Setup!$C$15,MONTH(WORKDAY(J208,-(Setup!$C$13+Setup!$G$28),Setup!$C$39:$C$50))&lt;=Setup!$C$16))),WORKDAY(J208,-(Setup!$C$13+Setup!$G$28+Setup!$C$14),Setup!$C$39:$C$50),WORKDAY(J208,-(Setup!$C$13+Setup!$G$28),Setup!$C$39:$C$50))+(203*100+9)/10000000)))</f>
        <v/>
      </c>
      <c r="AA208" t="str">
        <f>IF(K208="","",IF(K208&lt;Setup!$C$5-Setup!$C$6,"",IF(IF(ISNUMBER(Roster!$D208),Setup!$C$29&lt;=Roster!$D208,FALSE),"",IF(OR(IF(Setup!$C$15&lt;=Setup!$C$16,AND(MONTH(K208)&gt;=Setup!$C$15,MONTH(K208)&lt;=Setup!$C$16),OR(MONTH(K208)&gt;=Setup!$C$15,MONTH(K208)&lt;=Setup!$C$16)),IF(Setup!$C$15&lt;=Setup!$C$16,AND(MONTH(WORKDAY(K208,-(Setup!$C$13+Setup!$G$29),Setup!$C$39:$C$50))&gt;=Setup!$C$15,MONTH(WORKDAY(K208,-(Setup!$C$13+Setup!$G$29),Setup!$C$39:$C$50))&lt;=Setup!$C$16),OR(MONTH(WORKDAY(K208,-(Setup!$C$13+Setup!$G$29),Setup!$C$39:$C$50))&gt;=Setup!$C$15,MONTH(WORKDAY(K208,-(Setup!$C$13+Setup!$G$29),Setup!$C$39:$C$50))&lt;=Setup!$C$16))),WORKDAY(K208,-(Setup!$C$13+Setup!$G$29+Setup!$C$14),Setup!$C$39:$C$50),WORKDAY(K208,-(Setup!$C$13+Setup!$G$29),Setup!$C$39:$C$50))+(203*100+10)/10000000)))</f>
        <v/>
      </c>
      <c r="AB208" t="str">
        <f>IF(L208="","",IF(L208&lt;Setup!$C$5-Setup!$C$6,"",IF(IF(ISNUMBER(Roster!$D208),Setup!$C$30&lt;=Roster!$D208,FALSE),"",IF(OR(IF(Setup!$C$15&lt;=Setup!$C$16,AND(MONTH(L208)&gt;=Setup!$C$15,MONTH(L208)&lt;=Setup!$C$16),OR(MONTH(L208)&gt;=Setup!$C$15,MONTH(L208)&lt;=Setup!$C$16)),IF(Setup!$C$15&lt;=Setup!$C$16,AND(MONTH(WORKDAY(L208,-(Setup!$C$13+Setup!$G$30),Setup!$C$39:$C$50))&gt;=Setup!$C$15,MONTH(WORKDAY(L208,-(Setup!$C$13+Setup!$G$30),Setup!$C$39:$C$50))&lt;=Setup!$C$16),OR(MONTH(WORKDAY(L208,-(Setup!$C$13+Setup!$G$30),Setup!$C$39:$C$50))&gt;=Setup!$C$15,MONTH(WORKDAY(L208,-(Setup!$C$13+Setup!$G$30),Setup!$C$39:$C$50))&lt;=Setup!$C$16))),WORKDAY(L208,-(Setup!$C$13+Setup!$G$30+Setup!$C$14),Setup!$C$39:$C$50),WORKDAY(L208,-(Setup!$C$13+Setup!$G$30),Setup!$C$39:$C$50))+(203*100+11)/10000000)))</f>
        <v/>
      </c>
      <c r="AC208" t="str">
        <f>IF(M208="","",IF(M208&lt;Setup!$C$5-Setup!$C$6,"",IF(IF(ISNUMBER(Roster!$D208),Setup!$C$31&lt;=Roster!$D208,FALSE),"",IF(OR(IF(Setup!$C$15&lt;=Setup!$C$16,AND(MONTH(M208)&gt;=Setup!$C$15,MONTH(M208)&lt;=Setup!$C$16),OR(MONTH(M208)&gt;=Setup!$C$15,MONTH(M208)&lt;=Setup!$C$16)),IF(Setup!$C$15&lt;=Setup!$C$16,AND(MONTH(WORKDAY(M208,-(Setup!$C$13+Setup!$G$31),Setup!$C$39:$C$50))&gt;=Setup!$C$15,MONTH(WORKDAY(M208,-(Setup!$C$13+Setup!$G$31),Setup!$C$39:$C$50))&lt;=Setup!$C$16),OR(MONTH(WORKDAY(M208,-(Setup!$C$13+Setup!$G$31),Setup!$C$39:$C$50))&gt;=Setup!$C$15,MONTH(WORKDAY(M208,-(Setup!$C$13+Setup!$G$31),Setup!$C$39:$C$50))&lt;=Setup!$C$16))),WORKDAY(M208,-(Setup!$C$13+Setup!$G$31+Setup!$C$14),Setup!$C$39:$C$50),WORKDAY(M208,-(Setup!$C$13+Setup!$G$31),Setup!$C$39:$C$50))+(203*100+12)/10000000)))</f>
        <v/>
      </c>
      <c r="AD208" t="str">
        <f>IF(N208="","",IF(N208&lt;Setup!$C$5-Setup!$C$6,"",IF(IF(ISNUMBER(Roster!$D208),Setup!$C$32&lt;=Roster!$D208,FALSE),"",IF(OR(IF(Setup!$C$15&lt;=Setup!$C$16,AND(MONTH(N208)&gt;=Setup!$C$15,MONTH(N208)&lt;=Setup!$C$16),OR(MONTH(N208)&gt;=Setup!$C$15,MONTH(N208)&lt;=Setup!$C$16)),IF(Setup!$C$15&lt;=Setup!$C$16,AND(MONTH(WORKDAY(N208,-(Setup!$C$13+Setup!$G$32),Setup!$C$39:$C$50))&gt;=Setup!$C$15,MONTH(WORKDAY(N208,-(Setup!$C$13+Setup!$G$32),Setup!$C$39:$C$50))&lt;=Setup!$C$16),OR(MONTH(WORKDAY(N208,-(Setup!$C$13+Setup!$G$32),Setup!$C$39:$C$50))&gt;=Setup!$C$15,MONTH(WORKDAY(N208,-(Setup!$C$13+Setup!$G$32),Setup!$C$39:$C$50))&lt;=Setup!$C$16))),WORKDAY(N208,-(Setup!$C$13+Setup!$G$32+Setup!$C$14),Setup!$C$39:$C$50),WORKDAY(N208,-(Setup!$C$13+Setup!$G$32),Setup!$C$39:$C$50))+(203*100+13)/10000000)))</f>
        <v/>
      </c>
      <c r="AE208" t="str">
        <f>IF(O208="","",IF(O208&lt;Setup!$C$5-Setup!$C$6,"",IF(IF(ISNUMBER(Roster!$D208),Setup!$C$33&lt;=Roster!$D208,FALSE),"",IF(OR(IF(Setup!$C$15&lt;=Setup!$C$16,AND(MONTH(O208)&gt;=Setup!$C$15,MONTH(O208)&lt;=Setup!$C$16),OR(MONTH(O208)&gt;=Setup!$C$15,MONTH(O208)&lt;=Setup!$C$16)),IF(Setup!$C$15&lt;=Setup!$C$16,AND(MONTH(WORKDAY(O208,-(Setup!$C$13+Setup!$G$33),Setup!$C$39:$C$50))&gt;=Setup!$C$15,MONTH(WORKDAY(O208,-(Setup!$C$13+Setup!$G$33),Setup!$C$39:$C$50))&lt;=Setup!$C$16),OR(MONTH(WORKDAY(O208,-(Setup!$C$13+Setup!$G$33),Setup!$C$39:$C$50))&gt;=Setup!$C$15,MONTH(WORKDAY(O208,-(Setup!$C$13+Setup!$G$33),Setup!$C$39:$C$50))&lt;=Setup!$C$16))),WORKDAY(O208,-(Setup!$C$13+Setup!$G$33+Setup!$C$14),Setup!$C$39:$C$50),WORKDAY(O208,-(Setup!$C$13+Setup!$G$33),Setup!$C$39:$C$50))+(203*100+14)/10000000)))</f>
        <v/>
      </c>
      <c r="AF208" t="str">
        <f>IF(P208="","",IF(P208&lt;Setup!$C$5-Setup!$C$6,"",IF(IF(ISNUMBER(Roster!$D208),Setup!$C$34&lt;=Roster!$D208,FALSE),"",IF(OR(IF(Setup!$C$15&lt;=Setup!$C$16,AND(MONTH(P208)&gt;=Setup!$C$15,MONTH(P208)&lt;=Setup!$C$16),OR(MONTH(P208)&gt;=Setup!$C$15,MONTH(P208)&lt;=Setup!$C$16)),IF(Setup!$C$15&lt;=Setup!$C$16,AND(MONTH(WORKDAY(P208,-(Setup!$C$13+Setup!$G$34),Setup!$C$39:$C$50))&gt;=Setup!$C$15,MONTH(WORKDAY(P208,-(Setup!$C$13+Setup!$G$34),Setup!$C$39:$C$50))&lt;=Setup!$C$16),OR(MONTH(WORKDAY(P208,-(Setup!$C$13+Setup!$G$34),Setup!$C$39:$C$50))&gt;=Setup!$C$15,MONTH(WORKDAY(P208,-(Setup!$C$13+Setup!$G$34),Setup!$C$39:$C$50))&lt;=Setup!$C$16))),WORKDAY(P208,-(Setup!$C$13+Setup!$G$34+Setup!$C$14),Setup!$C$39:$C$50),WORKDAY(P208,-(Setup!$C$13+Setup!$G$34),Setup!$C$39:$C$50))+(203*100+15)/10000000)))</f>
        <v/>
      </c>
      <c r="AH208" t="str">
        <f t="shared" si="25"/>
        <v/>
      </c>
      <c r="AI208" t="str">
        <f t="shared" si="26"/>
        <v/>
      </c>
      <c r="AK208" t="str">
        <f ca="1">IF(203&gt;$AK$2,"",SMALL($R$6:$AF$505,203))</f>
        <v/>
      </c>
      <c r="AL208" t="str">
        <f t="shared" ca="1" si="27"/>
        <v/>
      </c>
      <c r="AM208" t="str">
        <f t="shared" ca="1" si="28"/>
        <v/>
      </c>
      <c r="AN208" t="str">
        <f t="shared" ca="1" si="29"/>
        <v/>
      </c>
      <c r="AP208" t="str">
        <f>IF(ISNUMBER(Roster!$B208),MAX(1,YEAR(Setup!$C$5)-YEAR(Roster!$B208)+IF(EDATE(Roster!$B208,12*(YEAR(Setup!$C$5)-YEAR(Roster!$B208)))&lt;Setup!$C$5,1,0)),"")</f>
        <v/>
      </c>
      <c r="AQ208" s="32" t="str">
        <f>IF(AP208="","",EDATE(Roster!$B208,12*AP208))</f>
        <v/>
      </c>
      <c r="AR208" t="str">
        <f>IF(AQ208="","",IF(AQ208&lt;DATE(YEAR(Setup!$C$5)+1,MONTH(Setup!$C$5),DAY(Setup!$C$5)),AQ208+203/1000,""))</f>
        <v/>
      </c>
      <c r="AS208" t="str">
        <f t="shared" si="30"/>
        <v/>
      </c>
      <c r="AT208" t="str">
        <f>IF(AS208="","",IF(ISNUMBER(Roster!$D208),Roster!$D208&gt;=AP208,FALSE))</f>
        <v/>
      </c>
      <c r="AU208" t="str">
        <f t="shared" si="31"/>
        <v/>
      </c>
      <c r="AV208" t="str">
        <f ca="1">IF(203&gt;$AV$2,"",SMALL($AR$6:$AR$505,203))</f>
        <v/>
      </c>
      <c r="AW208" t="str">
        <f t="shared" ca="1" si="32"/>
        <v/>
      </c>
    </row>
    <row r="209" spans="2:49" x14ac:dyDescent="0.2">
      <c r="B209" s="32" t="str">
        <f>IF(AND(ISNUMBER(Roster!$B209),Setup!$B$20="Yes",ISNUMBER(Setup!$C$20)),EDATE(Roster!$B209,12*Setup!$C$20),"")</f>
        <v/>
      </c>
      <c r="C209" s="32" t="str">
        <f>IF(AND(ISNUMBER(Roster!$B209),Setup!$B$21="Yes",ISNUMBER(Setup!$C$21)),EDATE(Roster!$B209,12*Setup!$C$21),"")</f>
        <v/>
      </c>
      <c r="D209" s="32" t="str">
        <f>IF(AND(ISNUMBER(Roster!$B209),Setup!$B$22="Yes",ISNUMBER(Setup!$C$22)),EDATE(Roster!$B209,12*Setup!$C$22),"")</f>
        <v/>
      </c>
      <c r="E209" s="32" t="str">
        <f>IF(AND(ISNUMBER(Roster!$B209),Setup!$B$23="Yes",ISNUMBER(Setup!$C$23)),EDATE(Roster!$B209,12*Setup!$C$23),"")</f>
        <v/>
      </c>
      <c r="F209" s="32" t="str">
        <f>IF(AND(ISNUMBER(Roster!$B209),Setup!$B$24="Yes",ISNUMBER(Setup!$C$24)),EDATE(Roster!$B209,12*Setup!$C$24),"")</f>
        <v/>
      </c>
      <c r="G209" s="32" t="str">
        <f>IF(AND(ISNUMBER(Roster!$B209),Setup!$B$25="Yes",ISNUMBER(Setup!$C$25)),EDATE(Roster!$B209,12*Setup!$C$25),"")</f>
        <v/>
      </c>
      <c r="H209" s="32" t="str">
        <f>IF(AND(ISNUMBER(Roster!$B209),Setup!$B$26="Yes",ISNUMBER(Setup!$C$26)),EDATE(Roster!$B209,12*Setup!$C$26),"")</f>
        <v/>
      </c>
      <c r="I209" s="32" t="str">
        <f>IF(AND(ISNUMBER(Roster!$B209),Setup!$B$27="Yes",ISNUMBER(Setup!$C$27)),EDATE(Roster!$B209,12*Setup!$C$27),"")</f>
        <v/>
      </c>
      <c r="J209" s="32" t="str">
        <f>IF(AND(ISNUMBER(Roster!$B209),Setup!$B$28="Yes",ISNUMBER(Setup!$C$28)),EDATE(Roster!$B209,12*Setup!$C$28),"")</f>
        <v/>
      </c>
      <c r="K209" s="32" t="str">
        <f>IF(AND(ISNUMBER(Roster!$B209),Setup!$B$29="Yes",ISNUMBER(Setup!$C$29)),EDATE(Roster!$B209,12*Setup!$C$29),"")</f>
        <v/>
      </c>
      <c r="L209" s="32" t="str">
        <f>IF(AND(ISNUMBER(Roster!$B209),Setup!$B$30="Yes",ISNUMBER(Setup!$C$30)),EDATE(Roster!$B209,12*Setup!$C$30),"")</f>
        <v/>
      </c>
      <c r="M209" s="32" t="str">
        <f>IF(AND(ISNUMBER(Roster!$B209),Setup!$B$31="Yes",ISNUMBER(Setup!$C$31)),EDATE(Roster!$B209,12*Setup!$C$31),"")</f>
        <v/>
      </c>
      <c r="N209" s="32" t="str">
        <f>IF(AND(ISNUMBER(Roster!$B209),Setup!$B$32="Yes",ISNUMBER(Setup!$C$32)),EDATE(Roster!$B209,12*Setup!$C$32),"")</f>
        <v/>
      </c>
      <c r="O209" s="32" t="str">
        <f>IF(AND(ISNUMBER(Roster!$B209),Setup!$B$33="Yes",ISNUMBER(Setup!$C$33)),EDATE(Roster!$B209,12*Setup!$C$33),"")</f>
        <v/>
      </c>
      <c r="P209" s="32" t="str">
        <f>IF(AND(ISNUMBER(Roster!$B209),Setup!$B$34="Yes",ISNUMBER(Setup!$C$34)),EDATE(Roster!$B209,12*Setup!$C$34),"")</f>
        <v/>
      </c>
      <c r="R209" t="str">
        <f>IF(B209="","",IF(B209&lt;Setup!$C$5-Setup!$C$6,"",IF(IF(ISNUMBER(Roster!$D209),Setup!$C$20&lt;=Roster!$D209,FALSE),"",IF(OR(IF(Setup!$C$15&lt;=Setup!$C$16,AND(MONTH(B209)&gt;=Setup!$C$15,MONTH(B209)&lt;=Setup!$C$16),OR(MONTH(B209)&gt;=Setup!$C$15,MONTH(B209)&lt;=Setup!$C$16)),IF(Setup!$C$15&lt;=Setup!$C$16,AND(MONTH(WORKDAY(B209,-(Setup!$C$13+Setup!$G$20),Setup!$C$39:$C$50))&gt;=Setup!$C$15,MONTH(WORKDAY(B209,-(Setup!$C$13+Setup!$G$20),Setup!$C$39:$C$50))&lt;=Setup!$C$16),OR(MONTH(WORKDAY(B209,-(Setup!$C$13+Setup!$G$20),Setup!$C$39:$C$50))&gt;=Setup!$C$15,MONTH(WORKDAY(B209,-(Setup!$C$13+Setup!$G$20),Setup!$C$39:$C$50))&lt;=Setup!$C$16))),WORKDAY(B209,-(Setup!$C$13+Setup!$G$20+Setup!$C$14),Setup!$C$39:$C$50),WORKDAY(B209,-(Setup!$C$13+Setup!$G$20),Setup!$C$39:$C$50))+(204*100+1)/10000000)))</f>
        <v/>
      </c>
      <c r="S209" t="str">
        <f>IF(C209="","",IF(C209&lt;Setup!$C$5-Setup!$C$6,"",IF(IF(ISNUMBER(Roster!$D209),Setup!$C$21&lt;=Roster!$D209,FALSE),"",IF(OR(IF(Setup!$C$15&lt;=Setup!$C$16,AND(MONTH(C209)&gt;=Setup!$C$15,MONTH(C209)&lt;=Setup!$C$16),OR(MONTH(C209)&gt;=Setup!$C$15,MONTH(C209)&lt;=Setup!$C$16)),IF(Setup!$C$15&lt;=Setup!$C$16,AND(MONTH(WORKDAY(C209,-(Setup!$C$13+Setup!$G$21),Setup!$C$39:$C$50))&gt;=Setup!$C$15,MONTH(WORKDAY(C209,-(Setup!$C$13+Setup!$G$21),Setup!$C$39:$C$50))&lt;=Setup!$C$16),OR(MONTH(WORKDAY(C209,-(Setup!$C$13+Setup!$G$21),Setup!$C$39:$C$50))&gt;=Setup!$C$15,MONTH(WORKDAY(C209,-(Setup!$C$13+Setup!$G$21),Setup!$C$39:$C$50))&lt;=Setup!$C$16))),WORKDAY(C209,-(Setup!$C$13+Setup!$G$21+Setup!$C$14),Setup!$C$39:$C$50),WORKDAY(C209,-(Setup!$C$13+Setup!$G$21),Setup!$C$39:$C$50))+(204*100+2)/10000000)))</f>
        <v/>
      </c>
      <c r="T209" t="str">
        <f>IF(D209="","",IF(D209&lt;Setup!$C$5-Setup!$C$6,"",IF(IF(ISNUMBER(Roster!$D209),Setup!$C$22&lt;=Roster!$D209,FALSE),"",IF(OR(IF(Setup!$C$15&lt;=Setup!$C$16,AND(MONTH(D209)&gt;=Setup!$C$15,MONTH(D209)&lt;=Setup!$C$16),OR(MONTH(D209)&gt;=Setup!$C$15,MONTH(D209)&lt;=Setup!$C$16)),IF(Setup!$C$15&lt;=Setup!$C$16,AND(MONTH(WORKDAY(D209,-(Setup!$C$13+Setup!$G$22),Setup!$C$39:$C$50))&gt;=Setup!$C$15,MONTH(WORKDAY(D209,-(Setup!$C$13+Setup!$G$22),Setup!$C$39:$C$50))&lt;=Setup!$C$16),OR(MONTH(WORKDAY(D209,-(Setup!$C$13+Setup!$G$22),Setup!$C$39:$C$50))&gt;=Setup!$C$15,MONTH(WORKDAY(D209,-(Setup!$C$13+Setup!$G$22),Setup!$C$39:$C$50))&lt;=Setup!$C$16))),WORKDAY(D209,-(Setup!$C$13+Setup!$G$22+Setup!$C$14),Setup!$C$39:$C$50),WORKDAY(D209,-(Setup!$C$13+Setup!$G$22),Setup!$C$39:$C$50))+(204*100+3)/10000000)))</f>
        <v/>
      </c>
      <c r="U209" t="str">
        <f>IF(E209="","",IF(E209&lt;Setup!$C$5-Setup!$C$6,"",IF(IF(ISNUMBER(Roster!$D209),Setup!$C$23&lt;=Roster!$D209,FALSE),"",IF(OR(IF(Setup!$C$15&lt;=Setup!$C$16,AND(MONTH(E209)&gt;=Setup!$C$15,MONTH(E209)&lt;=Setup!$C$16),OR(MONTH(E209)&gt;=Setup!$C$15,MONTH(E209)&lt;=Setup!$C$16)),IF(Setup!$C$15&lt;=Setup!$C$16,AND(MONTH(WORKDAY(E209,-(Setup!$C$13+Setup!$G$23),Setup!$C$39:$C$50))&gt;=Setup!$C$15,MONTH(WORKDAY(E209,-(Setup!$C$13+Setup!$G$23),Setup!$C$39:$C$50))&lt;=Setup!$C$16),OR(MONTH(WORKDAY(E209,-(Setup!$C$13+Setup!$G$23),Setup!$C$39:$C$50))&gt;=Setup!$C$15,MONTH(WORKDAY(E209,-(Setup!$C$13+Setup!$G$23),Setup!$C$39:$C$50))&lt;=Setup!$C$16))),WORKDAY(E209,-(Setup!$C$13+Setup!$G$23+Setup!$C$14),Setup!$C$39:$C$50),WORKDAY(E209,-(Setup!$C$13+Setup!$G$23),Setup!$C$39:$C$50))+(204*100+4)/10000000)))</f>
        <v/>
      </c>
      <c r="V209" t="str">
        <f>IF(F209="","",IF(F209&lt;Setup!$C$5-Setup!$C$6,"",IF(IF(ISNUMBER(Roster!$D209),Setup!$C$24&lt;=Roster!$D209,FALSE),"",IF(OR(IF(Setup!$C$15&lt;=Setup!$C$16,AND(MONTH(F209)&gt;=Setup!$C$15,MONTH(F209)&lt;=Setup!$C$16),OR(MONTH(F209)&gt;=Setup!$C$15,MONTH(F209)&lt;=Setup!$C$16)),IF(Setup!$C$15&lt;=Setup!$C$16,AND(MONTH(WORKDAY(F209,-(Setup!$C$13+Setup!$G$24),Setup!$C$39:$C$50))&gt;=Setup!$C$15,MONTH(WORKDAY(F209,-(Setup!$C$13+Setup!$G$24),Setup!$C$39:$C$50))&lt;=Setup!$C$16),OR(MONTH(WORKDAY(F209,-(Setup!$C$13+Setup!$G$24),Setup!$C$39:$C$50))&gt;=Setup!$C$15,MONTH(WORKDAY(F209,-(Setup!$C$13+Setup!$G$24),Setup!$C$39:$C$50))&lt;=Setup!$C$16))),WORKDAY(F209,-(Setup!$C$13+Setup!$G$24+Setup!$C$14),Setup!$C$39:$C$50),WORKDAY(F209,-(Setup!$C$13+Setup!$G$24),Setup!$C$39:$C$50))+(204*100+5)/10000000)))</f>
        <v/>
      </c>
      <c r="W209" t="str">
        <f>IF(G209="","",IF(G209&lt;Setup!$C$5-Setup!$C$6,"",IF(IF(ISNUMBER(Roster!$D209),Setup!$C$25&lt;=Roster!$D209,FALSE),"",IF(OR(IF(Setup!$C$15&lt;=Setup!$C$16,AND(MONTH(G209)&gt;=Setup!$C$15,MONTH(G209)&lt;=Setup!$C$16),OR(MONTH(G209)&gt;=Setup!$C$15,MONTH(G209)&lt;=Setup!$C$16)),IF(Setup!$C$15&lt;=Setup!$C$16,AND(MONTH(WORKDAY(G209,-(Setup!$C$13+Setup!$G$25),Setup!$C$39:$C$50))&gt;=Setup!$C$15,MONTH(WORKDAY(G209,-(Setup!$C$13+Setup!$G$25),Setup!$C$39:$C$50))&lt;=Setup!$C$16),OR(MONTH(WORKDAY(G209,-(Setup!$C$13+Setup!$G$25),Setup!$C$39:$C$50))&gt;=Setup!$C$15,MONTH(WORKDAY(G209,-(Setup!$C$13+Setup!$G$25),Setup!$C$39:$C$50))&lt;=Setup!$C$16))),WORKDAY(G209,-(Setup!$C$13+Setup!$G$25+Setup!$C$14),Setup!$C$39:$C$50),WORKDAY(G209,-(Setup!$C$13+Setup!$G$25),Setup!$C$39:$C$50))+(204*100+6)/10000000)))</f>
        <v/>
      </c>
      <c r="X209" t="str">
        <f>IF(H209="","",IF(H209&lt;Setup!$C$5-Setup!$C$6,"",IF(IF(ISNUMBER(Roster!$D209),Setup!$C$26&lt;=Roster!$D209,FALSE),"",IF(OR(IF(Setup!$C$15&lt;=Setup!$C$16,AND(MONTH(H209)&gt;=Setup!$C$15,MONTH(H209)&lt;=Setup!$C$16),OR(MONTH(H209)&gt;=Setup!$C$15,MONTH(H209)&lt;=Setup!$C$16)),IF(Setup!$C$15&lt;=Setup!$C$16,AND(MONTH(WORKDAY(H209,-(Setup!$C$13+Setup!$G$26),Setup!$C$39:$C$50))&gt;=Setup!$C$15,MONTH(WORKDAY(H209,-(Setup!$C$13+Setup!$G$26),Setup!$C$39:$C$50))&lt;=Setup!$C$16),OR(MONTH(WORKDAY(H209,-(Setup!$C$13+Setup!$G$26),Setup!$C$39:$C$50))&gt;=Setup!$C$15,MONTH(WORKDAY(H209,-(Setup!$C$13+Setup!$G$26),Setup!$C$39:$C$50))&lt;=Setup!$C$16))),WORKDAY(H209,-(Setup!$C$13+Setup!$G$26+Setup!$C$14),Setup!$C$39:$C$50),WORKDAY(H209,-(Setup!$C$13+Setup!$G$26),Setup!$C$39:$C$50))+(204*100+7)/10000000)))</f>
        <v/>
      </c>
      <c r="Y209" t="str">
        <f>IF(I209="","",IF(I209&lt;Setup!$C$5-Setup!$C$6,"",IF(IF(ISNUMBER(Roster!$D209),Setup!$C$27&lt;=Roster!$D209,FALSE),"",IF(OR(IF(Setup!$C$15&lt;=Setup!$C$16,AND(MONTH(I209)&gt;=Setup!$C$15,MONTH(I209)&lt;=Setup!$C$16),OR(MONTH(I209)&gt;=Setup!$C$15,MONTH(I209)&lt;=Setup!$C$16)),IF(Setup!$C$15&lt;=Setup!$C$16,AND(MONTH(WORKDAY(I209,-(Setup!$C$13+Setup!$G$27),Setup!$C$39:$C$50))&gt;=Setup!$C$15,MONTH(WORKDAY(I209,-(Setup!$C$13+Setup!$G$27),Setup!$C$39:$C$50))&lt;=Setup!$C$16),OR(MONTH(WORKDAY(I209,-(Setup!$C$13+Setup!$G$27),Setup!$C$39:$C$50))&gt;=Setup!$C$15,MONTH(WORKDAY(I209,-(Setup!$C$13+Setup!$G$27),Setup!$C$39:$C$50))&lt;=Setup!$C$16))),WORKDAY(I209,-(Setup!$C$13+Setup!$G$27+Setup!$C$14),Setup!$C$39:$C$50),WORKDAY(I209,-(Setup!$C$13+Setup!$G$27),Setup!$C$39:$C$50))+(204*100+8)/10000000)))</f>
        <v/>
      </c>
      <c r="Z209" t="str">
        <f>IF(J209="","",IF(J209&lt;Setup!$C$5-Setup!$C$6,"",IF(IF(ISNUMBER(Roster!$D209),Setup!$C$28&lt;=Roster!$D209,FALSE),"",IF(OR(IF(Setup!$C$15&lt;=Setup!$C$16,AND(MONTH(J209)&gt;=Setup!$C$15,MONTH(J209)&lt;=Setup!$C$16),OR(MONTH(J209)&gt;=Setup!$C$15,MONTH(J209)&lt;=Setup!$C$16)),IF(Setup!$C$15&lt;=Setup!$C$16,AND(MONTH(WORKDAY(J209,-(Setup!$C$13+Setup!$G$28),Setup!$C$39:$C$50))&gt;=Setup!$C$15,MONTH(WORKDAY(J209,-(Setup!$C$13+Setup!$G$28),Setup!$C$39:$C$50))&lt;=Setup!$C$16),OR(MONTH(WORKDAY(J209,-(Setup!$C$13+Setup!$G$28),Setup!$C$39:$C$50))&gt;=Setup!$C$15,MONTH(WORKDAY(J209,-(Setup!$C$13+Setup!$G$28),Setup!$C$39:$C$50))&lt;=Setup!$C$16))),WORKDAY(J209,-(Setup!$C$13+Setup!$G$28+Setup!$C$14),Setup!$C$39:$C$50),WORKDAY(J209,-(Setup!$C$13+Setup!$G$28),Setup!$C$39:$C$50))+(204*100+9)/10000000)))</f>
        <v/>
      </c>
      <c r="AA209" t="str">
        <f>IF(K209="","",IF(K209&lt;Setup!$C$5-Setup!$C$6,"",IF(IF(ISNUMBER(Roster!$D209),Setup!$C$29&lt;=Roster!$D209,FALSE),"",IF(OR(IF(Setup!$C$15&lt;=Setup!$C$16,AND(MONTH(K209)&gt;=Setup!$C$15,MONTH(K209)&lt;=Setup!$C$16),OR(MONTH(K209)&gt;=Setup!$C$15,MONTH(K209)&lt;=Setup!$C$16)),IF(Setup!$C$15&lt;=Setup!$C$16,AND(MONTH(WORKDAY(K209,-(Setup!$C$13+Setup!$G$29),Setup!$C$39:$C$50))&gt;=Setup!$C$15,MONTH(WORKDAY(K209,-(Setup!$C$13+Setup!$G$29),Setup!$C$39:$C$50))&lt;=Setup!$C$16),OR(MONTH(WORKDAY(K209,-(Setup!$C$13+Setup!$G$29),Setup!$C$39:$C$50))&gt;=Setup!$C$15,MONTH(WORKDAY(K209,-(Setup!$C$13+Setup!$G$29),Setup!$C$39:$C$50))&lt;=Setup!$C$16))),WORKDAY(K209,-(Setup!$C$13+Setup!$G$29+Setup!$C$14),Setup!$C$39:$C$50),WORKDAY(K209,-(Setup!$C$13+Setup!$G$29),Setup!$C$39:$C$50))+(204*100+10)/10000000)))</f>
        <v/>
      </c>
      <c r="AB209" t="str">
        <f>IF(L209="","",IF(L209&lt;Setup!$C$5-Setup!$C$6,"",IF(IF(ISNUMBER(Roster!$D209),Setup!$C$30&lt;=Roster!$D209,FALSE),"",IF(OR(IF(Setup!$C$15&lt;=Setup!$C$16,AND(MONTH(L209)&gt;=Setup!$C$15,MONTH(L209)&lt;=Setup!$C$16),OR(MONTH(L209)&gt;=Setup!$C$15,MONTH(L209)&lt;=Setup!$C$16)),IF(Setup!$C$15&lt;=Setup!$C$16,AND(MONTH(WORKDAY(L209,-(Setup!$C$13+Setup!$G$30),Setup!$C$39:$C$50))&gt;=Setup!$C$15,MONTH(WORKDAY(L209,-(Setup!$C$13+Setup!$G$30),Setup!$C$39:$C$50))&lt;=Setup!$C$16),OR(MONTH(WORKDAY(L209,-(Setup!$C$13+Setup!$G$30),Setup!$C$39:$C$50))&gt;=Setup!$C$15,MONTH(WORKDAY(L209,-(Setup!$C$13+Setup!$G$30),Setup!$C$39:$C$50))&lt;=Setup!$C$16))),WORKDAY(L209,-(Setup!$C$13+Setup!$G$30+Setup!$C$14),Setup!$C$39:$C$50),WORKDAY(L209,-(Setup!$C$13+Setup!$G$30),Setup!$C$39:$C$50))+(204*100+11)/10000000)))</f>
        <v/>
      </c>
      <c r="AC209" t="str">
        <f>IF(M209="","",IF(M209&lt;Setup!$C$5-Setup!$C$6,"",IF(IF(ISNUMBER(Roster!$D209),Setup!$C$31&lt;=Roster!$D209,FALSE),"",IF(OR(IF(Setup!$C$15&lt;=Setup!$C$16,AND(MONTH(M209)&gt;=Setup!$C$15,MONTH(M209)&lt;=Setup!$C$16),OR(MONTH(M209)&gt;=Setup!$C$15,MONTH(M209)&lt;=Setup!$C$16)),IF(Setup!$C$15&lt;=Setup!$C$16,AND(MONTH(WORKDAY(M209,-(Setup!$C$13+Setup!$G$31),Setup!$C$39:$C$50))&gt;=Setup!$C$15,MONTH(WORKDAY(M209,-(Setup!$C$13+Setup!$G$31),Setup!$C$39:$C$50))&lt;=Setup!$C$16),OR(MONTH(WORKDAY(M209,-(Setup!$C$13+Setup!$G$31),Setup!$C$39:$C$50))&gt;=Setup!$C$15,MONTH(WORKDAY(M209,-(Setup!$C$13+Setup!$G$31),Setup!$C$39:$C$50))&lt;=Setup!$C$16))),WORKDAY(M209,-(Setup!$C$13+Setup!$G$31+Setup!$C$14),Setup!$C$39:$C$50),WORKDAY(M209,-(Setup!$C$13+Setup!$G$31),Setup!$C$39:$C$50))+(204*100+12)/10000000)))</f>
        <v/>
      </c>
      <c r="AD209" t="str">
        <f>IF(N209="","",IF(N209&lt;Setup!$C$5-Setup!$C$6,"",IF(IF(ISNUMBER(Roster!$D209),Setup!$C$32&lt;=Roster!$D209,FALSE),"",IF(OR(IF(Setup!$C$15&lt;=Setup!$C$16,AND(MONTH(N209)&gt;=Setup!$C$15,MONTH(N209)&lt;=Setup!$C$16),OR(MONTH(N209)&gt;=Setup!$C$15,MONTH(N209)&lt;=Setup!$C$16)),IF(Setup!$C$15&lt;=Setup!$C$16,AND(MONTH(WORKDAY(N209,-(Setup!$C$13+Setup!$G$32),Setup!$C$39:$C$50))&gt;=Setup!$C$15,MONTH(WORKDAY(N209,-(Setup!$C$13+Setup!$G$32),Setup!$C$39:$C$50))&lt;=Setup!$C$16),OR(MONTH(WORKDAY(N209,-(Setup!$C$13+Setup!$G$32),Setup!$C$39:$C$50))&gt;=Setup!$C$15,MONTH(WORKDAY(N209,-(Setup!$C$13+Setup!$G$32),Setup!$C$39:$C$50))&lt;=Setup!$C$16))),WORKDAY(N209,-(Setup!$C$13+Setup!$G$32+Setup!$C$14),Setup!$C$39:$C$50),WORKDAY(N209,-(Setup!$C$13+Setup!$G$32),Setup!$C$39:$C$50))+(204*100+13)/10000000)))</f>
        <v/>
      </c>
      <c r="AE209" t="str">
        <f>IF(O209="","",IF(O209&lt;Setup!$C$5-Setup!$C$6,"",IF(IF(ISNUMBER(Roster!$D209),Setup!$C$33&lt;=Roster!$D209,FALSE),"",IF(OR(IF(Setup!$C$15&lt;=Setup!$C$16,AND(MONTH(O209)&gt;=Setup!$C$15,MONTH(O209)&lt;=Setup!$C$16),OR(MONTH(O209)&gt;=Setup!$C$15,MONTH(O209)&lt;=Setup!$C$16)),IF(Setup!$C$15&lt;=Setup!$C$16,AND(MONTH(WORKDAY(O209,-(Setup!$C$13+Setup!$G$33),Setup!$C$39:$C$50))&gt;=Setup!$C$15,MONTH(WORKDAY(O209,-(Setup!$C$13+Setup!$G$33),Setup!$C$39:$C$50))&lt;=Setup!$C$16),OR(MONTH(WORKDAY(O209,-(Setup!$C$13+Setup!$G$33),Setup!$C$39:$C$50))&gt;=Setup!$C$15,MONTH(WORKDAY(O209,-(Setup!$C$13+Setup!$G$33),Setup!$C$39:$C$50))&lt;=Setup!$C$16))),WORKDAY(O209,-(Setup!$C$13+Setup!$G$33+Setup!$C$14),Setup!$C$39:$C$50),WORKDAY(O209,-(Setup!$C$13+Setup!$G$33),Setup!$C$39:$C$50))+(204*100+14)/10000000)))</f>
        <v/>
      </c>
      <c r="AF209" t="str">
        <f>IF(P209="","",IF(P209&lt;Setup!$C$5-Setup!$C$6,"",IF(IF(ISNUMBER(Roster!$D209),Setup!$C$34&lt;=Roster!$D209,FALSE),"",IF(OR(IF(Setup!$C$15&lt;=Setup!$C$16,AND(MONTH(P209)&gt;=Setup!$C$15,MONTH(P209)&lt;=Setup!$C$16),OR(MONTH(P209)&gt;=Setup!$C$15,MONTH(P209)&lt;=Setup!$C$16)),IF(Setup!$C$15&lt;=Setup!$C$16,AND(MONTH(WORKDAY(P209,-(Setup!$C$13+Setup!$G$34),Setup!$C$39:$C$50))&gt;=Setup!$C$15,MONTH(WORKDAY(P209,-(Setup!$C$13+Setup!$G$34),Setup!$C$39:$C$50))&lt;=Setup!$C$16),OR(MONTH(WORKDAY(P209,-(Setup!$C$13+Setup!$G$34),Setup!$C$39:$C$50))&gt;=Setup!$C$15,MONTH(WORKDAY(P209,-(Setup!$C$13+Setup!$G$34),Setup!$C$39:$C$50))&lt;=Setup!$C$16))),WORKDAY(P209,-(Setup!$C$13+Setup!$G$34+Setup!$C$14),Setup!$C$39:$C$50),WORKDAY(P209,-(Setup!$C$13+Setup!$G$34),Setup!$C$39:$C$50))+(204*100+15)/10000000)))</f>
        <v/>
      </c>
      <c r="AH209" t="str">
        <f t="shared" si="25"/>
        <v/>
      </c>
      <c r="AI209" t="str">
        <f t="shared" si="26"/>
        <v/>
      </c>
      <c r="AK209" t="str">
        <f ca="1">IF(204&gt;$AK$2,"",SMALL($R$6:$AF$505,204))</f>
        <v/>
      </c>
      <c r="AL209" t="str">
        <f t="shared" ca="1" si="27"/>
        <v/>
      </c>
      <c r="AM209" t="str">
        <f t="shared" ca="1" si="28"/>
        <v/>
      </c>
      <c r="AN209" t="str">
        <f t="shared" ca="1" si="29"/>
        <v/>
      </c>
      <c r="AP209" t="str">
        <f>IF(ISNUMBER(Roster!$B209),MAX(1,YEAR(Setup!$C$5)-YEAR(Roster!$B209)+IF(EDATE(Roster!$B209,12*(YEAR(Setup!$C$5)-YEAR(Roster!$B209)))&lt;Setup!$C$5,1,0)),"")</f>
        <v/>
      </c>
      <c r="AQ209" s="32" t="str">
        <f>IF(AP209="","",EDATE(Roster!$B209,12*AP209))</f>
        <v/>
      </c>
      <c r="AR209" t="str">
        <f>IF(AQ209="","",IF(AQ209&lt;DATE(YEAR(Setup!$C$5)+1,MONTH(Setup!$C$5),DAY(Setup!$C$5)),AQ209+204/1000,""))</f>
        <v/>
      </c>
      <c r="AS209" t="str">
        <f t="shared" si="30"/>
        <v/>
      </c>
      <c r="AT209" t="str">
        <f>IF(AS209="","",IF(ISNUMBER(Roster!$D209),Roster!$D209&gt;=AP209,FALSE))</f>
        <v/>
      </c>
      <c r="AU209" t="str">
        <f t="shared" si="31"/>
        <v/>
      </c>
      <c r="AV209" t="str">
        <f ca="1">IF(204&gt;$AV$2,"",SMALL($AR$6:$AR$505,204))</f>
        <v/>
      </c>
      <c r="AW209" t="str">
        <f t="shared" ca="1" si="32"/>
        <v/>
      </c>
    </row>
    <row r="210" spans="2:49" x14ac:dyDescent="0.2">
      <c r="B210" s="32" t="str">
        <f>IF(AND(ISNUMBER(Roster!$B210),Setup!$B$20="Yes",ISNUMBER(Setup!$C$20)),EDATE(Roster!$B210,12*Setup!$C$20),"")</f>
        <v/>
      </c>
      <c r="C210" s="32" t="str">
        <f>IF(AND(ISNUMBER(Roster!$B210),Setup!$B$21="Yes",ISNUMBER(Setup!$C$21)),EDATE(Roster!$B210,12*Setup!$C$21),"")</f>
        <v/>
      </c>
      <c r="D210" s="32" t="str">
        <f>IF(AND(ISNUMBER(Roster!$B210),Setup!$B$22="Yes",ISNUMBER(Setup!$C$22)),EDATE(Roster!$B210,12*Setup!$C$22),"")</f>
        <v/>
      </c>
      <c r="E210" s="32" t="str">
        <f>IF(AND(ISNUMBER(Roster!$B210),Setup!$B$23="Yes",ISNUMBER(Setup!$C$23)),EDATE(Roster!$B210,12*Setup!$C$23),"")</f>
        <v/>
      </c>
      <c r="F210" s="32" t="str">
        <f>IF(AND(ISNUMBER(Roster!$B210),Setup!$B$24="Yes",ISNUMBER(Setup!$C$24)),EDATE(Roster!$B210,12*Setup!$C$24),"")</f>
        <v/>
      </c>
      <c r="G210" s="32" t="str">
        <f>IF(AND(ISNUMBER(Roster!$B210),Setup!$B$25="Yes",ISNUMBER(Setup!$C$25)),EDATE(Roster!$B210,12*Setup!$C$25),"")</f>
        <v/>
      </c>
      <c r="H210" s="32" t="str">
        <f>IF(AND(ISNUMBER(Roster!$B210),Setup!$B$26="Yes",ISNUMBER(Setup!$C$26)),EDATE(Roster!$B210,12*Setup!$C$26),"")</f>
        <v/>
      </c>
      <c r="I210" s="32" t="str">
        <f>IF(AND(ISNUMBER(Roster!$B210),Setup!$B$27="Yes",ISNUMBER(Setup!$C$27)),EDATE(Roster!$B210,12*Setup!$C$27),"")</f>
        <v/>
      </c>
      <c r="J210" s="32" t="str">
        <f>IF(AND(ISNUMBER(Roster!$B210),Setup!$B$28="Yes",ISNUMBER(Setup!$C$28)),EDATE(Roster!$B210,12*Setup!$C$28),"")</f>
        <v/>
      </c>
      <c r="K210" s="32" t="str">
        <f>IF(AND(ISNUMBER(Roster!$B210),Setup!$B$29="Yes",ISNUMBER(Setup!$C$29)),EDATE(Roster!$B210,12*Setup!$C$29),"")</f>
        <v/>
      </c>
      <c r="L210" s="32" t="str">
        <f>IF(AND(ISNUMBER(Roster!$B210),Setup!$B$30="Yes",ISNUMBER(Setup!$C$30)),EDATE(Roster!$B210,12*Setup!$C$30),"")</f>
        <v/>
      </c>
      <c r="M210" s="32" t="str">
        <f>IF(AND(ISNUMBER(Roster!$B210),Setup!$B$31="Yes",ISNUMBER(Setup!$C$31)),EDATE(Roster!$B210,12*Setup!$C$31),"")</f>
        <v/>
      </c>
      <c r="N210" s="32" t="str">
        <f>IF(AND(ISNUMBER(Roster!$B210),Setup!$B$32="Yes",ISNUMBER(Setup!$C$32)),EDATE(Roster!$B210,12*Setup!$C$32),"")</f>
        <v/>
      </c>
      <c r="O210" s="32" t="str">
        <f>IF(AND(ISNUMBER(Roster!$B210),Setup!$B$33="Yes",ISNUMBER(Setup!$C$33)),EDATE(Roster!$B210,12*Setup!$C$33),"")</f>
        <v/>
      </c>
      <c r="P210" s="32" t="str">
        <f>IF(AND(ISNUMBER(Roster!$B210),Setup!$B$34="Yes",ISNUMBER(Setup!$C$34)),EDATE(Roster!$B210,12*Setup!$C$34),"")</f>
        <v/>
      </c>
      <c r="R210" t="str">
        <f>IF(B210="","",IF(B210&lt;Setup!$C$5-Setup!$C$6,"",IF(IF(ISNUMBER(Roster!$D210),Setup!$C$20&lt;=Roster!$D210,FALSE),"",IF(OR(IF(Setup!$C$15&lt;=Setup!$C$16,AND(MONTH(B210)&gt;=Setup!$C$15,MONTH(B210)&lt;=Setup!$C$16),OR(MONTH(B210)&gt;=Setup!$C$15,MONTH(B210)&lt;=Setup!$C$16)),IF(Setup!$C$15&lt;=Setup!$C$16,AND(MONTH(WORKDAY(B210,-(Setup!$C$13+Setup!$G$20),Setup!$C$39:$C$50))&gt;=Setup!$C$15,MONTH(WORKDAY(B210,-(Setup!$C$13+Setup!$G$20),Setup!$C$39:$C$50))&lt;=Setup!$C$16),OR(MONTH(WORKDAY(B210,-(Setup!$C$13+Setup!$G$20),Setup!$C$39:$C$50))&gt;=Setup!$C$15,MONTH(WORKDAY(B210,-(Setup!$C$13+Setup!$G$20),Setup!$C$39:$C$50))&lt;=Setup!$C$16))),WORKDAY(B210,-(Setup!$C$13+Setup!$G$20+Setup!$C$14),Setup!$C$39:$C$50),WORKDAY(B210,-(Setup!$C$13+Setup!$G$20),Setup!$C$39:$C$50))+(205*100+1)/10000000)))</f>
        <v/>
      </c>
      <c r="S210" t="str">
        <f>IF(C210="","",IF(C210&lt;Setup!$C$5-Setup!$C$6,"",IF(IF(ISNUMBER(Roster!$D210),Setup!$C$21&lt;=Roster!$D210,FALSE),"",IF(OR(IF(Setup!$C$15&lt;=Setup!$C$16,AND(MONTH(C210)&gt;=Setup!$C$15,MONTH(C210)&lt;=Setup!$C$16),OR(MONTH(C210)&gt;=Setup!$C$15,MONTH(C210)&lt;=Setup!$C$16)),IF(Setup!$C$15&lt;=Setup!$C$16,AND(MONTH(WORKDAY(C210,-(Setup!$C$13+Setup!$G$21),Setup!$C$39:$C$50))&gt;=Setup!$C$15,MONTH(WORKDAY(C210,-(Setup!$C$13+Setup!$G$21),Setup!$C$39:$C$50))&lt;=Setup!$C$16),OR(MONTH(WORKDAY(C210,-(Setup!$C$13+Setup!$G$21),Setup!$C$39:$C$50))&gt;=Setup!$C$15,MONTH(WORKDAY(C210,-(Setup!$C$13+Setup!$G$21),Setup!$C$39:$C$50))&lt;=Setup!$C$16))),WORKDAY(C210,-(Setup!$C$13+Setup!$G$21+Setup!$C$14),Setup!$C$39:$C$50),WORKDAY(C210,-(Setup!$C$13+Setup!$G$21),Setup!$C$39:$C$50))+(205*100+2)/10000000)))</f>
        <v/>
      </c>
      <c r="T210" t="str">
        <f>IF(D210="","",IF(D210&lt;Setup!$C$5-Setup!$C$6,"",IF(IF(ISNUMBER(Roster!$D210),Setup!$C$22&lt;=Roster!$D210,FALSE),"",IF(OR(IF(Setup!$C$15&lt;=Setup!$C$16,AND(MONTH(D210)&gt;=Setup!$C$15,MONTH(D210)&lt;=Setup!$C$16),OR(MONTH(D210)&gt;=Setup!$C$15,MONTH(D210)&lt;=Setup!$C$16)),IF(Setup!$C$15&lt;=Setup!$C$16,AND(MONTH(WORKDAY(D210,-(Setup!$C$13+Setup!$G$22),Setup!$C$39:$C$50))&gt;=Setup!$C$15,MONTH(WORKDAY(D210,-(Setup!$C$13+Setup!$G$22),Setup!$C$39:$C$50))&lt;=Setup!$C$16),OR(MONTH(WORKDAY(D210,-(Setup!$C$13+Setup!$G$22),Setup!$C$39:$C$50))&gt;=Setup!$C$15,MONTH(WORKDAY(D210,-(Setup!$C$13+Setup!$G$22),Setup!$C$39:$C$50))&lt;=Setup!$C$16))),WORKDAY(D210,-(Setup!$C$13+Setup!$G$22+Setup!$C$14),Setup!$C$39:$C$50),WORKDAY(D210,-(Setup!$C$13+Setup!$G$22),Setup!$C$39:$C$50))+(205*100+3)/10000000)))</f>
        <v/>
      </c>
      <c r="U210" t="str">
        <f>IF(E210="","",IF(E210&lt;Setup!$C$5-Setup!$C$6,"",IF(IF(ISNUMBER(Roster!$D210),Setup!$C$23&lt;=Roster!$D210,FALSE),"",IF(OR(IF(Setup!$C$15&lt;=Setup!$C$16,AND(MONTH(E210)&gt;=Setup!$C$15,MONTH(E210)&lt;=Setup!$C$16),OR(MONTH(E210)&gt;=Setup!$C$15,MONTH(E210)&lt;=Setup!$C$16)),IF(Setup!$C$15&lt;=Setup!$C$16,AND(MONTH(WORKDAY(E210,-(Setup!$C$13+Setup!$G$23),Setup!$C$39:$C$50))&gt;=Setup!$C$15,MONTH(WORKDAY(E210,-(Setup!$C$13+Setup!$G$23),Setup!$C$39:$C$50))&lt;=Setup!$C$16),OR(MONTH(WORKDAY(E210,-(Setup!$C$13+Setup!$G$23),Setup!$C$39:$C$50))&gt;=Setup!$C$15,MONTH(WORKDAY(E210,-(Setup!$C$13+Setup!$G$23),Setup!$C$39:$C$50))&lt;=Setup!$C$16))),WORKDAY(E210,-(Setup!$C$13+Setup!$G$23+Setup!$C$14),Setup!$C$39:$C$50),WORKDAY(E210,-(Setup!$C$13+Setup!$G$23),Setup!$C$39:$C$50))+(205*100+4)/10000000)))</f>
        <v/>
      </c>
      <c r="V210" t="str">
        <f>IF(F210="","",IF(F210&lt;Setup!$C$5-Setup!$C$6,"",IF(IF(ISNUMBER(Roster!$D210),Setup!$C$24&lt;=Roster!$D210,FALSE),"",IF(OR(IF(Setup!$C$15&lt;=Setup!$C$16,AND(MONTH(F210)&gt;=Setup!$C$15,MONTH(F210)&lt;=Setup!$C$16),OR(MONTH(F210)&gt;=Setup!$C$15,MONTH(F210)&lt;=Setup!$C$16)),IF(Setup!$C$15&lt;=Setup!$C$16,AND(MONTH(WORKDAY(F210,-(Setup!$C$13+Setup!$G$24),Setup!$C$39:$C$50))&gt;=Setup!$C$15,MONTH(WORKDAY(F210,-(Setup!$C$13+Setup!$G$24),Setup!$C$39:$C$50))&lt;=Setup!$C$16),OR(MONTH(WORKDAY(F210,-(Setup!$C$13+Setup!$G$24),Setup!$C$39:$C$50))&gt;=Setup!$C$15,MONTH(WORKDAY(F210,-(Setup!$C$13+Setup!$G$24),Setup!$C$39:$C$50))&lt;=Setup!$C$16))),WORKDAY(F210,-(Setup!$C$13+Setup!$G$24+Setup!$C$14),Setup!$C$39:$C$50),WORKDAY(F210,-(Setup!$C$13+Setup!$G$24),Setup!$C$39:$C$50))+(205*100+5)/10000000)))</f>
        <v/>
      </c>
      <c r="W210" t="str">
        <f>IF(G210="","",IF(G210&lt;Setup!$C$5-Setup!$C$6,"",IF(IF(ISNUMBER(Roster!$D210),Setup!$C$25&lt;=Roster!$D210,FALSE),"",IF(OR(IF(Setup!$C$15&lt;=Setup!$C$16,AND(MONTH(G210)&gt;=Setup!$C$15,MONTH(G210)&lt;=Setup!$C$16),OR(MONTH(G210)&gt;=Setup!$C$15,MONTH(G210)&lt;=Setup!$C$16)),IF(Setup!$C$15&lt;=Setup!$C$16,AND(MONTH(WORKDAY(G210,-(Setup!$C$13+Setup!$G$25),Setup!$C$39:$C$50))&gt;=Setup!$C$15,MONTH(WORKDAY(G210,-(Setup!$C$13+Setup!$G$25),Setup!$C$39:$C$50))&lt;=Setup!$C$16),OR(MONTH(WORKDAY(G210,-(Setup!$C$13+Setup!$G$25),Setup!$C$39:$C$50))&gt;=Setup!$C$15,MONTH(WORKDAY(G210,-(Setup!$C$13+Setup!$G$25),Setup!$C$39:$C$50))&lt;=Setup!$C$16))),WORKDAY(G210,-(Setup!$C$13+Setup!$G$25+Setup!$C$14),Setup!$C$39:$C$50),WORKDAY(G210,-(Setup!$C$13+Setup!$G$25),Setup!$C$39:$C$50))+(205*100+6)/10000000)))</f>
        <v/>
      </c>
      <c r="X210" t="str">
        <f>IF(H210="","",IF(H210&lt;Setup!$C$5-Setup!$C$6,"",IF(IF(ISNUMBER(Roster!$D210),Setup!$C$26&lt;=Roster!$D210,FALSE),"",IF(OR(IF(Setup!$C$15&lt;=Setup!$C$16,AND(MONTH(H210)&gt;=Setup!$C$15,MONTH(H210)&lt;=Setup!$C$16),OR(MONTH(H210)&gt;=Setup!$C$15,MONTH(H210)&lt;=Setup!$C$16)),IF(Setup!$C$15&lt;=Setup!$C$16,AND(MONTH(WORKDAY(H210,-(Setup!$C$13+Setup!$G$26),Setup!$C$39:$C$50))&gt;=Setup!$C$15,MONTH(WORKDAY(H210,-(Setup!$C$13+Setup!$G$26),Setup!$C$39:$C$50))&lt;=Setup!$C$16),OR(MONTH(WORKDAY(H210,-(Setup!$C$13+Setup!$G$26),Setup!$C$39:$C$50))&gt;=Setup!$C$15,MONTH(WORKDAY(H210,-(Setup!$C$13+Setup!$G$26),Setup!$C$39:$C$50))&lt;=Setup!$C$16))),WORKDAY(H210,-(Setup!$C$13+Setup!$G$26+Setup!$C$14),Setup!$C$39:$C$50),WORKDAY(H210,-(Setup!$C$13+Setup!$G$26),Setup!$C$39:$C$50))+(205*100+7)/10000000)))</f>
        <v/>
      </c>
      <c r="Y210" t="str">
        <f>IF(I210="","",IF(I210&lt;Setup!$C$5-Setup!$C$6,"",IF(IF(ISNUMBER(Roster!$D210),Setup!$C$27&lt;=Roster!$D210,FALSE),"",IF(OR(IF(Setup!$C$15&lt;=Setup!$C$16,AND(MONTH(I210)&gt;=Setup!$C$15,MONTH(I210)&lt;=Setup!$C$16),OR(MONTH(I210)&gt;=Setup!$C$15,MONTH(I210)&lt;=Setup!$C$16)),IF(Setup!$C$15&lt;=Setup!$C$16,AND(MONTH(WORKDAY(I210,-(Setup!$C$13+Setup!$G$27),Setup!$C$39:$C$50))&gt;=Setup!$C$15,MONTH(WORKDAY(I210,-(Setup!$C$13+Setup!$G$27),Setup!$C$39:$C$50))&lt;=Setup!$C$16),OR(MONTH(WORKDAY(I210,-(Setup!$C$13+Setup!$G$27),Setup!$C$39:$C$50))&gt;=Setup!$C$15,MONTH(WORKDAY(I210,-(Setup!$C$13+Setup!$G$27),Setup!$C$39:$C$50))&lt;=Setup!$C$16))),WORKDAY(I210,-(Setup!$C$13+Setup!$G$27+Setup!$C$14),Setup!$C$39:$C$50),WORKDAY(I210,-(Setup!$C$13+Setup!$G$27),Setup!$C$39:$C$50))+(205*100+8)/10000000)))</f>
        <v/>
      </c>
      <c r="Z210" t="str">
        <f>IF(J210="","",IF(J210&lt;Setup!$C$5-Setup!$C$6,"",IF(IF(ISNUMBER(Roster!$D210),Setup!$C$28&lt;=Roster!$D210,FALSE),"",IF(OR(IF(Setup!$C$15&lt;=Setup!$C$16,AND(MONTH(J210)&gt;=Setup!$C$15,MONTH(J210)&lt;=Setup!$C$16),OR(MONTH(J210)&gt;=Setup!$C$15,MONTH(J210)&lt;=Setup!$C$16)),IF(Setup!$C$15&lt;=Setup!$C$16,AND(MONTH(WORKDAY(J210,-(Setup!$C$13+Setup!$G$28),Setup!$C$39:$C$50))&gt;=Setup!$C$15,MONTH(WORKDAY(J210,-(Setup!$C$13+Setup!$G$28),Setup!$C$39:$C$50))&lt;=Setup!$C$16),OR(MONTH(WORKDAY(J210,-(Setup!$C$13+Setup!$G$28),Setup!$C$39:$C$50))&gt;=Setup!$C$15,MONTH(WORKDAY(J210,-(Setup!$C$13+Setup!$G$28),Setup!$C$39:$C$50))&lt;=Setup!$C$16))),WORKDAY(J210,-(Setup!$C$13+Setup!$G$28+Setup!$C$14),Setup!$C$39:$C$50),WORKDAY(J210,-(Setup!$C$13+Setup!$G$28),Setup!$C$39:$C$50))+(205*100+9)/10000000)))</f>
        <v/>
      </c>
      <c r="AA210" t="str">
        <f>IF(K210="","",IF(K210&lt;Setup!$C$5-Setup!$C$6,"",IF(IF(ISNUMBER(Roster!$D210),Setup!$C$29&lt;=Roster!$D210,FALSE),"",IF(OR(IF(Setup!$C$15&lt;=Setup!$C$16,AND(MONTH(K210)&gt;=Setup!$C$15,MONTH(K210)&lt;=Setup!$C$16),OR(MONTH(K210)&gt;=Setup!$C$15,MONTH(K210)&lt;=Setup!$C$16)),IF(Setup!$C$15&lt;=Setup!$C$16,AND(MONTH(WORKDAY(K210,-(Setup!$C$13+Setup!$G$29),Setup!$C$39:$C$50))&gt;=Setup!$C$15,MONTH(WORKDAY(K210,-(Setup!$C$13+Setup!$G$29),Setup!$C$39:$C$50))&lt;=Setup!$C$16),OR(MONTH(WORKDAY(K210,-(Setup!$C$13+Setup!$G$29),Setup!$C$39:$C$50))&gt;=Setup!$C$15,MONTH(WORKDAY(K210,-(Setup!$C$13+Setup!$G$29),Setup!$C$39:$C$50))&lt;=Setup!$C$16))),WORKDAY(K210,-(Setup!$C$13+Setup!$G$29+Setup!$C$14),Setup!$C$39:$C$50),WORKDAY(K210,-(Setup!$C$13+Setup!$G$29),Setup!$C$39:$C$50))+(205*100+10)/10000000)))</f>
        <v/>
      </c>
      <c r="AB210" t="str">
        <f>IF(L210="","",IF(L210&lt;Setup!$C$5-Setup!$C$6,"",IF(IF(ISNUMBER(Roster!$D210),Setup!$C$30&lt;=Roster!$D210,FALSE),"",IF(OR(IF(Setup!$C$15&lt;=Setup!$C$16,AND(MONTH(L210)&gt;=Setup!$C$15,MONTH(L210)&lt;=Setup!$C$16),OR(MONTH(L210)&gt;=Setup!$C$15,MONTH(L210)&lt;=Setup!$C$16)),IF(Setup!$C$15&lt;=Setup!$C$16,AND(MONTH(WORKDAY(L210,-(Setup!$C$13+Setup!$G$30),Setup!$C$39:$C$50))&gt;=Setup!$C$15,MONTH(WORKDAY(L210,-(Setup!$C$13+Setup!$G$30),Setup!$C$39:$C$50))&lt;=Setup!$C$16),OR(MONTH(WORKDAY(L210,-(Setup!$C$13+Setup!$G$30),Setup!$C$39:$C$50))&gt;=Setup!$C$15,MONTH(WORKDAY(L210,-(Setup!$C$13+Setup!$G$30),Setup!$C$39:$C$50))&lt;=Setup!$C$16))),WORKDAY(L210,-(Setup!$C$13+Setup!$G$30+Setup!$C$14),Setup!$C$39:$C$50),WORKDAY(L210,-(Setup!$C$13+Setup!$G$30),Setup!$C$39:$C$50))+(205*100+11)/10000000)))</f>
        <v/>
      </c>
      <c r="AC210" t="str">
        <f>IF(M210="","",IF(M210&lt;Setup!$C$5-Setup!$C$6,"",IF(IF(ISNUMBER(Roster!$D210),Setup!$C$31&lt;=Roster!$D210,FALSE),"",IF(OR(IF(Setup!$C$15&lt;=Setup!$C$16,AND(MONTH(M210)&gt;=Setup!$C$15,MONTH(M210)&lt;=Setup!$C$16),OR(MONTH(M210)&gt;=Setup!$C$15,MONTH(M210)&lt;=Setup!$C$16)),IF(Setup!$C$15&lt;=Setup!$C$16,AND(MONTH(WORKDAY(M210,-(Setup!$C$13+Setup!$G$31),Setup!$C$39:$C$50))&gt;=Setup!$C$15,MONTH(WORKDAY(M210,-(Setup!$C$13+Setup!$G$31),Setup!$C$39:$C$50))&lt;=Setup!$C$16),OR(MONTH(WORKDAY(M210,-(Setup!$C$13+Setup!$G$31),Setup!$C$39:$C$50))&gt;=Setup!$C$15,MONTH(WORKDAY(M210,-(Setup!$C$13+Setup!$G$31),Setup!$C$39:$C$50))&lt;=Setup!$C$16))),WORKDAY(M210,-(Setup!$C$13+Setup!$G$31+Setup!$C$14),Setup!$C$39:$C$50),WORKDAY(M210,-(Setup!$C$13+Setup!$G$31),Setup!$C$39:$C$50))+(205*100+12)/10000000)))</f>
        <v/>
      </c>
      <c r="AD210" t="str">
        <f>IF(N210="","",IF(N210&lt;Setup!$C$5-Setup!$C$6,"",IF(IF(ISNUMBER(Roster!$D210),Setup!$C$32&lt;=Roster!$D210,FALSE),"",IF(OR(IF(Setup!$C$15&lt;=Setup!$C$16,AND(MONTH(N210)&gt;=Setup!$C$15,MONTH(N210)&lt;=Setup!$C$16),OR(MONTH(N210)&gt;=Setup!$C$15,MONTH(N210)&lt;=Setup!$C$16)),IF(Setup!$C$15&lt;=Setup!$C$16,AND(MONTH(WORKDAY(N210,-(Setup!$C$13+Setup!$G$32),Setup!$C$39:$C$50))&gt;=Setup!$C$15,MONTH(WORKDAY(N210,-(Setup!$C$13+Setup!$G$32),Setup!$C$39:$C$50))&lt;=Setup!$C$16),OR(MONTH(WORKDAY(N210,-(Setup!$C$13+Setup!$G$32),Setup!$C$39:$C$50))&gt;=Setup!$C$15,MONTH(WORKDAY(N210,-(Setup!$C$13+Setup!$G$32),Setup!$C$39:$C$50))&lt;=Setup!$C$16))),WORKDAY(N210,-(Setup!$C$13+Setup!$G$32+Setup!$C$14),Setup!$C$39:$C$50),WORKDAY(N210,-(Setup!$C$13+Setup!$G$32),Setup!$C$39:$C$50))+(205*100+13)/10000000)))</f>
        <v/>
      </c>
      <c r="AE210" t="str">
        <f>IF(O210="","",IF(O210&lt;Setup!$C$5-Setup!$C$6,"",IF(IF(ISNUMBER(Roster!$D210),Setup!$C$33&lt;=Roster!$D210,FALSE),"",IF(OR(IF(Setup!$C$15&lt;=Setup!$C$16,AND(MONTH(O210)&gt;=Setup!$C$15,MONTH(O210)&lt;=Setup!$C$16),OR(MONTH(O210)&gt;=Setup!$C$15,MONTH(O210)&lt;=Setup!$C$16)),IF(Setup!$C$15&lt;=Setup!$C$16,AND(MONTH(WORKDAY(O210,-(Setup!$C$13+Setup!$G$33),Setup!$C$39:$C$50))&gt;=Setup!$C$15,MONTH(WORKDAY(O210,-(Setup!$C$13+Setup!$G$33),Setup!$C$39:$C$50))&lt;=Setup!$C$16),OR(MONTH(WORKDAY(O210,-(Setup!$C$13+Setup!$G$33),Setup!$C$39:$C$50))&gt;=Setup!$C$15,MONTH(WORKDAY(O210,-(Setup!$C$13+Setup!$G$33),Setup!$C$39:$C$50))&lt;=Setup!$C$16))),WORKDAY(O210,-(Setup!$C$13+Setup!$G$33+Setup!$C$14),Setup!$C$39:$C$50),WORKDAY(O210,-(Setup!$C$13+Setup!$G$33),Setup!$C$39:$C$50))+(205*100+14)/10000000)))</f>
        <v/>
      </c>
      <c r="AF210" t="str">
        <f>IF(P210="","",IF(P210&lt;Setup!$C$5-Setup!$C$6,"",IF(IF(ISNUMBER(Roster!$D210),Setup!$C$34&lt;=Roster!$D210,FALSE),"",IF(OR(IF(Setup!$C$15&lt;=Setup!$C$16,AND(MONTH(P210)&gt;=Setup!$C$15,MONTH(P210)&lt;=Setup!$C$16),OR(MONTH(P210)&gt;=Setup!$C$15,MONTH(P210)&lt;=Setup!$C$16)),IF(Setup!$C$15&lt;=Setup!$C$16,AND(MONTH(WORKDAY(P210,-(Setup!$C$13+Setup!$G$34),Setup!$C$39:$C$50))&gt;=Setup!$C$15,MONTH(WORKDAY(P210,-(Setup!$C$13+Setup!$G$34),Setup!$C$39:$C$50))&lt;=Setup!$C$16),OR(MONTH(WORKDAY(P210,-(Setup!$C$13+Setup!$G$34),Setup!$C$39:$C$50))&gt;=Setup!$C$15,MONTH(WORKDAY(P210,-(Setup!$C$13+Setup!$G$34),Setup!$C$39:$C$50))&lt;=Setup!$C$16))),WORKDAY(P210,-(Setup!$C$13+Setup!$G$34+Setup!$C$14),Setup!$C$39:$C$50),WORKDAY(P210,-(Setup!$C$13+Setup!$G$34),Setup!$C$39:$C$50))+(205*100+15)/10000000)))</f>
        <v/>
      </c>
      <c r="AH210" t="str">
        <f t="shared" si="25"/>
        <v/>
      </c>
      <c r="AI210" t="str">
        <f t="shared" si="26"/>
        <v/>
      </c>
      <c r="AK210" t="str">
        <f ca="1">IF(205&gt;$AK$2,"",SMALL($R$6:$AF$505,205))</f>
        <v/>
      </c>
      <c r="AL210" t="str">
        <f t="shared" ca="1" si="27"/>
        <v/>
      </c>
      <c r="AM210" t="str">
        <f t="shared" ca="1" si="28"/>
        <v/>
      </c>
      <c r="AN210" t="str">
        <f t="shared" ca="1" si="29"/>
        <v/>
      </c>
      <c r="AP210" t="str">
        <f>IF(ISNUMBER(Roster!$B210),MAX(1,YEAR(Setup!$C$5)-YEAR(Roster!$B210)+IF(EDATE(Roster!$B210,12*(YEAR(Setup!$C$5)-YEAR(Roster!$B210)))&lt;Setup!$C$5,1,0)),"")</f>
        <v/>
      </c>
      <c r="AQ210" s="32" t="str">
        <f>IF(AP210="","",EDATE(Roster!$B210,12*AP210))</f>
        <v/>
      </c>
      <c r="AR210" t="str">
        <f>IF(AQ210="","",IF(AQ210&lt;DATE(YEAR(Setup!$C$5)+1,MONTH(Setup!$C$5),DAY(Setup!$C$5)),AQ210+205/1000,""))</f>
        <v/>
      </c>
      <c r="AS210" t="str">
        <f t="shared" si="30"/>
        <v/>
      </c>
      <c r="AT210" t="str">
        <f>IF(AS210="","",IF(ISNUMBER(Roster!$D210),Roster!$D210&gt;=AP210,FALSE))</f>
        <v/>
      </c>
      <c r="AU210" t="str">
        <f t="shared" si="31"/>
        <v/>
      </c>
      <c r="AV210" t="str">
        <f ca="1">IF(205&gt;$AV$2,"",SMALL($AR$6:$AR$505,205))</f>
        <v/>
      </c>
      <c r="AW210" t="str">
        <f t="shared" ca="1" si="32"/>
        <v/>
      </c>
    </row>
    <row r="211" spans="2:49" x14ac:dyDescent="0.2">
      <c r="B211" s="32" t="str">
        <f>IF(AND(ISNUMBER(Roster!$B211),Setup!$B$20="Yes",ISNUMBER(Setup!$C$20)),EDATE(Roster!$B211,12*Setup!$C$20),"")</f>
        <v/>
      </c>
      <c r="C211" s="32" t="str">
        <f>IF(AND(ISNUMBER(Roster!$B211),Setup!$B$21="Yes",ISNUMBER(Setup!$C$21)),EDATE(Roster!$B211,12*Setup!$C$21),"")</f>
        <v/>
      </c>
      <c r="D211" s="32" t="str">
        <f>IF(AND(ISNUMBER(Roster!$B211),Setup!$B$22="Yes",ISNUMBER(Setup!$C$22)),EDATE(Roster!$B211,12*Setup!$C$22),"")</f>
        <v/>
      </c>
      <c r="E211" s="32" t="str">
        <f>IF(AND(ISNUMBER(Roster!$B211),Setup!$B$23="Yes",ISNUMBER(Setup!$C$23)),EDATE(Roster!$B211,12*Setup!$C$23),"")</f>
        <v/>
      </c>
      <c r="F211" s="32" t="str">
        <f>IF(AND(ISNUMBER(Roster!$B211),Setup!$B$24="Yes",ISNUMBER(Setup!$C$24)),EDATE(Roster!$B211,12*Setup!$C$24),"")</f>
        <v/>
      </c>
      <c r="G211" s="32" t="str">
        <f>IF(AND(ISNUMBER(Roster!$B211),Setup!$B$25="Yes",ISNUMBER(Setup!$C$25)),EDATE(Roster!$B211,12*Setup!$C$25),"")</f>
        <v/>
      </c>
      <c r="H211" s="32" t="str">
        <f>IF(AND(ISNUMBER(Roster!$B211),Setup!$B$26="Yes",ISNUMBER(Setup!$C$26)),EDATE(Roster!$B211,12*Setup!$C$26),"")</f>
        <v/>
      </c>
      <c r="I211" s="32" t="str">
        <f>IF(AND(ISNUMBER(Roster!$B211),Setup!$B$27="Yes",ISNUMBER(Setup!$C$27)),EDATE(Roster!$B211,12*Setup!$C$27),"")</f>
        <v/>
      </c>
      <c r="J211" s="32" t="str">
        <f>IF(AND(ISNUMBER(Roster!$B211),Setup!$B$28="Yes",ISNUMBER(Setup!$C$28)),EDATE(Roster!$B211,12*Setup!$C$28),"")</f>
        <v/>
      </c>
      <c r="K211" s="32" t="str">
        <f>IF(AND(ISNUMBER(Roster!$B211),Setup!$B$29="Yes",ISNUMBER(Setup!$C$29)),EDATE(Roster!$B211,12*Setup!$C$29),"")</f>
        <v/>
      </c>
      <c r="L211" s="32" t="str">
        <f>IF(AND(ISNUMBER(Roster!$B211),Setup!$B$30="Yes",ISNUMBER(Setup!$C$30)),EDATE(Roster!$B211,12*Setup!$C$30),"")</f>
        <v/>
      </c>
      <c r="M211" s="32" t="str">
        <f>IF(AND(ISNUMBER(Roster!$B211),Setup!$B$31="Yes",ISNUMBER(Setup!$C$31)),EDATE(Roster!$B211,12*Setup!$C$31),"")</f>
        <v/>
      </c>
      <c r="N211" s="32" t="str">
        <f>IF(AND(ISNUMBER(Roster!$B211),Setup!$B$32="Yes",ISNUMBER(Setup!$C$32)),EDATE(Roster!$B211,12*Setup!$C$32),"")</f>
        <v/>
      </c>
      <c r="O211" s="32" t="str">
        <f>IF(AND(ISNUMBER(Roster!$B211),Setup!$B$33="Yes",ISNUMBER(Setup!$C$33)),EDATE(Roster!$B211,12*Setup!$C$33),"")</f>
        <v/>
      </c>
      <c r="P211" s="32" t="str">
        <f>IF(AND(ISNUMBER(Roster!$B211),Setup!$B$34="Yes",ISNUMBER(Setup!$C$34)),EDATE(Roster!$B211,12*Setup!$C$34),"")</f>
        <v/>
      </c>
      <c r="R211" t="str">
        <f>IF(B211="","",IF(B211&lt;Setup!$C$5-Setup!$C$6,"",IF(IF(ISNUMBER(Roster!$D211),Setup!$C$20&lt;=Roster!$D211,FALSE),"",IF(OR(IF(Setup!$C$15&lt;=Setup!$C$16,AND(MONTH(B211)&gt;=Setup!$C$15,MONTH(B211)&lt;=Setup!$C$16),OR(MONTH(B211)&gt;=Setup!$C$15,MONTH(B211)&lt;=Setup!$C$16)),IF(Setup!$C$15&lt;=Setup!$C$16,AND(MONTH(WORKDAY(B211,-(Setup!$C$13+Setup!$G$20),Setup!$C$39:$C$50))&gt;=Setup!$C$15,MONTH(WORKDAY(B211,-(Setup!$C$13+Setup!$G$20),Setup!$C$39:$C$50))&lt;=Setup!$C$16),OR(MONTH(WORKDAY(B211,-(Setup!$C$13+Setup!$G$20),Setup!$C$39:$C$50))&gt;=Setup!$C$15,MONTH(WORKDAY(B211,-(Setup!$C$13+Setup!$G$20),Setup!$C$39:$C$50))&lt;=Setup!$C$16))),WORKDAY(B211,-(Setup!$C$13+Setup!$G$20+Setup!$C$14),Setup!$C$39:$C$50),WORKDAY(B211,-(Setup!$C$13+Setup!$G$20),Setup!$C$39:$C$50))+(206*100+1)/10000000)))</f>
        <v/>
      </c>
      <c r="S211" t="str">
        <f>IF(C211="","",IF(C211&lt;Setup!$C$5-Setup!$C$6,"",IF(IF(ISNUMBER(Roster!$D211),Setup!$C$21&lt;=Roster!$D211,FALSE),"",IF(OR(IF(Setup!$C$15&lt;=Setup!$C$16,AND(MONTH(C211)&gt;=Setup!$C$15,MONTH(C211)&lt;=Setup!$C$16),OR(MONTH(C211)&gt;=Setup!$C$15,MONTH(C211)&lt;=Setup!$C$16)),IF(Setup!$C$15&lt;=Setup!$C$16,AND(MONTH(WORKDAY(C211,-(Setup!$C$13+Setup!$G$21),Setup!$C$39:$C$50))&gt;=Setup!$C$15,MONTH(WORKDAY(C211,-(Setup!$C$13+Setup!$G$21),Setup!$C$39:$C$50))&lt;=Setup!$C$16),OR(MONTH(WORKDAY(C211,-(Setup!$C$13+Setup!$G$21),Setup!$C$39:$C$50))&gt;=Setup!$C$15,MONTH(WORKDAY(C211,-(Setup!$C$13+Setup!$G$21),Setup!$C$39:$C$50))&lt;=Setup!$C$16))),WORKDAY(C211,-(Setup!$C$13+Setup!$G$21+Setup!$C$14),Setup!$C$39:$C$50),WORKDAY(C211,-(Setup!$C$13+Setup!$G$21),Setup!$C$39:$C$50))+(206*100+2)/10000000)))</f>
        <v/>
      </c>
      <c r="T211" t="str">
        <f>IF(D211="","",IF(D211&lt;Setup!$C$5-Setup!$C$6,"",IF(IF(ISNUMBER(Roster!$D211),Setup!$C$22&lt;=Roster!$D211,FALSE),"",IF(OR(IF(Setup!$C$15&lt;=Setup!$C$16,AND(MONTH(D211)&gt;=Setup!$C$15,MONTH(D211)&lt;=Setup!$C$16),OR(MONTH(D211)&gt;=Setup!$C$15,MONTH(D211)&lt;=Setup!$C$16)),IF(Setup!$C$15&lt;=Setup!$C$16,AND(MONTH(WORKDAY(D211,-(Setup!$C$13+Setup!$G$22),Setup!$C$39:$C$50))&gt;=Setup!$C$15,MONTH(WORKDAY(D211,-(Setup!$C$13+Setup!$G$22),Setup!$C$39:$C$50))&lt;=Setup!$C$16),OR(MONTH(WORKDAY(D211,-(Setup!$C$13+Setup!$G$22),Setup!$C$39:$C$50))&gt;=Setup!$C$15,MONTH(WORKDAY(D211,-(Setup!$C$13+Setup!$G$22),Setup!$C$39:$C$50))&lt;=Setup!$C$16))),WORKDAY(D211,-(Setup!$C$13+Setup!$G$22+Setup!$C$14),Setup!$C$39:$C$50),WORKDAY(D211,-(Setup!$C$13+Setup!$G$22),Setup!$C$39:$C$50))+(206*100+3)/10000000)))</f>
        <v/>
      </c>
      <c r="U211" t="str">
        <f>IF(E211="","",IF(E211&lt;Setup!$C$5-Setup!$C$6,"",IF(IF(ISNUMBER(Roster!$D211),Setup!$C$23&lt;=Roster!$D211,FALSE),"",IF(OR(IF(Setup!$C$15&lt;=Setup!$C$16,AND(MONTH(E211)&gt;=Setup!$C$15,MONTH(E211)&lt;=Setup!$C$16),OR(MONTH(E211)&gt;=Setup!$C$15,MONTH(E211)&lt;=Setup!$C$16)),IF(Setup!$C$15&lt;=Setup!$C$16,AND(MONTH(WORKDAY(E211,-(Setup!$C$13+Setup!$G$23),Setup!$C$39:$C$50))&gt;=Setup!$C$15,MONTH(WORKDAY(E211,-(Setup!$C$13+Setup!$G$23),Setup!$C$39:$C$50))&lt;=Setup!$C$16),OR(MONTH(WORKDAY(E211,-(Setup!$C$13+Setup!$G$23),Setup!$C$39:$C$50))&gt;=Setup!$C$15,MONTH(WORKDAY(E211,-(Setup!$C$13+Setup!$G$23),Setup!$C$39:$C$50))&lt;=Setup!$C$16))),WORKDAY(E211,-(Setup!$C$13+Setup!$G$23+Setup!$C$14),Setup!$C$39:$C$50),WORKDAY(E211,-(Setup!$C$13+Setup!$G$23),Setup!$C$39:$C$50))+(206*100+4)/10000000)))</f>
        <v/>
      </c>
      <c r="V211" t="str">
        <f>IF(F211="","",IF(F211&lt;Setup!$C$5-Setup!$C$6,"",IF(IF(ISNUMBER(Roster!$D211),Setup!$C$24&lt;=Roster!$D211,FALSE),"",IF(OR(IF(Setup!$C$15&lt;=Setup!$C$16,AND(MONTH(F211)&gt;=Setup!$C$15,MONTH(F211)&lt;=Setup!$C$16),OR(MONTH(F211)&gt;=Setup!$C$15,MONTH(F211)&lt;=Setup!$C$16)),IF(Setup!$C$15&lt;=Setup!$C$16,AND(MONTH(WORKDAY(F211,-(Setup!$C$13+Setup!$G$24),Setup!$C$39:$C$50))&gt;=Setup!$C$15,MONTH(WORKDAY(F211,-(Setup!$C$13+Setup!$G$24),Setup!$C$39:$C$50))&lt;=Setup!$C$16),OR(MONTH(WORKDAY(F211,-(Setup!$C$13+Setup!$G$24),Setup!$C$39:$C$50))&gt;=Setup!$C$15,MONTH(WORKDAY(F211,-(Setup!$C$13+Setup!$G$24),Setup!$C$39:$C$50))&lt;=Setup!$C$16))),WORKDAY(F211,-(Setup!$C$13+Setup!$G$24+Setup!$C$14),Setup!$C$39:$C$50),WORKDAY(F211,-(Setup!$C$13+Setup!$G$24),Setup!$C$39:$C$50))+(206*100+5)/10000000)))</f>
        <v/>
      </c>
      <c r="W211" t="str">
        <f>IF(G211="","",IF(G211&lt;Setup!$C$5-Setup!$C$6,"",IF(IF(ISNUMBER(Roster!$D211),Setup!$C$25&lt;=Roster!$D211,FALSE),"",IF(OR(IF(Setup!$C$15&lt;=Setup!$C$16,AND(MONTH(G211)&gt;=Setup!$C$15,MONTH(G211)&lt;=Setup!$C$16),OR(MONTH(G211)&gt;=Setup!$C$15,MONTH(G211)&lt;=Setup!$C$16)),IF(Setup!$C$15&lt;=Setup!$C$16,AND(MONTH(WORKDAY(G211,-(Setup!$C$13+Setup!$G$25),Setup!$C$39:$C$50))&gt;=Setup!$C$15,MONTH(WORKDAY(G211,-(Setup!$C$13+Setup!$G$25),Setup!$C$39:$C$50))&lt;=Setup!$C$16),OR(MONTH(WORKDAY(G211,-(Setup!$C$13+Setup!$G$25),Setup!$C$39:$C$50))&gt;=Setup!$C$15,MONTH(WORKDAY(G211,-(Setup!$C$13+Setup!$G$25),Setup!$C$39:$C$50))&lt;=Setup!$C$16))),WORKDAY(G211,-(Setup!$C$13+Setup!$G$25+Setup!$C$14),Setup!$C$39:$C$50),WORKDAY(G211,-(Setup!$C$13+Setup!$G$25),Setup!$C$39:$C$50))+(206*100+6)/10000000)))</f>
        <v/>
      </c>
      <c r="X211" t="str">
        <f>IF(H211="","",IF(H211&lt;Setup!$C$5-Setup!$C$6,"",IF(IF(ISNUMBER(Roster!$D211),Setup!$C$26&lt;=Roster!$D211,FALSE),"",IF(OR(IF(Setup!$C$15&lt;=Setup!$C$16,AND(MONTH(H211)&gt;=Setup!$C$15,MONTH(H211)&lt;=Setup!$C$16),OR(MONTH(H211)&gt;=Setup!$C$15,MONTH(H211)&lt;=Setup!$C$16)),IF(Setup!$C$15&lt;=Setup!$C$16,AND(MONTH(WORKDAY(H211,-(Setup!$C$13+Setup!$G$26),Setup!$C$39:$C$50))&gt;=Setup!$C$15,MONTH(WORKDAY(H211,-(Setup!$C$13+Setup!$G$26),Setup!$C$39:$C$50))&lt;=Setup!$C$16),OR(MONTH(WORKDAY(H211,-(Setup!$C$13+Setup!$G$26),Setup!$C$39:$C$50))&gt;=Setup!$C$15,MONTH(WORKDAY(H211,-(Setup!$C$13+Setup!$G$26),Setup!$C$39:$C$50))&lt;=Setup!$C$16))),WORKDAY(H211,-(Setup!$C$13+Setup!$G$26+Setup!$C$14),Setup!$C$39:$C$50),WORKDAY(H211,-(Setup!$C$13+Setup!$G$26),Setup!$C$39:$C$50))+(206*100+7)/10000000)))</f>
        <v/>
      </c>
      <c r="Y211" t="str">
        <f>IF(I211="","",IF(I211&lt;Setup!$C$5-Setup!$C$6,"",IF(IF(ISNUMBER(Roster!$D211),Setup!$C$27&lt;=Roster!$D211,FALSE),"",IF(OR(IF(Setup!$C$15&lt;=Setup!$C$16,AND(MONTH(I211)&gt;=Setup!$C$15,MONTH(I211)&lt;=Setup!$C$16),OR(MONTH(I211)&gt;=Setup!$C$15,MONTH(I211)&lt;=Setup!$C$16)),IF(Setup!$C$15&lt;=Setup!$C$16,AND(MONTH(WORKDAY(I211,-(Setup!$C$13+Setup!$G$27),Setup!$C$39:$C$50))&gt;=Setup!$C$15,MONTH(WORKDAY(I211,-(Setup!$C$13+Setup!$G$27),Setup!$C$39:$C$50))&lt;=Setup!$C$16),OR(MONTH(WORKDAY(I211,-(Setup!$C$13+Setup!$G$27),Setup!$C$39:$C$50))&gt;=Setup!$C$15,MONTH(WORKDAY(I211,-(Setup!$C$13+Setup!$G$27),Setup!$C$39:$C$50))&lt;=Setup!$C$16))),WORKDAY(I211,-(Setup!$C$13+Setup!$G$27+Setup!$C$14),Setup!$C$39:$C$50),WORKDAY(I211,-(Setup!$C$13+Setup!$G$27),Setup!$C$39:$C$50))+(206*100+8)/10000000)))</f>
        <v/>
      </c>
      <c r="Z211" t="str">
        <f>IF(J211="","",IF(J211&lt;Setup!$C$5-Setup!$C$6,"",IF(IF(ISNUMBER(Roster!$D211),Setup!$C$28&lt;=Roster!$D211,FALSE),"",IF(OR(IF(Setup!$C$15&lt;=Setup!$C$16,AND(MONTH(J211)&gt;=Setup!$C$15,MONTH(J211)&lt;=Setup!$C$16),OR(MONTH(J211)&gt;=Setup!$C$15,MONTH(J211)&lt;=Setup!$C$16)),IF(Setup!$C$15&lt;=Setup!$C$16,AND(MONTH(WORKDAY(J211,-(Setup!$C$13+Setup!$G$28),Setup!$C$39:$C$50))&gt;=Setup!$C$15,MONTH(WORKDAY(J211,-(Setup!$C$13+Setup!$G$28),Setup!$C$39:$C$50))&lt;=Setup!$C$16),OR(MONTH(WORKDAY(J211,-(Setup!$C$13+Setup!$G$28),Setup!$C$39:$C$50))&gt;=Setup!$C$15,MONTH(WORKDAY(J211,-(Setup!$C$13+Setup!$G$28),Setup!$C$39:$C$50))&lt;=Setup!$C$16))),WORKDAY(J211,-(Setup!$C$13+Setup!$G$28+Setup!$C$14),Setup!$C$39:$C$50),WORKDAY(J211,-(Setup!$C$13+Setup!$G$28),Setup!$C$39:$C$50))+(206*100+9)/10000000)))</f>
        <v/>
      </c>
      <c r="AA211" t="str">
        <f>IF(K211="","",IF(K211&lt;Setup!$C$5-Setup!$C$6,"",IF(IF(ISNUMBER(Roster!$D211),Setup!$C$29&lt;=Roster!$D211,FALSE),"",IF(OR(IF(Setup!$C$15&lt;=Setup!$C$16,AND(MONTH(K211)&gt;=Setup!$C$15,MONTH(K211)&lt;=Setup!$C$16),OR(MONTH(K211)&gt;=Setup!$C$15,MONTH(K211)&lt;=Setup!$C$16)),IF(Setup!$C$15&lt;=Setup!$C$16,AND(MONTH(WORKDAY(K211,-(Setup!$C$13+Setup!$G$29),Setup!$C$39:$C$50))&gt;=Setup!$C$15,MONTH(WORKDAY(K211,-(Setup!$C$13+Setup!$G$29),Setup!$C$39:$C$50))&lt;=Setup!$C$16),OR(MONTH(WORKDAY(K211,-(Setup!$C$13+Setup!$G$29),Setup!$C$39:$C$50))&gt;=Setup!$C$15,MONTH(WORKDAY(K211,-(Setup!$C$13+Setup!$G$29),Setup!$C$39:$C$50))&lt;=Setup!$C$16))),WORKDAY(K211,-(Setup!$C$13+Setup!$G$29+Setup!$C$14),Setup!$C$39:$C$50),WORKDAY(K211,-(Setup!$C$13+Setup!$G$29),Setup!$C$39:$C$50))+(206*100+10)/10000000)))</f>
        <v/>
      </c>
      <c r="AB211" t="str">
        <f>IF(L211="","",IF(L211&lt;Setup!$C$5-Setup!$C$6,"",IF(IF(ISNUMBER(Roster!$D211),Setup!$C$30&lt;=Roster!$D211,FALSE),"",IF(OR(IF(Setup!$C$15&lt;=Setup!$C$16,AND(MONTH(L211)&gt;=Setup!$C$15,MONTH(L211)&lt;=Setup!$C$16),OR(MONTH(L211)&gt;=Setup!$C$15,MONTH(L211)&lt;=Setup!$C$16)),IF(Setup!$C$15&lt;=Setup!$C$16,AND(MONTH(WORKDAY(L211,-(Setup!$C$13+Setup!$G$30),Setup!$C$39:$C$50))&gt;=Setup!$C$15,MONTH(WORKDAY(L211,-(Setup!$C$13+Setup!$G$30),Setup!$C$39:$C$50))&lt;=Setup!$C$16),OR(MONTH(WORKDAY(L211,-(Setup!$C$13+Setup!$G$30),Setup!$C$39:$C$50))&gt;=Setup!$C$15,MONTH(WORKDAY(L211,-(Setup!$C$13+Setup!$G$30),Setup!$C$39:$C$50))&lt;=Setup!$C$16))),WORKDAY(L211,-(Setup!$C$13+Setup!$G$30+Setup!$C$14),Setup!$C$39:$C$50),WORKDAY(L211,-(Setup!$C$13+Setup!$G$30),Setup!$C$39:$C$50))+(206*100+11)/10000000)))</f>
        <v/>
      </c>
      <c r="AC211" t="str">
        <f>IF(M211="","",IF(M211&lt;Setup!$C$5-Setup!$C$6,"",IF(IF(ISNUMBER(Roster!$D211),Setup!$C$31&lt;=Roster!$D211,FALSE),"",IF(OR(IF(Setup!$C$15&lt;=Setup!$C$16,AND(MONTH(M211)&gt;=Setup!$C$15,MONTH(M211)&lt;=Setup!$C$16),OR(MONTH(M211)&gt;=Setup!$C$15,MONTH(M211)&lt;=Setup!$C$16)),IF(Setup!$C$15&lt;=Setup!$C$16,AND(MONTH(WORKDAY(M211,-(Setup!$C$13+Setup!$G$31),Setup!$C$39:$C$50))&gt;=Setup!$C$15,MONTH(WORKDAY(M211,-(Setup!$C$13+Setup!$G$31),Setup!$C$39:$C$50))&lt;=Setup!$C$16),OR(MONTH(WORKDAY(M211,-(Setup!$C$13+Setup!$G$31),Setup!$C$39:$C$50))&gt;=Setup!$C$15,MONTH(WORKDAY(M211,-(Setup!$C$13+Setup!$G$31),Setup!$C$39:$C$50))&lt;=Setup!$C$16))),WORKDAY(M211,-(Setup!$C$13+Setup!$G$31+Setup!$C$14),Setup!$C$39:$C$50),WORKDAY(M211,-(Setup!$C$13+Setup!$G$31),Setup!$C$39:$C$50))+(206*100+12)/10000000)))</f>
        <v/>
      </c>
      <c r="AD211" t="str">
        <f>IF(N211="","",IF(N211&lt;Setup!$C$5-Setup!$C$6,"",IF(IF(ISNUMBER(Roster!$D211),Setup!$C$32&lt;=Roster!$D211,FALSE),"",IF(OR(IF(Setup!$C$15&lt;=Setup!$C$16,AND(MONTH(N211)&gt;=Setup!$C$15,MONTH(N211)&lt;=Setup!$C$16),OR(MONTH(N211)&gt;=Setup!$C$15,MONTH(N211)&lt;=Setup!$C$16)),IF(Setup!$C$15&lt;=Setup!$C$16,AND(MONTH(WORKDAY(N211,-(Setup!$C$13+Setup!$G$32),Setup!$C$39:$C$50))&gt;=Setup!$C$15,MONTH(WORKDAY(N211,-(Setup!$C$13+Setup!$G$32),Setup!$C$39:$C$50))&lt;=Setup!$C$16),OR(MONTH(WORKDAY(N211,-(Setup!$C$13+Setup!$G$32),Setup!$C$39:$C$50))&gt;=Setup!$C$15,MONTH(WORKDAY(N211,-(Setup!$C$13+Setup!$G$32),Setup!$C$39:$C$50))&lt;=Setup!$C$16))),WORKDAY(N211,-(Setup!$C$13+Setup!$G$32+Setup!$C$14),Setup!$C$39:$C$50),WORKDAY(N211,-(Setup!$C$13+Setup!$G$32),Setup!$C$39:$C$50))+(206*100+13)/10000000)))</f>
        <v/>
      </c>
      <c r="AE211" t="str">
        <f>IF(O211="","",IF(O211&lt;Setup!$C$5-Setup!$C$6,"",IF(IF(ISNUMBER(Roster!$D211),Setup!$C$33&lt;=Roster!$D211,FALSE),"",IF(OR(IF(Setup!$C$15&lt;=Setup!$C$16,AND(MONTH(O211)&gt;=Setup!$C$15,MONTH(O211)&lt;=Setup!$C$16),OR(MONTH(O211)&gt;=Setup!$C$15,MONTH(O211)&lt;=Setup!$C$16)),IF(Setup!$C$15&lt;=Setup!$C$16,AND(MONTH(WORKDAY(O211,-(Setup!$C$13+Setup!$G$33),Setup!$C$39:$C$50))&gt;=Setup!$C$15,MONTH(WORKDAY(O211,-(Setup!$C$13+Setup!$G$33),Setup!$C$39:$C$50))&lt;=Setup!$C$16),OR(MONTH(WORKDAY(O211,-(Setup!$C$13+Setup!$G$33),Setup!$C$39:$C$50))&gt;=Setup!$C$15,MONTH(WORKDAY(O211,-(Setup!$C$13+Setup!$G$33),Setup!$C$39:$C$50))&lt;=Setup!$C$16))),WORKDAY(O211,-(Setup!$C$13+Setup!$G$33+Setup!$C$14),Setup!$C$39:$C$50),WORKDAY(O211,-(Setup!$C$13+Setup!$G$33),Setup!$C$39:$C$50))+(206*100+14)/10000000)))</f>
        <v/>
      </c>
      <c r="AF211" t="str">
        <f>IF(P211="","",IF(P211&lt;Setup!$C$5-Setup!$C$6,"",IF(IF(ISNUMBER(Roster!$D211),Setup!$C$34&lt;=Roster!$D211,FALSE),"",IF(OR(IF(Setup!$C$15&lt;=Setup!$C$16,AND(MONTH(P211)&gt;=Setup!$C$15,MONTH(P211)&lt;=Setup!$C$16),OR(MONTH(P211)&gt;=Setup!$C$15,MONTH(P211)&lt;=Setup!$C$16)),IF(Setup!$C$15&lt;=Setup!$C$16,AND(MONTH(WORKDAY(P211,-(Setup!$C$13+Setup!$G$34),Setup!$C$39:$C$50))&gt;=Setup!$C$15,MONTH(WORKDAY(P211,-(Setup!$C$13+Setup!$G$34),Setup!$C$39:$C$50))&lt;=Setup!$C$16),OR(MONTH(WORKDAY(P211,-(Setup!$C$13+Setup!$G$34),Setup!$C$39:$C$50))&gt;=Setup!$C$15,MONTH(WORKDAY(P211,-(Setup!$C$13+Setup!$G$34),Setup!$C$39:$C$50))&lt;=Setup!$C$16))),WORKDAY(P211,-(Setup!$C$13+Setup!$G$34+Setup!$C$14),Setup!$C$39:$C$50),WORKDAY(P211,-(Setup!$C$13+Setup!$G$34),Setup!$C$39:$C$50))+(206*100+15)/10000000)))</f>
        <v/>
      </c>
      <c r="AH211" t="str">
        <f t="shared" si="25"/>
        <v/>
      </c>
      <c r="AI211" t="str">
        <f t="shared" si="26"/>
        <v/>
      </c>
      <c r="AK211" t="str">
        <f ca="1">IF(206&gt;$AK$2,"",SMALL($R$6:$AF$505,206))</f>
        <v/>
      </c>
      <c r="AL211" t="str">
        <f t="shared" ca="1" si="27"/>
        <v/>
      </c>
      <c r="AM211" t="str">
        <f t="shared" ca="1" si="28"/>
        <v/>
      </c>
      <c r="AN211" t="str">
        <f t="shared" ca="1" si="29"/>
        <v/>
      </c>
      <c r="AP211" t="str">
        <f>IF(ISNUMBER(Roster!$B211),MAX(1,YEAR(Setup!$C$5)-YEAR(Roster!$B211)+IF(EDATE(Roster!$B211,12*(YEAR(Setup!$C$5)-YEAR(Roster!$B211)))&lt;Setup!$C$5,1,0)),"")</f>
        <v/>
      </c>
      <c r="AQ211" s="32" t="str">
        <f>IF(AP211="","",EDATE(Roster!$B211,12*AP211))</f>
        <v/>
      </c>
      <c r="AR211" t="str">
        <f>IF(AQ211="","",IF(AQ211&lt;DATE(YEAR(Setup!$C$5)+1,MONTH(Setup!$C$5),DAY(Setup!$C$5)),AQ211+206/1000,""))</f>
        <v/>
      </c>
      <c r="AS211" t="str">
        <f t="shared" si="30"/>
        <v/>
      </c>
      <c r="AT211" t="str">
        <f>IF(AS211="","",IF(ISNUMBER(Roster!$D211),Roster!$D211&gt;=AP211,FALSE))</f>
        <v/>
      </c>
      <c r="AU211" t="str">
        <f t="shared" si="31"/>
        <v/>
      </c>
      <c r="AV211" t="str">
        <f ca="1">IF(206&gt;$AV$2,"",SMALL($AR$6:$AR$505,206))</f>
        <v/>
      </c>
      <c r="AW211" t="str">
        <f t="shared" ca="1" si="32"/>
        <v/>
      </c>
    </row>
    <row r="212" spans="2:49" x14ac:dyDescent="0.2">
      <c r="B212" s="32" t="str">
        <f>IF(AND(ISNUMBER(Roster!$B212),Setup!$B$20="Yes",ISNUMBER(Setup!$C$20)),EDATE(Roster!$B212,12*Setup!$C$20),"")</f>
        <v/>
      </c>
      <c r="C212" s="32" t="str">
        <f>IF(AND(ISNUMBER(Roster!$B212),Setup!$B$21="Yes",ISNUMBER(Setup!$C$21)),EDATE(Roster!$B212,12*Setup!$C$21),"")</f>
        <v/>
      </c>
      <c r="D212" s="32" t="str">
        <f>IF(AND(ISNUMBER(Roster!$B212),Setup!$B$22="Yes",ISNUMBER(Setup!$C$22)),EDATE(Roster!$B212,12*Setup!$C$22),"")</f>
        <v/>
      </c>
      <c r="E212" s="32" t="str">
        <f>IF(AND(ISNUMBER(Roster!$B212),Setup!$B$23="Yes",ISNUMBER(Setup!$C$23)),EDATE(Roster!$B212,12*Setup!$C$23),"")</f>
        <v/>
      </c>
      <c r="F212" s="32" t="str">
        <f>IF(AND(ISNUMBER(Roster!$B212),Setup!$B$24="Yes",ISNUMBER(Setup!$C$24)),EDATE(Roster!$B212,12*Setup!$C$24),"")</f>
        <v/>
      </c>
      <c r="G212" s="32" t="str">
        <f>IF(AND(ISNUMBER(Roster!$B212),Setup!$B$25="Yes",ISNUMBER(Setup!$C$25)),EDATE(Roster!$B212,12*Setup!$C$25),"")</f>
        <v/>
      </c>
      <c r="H212" s="32" t="str">
        <f>IF(AND(ISNUMBER(Roster!$B212),Setup!$B$26="Yes",ISNUMBER(Setup!$C$26)),EDATE(Roster!$B212,12*Setup!$C$26),"")</f>
        <v/>
      </c>
      <c r="I212" s="32" t="str">
        <f>IF(AND(ISNUMBER(Roster!$B212),Setup!$B$27="Yes",ISNUMBER(Setup!$C$27)),EDATE(Roster!$B212,12*Setup!$C$27),"")</f>
        <v/>
      </c>
      <c r="J212" s="32" t="str">
        <f>IF(AND(ISNUMBER(Roster!$B212),Setup!$B$28="Yes",ISNUMBER(Setup!$C$28)),EDATE(Roster!$B212,12*Setup!$C$28),"")</f>
        <v/>
      </c>
      <c r="K212" s="32" t="str">
        <f>IF(AND(ISNUMBER(Roster!$B212),Setup!$B$29="Yes",ISNUMBER(Setup!$C$29)),EDATE(Roster!$B212,12*Setup!$C$29),"")</f>
        <v/>
      </c>
      <c r="L212" s="32" t="str">
        <f>IF(AND(ISNUMBER(Roster!$B212),Setup!$B$30="Yes",ISNUMBER(Setup!$C$30)),EDATE(Roster!$B212,12*Setup!$C$30),"")</f>
        <v/>
      </c>
      <c r="M212" s="32" t="str">
        <f>IF(AND(ISNUMBER(Roster!$B212),Setup!$B$31="Yes",ISNUMBER(Setup!$C$31)),EDATE(Roster!$B212,12*Setup!$C$31),"")</f>
        <v/>
      </c>
      <c r="N212" s="32" t="str">
        <f>IF(AND(ISNUMBER(Roster!$B212),Setup!$B$32="Yes",ISNUMBER(Setup!$C$32)),EDATE(Roster!$B212,12*Setup!$C$32),"")</f>
        <v/>
      </c>
      <c r="O212" s="32" t="str">
        <f>IF(AND(ISNUMBER(Roster!$B212),Setup!$B$33="Yes",ISNUMBER(Setup!$C$33)),EDATE(Roster!$B212,12*Setup!$C$33),"")</f>
        <v/>
      </c>
      <c r="P212" s="32" t="str">
        <f>IF(AND(ISNUMBER(Roster!$B212),Setup!$B$34="Yes",ISNUMBER(Setup!$C$34)),EDATE(Roster!$B212,12*Setup!$C$34),"")</f>
        <v/>
      </c>
      <c r="R212" t="str">
        <f>IF(B212="","",IF(B212&lt;Setup!$C$5-Setup!$C$6,"",IF(IF(ISNUMBER(Roster!$D212),Setup!$C$20&lt;=Roster!$D212,FALSE),"",IF(OR(IF(Setup!$C$15&lt;=Setup!$C$16,AND(MONTH(B212)&gt;=Setup!$C$15,MONTH(B212)&lt;=Setup!$C$16),OR(MONTH(B212)&gt;=Setup!$C$15,MONTH(B212)&lt;=Setup!$C$16)),IF(Setup!$C$15&lt;=Setup!$C$16,AND(MONTH(WORKDAY(B212,-(Setup!$C$13+Setup!$G$20),Setup!$C$39:$C$50))&gt;=Setup!$C$15,MONTH(WORKDAY(B212,-(Setup!$C$13+Setup!$G$20),Setup!$C$39:$C$50))&lt;=Setup!$C$16),OR(MONTH(WORKDAY(B212,-(Setup!$C$13+Setup!$G$20),Setup!$C$39:$C$50))&gt;=Setup!$C$15,MONTH(WORKDAY(B212,-(Setup!$C$13+Setup!$G$20),Setup!$C$39:$C$50))&lt;=Setup!$C$16))),WORKDAY(B212,-(Setup!$C$13+Setup!$G$20+Setup!$C$14),Setup!$C$39:$C$50),WORKDAY(B212,-(Setup!$C$13+Setup!$G$20),Setup!$C$39:$C$50))+(207*100+1)/10000000)))</f>
        <v/>
      </c>
      <c r="S212" t="str">
        <f>IF(C212="","",IF(C212&lt;Setup!$C$5-Setup!$C$6,"",IF(IF(ISNUMBER(Roster!$D212),Setup!$C$21&lt;=Roster!$D212,FALSE),"",IF(OR(IF(Setup!$C$15&lt;=Setup!$C$16,AND(MONTH(C212)&gt;=Setup!$C$15,MONTH(C212)&lt;=Setup!$C$16),OR(MONTH(C212)&gt;=Setup!$C$15,MONTH(C212)&lt;=Setup!$C$16)),IF(Setup!$C$15&lt;=Setup!$C$16,AND(MONTH(WORKDAY(C212,-(Setup!$C$13+Setup!$G$21),Setup!$C$39:$C$50))&gt;=Setup!$C$15,MONTH(WORKDAY(C212,-(Setup!$C$13+Setup!$G$21),Setup!$C$39:$C$50))&lt;=Setup!$C$16),OR(MONTH(WORKDAY(C212,-(Setup!$C$13+Setup!$G$21),Setup!$C$39:$C$50))&gt;=Setup!$C$15,MONTH(WORKDAY(C212,-(Setup!$C$13+Setup!$G$21),Setup!$C$39:$C$50))&lt;=Setup!$C$16))),WORKDAY(C212,-(Setup!$C$13+Setup!$G$21+Setup!$C$14),Setup!$C$39:$C$50),WORKDAY(C212,-(Setup!$C$13+Setup!$G$21),Setup!$C$39:$C$50))+(207*100+2)/10000000)))</f>
        <v/>
      </c>
      <c r="T212" t="str">
        <f>IF(D212="","",IF(D212&lt;Setup!$C$5-Setup!$C$6,"",IF(IF(ISNUMBER(Roster!$D212),Setup!$C$22&lt;=Roster!$D212,FALSE),"",IF(OR(IF(Setup!$C$15&lt;=Setup!$C$16,AND(MONTH(D212)&gt;=Setup!$C$15,MONTH(D212)&lt;=Setup!$C$16),OR(MONTH(D212)&gt;=Setup!$C$15,MONTH(D212)&lt;=Setup!$C$16)),IF(Setup!$C$15&lt;=Setup!$C$16,AND(MONTH(WORKDAY(D212,-(Setup!$C$13+Setup!$G$22),Setup!$C$39:$C$50))&gt;=Setup!$C$15,MONTH(WORKDAY(D212,-(Setup!$C$13+Setup!$G$22),Setup!$C$39:$C$50))&lt;=Setup!$C$16),OR(MONTH(WORKDAY(D212,-(Setup!$C$13+Setup!$G$22),Setup!$C$39:$C$50))&gt;=Setup!$C$15,MONTH(WORKDAY(D212,-(Setup!$C$13+Setup!$G$22),Setup!$C$39:$C$50))&lt;=Setup!$C$16))),WORKDAY(D212,-(Setup!$C$13+Setup!$G$22+Setup!$C$14),Setup!$C$39:$C$50),WORKDAY(D212,-(Setup!$C$13+Setup!$G$22),Setup!$C$39:$C$50))+(207*100+3)/10000000)))</f>
        <v/>
      </c>
      <c r="U212" t="str">
        <f>IF(E212="","",IF(E212&lt;Setup!$C$5-Setup!$C$6,"",IF(IF(ISNUMBER(Roster!$D212),Setup!$C$23&lt;=Roster!$D212,FALSE),"",IF(OR(IF(Setup!$C$15&lt;=Setup!$C$16,AND(MONTH(E212)&gt;=Setup!$C$15,MONTH(E212)&lt;=Setup!$C$16),OR(MONTH(E212)&gt;=Setup!$C$15,MONTH(E212)&lt;=Setup!$C$16)),IF(Setup!$C$15&lt;=Setup!$C$16,AND(MONTH(WORKDAY(E212,-(Setup!$C$13+Setup!$G$23),Setup!$C$39:$C$50))&gt;=Setup!$C$15,MONTH(WORKDAY(E212,-(Setup!$C$13+Setup!$G$23),Setup!$C$39:$C$50))&lt;=Setup!$C$16),OR(MONTH(WORKDAY(E212,-(Setup!$C$13+Setup!$G$23),Setup!$C$39:$C$50))&gt;=Setup!$C$15,MONTH(WORKDAY(E212,-(Setup!$C$13+Setup!$G$23),Setup!$C$39:$C$50))&lt;=Setup!$C$16))),WORKDAY(E212,-(Setup!$C$13+Setup!$G$23+Setup!$C$14),Setup!$C$39:$C$50),WORKDAY(E212,-(Setup!$C$13+Setup!$G$23),Setup!$C$39:$C$50))+(207*100+4)/10000000)))</f>
        <v/>
      </c>
      <c r="V212" t="str">
        <f>IF(F212="","",IF(F212&lt;Setup!$C$5-Setup!$C$6,"",IF(IF(ISNUMBER(Roster!$D212),Setup!$C$24&lt;=Roster!$D212,FALSE),"",IF(OR(IF(Setup!$C$15&lt;=Setup!$C$16,AND(MONTH(F212)&gt;=Setup!$C$15,MONTH(F212)&lt;=Setup!$C$16),OR(MONTH(F212)&gt;=Setup!$C$15,MONTH(F212)&lt;=Setup!$C$16)),IF(Setup!$C$15&lt;=Setup!$C$16,AND(MONTH(WORKDAY(F212,-(Setup!$C$13+Setup!$G$24),Setup!$C$39:$C$50))&gt;=Setup!$C$15,MONTH(WORKDAY(F212,-(Setup!$C$13+Setup!$G$24),Setup!$C$39:$C$50))&lt;=Setup!$C$16),OR(MONTH(WORKDAY(F212,-(Setup!$C$13+Setup!$G$24),Setup!$C$39:$C$50))&gt;=Setup!$C$15,MONTH(WORKDAY(F212,-(Setup!$C$13+Setup!$G$24),Setup!$C$39:$C$50))&lt;=Setup!$C$16))),WORKDAY(F212,-(Setup!$C$13+Setup!$G$24+Setup!$C$14),Setup!$C$39:$C$50),WORKDAY(F212,-(Setup!$C$13+Setup!$G$24),Setup!$C$39:$C$50))+(207*100+5)/10000000)))</f>
        <v/>
      </c>
      <c r="W212" t="str">
        <f>IF(G212="","",IF(G212&lt;Setup!$C$5-Setup!$C$6,"",IF(IF(ISNUMBER(Roster!$D212),Setup!$C$25&lt;=Roster!$D212,FALSE),"",IF(OR(IF(Setup!$C$15&lt;=Setup!$C$16,AND(MONTH(G212)&gt;=Setup!$C$15,MONTH(G212)&lt;=Setup!$C$16),OR(MONTH(G212)&gt;=Setup!$C$15,MONTH(G212)&lt;=Setup!$C$16)),IF(Setup!$C$15&lt;=Setup!$C$16,AND(MONTH(WORKDAY(G212,-(Setup!$C$13+Setup!$G$25),Setup!$C$39:$C$50))&gt;=Setup!$C$15,MONTH(WORKDAY(G212,-(Setup!$C$13+Setup!$G$25),Setup!$C$39:$C$50))&lt;=Setup!$C$16),OR(MONTH(WORKDAY(G212,-(Setup!$C$13+Setup!$G$25),Setup!$C$39:$C$50))&gt;=Setup!$C$15,MONTH(WORKDAY(G212,-(Setup!$C$13+Setup!$G$25),Setup!$C$39:$C$50))&lt;=Setup!$C$16))),WORKDAY(G212,-(Setup!$C$13+Setup!$G$25+Setup!$C$14),Setup!$C$39:$C$50),WORKDAY(G212,-(Setup!$C$13+Setup!$G$25),Setup!$C$39:$C$50))+(207*100+6)/10000000)))</f>
        <v/>
      </c>
      <c r="X212" t="str">
        <f>IF(H212="","",IF(H212&lt;Setup!$C$5-Setup!$C$6,"",IF(IF(ISNUMBER(Roster!$D212),Setup!$C$26&lt;=Roster!$D212,FALSE),"",IF(OR(IF(Setup!$C$15&lt;=Setup!$C$16,AND(MONTH(H212)&gt;=Setup!$C$15,MONTH(H212)&lt;=Setup!$C$16),OR(MONTH(H212)&gt;=Setup!$C$15,MONTH(H212)&lt;=Setup!$C$16)),IF(Setup!$C$15&lt;=Setup!$C$16,AND(MONTH(WORKDAY(H212,-(Setup!$C$13+Setup!$G$26),Setup!$C$39:$C$50))&gt;=Setup!$C$15,MONTH(WORKDAY(H212,-(Setup!$C$13+Setup!$G$26),Setup!$C$39:$C$50))&lt;=Setup!$C$16),OR(MONTH(WORKDAY(H212,-(Setup!$C$13+Setup!$G$26),Setup!$C$39:$C$50))&gt;=Setup!$C$15,MONTH(WORKDAY(H212,-(Setup!$C$13+Setup!$G$26),Setup!$C$39:$C$50))&lt;=Setup!$C$16))),WORKDAY(H212,-(Setup!$C$13+Setup!$G$26+Setup!$C$14),Setup!$C$39:$C$50),WORKDAY(H212,-(Setup!$C$13+Setup!$G$26),Setup!$C$39:$C$50))+(207*100+7)/10000000)))</f>
        <v/>
      </c>
      <c r="Y212" t="str">
        <f>IF(I212="","",IF(I212&lt;Setup!$C$5-Setup!$C$6,"",IF(IF(ISNUMBER(Roster!$D212),Setup!$C$27&lt;=Roster!$D212,FALSE),"",IF(OR(IF(Setup!$C$15&lt;=Setup!$C$16,AND(MONTH(I212)&gt;=Setup!$C$15,MONTH(I212)&lt;=Setup!$C$16),OR(MONTH(I212)&gt;=Setup!$C$15,MONTH(I212)&lt;=Setup!$C$16)),IF(Setup!$C$15&lt;=Setup!$C$16,AND(MONTH(WORKDAY(I212,-(Setup!$C$13+Setup!$G$27),Setup!$C$39:$C$50))&gt;=Setup!$C$15,MONTH(WORKDAY(I212,-(Setup!$C$13+Setup!$G$27),Setup!$C$39:$C$50))&lt;=Setup!$C$16),OR(MONTH(WORKDAY(I212,-(Setup!$C$13+Setup!$G$27),Setup!$C$39:$C$50))&gt;=Setup!$C$15,MONTH(WORKDAY(I212,-(Setup!$C$13+Setup!$G$27),Setup!$C$39:$C$50))&lt;=Setup!$C$16))),WORKDAY(I212,-(Setup!$C$13+Setup!$G$27+Setup!$C$14),Setup!$C$39:$C$50),WORKDAY(I212,-(Setup!$C$13+Setup!$G$27),Setup!$C$39:$C$50))+(207*100+8)/10000000)))</f>
        <v/>
      </c>
      <c r="Z212" t="str">
        <f>IF(J212="","",IF(J212&lt;Setup!$C$5-Setup!$C$6,"",IF(IF(ISNUMBER(Roster!$D212),Setup!$C$28&lt;=Roster!$D212,FALSE),"",IF(OR(IF(Setup!$C$15&lt;=Setup!$C$16,AND(MONTH(J212)&gt;=Setup!$C$15,MONTH(J212)&lt;=Setup!$C$16),OR(MONTH(J212)&gt;=Setup!$C$15,MONTH(J212)&lt;=Setup!$C$16)),IF(Setup!$C$15&lt;=Setup!$C$16,AND(MONTH(WORKDAY(J212,-(Setup!$C$13+Setup!$G$28),Setup!$C$39:$C$50))&gt;=Setup!$C$15,MONTH(WORKDAY(J212,-(Setup!$C$13+Setup!$G$28),Setup!$C$39:$C$50))&lt;=Setup!$C$16),OR(MONTH(WORKDAY(J212,-(Setup!$C$13+Setup!$G$28),Setup!$C$39:$C$50))&gt;=Setup!$C$15,MONTH(WORKDAY(J212,-(Setup!$C$13+Setup!$G$28),Setup!$C$39:$C$50))&lt;=Setup!$C$16))),WORKDAY(J212,-(Setup!$C$13+Setup!$G$28+Setup!$C$14),Setup!$C$39:$C$50),WORKDAY(J212,-(Setup!$C$13+Setup!$G$28),Setup!$C$39:$C$50))+(207*100+9)/10000000)))</f>
        <v/>
      </c>
      <c r="AA212" t="str">
        <f>IF(K212="","",IF(K212&lt;Setup!$C$5-Setup!$C$6,"",IF(IF(ISNUMBER(Roster!$D212),Setup!$C$29&lt;=Roster!$D212,FALSE),"",IF(OR(IF(Setup!$C$15&lt;=Setup!$C$16,AND(MONTH(K212)&gt;=Setup!$C$15,MONTH(K212)&lt;=Setup!$C$16),OR(MONTH(K212)&gt;=Setup!$C$15,MONTH(K212)&lt;=Setup!$C$16)),IF(Setup!$C$15&lt;=Setup!$C$16,AND(MONTH(WORKDAY(K212,-(Setup!$C$13+Setup!$G$29),Setup!$C$39:$C$50))&gt;=Setup!$C$15,MONTH(WORKDAY(K212,-(Setup!$C$13+Setup!$G$29),Setup!$C$39:$C$50))&lt;=Setup!$C$16),OR(MONTH(WORKDAY(K212,-(Setup!$C$13+Setup!$G$29),Setup!$C$39:$C$50))&gt;=Setup!$C$15,MONTH(WORKDAY(K212,-(Setup!$C$13+Setup!$G$29),Setup!$C$39:$C$50))&lt;=Setup!$C$16))),WORKDAY(K212,-(Setup!$C$13+Setup!$G$29+Setup!$C$14),Setup!$C$39:$C$50),WORKDAY(K212,-(Setup!$C$13+Setup!$G$29),Setup!$C$39:$C$50))+(207*100+10)/10000000)))</f>
        <v/>
      </c>
      <c r="AB212" t="str">
        <f>IF(L212="","",IF(L212&lt;Setup!$C$5-Setup!$C$6,"",IF(IF(ISNUMBER(Roster!$D212),Setup!$C$30&lt;=Roster!$D212,FALSE),"",IF(OR(IF(Setup!$C$15&lt;=Setup!$C$16,AND(MONTH(L212)&gt;=Setup!$C$15,MONTH(L212)&lt;=Setup!$C$16),OR(MONTH(L212)&gt;=Setup!$C$15,MONTH(L212)&lt;=Setup!$C$16)),IF(Setup!$C$15&lt;=Setup!$C$16,AND(MONTH(WORKDAY(L212,-(Setup!$C$13+Setup!$G$30),Setup!$C$39:$C$50))&gt;=Setup!$C$15,MONTH(WORKDAY(L212,-(Setup!$C$13+Setup!$G$30),Setup!$C$39:$C$50))&lt;=Setup!$C$16),OR(MONTH(WORKDAY(L212,-(Setup!$C$13+Setup!$G$30),Setup!$C$39:$C$50))&gt;=Setup!$C$15,MONTH(WORKDAY(L212,-(Setup!$C$13+Setup!$G$30),Setup!$C$39:$C$50))&lt;=Setup!$C$16))),WORKDAY(L212,-(Setup!$C$13+Setup!$G$30+Setup!$C$14),Setup!$C$39:$C$50),WORKDAY(L212,-(Setup!$C$13+Setup!$G$30),Setup!$C$39:$C$50))+(207*100+11)/10000000)))</f>
        <v/>
      </c>
      <c r="AC212" t="str">
        <f>IF(M212="","",IF(M212&lt;Setup!$C$5-Setup!$C$6,"",IF(IF(ISNUMBER(Roster!$D212),Setup!$C$31&lt;=Roster!$D212,FALSE),"",IF(OR(IF(Setup!$C$15&lt;=Setup!$C$16,AND(MONTH(M212)&gt;=Setup!$C$15,MONTH(M212)&lt;=Setup!$C$16),OR(MONTH(M212)&gt;=Setup!$C$15,MONTH(M212)&lt;=Setup!$C$16)),IF(Setup!$C$15&lt;=Setup!$C$16,AND(MONTH(WORKDAY(M212,-(Setup!$C$13+Setup!$G$31),Setup!$C$39:$C$50))&gt;=Setup!$C$15,MONTH(WORKDAY(M212,-(Setup!$C$13+Setup!$G$31),Setup!$C$39:$C$50))&lt;=Setup!$C$16),OR(MONTH(WORKDAY(M212,-(Setup!$C$13+Setup!$G$31),Setup!$C$39:$C$50))&gt;=Setup!$C$15,MONTH(WORKDAY(M212,-(Setup!$C$13+Setup!$G$31),Setup!$C$39:$C$50))&lt;=Setup!$C$16))),WORKDAY(M212,-(Setup!$C$13+Setup!$G$31+Setup!$C$14),Setup!$C$39:$C$50),WORKDAY(M212,-(Setup!$C$13+Setup!$G$31),Setup!$C$39:$C$50))+(207*100+12)/10000000)))</f>
        <v/>
      </c>
      <c r="AD212" t="str">
        <f>IF(N212="","",IF(N212&lt;Setup!$C$5-Setup!$C$6,"",IF(IF(ISNUMBER(Roster!$D212),Setup!$C$32&lt;=Roster!$D212,FALSE),"",IF(OR(IF(Setup!$C$15&lt;=Setup!$C$16,AND(MONTH(N212)&gt;=Setup!$C$15,MONTH(N212)&lt;=Setup!$C$16),OR(MONTH(N212)&gt;=Setup!$C$15,MONTH(N212)&lt;=Setup!$C$16)),IF(Setup!$C$15&lt;=Setup!$C$16,AND(MONTH(WORKDAY(N212,-(Setup!$C$13+Setup!$G$32),Setup!$C$39:$C$50))&gt;=Setup!$C$15,MONTH(WORKDAY(N212,-(Setup!$C$13+Setup!$G$32),Setup!$C$39:$C$50))&lt;=Setup!$C$16),OR(MONTH(WORKDAY(N212,-(Setup!$C$13+Setup!$G$32),Setup!$C$39:$C$50))&gt;=Setup!$C$15,MONTH(WORKDAY(N212,-(Setup!$C$13+Setup!$G$32),Setup!$C$39:$C$50))&lt;=Setup!$C$16))),WORKDAY(N212,-(Setup!$C$13+Setup!$G$32+Setup!$C$14),Setup!$C$39:$C$50),WORKDAY(N212,-(Setup!$C$13+Setup!$G$32),Setup!$C$39:$C$50))+(207*100+13)/10000000)))</f>
        <v/>
      </c>
      <c r="AE212" t="str">
        <f>IF(O212="","",IF(O212&lt;Setup!$C$5-Setup!$C$6,"",IF(IF(ISNUMBER(Roster!$D212),Setup!$C$33&lt;=Roster!$D212,FALSE),"",IF(OR(IF(Setup!$C$15&lt;=Setup!$C$16,AND(MONTH(O212)&gt;=Setup!$C$15,MONTH(O212)&lt;=Setup!$C$16),OR(MONTH(O212)&gt;=Setup!$C$15,MONTH(O212)&lt;=Setup!$C$16)),IF(Setup!$C$15&lt;=Setup!$C$16,AND(MONTH(WORKDAY(O212,-(Setup!$C$13+Setup!$G$33),Setup!$C$39:$C$50))&gt;=Setup!$C$15,MONTH(WORKDAY(O212,-(Setup!$C$13+Setup!$G$33),Setup!$C$39:$C$50))&lt;=Setup!$C$16),OR(MONTH(WORKDAY(O212,-(Setup!$C$13+Setup!$G$33),Setup!$C$39:$C$50))&gt;=Setup!$C$15,MONTH(WORKDAY(O212,-(Setup!$C$13+Setup!$G$33),Setup!$C$39:$C$50))&lt;=Setup!$C$16))),WORKDAY(O212,-(Setup!$C$13+Setup!$G$33+Setup!$C$14),Setup!$C$39:$C$50),WORKDAY(O212,-(Setup!$C$13+Setup!$G$33),Setup!$C$39:$C$50))+(207*100+14)/10000000)))</f>
        <v/>
      </c>
      <c r="AF212" t="str">
        <f>IF(P212="","",IF(P212&lt;Setup!$C$5-Setup!$C$6,"",IF(IF(ISNUMBER(Roster!$D212),Setup!$C$34&lt;=Roster!$D212,FALSE),"",IF(OR(IF(Setup!$C$15&lt;=Setup!$C$16,AND(MONTH(P212)&gt;=Setup!$C$15,MONTH(P212)&lt;=Setup!$C$16),OR(MONTH(P212)&gt;=Setup!$C$15,MONTH(P212)&lt;=Setup!$C$16)),IF(Setup!$C$15&lt;=Setup!$C$16,AND(MONTH(WORKDAY(P212,-(Setup!$C$13+Setup!$G$34),Setup!$C$39:$C$50))&gt;=Setup!$C$15,MONTH(WORKDAY(P212,-(Setup!$C$13+Setup!$G$34),Setup!$C$39:$C$50))&lt;=Setup!$C$16),OR(MONTH(WORKDAY(P212,-(Setup!$C$13+Setup!$G$34),Setup!$C$39:$C$50))&gt;=Setup!$C$15,MONTH(WORKDAY(P212,-(Setup!$C$13+Setup!$G$34),Setup!$C$39:$C$50))&lt;=Setup!$C$16))),WORKDAY(P212,-(Setup!$C$13+Setup!$G$34+Setup!$C$14),Setup!$C$39:$C$50),WORKDAY(P212,-(Setup!$C$13+Setup!$G$34),Setup!$C$39:$C$50))+(207*100+15)/10000000)))</f>
        <v/>
      </c>
      <c r="AH212" t="str">
        <f t="shared" si="25"/>
        <v/>
      </c>
      <c r="AI212" t="str">
        <f t="shared" si="26"/>
        <v/>
      </c>
      <c r="AK212" t="str">
        <f ca="1">IF(207&gt;$AK$2,"",SMALL($R$6:$AF$505,207))</f>
        <v/>
      </c>
      <c r="AL212" t="str">
        <f t="shared" ca="1" si="27"/>
        <v/>
      </c>
      <c r="AM212" t="str">
        <f t="shared" ca="1" si="28"/>
        <v/>
      </c>
      <c r="AN212" t="str">
        <f t="shared" ca="1" si="29"/>
        <v/>
      </c>
      <c r="AP212" t="str">
        <f>IF(ISNUMBER(Roster!$B212),MAX(1,YEAR(Setup!$C$5)-YEAR(Roster!$B212)+IF(EDATE(Roster!$B212,12*(YEAR(Setup!$C$5)-YEAR(Roster!$B212)))&lt;Setup!$C$5,1,0)),"")</f>
        <v/>
      </c>
      <c r="AQ212" s="32" t="str">
        <f>IF(AP212="","",EDATE(Roster!$B212,12*AP212))</f>
        <v/>
      </c>
      <c r="AR212" t="str">
        <f>IF(AQ212="","",IF(AQ212&lt;DATE(YEAR(Setup!$C$5)+1,MONTH(Setup!$C$5),DAY(Setup!$C$5)),AQ212+207/1000,""))</f>
        <v/>
      </c>
      <c r="AS212" t="str">
        <f t="shared" si="30"/>
        <v/>
      </c>
      <c r="AT212" t="str">
        <f>IF(AS212="","",IF(ISNUMBER(Roster!$D212),Roster!$D212&gt;=AP212,FALSE))</f>
        <v/>
      </c>
      <c r="AU212" t="str">
        <f t="shared" si="31"/>
        <v/>
      </c>
      <c r="AV212" t="str">
        <f ca="1">IF(207&gt;$AV$2,"",SMALL($AR$6:$AR$505,207))</f>
        <v/>
      </c>
      <c r="AW212" t="str">
        <f t="shared" ca="1" si="32"/>
        <v/>
      </c>
    </row>
    <row r="213" spans="2:49" x14ac:dyDescent="0.2">
      <c r="B213" s="32" t="str">
        <f>IF(AND(ISNUMBER(Roster!$B213),Setup!$B$20="Yes",ISNUMBER(Setup!$C$20)),EDATE(Roster!$B213,12*Setup!$C$20),"")</f>
        <v/>
      </c>
      <c r="C213" s="32" t="str">
        <f>IF(AND(ISNUMBER(Roster!$B213),Setup!$B$21="Yes",ISNUMBER(Setup!$C$21)),EDATE(Roster!$B213,12*Setup!$C$21),"")</f>
        <v/>
      </c>
      <c r="D213" s="32" t="str">
        <f>IF(AND(ISNUMBER(Roster!$B213),Setup!$B$22="Yes",ISNUMBER(Setup!$C$22)),EDATE(Roster!$B213,12*Setup!$C$22),"")</f>
        <v/>
      </c>
      <c r="E213" s="32" t="str">
        <f>IF(AND(ISNUMBER(Roster!$B213),Setup!$B$23="Yes",ISNUMBER(Setup!$C$23)),EDATE(Roster!$B213,12*Setup!$C$23),"")</f>
        <v/>
      </c>
      <c r="F213" s="32" t="str">
        <f>IF(AND(ISNUMBER(Roster!$B213),Setup!$B$24="Yes",ISNUMBER(Setup!$C$24)),EDATE(Roster!$B213,12*Setup!$C$24),"")</f>
        <v/>
      </c>
      <c r="G213" s="32" t="str">
        <f>IF(AND(ISNUMBER(Roster!$B213),Setup!$B$25="Yes",ISNUMBER(Setup!$C$25)),EDATE(Roster!$B213,12*Setup!$C$25),"")</f>
        <v/>
      </c>
      <c r="H213" s="32" t="str">
        <f>IF(AND(ISNUMBER(Roster!$B213),Setup!$B$26="Yes",ISNUMBER(Setup!$C$26)),EDATE(Roster!$B213,12*Setup!$C$26),"")</f>
        <v/>
      </c>
      <c r="I213" s="32" t="str">
        <f>IF(AND(ISNUMBER(Roster!$B213),Setup!$B$27="Yes",ISNUMBER(Setup!$C$27)),EDATE(Roster!$B213,12*Setup!$C$27),"")</f>
        <v/>
      </c>
      <c r="J213" s="32" t="str">
        <f>IF(AND(ISNUMBER(Roster!$B213),Setup!$B$28="Yes",ISNUMBER(Setup!$C$28)),EDATE(Roster!$B213,12*Setup!$C$28),"")</f>
        <v/>
      </c>
      <c r="K213" s="32" t="str">
        <f>IF(AND(ISNUMBER(Roster!$B213),Setup!$B$29="Yes",ISNUMBER(Setup!$C$29)),EDATE(Roster!$B213,12*Setup!$C$29),"")</f>
        <v/>
      </c>
      <c r="L213" s="32" t="str">
        <f>IF(AND(ISNUMBER(Roster!$B213),Setup!$B$30="Yes",ISNUMBER(Setup!$C$30)),EDATE(Roster!$B213,12*Setup!$C$30),"")</f>
        <v/>
      </c>
      <c r="M213" s="32" t="str">
        <f>IF(AND(ISNUMBER(Roster!$B213),Setup!$B$31="Yes",ISNUMBER(Setup!$C$31)),EDATE(Roster!$B213,12*Setup!$C$31),"")</f>
        <v/>
      </c>
      <c r="N213" s="32" t="str">
        <f>IF(AND(ISNUMBER(Roster!$B213),Setup!$B$32="Yes",ISNUMBER(Setup!$C$32)),EDATE(Roster!$B213,12*Setup!$C$32),"")</f>
        <v/>
      </c>
      <c r="O213" s="32" t="str">
        <f>IF(AND(ISNUMBER(Roster!$B213),Setup!$B$33="Yes",ISNUMBER(Setup!$C$33)),EDATE(Roster!$B213,12*Setup!$C$33),"")</f>
        <v/>
      </c>
      <c r="P213" s="32" t="str">
        <f>IF(AND(ISNUMBER(Roster!$B213),Setup!$B$34="Yes",ISNUMBER(Setup!$C$34)),EDATE(Roster!$B213,12*Setup!$C$34),"")</f>
        <v/>
      </c>
      <c r="R213" t="str">
        <f>IF(B213="","",IF(B213&lt;Setup!$C$5-Setup!$C$6,"",IF(IF(ISNUMBER(Roster!$D213),Setup!$C$20&lt;=Roster!$D213,FALSE),"",IF(OR(IF(Setup!$C$15&lt;=Setup!$C$16,AND(MONTH(B213)&gt;=Setup!$C$15,MONTH(B213)&lt;=Setup!$C$16),OR(MONTH(B213)&gt;=Setup!$C$15,MONTH(B213)&lt;=Setup!$C$16)),IF(Setup!$C$15&lt;=Setup!$C$16,AND(MONTH(WORKDAY(B213,-(Setup!$C$13+Setup!$G$20),Setup!$C$39:$C$50))&gt;=Setup!$C$15,MONTH(WORKDAY(B213,-(Setup!$C$13+Setup!$G$20),Setup!$C$39:$C$50))&lt;=Setup!$C$16),OR(MONTH(WORKDAY(B213,-(Setup!$C$13+Setup!$G$20),Setup!$C$39:$C$50))&gt;=Setup!$C$15,MONTH(WORKDAY(B213,-(Setup!$C$13+Setup!$G$20),Setup!$C$39:$C$50))&lt;=Setup!$C$16))),WORKDAY(B213,-(Setup!$C$13+Setup!$G$20+Setup!$C$14),Setup!$C$39:$C$50),WORKDAY(B213,-(Setup!$C$13+Setup!$G$20),Setup!$C$39:$C$50))+(208*100+1)/10000000)))</f>
        <v/>
      </c>
      <c r="S213" t="str">
        <f>IF(C213="","",IF(C213&lt;Setup!$C$5-Setup!$C$6,"",IF(IF(ISNUMBER(Roster!$D213),Setup!$C$21&lt;=Roster!$D213,FALSE),"",IF(OR(IF(Setup!$C$15&lt;=Setup!$C$16,AND(MONTH(C213)&gt;=Setup!$C$15,MONTH(C213)&lt;=Setup!$C$16),OR(MONTH(C213)&gt;=Setup!$C$15,MONTH(C213)&lt;=Setup!$C$16)),IF(Setup!$C$15&lt;=Setup!$C$16,AND(MONTH(WORKDAY(C213,-(Setup!$C$13+Setup!$G$21),Setup!$C$39:$C$50))&gt;=Setup!$C$15,MONTH(WORKDAY(C213,-(Setup!$C$13+Setup!$G$21),Setup!$C$39:$C$50))&lt;=Setup!$C$16),OR(MONTH(WORKDAY(C213,-(Setup!$C$13+Setup!$G$21),Setup!$C$39:$C$50))&gt;=Setup!$C$15,MONTH(WORKDAY(C213,-(Setup!$C$13+Setup!$G$21),Setup!$C$39:$C$50))&lt;=Setup!$C$16))),WORKDAY(C213,-(Setup!$C$13+Setup!$G$21+Setup!$C$14),Setup!$C$39:$C$50),WORKDAY(C213,-(Setup!$C$13+Setup!$G$21),Setup!$C$39:$C$50))+(208*100+2)/10000000)))</f>
        <v/>
      </c>
      <c r="T213" t="str">
        <f>IF(D213="","",IF(D213&lt;Setup!$C$5-Setup!$C$6,"",IF(IF(ISNUMBER(Roster!$D213),Setup!$C$22&lt;=Roster!$D213,FALSE),"",IF(OR(IF(Setup!$C$15&lt;=Setup!$C$16,AND(MONTH(D213)&gt;=Setup!$C$15,MONTH(D213)&lt;=Setup!$C$16),OR(MONTH(D213)&gt;=Setup!$C$15,MONTH(D213)&lt;=Setup!$C$16)),IF(Setup!$C$15&lt;=Setup!$C$16,AND(MONTH(WORKDAY(D213,-(Setup!$C$13+Setup!$G$22),Setup!$C$39:$C$50))&gt;=Setup!$C$15,MONTH(WORKDAY(D213,-(Setup!$C$13+Setup!$G$22),Setup!$C$39:$C$50))&lt;=Setup!$C$16),OR(MONTH(WORKDAY(D213,-(Setup!$C$13+Setup!$G$22),Setup!$C$39:$C$50))&gt;=Setup!$C$15,MONTH(WORKDAY(D213,-(Setup!$C$13+Setup!$G$22),Setup!$C$39:$C$50))&lt;=Setup!$C$16))),WORKDAY(D213,-(Setup!$C$13+Setup!$G$22+Setup!$C$14),Setup!$C$39:$C$50),WORKDAY(D213,-(Setup!$C$13+Setup!$G$22),Setup!$C$39:$C$50))+(208*100+3)/10000000)))</f>
        <v/>
      </c>
      <c r="U213" t="str">
        <f>IF(E213="","",IF(E213&lt;Setup!$C$5-Setup!$C$6,"",IF(IF(ISNUMBER(Roster!$D213),Setup!$C$23&lt;=Roster!$D213,FALSE),"",IF(OR(IF(Setup!$C$15&lt;=Setup!$C$16,AND(MONTH(E213)&gt;=Setup!$C$15,MONTH(E213)&lt;=Setup!$C$16),OR(MONTH(E213)&gt;=Setup!$C$15,MONTH(E213)&lt;=Setup!$C$16)),IF(Setup!$C$15&lt;=Setup!$C$16,AND(MONTH(WORKDAY(E213,-(Setup!$C$13+Setup!$G$23),Setup!$C$39:$C$50))&gt;=Setup!$C$15,MONTH(WORKDAY(E213,-(Setup!$C$13+Setup!$G$23),Setup!$C$39:$C$50))&lt;=Setup!$C$16),OR(MONTH(WORKDAY(E213,-(Setup!$C$13+Setup!$G$23),Setup!$C$39:$C$50))&gt;=Setup!$C$15,MONTH(WORKDAY(E213,-(Setup!$C$13+Setup!$G$23),Setup!$C$39:$C$50))&lt;=Setup!$C$16))),WORKDAY(E213,-(Setup!$C$13+Setup!$G$23+Setup!$C$14),Setup!$C$39:$C$50),WORKDAY(E213,-(Setup!$C$13+Setup!$G$23),Setup!$C$39:$C$50))+(208*100+4)/10000000)))</f>
        <v/>
      </c>
      <c r="V213" t="str">
        <f>IF(F213="","",IF(F213&lt;Setup!$C$5-Setup!$C$6,"",IF(IF(ISNUMBER(Roster!$D213),Setup!$C$24&lt;=Roster!$D213,FALSE),"",IF(OR(IF(Setup!$C$15&lt;=Setup!$C$16,AND(MONTH(F213)&gt;=Setup!$C$15,MONTH(F213)&lt;=Setup!$C$16),OR(MONTH(F213)&gt;=Setup!$C$15,MONTH(F213)&lt;=Setup!$C$16)),IF(Setup!$C$15&lt;=Setup!$C$16,AND(MONTH(WORKDAY(F213,-(Setup!$C$13+Setup!$G$24),Setup!$C$39:$C$50))&gt;=Setup!$C$15,MONTH(WORKDAY(F213,-(Setup!$C$13+Setup!$G$24),Setup!$C$39:$C$50))&lt;=Setup!$C$16),OR(MONTH(WORKDAY(F213,-(Setup!$C$13+Setup!$G$24),Setup!$C$39:$C$50))&gt;=Setup!$C$15,MONTH(WORKDAY(F213,-(Setup!$C$13+Setup!$G$24),Setup!$C$39:$C$50))&lt;=Setup!$C$16))),WORKDAY(F213,-(Setup!$C$13+Setup!$G$24+Setup!$C$14),Setup!$C$39:$C$50),WORKDAY(F213,-(Setup!$C$13+Setup!$G$24),Setup!$C$39:$C$50))+(208*100+5)/10000000)))</f>
        <v/>
      </c>
      <c r="W213" t="str">
        <f>IF(G213="","",IF(G213&lt;Setup!$C$5-Setup!$C$6,"",IF(IF(ISNUMBER(Roster!$D213),Setup!$C$25&lt;=Roster!$D213,FALSE),"",IF(OR(IF(Setup!$C$15&lt;=Setup!$C$16,AND(MONTH(G213)&gt;=Setup!$C$15,MONTH(G213)&lt;=Setup!$C$16),OR(MONTH(G213)&gt;=Setup!$C$15,MONTH(G213)&lt;=Setup!$C$16)),IF(Setup!$C$15&lt;=Setup!$C$16,AND(MONTH(WORKDAY(G213,-(Setup!$C$13+Setup!$G$25),Setup!$C$39:$C$50))&gt;=Setup!$C$15,MONTH(WORKDAY(G213,-(Setup!$C$13+Setup!$G$25),Setup!$C$39:$C$50))&lt;=Setup!$C$16),OR(MONTH(WORKDAY(G213,-(Setup!$C$13+Setup!$G$25),Setup!$C$39:$C$50))&gt;=Setup!$C$15,MONTH(WORKDAY(G213,-(Setup!$C$13+Setup!$G$25),Setup!$C$39:$C$50))&lt;=Setup!$C$16))),WORKDAY(G213,-(Setup!$C$13+Setup!$G$25+Setup!$C$14),Setup!$C$39:$C$50),WORKDAY(G213,-(Setup!$C$13+Setup!$G$25),Setup!$C$39:$C$50))+(208*100+6)/10000000)))</f>
        <v/>
      </c>
      <c r="X213" t="str">
        <f>IF(H213="","",IF(H213&lt;Setup!$C$5-Setup!$C$6,"",IF(IF(ISNUMBER(Roster!$D213),Setup!$C$26&lt;=Roster!$D213,FALSE),"",IF(OR(IF(Setup!$C$15&lt;=Setup!$C$16,AND(MONTH(H213)&gt;=Setup!$C$15,MONTH(H213)&lt;=Setup!$C$16),OR(MONTH(H213)&gt;=Setup!$C$15,MONTH(H213)&lt;=Setup!$C$16)),IF(Setup!$C$15&lt;=Setup!$C$16,AND(MONTH(WORKDAY(H213,-(Setup!$C$13+Setup!$G$26),Setup!$C$39:$C$50))&gt;=Setup!$C$15,MONTH(WORKDAY(H213,-(Setup!$C$13+Setup!$G$26),Setup!$C$39:$C$50))&lt;=Setup!$C$16),OR(MONTH(WORKDAY(H213,-(Setup!$C$13+Setup!$G$26),Setup!$C$39:$C$50))&gt;=Setup!$C$15,MONTH(WORKDAY(H213,-(Setup!$C$13+Setup!$G$26),Setup!$C$39:$C$50))&lt;=Setup!$C$16))),WORKDAY(H213,-(Setup!$C$13+Setup!$G$26+Setup!$C$14),Setup!$C$39:$C$50),WORKDAY(H213,-(Setup!$C$13+Setup!$G$26),Setup!$C$39:$C$50))+(208*100+7)/10000000)))</f>
        <v/>
      </c>
      <c r="Y213" t="str">
        <f>IF(I213="","",IF(I213&lt;Setup!$C$5-Setup!$C$6,"",IF(IF(ISNUMBER(Roster!$D213),Setup!$C$27&lt;=Roster!$D213,FALSE),"",IF(OR(IF(Setup!$C$15&lt;=Setup!$C$16,AND(MONTH(I213)&gt;=Setup!$C$15,MONTH(I213)&lt;=Setup!$C$16),OR(MONTH(I213)&gt;=Setup!$C$15,MONTH(I213)&lt;=Setup!$C$16)),IF(Setup!$C$15&lt;=Setup!$C$16,AND(MONTH(WORKDAY(I213,-(Setup!$C$13+Setup!$G$27),Setup!$C$39:$C$50))&gt;=Setup!$C$15,MONTH(WORKDAY(I213,-(Setup!$C$13+Setup!$G$27),Setup!$C$39:$C$50))&lt;=Setup!$C$16),OR(MONTH(WORKDAY(I213,-(Setup!$C$13+Setup!$G$27),Setup!$C$39:$C$50))&gt;=Setup!$C$15,MONTH(WORKDAY(I213,-(Setup!$C$13+Setup!$G$27),Setup!$C$39:$C$50))&lt;=Setup!$C$16))),WORKDAY(I213,-(Setup!$C$13+Setup!$G$27+Setup!$C$14),Setup!$C$39:$C$50),WORKDAY(I213,-(Setup!$C$13+Setup!$G$27),Setup!$C$39:$C$50))+(208*100+8)/10000000)))</f>
        <v/>
      </c>
      <c r="Z213" t="str">
        <f>IF(J213="","",IF(J213&lt;Setup!$C$5-Setup!$C$6,"",IF(IF(ISNUMBER(Roster!$D213),Setup!$C$28&lt;=Roster!$D213,FALSE),"",IF(OR(IF(Setup!$C$15&lt;=Setup!$C$16,AND(MONTH(J213)&gt;=Setup!$C$15,MONTH(J213)&lt;=Setup!$C$16),OR(MONTH(J213)&gt;=Setup!$C$15,MONTH(J213)&lt;=Setup!$C$16)),IF(Setup!$C$15&lt;=Setup!$C$16,AND(MONTH(WORKDAY(J213,-(Setup!$C$13+Setup!$G$28),Setup!$C$39:$C$50))&gt;=Setup!$C$15,MONTH(WORKDAY(J213,-(Setup!$C$13+Setup!$G$28),Setup!$C$39:$C$50))&lt;=Setup!$C$16),OR(MONTH(WORKDAY(J213,-(Setup!$C$13+Setup!$G$28),Setup!$C$39:$C$50))&gt;=Setup!$C$15,MONTH(WORKDAY(J213,-(Setup!$C$13+Setup!$G$28),Setup!$C$39:$C$50))&lt;=Setup!$C$16))),WORKDAY(J213,-(Setup!$C$13+Setup!$G$28+Setup!$C$14),Setup!$C$39:$C$50),WORKDAY(J213,-(Setup!$C$13+Setup!$G$28),Setup!$C$39:$C$50))+(208*100+9)/10000000)))</f>
        <v/>
      </c>
      <c r="AA213" t="str">
        <f>IF(K213="","",IF(K213&lt;Setup!$C$5-Setup!$C$6,"",IF(IF(ISNUMBER(Roster!$D213),Setup!$C$29&lt;=Roster!$D213,FALSE),"",IF(OR(IF(Setup!$C$15&lt;=Setup!$C$16,AND(MONTH(K213)&gt;=Setup!$C$15,MONTH(K213)&lt;=Setup!$C$16),OR(MONTH(K213)&gt;=Setup!$C$15,MONTH(K213)&lt;=Setup!$C$16)),IF(Setup!$C$15&lt;=Setup!$C$16,AND(MONTH(WORKDAY(K213,-(Setup!$C$13+Setup!$G$29),Setup!$C$39:$C$50))&gt;=Setup!$C$15,MONTH(WORKDAY(K213,-(Setup!$C$13+Setup!$G$29),Setup!$C$39:$C$50))&lt;=Setup!$C$16),OR(MONTH(WORKDAY(K213,-(Setup!$C$13+Setup!$G$29),Setup!$C$39:$C$50))&gt;=Setup!$C$15,MONTH(WORKDAY(K213,-(Setup!$C$13+Setup!$G$29),Setup!$C$39:$C$50))&lt;=Setup!$C$16))),WORKDAY(K213,-(Setup!$C$13+Setup!$G$29+Setup!$C$14),Setup!$C$39:$C$50),WORKDAY(K213,-(Setup!$C$13+Setup!$G$29),Setup!$C$39:$C$50))+(208*100+10)/10000000)))</f>
        <v/>
      </c>
      <c r="AB213" t="str">
        <f>IF(L213="","",IF(L213&lt;Setup!$C$5-Setup!$C$6,"",IF(IF(ISNUMBER(Roster!$D213),Setup!$C$30&lt;=Roster!$D213,FALSE),"",IF(OR(IF(Setup!$C$15&lt;=Setup!$C$16,AND(MONTH(L213)&gt;=Setup!$C$15,MONTH(L213)&lt;=Setup!$C$16),OR(MONTH(L213)&gt;=Setup!$C$15,MONTH(L213)&lt;=Setup!$C$16)),IF(Setup!$C$15&lt;=Setup!$C$16,AND(MONTH(WORKDAY(L213,-(Setup!$C$13+Setup!$G$30),Setup!$C$39:$C$50))&gt;=Setup!$C$15,MONTH(WORKDAY(L213,-(Setup!$C$13+Setup!$G$30),Setup!$C$39:$C$50))&lt;=Setup!$C$16),OR(MONTH(WORKDAY(L213,-(Setup!$C$13+Setup!$G$30),Setup!$C$39:$C$50))&gt;=Setup!$C$15,MONTH(WORKDAY(L213,-(Setup!$C$13+Setup!$G$30),Setup!$C$39:$C$50))&lt;=Setup!$C$16))),WORKDAY(L213,-(Setup!$C$13+Setup!$G$30+Setup!$C$14),Setup!$C$39:$C$50),WORKDAY(L213,-(Setup!$C$13+Setup!$G$30),Setup!$C$39:$C$50))+(208*100+11)/10000000)))</f>
        <v/>
      </c>
      <c r="AC213" t="str">
        <f>IF(M213="","",IF(M213&lt;Setup!$C$5-Setup!$C$6,"",IF(IF(ISNUMBER(Roster!$D213),Setup!$C$31&lt;=Roster!$D213,FALSE),"",IF(OR(IF(Setup!$C$15&lt;=Setup!$C$16,AND(MONTH(M213)&gt;=Setup!$C$15,MONTH(M213)&lt;=Setup!$C$16),OR(MONTH(M213)&gt;=Setup!$C$15,MONTH(M213)&lt;=Setup!$C$16)),IF(Setup!$C$15&lt;=Setup!$C$16,AND(MONTH(WORKDAY(M213,-(Setup!$C$13+Setup!$G$31),Setup!$C$39:$C$50))&gt;=Setup!$C$15,MONTH(WORKDAY(M213,-(Setup!$C$13+Setup!$G$31),Setup!$C$39:$C$50))&lt;=Setup!$C$16),OR(MONTH(WORKDAY(M213,-(Setup!$C$13+Setup!$G$31),Setup!$C$39:$C$50))&gt;=Setup!$C$15,MONTH(WORKDAY(M213,-(Setup!$C$13+Setup!$G$31),Setup!$C$39:$C$50))&lt;=Setup!$C$16))),WORKDAY(M213,-(Setup!$C$13+Setup!$G$31+Setup!$C$14),Setup!$C$39:$C$50),WORKDAY(M213,-(Setup!$C$13+Setup!$G$31),Setup!$C$39:$C$50))+(208*100+12)/10000000)))</f>
        <v/>
      </c>
      <c r="AD213" t="str">
        <f>IF(N213="","",IF(N213&lt;Setup!$C$5-Setup!$C$6,"",IF(IF(ISNUMBER(Roster!$D213),Setup!$C$32&lt;=Roster!$D213,FALSE),"",IF(OR(IF(Setup!$C$15&lt;=Setup!$C$16,AND(MONTH(N213)&gt;=Setup!$C$15,MONTH(N213)&lt;=Setup!$C$16),OR(MONTH(N213)&gt;=Setup!$C$15,MONTH(N213)&lt;=Setup!$C$16)),IF(Setup!$C$15&lt;=Setup!$C$16,AND(MONTH(WORKDAY(N213,-(Setup!$C$13+Setup!$G$32),Setup!$C$39:$C$50))&gt;=Setup!$C$15,MONTH(WORKDAY(N213,-(Setup!$C$13+Setup!$G$32),Setup!$C$39:$C$50))&lt;=Setup!$C$16),OR(MONTH(WORKDAY(N213,-(Setup!$C$13+Setup!$G$32),Setup!$C$39:$C$50))&gt;=Setup!$C$15,MONTH(WORKDAY(N213,-(Setup!$C$13+Setup!$G$32),Setup!$C$39:$C$50))&lt;=Setup!$C$16))),WORKDAY(N213,-(Setup!$C$13+Setup!$G$32+Setup!$C$14),Setup!$C$39:$C$50),WORKDAY(N213,-(Setup!$C$13+Setup!$G$32),Setup!$C$39:$C$50))+(208*100+13)/10000000)))</f>
        <v/>
      </c>
      <c r="AE213" t="str">
        <f>IF(O213="","",IF(O213&lt;Setup!$C$5-Setup!$C$6,"",IF(IF(ISNUMBER(Roster!$D213),Setup!$C$33&lt;=Roster!$D213,FALSE),"",IF(OR(IF(Setup!$C$15&lt;=Setup!$C$16,AND(MONTH(O213)&gt;=Setup!$C$15,MONTH(O213)&lt;=Setup!$C$16),OR(MONTH(O213)&gt;=Setup!$C$15,MONTH(O213)&lt;=Setup!$C$16)),IF(Setup!$C$15&lt;=Setup!$C$16,AND(MONTH(WORKDAY(O213,-(Setup!$C$13+Setup!$G$33),Setup!$C$39:$C$50))&gt;=Setup!$C$15,MONTH(WORKDAY(O213,-(Setup!$C$13+Setup!$G$33),Setup!$C$39:$C$50))&lt;=Setup!$C$16),OR(MONTH(WORKDAY(O213,-(Setup!$C$13+Setup!$G$33),Setup!$C$39:$C$50))&gt;=Setup!$C$15,MONTH(WORKDAY(O213,-(Setup!$C$13+Setup!$G$33),Setup!$C$39:$C$50))&lt;=Setup!$C$16))),WORKDAY(O213,-(Setup!$C$13+Setup!$G$33+Setup!$C$14),Setup!$C$39:$C$50),WORKDAY(O213,-(Setup!$C$13+Setup!$G$33),Setup!$C$39:$C$50))+(208*100+14)/10000000)))</f>
        <v/>
      </c>
      <c r="AF213" t="str">
        <f>IF(P213="","",IF(P213&lt;Setup!$C$5-Setup!$C$6,"",IF(IF(ISNUMBER(Roster!$D213),Setup!$C$34&lt;=Roster!$D213,FALSE),"",IF(OR(IF(Setup!$C$15&lt;=Setup!$C$16,AND(MONTH(P213)&gt;=Setup!$C$15,MONTH(P213)&lt;=Setup!$C$16),OR(MONTH(P213)&gt;=Setup!$C$15,MONTH(P213)&lt;=Setup!$C$16)),IF(Setup!$C$15&lt;=Setup!$C$16,AND(MONTH(WORKDAY(P213,-(Setup!$C$13+Setup!$G$34),Setup!$C$39:$C$50))&gt;=Setup!$C$15,MONTH(WORKDAY(P213,-(Setup!$C$13+Setup!$G$34),Setup!$C$39:$C$50))&lt;=Setup!$C$16),OR(MONTH(WORKDAY(P213,-(Setup!$C$13+Setup!$G$34),Setup!$C$39:$C$50))&gt;=Setup!$C$15,MONTH(WORKDAY(P213,-(Setup!$C$13+Setup!$G$34),Setup!$C$39:$C$50))&lt;=Setup!$C$16))),WORKDAY(P213,-(Setup!$C$13+Setup!$G$34+Setup!$C$14),Setup!$C$39:$C$50),WORKDAY(P213,-(Setup!$C$13+Setup!$G$34),Setup!$C$39:$C$50))+(208*100+15)/10000000)))</f>
        <v/>
      </c>
      <c r="AH213" t="str">
        <f t="shared" si="25"/>
        <v/>
      </c>
      <c r="AI213" t="str">
        <f t="shared" si="26"/>
        <v/>
      </c>
      <c r="AK213" t="str">
        <f ca="1">IF(208&gt;$AK$2,"",SMALL($R$6:$AF$505,208))</f>
        <v/>
      </c>
      <c r="AL213" t="str">
        <f t="shared" ca="1" si="27"/>
        <v/>
      </c>
      <c r="AM213" t="str">
        <f t="shared" ca="1" si="28"/>
        <v/>
      </c>
      <c r="AN213" t="str">
        <f t="shared" ca="1" si="29"/>
        <v/>
      </c>
      <c r="AP213" t="str">
        <f>IF(ISNUMBER(Roster!$B213),MAX(1,YEAR(Setup!$C$5)-YEAR(Roster!$B213)+IF(EDATE(Roster!$B213,12*(YEAR(Setup!$C$5)-YEAR(Roster!$B213)))&lt;Setup!$C$5,1,0)),"")</f>
        <v/>
      </c>
      <c r="AQ213" s="32" t="str">
        <f>IF(AP213="","",EDATE(Roster!$B213,12*AP213))</f>
        <v/>
      </c>
      <c r="AR213" t="str">
        <f>IF(AQ213="","",IF(AQ213&lt;DATE(YEAR(Setup!$C$5)+1,MONTH(Setup!$C$5),DAY(Setup!$C$5)),AQ213+208/1000,""))</f>
        <v/>
      </c>
      <c r="AS213" t="str">
        <f t="shared" si="30"/>
        <v/>
      </c>
      <c r="AT213" t="str">
        <f>IF(AS213="","",IF(ISNUMBER(Roster!$D213),Roster!$D213&gt;=AP213,FALSE))</f>
        <v/>
      </c>
      <c r="AU213" t="str">
        <f t="shared" si="31"/>
        <v/>
      </c>
      <c r="AV213" t="str">
        <f ca="1">IF(208&gt;$AV$2,"",SMALL($AR$6:$AR$505,208))</f>
        <v/>
      </c>
      <c r="AW213" t="str">
        <f t="shared" ca="1" si="32"/>
        <v/>
      </c>
    </row>
    <row r="214" spans="2:49" x14ac:dyDescent="0.2">
      <c r="B214" s="32" t="str">
        <f>IF(AND(ISNUMBER(Roster!$B214),Setup!$B$20="Yes",ISNUMBER(Setup!$C$20)),EDATE(Roster!$B214,12*Setup!$C$20),"")</f>
        <v/>
      </c>
      <c r="C214" s="32" t="str">
        <f>IF(AND(ISNUMBER(Roster!$B214),Setup!$B$21="Yes",ISNUMBER(Setup!$C$21)),EDATE(Roster!$B214,12*Setup!$C$21),"")</f>
        <v/>
      </c>
      <c r="D214" s="32" t="str">
        <f>IF(AND(ISNUMBER(Roster!$B214),Setup!$B$22="Yes",ISNUMBER(Setup!$C$22)),EDATE(Roster!$B214,12*Setup!$C$22),"")</f>
        <v/>
      </c>
      <c r="E214" s="32" t="str">
        <f>IF(AND(ISNUMBER(Roster!$B214),Setup!$B$23="Yes",ISNUMBER(Setup!$C$23)),EDATE(Roster!$B214,12*Setup!$C$23),"")</f>
        <v/>
      </c>
      <c r="F214" s="32" t="str">
        <f>IF(AND(ISNUMBER(Roster!$B214),Setup!$B$24="Yes",ISNUMBER(Setup!$C$24)),EDATE(Roster!$B214,12*Setup!$C$24),"")</f>
        <v/>
      </c>
      <c r="G214" s="32" t="str">
        <f>IF(AND(ISNUMBER(Roster!$B214),Setup!$B$25="Yes",ISNUMBER(Setup!$C$25)),EDATE(Roster!$B214,12*Setup!$C$25),"")</f>
        <v/>
      </c>
      <c r="H214" s="32" t="str">
        <f>IF(AND(ISNUMBER(Roster!$B214),Setup!$B$26="Yes",ISNUMBER(Setup!$C$26)),EDATE(Roster!$B214,12*Setup!$C$26),"")</f>
        <v/>
      </c>
      <c r="I214" s="32" t="str">
        <f>IF(AND(ISNUMBER(Roster!$B214),Setup!$B$27="Yes",ISNUMBER(Setup!$C$27)),EDATE(Roster!$B214,12*Setup!$C$27),"")</f>
        <v/>
      </c>
      <c r="J214" s="32" t="str">
        <f>IF(AND(ISNUMBER(Roster!$B214),Setup!$B$28="Yes",ISNUMBER(Setup!$C$28)),EDATE(Roster!$B214,12*Setup!$C$28),"")</f>
        <v/>
      </c>
      <c r="K214" s="32" t="str">
        <f>IF(AND(ISNUMBER(Roster!$B214),Setup!$B$29="Yes",ISNUMBER(Setup!$C$29)),EDATE(Roster!$B214,12*Setup!$C$29),"")</f>
        <v/>
      </c>
      <c r="L214" s="32" t="str">
        <f>IF(AND(ISNUMBER(Roster!$B214),Setup!$B$30="Yes",ISNUMBER(Setup!$C$30)),EDATE(Roster!$B214,12*Setup!$C$30),"")</f>
        <v/>
      </c>
      <c r="M214" s="32" t="str">
        <f>IF(AND(ISNUMBER(Roster!$B214),Setup!$B$31="Yes",ISNUMBER(Setup!$C$31)),EDATE(Roster!$B214,12*Setup!$C$31),"")</f>
        <v/>
      </c>
      <c r="N214" s="32" t="str">
        <f>IF(AND(ISNUMBER(Roster!$B214),Setup!$B$32="Yes",ISNUMBER(Setup!$C$32)),EDATE(Roster!$B214,12*Setup!$C$32),"")</f>
        <v/>
      </c>
      <c r="O214" s="32" t="str">
        <f>IF(AND(ISNUMBER(Roster!$B214),Setup!$B$33="Yes",ISNUMBER(Setup!$C$33)),EDATE(Roster!$B214,12*Setup!$C$33),"")</f>
        <v/>
      </c>
      <c r="P214" s="32" t="str">
        <f>IF(AND(ISNUMBER(Roster!$B214),Setup!$B$34="Yes",ISNUMBER(Setup!$C$34)),EDATE(Roster!$B214,12*Setup!$C$34),"")</f>
        <v/>
      </c>
      <c r="R214" t="str">
        <f>IF(B214="","",IF(B214&lt;Setup!$C$5-Setup!$C$6,"",IF(IF(ISNUMBER(Roster!$D214),Setup!$C$20&lt;=Roster!$D214,FALSE),"",IF(OR(IF(Setup!$C$15&lt;=Setup!$C$16,AND(MONTH(B214)&gt;=Setup!$C$15,MONTH(B214)&lt;=Setup!$C$16),OR(MONTH(B214)&gt;=Setup!$C$15,MONTH(B214)&lt;=Setup!$C$16)),IF(Setup!$C$15&lt;=Setup!$C$16,AND(MONTH(WORKDAY(B214,-(Setup!$C$13+Setup!$G$20),Setup!$C$39:$C$50))&gt;=Setup!$C$15,MONTH(WORKDAY(B214,-(Setup!$C$13+Setup!$G$20),Setup!$C$39:$C$50))&lt;=Setup!$C$16),OR(MONTH(WORKDAY(B214,-(Setup!$C$13+Setup!$G$20),Setup!$C$39:$C$50))&gt;=Setup!$C$15,MONTH(WORKDAY(B214,-(Setup!$C$13+Setup!$G$20),Setup!$C$39:$C$50))&lt;=Setup!$C$16))),WORKDAY(B214,-(Setup!$C$13+Setup!$G$20+Setup!$C$14),Setup!$C$39:$C$50),WORKDAY(B214,-(Setup!$C$13+Setup!$G$20),Setup!$C$39:$C$50))+(209*100+1)/10000000)))</f>
        <v/>
      </c>
      <c r="S214" t="str">
        <f>IF(C214="","",IF(C214&lt;Setup!$C$5-Setup!$C$6,"",IF(IF(ISNUMBER(Roster!$D214),Setup!$C$21&lt;=Roster!$D214,FALSE),"",IF(OR(IF(Setup!$C$15&lt;=Setup!$C$16,AND(MONTH(C214)&gt;=Setup!$C$15,MONTH(C214)&lt;=Setup!$C$16),OR(MONTH(C214)&gt;=Setup!$C$15,MONTH(C214)&lt;=Setup!$C$16)),IF(Setup!$C$15&lt;=Setup!$C$16,AND(MONTH(WORKDAY(C214,-(Setup!$C$13+Setup!$G$21),Setup!$C$39:$C$50))&gt;=Setup!$C$15,MONTH(WORKDAY(C214,-(Setup!$C$13+Setup!$G$21),Setup!$C$39:$C$50))&lt;=Setup!$C$16),OR(MONTH(WORKDAY(C214,-(Setup!$C$13+Setup!$G$21),Setup!$C$39:$C$50))&gt;=Setup!$C$15,MONTH(WORKDAY(C214,-(Setup!$C$13+Setup!$G$21),Setup!$C$39:$C$50))&lt;=Setup!$C$16))),WORKDAY(C214,-(Setup!$C$13+Setup!$G$21+Setup!$C$14),Setup!$C$39:$C$50),WORKDAY(C214,-(Setup!$C$13+Setup!$G$21),Setup!$C$39:$C$50))+(209*100+2)/10000000)))</f>
        <v/>
      </c>
      <c r="T214" t="str">
        <f>IF(D214="","",IF(D214&lt;Setup!$C$5-Setup!$C$6,"",IF(IF(ISNUMBER(Roster!$D214),Setup!$C$22&lt;=Roster!$D214,FALSE),"",IF(OR(IF(Setup!$C$15&lt;=Setup!$C$16,AND(MONTH(D214)&gt;=Setup!$C$15,MONTH(D214)&lt;=Setup!$C$16),OR(MONTH(D214)&gt;=Setup!$C$15,MONTH(D214)&lt;=Setup!$C$16)),IF(Setup!$C$15&lt;=Setup!$C$16,AND(MONTH(WORKDAY(D214,-(Setup!$C$13+Setup!$G$22),Setup!$C$39:$C$50))&gt;=Setup!$C$15,MONTH(WORKDAY(D214,-(Setup!$C$13+Setup!$G$22),Setup!$C$39:$C$50))&lt;=Setup!$C$16),OR(MONTH(WORKDAY(D214,-(Setup!$C$13+Setup!$G$22),Setup!$C$39:$C$50))&gt;=Setup!$C$15,MONTH(WORKDAY(D214,-(Setup!$C$13+Setup!$G$22),Setup!$C$39:$C$50))&lt;=Setup!$C$16))),WORKDAY(D214,-(Setup!$C$13+Setup!$G$22+Setup!$C$14),Setup!$C$39:$C$50),WORKDAY(D214,-(Setup!$C$13+Setup!$G$22),Setup!$C$39:$C$50))+(209*100+3)/10000000)))</f>
        <v/>
      </c>
      <c r="U214" t="str">
        <f>IF(E214="","",IF(E214&lt;Setup!$C$5-Setup!$C$6,"",IF(IF(ISNUMBER(Roster!$D214),Setup!$C$23&lt;=Roster!$D214,FALSE),"",IF(OR(IF(Setup!$C$15&lt;=Setup!$C$16,AND(MONTH(E214)&gt;=Setup!$C$15,MONTH(E214)&lt;=Setup!$C$16),OR(MONTH(E214)&gt;=Setup!$C$15,MONTH(E214)&lt;=Setup!$C$16)),IF(Setup!$C$15&lt;=Setup!$C$16,AND(MONTH(WORKDAY(E214,-(Setup!$C$13+Setup!$G$23),Setup!$C$39:$C$50))&gt;=Setup!$C$15,MONTH(WORKDAY(E214,-(Setup!$C$13+Setup!$G$23),Setup!$C$39:$C$50))&lt;=Setup!$C$16),OR(MONTH(WORKDAY(E214,-(Setup!$C$13+Setup!$G$23),Setup!$C$39:$C$50))&gt;=Setup!$C$15,MONTH(WORKDAY(E214,-(Setup!$C$13+Setup!$G$23),Setup!$C$39:$C$50))&lt;=Setup!$C$16))),WORKDAY(E214,-(Setup!$C$13+Setup!$G$23+Setup!$C$14),Setup!$C$39:$C$50),WORKDAY(E214,-(Setup!$C$13+Setup!$G$23),Setup!$C$39:$C$50))+(209*100+4)/10000000)))</f>
        <v/>
      </c>
      <c r="V214" t="str">
        <f>IF(F214="","",IF(F214&lt;Setup!$C$5-Setup!$C$6,"",IF(IF(ISNUMBER(Roster!$D214),Setup!$C$24&lt;=Roster!$D214,FALSE),"",IF(OR(IF(Setup!$C$15&lt;=Setup!$C$16,AND(MONTH(F214)&gt;=Setup!$C$15,MONTH(F214)&lt;=Setup!$C$16),OR(MONTH(F214)&gt;=Setup!$C$15,MONTH(F214)&lt;=Setup!$C$16)),IF(Setup!$C$15&lt;=Setup!$C$16,AND(MONTH(WORKDAY(F214,-(Setup!$C$13+Setup!$G$24),Setup!$C$39:$C$50))&gt;=Setup!$C$15,MONTH(WORKDAY(F214,-(Setup!$C$13+Setup!$G$24),Setup!$C$39:$C$50))&lt;=Setup!$C$16),OR(MONTH(WORKDAY(F214,-(Setup!$C$13+Setup!$G$24),Setup!$C$39:$C$50))&gt;=Setup!$C$15,MONTH(WORKDAY(F214,-(Setup!$C$13+Setup!$G$24),Setup!$C$39:$C$50))&lt;=Setup!$C$16))),WORKDAY(F214,-(Setup!$C$13+Setup!$G$24+Setup!$C$14),Setup!$C$39:$C$50),WORKDAY(F214,-(Setup!$C$13+Setup!$G$24),Setup!$C$39:$C$50))+(209*100+5)/10000000)))</f>
        <v/>
      </c>
      <c r="W214" t="str">
        <f>IF(G214="","",IF(G214&lt;Setup!$C$5-Setup!$C$6,"",IF(IF(ISNUMBER(Roster!$D214),Setup!$C$25&lt;=Roster!$D214,FALSE),"",IF(OR(IF(Setup!$C$15&lt;=Setup!$C$16,AND(MONTH(G214)&gt;=Setup!$C$15,MONTH(G214)&lt;=Setup!$C$16),OR(MONTH(G214)&gt;=Setup!$C$15,MONTH(G214)&lt;=Setup!$C$16)),IF(Setup!$C$15&lt;=Setup!$C$16,AND(MONTH(WORKDAY(G214,-(Setup!$C$13+Setup!$G$25),Setup!$C$39:$C$50))&gt;=Setup!$C$15,MONTH(WORKDAY(G214,-(Setup!$C$13+Setup!$G$25),Setup!$C$39:$C$50))&lt;=Setup!$C$16),OR(MONTH(WORKDAY(G214,-(Setup!$C$13+Setup!$G$25),Setup!$C$39:$C$50))&gt;=Setup!$C$15,MONTH(WORKDAY(G214,-(Setup!$C$13+Setup!$G$25),Setup!$C$39:$C$50))&lt;=Setup!$C$16))),WORKDAY(G214,-(Setup!$C$13+Setup!$G$25+Setup!$C$14),Setup!$C$39:$C$50),WORKDAY(G214,-(Setup!$C$13+Setup!$G$25),Setup!$C$39:$C$50))+(209*100+6)/10000000)))</f>
        <v/>
      </c>
      <c r="X214" t="str">
        <f>IF(H214="","",IF(H214&lt;Setup!$C$5-Setup!$C$6,"",IF(IF(ISNUMBER(Roster!$D214),Setup!$C$26&lt;=Roster!$D214,FALSE),"",IF(OR(IF(Setup!$C$15&lt;=Setup!$C$16,AND(MONTH(H214)&gt;=Setup!$C$15,MONTH(H214)&lt;=Setup!$C$16),OR(MONTH(H214)&gt;=Setup!$C$15,MONTH(H214)&lt;=Setup!$C$16)),IF(Setup!$C$15&lt;=Setup!$C$16,AND(MONTH(WORKDAY(H214,-(Setup!$C$13+Setup!$G$26),Setup!$C$39:$C$50))&gt;=Setup!$C$15,MONTH(WORKDAY(H214,-(Setup!$C$13+Setup!$G$26),Setup!$C$39:$C$50))&lt;=Setup!$C$16),OR(MONTH(WORKDAY(H214,-(Setup!$C$13+Setup!$G$26),Setup!$C$39:$C$50))&gt;=Setup!$C$15,MONTH(WORKDAY(H214,-(Setup!$C$13+Setup!$G$26),Setup!$C$39:$C$50))&lt;=Setup!$C$16))),WORKDAY(H214,-(Setup!$C$13+Setup!$G$26+Setup!$C$14),Setup!$C$39:$C$50),WORKDAY(H214,-(Setup!$C$13+Setup!$G$26),Setup!$C$39:$C$50))+(209*100+7)/10000000)))</f>
        <v/>
      </c>
      <c r="Y214" t="str">
        <f>IF(I214="","",IF(I214&lt;Setup!$C$5-Setup!$C$6,"",IF(IF(ISNUMBER(Roster!$D214),Setup!$C$27&lt;=Roster!$D214,FALSE),"",IF(OR(IF(Setup!$C$15&lt;=Setup!$C$16,AND(MONTH(I214)&gt;=Setup!$C$15,MONTH(I214)&lt;=Setup!$C$16),OR(MONTH(I214)&gt;=Setup!$C$15,MONTH(I214)&lt;=Setup!$C$16)),IF(Setup!$C$15&lt;=Setup!$C$16,AND(MONTH(WORKDAY(I214,-(Setup!$C$13+Setup!$G$27),Setup!$C$39:$C$50))&gt;=Setup!$C$15,MONTH(WORKDAY(I214,-(Setup!$C$13+Setup!$G$27),Setup!$C$39:$C$50))&lt;=Setup!$C$16),OR(MONTH(WORKDAY(I214,-(Setup!$C$13+Setup!$G$27),Setup!$C$39:$C$50))&gt;=Setup!$C$15,MONTH(WORKDAY(I214,-(Setup!$C$13+Setup!$G$27),Setup!$C$39:$C$50))&lt;=Setup!$C$16))),WORKDAY(I214,-(Setup!$C$13+Setup!$G$27+Setup!$C$14),Setup!$C$39:$C$50),WORKDAY(I214,-(Setup!$C$13+Setup!$G$27),Setup!$C$39:$C$50))+(209*100+8)/10000000)))</f>
        <v/>
      </c>
      <c r="Z214" t="str">
        <f>IF(J214="","",IF(J214&lt;Setup!$C$5-Setup!$C$6,"",IF(IF(ISNUMBER(Roster!$D214),Setup!$C$28&lt;=Roster!$D214,FALSE),"",IF(OR(IF(Setup!$C$15&lt;=Setup!$C$16,AND(MONTH(J214)&gt;=Setup!$C$15,MONTH(J214)&lt;=Setup!$C$16),OR(MONTH(J214)&gt;=Setup!$C$15,MONTH(J214)&lt;=Setup!$C$16)),IF(Setup!$C$15&lt;=Setup!$C$16,AND(MONTH(WORKDAY(J214,-(Setup!$C$13+Setup!$G$28),Setup!$C$39:$C$50))&gt;=Setup!$C$15,MONTH(WORKDAY(J214,-(Setup!$C$13+Setup!$G$28),Setup!$C$39:$C$50))&lt;=Setup!$C$16),OR(MONTH(WORKDAY(J214,-(Setup!$C$13+Setup!$G$28),Setup!$C$39:$C$50))&gt;=Setup!$C$15,MONTH(WORKDAY(J214,-(Setup!$C$13+Setup!$G$28),Setup!$C$39:$C$50))&lt;=Setup!$C$16))),WORKDAY(J214,-(Setup!$C$13+Setup!$G$28+Setup!$C$14),Setup!$C$39:$C$50),WORKDAY(J214,-(Setup!$C$13+Setup!$G$28),Setup!$C$39:$C$50))+(209*100+9)/10000000)))</f>
        <v/>
      </c>
      <c r="AA214" t="str">
        <f>IF(K214="","",IF(K214&lt;Setup!$C$5-Setup!$C$6,"",IF(IF(ISNUMBER(Roster!$D214),Setup!$C$29&lt;=Roster!$D214,FALSE),"",IF(OR(IF(Setup!$C$15&lt;=Setup!$C$16,AND(MONTH(K214)&gt;=Setup!$C$15,MONTH(K214)&lt;=Setup!$C$16),OR(MONTH(K214)&gt;=Setup!$C$15,MONTH(K214)&lt;=Setup!$C$16)),IF(Setup!$C$15&lt;=Setup!$C$16,AND(MONTH(WORKDAY(K214,-(Setup!$C$13+Setup!$G$29),Setup!$C$39:$C$50))&gt;=Setup!$C$15,MONTH(WORKDAY(K214,-(Setup!$C$13+Setup!$G$29),Setup!$C$39:$C$50))&lt;=Setup!$C$16),OR(MONTH(WORKDAY(K214,-(Setup!$C$13+Setup!$G$29),Setup!$C$39:$C$50))&gt;=Setup!$C$15,MONTH(WORKDAY(K214,-(Setup!$C$13+Setup!$G$29),Setup!$C$39:$C$50))&lt;=Setup!$C$16))),WORKDAY(K214,-(Setup!$C$13+Setup!$G$29+Setup!$C$14),Setup!$C$39:$C$50),WORKDAY(K214,-(Setup!$C$13+Setup!$G$29),Setup!$C$39:$C$50))+(209*100+10)/10000000)))</f>
        <v/>
      </c>
      <c r="AB214" t="str">
        <f>IF(L214="","",IF(L214&lt;Setup!$C$5-Setup!$C$6,"",IF(IF(ISNUMBER(Roster!$D214),Setup!$C$30&lt;=Roster!$D214,FALSE),"",IF(OR(IF(Setup!$C$15&lt;=Setup!$C$16,AND(MONTH(L214)&gt;=Setup!$C$15,MONTH(L214)&lt;=Setup!$C$16),OR(MONTH(L214)&gt;=Setup!$C$15,MONTH(L214)&lt;=Setup!$C$16)),IF(Setup!$C$15&lt;=Setup!$C$16,AND(MONTH(WORKDAY(L214,-(Setup!$C$13+Setup!$G$30),Setup!$C$39:$C$50))&gt;=Setup!$C$15,MONTH(WORKDAY(L214,-(Setup!$C$13+Setup!$G$30),Setup!$C$39:$C$50))&lt;=Setup!$C$16),OR(MONTH(WORKDAY(L214,-(Setup!$C$13+Setup!$G$30),Setup!$C$39:$C$50))&gt;=Setup!$C$15,MONTH(WORKDAY(L214,-(Setup!$C$13+Setup!$G$30),Setup!$C$39:$C$50))&lt;=Setup!$C$16))),WORKDAY(L214,-(Setup!$C$13+Setup!$G$30+Setup!$C$14),Setup!$C$39:$C$50),WORKDAY(L214,-(Setup!$C$13+Setup!$G$30),Setup!$C$39:$C$50))+(209*100+11)/10000000)))</f>
        <v/>
      </c>
      <c r="AC214" t="str">
        <f>IF(M214="","",IF(M214&lt;Setup!$C$5-Setup!$C$6,"",IF(IF(ISNUMBER(Roster!$D214),Setup!$C$31&lt;=Roster!$D214,FALSE),"",IF(OR(IF(Setup!$C$15&lt;=Setup!$C$16,AND(MONTH(M214)&gt;=Setup!$C$15,MONTH(M214)&lt;=Setup!$C$16),OR(MONTH(M214)&gt;=Setup!$C$15,MONTH(M214)&lt;=Setup!$C$16)),IF(Setup!$C$15&lt;=Setup!$C$16,AND(MONTH(WORKDAY(M214,-(Setup!$C$13+Setup!$G$31),Setup!$C$39:$C$50))&gt;=Setup!$C$15,MONTH(WORKDAY(M214,-(Setup!$C$13+Setup!$G$31),Setup!$C$39:$C$50))&lt;=Setup!$C$16),OR(MONTH(WORKDAY(M214,-(Setup!$C$13+Setup!$G$31),Setup!$C$39:$C$50))&gt;=Setup!$C$15,MONTH(WORKDAY(M214,-(Setup!$C$13+Setup!$G$31),Setup!$C$39:$C$50))&lt;=Setup!$C$16))),WORKDAY(M214,-(Setup!$C$13+Setup!$G$31+Setup!$C$14),Setup!$C$39:$C$50),WORKDAY(M214,-(Setup!$C$13+Setup!$G$31),Setup!$C$39:$C$50))+(209*100+12)/10000000)))</f>
        <v/>
      </c>
      <c r="AD214" t="str">
        <f>IF(N214="","",IF(N214&lt;Setup!$C$5-Setup!$C$6,"",IF(IF(ISNUMBER(Roster!$D214),Setup!$C$32&lt;=Roster!$D214,FALSE),"",IF(OR(IF(Setup!$C$15&lt;=Setup!$C$16,AND(MONTH(N214)&gt;=Setup!$C$15,MONTH(N214)&lt;=Setup!$C$16),OR(MONTH(N214)&gt;=Setup!$C$15,MONTH(N214)&lt;=Setup!$C$16)),IF(Setup!$C$15&lt;=Setup!$C$16,AND(MONTH(WORKDAY(N214,-(Setup!$C$13+Setup!$G$32),Setup!$C$39:$C$50))&gt;=Setup!$C$15,MONTH(WORKDAY(N214,-(Setup!$C$13+Setup!$G$32),Setup!$C$39:$C$50))&lt;=Setup!$C$16),OR(MONTH(WORKDAY(N214,-(Setup!$C$13+Setup!$G$32),Setup!$C$39:$C$50))&gt;=Setup!$C$15,MONTH(WORKDAY(N214,-(Setup!$C$13+Setup!$G$32),Setup!$C$39:$C$50))&lt;=Setup!$C$16))),WORKDAY(N214,-(Setup!$C$13+Setup!$G$32+Setup!$C$14),Setup!$C$39:$C$50),WORKDAY(N214,-(Setup!$C$13+Setup!$G$32),Setup!$C$39:$C$50))+(209*100+13)/10000000)))</f>
        <v/>
      </c>
      <c r="AE214" t="str">
        <f>IF(O214="","",IF(O214&lt;Setup!$C$5-Setup!$C$6,"",IF(IF(ISNUMBER(Roster!$D214),Setup!$C$33&lt;=Roster!$D214,FALSE),"",IF(OR(IF(Setup!$C$15&lt;=Setup!$C$16,AND(MONTH(O214)&gt;=Setup!$C$15,MONTH(O214)&lt;=Setup!$C$16),OR(MONTH(O214)&gt;=Setup!$C$15,MONTH(O214)&lt;=Setup!$C$16)),IF(Setup!$C$15&lt;=Setup!$C$16,AND(MONTH(WORKDAY(O214,-(Setup!$C$13+Setup!$G$33),Setup!$C$39:$C$50))&gt;=Setup!$C$15,MONTH(WORKDAY(O214,-(Setup!$C$13+Setup!$G$33),Setup!$C$39:$C$50))&lt;=Setup!$C$16),OR(MONTH(WORKDAY(O214,-(Setup!$C$13+Setup!$G$33),Setup!$C$39:$C$50))&gt;=Setup!$C$15,MONTH(WORKDAY(O214,-(Setup!$C$13+Setup!$G$33),Setup!$C$39:$C$50))&lt;=Setup!$C$16))),WORKDAY(O214,-(Setup!$C$13+Setup!$G$33+Setup!$C$14),Setup!$C$39:$C$50),WORKDAY(O214,-(Setup!$C$13+Setup!$G$33),Setup!$C$39:$C$50))+(209*100+14)/10000000)))</f>
        <v/>
      </c>
      <c r="AF214" t="str">
        <f>IF(P214="","",IF(P214&lt;Setup!$C$5-Setup!$C$6,"",IF(IF(ISNUMBER(Roster!$D214),Setup!$C$34&lt;=Roster!$D214,FALSE),"",IF(OR(IF(Setup!$C$15&lt;=Setup!$C$16,AND(MONTH(P214)&gt;=Setup!$C$15,MONTH(P214)&lt;=Setup!$C$16),OR(MONTH(P214)&gt;=Setup!$C$15,MONTH(P214)&lt;=Setup!$C$16)),IF(Setup!$C$15&lt;=Setup!$C$16,AND(MONTH(WORKDAY(P214,-(Setup!$C$13+Setup!$G$34),Setup!$C$39:$C$50))&gt;=Setup!$C$15,MONTH(WORKDAY(P214,-(Setup!$C$13+Setup!$G$34),Setup!$C$39:$C$50))&lt;=Setup!$C$16),OR(MONTH(WORKDAY(P214,-(Setup!$C$13+Setup!$G$34),Setup!$C$39:$C$50))&gt;=Setup!$C$15,MONTH(WORKDAY(P214,-(Setup!$C$13+Setup!$G$34),Setup!$C$39:$C$50))&lt;=Setup!$C$16))),WORKDAY(P214,-(Setup!$C$13+Setup!$G$34+Setup!$C$14),Setup!$C$39:$C$50),WORKDAY(P214,-(Setup!$C$13+Setup!$G$34),Setup!$C$39:$C$50))+(209*100+15)/10000000)))</f>
        <v/>
      </c>
      <c r="AH214" t="str">
        <f t="shared" si="25"/>
        <v/>
      </c>
      <c r="AI214" t="str">
        <f t="shared" si="26"/>
        <v/>
      </c>
      <c r="AK214" t="str">
        <f ca="1">IF(209&gt;$AK$2,"",SMALL($R$6:$AF$505,209))</f>
        <v/>
      </c>
      <c r="AL214" t="str">
        <f t="shared" ca="1" si="27"/>
        <v/>
      </c>
      <c r="AM214" t="str">
        <f t="shared" ca="1" si="28"/>
        <v/>
      </c>
      <c r="AN214" t="str">
        <f t="shared" ca="1" si="29"/>
        <v/>
      </c>
      <c r="AP214" t="str">
        <f>IF(ISNUMBER(Roster!$B214),MAX(1,YEAR(Setup!$C$5)-YEAR(Roster!$B214)+IF(EDATE(Roster!$B214,12*(YEAR(Setup!$C$5)-YEAR(Roster!$B214)))&lt;Setup!$C$5,1,0)),"")</f>
        <v/>
      </c>
      <c r="AQ214" s="32" t="str">
        <f>IF(AP214="","",EDATE(Roster!$B214,12*AP214))</f>
        <v/>
      </c>
      <c r="AR214" t="str">
        <f>IF(AQ214="","",IF(AQ214&lt;DATE(YEAR(Setup!$C$5)+1,MONTH(Setup!$C$5),DAY(Setup!$C$5)),AQ214+209/1000,""))</f>
        <v/>
      </c>
      <c r="AS214" t="str">
        <f t="shared" si="30"/>
        <v/>
      </c>
      <c r="AT214" t="str">
        <f>IF(AS214="","",IF(ISNUMBER(Roster!$D214),Roster!$D214&gt;=AP214,FALSE))</f>
        <v/>
      </c>
      <c r="AU214" t="str">
        <f t="shared" si="31"/>
        <v/>
      </c>
      <c r="AV214" t="str">
        <f ca="1">IF(209&gt;$AV$2,"",SMALL($AR$6:$AR$505,209))</f>
        <v/>
      </c>
      <c r="AW214" t="str">
        <f t="shared" ca="1" si="32"/>
        <v/>
      </c>
    </row>
    <row r="215" spans="2:49" x14ac:dyDescent="0.2">
      <c r="B215" s="32" t="str">
        <f>IF(AND(ISNUMBER(Roster!$B215),Setup!$B$20="Yes",ISNUMBER(Setup!$C$20)),EDATE(Roster!$B215,12*Setup!$C$20),"")</f>
        <v/>
      </c>
      <c r="C215" s="32" t="str">
        <f>IF(AND(ISNUMBER(Roster!$B215),Setup!$B$21="Yes",ISNUMBER(Setup!$C$21)),EDATE(Roster!$B215,12*Setup!$C$21),"")</f>
        <v/>
      </c>
      <c r="D215" s="32" t="str">
        <f>IF(AND(ISNUMBER(Roster!$B215),Setup!$B$22="Yes",ISNUMBER(Setup!$C$22)),EDATE(Roster!$B215,12*Setup!$C$22),"")</f>
        <v/>
      </c>
      <c r="E215" s="32" t="str">
        <f>IF(AND(ISNUMBER(Roster!$B215),Setup!$B$23="Yes",ISNUMBER(Setup!$C$23)),EDATE(Roster!$B215,12*Setup!$C$23),"")</f>
        <v/>
      </c>
      <c r="F215" s="32" t="str">
        <f>IF(AND(ISNUMBER(Roster!$B215),Setup!$B$24="Yes",ISNUMBER(Setup!$C$24)),EDATE(Roster!$B215,12*Setup!$C$24),"")</f>
        <v/>
      </c>
      <c r="G215" s="32" t="str">
        <f>IF(AND(ISNUMBER(Roster!$B215),Setup!$B$25="Yes",ISNUMBER(Setup!$C$25)),EDATE(Roster!$B215,12*Setup!$C$25),"")</f>
        <v/>
      </c>
      <c r="H215" s="32" t="str">
        <f>IF(AND(ISNUMBER(Roster!$B215),Setup!$B$26="Yes",ISNUMBER(Setup!$C$26)),EDATE(Roster!$B215,12*Setup!$C$26),"")</f>
        <v/>
      </c>
      <c r="I215" s="32" t="str">
        <f>IF(AND(ISNUMBER(Roster!$B215),Setup!$B$27="Yes",ISNUMBER(Setup!$C$27)),EDATE(Roster!$B215,12*Setup!$C$27),"")</f>
        <v/>
      </c>
      <c r="J215" s="32" t="str">
        <f>IF(AND(ISNUMBER(Roster!$B215),Setup!$B$28="Yes",ISNUMBER(Setup!$C$28)),EDATE(Roster!$B215,12*Setup!$C$28),"")</f>
        <v/>
      </c>
      <c r="K215" s="32" t="str">
        <f>IF(AND(ISNUMBER(Roster!$B215),Setup!$B$29="Yes",ISNUMBER(Setup!$C$29)),EDATE(Roster!$B215,12*Setup!$C$29),"")</f>
        <v/>
      </c>
      <c r="L215" s="32" t="str">
        <f>IF(AND(ISNUMBER(Roster!$B215),Setup!$B$30="Yes",ISNUMBER(Setup!$C$30)),EDATE(Roster!$B215,12*Setup!$C$30),"")</f>
        <v/>
      </c>
      <c r="M215" s="32" t="str">
        <f>IF(AND(ISNUMBER(Roster!$B215),Setup!$B$31="Yes",ISNUMBER(Setup!$C$31)),EDATE(Roster!$B215,12*Setup!$C$31),"")</f>
        <v/>
      </c>
      <c r="N215" s="32" t="str">
        <f>IF(AND(ISNUMBER(Roster!$B215),Setup!$B$32="Yes",ISNUMBER(Setup!$C$32)),EDATE(Roster!$B215,12*Setup!$C$32),"")</f>
        <v/>
      </c>
      <c r="O215" s="32" t="str">
        <f>IF(AND(ISNUMBER(Roster!$B215),Setup!$B$33="Yes",ISNUMBER(Setup!$C$33)),EDATE(Roster!$B215,12*Setup!$C$33),"")</f>
        <v/>
      </c>
      <c r="P215" s="32" t="str">
        <f>IF(AND(ISNUMBER(Roster!$B215),Setup!$B$34="Yes",ISNUMBER(Setup!$C$34)),EDATE(Roster!$B215,12*Setup!$C$34),"")</f>
        <v/>
      </c>
      <c r="R215" t="str">
        <f>IF(B215="","",IF(B215&lt;Setup!$C$5-Setup!$C$6,"",IF(IF(ISNUMBER(Roster!$D215),Setup!$C$20&lt;=Roster!$D215,FALSE),"",IF(OR(IF(Setup!$C$15&lt;=Setup!$C$16,AND(MONTH(B215)&gt;=Setup!$C$15,MONTH(B215)&lt;=Setup!$C$16),OR(MONTH(B215)&gt;=Setup!$C$15,MONTH(B215)&lt;=Setup!$C$16)),IF(Setup!$C$15&lt;=Setup!$C$16,AND(MONTH(WORKDAY(B215,-(Setup!$C$13+Setup!$G$20),Setup!$C$39:$C$50))&gt;=Setup!$C$15,MONTH(WORKDAY(B215,-(Setup!$C$13+Setup!$G$20),Setup!$C$39:$C$50))&lt;=Setup!$C$16),OR(MONTH(WORKDAY(B215,-(Setup!$C$13+Setup!$G$20),Setup!$C$39:$C$50))&gt;=Setup!$C$15,MONTH(WORKDAY(B215,-(Setup!$C$13+Setup!$G$20),Setup!$C$39:$C$50))&lt;=Setup!$C$16))),WORKDAY(B215,-(Setup!$C$13+Setup!$G$20+Setup!$C$14),Setup!$C$39:$C$50),WORKDAY(B215,-(Setup!$C$13+Setup!$G$20),Setup!$C$39:$C$50))+(210*100+1)/10000000)))</f>
        <v/>
      </c>
      <c r="S215" t="str">
        <f>IF(C215="","",IF(C215&lt;Setup!$C$5-Setup!$C$6,"",IF(IF(ISNUMBER(Roster!$D215),Setup!$C$21&lt;=Roster!$D215,FALSE),"",IF(OR(IF(Setup!$C$15&lt;=Setup!$C$16,AND(MONTH(C215)&gt;=Setup!$C$15,MONTH(C215)&lt;=Setup!$C$16),OR(MONTH(C215)&gt;=Setup!$C$15,MONTH(C215)&lt;=Setup!$C$16)),IF(Setup!$C$15&lt;=Setup!$C$16,AND(MONTH(WORKDAY(C215,-(Setup!$C$13+Setup!$G$21),Setup!$C$39:$C$50))&gt;=Setup!$C$15,MONTH(WORKDAY(C215,-(Setup!$C$13+Setup!$G$21),Setup!$C$39:$C$50))&lt;=Setup!$C$16),OR(MONTH(WORKDAY(C215,-(Setup!$C$13+Setup!$G$21),Setup!$C$39:$C$50))&gt;=Setup!$C$15,MONTH(WORKDAY(C215,-(Setup!$C$13+Setup!$G$21),Setup!$C$39:$C$50))&lt;=Setup!$C$16))),WORKDAY(C215,-(Setup!$C$13+Setup!$G$21+Setup!$C$14),Setup!$C$39:$C$50),WORKDAY(C215,-(Setup!$C$13+Setup!$G$21),Setup!$C$39:$C$50))+(210*100+2)/10000000)))</f>
        <v/>
      </c>
      <c r="T215" t="str">
        <f>IF(D215="","",IF(D215&lt;Setup!$C$5-Setup!$C$6,"",IF(IF(ISNUMBER(Roster!$D215),Setup!$C$22&lt;=Roster!$D215,FALSE),"",IF(OR(IF(Setup!$C$15&lt;=Setup!$C$16,AND(MONTH(D215)&gt;=Setup!$C$15,MONTH(D215)&lt;=Setup!$C$16),OR(MONTH(D215)&gt;=Setup!$C$15,MONTH(D215)&lt;=Setup!$C$16)),IF(Setup!$C$15&lt;=Setup!$C$16,AND(MONTH(WORKDAY(D215,-(Setup!$C$13+Setup!$G$22),Setup!$C$39:$C$50))&gt;=Setup!$C$15,MONTH(WORKDAY(D215,-(Setup!$C$13+Setup!$G$22),Setup!$C$39:$C$50))&lt;=Setup!$C$16),OR(MONTH(WORKDAY(D215,-(Setup!$C$13+Setup!$G$22),Setup!$C$39:$C$50))&gt;=Setup!$C$15,MONTH(WORKDAY(D215,-(Setup!$C$13+Setup!$G$22),Setup!$C$39:$C$50))&lt;=Setup!$C$16))),WORKDAY(D215,-(Setup!$C$13+Setup!$G$22+Setup!$C$14),Setup!$C$39:$C$50),WORKDAY(D215,-(Setup!$C$13+Setup!$G$22),Setup!$C$39:$C$50))+(210*100+3)/10000000)))</f>
        <v/>
      </c>
      <c r="U215" t="str">
        <f>IF(E215="","",IF(E215&lt;Setup!$C$5-Setup!$C$6,"",IF(IF(ISNUMBER(Roster!$D215),Setup!$C$23&lt;=Roster!$D215,FALSE),"",IF(OR(IF(Setup!$C$15&lt;=Setup!$C$16,AND(MONTH(E215)&gt;=Setup!$C$15,MONTH(E215)&lt;=Setup!$C$16),OR(MONTH(E215)&gt;=Setup!$C$15,MONTH(E215)&lt;=Setup!$C$16)),IF(Setup!$C$15&lt;=Setup!$C$16,AND(MONTH(WORKDAY(E215,-(Setup!$C$13+Setup!$G$23),Setup!$C$39:$C$50))&gt;=Setup!$C$15,MONTH(WORKDAY(E215,-(Setup!$C$13+Setup!$G$23),Setup!$C$39:$C$50))&lt;=Setup!$C$16),OR(MONTH(WORKDAY(E215,-(Setup!$C$13+Setup!$G$23),Setup!$C$39:$C$50))&gt;=Setup!$C$15,MONTH(WORKDAY(E215,-(Setup!$C$13+Setup!$G$23),Setup!$C$39:$C$50))&lt;=Setup!$C$16))),WORKDAY(E215,-(Setup!$C$13+Setup!$G$23+Setup!$C$14),Setup!$C$39:$C$50),WORKDAY(E215,-(Setup!$C$13+Setup!$G$23),Setup!$C$39:$C$50))+(210*100+4)/10000000)))</f>
        <v/>
      </c>
      <c r="V215" t="str">
        <f>IF(F215="","",IF(F215&lt;Setup!$C$5-Setup!$C$6,"",IF(IF(ISNUMBER(Roster!$D215),Setup!$C$24&lt;=Roster!$D215,FALSE),"",IF(OR(IF(Setup!$C$15&lt;=Setup!$C$16,AND(MONTH(F215)&gt;=Setup!$C$15,MONTH(F215)&lt;=Setup!$C$16),OR(MONTH(F215)&gt;=Setup!$C$15,MONTH(F215)&lt;=Setup!$C$16)),IF(Setup!$C$15&lt;=Setup!$C$16,AND(MONTH(WORKDAY(F215,-(Setup!$C$13+Setup!$G$24),Setup!$C$39:$C$50))&gt;=Setup!$C$15,MONTH(WORKDAY(F215,-(Setup!$C$13+Setup!$G$24),Setup!$C$39:$C$50))&lt;=Setup!$C$16),OR(MONTH(WORKDAY(F215,-(Setup!$C$13+Setup!$G$24),Setup!$C$39:$C$50))&gt;=Setup!$C$15,MONTH(WORKDAY(F215,-(Setup!$C$13+Setup!$G$24),Setup!$C$39:$C$50))&lt;=Setup!$C$16))),WORKDAY(F215,-(Setup!$C$13+Setup!$G$24+Setup!$C$14),Setup!$C$39:$C$50),WORKDAY(F215,-(Setup!$C$13+Setup!$G$24),Setup!$C$39:$C$50))+(210*100+5)/10000000)))</f>
        <v/>
      </c>
      <c r="W215" t="str">
        <f>IF(G215="","",IF(G215&lt;Setup!$C$5-Setup!$C$6,"",IF(IF(ISNUMBER(Roster!$D215),Setup!$C$25&lt;=Roster!$D215,FALSE),"",IF(OR(IF(Setup!$C$15&lt;=Setup!$C$16,AND(MONTH(G215)&gt;=Setup!$C$15,MONTH(G215)&lt;=Setup!$C$16),OR(MONTH(G215)&gt;=Setup!$C$15,MONTH(G215)&lt;=Setup!$C$16)),IF(Setup!$C$15&lt;=Setup!$C$16,AND(MONTH(WORKDAY(G215,-(Setup!$C$13+Setup!$G$25),Setup!$C$39:$C$50))&gt;=Setup!$C$15,MONTH(WORKDAY(G215,-(Setup!$C$13+Setup!$G$25),Setup!$C$39:$C$50))&lt;=Setup!$C$16),OR(MONTH(WORKDAY(G215,-(Setup!$C$13+Setup!$G$25),Setup!$C$39:$C$50))&gt;=Setup!$C$15,MONTH(WORKDAY(G215,-(Setup!$C$13+Setup!$G$25),Setup!$C$39:$C$50))&lt;=Setup!$C$16))),WORKDAY(G215,-(Setup!$C$13+Setup!$G$25+Setup!$C$14),Setup!$C$39:$C$50),WORKDAY(G215,-(Setup!$C$13+Setup!$G$25),Setup!$C$39:$C$50))+(210*100+6)/10000000)))</f>
        <v/>
      </c>
      <c r="X215" t="str">
        <f>IF(H215="","",IF(H215&lt;Setup!$C$5-Setup!$C$6,"",IF(IF(ISNUMBER(Roster!$D215),Setup!$C$26&lt;=Roster!$D215,FALSE),"",IF(OR(IF(Setup!$C$15&lt;=Setup!$C$16,AND(MONTH(H215)&gt;=Setup!$C$15,MONTH(H215)&lt;=Setup!$C$16),OR(MONTH(H215)&gt;=Setup!$C$15,MONTH(H215)&lt;=Setup!$C$16)),IF(Setup!$C$15&lt;=Setup!$C$16,AND(MONTH(WORKDAY(H215,-(Setup!$C$13+Setup!$G$26),Setup!$C$39:$C$50))&gt;=Setup!$C$15,MONTH(WORKDAY(H215,-(Setup!$C$13+Setup!$G$26),Setup!$C$39:$C$50))&lt;=Setup!$C$16),OR(MONTH(WORKDAY(H215,-(Setup!$C$13+Setup!$G$26),Setup!$C$39:$C$50))&gt;=Setup!$C$15,MONTH(WORKDAY(H215,-(Setup!$C$13+Setup!$G$26),Setup!$C$39:$C$50))&lt;=Setup!$C$16))),WORKDAY(H215,-(Setup!$C$13+Setup!$G$26+Setup!$C$14),Setup!$C$39:$C$50),WORKDAY(H215,-(Setup!$C$13+Setup!$G$26),Setup!$C$39:$C$50))+(210*100+7)/10000000)))</f>
        <v/>
      </c>
      <c r="Y215" t="str">
        <f>IF(I215="","",IF(I215&lt;Setup!$C$5-Setup!$C$6,"",IF(IF(ISNUMBER(Roster!$D215),Setup!$C$27&lt;=Roster!$D215,FALSE),"",IF(OR(IF(Setup!$C$15&lt;=Setup!$C$16,AND(MONTH(I215)&gt;=Setup!$C$15,MONTH(I215)&lt;=Setup!$C$16),OR(MONTH(I215)&gt;=Setup!$C$15,MONTH(I215)&lt;=Setup!$C$16)),IF(Setup!$C$15&lt;=Setup!$C$16,AND(MONTH(WORKDAY(I215,-(Setup!$C$13+Setup!$G$27),Setup!$C$39:$C$50))&gt;=Setup!$C$15,MONTH(WORKDAY(I215,-(Setup!$C$13+Setup!$G$27),Setup!$C$39:$C$50))&lt;=Setup!$C$16),OR(MONTH(WORKDAY(I215,-(Setup!$C$13+Setup!$G$27),Setup!$C$39:$C$50))&gt;=Setup!$C$15,MONTH(WORKDAY(I215,-(Setup!$C$13+Setup!$G$27),Setup!$C$39:$C$50))&lt;=Setup!$C$16))),WORKDAY(I215,-(Setup!$C$13+Setup!$G$27+Setup!$C$14),Setup!$C$39:$C$50),WORKDAY(I215,-(Setup!$C$13+Setup!$G$27),Setup!$C$39:$C$50))+(210*100+8)/10000000)))</f>
        <v/>
      </c>
      <c r="Z215" t="str">
        <f>IF(J215="","",IF(J215&lt;Setup!$C$5-Setup!$C$6,"",IF(IF(ISNUMBER(Roster!$D215),Setup!$C$28&lt;=Roster!$D215,FALSE),"",IF(OR(IF(Setup!$C$15&lt;=Setup!$C$16,AND(MONTH(J215)&gt;=Setup!$C$15,MONTH(J215)&lt;=Setup!$C$16),OR(MONTH(J215)&gt;=Setup!$C$15,MONTH(J215)&lt;=Setup!$C$16)),IF(Setup!$C$15&lt;=Setup!$C$16,AND(MONTH(WORKDAY(J215,-(Setup!$C$13+Setup!$G$28),Setup!$C$39:$C$50))&gt;=Setup!$C$15,MONTH(WORKDAY(J215,-(Setup!$C$13+Setup!$G$28),Setup!$C$39:$C$50))&lt;=Setup!$C$16),OR(MONTH(WORKDAY(J215,-(Setup!$C$13+Setup!$G$28),Setup!$C$39:$C$50))&gt;=Setup!$C$15,MONTH(WORKDAY(J215,-(Setup!$C$13+Setup!$G$28),Setup!$C$39:$C$50))&lt;=Setup!$C$16))),WORKDAY(J215,-(Setup!$C$13+Setup!$G$28+Setup!$C$14),Setup!$C$39:$C$50),WORKDAY(J215,-(Setup!$C$13+Setup!$G$28),Setup!$C$39:$C$50))+(210*100+9)/10000000)))</f>
        <v/>
      </c>
      <c r="AA215" t="str">
        <f>IF(K215="","",IF(K215&lt;Setup!$C$5-Setup!$C$6,"",IF(IF(ISNUMBER(Roster!$D215),Setup!$C$29&lt;=Roster!$D215,FALSE),"",IF(OR(IF(Setup!$C$15&lt;=Setup!$C$16,AND(MONTH(K215)&gt;=Setup!$C$15,MONTH(K215)&lt;=Setup!$C$16),OR(MONTH(K215)&gt;=Setup!$C$15,MONTH(K215)&lt;=Setup!$C$16)),IF(Setup!$C$15&lt;=Setup!$C$16,AND(MONTH(WORKDAY(K215,-(Setup!$C$13+Setup!$G$29),Setup!$C$39:$C$50))&gt;=Setup!$C$15,MONTH(WORKDAY(K215,-(Setup!$C$13+Setup!$G$29),Setup!$C$39:$C$50))&lt;=Setup!$C$16),OR(MONTH(WORKDAY(K215,-(Setup!$C$13+Setup!$G$29),Setup!$C$39:$C$50))&gt;=Setup!$C$15,MONTH(WORKDAY(K215,-(Setup!$C$13+Setup!$G$29),Setup!$C$39:$C$50))&lt;=Setup!$C$16))),WORKDAY(K215,-(Setup!$C$13+Setup!$G$29+Setup!$C$14),Setup!$C$39:$C$50),WORKDAY(K215,-(Setup!$C$13+Setup!$G$29),Setup!$C$39:$C$50))+(210*100+10)/10000000)))</f>
        <v/>
      </c>
      <c r="AB215" t="str">
        <f>IF(L215="","",IF(L215&lt;Setup!$C$5-Setup!$C$6,"",IF(IF(ISNUMBER(Roster!$D215),Setup!$C$30&lt;=Roster!$D215,FALSE),"",IF(OR(IF(Setup!$C$15&lt;=Setup!$C$16,AND(MONTH(L215)&gt;=Setup!$C$15,MONTH(L215)&lt;=Setup!$C$16),OR(MONTH(L215)&gt;=Setup!$C$15,MONTH(L215)&lt;=Setup!$C$16)),IF(Setup!$C$15&lt;=Setup!$C$16,AND(MONTH(WORKDAY(L215,-(Setup!$C$13+Setup!$G$30),Setup!$C$39:$C$50))&gt;=Setup!$C$15,MONTH(WORKDAY(L215,-(Setup!$C$13+Setup!$G$30),Setup!$C$39:$C$50))&lt;=Setup!$C$16),OR(MONTH(WORKDAY(L215,-(Setup!$C$13+Setup!$G$30),Setup!$C$39:$C$50))&gt;=Setup!$C$15,MONTH(WORKDAY(L215,-(Setup!$C$13+Setup!$G$30),Setup!$C$39:$C$50))&lt;=Setup!$C$16))),WORKDAY(L215,-(Setup!$C$13+Setup!$G$30+Setup!$C$14),Setup!$C$39:$C$50),WORKDAY(L215,-(Setup!$C$13+Setup!$G$30),Setup!$C$39:$C$50))+(210*100+11)/10000000)))</f>
        <v/>
      </c>
      <c r="AC215" t="str">
        <f>IF(M215="","",IF(M215&lt;Setup!$C$5-Setup!$C$6,"",IF(IF(ISNUMBER(Roster!$D215),Setup!$C$31&lt;=Roster!$D215,FALSE),"",IF(OR(IF(Setup!$C$15&lt;=Setup!$C$16,AND(MONTH(M215)&gt;=Setup!$C$15,MONTH(M215)&lt;=Setup!$C$16),OR(MONTH(M215)&gt;=Setup!$C$15,MONTH(M215)&lt;=Setup!$C$16)),IF(Setup!$C$15&lt;=Setup!$C$16,AND(MONTH(WORKDAY(M215,-(Setup!$C$13+Setup!$G$31),Setup!$C$39:$C$50))&gt;=Setup!$C$15,MONTH(WORKDAY(M215,-(Setup!$C$13+Setup!$G$31),Setup!$C$39:$C$50))&lt;=Setup!$C$16),OR(MONTH(WORKDAY(M215,-(Setup!$C$13+Setup!$G$31),Setup!$C$39:$C$50))&gt;=Setup!$C$15,MONTH(WORKDAY(M215,-(Setup!$C$13+Setup!$G$31),Setup!$C$39:$C$50))&lt;=Setup!$C$16))),WORKDAY(M215,-(Setup!$C$13+Setup!$G$31+Setup!$C$14),Setup!$C$39:$C$50),WORKDAY(M215,-(Setup!$C$13+Setup!$G$31),Setup!$C$39:$C$50))+(210*100+12)/10000000)))</f>
        <v/>
      </c>
      <c r="AD215" t="str">
        <f>IF(N215="","",IF(N215&lt;Setup!$C$5-Setup!$C$6,"",IF(IF(ISNUMBER(Roster!$D215),Setup!$C$32&lt;=Roster!$D215,FALSE),"",IF(OR(IF(Setup!$C$15&lt;=Setup!$C$16,AND(MONTH(N215)&gt;=Setup!$C$15,MONTH(N215)&lt;=Setup!$C$16),OR(MONTH(N215)&gt;=Setup!$C$15,MONTH(N215)&lt;=Setup!$C$16)),IF(Setup!$C$15&lt;=Setup!$C$16,AND(MONTH(WORKDAY(N215,-(Setup!$C$13+Setup!$G$32),Setup!$C$39:$C$50))&gt;=Setup!$C$15,MONTH(WORKDAY(N215,-(Setup!$C$13+Setup!$G$32),Setup!$C$39:$C$50))&lt;=Setup!$C$16),OR(MONTH(WORKDAY(N215,-(Setup!$C$13+Setup!$G$32),Setup!$C$39:$C$50))&gt;=Setup!$C$15,MONTH(WORKDAY(N215,-(Setup!$C$13+Setup!$G$32),Setup!$C$39:$C$50))&lt;=Setup!$C$16))),WORKDAY(N215,-(Setup!$C$13+Setup!$G$32+Setup!$C$14),Setup!$C$39:$C$50),WORKDAY(N215,-(Setup!$C$13+Setup!$G$32),Setup!$C$39:$C$50))+(210*100+13)/10000000)))</f>
        <v/>
      </c>
      <c r="AE215" t="str">
        <f>IF(O215="","",IF(O215&lt;Setup!$C$5-Setup!$C$6,"",IF(IF(ISNUMBER(Roster!$D215),Setup!$C$33&lt;=Roster!$D215,FALSE),"",IF(OR(IF(Setup!$C$15&lt;=Setup!$C$16,AND(MONTH(O215)&gt;=Setup!$C$15,MONTH(O215)&lt;=Setup!$C$16),OR(MONTH(O215)&gt;=Setup!$C$15,MONTH(O215)&lt;=Setup!$C$16)),IF(Setup!$C$15&lt;=Setup!$C$16,AND(MONTH(WORKDAY(O215,-(Setup!$C$13+Setup!$G$33),Setup!$C$39:$C$50))&gt;=Setup!$C$15,MONTH(WORKDAY(O215,-(Setup!$C$13+Setup!$G$33),Setup!$C$39:$C$50))&lt;=Setup!$C$16),OR(MONTH(WORKDAY(O215,-(Setup!$C$13+Setup!$G$33),Setup!$C$39:$C$50))&gt;=Setup!$C$15,MONTH(WORKDAY(O215,-(Setup!$C$13+Setup!$G$33),Setup!$C$39:$C$50))&lt;=Setup!$C$16))),WORKDAY(O215,-(Setup!$C$13+Setup!$G$33+Setup!$C$14),Setup!$C$39:$C$50),WORKDAY(O215,-(Setup!$C$13+Setup!$G$33),Setup!$C$39:$C$50))+(210*100+14)/10000000)))</f>
        <v/>
      </c>
      <c r="AF215" t="str">
        <f>IF(P215="","",IF(P215&lt;Setup!$C$5-Setup!$C$6,"",IF(IF(ISNUMBER(Roster!$D215),Setup!$C$34&lt;=Roster!$D215,FALSE),"",IF(OR(IF(Setup!$C$15&lt;=Setup!$C$16,AND(MONTH(P215)&gt;=Setup!$C$15,MONTH(P215)&lt;=Setup!$C$16),OR(MONTH(P215)&gt;=Setup!$C$15,MONTH(P215)&lt;=Setup!$C$16)),IF(Setup!$C$15&lt;=Setup!$C$16,AND(MONTH(WORKDAY(P215,-(Setup!$C$13+Setup!$G$34),Setup!$C$39:$C$50))&gt;=Setup!$C$15,MONTH(WORKDAY(P215,-(Setup!$C$13+Setup!$G$34),Setup!$C$39:$C$50))&lt;=Setup!$C$16),OR(MONTH(WORKDAY(P215,-(Setup!$C$13+Setup!$G$34),Setup!$C$39:$C$50))&gt;=Setup!$C$15,MONTH(WORKDAY(P215,-(Setup!$C$13+Setup!$G$34),Setup!$C$39:$C$50))&lt;=Setup!$C$16))),WORKDAY(P215,-(Setup!$C$13+Setup!$G$34+Setup!$C$14),Setup!$C$39:$C$50),WORKDAY(P215,-(Setup!$C$13+Setup!$G$34),Setup!$C$39:$C$50))+(210*100+15)/10000000)))</f>
        <v/>
      </c>
      <c r="AH215" t="str">
        <f t="shared" si="25"/>
        <v/>
      </c>
      <c r="AI215" t="str">
        <f t="shared" si="26"/>
        <v/>
      </c>
      <c r="AK215" t="str">
        <f ca="1">IF(210&gt;$AK$2,"",SMALL($R$6:$AF$505,210))</f>
        <v/>
      </c>
      <c r="AL215" t="str">
        <f t="shared" ca="1" si="27"/>
        <v/>
      </c>
      <c r="AM215" t="str">
        <f t="shared" ca="1" si="28"/>
        <v/>
      </c>
      <c r="AN215" t="str">
        <f t="shared" ca="1" si="29"/>
        <v/>
      </c>
      <c r="AP215" t="str">
        <f>IF(ISNUMBER(Roster!$B215),MAX(1,YEAR(Setup!$C$5)-YEAR(Roster!$B215)+IF(EDATE(Roster!$B215,12*(YEAR(Setup!$C$5)-YEAR(Roster!$B215)))&lt;Setup!$C$5,1,0)),"")</f>
        <v/>
      </c>
      <c r="AQ215" s="32" t="str">
        <f>IF(AP215="","",EDATE(Roster!$B215,12*AP215))</f>
        <v/>
      </c>
      <c r="AR215" t="str">
        <f>IF(AQ215="","",IF(AQ215&lt;DATE(YEAR(Setup!$C$5)+1,MONTH(Setup!$C$5),DAY(Setup!$C$5)),AQ215+210/1000,""))</f>
        <v/>
      </c>
      <c r="AS215" t="str">
        <f t="shared" si="30"/>
        <v/>
      </c>
      <c r="AT215" t="str">
        <f>IF(AS215="","",IF(ISNUMBER(Roster!$D215),Roster!$D215&gt;=AP215,FALSE))</f>
        <v/>
      </c>
      <c r="AU215" t="str">
        <f t="shared" si="31"/>
        <v/>
      </c>
      <c r="AV215" t="str">
        <f ca="1">IF(210&gt;$AV$2,"",SMALL($AR$6:$AR$505,210))</f>
        <v/>
      </c>
      <c r="AW215" t="str">
        <f t="shared" ca="1" si="32"/>
        <v/>
      </c>
    </row>
    <row r="216" spans="2:49" x14ac:dyDescent="0.2">
      <c r="B216" s="32" t="str">
        <f>IF(AND(ISNUMBER(Roster!$B216),Setup!$B$20="Yes",ISNUMBER(Setup!$C$20)),EDATE(Roster!$B216,12*Setup!$C$20),"")</f>
        <v/>
      </c>
      <c r="C216" s="32" t="str">
        <f>IF(AND(ISNUMBER(Roster!$B216),Setup!$B$21="Yes",ISNUMBER(Setup!$C$21)),EDATE(Roster!$B216,12*Setup!$C$21),"")</f>
        <v/>
      </c>
      <c r="D216" s="32" t="str">
        <f>IF(AND(ISNUMBER(Roster!$B216),Setup!$B$22="Yes",ISNUMBER(Setup!$C$22)),EDATE(Roster!$B216,12*Setup!$C$22),"")</f>
        <v/>
      </c>
      <c r="E216" s="32" t="str">
        <f>IF(AND(ISNUMBER(Roster!$B216),Setup!$B$23="Yes",ISNUMBER(Setup!$C$23)),EDATE(Roster!$B216,12*Setup!$C$23),"")</f>
        <v/>
      </c>
      <c r="F216" s="32" t="str">
        <f>IF(AND(ISNUMBER(Roster!$B216),Setup!$B$24="Yes",ISNUMBER(Setup!$C$24)),EDATE(Roster!$B216,12*Setup!$C$24),"")</f>
        <v/>
      </c>
      <c r="G216" s="32" t="str">
        <f>IF(AND(ISNUMBER(Roster!$B216),Setup!$B$25="Yes",ISNUMBER(Setup!$C$25)),EDATE(Roster!$B216,12*Setup!$C$25),"")</f>
        <v/>
      </c>
      <c r="H216" s="32" t="str">
        <f>IF(AND(ISNUMBER(Roster!$B216),Setup!$B$26="Yes",ISNUMBER(Setup!$C$26)),EDATE(Roster!$B216,12*Setup!$C$26),"")</f>
        <v/>
      </c>
      <c r="I216" s="32" t="str">
        <f>IF(AND(ISNUMBER(Roster!$B216),Setup!$B$27="Yes",ISNUMBER(Setup!$C$27)),EDATE(Roster!$B216,12*Setup!$C$27),"")</f>
        <v/>
      </c>
      <c r="J216" s="32" t="str">
        <f>IF(AND(ISNUMBER(Roster!$B216),Setup!$B$28="Yes",ISNUMBER(Setup!$C$28)),EDATE(Roster!$B216,12*Setup!$C$28),"")</f>
        <v/>
      </c>
      <c r="K216" s="32" t="str">
        <f>IF(AND(ISNUMBER(Roster!$B216),Setup!$B$29="Yes",ISNUMBER(Setup!$C$29)),EDATE(Roster!$B216,12*Setup!$C$29),"")</f>
        <v/>
      </c>
      <c r="L216" s="32" t="str">
        <f>IF(AND(ISNUMBER(Roster!$B216),Setup!$B$30="Yes",ISNUMBER(Setup!$C$30)),EDATE(Roster!$B216,12*Setup!$C$30),"")</f>
        <v/>
      </c>
      <c r="M216" s="32" t="str">
        <f>IF(AND(ISNUMBER(Roster!$B216),Setup!$B$31="Yes",ISNUMBER(Setup!$C$31)),EDATE(Roster!$B216,12*Setup!$C$31),"")</f>
        <v/>
      </c>
      <c r="N216" s="32" t="str">
        <f>IF(AND(ISNUMBER(Roster!$B216),Setup!$B$32="Yes",ISNUMBER(Setup!$C$32)),EDATE(Roster!$B216,12*Setup!$C$32),"")</f>
        <v/>
      </c>
      <c r="O216" s="32" t="str">
        <f>IF(AND(ISNUMBER(Roster!$B216),Setup!$B$33="Yes",ISNUMBER(Setup!$C$33)),EDATE(Roster!$B216,12*Setup!$C$33),"")</f>
        <v/>
      </c>
      <c r="P216" s="32" t="str">
        <f>IF(AND(ISNUMBER(Roster!$B216),Setup!$B$34="Yes",ISNUMBER(Setup!$C$34)),EDATE(Roster!$B216,12*Setup!$C$34),"")</f>
        <v/>
      </c>
      <c r="R216" t="str">
        <f>IF(B216="","",IF(B216&lt;Setup!$C$5-Setup!$C$6,"",IF(IF(ISNUMBER(Roster!$D216),Setup!$C$20&lt;=Roster!$D216,FALSE),"",IF(OR(IF(Setup!$C$15&lt;=Setup!$C$16,AND(MONTH(B216)&gt;=Setup!$C$15,MONTH(B216)&lt;=Setup!$C$16),OR(MONTH(B216)&gt;=Setup!$C$15,MONTH(B216)&lt;=Setup!$C$16)),IF(Setup!$C$15&lt;=Setup!$C$16,AND(MONTH(WORKDAY(B216,-(Setup!$C$13+Setup!$G$20),Setup!$C$39:$C$50))&gt;=Setup!$C$15,MONTH(WORKDAY(B216,-(Setup!$C$13+Setup!$G$20),Setup!$C$39:$C$50))&lt;=Setup!$C$16),OR(MONTH(WORKDAY(B216,-(Setup!$C$13+Setup!$G$20),Setup!$C$39:$C$50))&gt;=Setup!$C$15,MONTH(WORKDAY(B216,-(Setup!$C$13+Setup!$G$20),Setup!$C$39:$C$50))&lt;=Setup!$C$16))),WORKDAY(B216,-(Setup!$C$13+Setup!$G$20+Setup!$C$14),Setup!$C$39:$C$50),WORKDAY(B216,-(Setup!$C$13+Setup!$G$20),Setup!$C$39:$C$50))+(211*100+1)/10000000)))</f>
        <v/>
      </c>
      <c r="S216" t="str">
        <f>IF(C216="","",IF(C216&lt;Setup!$C$5-Setup!$C$6,"",IF(IF(ISNUMBER(Roster!$D216),Setup!$C$21&lt;=Roster!$D216,FALSE),"",IF(OR(IF(Setup!$C$15&lt;=Setup!$C$16,AND(MONTH(C216)&gt;=Setup!$C$15,MONTH(C216)&lt;=Setup!$C$16),OR(MONTH(C216)&gt;=Setup!$C$15,MONTH(C216)&lt;=Setup!$C$16)),IF(Setup!$C$15&lt;=Setup!$C$16,AND(MONTH(WORKDAY(C216,-(Setup!$C$13+Setup!$G$21),Setup!$C$39:$C$50))&gt;=Setup!$C$15,MONTH(WORKDAY(C216,-(Setup!$C$13+Setup!$G$21),Setup!$C$39:$C$50))&lt;=Setup!$C$16),OR(MONTH(WORKDAY(C216,-(Setup!$C$13+Setup!$G$21),Setup!$C$39:$C$50))&gt;=Setup!$C$15,MONTH(WORKDAY(C216,-(Setup!$C$13+Setup!$G$21),Setup!$C$39:$C$50))&lt;=Setup!$C$16))),WORKDAY(C216,-(Setup!$C$13+Setup!$G$21+Setup!$C$14),Setup!$C$39:$C$50),WORKDAY(C216,-(Setup!$C$13+Setup!$G$21),Setup!$C$39:$C$50))+(211*100+2)/10000000)))</f>
        <v/>
      </c>
      <c r="T216" t="str">
        <f>IF(D216="","",IF(D216&lt;Setup!$C$5-Setup!$C$6,"",IF(IF(ISNUMBER(Roster!$D216),Setup!$C$22&lt;=Roster!$D216,FALSE),"",IF(OR(IF(Setup!$C$15&lt;=Setup!$C$16,AND(MONTH(D216)&gt;=Setup!$C$15,MONTH(D216)&lt;=Setup!$C$16),OR(MONTH(D216)&gt;=Setup!$C$15,MONTH(D216)&lt;=Setup!$C$16)),IF(Setup!$C$15&lt;=Setup!$C$16,AND(MONTH(WORKDAY(D216,-(Setup!$C$13+Setup!$G$22),Setup!$C$39:$C$50))&gt;=Setup!$C$15,MONTH(WORKDAY(D216,-(Setup!$C$13+Setup!$G$22),Setup!$C$39:$C$50))&lt;=Setup!$C$16),OR(MONTH(WORKDAY(D216,-(Setup!$C$13+Setup!$G$22),Setup!$C$39:$C$50))&gt;=Setup!$C$15,MONTH(WORKDAY(D216,-(Setup!$C$13+Setup!$G$22),Setup!$C$39:$C$50))&lt;=Setup!$C$16))),WORKDAY(D216,-(Setup!$C$13+Setup!$G$22+Setup!$C$14),Setup!$C$39:$C$50),WORKDAY(D216,-(Setup!$C$13+Setup!$G$22),Setup!$C$39:$C$50))+(211*100+3)/10000000)))</f>
        <v/>
      </c>
      <c r="U216" t="str">
        <f>IF(E216="","",IF(E216&lt;Setup!$C$5-Setup!$C$6,"",IF(IF(ISNUMBER(Roster!$D216),Setup!$C$23&lt;=Roster!$D216,FALSE),"",IF(OR(IF(Setup!$C$15&lt;=Setup!$C$16,AND(MONTH(E216)&gt;=Setup!$C$15,MONTH(E216)&lt;=Setup!$C$16),OR(MONTH(E216)&gt;=Setup!$C$15,MONTH(E216)&lt;=Setup!$C$16)),IF(Setup!$C$15&lt;=Setup!$C$16,AND(MONTH(WORKDAY(E216,-(Setup!$C$13+Setup!$G$23),Setup!$C$39:$C$50))&gt;=Setup!$C$15,MONTH(WORKDAY(E216,-(Setup!$C$13+Setup!$G$23),Setup!$C$39:$C$50))&lt;=Setup!$C$16),OR(MONTH(WORKDAY(E216,-(Setup!$C$13+Setup!$G$23),Setup!$C$39:$C$50))&gt;=Setup!$C$15,MONTH(WORKDAY(E216,-(Setup!$C$13+Setup!$G$23),Setup!$C$39:$C$50))&lt;=Setup!$C$16))),WORKDAY(E216,-(Setup!$C$13+Setup!$G$23+Setup!$C$14),Setup!$C$39:$C$50),WORKDAY(E216,-(Setup!$C$13+Setup!$G$23),Setup!$C$39:$C$50))+(211*100+4)/10000000)))</f>
        <v/>
      </c>
      <c r="V216" t="str">
        <f>IF(F216="","",IF(F216&lt;Setup!$C$5-Setup!$C$6,"",IF(IF(ISNUMBER(Roster!$D216),Setup!$C$24&lt;=Roster!$D216,FALSE),"",IF(OR(IF(Setup!$C$15&lt;=Setup!$C$16,AND(MONTH(F216)&gt;=Setup!$C$15,MONTH(F216)&lt;=Setup!$C$16),OR(MONTH(F216)&gt;=Setup!$C$15,MONTH(F216)&lt;=Setup!$C$16)),IF(Setup!$C$15&lt;=Setup!$C$16,AND(MONTH(WORKDAY(F216,-(Setup!$C$13+Setup!$G$24),Setup!$C$39:$C$50))&gt;=Setup!$C$15,MONTH(WORKDAY(F216,-(Setup!$C$13+Setup!$G$24),Setup!$C$39:$C$50))&lt;=Setup!$C$16),OR(MONTH(WORKDAY(F216,-(Setup!$C$13+Setup!$G$24),Setup!$C$39:$C$50))&gt;=Setup!$C$15,MONTH(WORKDAY(F216,-(Setup!$C$13+Setup!$G$24),Setup!$C$39:$C$50))&lt;=Setup!$C$16))),WORKDAY(F216,-(Setup!$C$13+Setup!$G$24+Setup!$C$14),Setup!$C$39:$C$50),WORKDAY(F216,-(Setup!$C$13+Setup!$G$24),Setup!$C$39:$C$50))+(211*100+5)/10000000)))</f>
        <v/>
      </c>
      <c r="W216" t="str">
        <f>IF(G216="","",IF(G216&lt;Setup!$C$5-Setup!$C$6,"",IF(IF(ISNUMBER(Roster!$D216),Setup!$C$25&lt;=Roster!$D216,FALSE),"",IF(OR(IF(Setup!$C$15&lt;=Setup!$C$16,AND(MONTH(G216)&gt;=Setup!$C$15,MONTH(G216)&lt;=Setup!$C$16),OR(MONTH(G216)&gt;=Setup!$C$15,MONTH(G216)&lt;=Setup!$C$16)),IF(Setup!$C$15&lt;=Setup!$C$16,AND(MONTH(WORKDAY(G216,-(Setup!$C$13+Setup!$G$25),Setup!$C$39:$C$50))&gt;=Setup!$C$15,MONTH(WORKDAY(G216,-(Setup!$C$13+Setup!$G$25),Setup!$C$39:$C$50))&lt;=Setup!$C$16),OR(MONTH(WORKDAY(G216,-(Setup!$C$13+Setup!$G$25),Setup!$C$39:$C$50))&gt;=Setup!$C$15,MONTH(WORKDAY(G216,-(Setup!$C$13+Setup!$G$25),Setup!$C$39:$C$50))&lt;=Setup!$C$16))),WORKDAY(G216,-(Setup!$C$13+Setup!$G$25+Setup!$C$14),Setup!$C$39:$C$50),WORKDAY(G216,-(Setup!$C$13+Setup!$G$25),Setup!$C$39:$C$50))+(211*100+6)/10000000)))</f>
        <v/>
      </c>
      <c r="X216" t="str">
        <f>IF(H216="","",IF(H216&lt;Setup!$C$5-Setup!$C$6,"",IF(IF(ISNUMBER(Roster!$D216),Setup!$C$26&lt;=Roster!$D216,FALSE),"",IF(OR(IF(Setup!$C$15&lt;=Setup!$C$16,AND(MONTH(H216)&gt;=Setup!$C$15,MONTH(H216)&lt;=Setup!$C$16),OR(MONTH(H216)&gt;=Setup!$C$15,MONTH(H216)&lt;=Setup!$C$16)),IF(Setup!$C$15&lt;=Setup!$C$16,AND(MONTH(WORKDAY(H216,-(Setup!$C$13+Setup!$G$26),Setup!$C$39:$C$50))&gt;=Setup!$C$15,MONTH(WORKDAY(H216,-(Setup!$C$13+Setup!$G$26),Setup!$C$39:$C$50))&lt;=Setup!$C$16),OR(MONTH(WORKDAY(H216,-(Setup!$C$13+Setup!$G$26),Setup!$C$39:$C$50))&gt;=Setup!$C$15,MONTH(WORKDAY(H216,-(Setup!$C$13+Setup!$G$26),Setup!$C$39:$C$50))&lt;=Setup!$C$16))),WORKDAY(H216,-(Setup!$C$13+Setup!$G$26+Setup!$C$14),Setup!$C$39:$C$50),WORKDAY(H216,-(Setup!$C$13+Setup!$G$26),Setup!$C$39:$C$50))+(211*100+7)/10000000)))</f>
        <v/>
      </c>
      <c r="Y216" t="str">
        <f>IF(I216="","",IF(I216&lt;Setup!$C$5-Setup!$C$6,"",IF(IF(ISNUMBER(Roster!$D216),Setup!$C$27&lt;=Roster!$D216,FALSE),"",IF(OR(IF(Setup!$C$15&lt;=Setup!$C$16,AND(MONTH(I216)&gt;=Setup!$C$15,MONTH(I216)&lt;=Setup!$C$16),OR(MONTH(I216)&gt;=Setup!$C$15,MONTH(I216)&lt;=Setup!$C$16)),IF(Setup!$C$15&lt;=Setup!$C$16,AND(MONTH(WORKDAY(I216,-(Setup!$C$13+Setup!$G$27),Setup!$C$39:$C$50))&gt;=Setup!$C$15,MONTH(WORKDAY(I216,-(Setup!$C$13+Setup!$G$27),Setup!$C$39:$C$50))&lt;=Setup!$C$16),OR(MONTH(WORKDAY(I216,-(Setup!$C$13+Setup!$G$27),Setup!$C$39:$C$50))&gt;=Setup!$C$15,MONTH(WORKDAY(I216,-(Setup!$C$13+Setup!$G$27),Setup!$C$39:$C$50))&lt;=Setup!$C$16))),WORKDAY(I216,-(Setup!$C$13+Setup!$G$27+Setup!$C$14),Setup!$C$39:$C$50),WORKDAY(I216,-(Setup!$C$13+Setup!$G$27),Setup!$C$39:$C$50))+(211*100+8)/10000000)))</f>
        <v/>
      </c>
      <c r="Z216" t="str">
        <f>IF(J216="","",IF(J216&lt;Setup!$C$5-Setup!$C$6,"",IF(IF(ISNUMBER(Roster!$D216),Setup!$C$28&lt;=Roster!$D216,FALSE),"",IF(OR(IF(Setup!$C$15&lt;=Setup!$C$16,AND(MONTH(J216)&gt;=Setup!$C$15,MONTH(J216)&lt;=Setup!$C$16),OR(MONTH(J216)&gt;=Setup!$C$15,MONTH(J216)&lt;=Setup!$C$16)),IF(Setup!$C$15&lt;=Setup!$C$16,AND(MONTH(WORKDAY(J216,-(Setup!$C$13+Setup!$G$28),Setup!$C$39:$C$50))&gt;=Setup!$C$15,MONTH(WORKDAY(J216,-(Setup!$C$13+Setup!$G$28),Setup!$C$39:$C$50))&lt;=Setup!$C$16),OR(MONTH(WORKDAY(J216,-(Setup!$C$13+Setup!$G$28),Setup!$C$39:$C$50))&gt;=Setup!$C$15,MONTH(WORKDAY(J216,-(Setup!$C$13+Setup!$G$28),Setup!$C$39:$C$50))&lt;=Setup!$C$16))),WORKDAY(J216,-(Setup!$C$13+Setup!$G$28+Setup!$C$14),Setup!$C$39:$C$50),WORKDAY(J216,-(Setup!$C$13+Setup!$G$28),Setup!$C$39:$C$50))+(211*100+9)/10000000)))</f>
        <v/>
      </c>
      <c r="AA216" t="str">
        <f>IF(K216="","",IF(K216&lt;Setup!$C$5-Setup!$C$6,"",IF(IF(ISNUMBER(Roster!$D216),Setup!$C$29&lt;=Roster!$D216,FALSE),"",IF(OR(IF(Setup!$C$15&lt;=Setup!$C$16,AND(MONTH(K216)&gt;=Setup!$C$15,MONTH(K216)&lt;=Setup!$C$16),OR(MONTH(K216)&gt;=Setup!$C$15,MONTH(K216)&lt;=Setup!$C$16)),IF(Setup!$C$15&lt;=Setup!$C$16,AND(MONTH(WORKDAY(K216,-(Setup!$C$13+Setup!$G$29),Setup!$C$39:$C$50))&gt;=Setup!$C$15,MONTH(WORKDAY(K216,-(Setup!$C$13+Setup!$G$29),Setup!$C$39:$C$50))&lt;=Setup!$C$16),OR(MONTH(WORKDAY(K216,-(Setup!$C$13+Setup!$G$29),Setup!$C$39:$C$50))&gt;=Setup!$C$15,MONTH(WORKDAY(K216,-(Setup!$C$13+Setup!$G$29),Setup!$C$39:$C$50))&lt;=Setup!$C$16))),WORKDAY(K216,-(Setup!$C$13+Setup!$G$29+Setup!$C$14),Setup!$C$39:$C$50),WORKDAY(K216,-(Setup!$C$13+Setup!$G$29),Setup!$C$39:$C$50))+(211*100+10)/10000000)))</f>
        <v/>
      </c>
      <c r="AB216" t="str">
        <f>IF(L216="","",IF(L216&lt;Setup!$C$5-Setup!$C$6,"",IF(IF(ISNUMBER(Roster!$D216),Setup!$C$30&lt;=Roster!$D216,FALSE),"",IF(OR(IF(Setup!$C$15&lt;=Setup!$C$16,AND(MONTH(L216)&gt;=Setup!$C$15,MONTH(L216)&lt;=Setup!$C$16),OR(MONTH(L216)&gt;=Setup!$C$15,MONTH(L216)&lt;=Setup!$C$16)),IF(Setup!$C$15&lt;=Setup!$C$16,AND(MONTH(WORKDAY(L216,-(Setup!$C$13+Setup!$G$30),Setup!$C$39:$C$50))&gt;=Setup!$C$15,MONTH(WORKDAY(L216,-(Setup!$C$13+Setup!$G$30),Setup!$C$39:$C$50))&lt;=Setup!$C$16),OR(MONTH(WORKDAY(L216,-(Setup!$C$13+Setup!$G$30),Setup!$C$39:$C$50))&gt;=Setup!$C$15,MONTH(WORKDAY(L216,-(Setup!$C$13+Setup!$G$30),Setup!$C$39:$C$50))&lt;=Setup!$C$16))),WORKDAY(L216,-(Setup!$C$13+Setup!$G$30+Setup!$C$14),Setup!$C$39:$C$50),WORKDAY(L216,-(Setup!$C$13+Setup!$G$30),Setup!$C$39:$C$50))+(211*100+11)/10000000)))</f>
        <v/>
      </c>
      <c r="AC216" t="str">
        <f>IF(M216="","",IF(M216&lt;Setup!$C$5-Setup!$C$6,"",IF(IF(ISNUMBER(Roster!$D216),Setup!$C$31&lt;=Roster!$D216,FALSE),"",IF(OR(IF(Setup!$C$15&lt;=Setup!$C$16,AND(MONTH(M216)&gt;=Setup!$C$15,MONTH(M216)&lt;=Setup!$C$16),OR(MONTH(M216)&gt;=Setup!$C$15,MONTH(M216)&lt;=Setup!$C$16)),IF(Setup!$C$15&lt;=Setup!$C$16,AND(MONTH(WORKDAY(M216,-(Setup!$C$13+Setup!$G$31),Setup!$C$39:$C$50))&gt;=Setup!$C$15,MONTH(WORKDAY(M216,-(Setup!$C$13+Setup!$G$31),Setup!$C$39:$C$50))&lt;=Setup!$C$16),OR(MONTH(WORKDAY(M216,-(Setup!$C$13+Setup!$G$31),Setup!$C$39:$C$50))&gt;=Setup!$C$15,MONTH(WORKDAY(M216,-(Setup!$C$13+Setup!$G$31),Setup!$C$39:$C$50))&lt;=Setup!$C$16))),WORKDAY(M216,-(Setup!$C$13+Setup!$G$31+Setup!$C$14),Setup!$C$39:$C$50),WORKDAY(M216,-(Setup!$C$13+Setup!$G$31),Setup!$C$39:$C$50))+(211*100+12)/10000000)))</f>
        <v/>
      </c>
      <c r="AD216" t="str">
        <f>IF(N216="","",IF(N216&lt;Setup!$C$5-Setup!$C$6,"",IF(IF(ISNUMBER(Roster!$D216),Setup!$C$32&lt;=Roster!$D216,FALSE),"",IF(OR(IF(Setup!$C$15&lt;=Setup!$C$16,AND(MONTH(N216)&gt;=Setup!$C$15,MONTH(N216)&lt;=Setup!$C$16),OR(MONTH(N216)&gt;=Setup!$C$15,MONTH(N216)&lt;=Setup!$C$16)),IF(Setup!$C$15&lt;=Setup!$C$16,AND(MONTH(WORKDAY(N216,-(Setup!$C$13+Setup!$G$32),Setup!$C$39:$C$50))&gt;=Setup!$C$15,MONTH(WORKDAY(N216,-(Setup!$C$13+Setup!$G$32),Setup!$C$39:$C$50))&lt;=Setup!$C$16),OR(MONTH(WORKDAY(N216,-(Setup!$C$13+Setup!$G$32),Setup!$C$39:$C$50))&gt;=Setup!$C$15,MONTH(WORKDAY(N216,-(Setup!$C$13+Setup!$G$32),Setup!$C$39:$C$50))&lt;=Setup!$C$16))),WORKDAY(N216,-(Setup!$C$13+Setup!$G$32+Setup!$C$14),Setup!$C$39:$C$50),WORKDAY(N216,-(Setup!$C$13+Setup!$G$32),Setup!$C$39:$C$50))+(211*100+13)/10000000)))</f>
        <v/>
      </c>
      <c r="AE216" t="str">
        <f>IF(O216="","",IF(O216&lt;Setup!$C$5-Setup!$C$6,"",IF(IF(ISNUMBER(Roster!$D216),Setup!$C$33&lt;=Roster!$D216,FALSE),"",IF(OR(IF(Setup!$C$15&lt;=Setup!$C$16,AND(MONTH(O216)&gt;=Setup!$C$15,MONTH(O216)&lt;=Setup!$C$16),OR(MONTH(O216)&gt;=Setup!$C$15,MONTH(O216)&lt;=Setup!$C$16)),IF(Setup!$C$15&lt;=Setup!$C$16,AND(MONTH(WORKDAY(O216,-(Setup!$C$13+Setup!$G$33),Setup!$C$39:$C$50))&gt;=Setup!$C$15,MONTH(WORKDAY(O216,-(Setup!$C$13+Setup!$G$33),Setup!$C$39:$C$50))&lt;=Setup!$C$16),OR(MONTH(WORKDAY(O216,-(Setup!$C$13+Setup!$G$33),Setup!$C$39:$C$50))&gt;=Setup!$C$15,MONTH(WORKDAY(O216,-(Setup!$C$13+Setup!$G$33),Setup!$C$39:$C$50))&lt;=Setup!$C$16))),WORKDAY(O216,-(Setup!$C$13+Setup!$G$33+Setup!$C$14),Setup!$C$39:$C$50),WORKDAY(O216,-(Setup!$C$13+Setup!$G$33),Setup!$C$39:$C$50))+(211*100+14)/10000000)))</f>
        <v/>
      </c>
      <c r="AF216" t="str">
        <f>IF(P216="","",IF(P216&lt;Setup!$C$5-Setup!$C$6,"",IF(IF(ISNUMBER(Roster!$D216),Setup!$C$34&lt;=Roster!$D216,FALSE),"",IF(OR(IF(Setup!$C$15&lt;=Setup!$C$16,AND(MONTH(P216)&gt;=Setup!$C$15,MONTH(P216)&lt;=Setup!$C$16),OR(MONTH(P216)&gt;=Setup!$C$15,MONTH(P216)&lt;=Setup!$C$16)),IF(Setup!$C$15&lt;=Setup!$C$16,AND(MONTH(WORKDAY(P216,-(Setup!$C$13+Setup!$G$34),Setup!$C$39:$C$50))&gt;=Setup!$C$15,MONTH(WORKDAY(P216,-(Setup!$C$13+Setup!$G$34),Setup!$C$39:$C$50))&lt;=Setup!$C$16),OR(MONTH(WORKDAY(P216,-(Setup!$C$13+Setup!$G$34),Setup!$C$39:$C$50))&gt;=Setup!$C$15,MONTH(WORKDAY(P216,-(Setup!$C$13+Setup!$G$34),Setup!$C$39:$C$50))&lt;=Setup!$C$16))),WORKDAY(P216,-(Setup!$C$13+Setup!$G$34+Setup!$C$14),Setup!$C$39:$C$50),WORKDAY(P216,-(Setup!$C$13+Setup!$G$34),Setup!$C$39:$C$50))+(211*100+15)/10000000)))</f>
        <v/>
      </c>
      <c r="AH216" t="str">
        <f t="shared" si="25"/>
        <v/>
      </c>
      <c r="AI216" t="str">
        <f t="shared" si="26"/>
        <v/>
      </c>
      <c r="AK216" t="str">
        <f ca="1">IF(211&gt;$AK$2,"",SMALL($R$6:$AF$505,211))</f>
        <v/>
      </c>
      <c r="AL216" t="str">
        <f t="shared" ca="1" si="27"/>
        <v/>
      </c>
      <c r="AM216" t="str">
        <f t="shared" ca="1" si="28"/>
        <v/>
      </c>
      <c r="AN216" t="str">
        <f t="shared" ca="1" si="29"/>
        <v/>
      </c>
      <c r="AP216" t="str">
        <f>IF(ISNUMBER(Roster!$B216),MAX(1,YEAR(Setup!$C$5)-YEAR(Roster!$B216)+IF(EDATE(Roster!$B216,12*(YEAR(Setup!$C$5)-YEAR(Roster!$B216)))&lt;Setup!$C$5,1,0)),"")</f>
        <v/>
      </c>
      <c r="AQ216" s="32" t="str">
        <f>IF(AP216="","",EDATE(Roster!$B216,12*AP216))</f>
        <v/>
      </c>
      <c r="AR216" t="str">
        <f>IF(AQ216="","",IF(AQ216&lt;DATE(YEAR(Setup!$C$5)+1,MONTH(Setup!$C$5),DAY(Setup!$C$5)),AQ216+211/1000,""))</f>
        <v/>
      </c>
      <c r="AS216" t="str">
        <f t="shared" si="30"/>
        <v/>
      </c>
      <c r="AT216" t="str">
        <f>IF(AS216="","",IF(ISNUMBER(Roster!$D216),Roster!$D216&gt;=AP216,FALSE))</f>
        <v/>
      </c>
      <c r="AU216" t="str">
        <f t="shared" si="31"/>
        <v/>
      </c>
      <c r="AV216" t="str">
        <f ca="1">IF(211&gt;$AV$2,"",SMALL($AR$6:$AR$505,211))</f>
        <v/>
      </c>
      <c r="AW216" t="str">
        <f t="shared" ca="1" si="32"/>
        <v/>
      </c>
    </row>
    <row r="217" spans="2:49" x14ac:dyDescent="0.2">
      <c r="B217" s="32" t="str">
        <f>IF(AND(ISNUMBER(Roster!$B217),Setup!$B$20="Yes",ISNUMBER(Setup!$C$20)),EDATE(Roster!$B217,12*Setup!$C$20),"")</f>
        <v/>
      </c>
      <c r="C217" s="32" t="str">
        <f>IF(AND(ISNUMBER(Roster!$B217),Setup!$B$21="Yes",ISNUMBER(Setup!$C$21)),EDATE(Roster!$B217,12*Setup!$C$21),"")</f>
        <v/>
      </c>
      <c r="D217" s="32" t="str">
        <f>IF(AND(ISNUMBER(Roster!$B217),Setup!$B$22="Yes",ISNUMBER(Setup!$C$22)),EDATE(Roster!$B217,12*Setup!$C$22),"")</f>
        <v/>
      </c>
      <c r="E217" s="32" t="str">
        <f>IF(AND(ISNUMBER(Roster!$B217),Setup!$B$23="Yes",ISNUMBER(Setup!$C$23)),EDATE(Roster!$B217,12*Setup!$C$23),"")</f>
        <v/>
      </c>
      <c r="F217" s="32" t="str">
        <f>IF(AND(ISNUMBER(Roster!$B217),Setup!$B$24="Yes",ISNUMBER(Setup!$C$24)),EDATE(Roster!$B217,12*Setup!$C$24),"")</f>
        <v/>
      </c>
      <c r="G217" s="32" t="str">
        <f>IF(AND(ISNUMBER(Roster!$B217),Setup!$B$25="Yes",ISNUMBER(Setup!$C$25)),EDATE(Roster!$B217,12*Setup!$C$25),"")</f>
        <v/>
      </c>
      <c r="H217" s="32" t="str">
        <f>IF(AND(ISNUMBER(Roster!$B217),Setup!$B$26="Yes",ISNUMBER(Setup!$C$26)),EDATE(Roster!$B217,12*Setup!$C$26),"")</f>
        <v/>
      </c>
      <c r="I217" s="32" t="str">
        <f>IF(AND(ISNUMBER(Roster!$B217),Setup!$B$27="Yes",ISNUMBER(Setup!$C$27)),EDATE(Roster!$B217,12*Setup!$C$27),"")</f>
        <v/>
      </c>
      <c r="J217" s="32" t="str">
        <f>IF(AND(ISNUMBER(Roster!$B217),Setup!$B$28="Yes",ISNUMBER(Setup!$C$28)),EDATE(Roster!$B217,12*Setup!$C$28),"")</f>
        <v/>
      </c>
      <c r="K217" s="32" t="str">
        <f>IF(AND(ISNUMBER(Roster!$B217),Setup!$B$29="Yes",ISNUMBER(Setup!$C$29)),EDATE(Roster!$B217,12*Setup!$C$29),"")</f>
        <v/>
      </c>
      <c r="L217" s="32" t="str">
        <f>IF(AND(ISNUMBER(Roster!$B217),Setup!$B$30="Yes",ISNUMBER(Setup!$C$30)),EDATE(Roster!$B217,12*Setup!$C$30),"")</f>
        <v/>
      </c>
      <c r="M217" s="32" t="str">
        <f>IF(AND(ISNUMBER(Roster!$B217),Setup!$B$31="Yes",ISNUMBER(Setup!$C$31)),EDATE(Roster!$B217,12*Setup!$C$31),"")</f>
        <v/>
      </c>
      <c r="N217" s="32" t="str">
        <f>IF(AND(ISNUMBER(Roster!$B217),Setup!$B$32="Yes",ISNUMBER(Setup!$C$32)),EDATE(Roster!$B217,12*Setup!$C$32),"")</f>
        <v/>
      </c>
      <c r="O217" s="32" t="str">
        <f>IF(AND(ISNUMBER(Roster!$B217),Setup!$B$33="Yes",ISNUMBER(Setup!$C$33)),EDATE(Roster!$B217,12*Setup!$C$33),"")</f>
        <v/>
      </c>
      <c r="P217" s="32" t="str">
        <f>IF(AND(ISNUMBER(Roster!$B217),Setup!$B$34="Yes",ISNUMBER(Setup!$C$34)),EDATE(Roster!$B217,12*Setup!$C$34),"")</f>
        <v/>
      </c>
      <c r="R217" t="str">
        <f>IF(B217="","",IF(B217&lt;Setup!$C$5-Setup!$C$6,"",IF(IF(ISNUMBER(Roster!$D217),Setup!$C$20&lt;=Roster!$D217,FALSE),"",IF(OR(IF(Setup!$C$15&lt;=Setup!$C$16,AND(MONTH(B217)&gt;=Setup!$C$15,MONTH(B217)&lt;=Setup!$C$16),OR(MONTH(B217)&gt;=Setup!$C$15,MONTH(B217)&lt;=Setup!$C$16)),IF(Setup!$C$15&lt;=Setup!$C$16,AND(MONTH(WORKDAY(B217,-(Setup!$C$13+Setup!$G$20),Setup!$C$39:$C$50))&gt;=Setup!$C$15,MONTH(WORKDAY(B217,-(Setup!$C$13+Setup!$G$20),Setup!$C$39:$C$50))&lt;=Setup!$C$16),OR(MONTH(WORKDAY(B217,-(Setup!$C$13+Setup!$G$20),Setup!$C$39:$C$50))&gt;=Setup!$C$15,MONTH(WORKDAY(B217,-(Setup!$C$13+Setup!$G$20),Setup!$C$39:$C$50))&lt;=Setup!$C$16))),WORKDAY(B217,-(Setup!$C$13+Setup!$G$20+Setup!$C$14),Setup!$C$39:$C$50),WORKDAY(B217,-(Setup!$C$13+Setup!$G$20),Setup!$C$39:$C$50))+(212*100+1)/10000000)))</f>
        <v/>
      </c>
      <c r="S217" t="str">
        <f>IF(C217="","",IF(C217&lt;Setup!$C$5-Setup!$C$6,"",IF(IF(ISNUMBER(Roster!$D217),Setup!$C$21&lt;=Roster!$D217,FALSE),"",IF(OR(IF(Setup!$C$15&lt;=Setup!$C$16,AND(MONTH(C217)&gt;=Setup!$C$15,MONTH(C217)&lt;=Setup!$C$16),OR(MONTH(C217)&gt;=Setup!$C$15,MONTH(C217)&lt;=Setup!$C$16)),IF(Setup!$C$15&lt;=Setup!$C$16,AND(MONTH(WORKDAY(C217,-(Setup!$C$13+Setup!$G$21),Setup!$C$39:$C$50))&gt;=Setup!$C$15,MONTH(WORKDAY(C217,-(Setup!$C$13+Setup!$G$21),Setup!$C$39:$C$50))&lt;=Setup!$C$16),OR(MONTH(WORKDAY(C217,-(Setup!$C$13+Setup!$G$21),Setup!$C$39:$C$50))&gt;=Setup!$C$15,MONTH(WORKDAY(C217,-(Setup!$C$13+Setup!$G$21),Setup!$C$39:$C$50))&lt;=Setup!$C$16))),WORKDAY(C217,-(Setup!$C$13+Setup!$G$21+Setup!$C$14),Setup!$C$39:$C$50),WORKDAY(C217,-(Setup!$C$13+Setup!$G$21),Setup!$C$39:$C$50))+(212*100+2)/10000000)))</f>
        <v/>
      </c>
      <c r="T217" t="str">
        <f>IF(D217="","",IF(D217&lt;Setup!$C$5-Setup!$C$6,"",IF(IF(ISNUMBER(Roster!$D217),Setup!$C$22&lt;=Roster!$D217,FALSE),"",IF(OR(IF(Setup!$C$15&lt;=Setup!$C$16,AND(MONTH(D217)&gt;=Setup!$C$15,MONTH(D217)&lt;=Setup!$C$16),OR(MONTH(D217)&gt;=Setup!$C$15,MONTH(D217)&lt;=Setup!$C$16)),IF(Setup!$C$15&lt;=Setup!$C$16,AND(MONTH(WORKDAY(D217,-(Setup!$C$13+Setup!$G$22),Setup!$C$39:$C$50))&gt;=Setup!$C$15,MONTH(WORKDAY(D217,-(Setup!$C$13+Setup!$G$22),Setup!$C$39:$C$50))&lt;=Setup!$C$16),OR(MONTH(WORKDAY(D217,-(Setup!$C$13+Setup!$G$22),Setup!$C$39:$C$50))&gt;=Setup!$C$15,MONTH(WORKDAY(D217,-(Setup!$C$13+Setup!$G$22),Setup!$C$39:$C$50))&lt;=Setup!$C$16))),WORKDAY(D217,-(Setup!$C$13+Setup!$G$22+Setup!$C$14),Setup!$C$39:$C$50),WORKDAY(D217,-(Setup!$C$13+Setup!$G$22),Setup!$C$39:$C$50))+(212*100+3)/10000000)))</f>
        <v/>
      </c>
      <c r="U217" t="str">
        <f>IF(E217="","",IF(E217&lt;Setup!$C$5-Setup!$C$6,"",IF(IF(ISNUMBER(Roster!$D217),Setup!$C$23&lt;=Roster!$D217,FALSE),"",IF(OR(IF(Setup!$C$15&lt;=Setup!$C$16,AND(MONTH(E217)&gt;=Setup!$C$15,MONTH(E217)&lt;=Setup!$C$16),OR(MONTH(E217)&gt;=Setup!$C$15,MONTH(E217)&lt;=Setup!$C$16)),IF(Setup!$C$15&lt;=Setup!$C$16,AND(MONTH(WORKDAY(E217,-(Setup!$C$13+Setup!$G$23),Setup!$C$39:$C$50))&gt;=Setup!$C$15,MONTH(WORKDAY(E217,-(Setup!$C$13+Setup!$G$23),Setup!$C$39:$C$50))&lt;=Setup!$C$16),OR(MONTH(WORKDAY(E217,-(Setup!$C$13+Setup!$G$23),Setup!$C$39:$C$50))&gt;=Setup!$C$15,MONTH(WORKDAY(E217,-(Setup!$C$13+Setup!$G$23),Setup!$C$39:$C$50))&lt;=Setup!$C$16))),WORKDAY(E217,-(Setup!$C$13+Setup!$G$23+Setup!$C$14),Setup!$C$39:$C$50),WORKDAY(E217,-(Setup!$C$13+Setup!$G$23),Setup!$C$39:$C$50))+(212*100+4)/10000000)))</f>
        <v/>
      </c>
      <c r="V217" t="str">
        <f>IF(F217="","",IF(F217&lt;Setup!$C$5-Setup!$C$6,"",IF(IF(ISNUMBER(Roster!$D217),Setup!$C$24&lt;=Roster!$D217,FALSE),"",IF(OR(IF(Setup!$C$15&lt;=Setup!$C$16,AND(MONTH(F217)&gt;=Setup!$C$15,MONTH(F217)&lt;=Setup!$C$16),OR(MONTH(F217)&gt;=Setup!$C$15,MONTH(F217)&lt;=Setup!$C$16)),IF(Setup!$C$15&lt;=Setup!$C$16,AND(MONTH(WORKDAY(F217,-(Setup!$C$13+Setup!$G$24),Setup!$C$39:$C$50))&gt;=Setup!$C$15,MONTH(WORKDAY(F217,-(Setup!$C$13+Setup!$G$24),Setup!$C$39:$C$50))&lt;=Setup!$C$16),OR(MONTH(WORKDAY(F217,-(Setup!$C$13+Setup!$G$24),Setup!$C$39:$C$50))&gt;=Setup!$C$15,MONTH(WORKDAY(F217,-(Setup!$C$13+Setup!$G$24),Setup!$C$39:$C$50))&lt;=Setup!$C$16))),WORKDAY(F217,-(Setup!$C$13+Setup!$G$24+Setup!$C$14),Setup!$C$39:$C$50),WORKDAY(F217,-(Setup!$C$13+Setup!$G$24),Setup!$C$39:$C$50))+(212*100+5)/10000000)))</f>
        <v/>
      </c>
      <c r="W217" t="str">
        <f>IF(G217="","",IF(G217&lt;Setup!$C$5-Setup!$C$6,"",IF(IF(ISNUMBER(Roster!$D217),Setup!$C$25&lt;=Roster!$D217,FALSE),"",IF(OR(IF(Setup!$C$15&lt;=Setup!$C$16,AND(MONTH(G217)&gt;=Setup!$C$15,MONTH(G217)&lt;=Setup!$C$16),OR(MONTH(G217)&gt;=Setup!$C$15,MONTH(G217)&lt;=Setup!$C$16)),IF(Setup!$C$15&lt;=Setup!$C$16,AND(MONTH(WORKDAY(G217,-(Setup!$C$13+Setup!$G$25),Setup!$C$39:$C$50))&gt;=Setup!$C$15,MONTH(WORKDAY(G217,-(Setup!$C$13+Setup!$G$25),Setup!$C$39:$C$50))&lt;=Setup!$C$16),OR(MONTH(WORKDAY(G217,-(Setup!$C$13+Setup!$G$25),Setup!$C$39:$C$50))&gt;=Setup!$C$15,MONTH(WORKDAY(G217,-(Setup!$C$13+Setup!$G$25),Setup!$C$39:$C$50))&lt;=Setup!$C$16))),WORKDAY(G217,-(Setup!$C$13+Setup!$G$25+Setup!$C$14),Setup!$C$39:$C$50),WORKDAY(G217,-(Setup!$C$13+Setup!$G$25),Setup!$C$39:$C$50))+(212*100+6)/10000000)))</f>
        <v/>
      </c>
      <c r="X217" t="str">
        <f>IF(H217="","",IF(H217&lt;Setup!$C$5-Setup!$C$6,"",IF(IF(ISNUMBER(Roster!$D217),Setup!$C$26&lt;=Roster!$D217,FALSE),"",IF(OR(IF(Setup!$C$15&lt;=Setup!$C$16,AND(MONTH(H217)&gt;=Setup!$C$15,MONTH(H217)&lt;=Setup!$C$16),OR(MONTH(H217)&gt;=Setup!$C$15,MONTH(H217)&lt;=Setup!$C$16)),IF(Setup!$C$15&lt;=Setup!$C$16,AND(MONTH(WORKDAY(H217,-(Setup!$C$13+Setup!$G$26),Setup!$C$39:$C$50))&gt;=Setup!$C$15,MONTH(WORKDAY(H217,-(Setup!$C$13+Setup!$G$26),Setup!$C$39:$C$50))&lt;=Setup!$C$16),OR(MONTH(WORKDAY(H217,-(Setup!$C$13+Setup!$G$26),Setup!$C$39:$C$50))&gt;=Setup!$C$15,MONTH(WORKDAY(H217,-(Setup!$C$13+Setup!$G$26),Setup!$C$39:$C$50))&lt;=Setup!$C$16))),WORKDAY(H217,-(Setup!$C$13+Setup!$G$26+Setup!$C$14),Setup!$C$39:$C$50),WORKDAY(H217,-(Setup!$C$13+Setup!$G$26),Setup!$C$39:$C$50))+(212*100+7)/10000000)))</f>
        <v/>
      </c>
      <c r="Y217" t="str">
        <f>IF(I217="","",IF(I217&lt;Setup!$C$5-Setup!$C$6,"",IF(IF(ISNUMBER(Roster!$D217),Setup!$C$27&lt;=Roster!$D217,FALSE),"",IF(OR(IF(Setup!$C$15&lt;=Setup!$C$16,AND(MONTH(I217)&gt;=Setup!$C$15,MONTH(I217)&lt;=Setup!$C$16),OR(MONTH(I217)&gt;=Setup!$C$15,MONTH(I217)&lt;=Setup!$C$16)),IF(Setup!$C$15&lt;=Setup!$C$16,AND(MONTH(WORKDAY(I217,-(Setup!$C$13+Setup!$G$27),Setup!$C$39:$C$50))&gt;=Setup!$C$15,MONTH(WORKDAY(I217,-(Setup!$C$13+Setup!$G$27),Setup!$C$39:$C$50))&lt;=Setup!$C$16),OR(MONTH(WORKDAY(I217,-(Setup!$C$13+Setup!$G$27),Setup!$C$39:$C$50))&gt;=Setup!$C$15,MONTH(WORKDAY(I217,-(Setup!$C$13+Setup!$G$27),Setup!$C$39:$C$50))&lt;=Setup!$C$16))),WORKDAY(I217,-(Setup!$C$13+Setup!$G$27+Setup!$C$14),Setup!$C$39:$C$50),WORKDAY(I217,-(Setup!$C$13+Setup!$G$27),Setup!$C$39:$C$50))+(212*100+8)/10000000)))</f>
        <v/>
      </c>
      <c r="Z217" t="str">
        <f>IF(J217="","",IF(J217&lt;Setup!$C$5-Setup!$C$6,"",IF(IF(ISNUMBER(Roster!$D217),Setup!$C$28&lt;=Roster!$D217,FALSE),"",IF(OR(IF(Setup!$C$15&lt;=Setup!$C$16,AND(MONTH(J217)&gt;=Setup!$C$15,MONTH(J217)&lt;=Setup!$C$16),OR(MONTH(J217)&gt;=Setup!$C$15,MONTH(J217)&lt;=Setup!$C$16)),IF(Setup!$C$15&lt;=Setup!$C$16,AND(MONTH(WORKDAY(J217,-(Setup!$C$13+Setup!$G$28),Setup!$C$39:$C$50))&gt;=Setup!$C$15,MONTH(WORKDAY(J217,-(Setup!$C$13+Setup!$G$28),Setup!$C$39:$C$50))&lt;=Setup!$C$16),OR(MONTH(WORKDAY(J217,-(Setup!$C$13+Setup!$G$28),Setup!$C$39:$C$50))&gt;=Setup!$C$15,MONTH(WORKDAY(J217,-(Setup!$C$13+Setup!$G$28),Setup!$C$39:$C$50))&lt;=Setup!$C$16))),WORKDAY(J217,-(Setup!$C$13+Setup!$G$28+Setup!$C$14),Setup!$C$39:$C$50),WORKDAY(J217,-(Setup!$C$13+Setup!$G$28),Setup!$C$39:$C$50))+(212*100+9)/10000000)))</f>
        <v/>
      </c>
      <c r="AA217" t="str">
        <f>IF(K217="","",IF(K217&lt;Setup!$C$5-Setup!$C$6,"",IF(IF(ISNUMBER(Roster!$D217),Setup!$C$29&lt;=Roster!$D217,FALSE),"",IF(OR(IF(Setup!$C$15&lt;=Setup!$C$16,AND(MONTH(K217)&gt;=Setup!$C$15,MONTH(K217)&lt;=Setup!$C$16),OR(MONTH(K217)&gt;=Setup!$C$15,MONTH(K217)&lt;=Setup!$C$16)),IF(Setup!$C$15&lt;=Setup!$C$16,AND(MONTH(WORKDAY(K217,-(Setup!$C$13+Setup!$G$29),Setup!$C$39:$C$50))&gt;=Setup!$C$15,MONTH(WORKDAY(K217,-(Setup!$C$13+Setup!$G$29),Setup!$C$39:$C$50))&lt;=Setup!$C$16),OR(MONTH(WORKDAY(K217,-(Setup!$C$13+Setup!$G$29),Setup!$C$39:$C$50))&gt;=Setup!$C$15,MONTH(WORKDAY(K217,-(Setup!$C$13+Setup!$G$29),Setup!$C$39:$C$50))&lt;=Setup!$C$16))),WORKDAY(K217,-(Setup!$C$13+Setup!$G$29+Setup!$C$14),Setup!$C$39:$C$50),WORKDAY(K217,-(Setup!$C$13+Setup!$G$29),Setup!$C$39:$C$50))+(212*100+10)/10000000)))</f>
        <v/>
      </c>
      <c r="AB217" t="str">
        <f>IF(L217="","",IF(L217&lt;Setup!$C$5-Setup!$C$6,"",IF(IF(ISNUMBER(Roster!$D217),Setup!$C$30&lt;=Roster!$D217,FALSE),"",IF(OR(IF(Setup!$C$15&lt;=Setup!$C$16,AND(MONTH(L217)&gt;=Setup!$C$15,MONTH(L217)&lt;=Setup!$C$16),OR(MONTH(L217)&gt;=Setup!$C$15,MONTH(L217)&lt;=Setup!$C$16)),IF(Setup!$C$15&lt;=Setup!$C$16,AND(MONTH(WORKDAY(L217,-(Setup!$C$13+Setup!$G$30),Setup!$C$39:$C$50))&gt;=Setup!$C$15,MONTH(WORKDAY(L217,-(Setup!$C$13+Setup!$G$30),Setup!$C$39:$C$50))&lt;=Setup!$C$16),OR(MONTH(WORKDAY(L217,-(Setup!$C$13+Setup!$G$30),Setup!$C$39:$C$50))&gt;=Setup!$C$15,MONTH(WORKDAY(L217,-(Setup!$C$13+Setup!$G$30),Setup!$C$39:$C$50))&lt;=Setup!$C$16))),WORKDAY(L217,-(Setup!$C$13+Setup!$G$30+Setup!$C$14),Setup!$C$39:$C$50),WORKDAY(L217,-(Setup!$C$13+Setup!$G$30),Setup!$C$39:$C$50))+(212*100+11)/10000000)))</f>
        <v/>
      </c>
      <c r="AC217" t="str">
        <f>IF(M217="","",IF(M217&lt;Setup!$C$5-Setup!$C$6,"",IF(IF(ISNUMBER(Roster!$D217),Setup!$C$31&lt;=Roster!$D217,FALSE),"",IF(OR(IF(Setup!$C$15&lt;=Setup!$C$16,AND(MONTH(M217)&gt;=Setup!$C$15,MONTH(M217)&lt;=Setup!$C$16),OR(MONTH(M217)&gt;=Setup!$C$15,MONTH(M217)&lt;=Setup!$C$16)),IF(Setup!$C$15&lt;=Setup!$C$16,AND(MONTH(WORKDAY(M217,-(Setup!$C$13+Setup!$G$31),Setup!$C$39:$C$50))&gt;=Setup!$C$15,MONTH(WORKDAY(M217,-(Setup!$C$13+Setup!$G$31),Setup!$C$39:$C$50))&lt;=Setup!$C$16),OR(MONTH(WORKDAY(M217,-(Setup!$C$13+Setup!$G$31),Setup!$C$39:$C$50))&gt;=Setup!$C$15,MONTH(WORKDAY(M217,-(Setup!$C$13+Setup!$G$31),Setup!$C$39:$C$50))&lt;=Setup!$C$16))),WORKDAY(M217,-(Setup!$C$13+Setup!$G$31+Setup!$C$14),Setup!$C$39:$C$50),WORKDAY(M217,-(Setup!$C$13+Setup!$G$31),Setup!$C$39:$C$50))+(212*100+12)/10000000)))</f>
        <v/>
      </c>
      <c r="AD217" t="str">
        <f>IF(N217="","",IF(N217&lt;Setup!$C$5-Setup!$C$6,"",IF(IF(ISNUMBER(Roster!$D217),Setup!$C$32&lt;=Roster!$D217,FALSE),"",IF(OR(IF(Setup!$C$15&lt;=Setup!$C$16,AND(MONTH(N217)&gt;=Setup!$C$15,MONTH(N217)&lt;=Setup!$C$16),OR(MONTH(N217)&gt;=Setup!$C$15,MONTH(N217)&lt;=Setup!$C$16)),IF(Setup!$C$15&lt;=Setup!$C$16,AND(MONTH(WORKDAY(N217,-(Setup!$C$13+Setup!$G$32),Setup!$C$39:$C$50))&gt;=Setup!$C$15,MONTH(WORKDAY(N217,-(Setup!$C$13+Setup!$G$32),Setup!$C$39:$C$50))&lt;=Setup!$C$16),OR(MONTH(WORKDAY(N217,-(Setup!$C$13+Setup!$G$32),Setup!$C$39:$C$50))&gt;=Setup!$C$15,MONTH(WORKDAY(N217,-(Setup!$C$13+Setup!$G$32),Setup!$C$39:$C$50))&lt;=Setup!$C$16))),WORKDAY(N217,-(Setup!$C$13+Setup!$G$32+Setup!$C$14),Setup!$C$39:$C$50),WORKDAY(N217,-(Setup!$C$13+Setup!$G$32),Setup!$C$39:$C$50))+(212*100+13)/10000000)))</f>
        <v/>
      </c>
      <c r="AE217" t="str">
        <f>IF(O217="","",IF(O217&lt;Setup!$C$5-Setup!$C$6,"",IF(IF(ISNUMBER(Roster!$D217),Setup!$C$33&lt;=Roster!$D217,FALSE),"",IF(OR(IF(Setup!$C$15&lt;=Setup!$C$16,AND(MONTH(O217)&gt;=Setup!$C$15,MONTH(O217)&lt;=Setup!$C$16),OR(MONTH(O217)&gt;=Setup!$C$15,MONTH(O217)&lt;=Setup!$C$16)),IF(Setup!$C$15&lt;=Setup!$C$16,AND(MONTH(WORKDAY(O217,-(Setup!$C$13+Setup!$G$33),Setup!$C$39:$C$50))&gt;=Setup!$C$15,MONTH(WORKDAY(O217,-(Setup!$C$13+Setup!$G$33),Setup!$C$39:$C$50))&lt;=Setup!$C$16),OR(MONTH(WORKDAY(O217,-(Setup!$C$13+Setup!$G$33),Setup!$C$39:$C$50))&gt;=Setup!$C$15,MONTH(WORKDAY(O217,-(Setup!$C$13+Setup!$G$33),Setup!$C$39:$C$50))&lt;=Setup!$C$16))),WORKDAY(O217,-(Setup!$C$13+Setup!$G$33+Setup!$C$14),Setup!$C$39:$C$50),WORKDAY(O217,-(Setup!$C$13+Setup!$G$33),Setup!$C$39:$C$50))+(212*100+14)/10000000)))</f>
        <v/>
      </c>
      <c r="AF217" t="str">
        <f>IF(P217="","",IF(P217&lt;Setup!$C$5-Setup!$C$6,"",IF(IF(ISNUMBER(Roster!$D217),Setup!$C$34&lt;=Roster!$D217,FALSE),"",IF(OR(IF(Setup!$C$15&lt;=Setup!$C$16,AND(MONTH(P217)&gt;=Setup!$C$15,MONTH(P217)&lt;=Setup!$C$16),OR(MONTH(P217)&gt;=Setup!$C$15,MONTH(P217)&lt;=Setup!$C$16)),IF(Setup!$C$15&lt;=Setup!$C$16,AND(MONTH(WORKDAY(P217,-(Setup!$C$13+Setup!$G$34),Setup!$C$39:$C$50))&gt;=Setup!$C$15,MONTH(WORKDAY(P217,-(Setup!$C$13+Setup!$G$34),Setup!$C$39:$C$50))&lt;=Setup!$C$16),OR(MONTH(WORKDAY(P217,-(Setup!$C$13+Setup!$G$34),Setup!$C$39:$C$50))&gt;=Setup!$C$15,MONTH(WORKDAY(P217,-(Setup!$C$13+Setup!$G$34),Setup!$C$39:$C$50))&lt;=Setup!$C$16))),WORKDAY(P217,-(Setup!$C$13+Setup!$G$34+Setup!$C$14),Setup!$C$39:$C$50),WORKDAY(P217,-(Setup!$C$13+Setup!$G$34),Setup!$C$39:$C$50))+(212*100+15)/10000000)))</f>
        <v/>
      </c>
      <c r="AH217" t="str">
        <f t="shared" si="25"/>
        <v/>
      </c>
      <c r="AI217" t="str">
        <f t="shared" si="26"/>
        <v/>
      </c>
      <c r="AK217" t="str">
        <f ca="1">IF(212&gt;$AK$2,"",SMALL($R$6:$AF$505,212))</f>
        <v/>
      </c>
      <c r="AL217" t="str">
        <f t="shared" ca="1" si="27"/>
        <v/>
      </c>
      <c r="AM217" t="str">
        <f t="shared" ca="1" si="28"/>
        <v/>
      </c>
      <c r="AN217" t="str">
        <f t="shared" ca="1" si="29"/>
        <v/>
      </c>
      <c r="AP217" t="str">
        <f>IF(ISNUMBER(Roster!$B217),MAX(1,YEAR(Setup!$C$5)-YEAR(Roster!$B217)+IF(EDATE(Roster!$B217,12*(YEAR(Setup!$C$5)-YEAR(Roster!$B217)))&lt;Setup!$C$5,1,0)),"")</f>
        <v/>
      </c>
      <c r="AQ217" s="32" t="str">
        <f>IF(AP217="","",EDATE(Roster!$B217,12*AP217))</f>
        <v/>
      </c>
      <c r="AR217" t="str">
        <f>IF(AQ217="","",IF(AQ217&lt;DATE(YEAR(Setup!$C$5)+1,MONTH(Setup!$C$5),DAY(Setup!$C$5)),AQ217+212/1000,""))</f>
        <v/>
      </c>
      <c r="AS217" t="str">
        <f t="shared" si="30"/>
        <v/>
      </c>
      <c r="AT217" t="str">
        <f>IF(AS217="","",IF(ISNUMBER(Roster!$D217),Roster!$D217&gt;=AP217,FALSE))</f>
        <v/>
      </c>
      <c r="AU217" t="str">
        <f t="shared" si="31"/>
        <v/>
      </c>
      <c r="AV217" t="str">
        <f ca="1">IF(212&gt;$AV$2,"",SMALL($AR$6:$AR$505,212))</f>
        <v/>
      </c>
      <c r="AW217" t="str">
        <f t="shared" ca="1" si="32"/>
        <v/>
      </c>
    </row>
    <row r="218" spans="2:49" x14ac:dyDescent="0.2">
      <c r="B218" s="32" t="str">
        <f>IF(AND(ISNUMBER(Roster!$B218),Setup!$B$20="Yes",ISNUMBER(Setup!$C$20)),EDATE(Roster!$B218,12*Setup!$C$20),"")</f>
        <v/>
      </c>
      <c r="C218" s="32" t="str">
        <f>IF(AND(ISNUMBER(Roster!$B218),Setup!$B$21="Yes",ISNUMBER(Setup!$C$21)),EDATE(Roster!$B218,12*Setup!$C$21),"")</f>
        <v/>
      </c>
      <c r="D218" s="32" t="str">
        <f>IF(AND(ISNUMBER(Roster!$B218),Setup!$B$22="Yes",ISNUMBER(Setup!$C$22)),EDATE(Roster!$B218,12*Setup!$C$22),"")</f>
        <v/>
      </c>
      <c r="E218" s="32" t="str">
        <f>IF(AND(ISNUMBER(Roster!$B218),Setup!$B$23="Yes",ISNUMBER(Setup!$C$23)),EDATE(Roster!$B218,12*Setup!$C$23),"")</f>
        <v/>
      </c>
      <c r="F218" s="32" t="str">
        <f>IF(AND(ISNUMBER(Roster!$B218),Setup!$B$24="Yes",ISNUMBER(Setup!$C$24)),EDATE(Roster!$B218,12*Setup!$C$24),"")</f>
        <v/>
      </c>
      <c r="G218" s="32" t="str">
        <f>IF(AND(ISNUMBER(Roster!$B218),Setup!$B$25="Yes",ISNUMBER(Setup!$C$25)),EDATE(Roster!$B218,12*Setup!$C$25),"")</f>
        <v/>
      </c>
      <c r="H218" s="32" t="str">
        <f>IF(AND(ISNUMBER(Roster!$B218),Setup!$B$26="Yes",ISNUMBER(Setup!$C$26)),EDATE(Roster!$B218,12*Setup!$C$26),"")</f>
        <v/>
      </c>
      <c r="I218" s="32" t="str">
        <f>IF(AND(ISNUMBER(Roster!$B218),Setup!$B$27="Yes",ISNUMBER(Setup!$C$27)),EDATE(Roster!$B218,12*Setup!$C$27),"")</f>
        <v/>
      </c>
      <c r="J218" s="32" t="str">
        <f>IF(AND(ISNUMBER(Roster!$B218),Setup!$B$28="Yes",ISNUMBER(Setup!$C$28)),EDATE(Roster!$B218,12*Setup!$C$28),"")</f>
        <v/>
      </c>
      <c r="K218" s="32" t="str">
        <f>IF(AND(ISNUMBER(Roster!$B218),Setup!$B$29="Yes",ISNUMBER(Setup!$C$29)),EDATE(Roster!$B218,12*Setup!$C$29),"")</f>
        <v/>
      </c>
      <c r="L218" s="32" t="str">
        <f>IF(AND(ISNUMBER(Roster!$B218),Setup!$B$30="Yes",ISNUMBER(Setup!$C$30)),EDATE(Roster!$B218,12*Setup!$C$30),"")</f>
        <v/>
      </c>
      <c r="M218" s="32" t="str">
        <f>IF(AND(ISNUMBER(Roster!$B218),Setup!$B$31="Yes",ISNUMBER(Setup!$C$31)),EDATE(Roster!$B218,12*Setup!$C$31),"")</f>
        <v/>
      </c>
      <c r="N218" s="32" t="str">
        <f>IF(AND(ISNUMBER(Roster!$B218),Setup!$B$32="Yes",ISNUMBER(Setup!$C$32)),EDATE(Roster!$B218,12*Setup!$C$32),"")</f>
        <v/>
      </c>
      <c r="O218" s="32" t="str">
        <f>IF(AND(ISNUMBER(Roster!$B218),Setup!$B$33="Yes",ISNUMBER(Setup!$C$33)),EDATE(Roster!$B218,12*Setup!$C$33),"")</f>
        <v/>
      </c>
      <c r="P218" s="32" t="str">
        <f>IF(AND(ISNUMBER(Roster!$B218),Setup!$B$34="Yes",ISNUMBER(Setup!$C$34)),EDATE(Roster!$B218,12*Setup!$C$34),"")</f>
        <v/>
      </c>
      <c r="R218" t="str">
        <f>IF(B218="","",IF(B218&lt;Setup!$C$5-Setup!$C$6,"",IF(IF(ISNUMBER(Roster!$D218),Setup!$C$20&lt;=Roster!$D218,FALSE),"",IF(OR(IF(Setup!$C$15&lt;=Setup!$C$16,AND(MONTH(B218)&gt;=Setup!$C$15,MONTH(B218)&lt;=Setup!$C$16),OR(MONTH(B218)&gt;=Setup!$C$15,MONTH(B218)&lt;=Setup!$C$16)),IF(Setup!$C$15&lt;=Setup!$C$16,AND(MONTH(WORKDAY(B218,-(Setup!$C$13+Setup!$G$20),Setup!$C$39:$C$50))&gt;=Setup!$C$15,MONTH(WORKDAY(B218,-(Setup!$C$13+Setup!$G$20),Setup!$C$39:$C$50))&lt;=Setup!$C$16),OR(MONTH(WORKDAY(B218,-(Setup!$C$13+Setup!$G$20),Setup!$C$39:$C$50))&gt;=Setup!$C$15,MONTH(WORKDAY(B218,-(Setup!$C$13+Setup!$G$20),Setup!$C$39:$C$50))&lt;=Setup!$C$16))),WORKDAY(B218,-(Setup!$C$13+Setup!$G$20+Setup!$C$14),Setup!$C$39:$C$50),WORKDAY(B218,-(Setup!$C$13+Setup!$G$20),Setup!$C$39:$C$50))+(213*100+1)/10000000)))</f>
        <v/>
      </c>
      <c r="S218" t="str">
        <f>IF(C218="","",IF(C218&lt;Setup!$C$5-Setup!$C$6,"",IF(IF(ISNUMBER(Roster!$D218),Setup!$C$21&lt;=Roster!$D218,FALSE),"",IF(OR(IF(Setup!$C$15&lt;=Setup!$C$16,AND(MONTH(C218)&gt;=Setup!$C$15,MONTH(C218)&lt;=Setup!$C$16),OR(MONTH(C218)&gt;=Setup!$C$15,MONTH(C218)&lt;=Setup!$C$16)),IF(Setup!$C$15&lt;=Setup!$C$16,AND(MONTH(WORKDAY(C218,-(Setup!$C$13+Setup!$G$21),Setup!$C$39:$C$50))&gt;=Setup!$C$15,MONTH(WORKDAY(C218,-(Setup!$C$13+Setup!$G$21),Setup!$C$39:$C$50))&lt;=Setup!$C$16),OR(MONTH(WORKDAY(C218,-(Setup!$C$13+Setup!$G$21),Setup!$C$39:$C$50))&gt;=Setup!$C$15,MONTH(WORKDAY(C218,-(Setup!$C$13+Setup!$G$21),Setup!$C$39:$C$50))&lt;=Setup!$C$16))),WORKDAY(C218,-(Setup!$C$13+Setup!$G$21+Setup!$C$14),Setup!$C$39:$C$50),WORKDAY(C218,-(Setup!$C$13+Setup!$G$21),Setup!$C$39:$C$50))+(213*100+2)/10000000)))</f>
        <v/>
      </c>
      <c r="T218" t="str">
        <f>IF(D218="","",IF(D218&lt;Setup!$C$5-Setup!$C$6,"",IF(IF(ISNUMBER(Roster!$D218),Setup!$C$22&lt;=Roster!$D218,FALSE),"",IF(OR(IF(Setup!$C$15&lt;=Setup!$C$16,AND(MONTH(D218)&gt;=Setup!$C$15,MONTH(D218)&lt;=Setup!$C$16),OR(MONTH(D218)&gt;=Setup!$C$15,MONTH(D218)&lt;=Setup!$C$16)),IF(Setup!$C$15&lt;=Setup!$C$16,AND(MONTH(WORKDAY(D218,-(Setup!$C$13+Setup!$G$22),Setup!$C$39:$C$50))&gt;=Setup!$C$15,MONTH(WORKDAY(D218,-(Setup!$C$13+Setup!$G$22),Setup!$C$39:$C$50))&lt;=Setup!$C$16),OR(MONTH(WORKDAY(D218,-(Setup!$C$13+Setup!$G$22),Setup!$C$39:$C$50))&gt;=Setup!$C$15,MONTH(WORKDAY(D218,-(Setup!$C$13+Setup!$G$22),Setup!$C$39:$C$50))&lt;=Setup!$C$16))),WORKDAY(D218,-(Setup!$C$13+Setup!$G$22+Setup!$C$14),Setup!$C$39:$C$50),WORKDAY(D218,-(Setup!$C$13+Setup!$G$22),Setup!$C$39:$C$50))+(213*100+3)/10000000)))</f>
        <v/>
      </c>
      <c r="U218" t="str">
        <f>IF(E218="","",IF(E218&lt;Setup!$C$5-Setup!$C$6,"",IF(IF(ISNUMBER(Roster!$D218),Setup!$C$23&lt;=Roster!$D218,FALSE),"",IF(OR(IF(Setup!$C$15&lt;=Setup!$C$16,AND(MONTH(E218)&gt;=Setup!$C$15,MONTH(E218)&lt;=Setup!$C$16),OR(MONTH(E218)&gt;=Setup!$C$15,MONTH(E218)&lt;=Setup!$C$16)),IF(Setup!$C$15&lt;=Setup!$C$16,AND(MONTH(WORKDAY(E218,-(Setup!$C$13+Setup!$G$23),Setup!$C$39:$C$50))&gt;=Setup!$C$15,MONTH(WORKDAY(E218,-(Setup!$C$13+Setup!$G$23),Setup!$C$39:$C$50))&lt;=Setup!$C$16),OR(MONTH(WORKDAY(E218,-(Setup!$C$13+Setup!$G$23),Setup!$C$39:$C$50))&gt;=Setup!$C$15,MONTH(WORKDAY(E218,-(Setup!$C$13+Setup!$G$23),Setup!$C$39:$C$50))&lt;=Setup!$C$16))),WORKDAY(E218,-(Setup!$C$13+Setup!$G$23+Setup!$C$14),Setup!$C$39:$C$50),WORKDAY(E218,-(Setup!$C$13+Setup!$G$23),Setup!$C$39:$C$50))+(213*100+4)/10000000)))</f>
        <v/>
      </c>
      <c r="V218" t="str">
        <f>IF(F218="","",IF(F218&lt;Setup!$C$5-Setup!$C$6,"",IF(IF(ISNUMBER(Roster!$D218),Setup!$C$24&lt;=Roster!$D218,FALSE),"",IF(OR(IF(Setup!$C$15&lt;=Setup!$C$16,AND(MONTH(F218)&gt;=Setup!$C$15,MONTH(F218)&lt;=Setup!$C$16),OR(MONTH(F218)&gt;=Setup!$C$15,MONTH(F218)&lt;=Setup!$C$16)),IF(Setup!$C$15&lt;=Setup!$C$16,AND(MONTH(WORKDAY(F218,-(Setup!$C$13+Setup!$G$24),Setup!$C$39:$C$50))&gt;=Setup!$C$15,MONTH(WORKDAY(F218,-(Setup!$C$13+Setup!$G$24),Setup!$C$39:$C$50))&lt;=Setup!$C$16),OR(MONTH(WORKDAY(F218,-(Setup!$C$13+Setup!$G$24),Setup!$C$39:$C$50))&gt;=Setup!$C$15,MONTH(WORKDAY(F218,-(Setup!$C$13+Setup!$G$24),Setup!$C$39:$C$50))&lt;=Setup!$C$16))),WORKDAY(F218,-(Setup!$C$13+Setup!$G$24+Setup!$C$14),Setup!$C$39:$C$50),WORKDAY(F218,-(Setup!$C$13+Setup!$G$24),Setup!$C$39:$C$50))+(213*100+5)/10000000)))</f>
        <v/>
      </c>
      <c r="W218" t="str">
        <f>IF(G218="","",IF(G218&lt;Setup!$C$5-Setup!$C$6,"",IF(IF(ISNUMBER(Roster!$D218),Setup!$C$25&lt;=Roster!$D218,FALSE),"",IF(OR(IF(Setup!$C$15&lt;=Setup!$C$16,AND(MONTH(G218)&gt;=Setup!$C$15,MONTH(G218)&lt;=Setup!$C$16),OR(MONTH(G218)&gt;=Setup!$C$15,MONTH(G218)&lt;=Setup!$C$16)),IF(Setup!$C$15&lt;=Setup!$C$16,AND(MONTH(WORKDAY(G218,-(Setup!$C$13+Setup!$G$25),Setup!$C$39:$C$50))&gt;=Setup!$C$15,MONTH(WORKDAY(G218,-(Setup!$C$13+Setup!$G$25),Setup!$C$39:$C$50))&lt;=Setup!$C$16),OR(MONTH(WORKDAY(G218,-(Setup!$C$13+Setup!$G$25),Setup!$C$39:$C$50))&gt;=Setup!$C$15,MONTH(WORKDAY(G218,-(Setup!$C$13+Setup!$G$25),Setup!$C$39:$C$50))&lt;=Setup!$C$16))),WORKDAY(G218,-(Setup!$C$13+Setup!$G$25+Setup!$C$14),Setup!$C$39:$C$50),WORKDAY(G218,-(Setup!$C$13+Setup!$G$25),Setup!$C$39:$C$50))+(213*100+6)/10000000)))</f>
        <v/>
      </c>
      <c r="X218" t="str">
        <f>IF(H218="","",IF(H218&lt;Setup!$C$5-Setup!$C$6,"",IF(IF(ISNUMBER(Roster!$D218),Setup!$C$26&lt;=Roster!$D218,FALSE),"",IF(OR(IF(Setup!$C$15&lt;=Setup!$C$16,AND(MONTH(H218)&gt;=Setup!$C$15,MONTH(H218)&lt;=Setup!$C$16),OR(MONTH(H218)&gt;=Setup!$C$15,MONTH(H218)&lt;=Setup!$C$16)),IF(Setup!$C$15&lt;=Setup!$C$16,AND(MONTH(WORKDAY(H218,-(Setup!$C$13+Setup!$G$26),Setup!$C$39:$C$50))&gt;=Setup!$C$15,MONTH(WORKDAY(H218,-(Setup!$C$13+Setup!$G$26),Setup!$C$39:$C$50))&lt;=Setup!$C$16),OR(MONTH(WORKDAY(H218,-(Setup!$C$13+Setup!$G$26),Setup!$C$39:$C$50))&gt;=Setup!$C$15,MONTH(WORKDAY(H218,-(Setup!$C$13+Setup!$G$26),Setup!$C$39:$C$50))&lt;=Setup!$C$16))),WORKDAY(H218,-(Setup!$C$13+Setup!$G$26+Setup!$C$14),Setup!$C$39:$C$50),WORKDAY(H218,-(Setup!$C$13+Setup!$G$26),Setup!$C$39:$C$50))+(213*100+7)/10000000)))</f>
        <v/>
      </c>
      <c r="Y218" t="str">
        <f>IF(I218="","",IF(I218&lt;Setup!$C$5-Setup!$C$6,"",IF(IF(ISNUMBER(Roster!$D218),Setup!$C$27&lt;=Roster!$D218,FALSE),"",IF(OR(IF(Setup!$C$15&lt;=Setup!$C$16,AND(MONTH(I218)&gt;=Setup!$C$15,MONTH(I218)&lt;=Setup!$C$16),OR(MONTH(I218)&gt;=Setup!$C$15,MONTH(I218)&lt;=Setup!$C$16)),IF(Setup!$C$15&lt;=Setup!$C$16,AND(MONTH(WORKDAY(I218,-(Setup!$C$13+Setup!$G$27),Setup!$C$39:$C$50))&gt;=Setup!$C$15,MONTH(WORKDAY(I218,-(Setup!$C$13+Setup!$G$27),Setup!$C$39:$C$50))&lt;=Setup!$C$16),OR(MONTH(WORKDAY(I218,-(Setup!$C$13+Setup!$G$27),Setup!$C$39:$C$50))&gt;=Setup!$C$15,MONTH(WORKDAY(I218,-(Setup!$C$13+Setup!$G$27),Setup!$C$39:$C$50))&lt;=Setup!$C$16))),WORKDAY(I218,-(Setup!$C$13+Setup!$G$27+Setup!$C$14),Setup!$C$39:$C$50),WORKDAY(I218,-(Setup!$C$13+Setup!$G$27),Setup!$C$39:$C$50))+(213*100+8)/10000000)))</f>
        <v/>
      </c>
      <c r="Z218" t="str">
        <f>IF(J218="","",IF(J218&lt;Setup!$C$5-Setup!$C$6,"",IF(IF(ISNUMBER(Roster!$D218),Setup!$C$28&lt;=Roster!$D218,FALSE),"",IF(OR(IF(Setup!$C$15&lt;=Setup!$C$16,AND(MONTH(J218)&gt;=Setup!$C$15,MONTH(J218)&lt;=Setup!$C$16),OR(MONTH(J218)&gt;=Setup!$C$15,MONTH(J218)&lt;=Setup!$C$16)),IF(Setup!$C$15&lt;=Setup!$C$16,AND(MONTH(WORKDAY(J218,-(Setup!$C$13+Setup!$G$28),Setup!$C$39:$C$50))&gt;=Setup!$C$15,MONTH(WORKDAY(J218,-(Setup!$C$13+Setup!$G$28),Setup!$C$39:$C$50))&lt;=Setup!$C$16),OR(MONTH(WORKDAY(J218,-(Setup!$C$13+Setup!$G$28),Setup!$C$39:$C$50))&gt;=Setup!$C$15,MONTH(WORKDAY(J218,-(Setup!$C$13+Setup!$G$28),Setup!$C$39:$C$50))&lt;=Setup!$C$16))),WORKDAY(J218,-(Setup!$C$13+Setup!$G$28+Setup!$C$14),Setup!$C$39:$C$50),WORKDAY(J218,-(Setup!$C$13+Setup!$G$28),Setup!$C$39:$C$50))+(213*100+9)/10000000)))</f>
        <v/>
      </c>
      <c r="AA218" t="str">
        <f>IF(K218="","",IF(K218&lt;Setup!$C$5-Setup!$C$6,"",IF(IF(ISNUMBER(Roster!$D218),Setup!$C$29&lt;=Roster!$D218,FALSE),"",IF(OR(IF(Setup!$C$15&lt;=Setup!$C$16,AND(MONTH(K218)&gt;=Setup!$C$15,MONTH(K218)&lt;=Setup!$C$16),OR(MONTH(K218)&gt;=Setup!$C$15,MONTH(K218)&lt;=Setup!$C$16)),IF(Setup!$C$15&lt;=Setup!$C$16,AND(MONTH(WORKDAY(K218,-(Setup!$C$13+Setup!$G$29),Setup!$C$39:$C$50))&gt;=Setup!$C$15,MONTH(WORKDAY(K218,-(Setup!$C$13+Setup!$G$29),Setup!$C$39:$C$50))&lt;=Setup!$C$16),OR(MONTH(WORKDAY(K218,-(Setup!$C$13+Setup!$G$29),Setup!$C$39:$C$50))&gt;=Setup!$C$15,MONTH(WORKDAY(K218,-(Setup!$C$13+Setup!$G$29),Setup!$C$39:$C$50))&lt;=Setup!$C$16))),WORKDAY(K218,-(Setup!$C$13+Setup!$G$29+Setup!$C$14),Setup!$C$39:$C$50),WORKDAY(K218,-(Setup!$C$13+Setup!$G$29),Setup!$C$39:$C$50))+(213*100+10)/10000000)))</f>
        <v/>
      </c>
      <c r="AB218" t="str">
        <f>IF(L218="","",IF(L218&lt;Setup!$C$5-Setup!$C$6,"",IF(IF(ISNUMBER(Roster!$D218),Setup!$C$30&lt;=Roster!$D218,FALSE),"",IF(OR(IF(Setup!$C$15&lt;=Setup!$C$16,AND(MONTH(L218)&gt;=Setup!$C$15,MONTH(L218)&lt;=Setup!$C$16),OR(MONTH(L218)&gt;=Setup!$C$15,MONTH(L218)&lt;=Setup!$C$16)),IF(Setup!$C$15&lt;=Setup!$C$16,AND(MONTH(WORKDAY(L218,-(Setup!$C$13+Setup!$G$30),Setup!$C$39:$C$50))&gt;=Setup!$C$15,MONTH(WORKDAY(L218,-(Setup!$C$13+Setup!$G$30),Setup!$C$39:$C$50))&lt;=Setup!$C$16),OR(MONTH(WORKDAY(L218,-(Setup!$C$13+Setup!$G$30),Setup!$C$39:$C$50))&gt;=Setup!$C$15,MONTH(WORKDAY(L218,-(Setup!$C$13+Setup!$G$30),Setup!$C$39:$C$50))&lt;=Setup!$C$16))),WORKDAY(L218,-(Setup!$C$13+Setup!$G$30+Setup!$C$14),Setup!$C$39:$C$50),WORKDAY(L218,-(Setup!$C$13+Setup!$G$30),Setup!$C$39:$C$50))+(213*100+11)/10000000)))</f>
        <v/>
      </c>
      <c r="AC218" t="str">
        <f>IF(M218="","",IF(M218&lt;Setup!$C$5-Setup!$C$6,"",IF(IF(ISNUMBER(Roster!$D218),Setup!$C$31&lt;=Roster!$D218,FALSE),"",IF(OR(IF(Setup!$C$15&lt;=Setup!$C$16,AND(MONTH(M218)&gt;=Setup!$C$15,MONTH(M218)&lt;=Setup!$C$16),OR(MONTH(M218)&gt;=Setup!$C$15,MONTH(M218)&lt;=Setup!$C$16)),IF(Setup!$C$15&lt;=Setup!$C$16,AND(MONTH(WORKDAY(M218,-(Setup!$C$13+Setup!$G$31),Setup!$C$39:$C$50))&gt;=Setup!$C$15,MONTH(WORKDAY(M218,-(Setup!$C$13+Setup!$G$31),Setup!$C$39:$C$50))&lt;=Setup!$C$16),OR(MONTH(WORKDAY(M218,-(Setup!$C$13+Setup!$G$31),Setup!$C$39:$C$50))&gt;=Setup!$C$15,MONTH(WORKDAY(M218,-(Setup!$C$13+Setup!$G$31),Setup!$C$39:$C$50))&lt;=Setup!$C$16))),WORKDAY(M218,-(Setup!$C$13+Setup!$G$31+Setup!$C$14),Setup!$C$39:$C$50),WORKDAY(M218,-(Setup!$C$13+Setup!$G$31),Setup!$C$39:$C$50))+(213*100+12)/10000000)))</f>
        <v/>
      </c>
      <c r="AD218" t="str">
        <f>IF(N218="","",IF(N218&lt;Setup!$C$5-Setup!$C$6,"",IF(IF(ISNUMBER(Roster!$D218),Setup!$C$32&lt;=Roster!$D218,FALSE),"",IF(OR(IF(Setup!$C$15&lt;=Setup!$C$16,AND(MONTH(N218)&gt;=Setup!$C$15,MONTH(N218)&lt;=Setup!$C$16),OR(MONTH(N218)&gt;=Setup!$C$15,MONTH(N218)&lt;=Setup!$C$16)),IF(Setup!$C$15&lt;=Setup!$C$16,AND(MONTH(WORKDAY(N218,-(Setup!$C$13+Setup!$G$32),Setup!$C$39:$C$50))&gt;=Setup!$C$15,MONTH(WORKDAY(N218,-(Setup!$C$13+Setup!$G$32),Setup!$C$39:$C$50))&lt;=Setup!$C$16),OR(MONTH(WORKDAY(N218,-(Setup!$C$13+Setup!$G$32),Setup!$C$39:$C$50))&gt;=Setup!$C$15,MONTH(WORKDAY(N218,-(Setup!$C$13+Setup!$G$32),Setup!$C$39:$C$50))&lt;=Setup!$C$16))),WORKDAY(N218,-(Setup!$C$13+Setup!$G$32+Setup!$C$14),Setup!$C$39:$C$50),WORKDAY(N218,-(Setup!$C$13+Setup!$G$32),Setup!$C$39:$C$50))+(213*100+13)/10000000)))</f>
        <v/>
      </c>
      <c r="AE218" t="str">
        <f>IF(O218="","",IF(O218&lt;Setup!$C$5-Setup!$C$6,"",IF(IF(ISNUMBER(Roster!$D218),Setup!$C$33&lt;=Roster!$D218,FALSE),"",IF(OR(IF(Setup!$C$15&lt;=Setup!$C$16,AND(MONTH(O218)&gt;=Setup!$C$15,MONTH(O218)&lt;=Setup!$C$16),OR(MONTH(O218)&gt;=Setup!$C$15,MONTH(O218)&lt;=Setup!$C$16)),IF(Setup!$C$15&lt;=Setup!$C$16,AND(MONTH(WORKDAY(O218,-(Setup!$C$13+Setup!$G$33),Setup!$C$39:$C$50))&gt;=Setup!$C$15,MONTH(WORKDAY(O218,-(Setup!$C$13+Setup!$G$33),Setup!$C$39:$C$50))&lt;=Setup!$C$16),OR(MONTH(WORKDAY(O218,-(Setup!$C$13+Setup!$G$33),Setup!$C$39:$C$50))&gt;=Setup!$C$15,MONTH(WORKDAY(O218,-(Setup!$C$13+Setup!$G$33),Setup!$C$39:$C$50))&lt;=Setup!$C$16))),WORKDAY(O218,-(Setup!$C$13+Setup!$G$33+Setup!$C$14),Setup!$C$39:$C$50),WORKDAY(O218,-(Setup!$C$13+Setup!$G$33),Setup!$C$39:$C$50))+(213*100+14)/10000000)))</f>
        <v/>
      </c>
      <c r="AF218" t="str">
        <f>IF(P218="","",IF(P218&lt;Setup!$C$5-Setup!$C$6,"",IF(IF(ISNUMBER(Roster!$D218),Setup!$C$34&lt;=Roster!$D218,FALSE),"",IF(OR(IF(Setup!$C$15&lt;=Setup!$C$16,AND(MONTH(P218)&gt;=Setup!$C$15,MONTH(P218)&lt;=Setup!$C$16),OR(MONTH(P218)&gt;=Setup!$C$15,MONTH(P218)&lt;=Setup!$C$16)),IF(Setup!$C$15&lt;=Setup!$C$16,AND(MONTH(WORKDAY(P218,-(Setup!$C$13+Setup!$G$34),Setup!$C$39:$C$50))&gt;=Setup!$C$15,MONTH(WORKDAY(P218,-(Setup!$C$13+Setup!$G$34),Setup!$C$39:$C$50))&lt;=Setup!$C$16),OR(MONTH(WORKDAY(P218,-(Setup!$C$13+Setup!$G$34),Setup!$C$39:$C$50))&gt;=Setup!$C$15,MONTH(WORKDAY(P218,-(Setup!$C$13+Setup!$G$34),Setup!$C$39:$C$50))&lt;=Setup!$C$16))),WORKDAY(P218,-(Setup!$C$13+Setup!$G$34+Setup!$C$14),Setup!$C$39:$C$50),WORKDAY(P218,-(Setup!$C$13+Setup!$G$34),Setup!$C$39:$C$50))+(213*100+15)/10000000)))</f>
        <v/>
      </c>
      <c r="AH218" t="str">
        <f t="shared" si="25"/>
        <v/>
      </c>
      <c r="AI218" t="str">
        <f t="shared" si="26"/>
        <v/>
      </c>
      <c r="AK218" t="str">
        <f ca="1">IF(213&gt;$AK$2,"",SMALL($R$6:$AF$505,213))</f>
        <v/>
      </c>
      <c r="AL218" t="str">
        <f t="shared" ca="1" si="27"/>
        <v/>
      </c>
      <c r="AM218" t="str">
        <f t="shared" ca="1" si="28"/>
        <v/>
      </c>
      <c r="AN218" t="str">
        <f t="shared" ca="1" si="29"/>
        <v/>
      </c>
      <c r="AP218" t="str">
        <f>IF(ISNUMBER(Roster!$B218),MAX(1,YEAR(Setup!$C$5)-YEAR(Roster!$B218)+IF(EDATE(Roster!$B218,12*(YEAR(Setup!$C$5)-YEAR(Roster!$B218)))&lt;Setup!$C$5,1,0)),"")</f>
        <v/>
      </c>
      <c r="AQ218" s="32" t="str">
        <f>IF(AP218="","",EDATE(Roster!$B218,12*AP218))</f>
        <v/>
      </c>
      <c r="AR218" t="str">
        <f>IF(AQ218="","",IF(AQ218&lt;DATE(YEAR(Setup!$C$5)+1,MONTH(Setup!$C$5),DAY(Setup!$C$5)),AQ218+213/1000,""))</f>
        <v/>
      </c>
      <c r="AS218" t="str">
        <f t="shared" si="30"/>
        <v/>
      </c>
      <c r="AT218" t="str">
        <f>IF(AS218="","",IF(ISNUMBER(Roster!$D218),Roster!$D218&gt;=AP218,FALSE))</f>
        <v/>
      </c>
      <c r="AU218" t="str">
        <f t="shared" si="31"/>
        <v/>
      </c>
      <c r="AV218" t="str">
        <f ca="1">IF(213&gt;$AV$2,"",SMALL($AR$6:$AR$505,213))</f>
        <v/>
      </c>
      <c r="AW218" t="str">
        <f t="shared" ca="1" si="32"/>
        <v/>
      </c>
    </row>
    <row r="219" spans="2:49" x14ac:dyDescent="0.2">
      <c r="B219" s="32" t="str">
        <f>IF(AND(ISNUMBER(Roster!$B219),Setup!$B$20="Yes",ISNUMBER(Setup!$C$20)),EDATE(Roster!$B219,12*Setup!$C$20),"")</f>
        <v/>
      </c>
      <c r="C219" s="32" t="str">
        <f>IF(AND(ISNUMBER(Roster!$B219),Setup!$B$21="Yes",ISNUMBER(Setup!$C$21)),EDATE(Roster!$B219,12*Setup!$C$21),"")</f>
        <v/>
      </c>
      <c r="D219" s="32" t="str">
        <f>IF(AND(ISNUMBER(Roster!$B219),Setup!$B$22="Yes",ISNUMBER(Setup!$C$22)),EDATE(Roster!$B219,12*Setup!$C$22),"")</f>
        <v/>
      </c>
      <c r="E219" s="32" t="str">
        <f>IF(AND(ISNUMBER(Roster!$B219),Setup!$B$23="Yes",ISNUMBER(Setup!$C$23)),EDATE(Roster!$B219,12*Setup!$C$23),"")</f>
        <v/>
      </c>
      <c r="F219" s="32" t="str">
        <f>IF(AND(ISNUMBER(Roster!$B219),Setup!$B$24="Yes",ISNUMBER(Setup!$C$24)),EDATE(Roster!$B219,12*Setup!$C$24),"")</f>
        <v/>
      </c>
      <c r="G219" s="32" t="str">
        <f>IF(AND(ISNUMBER(Roster!$B219),Setup!$B$25="Yes",ISNUMBER(Setup!$C$25)),EDATE(Roster!$B219,12*Setup!$C$25),"")</f>
        <v/>
      </c>
      <c r="H219" s="32" t="str">
        <f>IF(AND(ISNUMBER(Roster!$B219),Setup!$B$26="Yes",ISNUMBER(Setup!$C$26)),EDATE(Roster!$B219,12*Setup!$C$26),"")</f>
        <v/>
      </c>
      <c r="I219" s="32" t="str">
        <f>IF(AND(ISNUMBER(Roster!$B219),Setup!$B$27="Yes",ISNUMBER(Setup!$C$27)),EDATE(Roster!$B219,12*Setup!$C$27),"")</f>
        <v/>
      </c>
      <c r="J219" s="32" t="str">
        <f>IF(AND(ISNUMBER(Roster!$B219),Setup!$B$28="Yes",ISNUMBER(Setup!$C$28)),EDATE(Roster!$B219,12*Setup!$C$28),"")</f>
        <v/>
      </c>
      <c r="K219" s="32" t="str">
        <f>IF(AND(ISNUMBER(Roster!$B219),Setup!$B$29="Yes",ISNUMBER(Setup!$C$29)),EDATE(Roster!$B219,12*Setup!$C$29),"")</f>
        <v/>
      </c>
      <c r="L219" s="32" t="str">
        <f>IF(AND(ISNUMBER(Roster!$B219),Setup!$B$30="Yes",ISNUMBER(Setup!$C$30)),EDATE(Roster!$B219,12*Setup!$C$30),"")</f>
        <v/>
      </c>
      <c r="M219" s="32" t="str">
        <f>IF(AND(ISNUMBER(Roster!$B219),Setup!$B$31="Yes",ISNUMBER(Setup!$C$31)),EDATE(Roster!$B219,12*Setup!$C$31),"")</f>
        <v/>
      </c>
      <c r="N219" s="32" t="str">
        <f>IF(AND(ISNUMBER(Roster!$B219),Setup!$B$32="Yes",ISNUMBER(Setup!$C$32)),EDATE(Roster!$B219,12*Setup!$C$32),"")</f>
        <v/>
      </c>
      <c r="O219" s="32" t="str">
        <f>IF(AND(ISNUMBER(Roster!$B219),Setup!$B$33="Yes",ISNUMBER(Setup!$C$33)),EDATE(Roster!$B219,12*Setup!$C$33),"")</f>
        <v/>
      </c>
      <c r="P219" s="32" t="str">
        <f>IF(AND(ISNUMBER(Roster!$B219),Setup!$B$34="Yes",ISNUMBER(Setup!$C$34)),EDATE(Roster!$B219,12*Setup!$C$34),"")</f>
        <v/>
      </c>
      <c r="R219" t="str">
        <f>IF(B219="","",IF(B219&lt;Setup!$C$5-Setup!$C$6,"",IF(IF(ISNUMBER(Roster!$D219),Setup!$C$20&lt;=Roster!$D219,FALSE),"",IF(OR(IF(Setup!$C$15&lt;=Setup!$C$16,AND(MONTH(B219)&gt;=Setup!$C$15,MONTH(B219)&lt;=Setup!$C$16),OR(MONTH(B219)&gt;=Setup!$C$15,MONTH(B219)&lt;=Setup!$C$16)),IF(Setup!$C$15&lt;=Setup!$C$16,AND(MONTH(WORKDAY(B219,-(Setup!$C$13+Setup!$G$20),Setup!$C$39:$C$50))&gt;=Setup!$C$15,MONTH(WORKDAY(B219,-(Setup!$C$13+Setup!$G$20),Setup!$C$39:$C$50))&lt;=Setup!$C$16),OR(MONTH(WORKDAY(B219,-(Setup!$C$13+Setup!$G$20),Setup!$C$39:$C$50))&gt;=Setup!$C$15,MONTH(WORKDAY(B219,-(Setup!$C$13+Setup!$G$20),Setup!$C$39:$C$50))&lt;=Setup!$C$16))),WORKDAY(B219,-(Setup!$C$13+Setup!$G$20+Setup!$C$14),Setup!$C$39:$C$50),WORKDAY(B219,-(Setup!$C$13+Setup!$G$20),Setup!$C$39:$C$50))+(214*100+1)/10000000)))</f>
        <v/>
      </c>
      <c r="S219" t="str">
        <f>IF(C219="","",IF(C219&lt;Setup!$C$5-Setup!$C$6,"",IF(IF(ISNUMBER(Roster!$D219),Setup!$C$21&lt;=Roster!$D219,FALSE),"",IF(OR(IF(Setup!$C$15&lt;=Setup!$C$16,AND(MONTH(C219)&gt;=Setup!$C$15,MONTH(C219)&lt;=Setup!$C$16),OR(MONTH(C219)&gt;=Setup!$C$15,MONTH(C219)&lt;=Setup!$C$16)),IF(Setup!$C$15&lt;=Setup!$C$16,AND(MONTH(WORKDAY(C219,-(Setup!$C$13+Setup!$G$21),Setup!$C$39:$C$50))&gt;=Setup!$C$15,MONTH(WORKDAY(C219,-(Setup!$C$13+Setup!$G$21),Setup!$C$39:$C$50))&lt;=Setup!$C$16),OR(MONTH(WORKDAY(C219,-(Setup!$C$13+Setup!$G$21),Setup!$C$39:$C$50))&gt;=Setup!$C$15,MONTH(WORKDAY(C219,-(Setup!$C$13+Setup!$G$21),Setup!$C$39:$C$50))&lt;=Setup!$C$16))),WORKDAY(C219,-(Setup!$C$13+Setup!$G$21+Setup!$C$14),Setup!$C$39:$C$50),WORKDAY(C219,-(Setup!$C$13+Setup!$G$21),Setup!$C$39:$C$50))+(214*100+2)/10000000)))</f>
        <v/>
      </c>
      <c r="T219" t="str">
        <f>IF(D219="","",IF(D219&lt;Setup!$C$5-Setup!$C$6,"",IF(IF(ISNUMBER(Roster!$D219),Setup!$C$22&lt;=Roster!$D219,FALSE),"",IF(OR(IF(Setup!$C$15&lt;=Setup!$C$16,AND(MONTH(D219)&gt;=Setup!$C$15,MONTH(D219)&lt;=Setup!$C$16),OR(MONTH(D219)&gt;=Setup!$C$15,MONTH(D219)&lt;=Setup!$C$16)),IF(Setup!$C$15&lt;=Setup!$C$16,AND(MONTH(WORKDAY(D219,-(Setup!$C$13+Setup!$G$22),Setup!$C$39:$C$50))&gt;=Setup!$C$15,MONTH(WORKDAY(D219,-(Setup!$C$13+Setup!$G$22),Setup!$C$39:$C$50))&lt;=Setup!$C$16),OR(MONTH(WORKDAY(D219,-(Setup!$C$13+Setup!$G$22),Setup!$C$39:$C$50))&gt;=Setup!$C$15,MONTH(WORKDAY(D219,-(Setup!$C$13+Setup!$G$22),Setup!$C$39:$C$50))&lt;=Setup!$C$16))),WORKDAY(D219,-(Setup!$C$13+Setup!$G$22+Setup!$C$14),Setup!$C$39:$C$50),WORKDAY(D219,-(Setup!$C$13+Setup!$G$22),Setup!$C$39:$C$50))+(214*100+3)/10000000)))</f>
        <v/>
      </c>
      <c r="U219" t="str">
        <f>IF(E219="","",IF(E219&lt;Setup!$C$5-Setup!$C$6,"",IF(IF(ISNUMBER(Roster!$D219),Setup!$C$23&lt;=Roster!$D219,FALSE),"",IF(OR(IF(Setup!$C$15&lt;=Setup!$C$16,AND(MONTH(E219)&gt;=Setup!$C$15,MONTH(E219)&lt;=Setup!$C$16),OR(MONTH(E219)&gt;=Setup!$C$15,MONTH(E219)&lt;=Setup!$C$16)),IF(Setup!$C$15&lt;=Setup!$C$16,AND(MONTH(WORKDAY(E219,-(Setup!$C$13+Setup!$G$23),Setup!$C$39:$C$50))&gt;=Setup!$C$15,MONTH(WORKDAY(E219,-(Setup!$C$13+Setup!$G$23),Setup!$C$39:$C$50))&lt;=Setup!$C$16),OR(MONTH(WORKDAY(E219,-(Setup!$C$13+Setup!$G$23),Setup!$C$39:$C$50))&gt;=Setup!$C$15,MONTH(WORKDAY(E219,-(Setup!$C$13+Setup!$G$23),Setup!$C$39:$C$50))&lt;=Setup!$C$16))),WORKDAY(E219,-(Setup!$C$13+Setup!$G$23+Setup!$C$14),Setup!$C$39:$C$50),WORKDAY(E219,-(Setup!$C$13+Setup!$G$23),Setup!$C$39:$C$50))+(214*100+4)/10000000)))</f>
        <v/>
      </c>
      <c r="V219" t="str">
        <f>IF(F219="","",IF(F219&lt;Setup!$C$5-Setup!$C$6,"",IF(IF(ISNUMBER(Roster!$D219),Setup!$C$24&lt;=Roster!$D219,FALSE),"",IF(OR(IF(Setup!$C$15&lt;=Setup!$C$16,AND(MONTH(F219)&gt;=Setup!$C$15,MONTH(F219)&lt;=Setup!$C$16),OR(MONTH(F219)&gt;=Setup!$C$15,MONTH(F219)&lt;=Setup!$C$16)),IF(Setup!$C$15&lt;=Setup!$C$16,AND(MONTH(WORKDAY(F219,-(Setup!$C$13+Setup!$G$24),Setup!$C$39:$C$50))&gt;=Setup!$C$15,MONTH(WORKDAY(F219,-(Setup!$C$13+Setup!$G$24),Setup!$C$39:$C$50))&lt;=Setup!$C$16),OR(MONTH(WORKDAY(F219,-(Setup!$C$13+Setup!$G$24),Setup!$C$39:$C$50))&gt;=Setup!$C$15,MONTH(WORKDAY(F219,-(Setup!$C$13+Setup!$G$24),Setup!$C$39:$C$50))&lt;=Setup!$C$16))),WORKDAY(F219,-(Setup!$C$13+Setup!$G$24+Setup!$C$14),Setup!$C$39:$C$50),WORKDAY(F219,-(Setup!$C$13+Setup!$G$24),Setup!$C$39:$C$50))+(214*100+5)/10000000)))</f>
        <v/>
      </c>
      <c r="W219" t="str">
        <f>IF(G219="","",IF(G219&lt;Setup!$C$5-Setup!$C$6,"",IF(IF(ISNUMBER(Roster!$D219),Setup!$C$25&lt;=Roster!$D219,FALSE),"",IF(OR(IF(Setup!$C$15&lt;=Setup!$C$16,AND(MONTH(G219)&gt;=Setup!$C$15,MONTH(G219)&lt;=Setup!$C$16),OR(MONTH(G219)&gt;=Setup!$C$15,MONTH(G219)&lt;=Setup!$C$16)),IF(Setup!$C$15&lt;=Setup!$C$16,AND(MONTH(WORKDAY(G219,-(Setup!$C$13+Setup!$G$25),Setup!$C$39:$C$50))&gt;=Setup!$C$15,MONTH(WORKDAY(G219,-(Setup!$C$13+Setup!$G$25),Setup!$C$39:$C$50))&lt;=Setup!$C$16),OR(MONTH(WORKDAY(G219,-(Setup!$C$13+Setup!$G$25),Setup!$C$39:$C$50))&gt;=Setup!$C$15,MONTH(WORKDAY(G219,-(Setup!$C$13+Setup!$G$25),Setup!$C$39:$C$50))&lt;=Setup!$C$16))),WORKDAY(G219,-(Setup!$C$13+Setup!$G$25+Setup!$C$14),Setup!$C$39:$C$50),WORKDAY(G219,-(Setup!$C$13+Setup!$G$25),Setup!$C$39:$C$50))+(214*100+6)/10000000)))</f>
        <v/>
      </c>
      <c r="X219" t="str">
        <f>IF(H219="","",IF(H219&lt;Setup!$C$5-Setup!$C$6,"",IF(IF(ISNUMBER(Roster!$D219),Setup!$C$26&lt;=Roster!$D219,FALSE),"",IF(OR(IF(Setup!$C$15&lt;=Setup!$C$16,AND(MONTH(H219)&gt;=Setup!$C$15,MONTH(H219)&lt;=Setup!$C$16),OR(MONTH(H219)&gt;=Setup!$C$15,MONTH(H219)&lt;=Setup!$C$16)),IF(Setup!$C$15&lt;=Setup!$C$16,AND(MONTH(WORKDAY(H219,-(Setup!$C$13+Setup!$G$26),Setup!$C$39:$C$50))&gt;=Setup!$C$15,MONTH(WORKDAY(H219,-(Setup!$C$13+Setup!$G$26),Setup!$C$39:$C$50))&lt;=Setup!$C$16),OR(MONTH(WORKDAY(H219,-(Setup!$C$13+Setup!$G$26),Setup!$C$39:$C$50))&gt;=Setup!$C$15,MONTH(WORKDAY(H219,-(Setup!$C$13+Setup!$G$26),Setup!$C$39:$C$50))&lt;=Setup!$C$16))),WORKDAY(H219,-(Setup!$C$13+Setup!$G$26+Setup!$C$14),Setup!$C$39:$C$50),WORKDAY(H219,-(Setup!$C$13+Setup!$G$26),Setup!$C$39:$C$50))+(214*100+7)/10000000)))</f>
        <v/>
      </c>
      <c r="Y219" t="str">
        <f>IF(I219="","",IF(I219&lt;Setup!$C$5-Setup!$C$6,"",IF(IF(ISNUMBER(Roster!$D219),Setup!$C$27&lt;=Roster!$D219,FALSE),"",IF(OR(IF(Setup!$C$15&lt;=Setup!$C$16,AND(MONTH(I219)&gt;=Setup!$C$15,MONTH(I219)&lt;=Setup!$C$16),OR(MONTH(I219)&gt;=Setup!$C$15,MONTH(I219)&lt;=Setup!$C$16)),IF(Setup!$C$15&lt;=Setup!$C$16,AND(MONTH(WORKDAY(I219,-(Setup!$C$13+Setup!$G$27),Setup!$C$39:$C$50))&gt;=Setup!$C$15,MONTH(WORKDAY(I219,-(Setup!$C$13+Setup!$G$27),Setup!$C$39:$C$50))&lt;=Setup!$C$16),OR(MONTH(WORKDAY(I219,-(Setup!$C$13+Setup!$G$27),Setup!$C$39:$C$50))&gt;=Setup!$C$15,MONTH(WORKDAY(I219,-(Setup!$C$13+Setup!$G$27),Setup!$C$39:$C$50))&lt;=Setup!$C$16))),WORKDAY(I219,-(Setup!$C$13+Setup!$G$27+Setup!$C$14),Setup!$C$39:$C$50),WORKDAY(I219,-(Setup!$C$13+Setup!$G$27),Setup!$C$39:$C$50))+(214*100+8)/10000000)))</f>
        <v/>
      </c>
      <c r="Z219" t="str">
        <f>IF(J219="","",IF(J219&lt;Setup!$C$5-Setup!$C$6,"",IF(IF(ISNUMBER(Roster!$D219),Setup!$C$28&lt;=Roster!$D219,FALSE),"",IF(OR(IF(Setup!$C$15&lt;=Setup!$C$16,AND(MONTH(J219)&gt;=Setup!$C$15,MONTH(J219)&lt;=Setup!$C$16),OR(MONTH(J219)&gt;=Setup!$C$15,MONTH(J219)&lt;=Setup!$C$16)),IF(Setup!$C$15&lt;=Setup!$C$16,AND(MONTH(WORKDAY(J219,-(Setup!$C$13+Setup!$G$28),Setup!$C$39:$C$50))&gt;=Setup!$C$15,MONTH(WORKDAY(J219,-(Setup!$C$13+Setup!$G$28),Setup!$C$39:$C$50))&lt;=Setup!$C$16),OR(MONTH(WORKDAY(J219,-(Setup!$C$13+Setup!$G$28),Setup!$C$39:$C$50))&gt;=Setup!$C$15,MONTH(WORKDAY(J219,-(Setup!$C$13+Setup!$G$28),Setup!$C$39:$C$50))&lt;=Setup!$C$16))),WORKDAY(J219,-(Setup!$C$13+Setup!$G$28+Setup!$C$14),Setup!$C$39:$C$50),WORKDAY(J219,-(Setup!$C$13+Setup!$G$28),Setup!$C$39:$C$50))+(214*100+9)/10000000)))</f>
        <v/>
      </c>
      <c r="AA219" t="str">
        <f>IF(K219="","",IF(K219&lt;Setup!$C$5-Setup!$C$6,"",IF(IF(ISNUMBER(Roster!$D219),Setup!$C$29&lt;=Roster!$D219,FALSE),"",IF(OR(IF(Setup!$C$15&lt;=Setup!$C$16,AND(MONTH(K219)&gt;=Setup!$C$15,MONTH(K219)&lt;=Setup!$C$16),OR(MONTH(K219)&gt;=Setup!$C$15,MONTH(K219)&lt;=Setup!$C$16)),IF(Setup!$C$15&lt;=Setup!$C$16,AND(MONTH(WORKDAY(K219,-(Setup!$C$13+Setup!$G$29),Setup!$C$39:$C$50))&gt;=Setup!$C$15,MONTH(WORKDAY(K219,-(Setup!$C$13+Setup!$G$29),Setup!$C$39:$C$50))&lt;=Setup!$C$16),OR(MONTH(WORKDAY(K219,-(Setup!$C$13+Setup!$G$29),Setup!$C$39:$C$50))&gt;=Setup!$C$15,MONTH(WORKDAY(K219,-(Setup!$C$13+Setup!$G$29),Setup!$C$39:$C$50))&lt;=Setup!$C$16))),WORKDAY(K219,-(Setup!$C$13+Setup!$G$29+Setup!$C$14),Setup!$C$39:$C$50),WORKDAY(K219,-(Setup!$C$13+Setup!$G$29),Setup!$C$39:$C$50))+(214*100+10)/10000000)))</f>
        <v/>
      </c>
      <c r="AB219" t="str">
        <f>IF(L219="","",IF(L219&lt;Setup!$C$5-Setup!$C$6,"",IF(IF(ISNUMBER(Roster!$D219),Setup!$C$30&lt;=Roster!$D219,FALSE),"",IF(OR(IF(Setup!$C$15&lt;=Setup!$C$16,AND(MONTH(L219)&gt;=Setup!$C$15,MONTH(L219)&lt;=Setup!$C$16),OR(MONTH(L219)&gt;=Setup!$C$15,MONTH(L219)&lt;=Setup!$C$16)),IF(Setup!$C$15&lt;=Setup!$C$16,AND(MONTH(WORKDAY(L219,-(Setup!$C$13+Setup!$G$30),Setup!$C$39:$C$50))&gt;=Setup!$C$15,MONTH(WORKDAY(L219,-(Setup!$C$13+Setup!$G$30),Setup!$C$39:$C$50))&lt;=Setup!$C$16),OR(MONTH(WORKDAY(L219,-(Setup!$C$13+Setup!$G$30),Setup!$C$39:$C$50))&gt;=Setup!$C$15,MONTH(WORKDAY(L219,-(Setup!$C$13+Setup!$G$30),Setup!$C$39:$C$50))&lt;=Setup!$C$16))),WORKDAY(L219,-(Setup!$C$13+Setup!$G$30+Setup!$C$14),Setup!$C$39:$C$50),WORKDAY(L219,-(Setup!$C$13+Setup!$G$30),Setup!$C$39:$C$50))+(214*100+11)/10000000)))</f>
        <v/>
      </c>
      <c r="AC219" t="str">
        <f>IF(M219="","",IF(M219&lt;Setup!$C$5-Setup!$C$6,"",IF(IF(ISNUMBER(Roster!$D219),Setup!$C$31&lt;=Roster!$D219,FALSE),"",IF(OR(IF(Setup!$C$15&lt;=Setup!$C$16,AND(MONTH(M219)&gt;=Setup!$C$15,MONTH(M219)&lt;=Setup!$C$16),OR(MONTH(M219)&gt;=Setup!$C$15,MONTH(M219)&lt;=Setup!$C$16)),IF(Setup!$C$15&lt;=Setup!$C$16,AND(MONTH(WORKDAY(M219,-(Setup!$C$13+Setup!$G$31),Setup!$C$39:$C$50))&gt;=Setup!$C$15,MONTH(WORKDAY(M219,-(Setup!$C$13+Setup!$G$31),Setup!$C$39:$C$50))&lt;=Setup!$C$16),OR(MONTH(WORKDAY(M219,-(Setup!$C$13+Setup!$G$31),Setup!$C$39:$C$50))&gt;=Setup!$C$15,MONTH(WORKDAY(M219,-(Setup!$C$13+Setup!$G$31),Setup!$C$39:$C$50))&lt;=Setup!$C$16))),WORKDAY(M219,-(Setup!$C$13+Setup!$G$31+Setup!$C$14),Setup!$C$39:$C$50),WORKDAY(M219,-(Setup!$C$13+Setup!$G$31),Setup!$C$39:$C$50))+(214*100+12)/10000000)))</f>
        <v/>
      </c>
      <c r="AD219" t="str">
        <f>IF(N219="","",IF(N219&lt;Setup!$C$5-Setup!$C$6,"",IF(IF(ISNUMBER(Roster!$D219),Setup!$C$32&lt;=Roster!$D219,FALSE),"",IF(OR(IF(Setup!$C$15&lt;=Setup!$C$16,AND(MONTH(N219)&gt;=Setup!$C$15,MONTH(N219)&lt;=Setup!$C$16),OR(MONTH(N219)&gt;=Setup!$C$15,MONTH(N219)&lt;=Setup!$C$16)),IF(Setup!$C$15&lt;=Setup!$C$16,AND(MONTH(WORKDAY(N219,-(Setup!$C$13+Setup!$G$32),Setup!$C$39:$C$50))&gt;=Setup!$C$15,MONTH(WORKDAY(N219,-(Setup!$C$13+Setup!$G$32),Setup!$C$39:$C$50))&lt;=Setup!$C$16),OR(MONTH(WORKDAY(N219,-(Setup!$C$13+Setup!$G$32),Setup!$C$39:$C$50))&gt;=Setup!$C$15,MONTH(WORKDAY(N219,-(Setup!$C$13+Setup!$G$32),Setup!$C$39:$C$50))&lt;=Setup!$C$16))),WORKDAY(N219,-(Setup!$C$13+Setup!$G$32+Setup!$C$14),Setup!$C$39:$C$50),WORKDAY(N219,-(Setup!$C$13+Setup!$G$32),Setup!$C$39:$C$50))+(214*100+13)/10000000)))</f>
        <v/>
      </c>
      <c r="AE219" t="str">
        <f>IF(O219="","",IF(O219&lt;Setup!$C$5-Setup!$C$6,"",IF(IF(ISNUMBER(Roster!$D219),Setup!$C$33&lt;=Roster!$D219,FALSE),"",IF(OR(IF(Setup!$C$15&lt;=Setup!$C$16,AND(MONTH(O219)&gt;=Setup!$C$15,MONTH(O219)&lt;=Setup!$C$16),OR(MONTH(O219)&gt;=Setup!$C$15,MONTH(O219)&lt;=Setup!$C$16)),IF(Setup!$C$15&lt;=Setup!$C$16,AND(MONTH(WORKDAY(O219,-(Setup!$C$13+Setup!$G$33),Setup!$C$39:$C$50))&gt;=Setup!$C$15,MONTH(WORKDAY(O219,-(Setup!$C$13+Setup!$G$33),Setup!$C$39:$C$50))&lt;=Setup!$C$16),OR(MONTH(WORKDAY(O219,-(Setup!$C$13+Setup!$G$33),Setup!$C$39:$C$50))&gt;=Setup!$C$15,MONTH(WORKDAY(O219,-(Setup!$C$13+Setup!$G$33),Setup!$C$39:$C$50))&lt;=Setup!$C$16))),WORKDAY(O219,-(Setup!$C$13+Setup!$G$33+Setup!$C$14),Setup!$C$39:$C$50),WORKDAY(O219,-(Setup!$C$13+Setup!$G$33),Setup!$C$39:$C$50))+(214*100+14)/10000000)))</f>
        <v/>
      </c>
      <c r="AF219" t="str">
        <f>IF(P219="","",IF(P219&lt;Setup!$C$5-Setup!$C$6,"",IF(IF(ISNUMBER(Roster!$D219),Setup!$C$34&lt;=Roster!$D219,FALSE),"",IF(OR(IF(Setup!$C$15&lt;=Setup!$C$16,AND(MONTH(P219)&gt;=Setup!$C$15,MONTH(P219)&lt;=Setup!$C$16),OR(MONTH(P219)&gt;=Setup!$C$15,MONTH(P219)&lt;=Setup!$C$16)),IF(Setup!$C$15&lt;=Setup!$C$16,AND(MONTH(WORKDAY(P219,-(Setup!$C$13+Setup!$G$34),Setup!$C$39:$C$50))&gt;=Setup!$C$15,MONTH(WORKDAY(P219,-(Setup!$C$13+Setup!$G$34),Setup!$C$39:$C$50))&lt;=Setup!$C$16),OR(MONTH(WORKDAY(P219,-(Setup!$C$13+Setup!$G$34),Setup!$C$39:$C$50))&gt;=Setup!$C$15,MONTH(WORKDAY(P219,-(Setup!$C$13+Setup!$G$34),Setup!$C$39:$C$50))&lt;=Setup!$C$16))),WORKDAY(P219,-(Setup!$C$13+Setup!$G$34+Setup!$C$14),Setup!$C$39:$C$50),WORKDAY(P219,-(Setup!$C$13+Setup!$G$34),Setup!$C$39:$C$50))+(214*100+15)/10000000)))</f>
        <v/>
      </c>
      <c r="AH219" t="str">
        <f t="shared" si="25"/>
        <v/>
      </c>
      <c r="AI219" t="str">
        <f t="shared" si="26"/>
        <v/>
      </c>
      <c r="AK219" t="str">
        <f ca="1">IF(214&gt;$AK$2,"",SMALL($R$6:$AF$505,214))</f>
        <v/>
      </c>
      <c r="AL219" t="str">
        <f t="shared" ca="1" si="27"/>
        <v/>
      </c>
      <c r="AM219" t="str">
        <f t="shared" ca="1" si="28"/>
        <v/>
      </c>
      <c r="AN219" t="str">
        <f t="shared" ca="1" si="29"/>
        <v/>
      </c>
      <c r="AP219" t="str">
        <f>IF(ISNUMBER(Roster!$B219),MAX(1,YEAR(Setup!$C$5)-YEAR(Roster!$B219)+IF(EDATE(Roster!$B219,12*(YEAR(Setup!$C$5)-YEAR(Roster!$B219)))&lt;Setup!$C$5,1,0)),"")</f>
        <v/>
      </c>
      <c r="AQ219" s="32" t="str">
        <f>IF(AP219="","",EDATE(Roster!$B219,12*AP219))</f>
        <v/>
      </c>
      <c r="AR219" t="str">
        <f>IF(AQ219="","",IF(AQ219&lt;DATE(YEAR(Setup!$C$5)+1,MONTH(Setup!$C$5),DAY(Setup!$C$5)),AQ219+214/1000,""))</f>
        <v/>
      </c>
      <c r="AS219" t="str">
        <f t="shared" si="30"/>
        <v/>
      </c>
      <c r="AT219" t="str">
        <f>IF(AS219="","",IF(ISNUMBER(Roster!$D219),Roster!$D219&gt;=AP219,FALSE))</f>
        <v/>
      </c>
      <c r="AU219" t="str">
        <f t="shared" si="31"/>
        <v/>
      </c>
      <c r="AV219" t="str">
        <f ca="1">IF(214&gt;$AV$2,"",SMALL($AR$6:$AR$505,214))</f>
        <v/>
      </c>
      <c r="AW219" t="str">
        <f t="shared" ca="1" si="32"/>
        <v/>
      </c>
    </row>
    <row r="220" spans="2:49" x14ac:dyDescent="0.2">
      <c r="B220" s="32" t="str">
        <f>IF(AND(ISNUMBER(Roster!$B220),Setup!$B$20="Yes",ISNUMBER(Setup!$C$20)),EDATE(Roster!$B220,12*Setup!$C$20),"")</f>
        <v/>
      </c>
      <c r="C220" s="32" t="str">
        <f>IF(AND(ISNUMBER(Roster!$B220),Setup!$B$21="Yes",ISNUMBER(Setup!$C$21)),EDATE(Roster!$B220,12*Setup!$C$21),"")</f>
        <v/>
      </c>
      <c r="D220" s="32" t="str">
        <f>IF(AND(ISNUMBER(Roster!$B220),Setup!$B$22="Yes",ISNUMBER(Setup!$C$22)),EDATE(Roster!$B220,12*Setup!$C$22),"")</f>
        <v/>
      </c>
      <c r="E220" s="32" t="str">
        <f>IF(AND(ISNUMBER(Roster!$B220),Setup!$B$23="Yes",ISNUMBER(Setup!$C$23)),EDATE(Roster!$B220,12*Setup!$C$23),"")</f>
        <v/>
      </c>
      <c r="F220" s="32" t="str">
        <f>IF(AND(ISNUMBER(Roster!$B220),Setup!$B$24="Yes",ISNUMBER(Setup!$C$24)),EDATE(Roster!$B220,12*Setup!$C$24),"")</f>
        <v/>
      </c>
      <c r="G220" s="32" t="str">
        <f>IF(AND(ISNUMBER(Roster!$B220),Setup!$B$25="Yes",ISNUMBER(Setup!$C$25)),EDATE(Roster!$B220,12*Setup!$C$25),"")</f>
        <v/>
      </c>
      <c r="H220" s="32" t="str">
        <f>IF(AND(ISNUMBER(Roster!$B220),Setup!$B$26="Yes",ISNUMBER(Setup!$C$26)),EDATE(Roster!$B220,12*Setup!$C$26),"")</f>
        <v/>
      </c>
      <c r="I220" s="32" t="str">
        <f>IF(AND(ISNUMBER(Roster!$B220),Setup!$B$27="Yes",ISNUMBER(Setup!$C$27)),EDATE(Roster!$B220,12*Setup!$C$27),"")</f>
        <v/>
      </c>
      <c r="J220" s="32" t="str">
        <f>IF(AND(ISNUMBER(Roster!$B220),Setup!$B$28="Yes",ISNUMBER(Setup!$C$28)),EDATE(Roster!$B220,12*Setup!$C$28),"")</f>
        <v/>
      </c>
      <c r="K220" s="32" t="str">
        <f>IF(AND(ISNUMBER(Roster!$B220),Setup!$B$29="Yes",ISNUMBER(Setup!$C$29)),EDATE(Roster!$B220,12*Setup!$C$29),"")</f>
        <v/>
      </c>
      <c r="L220" s="32" t="str">
        <f>IF(AND(ISNUMBER(Roster!$B220),Setup!$B$30="Yes",ISNUMBER(Setup!$C$30)),EDATE(Roster!$B220,12*Setup!$C$30),"")</f>
        <v/>
      </c>
      <c r="M220" s="32" t="str">
        <f>IF(AND(ISNUMBER(Roster!$B220),Setup!$B$31="Yes",ISNUMBER(Setup!$C$31)),EDATE(Roster!$B220,12*Setup!$C$31),"")</f>
        <v/>
      </c>
      <c r="N220" s="32" t="str">
        <f>IF(AND(ISNUMBER(Roster!$B220),Setup!$B$32="Yes",ISNUMBER(Setup!$C$32)),EDATE(Roster!$B220,12*Setup!$C$32),"")</f>
        <v/>
      </c>
      <c r="O220" s="32" t="str">
        <f>IF(AND(ISNUMBER(Roster!$B220),Setup!$B$33="Yes",ISNUMBER(Setup!$C$33)),EDATE(Roster!$B220,12*Setup!$C$33),"")</f>
        <v/>
      </c>
      <c r="P220" s="32" t="str">
        <f>IF(AND(ISNUMBER(Roster!$B220),Setup!$B$34="Yes",ISNUMBER(Setup!$C$34)),EDATE(Roster!$B220,12*Setup!$C$34),"")</f>
        <v/>
      </c>
      <c r="R220" t="str">
        <f>IF(B220="","",IF(B220&lt;Setup!$C$5-Setup!$C$6,"",IF(IF(ISNUMBER(Roster!$D220),Setup!$C$20&lt;=Roster!$D220,FALSE),"",IF(OR(IF(Setup!$C$15&lt;=Setup!$C$16,AND(MONTH(B220)&gt;=Setup!$C$15,MONTH(B220)&lt;=Setup!$C$16),OR(MONTH(B220)&gt;=Setup!$C$15,MONTH(B220)&lt;=Setup!$C$16)),IF(Setup!$C$15&lt;=Setup!$C$16,AND(MONTH(WORKDAY(B220,-(Setup!$C$13+Setup!$G$20),Setup!$C$39:$C$50))&gt;=Setup!$C$15,MONTH(WORKDAY(B220,-(Setup!$C$13+Setup!$G$20),Setup!$C$39:$C$50))&lt;=Setup!$C$16),OR(MONTH(WORKDAY(B220,-(Setup!$C$13+Setup!$G$20),Setup!$C$39:$C$50))&gt;=Setup!$C$15,MONTH(WORKDAY(B220,-(Setup!$C$13+Setup!$G$20),Setup!$C$39:$C$50))&lt;=Setup!$C$16))),WORKDAY(B220,-(Setup!$C$13+Setup!$G$20+Setup!$C$14),Setup!$C$39:$C$50),WORKDAY(B220,-(Setup!$C$13+Setup!$G$20),Setup!$C$39:$C$50))+(215*100+1)/10000000)))</f>
        <v/>
      </c>
      <c r="S220" t="str">
        <f>IF(C220="","",IF(C220&lt;Setup!$C$5-Setup!$C$6,"",IF(IF(ISNUMBER(Roster!$D220),Setup!$C$21&lt;=Roster!$D220,FALSE),"",IF(OR(IF(Setup!$C$15&lt;=Setup!$C$16,AND(MONTH(C220)&gt;=Setup!$C$15,MONTH(C220)&lt;=Setup!$C$16),OR(MONTH(C220)&gt;=Setup!$C$15,MONTH(C220)&lt;=Setup!$C$16)),IF(Setup!$C$15&lt;=Setup!$C$16,AND(MONTH(WORKDAY(C220,-(Setup!$C$13+Setup!$G$21),Setup!$C$39:$C$50))&gt;=Setup!$C$15,MONTH(WORKDAY(C220,-(Setup!$C$13+Setup!$G$21),Setup!$C$39:$C$50))&lt;=Setup!$C$16),OR(MONTH(WORKDAY(C220,-(Setup!$C$13+Setup!$G$21),Setup!$C$39:$C$50))&gt;=Setup!$C$15,MONTH(WORKDAY(C220,-(Setup!$C$13+Setup!$G$21),Setup!$C$39:$C$50))&lt;=Setup!$C$16))),WORKDAY(C220,-(Setup!$C$13+Setup!$G$21+Setup!$C$14),Setup!$C$39:$C$50),WORKDAY(C220,-(Setup!$C$13+Setup!$G$21),Setup!$C$39:$C$50))+(215*100+2)/10000000)))</f>
        <v/>
      </c>
      <c r="T220" t="str">
        <f>IF(D220="","",IF(D220&lt;Setup!$C$5-Setup!$C$6,"",IF(IF(ISNUMBER(Roster!$D220),Setup!$C$22&lt;=Roster!$D220,FALSE),"",IF(OR(IF(Setup!$C$15&lt;=Setup!$C$16,AND(MONTH(D220)&gt;=Setup!$C$15,MONTH(D220)&lt;=Setup!$C$16),OR(MONTH(D220)&gt;=Setup!$C$15,MONTH(D220)&lt;=Setup!$C$16)),IF(Setup!$C$15&lt;=Setup!$C$16,AND(MONTH(WORKDAY(D220,-(Setup!$C$13+Setup!$G$22),Setup!$C$39:$C$50))&gt;=Setup!$C$15,MONTH(WORKDAY(D220,-(Setup!$C$13+Setup!$G$22),Setup!$C$39:$C$50))&lt;=Setup!$C$16),OR(MONTH(WORKDAY(D220,-(Setup!$C$13+Setup!$G$22),Setup!$C$39:$C$50))&gt;=Setup!$C$15,MONTH(WORKDAY(D220,-(Setup!$C$13+Setup!$G$22),Setup!$C$39:$C$50))&lt;=Setup!$C$16))),WORKDAY(D220,-(Setup!$C$13+Setup!$G$22+Setup!$C$14),Setup!$C$39:$C$50),WORKDAY(D220,-(Setup!$C$13+Setup!$G$22),Setup!$C$39:$C$50))+(215*100+3)/10000000)))</f>
        <v/>
      </c>
      <c r="U220" t="str">
        <f>IF(E220="","",IF(E220&lt;Setup!$C$5-Setup!$C$6,"",IF(IF(ISNUMBER(Roster!$D220),Setup!$C$23&lt;=Roster!$D220,FALSE),"",IF(OR(IF(Setup!$C$15&lt;=Setup!$C$16,AND(MONTH(E220)&gt;=Setup!$C$15,MONTH(E220)&lt;=Setup!$C$16),OR(MONTH(E220)&gt;=Setup!$C$15,MONTH(E220)&lt;=Setup!$C$16)),IF(Setup!$C$15&lt;=Setup!$C$16,AND(MONTH(WORKDAY(E220,-(Setup!$C$13+Setup!$G$23),Setup!$C$39:$C$50))&gt;=Setup!$C$15,MONTH(WORKDAY(E220,-(Setup!$C$13+Setup!$G$23),Setup!$C$39:$C$50))&lt;=Setup!$C$16),OR(MONTH(WORKDAY(E220,-(Setup!$C$13+Setup!$G$23),Setup!$C$39:$C$50))&gt;=Setup!$C$15,MONTH(WORKDAY(E220,-(Setup!$C$13+Setup!$G$23),Setup!$C$39:$C$50))&lt;=Setup!$C$16))),WORKDAY(E220,-(Setup!$C$13+Setup!$G$23+Setup!$C$14),Setup!$C$39:$C$50),WORKDAY(E220,-(Setup!$C$13+Setup!$G$23),Setup!$C$39:$C$50))+(215*100+4)/10000000)))</f>
        <v/>
      </c>
      <c r="V220" t="str">
        <f>IF(F220="","",IF(F220&lt;Setup!$C$5-Setup!$C$6,"",IF(IF(ISNUMBER(Roster!$D220),Setup!$C$24&lt;=Roster!$D220,FALSE),"",IF(OR(IF(Setup!$C$15&lt;=Setup!$C$16,AND(MONTH(F220)&gt;=Setup!$C$15,MONTH(F220)&lt;=Setup!$C$16),OR(MONTH(F220)&gt;=Setup!$C$15,MONTH(F220)&lt;=Setup!$C$16)),IF(Setup!$C$15&lt;=Setup!$C$16,AND(MONTH(WORKDAY(F220,-(Setup!$C$13+Setup!$G$24),Setup!$C$39:$C$50))&gt;=Setup!$C$15,MONTH(WORKDAY(F220,-(Setup!$C$13+Setup!$G$24),Setup!$C$39:$C$50))&lt;=Setup!$C$16),OR(MONTH(WORKDAY(F220,-(Setup!$C$13+Setup!$G$24),Setup!$C$39:$C$50))&gt;=Setup!$C$15,MONTH(WORKDAY(F220,-(Setup!$C$13+Setup!$G$24),Setup!$C$39:$C$50))&lt;=Setup!$C$16))),WORKDAY(F220,-(Setup!$C$13+Setup!$G$24+Setup!$C$14),Setup!$C$39:$C$50),WORKDAY(F220,-(Setup!$C$13+Setup!$G$24),Setup!$C$39:$C$50))+(215*100+5)/10000000)))</f>
        <v/>
      </c>
      <c r="W220" t="str">
        <f>IF(G220="","",IF(G220&lt;Setup!$C$5-Setup!$C$6,"",IF(IF(ISNUMBER(Roster!$D220),Setup!$C$25&lt;=Roster!$D220,FALSE),"",IF(OR(IF(Setup!$C$15&lt;=Setup!$C$16,AND(MONTH(G220)&gt;=Setup!$C$15,MONTH(G220)&lt;=Setup!$C$16),OR(MONTH(G220)&gt;=Setup!$C$15,MONTH(G220)&lt;=Setup!$C$16)),IF(Setup!$C$15&lt;=Setup!$C$16,AND(MONTH(WORKDAY(G220,-(Setup!$C$13+Setup!$G$25),Setup!$C$39:$C$50))&gt;=Setup!$C$15,MONTH(WORKDAY(G220,-(Setup!$C$13+Setup!$G$25),Setup!$C$39:$C$50))&lt;=Setup!$C$16),OR(MONTH(WORKDAY(G220,-(Setup!$C$13+Setup!$G$25),Setup!$C$39:$C$50))&gt;=Setup!$C$15,MONTH(WORKDAY(G220,-(Setup!$C$13+Setup!$G$25),Setup!$C$39:$C$50))&lt;=Setup!$C$16))),WORKDAY(G220,-(Setup!$C$13+Setup!$G$25+Setup!$C$14),Setup!$C$39:$C$50),WORKDAY(G220,-(Setup!$C$13+Setup!$G$25),Setup!$C$39:$C$50))+(215*100+6)/10000000)))</f>
        <v/>
      </c>
      <c r="X220" t="str">
        <f>IF(H220="","",IF(H220&lt;Setup!$C$5-Setup!$C$6,"",IF(IF(ISNUMBER(Roster!$D220),Setup!$C$26&lt;=Roster!$D220,FALSE),"",IF(OR(IF(Setup!$C$15&lt;=Setup!$C$16,AND(MONTH(H220)&gt;=Setup!$C$15,MONTH(H220)&lt;=Setup!$C$16),OR(MONTH(H220)&gt;=Setup!$C$15,MONTH(H220)&lt;=Setup!$C$16)),IF(Setup!$C$15&lt;=Setup!$C$16,AND(MONTH(WORKDAY(H220,-(Setup!$C$13+Setup!$G$26),Setup!$C$39:$C$50))&gt;=Setup!$C$15,MONTH(WORKDAY(H220,-(Setup!$C$13+Setup!$G$26),Setup!$C$39:$C$50))&lt;=Setup!$C$16),OR(MONTH(WORKDAY(H220,-(Setup!$C$13+Setup!$G$26),Setup!$C$39:$C$50))&gt;=Setup!$C$15,MONTH(WORKDAY(H220,-(Setup!$C$13+Setup!$G$26),Setup!$C$39:$C$50))&lt;=Setup!$C$16))),WORKDAY(H220,-(Setup!$C$13+Setup!$G$26+Setup!$C$14),Setup!$C$39:$C$50),WORKDAY(H220,-(Setup!$C$13+Setup!$G$26),Setup!$C$39:$C$50))+(215*100+7)/10000000)))</f>
        <v/>
      </c>
      <c r="Y220" t="str">
        <f>IF(I220="","",IF(I220&lt;Setup!$C$5-Setup!$C$6,"",IF(IF(ISNUMBER(Roster!$D220),Setup!$C$27&lt;=Roster!$D220,FALSE),"",IF(OR(IF(Setup!$C$15&lt;=Setup!$C$16,AND(MONTH(I220)&gt;=Setup!$C$15,MONTH(I220)&lt;=Setup!$C$16),OR(MONTH(I220)&gt;=Setup!$C$15,MONTH(I220)&lt;=Setup!$C$16)),IF(Setup!$C$15&lt;=Setup!$C$16,AND(MONTH(WORKDAY(I220,-(Setup!$C$13+Setup!$G$27),Setup!$C$39:$C$50))&gt;=Setup!$C$15,MONTH(WORKDAY(I220,-(Setup!$C$13+Setup!$G$27),Setup!$C$39:$C$50))&lt;=Setup!$C$16),OR(MONTH(WORKDAY(I220,-(Setup!$C$13+Setup!$G$27),Setup!$C$39:$C$50))&gt;=Setup!$C$15,MONTH(WORKDAY(I220,-(Setup!$C$13+Setup!$G$27),Setup!$C$39:$C$50))&lt;=Setup!$C$16))),WORKDAY(I220,-(Setup!$C$13+Setup!$G$27+Setup!$C$14),Setup!$C$39:$C$50),WORKDAY(I220,-(Setup!$C$13+Setup!$G$27),Setup!$C$39:$C$50))+(215*100+8)/10000000)))</f>
        <v/>
      </c>
      <c r="Z220" t="str">
        <f>IF(J220="","",IF(J220&lt;Setup!$C$5-Setup!$C$6,"",IF(IF(ISNUMBER(Roster!$D220),Setup!$C$28&lt;=Roster!$D220,FALSE),"",IF(OR(IF(Setup!$C$15&lt;=Setup!$C$16,AND(MONTH(J220)&gt;=Setup!$C$15,MONTH(J220)&lt;=Setup!$C$16),OR(MONTH(J220)&gt;=Setup!$C$15,MONTH(J220)&lt;=Setup!$C$16)),IF(Setup!$C$15&lt;=Setup!$C$16,AND(MONTH(WORKDAY(J220,-(Setup!$C$13+Setup!$G$28),Setup!$C$39:$C$50))&gt;=Setup!$C$15,MONTH(WORKDAY(J220,-(Setup!$C$13+Setup!$G$28),Setup!$C$39:$C$50))&lt;=Setup!$C$16),OR(MONTH(WORKDAY(J220,-(Setup!$C$13+Setup!$G$28),Setup!$C$39:$C$50))&gt;=Setup!$C$15,MONTH(WORKDAY(J220,-(Setup!$C$13+Setup!$G$28),Setup!$C$39:$C$50))&lt;=Setup!$C$16))),WORKDAY(J220,-(Setup!$C$13+Setup!$G$28+Setup!$C$14),Setup!$C$39:$C$50),WORKDAY(J220,-(Setup!$C$13+Setup!$G$28),Setup!$C$39:$C$50))+(215*100+9)/10000000)))</f>
        <v/>
      </c>
      <c r="AA220" t="str">
        <f>IF(K220="","",IF(K220&lt;Setup!$C$5-Setup!$C$6,"",IF(IF(ISNUMBER(Roster!$D220),Setup!$C$29&lt;=Roster!$D220,FALSE),"",IF(OR(IF(Setup!$C$15&lt;=Setup!$C$16,AND(MONTH(K220)&gt;=Setup!$C$15,MONTH(K220)&lt;=Setup!$C$16),OR(MONTH(K220)&gt;=Setup!$C$15,MONTH(K220)&lt;=Setup!$C$16)),IF(Setup!$C$15&lt;=Setup!$C$16,AND(MONTH(WORKDAY(K220,-(Setup!$C$13+Setup!$G$29),Setup!$C$39:$C$50))&gt;=Setup!$C$15,MONTH(WORKDAY(K220,-(Setup!$C$13+Setup!$G$29),Setup!$C$39:$C$50))&lt;=Setup!$C$16),OR(MONTH(WORKDAY(K220,-(Setup!$C$13+Setup!$G$29),Setup!$C$39:$C$50))&gt;=Setup!$C$15,MONTH(WORKDAY(K220,-(Setup!$C$13+Setup!$G$29),Setup!$C$39:$C$50))&lt;=Setup!$C$16))),WORKDAY(K220,-(Setup!$C$13+Setup!$G$29+Setup!$C$14),Setup!$C$39:$C$50),WORKDAY(K220,-(Setup!$C$13+Setup!$G$29),Setup!$C$39:$C$50))+(215*100+10)/10000000)))</f>
        <v/>
      </c>
      <c r="AB220" t="str">
        <f>IF(L220="","",IF(L220&lt;Setup!$C$5-Setup!$C$6,"",IF(IF(ISNUMBER(Roster!$D220),Setup!$C$30&lt;=Roster!$D220,FALSE),"",IF(OR(IF(Setup!$C$15&lt;=Setup!$C$16,AND(MONTH(L220)&gt;=Setup!$C$15,MONTH(L220)&lt;=Setup!$C$16),OR(MONTH(L220)&gt;=Setup!$C$15,MONTH(L220)&lt;=Setup!$C$16)),IF(Setup!$C$15&lt;=Setup!$C$16,AND(MONTH(WORKDAY(L220,-(Setup!$C$13+Setup!$G$30),Setup!$C$39:$C$50))&gt;=Setup!$C$15,MONTH(WORKDAY(L220,-(Setup!$C$13+Setup!$G$30),Setup!$C$39:$C$50))&lt;=Setup!$C$16),OR(MONTH(WORKDAY(L220,-(Setup!$C$13+Setup!$G$30),Setup!$C$39:$C$50))&gt;=Setup!$C$15,MONTH(WORKDAY(L220,-(Setup!$C$13+Setup!$G$30),Setup!$C$39:$C$50))&lt;=Setup!$C$16))),WORKDAY(L220,-(Setup!$C$13+Setup!$G$30+Setup!$C$14),Setup!$C$39:$C$50),WORKDAY(L220,-(Setup!$C$13+Setup!$G$30),Setup!$C$39:$C$50))+(215*100+11)/10000000)))</f>
        <v/>
      </c>
      <c r="AC220" t="str">
        <f>IF(M220="","",IF(M220&lt;Setup!$C$5-Setup!$C$6,"",IF(IF(ISNUMBER(Roster!$D220),Setup!$C$31&lt;=Roster!$D220,FALSE),"",IF(OR(IF(Setup!$C$15&lt;=Setup!$C$16,AND(MONTH(M220)&gt;=Setup!$C$15,MONTH(M220)&lt;=Setup!$C$16),OR(MONTH(M220)&gt;=Setup!$C$15,MONTH(M220)&lt;=Setup!$C$16)),IF(Setup!$C$15&lt;=Setup!$C$16,AND(MONTH(WORKDAY(M220,-(Setup!$C$13+Setup!$G$31),Setup!$C$39:$C$50))&gt;=Setup!$C$15,MONTH(WORKDAY(M220,-(Setup!$C$13+Setup!$G$31),Setup!$C$39:$C$50))&lt;=Setup!$C$16),OR(MONTH(WORKDAY(M220,-(Setup!$C$13+Setup!$G$31),Setup!$C$39:$C$50))&gt;=Setup!$C$15,MONTH(WORKDAY(M220,-(Setup!$C$13+Setup!$G$31),Setup!$C$39:$C$50))&lt;=Setup!$C$16))),WORKDAY(M220,-(Setup!$C$13+Setup!$G$31+Setup!$C$14),Setup!$C$39:$C$50),WORKDAY(M220,-(Setup!$C$13+Setup!$G$31),Setup!$C$39:$C$50))+(215*100+12)/10000000)))</f>
        <v/>
      </c>
      <c r="AD220" t="str">
        <f>IF(N220="","",IF(N220&lt;Setup!$C$5-Setup!$C$6,"",IF(IF(ISNUMBER(Roster!$D220),Setup!$C$32&lt;=Roster!$D220,FALSE),"",IF(OR(IF(Setup!$C$15&lt;=Setup!$C$16,AND(MONTH(N220)&gt;=Setup!$C$15,MONTH(N220)&lt;=Setup!$C$16),OR(MONTH(N220)&gt;=Setup!$C$15,MONTH(N220)&lt;=Setup!$C$16)),IF(Setup!$C$15&lt;=Setup!$C$16,AND(MONTH(WORKDAY(N220,-(Setup!$C$13+Setup!$G$32),Setup!$C$39:$C$50))&gt;=Setup!$C$15,MONTH(WORKDAY(N220,-(Setup!$C$13+Setup!$G$32),Setup!$C$39:$C$50))&lt;=Setup!$C$16),OR(MONTH(WORKDAY(N220,-(Setup!$C$13+Setup!$G$32),Setup!$C$39:$C$50))&gt;=Setup!$C$15,MONTH(WORKDAY(N220,-(Setup!$C$13+Setup!$G$32),Setup!$C$39:$C$50))&lt;=Setup!$C$16))),WORKDAY(N220,-(Setup!$C$13+Setup!$G$32+Setup!$C$14),Setup!$C$39:$C$50),WORKDAY(N220,-(Setup!$C$13+Setup!$G$32),Setup!$C$39:$C$50))+(215*100+13)/10000000)))</f>
        <v/>
      </c>
      <c r="AE220" t="str">
        <f>IF(O220="","",IF(O220&lt;Setup!$C$5-Setup!$C$6,"",IF(IF(ISNUMBER(Roster!$D220),Setup!$C$33&lt;=Roster!$D220,FALSE),"",IF(OR(IF(Setup!$C$15&lt;=Setup!$C$16,AND(MONTH(O220)&gt;=Setup!$C$15,MONTH(O220)&lt;=Setup!$C$16),OR(MONTH(O220)&gt;=Setup!$C$15,MONTH(O220)&lt;=Setup!$C$16)),IF(Setup!$C$15&lt;=Setup!$C$16,AND(MONTH(WORKDAY(O220,-(Setup!$C$13+Setup!$G$33),Setup!$C$39:$C$50))&gt;=Setup!$C$15,MONTH(WORKDAY(O220,-(Setup!$C$13+Setup!$G$33),Setup!$C$39:$C$50))&lt;=Setup!$C$16),OR(MONTH(WORKDAY(O220,-(Setup!$C$13+Setup!$G$33),Setup!$C$39:$C$50))&gt;=Setup!$C$15,MONTH(WORKDAY(O220,-(Setup!$C$13+Setup!$G$33),Setup!$C$39:$C$50))&lt;=Setup!$C$16))),WORKDAY(O220,-(Setup!$C$13+Setup!$G$33+Setup!$C$14),Setup!$C$39:$C$50),WORKDAY(O220,-(Setup!$C$13+Setup!$G$33),Setup!$C$39:$C$50))+(215*100+14)/10000000)))</f>
        <v/>
      </c>
      <c r="AF220" t="str">
        <f>IF(P220="","",IF(P220&lt;Setup!$C$5-Setup!$C$6,"",IF(IF(ISNUMBER(Roster!$D220),Setup!$C$34&lt;=Roster!$D220,FALSE),"",IF(OR(IF(Setup!$C$15&lt;=Setup!$C$16,AND(MONTH(P220)&gt;=Setup!$C$15,MONTH(P220)&lt;=Setup!$C$16),OR(MONTH(P220)&gt;=Setup!$C$15,MONTH(P220)&lt;=Setup!$C$16)),IF(Setup!$C$15&lt;=Setup!$C$16,AND(MONTH(WORKDAY(P220,-(Setup!$C$13+Setup!$G$34),Setup!$C$39:$C$50))&gt;=Setup!$C$15,MONTH(WORKDAY(P220,-(Setup!$C$13+Setup!$G$34),Setup!$C$39:$C$50))&lt;=Setup!$C$16),OR(MONTH(WORKDAY(P220,-(Setup!$C$13+Setup!$G$34),Setup!$C$39:$C$50))&gt;=Setup!$C$15,MONTH(WORKDAY(P220,-(Setup!$C$13+Setup!$G$34),Setup!$C$39:$C$50))&lt;=Setup!$C$16))),WORKDAY(P220,-(Setup!$C$13+Setup!$G$34+Setup!$C$14),Setup!$C$39:$C$50),WORKDAY(P220,-(Setup!$C$13+Setup!$G$34),Setup!$C$39:$C$50))+(215*100+15)/10000000)))</f>
        <v/>
      </c>
      <c r="AH220" t="str">
        <f t="shared" si="25"/>
        <v/>
      </c>
      <c r="AI220" t="str">
        <f t="shared" si="26"/>
        <v/>
      </c>
      <c r="AK220" t="str">
        <f ca="1">IF(215&gt;$AK$2,"",SMALL($R$6:$AF$505,215))</f>
        <v/>
      </c>
      <c r="AL220" t="str">
        <f t="shared" ca="1" si="27"/>
        <v/>
      </c>
      <c r="AM220" t="str">
        <f t="shared" ca="1" si="28"/>
        <v/>
      </c>
      <c r="AN220" t="str">
        <f t="shared" ca="1" si="29"/>
        <v/>
      </c>
      <c r="AP220" t="str">
        <f>IF(ISNUMBER(Roster!$B220),MAX(1,YEAR(Setup!$C$5)-YEAR(Roster!$B220)+IF(EDATE(Roster!$B220,12*(YEAR(Setup!$C$5)-YEAR(Roster!$B220)))&lt;Setup!$C$5,1,0)),"")</f>
        <v/>
      </c>
      <c r="AQ220" s="32" t="str">
        <f>IF(AP220="","",EDATE(Roster!$B220,12*AP220))</f>
        <v/>
      </c>
      <c r="AR220" t="str">
        <f>IF(AQ220="","",IF(AQ220&lt;DATE(YEAR(Setup!$C$5)+1,MONTH(Setup!$C$5),DAY(Setup!$C$5)),AQ220+215/1000,""))</f>
        <v/>
      </c>
      <c r="AS220" t="str">
        <f t="shared" si="30"/>
        <v/>
      </c>
      <c r="AT220" t="str">
        <f>IF(AS220="","",IF(ISNUMBER(Roster!$D220),Roster!$D220&gt;=AP220,FALSE))</f>
        <v/>
      </c>
      <c r="AU220" t="str">
        <f t="shared" si="31"/>
        <v/>
      </c>
      <c r="AV220" t="str">
        <f ca="1">IF(215&gt;$AV$2,"",SMALL($AR$6:$AR$505,215))</f>
        <v/>
      </c>
      <c r="AW220" t="str">
        <f t="shared" ca="1" si="32"/>
        <v/>
      </c>
    </row>
    <row r="221" spans="2:49" x14ac:dyDescent="0.2">
      <c r="B221" s="32" t="str">
        <f>IF(AND(ISNUMBER(Roster!$B221),Setup!$B$20="Yes",ISNUMBER(Setup!$C$20)),EDATE(Roster!$B221,12*Setup!$C$20),"")</f>
        <v/>
      </c>
      <c r="C221" s="32" t="str">
        <f>IF(AND(ISNUMBER(Roster!$B221),Setup!$B$21="Yes",ISNUMBER(Setup!$C$21)),EDATE(Roster!$B221,12*Setup!$C$21),"")</f>
        <v/>
      </c>
      <c r="D221" s="32" t="str">
        <f>IF(AND(ISNUMBER(Roster!$B221),Setup!$B$22="Yes",ISNUMBER(Setup!$C$22)),EDATE(Roster!$B221,12*Setup!$C$22),"")</f>
        <v/>
      </c>
      <c r="E221" s="32" t="str">
        <f>IF(AND(ISNUMBER(Roster!$B221),Setup!$B$23="Yes",ISNUMBER(Setup!$C$23)),EDATE(Roster!$B221,12*Setup!$C$23),"")</f>
        <v/>
      </c>
      <c r="F221" s="32" t="str">
        <f>IF(AND(ISNUMBER(Roster!$B221),Setup!$B$24="Yes",ISNUMBER(Setup!$C$24)),EDATE(Roster!$B221,12*Setup!$C$24),"")</f>
        <v/>
      </c>
      <c r="G221" s="32" t="str">
        <f>IF(AND(ISNUMBER(Roster!$B221),Setup!$B$25="Yes",ISNUMBER(Setup!$C$25)),EDATE(Roster!$B221,12*Setup!$C$25),"")</f>
        <v/>
      </c>
      <c r="H221" s="32" t="str">
        <f>IF(AND(ISNUMBER(Roster!$B221),Setup!$B$26="Yes",ISNUMBER(Setup!$C$26)),EDATE(Roster!$B221,12*Setup!$C$26),"")</f>
        <v/>
      </c>
      <c r="I221" s="32" t="str">
        <f>IF(AND(ISNUMBER(Roster!$B221),Setup!$B$27="Yes",ISNUMBER(Setup!$C$27)),EDATE(Roster!$B221,12*Setup!$C$27),"")</f>
        <v/>
      </c>
      <c r="J221" s="32" t="str">
        <f>IF(AND(ISNUMBER(Roster!$B221),Setup!$B$28="Yes",ISNUMBER(Setup!$C$28)),EDATE(Roster!$B221,12*Setup!$C$28),"")</f>
        <v/>
      </c>
      <c r="K221" s="32" t="str">
        <f>IF(AND(ISNUMBER(Roster!$B221),Setup!$B$29="Yes",ISNUMBER(Setup!$C$29)),EDATE(Roster!$B221,12*Setup!$C$29),"")</f>
        <v/>
      </c>
      <c r="L221" s="32" t="str">
        <f>IF(AND(ISNUMBER(Roster!$B221),Setup!$B$30="Yes",ISNUMBER(Setup!$C$30)),EDATE(Roster!$B221,12*Setup!$C$30),"")</f>
        <v/>
      </c>
      <c r="M221" s="32" t="str">
        <f>IF(AND(ISNUMBER(Roster!$B221),Setup!$B$31="Yes",ISNUMBER(Setup!$C$31)),EDATE(Roster!$B221,12*Setup!$C$31),"")</f>
        <v/>
      </c>
      <c r="N221" s="32" t="str">
        <f>IF(AND(ISNUMBER(Roster!$B221),Setup!$B$32="Yes",ISNUMBER(Setup!$C$32)),EDATE(Roster!$B221,12*Setup!$C$32),"")</f>
        <v/>
      </c>
      <c r="O221" s="32" t="str">
        <f>IF(AND(ISNUMBER(Roster!$B221),Setup!$B$33="Yes",ISNUMBER(Setup!$C$33)),EDATE(Roster!$B221,12*Setup!$C$33),"")</f>
        <v/>
      </c>
      <c r="P221" s="32" t="str">
        <f>IF(AND(ISNUMBER(Roster!$B221),Setup!$B$34="Yes",ISNUMBER(Setup!$C$34)),EDATE(Roster!$B221,12*Setup!$C$34),"")</f>
        <v/>
      </c>
      <c r="R221" t="str">
        <f>IF(B221="","",IF(B221&lt;Setup!$C$5-Setup!$C$6,"",IF(IF(ISNUMBER(Roster!$D221),Setup!$C$20&lt;=Roster!$D221,FALSE),"",IF(OR(IF(Setup!$C$15&lt;=Setup!$C$16,AND(MONTH(B221)&gt;=Setup!$C$15,MONTH(B221)&lt;=Setup!$C$16),OR(MONTH(B221)&gt;=Setup!$C$15,MONTH(B221)&lt;=Setup!$C$16)),IF(Setup!$C$15&lt;=Setup!$C$16,AND(MONTH(WORKDAY(B221,-(Setup!$C$13+Setup!$G$20),Setup!$C$39:$C$50))&gt;=Setup!$C$15,MONTH(WORKDAY(B221,-(Setup!$C$13+Setup!$G$20),Setup!$C$39:$C$50))&lt;=Setup!$C$16),OR(MONTH(WORKDAY(B221,-(Setup!$C$13+Setup!$G$20),Setup!$C$39:$C$50))&gt;=Setup!$C$15,MONTH(WORKDAY(B221,-(Setup!$C$13+Setup!$G$20),Setup!$C$39:$C$50))&lt;=Setup!$C$16))),WORKDAY(B221,-(Setup!$C$13+Setup!$G$20+Setup!$C$14),Setup!$C$39:$C$50),WORKDAY(B221,-(Setup!$C$13+Setup!$G$20),Setup!$C$39:$C$50))+(216*100+1)/10000000)))</f>
        <v/>
      </c>
      <c r="S221" t="str">
        <f>IF(C221="","",IF(C221&lt;Setup!$C$5-Setup!$C$6,"",IF(IF(ISNUMBER(Roster!$D221),Setup!$C$21&lt;=Roster!$D221,FALSE),"",IF(OR(IF(Setup!$C$15&lt;=Setup!$C$16,AND(MONTH(C221)&gt;=Setup!$C$15,MONTH(C221)&lt;=Setup!$C$16),OR(MONTH(C221)&gt;=Setup!$C$15,MONTH(C221)&lt;=Setup!$C$16)),IF(Setup!$C$15&lt;=Setup!$C$16,AND(MONTH(WORKDAY(C221,-(Setup!$C$13+Setup!$G$21),Setup!$C$39:$C$50))&gt;=Setup!$C$15,MONTH(WORKDAY(C221,-(Setup!$C$13+Setup!$G$21),Setup!$C$39:$C$50))&lt;=Setup!$C$16),OR(MONTH(WORKDAY(C221,-(Setup!$C$13+Setup!$G$21),Setup!$C$39:$C$50))&gt;=Setup!$C$15,MONTH(WORKDAY(C221,-(Setup!$C$13+Setup!$G$21),Setup!$C$39:$C$50))&lt;=Setup!$C$16))),WORKDAY(C221,-(Setup!$C$13+Setup!$G$21+Setup!$C$14),Setup!$C$39:$C$50),WORKDAY(C221,-(Setup!$C$13+Setup!$G$21),Setup!$C$39:$C$50))+(216*100+2)/10000000)))</f>
        <v/>
      </c>
      <c r="T221" t="str">
        <f>IF(D221="","",IF(D221&lt;Setup!$C$5-Setup!$C$6,"",IF(IF(ISNUMBER(Roster!$D221),Setup!$C$22&lt;=Roster!$D221,FALSE),"",IF(OR(IF(Setup!$C$15&lt;=Setup!$C$16,AND(MONTH(D221)&gt;=Setup!$C$15,MONTH(D221)&lt;=Setup!$C$16),OR(MONTH(D221)&gt;=Setup!$C$15,MONTH(D221)&lt;=Setup!$C$16)),IF(Setup!$C$15&lt;=Setup!$C$16,AND(MONTH(WORKDAY(D221,-(Setup!$C$13+Setup!$G$22),Setup!$C$39:$C$50))&gt;=Setup!$C$15,MONTH(WORKDAY(D221,-(Setup!$C$13+Setup!$G$22),Setup!$C$39:$C$50))&lt;=Setup!$C$16),OR(MONTH(WORKDAY(D221,-(Setup!$C$13+Setup!$G$22),Setup!$C$39:$C$50))&gt;=Setup!$C$15,MONTH(WORKDAY(D221,-(Setup!$C$13+Setup!$G$22),Setup!$C$39:$C$50))&lt;=Setup!$C$16))),WORKDAY(D221,-(Setup!$C$13+Setup!$G$22+Setup!$C$14),Setup!$C$39:$C$50),WORKDAY(D221,-(Setup!$C$13+Setup!$G$22),Setup!$C$39:$C$50))+(216*100+3)/10000000)))</f>
        <v/>
      </c>
      <c r="U221" t="str">
        <f>IF(E221="","",IF(E221&lt;Setup!$C$5-Setup!$C$6,"",IF(IF(ISNUMBER(Roster!$D221),Setup!$C$23&lt;=Roster!$D221,FALSE),"",IF(OR(IF(Setup!$C$15&lt;=Setup!$C$16,AND(MONTH(E221)&gt;=Setup!$C$15,MONTH(E221)&lt;=Setup!$C$16),OR(MONTH(E221)&gt;=Setup!$C$15,MONTH(E221)&lt;=Setup!$C$16)),IF(Setup!$C$15&lt;=Setup!$C$16,AND(MONTH(WORKDAY(E221,-(Setup!$C$13+Setup!$G$23),Setup!$C$39:$C$50))&gt;=Setup!$C$15,MONTH(WORKDAY(E221,-(Setup!$C$13+Setup!$G$23),Setup!$C$39:$C$50))&lt;=Setup!$C$16),OR(MONTH(WORKDAY(E221,-(Setup!$C$13+Setup!$G$23),Setup!$C$39:$C$50))&gt;=Setup!$C$15,MONTH(WORKDAY(E221,-(Setup!$C$13+Setup!$G$23),Setup!$C$39:$C$50))&lt;=Setup!$C$16))),WORKDAY(E221,-(Setup!$C$13+Setup!$G$23+Setup!$C$14),Setup!$C$39:$C$50),WORKDAY(E221,-(Setup!$C$13+Setup!$G$23),Setup!$C$39:$C$50))+(216*100+4)/10000000)))</f>
        <v/>
      </c>
      <c r="V221" t="str">
        <f>IF(F221="","",IF(F221&lt;Setup!$C$5-Setup!$C$6,"",IF(IF(ISNUMBER(Roster!$D221),Setup!$C$24&lt;=Roster!$D221,FALSE),"",IF(OR(IF(Setup!$C$15&lt;=Setup!$C$16,AND(MONTH(F221)&gt;=Setup!$C$15,MONTH(F221)&lt;=Setup!$C$16),OR(MONTH(F221)&gt;=Setup!$C$15,MONTH(F221)&lt;=Setup!$C$16)),IF(Setup!$C$15&lt;=Setup!$C$16,AND(MONTH(WORKDAY(F221,-(Setup!$C$13+Setup!$G$24),Setup!$C$39:$C$50))&gt;=Setup!$C$15,MONTH(WORKDAY(F221,-(Setup!$C$13+Setup!$G$24),Setup!$C$39:$C$50))&lt;=Setup!$C$16),OR(MONTH(WORKDAY(F221,-(Setup!$C$13+Setup!$G$24),Setup!$C$39:$C$50))&gt;=Setup!$C$15,MONTH(WORKDAY(F221,-(Setup!$C$13+Setup!$G$24),Setup!$C$39:$C$50))&lt;=Setup!$C$16))),WORKDAY(F221,-(Setup!$C$13+Setup!$G$24+Setup!$C$14),Setup!$C$39:$C$50),WORKDAY(F221,-(Setup!$C$13+Setup!$G$24),Setup!$C$39:$C$50))+(216*100+5)/10000000)))</f>
        <v/>
      </c>
      <c r="W221" t="str">
        <f>IF(G221="","",IF(G221&lt;Setup!$C$5-Setup!$C$6,"",IF(IF(ISNUMBER(Roster!$D221),Setup!$C$25&lt;=Roster!$D221,FALSE),"",IF(OR(IF(Setup!$C$15&lt;=Setup!$C$16,AND(MONTH(G221)&gt;=Setup!$C$15,MONTH(G221)&lt;=Setup!$C$16),OR(MONTH(G221)&gt;=Setup!$C$15,MONTH(G221)&lt;=Setup!$C$16)),IF(Setup!$C$15&lt;=Setup!$C$16,AND(MONTH(WORKDAY(G221,-(Setup!$C$13+Setup!$G$25),Setup!$C$39:$C$50))&gt;=Setup!$C$15,MONTH(WORKDAY(G221,-(Setup!$C$13+Setup!$G$25),Setup!$C$39:$C$50))&lt;=Setup!$C$16),OR(MONTH(WORKDAY(G221,-(Setup!$C$13+Setup!$G$25),Setup!$C$39:$C$50))&gt;=Setup!$C$15,MONTH(WORKDAY(G221,-(Setup!$C$13+Setup!$G$25),Setup!$C$39:$C$50))&lt;=Setup!$C$16))),WORKDAY(G221,-(Setup!$C$13+Setup!$G$25+Setup!$C$14),Setup!$C$39:$C$50),WORKDAY(G221,-(Setup!$C$13+Setup!$G$25),Setup!$C$39:$C$50))+(216*100+6)/10000000)))</f>
        <v/>
      </c>
      <c r="X221" t="str">
        <f>IF(H221="","",IF(H221&lt;Setup!$C$5-Setup!$C$6,"",IF(IF(ISNUMBER(Roster!$D221),Setup!$C$26&lt;=Roster!$D221,FALSE),"",IF(OR(IF(Setup!$C$15&lt;=Setup!$C$16,AND(MONTH(H221)&gt;=Setup!$C$15,MONTH(H221)&lt;=Setup!$C$16),OR(MONTH(H221)&gt;=Setup!$C$15,MONTH(H221)&lt;=Setup!$C$16)),IF(Setup!$C$15&lt;=Setup!$C$16,AND(MONTH(WORKDAY(H221,-(Setup!$C$13+Setup!$G$26),Setup!$C$39:$C$50))&gt;=Setup!$C$15,MONTH(WORKDAY(H221,-(Setup!$C$13+Setup!$G$26),Setup!$C$39:$C$50))&lt;=Setup!$C$16),OR(MONTH(WORKDAY(H221,-(Setup!$C$13+Setup!$G$26),Setup!$C$39:$C$50))&gt;=Setup!$C$15,MONTH(WORKDAY(H221,-(Setup!$C$13+Setup!$G$26),Setup!$C$39:$C$50))&lt;=Setup!$C$16))),WORKDAY(H221,-(Setup!$C$13+Setup!$G$26+Setup!$C$14),Setup!$C$39:$C$50),WORKDAY(H221,-(Setup!$C$13+Setup!$G$26),Setup!$C$39:$C$50))+(216*100+7)/10000000)))</f>
        <v/>
      </c>
      <c r="Y221" t="str">
        <f>IF(I221="","",IF(I221&lt;Setup!$C$5-Setup!$C$6,"",IF(IF(ISNUMBER(Roster!$D221),Setup!$C$27&lt;=Roster!$D221,FALSE),"",IF(OR(IF(Setup!$C$15&lt;=Setup!$C$16,AND(MONTH(I221)&gt;=Setup!$C$15,MONTH(I221)&lt;=Setup!$C$16),OR(MONTH(I221)&gt;=Setup!$C$15,MONTH(I221)&lt;=Setup!$C$16)),IF(Setup!$C$15&lt;=Setup!$C$16,AND(MONTH(WORKDAY(I221,-(Setup!$C$13+Setup!$G$27),Setup!$C$39:$C$50))&gt;=Setup!$C$15,MONTH(WORKDAY(I221,-(Setup!$C$13+Setup!$G$27),Setup!$C$39:$C$50))&lt;=Setup!$C$16),OR(MONTH(WORKDAY(I221,-(Setup!$C$13+Setup!$G$27),Setup!$C$39:$C$50))&gt;=Setup!$C$15,MONTH(WORKDAY(I221,-(Setup!$C$13+Setup!$G$27),Setup!$C$39:$C$50))&lt;=Setup!$C$16))),WORKDAY(I221,-(Setup!$C$13+Setup!$G$27+Setup!$C$14),Setup!$C$39:$C$50),WORKDAY(I221,-(Setup!$C$13+Setup!$G$27),Setup!$C$39:$C$50))+(216*100+8)/10000000)))</f>
        <v/>
      </c>
      <c r="Z221" t="str">
        <f>IF(J221="","",IF(J221&lt;Setup!$C$5-Setup!$C$6,"",IF(IF(ISNUMBER(Roster!$D221),Setup!$C$28&lt;=Roster!$D221,FALSE),"",IF(OR(IF(Setup!$C$15&lt;=Setup!$C$16,AND(MONTH(J221)&gt;=Setup!$C$15,MONTH(J221)&lt;=Setup!$C$16),OR(MONTH(J221)&gt;=Setup!$C$15,MONTH(J221)&lt;=Setup!$C$16)),IF(Setup!$C$15&lt;=Setup!$C$16,AND(MONTH(WORKDAY(J221,-(Setup!$C$13+Setup!$G$28),Setup!$C$39:$C$50))&gt;=Setup!$C$15,MONTH(WORKDAY(J221,-(Setup!$C$13+Setup!$G$28),Setup!$C$39:$C$50))&lt;=Setup!$C$16),OR(MONTH(WORKDAY(J221,-(Setup!$C$13+Setup!$G$28),Setup!$C$39:$C$50))&gt;=Setup!$C$15,MONTH(WORKDAY(J221,-(Setup!$C$13+Setup!$G$28),Setup!$C$39:$C$50))&lt;=Setup!$C$16))),WORKDAY(J221,-(Setup!$C$13+Setup!$G$28+Setup!$C$14),Setup!$C$39:$C$50),WORKDAY(J221,-(Setup!$C$13+Setup!$G$28),Setup!$C$39:$C$50))+(216*100+9)/10000000)))</f>
        <v/>
      </c>
      <c r="AA221" t="str">
        <f>IF(K221="","",IF(K221&lt;Setup!$C$5-Setup!$C$6,"",IF(IF(ISNUMBER(Roster!$D221),Setup!$C$29&lt;=Roster!$D221,FALSE),"",IF(OR(IF(Setup!$C$15&lt;=Setup!$C$16,AND(MONTH(K221)&gt;=Setup!$C$15,MONTH(K221)&lt;=Setup!$C$16),OR(MONTH(K221)&gt;=Setup!$C$15,MONTH(K221)&lt;=Setup!$C$16)),IF(Setup!$C$15&lt;=Setup!$C$16,AND(MONTH(WORKDAY(K221,-(Setup!$C$13+Setup!$G$29),Setup!$C$39:$C$50))&gt;=Setup!$C$15,MONTH(WORKDAY(K221,-(Setup!$C$13+Setup!$G$29),Setup!$C$39:$C$50))&lt;=Setup!$C$16),OR(MONTH(WORKDAY(K221,-(Setup!$C$13+Setup!$G$29),Setup!$C$39:$C$50))&gt;=Setup!$C$15,MONTH(WORKDAY(K221,-(Setup!$C$13+Setup!$G$29),Setup!$C$39:$C$50))&lt;=Setup!$C$16))),WORKDAY(K221,-(Setup!$C$13+Setup!$G$29+Setup!$C$14),Setup!$C$39:$C$50),WORKDAY(K221,-(Setup!$C$13+Setup!$G$29),Setup!$C$39:$C$50))+(216*100+10)/10000000)))</f>
        <v/>
      </c>
      <c r="AB221" t="str">
        <f>IF(L221="","",IF(L221&lt;Setup!$C$5-Setup!$C$6,"",IF(IF(ISNUMBER(Roster!$D221),Setup!$C$30&lt;=Roster!$D221,FALSE),"",IF(OR(IF(Setup!$C$15&lt;=Setup!$C$16,AND(MONTH(L221)&gt;=Setup!$C$15,MONTH(L221)&lt;=Setup!$C$16),OR(MONTH(L221)&gt;=Setup!$C$15,MONTH(L221)&lt;=Setup!$C$16)),IF(Setup!$C$15&lt;=Setup!$C$16,AND(MONTH(WORKDAY(L221,-(Setup!$C$13+Setup!$G$30),Setup!$C$39:$C$50))&gt;=Setup!$C$15,MONTH(WORKDAY(L221,-(Setup!$C$13+Setup!$G$30),Setup!$C$39:$C$50))&lt;=Setup!$C$16),OR(MONTH(WORKDAY(L221,-(Setup!$C$13+Setup!$G$30),Setup!$C$39:$C$50))&gt;=Setup!$C$15,MONTH(WORKDAY(L221,-(Setup!$C$13+Setup!$G$30),Setup!$C$39:$C$50))&lt;=Setup!$C$16))),WORKDAY(L221,-(Setup!$C$13+Setup!$G$30+Setup!$C$14),Setup!$C$39:$C$50),WORKDAY(L221,-(Setup!$C$13+Setup!$G$30),Setup!$C$39:$C$50))+(216*100+11)/10000000)))</f>
        <v/>
      </c>
      <c r="AC221" t="str">
        <f>IF(M221="","",IF(M221&lt;Setup!$C$5-Setup!$C$6,"",IF(IF(ISNUMBER(Roster!$D221),Setup!$C$31&lt;=Roster!$D221,FALSE),"",IF(OR(IF(Setup!$C$15&lt;=Setup!$C$16,AND(MONTH(M221)&gt;=Setup!$C$15,MONTH(M221)&lt;=Setup!$C$16),OR(MONTH(M221)&gt;=Setup!$C$15,MONTH(M221)&lt;=Setup!$C$16)),IF(Setup!$C$15&lt;=Setup!$C$16,AND(MONTH(WORKDAY(M221,-(Setup!$C$13+Setup!$G$31),Setup!$C$39:$C$50))&gt;=Setup!$C$15,MONTH(WORKDAY(M221,-(Setup!$C$13+Setup!$G$31),Setup!$C$39:$C$50))&lt;=Setup!$C$16),OR(MONTH(WORKDAY(M221,-(Setup!$C$13+Setup!$G$31),Setup!$C$39:$C$50))&gt;=Setup!$C$15,MONTH(WORKDAY(M221,-(Setup!$C$13+Setup!$G$31),Setup!$C$39:$C$50))&lt;=Setup!$C$16))),WORKDAY(M221,-(Setup!$C$13+Setup!$G$31+Setup!$C$14),Setup!$C$39:$C$50),WORKDAY(M221,-(Setup!$C$13+Setup!$G$31),Setup!$C$39:$C$50))+(216*100+12)/10000000)))</f>
        <v/>
      </c>
      <c r="AD221" t="str">
        <f>IF(N221="","",IF(N221&lt;Setup!$C$5-Setup!$C$6,"",IF(IF(ISNUMBER(Roster!$D221),Setup!$C$32&lt;=Roster!$D221,FALSE),"",IF(OR(IF(Setup!$C$15&lt;=Setup!$C$16,AND(MONTH(N221)&gt;=Setup!$C$15,MONTH(N221)&lt;=Setup!$C$16),OR(MONTH(N221)&gt;=Setup!$C$15,MONTH(N221)&lt;=Setup!$C$16)),IF(Setup!$C$15&lt;=Setup!$C$16,AND(MONTH(WORKDAY(N221,-(Setup!$C$13+Setup!$G$32),Setup!$C$39:$C$50))&gt;=Setup!$C$15,MONTH(WORKDAY(N221,-(Setup!$C$13+Setup!$G$32),Setup!$C$39:$C$50))&lt;=Setup!$C$16),OR(MONTH(WORKDAY(N221,-(Setup!$C$13+Setup!$G$32),Setup!$C$39:$C$50))&gt;=Setup!$C$15,MONTH(WORKDAY(N221,-(Setup!$C$13+Setup!$G$32),Setup!$C$39:$C$50))&lt;=Setup!$C$16))),WORKDAY(N221,-(Setup!$C$13+Setup!$G$32+Setup!$C$14),Setup!$C$39:$C$50),WORKDAY(N221,-(Setup!$C$13+Setup!$G$32),Setup!$C$39:$C$50))+(216*100+13)/10000000)))</f>
        <v/>
      </c>
      <c r="AE221" t="str">
        <f>IF(O221="","",IF(O221&lt;Setup!$C$5-Setup!$C$6,"",IF(IF(ISNUMBER(Roster!$D221),Setup!$C$33&lt;=Roster!$D221,FALSE),"",IF(OR(IF(Setup!$C$15&lt;=Setup!$C$16,AND(MONTH(O221)&gt;=Setup!$C$15,MONTH(O221)&lt;=Setup!$C$16),OR(MONTH(O221)&gt;=Setup!$C$15,MONTH(O221)&lt;=Setup!$C$16)),IF(Setup!$C$15&lt;=Setup!$C$16,AND(MONTH(WORKDAY(O221,-(Setup!$C$13+Setup!$G$33),Setup!$C$39:$C$50))&gt;=Setup!$C$15,MONTH(WORKDAY(O221,-(Setup!$C$13+Setup!$G$33),Setup!$C$39:$C$50))&lt;=Setup!$C$16),OR(MONTH(WORKDAY(O221,-(Setup!$C$13+Setup!$G$33),Setup!$C$39:$C$50))&gt;=Setup!$C$15,MONTH(WORKDAY(O221,-(Setup!$C$13+Setup!$G$33),Setup!$C$39:$C$50))&lt;=Setup!$C$16))),WORKDAY(O221,-(Setup!$C$13+Setup!$G$33+Setup!$C$14),Setup!$C$39:$C$50),WORKDAY(O221,-(Setup!$C$13+Setup!$G$33),Setup!$C$39:$C$50))+(216*100+14)/10000000)))</f>
        <v/>
      </c>
      <c r="AF221" t="str">
        <f>IF(P221="","",IF(P221&lt;Setup!$C$5-Setup!$C$6,"",IF(IF(ISNUMBER(Roster!$D221),Setup!$C$34&lt;=Roster!$D221,FALSE),"",IF(OR(IF(Setup!$C$15&lt;=Setup!$C$16,AND(MONTH(P221)&gt;=Setup!$C$15,MONTH(P221)&lt;=Setup!$C$16),OR(MONTH(P221)&gt;=Setup!$C$15,MONTH(P221)&lt;=Setup!$C$16)),IF(Setup!$C$15&lt;=Setup!$C$16,AND(MONTH(WORKDAY(P221,-(Setup!$C$13+Setup!$G$34),Setup!$C$39:$C$50))&gt;=Setup!$C$15,MONTH(WORKDAY(P221,-(Setup!$C$13+Setup!$G$34),Setup!$C$39:$C$50))&lt;=Setup!$C$16),OR(MONTH(WORKDAY(P221,-(Setup!$C$13+Setup!$G$34),Setup!$C$39:$C$50))&gt;=Setup!$C$15,MONTH(WORKDAY(P221,-(Setup!$C$13+Setup!$G$34),Setup!$C$39:$C$50))&lt;=Setup!$C$16))),WORKDAY(P221,-(Setup!$C$13+Setup!$G$34+Setup!$C$14),Setup!$C$39:$C$50),WORKDAY(P221,-(Setup!$C$13+Setup!$G$34),Setup!$C$39:$C$50))+(216*100+15)/10000000)))</f>
        <v/>
      </c>
      <c r="AH221" t="str">
        <f t="shared" si="25"/>
        <v/>
      </c>
      <c r="AI221" t="str">
        <f t="shared" si="26"/>
        <v/>
      </c>
      <c r="AK221" t="str">
        <f ca="1">IF(216&gt;$AK$2,"",SMALL($R$6:$AF$505,216))</f>
        <v/>
      </c>
      <c r="AL221" t="str">
        <f t="shared" ca="1" si="27"/>
        <v/>
      </c>
      <c r="AM221" t="str">
        <f t="shared" ca="1" si="28"/>
        <v/>
      </c>
      <c r="AN221" t="str">
        <f t="shared" ca="1" si="29"/>
        <v/>
      </c>
      <c r="AP221" t="str">
        <f>IF(ISNUMBER(Roster!$B221),MAX(1,YEAR(Setup!$C$5)-YEAR(Roster!$B221)+IF(EDATE(Roster!$B221,12*(YEAR(Setup!$C$5)-YEAR(Roster!$B221)))&lt;Setup!$C$5,1,0)),"")</f>
        <v/>
      </c>
      <c r="AQ221" s="32" t="str">
        <f>IF(AP221="","",EDATE(Roster!$B221,12*AP221))</f>
        <v/>
      </c>
      <c r="AR221" t="str">
        <f>IF(AQ221="","",IF(AQ221&lt;DATE(YEAR(Setup!$C$5)+1,MONTH(Setup!$C$5),DAY(Setup!$C$5)),AQ221+216/1000,""))</f>
        <v/>
      </c>
      <c r="AS221" t="str">
        <f t="shared" si="30"/>
        <v/>
      </c>
      <c r="AT221" t="str">
        <f>IF(AS221="","",IF(ISNUMBER(Roster!$D221),Roster!$D221&gt;=AP221,FALSE))</f>
        <v/>
      </c>
      <c r="AU221" t="str">
        <f t="shared" si="31"/>
        <v/>
      </c>
      <c r="AV221" t="str">
        <f ca="1">IF(216&gt;$AV$2,"",SMALL($AR$6:$AR$505,216))</f>
        <v/>
      </c>
      <c r="AW221" t="str">
        <f t="shared" ca="1" si="32"/>
        <v/>
      </c>
    </row>
    <row r="222" spans="2:49" x14ac:dyDescent="0.2">
      <c r="B222" s="32" t="str">
        <f>IF(AND(ISNUMBER(Roster!$B222),Setup!$B$20="Yes",ISNUMBER(Setup!$C$20)),EDATE(Roster!$B222,12*Setup!$C$20),"")</f>
        <v/>
      </c>
      <c r="C222" s="32" t="str">
        <f>IF(AND(ISNUMBER(Roster!$B222),Setup!$B$21="Yes",ISNUMBER(Setup!$C$21)),EDATE(Roster!$B222,12*Setup!$C$21),"")</f>
        <v/>
      </c>
      <c r="D222" s="32" t="str">
        <f>IF(AND(ISNUMBER(Roster!$B222),Setup!$B$22="Yes",ISNUMBER(Setup!$C$22)),EDATE(Roster!$B222,12*Setup!$C$22),"")</f>
        <v/>
      </c>
      <c r="E222" s="32" t="str">
        <f>IF(AND(ISNUMBER(Roster!$B222),Setup!$B$23="Yes",ISNUMBER(Setup!$C$23)),EDATE(Roster!$B222,12*Setup!$C$23),"")</f>
        <v/>
      </c>
      <c r="F222" s="32" t="str">
        <f>IF(AND(ISNUMBER(Roster!$B222),Setup!$B$24="Yes",ISNUMBER(Setup!$C$24)),EDATE(Roster!$B222,12*Setup!$C$24),"")</f>
        <v/>
      </c>
      <c r="G222" s="32" t="str">
        <f>IF(AND(ISNUMBER(Roster!$B222),Setup!$B$25="Yes",ISNUMBER(Setup!$C$25)),EDATE(Roster!$B222,12*Setup!$C$25),"")</f>
        <v/>
      </c>
      <c r="H222" s="32" t="str">
        <f>IF(AND(ISNUMBER(Roster!$B222),Setup!$B$26="Yes",ISNUMBER(Setup!$C$26)),EDATE(Roster!$B222,12*Setup!$C$26),"")</f>
        <v/>
      </c>
      <c r="I222" s="32" t="str">
        <f>IF(AND(ISNUMBER(Roster!$B222),Setup!$B$27="Yes",ISNUMBER(Setup!$C$27)),EDATE(Roster!$B222,12*Setup!$C$27),"")</f>
        <v/>
      </c>
      <c r="J222" s="32" t="str">
        <f>IF(AND(ISNUMBER(Roster!$B222),Setup!$B$28="Yes",ISNUMBER(Setup!$C$28)),EDATE(Roster!$B222,12*Setup!$C$28),"")</f>
        <v/>
      </c>
      <c r="K222" s="32" t="str">
        <f>IF(AND(ISNUMBER(Roster!$B222),Setup!$B$29="Yes",ISNUMBER(Setup!$C$29)),EDATE(Roster!$B222,12*Setup!$C$29),"")</f>
        <v/>
      </c>
      <c r="L222" s="32" t="str">
        <f>IF(AND(ISNUMBER(Roster!$B222),Setup!$B$30="Yes",ISNUMBER(Setup!$C$30)),EDATE(Roster!$B222,12*Setup!$C$30),"")</f>
        <v/>
      </c>
      <c r="M222" s="32" t="str">
        <f>IF(AND(ISNUMBER(Roster!$B222),Setup!$B$31="Yes",ISNUMBER(Setup!$C$31)),EDATE(Roster!$B222,12*Setup!$C$31),"")</f>
        <v/>
      </c>
      <c r="N222" s="32" t="str">
        <f>IF(AND(ISNUMBER(Roster!$B222),Setup!$B$32="Yes",ISNUMBER(Setup!$C$32)),EDATE(Roster!$B222,12*Setup!$C$32),"")</f>
        <v/>
      </c>
      <c r="O222" s="32" t="str">
        <f>IF(AND(ISNUMBER(Roster!$B222),Setup!$B$33="Yes",ISNUMBER(Setup!$C$33)),EDATE(Roster!$B222,12*Setup!$C$33),"")</f>
        <v/>
      </c>
      <c r="P222" s="32" t="str">
        <f>IF(AND(ISNUMBER(Roster!$B222),Setup!$B$34="Yes",ISNUMBER(Setup!$C$34)),EDATE(Roster!$B222,12*Setup!$C$34),"")</f>
        <v/>
      </c>
      <c r="R222" t="str">
        <f>IF(B222="","",IF(B222&lt;Setup!$C$5-Setup!$C$6,"",IF(IF(ISNUMBER(Roster!$D222),Setup!$C$20&lt;=Roster!$D222,FALSE),"",IF(OR(IF(Setup!$C$15&lt;=Setup!$C$16,AND(MONTH(B222)&gt;=Setup!$C$15,MONTH(B222)&lt;=Setup!$C$16),OR(MONTH(B222)&gt;=Setup!$C$15,MONTH(B222)&lt;=Setup!$C$16)),IF(Setup!$C$15&lt;=Setup!$C$16,AND(MONTH(WORKDAY(B222,-(Setup!$C$13+Setup!$G$20),Setup!$C$39:$C$50))&gt;=Setup!$C$15,MONTH(WORKDAY(B222,-(Setup!$C$13+Setup!$G$20),Setup!$C$39:$C$50))&lt;=Setup!$C$16),OR(MONTH(WORKDAY(B222,-(Setup!$C$13+Setup!$G$20),Setup!$C$39:$C$50))&gt;=Setup!$C$15,MONTH(WORKDAY(B222,-(Setup!$C$13+Setup!$G$20),Setup!$C$39:$C$50))&lt;=Setup!$C$16))),WORKDAY(B222,-(Setup!$C$13+Setup!$G$20+Setup!$C$14),Setup!$C$39:$C$50),WORKDAY(B222,-(Setup!$C$13+Setup!$G$20),Setup!$C$39:$C$50))+(217*100+1)/10000000)))</f>
        <v/>
      </c>
      <c r="S222" t="str">
        <f>IF(C222="","",IF(C222&lt;Setup!$C$5-Setup!$C$6,"",IF(IF(ISNUMBER(Roster!$D222),Setup!$C$21&lt;=Roster!$D222,FALSE),"",IF(OR(IF(Setup!$C$15&lt;=Setup!$C$16,AND(MONTH(C222)&gt;=Setup!$C$15,MONTH(C222)&lt;=Setup!$C$16),OR(MONTH(C222)&gt;=Setup!$C$15,MONTH(C222)&lt;=Setup!$C$16)),IF(Setup!$C$15&lt;=Setup!$C$16,AND(MONTH(WORKDAY(C222,-(Setup!$C$13+Setup!$G$21),Setup!$C$39:$C$50))&gt;=Setup!$C$15,MONTH(WORKDAY(C222,-(Setup!$C$13+Setup!$G$21),Setup!$C$39:$C$50))&lt;=Setup!$C$16),OR(MONTH(WORKDAY(C222,-(Setup!$C$13+Setup!$G$21),Setup!$C$39:$C$50))&gt;=Setup!$C$15,MONTH(WORKDAY(C222,-(Setup!$C$13+Setup!$G$21),Setup!$C$39:$C$50))&lt;=Setup!$C$16))),WORKDAY(C222,-(Setup!$C$13+Setup!$G$21+Setup!$C$14),Setup!$C$39:$C$50),WORKDAY(C222,-(Setup!$C$13+Setup!$G$21),Setup!$C$39:$C$50))+(217*100+2)/10000000)))</f>
        <v/>
      </c>
      <c r="T222" t="str">
        <f>IF(D222="","",IF(D222&lt;Setup!$C$5-Setup!$C$6,"",IF(IF(ISNUMBER(Roster!$D222),Setup!$C$22&lt;=Roster!$D222,FALSE),"",IF(OR(IF(Setup!$C$15&lt;=Setup!$C$16,AND(MONTH(D222)&gt;=Setup!$C$15,MONTH(D222)&lt;=Setup!$C$16),OR(MONTH(D222)&gt;=Setup!$C$15,MONTH(D222)&lt;=Setup!$C$16)),IF(Setup!$C$15&lt;=Setup!$C$16,AND(MONTH(WORKDAY(D222,-(Setup!$C$13+Setup!$G$22),Setup!$C$39:$C$50))&gt;=Setup!$C$15,MONTH(WORKDAY(D222,-(Setup!$C$13+Setup!$G$22),Setup!$C$39:$C$50))&lt;=Setup!$C$16),OR(MONTH(WORKDAY(D222,-(Setup!$C$13+Setup!$G$22),Setup!$C$39:$C$50))&gt;=Setup!$C$15,MONTH(WORKDAY(D222,-(Setup!$C$13+Setup!$G$22),Setup!$C$39:$C$50))&lt;=Setup!$C$16))),WORKDAY(D222,-(Setup!$C$13+Setup!$G$22+Setup!$C$14),Setup!$C$39:$C$50),WORKDAY(D222,-(Setup!$C$13+Setup!$G$22),Setup!$C$39:$C$50))+(217*100+3)/10000000)))</f>
        <v/>
      </c>
      <c r="U222" t="str">
        <f>IF(E222="","",IF(E222&lt;Setup!$C$5-Setup!$C$6,"",IF(IF(ISNUMBER(Roster!$D222),Setup!$C$23&lt;=Roster!$D222,FALSE),"",IF(OR(IF(Setup!$C$15&lt;=Setup!$C$16,AND(MONTH(E222)&gt;=Setup!$C$15,MONTH(E222)&lt;=Setup!$C$16),OR(MONTH(E222)&gt;=Setup!$C$15,MONTH(E222)&lt;=Setup!$C$16)),IF(Setup!$C$15&lt;=Setup!$C$16,AND(MONTH(WORKDAY(E222,-(Setup!$C$13+Setup!$G$23),Setup!$C$39:$C$50))&gt;=Setup!$C$15,MONTH(WORKDAY(E222,-(Setup!$C$13+Setup!$G$23),Setup!$C$39:$C$50))&lt;=Setup!$C$16),OR(MONTH(WORKDAY(E222,-(Setup!$C$13+Setup!$G$23),Setup!$C$39:$C$50))&gt;=Setup!$C$15,MONTH(WORKDAY(E222,-(Setup!$C$13+Setup!$G$23),Setup!$C$39:$C$50))&lt;=Setup!$C$16))),WORKDAY(E222,-(Setup!$C$13+Setup!$G$23+Setup!$C$14),Setup!$C$39:$C$50),WORKDAY(E222,-(Setup!$C$13+Setup!$G$23),Setup!$C$39:$C$50))+(217*100+4)/10000000)))</f>
        <v/>
      </c>
      <c r="V222" t="str">
        <f>IF(F222="","",IF(F222&lt;Setup!$C$5-Setup!$C$6,"",IF(IF(ISNUMBER(Roster!$D222),Setup!$C$24&lt;=Roster!$D222,FALSE),"",IF(OR(IF(Setup!$C$15&lt;=Setup!$C$16,AND(MONTH(F222)&gt;=Setup!$C$15,MONTH(F222)&lt;=Setup!$C$16),OR(MONTH(F222)&gt;=Setup!$C$15,MONTH(F222)&lt;=Setup!$C$16)),IF(Setup!$C$15&lt;=Setup!$C$16,AND(MONTH(WORKDAY(F222,-(Setup!$C$13+Setup!$G$24),Setup!$C$39:$C$50))&gt;=Setup!$C$15,MONTH(WORKDAY(F222,-(Setup!$C$13+Setup!$G$24),Setup!$C$39:$C$50))&lt;=Setup!$C$16),OR(MONTH(WORKDAY(F222,-(Setup!$C$13+Setup!$G$24),Setup!$C$39:$C$50))&gt;=Setup!$C$15,MONTH(WORKDAY(F222,-(Setup!$C$13+Setup!$G$24),Setup!$C$39:$C$50))&lt;=Setup!$C$16))),WORKDAY(F222,-(Setup!$C$13+Setup!$G$24+Setup!$C$14),Setup!$C$39:$C$50),WORKDAY(F222,-(Setup!$C$13+Setup!$G$24),Setup!$C$39:$C$50))+(217*100+5)/10000000)))</f>
        <v/>
      </c>
      <c r="W222" t="str">
        <f>IF(G222="","",IF(G222&lt;Setup!$C$5-Setup!$C$6,"",IF(IF(ISNUMBER(Roster!$D222),Setup!$C$25&lt;=Roster!$D222,FALSE),"",IF(OR(IF(Setup!$C$15&lt;=Setup!$C$16,AND(MONTH(G222)&gt;=Setup!$C$15,MONTH(G222)&lt;=Setup!$C$16),OR(MONTH(G222)&gt;=Setup!$C$15,MONTH(G222)&lt;=Setup!$C$16)),IF(Setup!$C$15&lt;=Setup!$C$16,AND(MONTH(WORKDAY(G222,-(Setup!$C$13+Setup!$G$25),Setup!$C$39:$C$50))&gt;=Setup!$C$15,MONTH(WORKDAY(G222,-(Setup!$C$13+Setup!$G$25),Setup!$C$39:$C$50))&lt;=Setup!$C$16),OR(MONTH(WORKDAY(G222,-(Setup!$C$13+Setup!$G$25),Setup!$C$39:$C$50))&gt;=Setup!$C$15,MONTH(WORKDAY(G222,-(Setup!$C$13+Setup!$G$25),Setup!$C$39:$C$50))&lt;=Setup!$C$16))),WORKDAY(G222,-(Setup!$C$13+Setup!$G$25+Setup!$C$14),Setup!$C$39:$C$50),WORKDAY(G222,-(Setup!$C$13+Setup!$G$25),Setup!$C$39:$C$50))+(217*100+6)/10000000)))</f>
        <v/>
      </c>
      <c r="X222" t="str">
        <f>IF(H222="","",IF(H222&lt;Setup!$C$5-Setup!$C$6,"",IF(IF(ISNUMBER(Roster!$D222),Setup!$C$26&lt;=Roster!$D222,FALSE),"",IF(OR(IF(Setup!$C$15&lt;=Setup!$C$16,AND(MONTH(H222)&gt;=Setup!$C$15,MONTH(H222)&lt;=Setup!$C$16),OR(MONTH(H222)&gt;=Setup!$C$15,MONTH(H222)&lt;=Setup!$C$16)),IF(Setup!$C$15&lt;=Setup!$C$16,AND(MONTH(WORKDAY(H222,-(Setup!$C$13+Setup!$G$26),Setup!$C$39:$C$50))&gt;=Setup!$C$15,MONTH(WORKDAY(H222,-(Setup!$C$13+Setup!$G$26),Setup!$C$39:$C$50))&lt;=Setup!$C$16),OR(MONTH(WORKDAY(H222,-(Setup!$C$13+Setup!$G$26),Setup!$C$39:$C$50))&gt;=Setup!$C$15,MONTH(WORKDAY(H222,-(Setup!$C$13+Setup!$G$26),Setup!$C$39:$C$50))&lt;=Setup!$C$16))),WORKDAY(H222,-(Setup!$C$13+Setup!$G$26+Setup!$C$14),Setup!$C$39:$C$50),WORKDAY(H222,-(Setup!$C$13+Setup!$G$26),Setup!$C$39:$C$50))+(217*100+7)/10000000)))</f>
        <v/>
      </c>
      <c r="Y222" t="str">
        <f>IF(I222="","",IF(I222&lt;Setup!$C$5-Setup!$C$6,"",IF(IF(ISNUMBER(Roster!$D222),Setup!$C$27&lt;=Roster!$D222,FALSE),"",IF(OR(IF(Setup!$C$15&lt;=Setup!$C$16,AND(MONTH(I222)&gt;=Setup!$C$15,MONTH(I222)&lt;=Setup!$C$16),OR(MONTH(I222)&gt;=Setup!$C$15,MONTH(I222)&lt;=Setup!$C$16)),IF(Setup!$C$15&lt;=Setup!$C$16,AND(MONTH(WORKDAY(I222,-(Setup!$C$13+Setup!$G$27),Setup!$C$39:$C$50))&gt;=Setup!$C$15,MONTH(WORKDAY(I222,-(Setup!$C$13+Setup!$G$27),Setup!$C$39:$C$50))&lt;=Setup!$C$16),OR(MONTH(WORKDAY(I222,-(Setup!$C$13+Setup!$G$27),Setup!$C$39:$C$50))&gt;=Setup!$C$15,MONTH(WORKDAY(I222,-(Setup!$C$13+Setup!$G$27),Setup!$C$39:$C$50))&lt;=Setup!$C$16))),WORKDAY(I222,-(Setup!$C$13+Setup!$G$27+Setup!$C$14),Setup!$C$39:$C$50),WORKDAY(I222,-(Setup!$C$13+Setup!$G$27),Setup!$C$39:$C$50))+(217*100+8)/10000000)))</f>
        <v/>
      </c>
      <c r="Z222" t="str">
        <f>IF(J222="","",IF(J222&lt;Setup!$C$5-Setup!$C$6,"",IF(IF(ISNUMBER(Roster!$D222),Setup!$C$28&lt;=Roster!$D222,FALSE),"",IF(OR(IF(Setup!$C$15&lt;=Setup!$C$16,AND(MONTH(J222)&gt;=Setup!$C$15,MONTH(J222)&lt;=Setup!$C$16),OR(MONTH(J222)&gt;=Setup!$C$15,MONTH(J222)&lt;=Setup!$C$16)),IF(Setup!$C$15&lt;=Setup!$C$16,AND(MONTH(WORKDAY(J222,-(Setup!$C$13+Setup!$G$28),Setup!$C$39:$C$50))&gt;=Setup!$C$15,MONTH(WORKDAY(J222,-(Setup!$C$13+Setup!$G$28),Setup!$C$39:$C$50))&lt;=Setup!$C$16),OR(MONTH(WORKDAY(J222,-(Setup!$C$13+Setup!$G$28),Setup!$C$39:$C$50))&gt;=Setup!$C$15,MONTH(WORKDAY(J222,-(Setup!$C$13+Setup!$G$28),Setup!$C$39:$C$50))&lt;=Setup!$C$16))),WORKDAY(J222,-(Setup!$C$13+Setup!$G$28+Setup!$C$14),Setup!$C$39:$C$50),WORKDAY(J222,-(Setup!$C$13+Setup!$G$28),Setup!$C$39:$C$50))+(217*100+9)/10000000)))</f>
        <v/>
      </c>
      <c r="AA222" t="str">
        <f>IF(K222="","",IF(K222&lt;Setup!$C$5-Setup!$C$6,"",IF(IF(ISNUMBER(Roster!$D222),Setup!$C$29&lt;=Roster!$D222,FALSE),"",IF(OR(IF(Setup!$C$15&lt;=Setup!$C$16,AND(MONTH(K222)&gt;=Setup!$C$15,MONTH(K222)&lt;=Setup!$C$16),OR(MONTH(K222)&gt;=Setup!$C$15,MONTH(K222)&lt;=Setup!$C$16)),IF(Setup!$C$15&lt;=Setup!$C$16,AND(MONTH(WORKDAY(K222,-(Setup!$C$13+Setup!$G$29),Setup!$C$39:$C$50))&gt;=Setup!$C$15,MONTH(WORKDAY(K222,-(Setup!$C$13+Setup!$G$29),Setup!$C$39:$C$50))&lt;=Setup!$C$16),OR(MONTH(WORKDAY(K222,-(Setup!$C$13+Setup!$G$29),Setup!$C$39:$C$50))&gt;=Setup!$C$15,MONTH(WORKDAY(K222,-(Setup!$C$13+Setup!$G$29),Setup!$C$39:$C$50))&lt;=Setup!$C$16))),WORKDAY(K222,-(Setup!$C$13+Setup!$G$29+Setup!$C$14),Setup!$C$39:$C$50),WORKDAY(K222,-(Setup!$C$13+Setup!$G$29),Setup!$C$39:$C$50))+(217*100+10)/10000000)))</f>
        <v/>
      </c>
      <c r="AB222" t="str">
        <f>IF(L222="","",IF(L222&lt;Setup!$C$5-Setup!$C$6,"",IF(IF(ISNUMBER(Roster!$D222),Setup!$C$30&lt;=Roster!$D222,FALSE),"",IF(OR(IF(Setup!$C$15&lt;=Setup!$C$16,AND(MONTH(L222)&gt;=Setup!$C$15,MONTH(L222)&lt;=Setup!$C$16),OR(MONTH(L222)&gt;=Setup!$C$15,MONTH(L222)&lt;=Setup!$C$16)),IF(Setup!$C$15&lt;=Setup!$C$16,AND(MONTH(WORKDAY(L222,-(Setup!$C$13+Setup!$G$30),Setup!$C$39:$C$50))&gt;=Setup!$C$15,MONTH(WORKDAY(L222,-(Setup!$C$13+Setup!$G$30),Setup!$C$39:$C$50))&lt;=Setup!$C$16),OR(MONTH(WORKDAY(L222,-(Setup!$C$13+Setup!$G$30),Setup!$C$39:$C$50))&gt;=Setup!$C$15,MONTH(WORKDAY(L222,-(Setup!$C$13+Setup!$G$30),Setup!$C$39:$C$50))&lt;=Setup!$C$16))),WORKDAY(L222,-(Setup!$C$13+Setup!$G$30+Setup!$C$14),Setup!$C$39:$C$50),WORKDAY(L222,-(Setup!$C$13+Setup!$G$30),Setup!$C$39:$C$50))+(217*100+11)/10000000)))</f>
        <v/>
      </c>
      <c r="AC222" t="str">
        <f>IF(M222="","",IF(M222&lt;Setup!$C$5-Setup!$C$6,"",IF(IF(ISNUMBER(Roster!$D222),Setup!$C$31&lt;=Roster!$D222,FALSE),"",IF(OR(IF(Setup!$C$15&lt;=Setup!$C$16,AND(MONTH(M222)&gt;=Setup!$C$15,MONTH(M222)&lt;=Setup!$C$16),OR(MONTH(M222)&gt;=Setup!$C$15,MONTH(M222)&lt;=Setup!$C$16)),IF(Setup!$C$15&lt;=Setup!$C$16,AND(MONTH(WORKDAY(M222,-(Setup!$C$13+Setup!$G$31),Setup!$C$39:$C$50))&gt;=Setup!$C$15,MONTH(WORKDAY(M222,-(Setup!$C$13+Setup!$G$31),Setup!$C$39:$C$50))&lt;=Setup!$C$16),OR(MONTH(WORKDAY(M222,-(Setup!$C$13+Setup!$G$31),Setup!$C$39:$C$50))&gt;=Setup!$C$15,MONTH(WORKDAY(M222,-(Setup!$C$13+Setup!$G$31),Setup!$C$39:$C$50))&lt;=Setup!$C$16))),WORKDAY(M222,-(Setup!$C$13+Setup!$G$31+Setup!$C$14),Setup!$C$39:$C$50),WORKDAY(M222,-(Setup!$C$13+Setup!$G$31),Setup!$C$39:$C$50))+(217*100+12)/10000000)))</f>
        <v/>
      </c>
      <c r="AD222" t="str">
        <f>IF(N222="","",IF(N222&lt;Setup!$C$5-Setup!$C$6,"",IF(IF(ISNUMBER(Roster!$D222),Setup!$C$32&lt;=Roster!$D222,FALSE),"",IF(OR(IF(Setup!$C$15&lt;=Setup!$C$16,AND(MONTH(N222)&gt;=Setup!$C$15,MONTH(N222)&lt;=Setup!$C$16),OR(MONTH(N222)&gt;=Setup!$C$15,MONTH(N222)&lt;=Setup!$C$16)),IF(Setup!$C$15&lt;=Setup!$C$16,AND(MONTH(WORKDAY(N222,-(Setup!$C$13+Setup!$G$32),Setup!$C$39:$C$50))&gt;=Setup!$C$15,MONTH(WORKDAY(N222,-(Setup!$C$13+Setup!$G$32),Setup!$C$39:$C$50))&lt;=Setup!$C$16),OR(MONTH(WORKDAY(N222,-(Setup!$C$13+Setup!$G$32),Setup!$C$39:$C$50))&gt;=Setup!$C$15,MONTH(WORKDAY(N222,-(Setup!$C$13+Setup!$G$32),Setup!$C$39:$C$50))&lt;=Setup!$C$16))),WORKDAY(N222,-(Setup!$C$13+Setup!$G$32+Setup!$C$14),Setup!$C$39:$C$50),WORKDAY(N222,-(Setup!$C$13+Setup!$G$32),Setup!$C$39:$C$50))+(217*100+13)/10000000)))</f>
        <v/>
      </c>
      <c r="AE222" t="str">
        <f>IF(O222="","",IF(O222&lt;Setup!$C$5-Setup!$C$6,"",IF(IF(ISNUMBER(Roster!$D222),Setup!$C$33&lt;=Roster!$D222,FALSE),"",IF(OR(IF(Setup!$C$15&lt;=Setup!$C$16,AND(MONTH(O222)&gt;=Setup!$C$15,MONTH(O222)&lt;=Setup!$C$16),OR(MONTH(O222)&gt;=Setup!$C$15,MONTH(O222)&lt;=Setup!$C$16)),IF(Setup!$C$15&lt;=Setup!$C$16,AND(MONTH(WORKDAY(O222,-(Setup!$C$13+Setup!$G$33),Setup!$C$39:$C$50))&gt;=Setup!$C$15,MONTH(WORKDAY(O222,-(Setup!$C$13+Setup!$G$33),Setup!$C$39:$C$50))&lt;=Setup!$C$16),OR(MONTH(WORKDAY(O222,-(Setup!$C$13+Setup!$G$33),Setup!$C$39:$C$50))&gt;=Setup!$C$15,MONTH(WORKDAY(O222,-(Setup!$C$13+Setup!$G$33),Setup!$C$39:$C$50))&lt;=Setup!$C$16))),WORKDAY(O222,-(Setup!$C$13+Setup!$G$33+Setup!$C$14),Setup!$C$39:$C$50),WORKDAY(O222,-(Setup!$C$13+Setup!$G$33),Setup!$C$39:$C$50))+(217*100+14)/10000000)))</f>
        <v/>
      </c>
      <c r="AF222" t="str">
        <f>IF(P222="","",IF(P222&lt;Setup!$C$5-Setup!$C$6,"",IF(IF(ISNUMBER(Roster!$D222),Setup!$C$34&lt;=Roster!$D222,FALSE),"",IF(OR(IF(Setup!$C$15&lt;=Setup!$C$16,AND(MONTH(P222)&gt;=Setup!$C$15,MONTH(P222)&lt;=Setup!$C$16),OR(MONTH(P222)&gt;=Setup!$C$15,MONTH(P222)&lt;=Setup!$C$16)),IF(Setup!$C$15&lt;=Setup!$C$16,AND(MONTH(WORKDAY(P222,-(Setup!$C$13+Setup!$G$34),Setup!$C$39:$C$50))&gt;=Setup!$C$15,MONTH(WORKDAY(P222,-(Setup!$C$13+Setup!$G$34),Setup!$C$39:$C$50))&lt;=Setup!$C$16),OR(MONTH(WORKDAY(P222,-(Setup!$C$13+Setup!$G$34),Setup!$C$39:$C$50))&gt;=Setup!$C$15,MONTH(WORKDAY(P222,-(Setup!$C$13+Setup!$G$34),Setup!$C$39:$C$50))&lt;=Setup!$C$16))),WORKDAY(P222,-(Setup!$C$13+Setup!$G$34+Setup!$C$14),Setup!$C$39:$C$50),WORKDAY(P222,-(Setup!$C$13+Setup!$G$34),Setup!$C$39:$C$50))+(217*100+15)/10000000)))</f>
        <v/>
      </c>
      <c r="AH222" t="str">
        <f t="shared" si="25"/>
        <v/>
      </c>
      <c r="AI222" t="str">
        <f t="shared" si="26"/>
        <v/>
      </c>
      <c r="AK222" t="str">
        <f ca="1">IF(217&gt;$AK$2,"",SMALL($R$6:$AF$505,217))</f>
        <v/>
      </c>
      <c r="AL222" t="str">
        <f t="shared" ca="1" si="27"/>
        <v/>
      </c>
      <c r="AM222" t="str">
        <f t="shared" ca="1" si="28"/>
        <v/>
      </c>
      <c r="AN222" t="str">
        <f t="shared" ca="1" si="29"/>
        <v/>
      </c>
      <c r="AP222" t="str">
        <f>IF(ISNUMBER(Roster!$B222),MAX(1,YEAR(Setup!$C$5)-YEAR(Roster!$B222)+IF(EDATE(Roster!$B222,12*(YEAR(Setup!$C$5)-YEAR(Roster!$B222)))&lt;Setup!$C$5,1,0)),"")</f>
        <v/>
      </c>
      <c r="AQ222" s="32" t="str">
        <f>IF(AP222="","",EDATE(Roster!$B222,12*AP222))</f>
        <v/>
      </c>
      <c r="AR222" t="str">
        <f>IF(AQ222="","",IF(AQ222&lt;DATE(YEAR(Setup!$C$5)+1,MONTH(Setup!$C$5),DAY(Setup!$C$5)),AQ222+217/1000,""))</f>
        <v/>
      </c>
      <c r="AS222" t="str">
        <f t="shared" si="30"/>
        <v/>
      </c>
      <c r="AT222" t="str">
        <f>IF(AS222="","",IF(ISNUMBER(Roster!$D222),Roster!$D222&gt;=AP222,FALSE))</f>
        <v/>
      </c>
      <c r="AU222" t="str">
        <f t="shared" si="31"/>
        <v/>
      </c>
      <c r="AV222" t="str">
        <f ca="1">IF(217&gt;$AV$2,"",SMALL($AR$6:$AR$505,217))</f>
        <v/>
      </c>
      <c r="AW222" t="str">
        <f t="shared" ca="1" si="32"/>
        <v/>
      </c>
    </row>
    <row r="223" spans="2:49" x14ac:dyDescent="0.2">
      <c r="B223" s="32" t="str">
        <f>IF(AND(ISNUMBER(Roster!$B223),Setup!$B$20="Yes",ISNUMBER(Setup!$C$20)),EDATE(Roster!$B223,12*Setup!$C$20),"")</f>
        <v/>
      </c>
      <c r="C223" s="32" t="str">
        <f>IF(AND(ISNUMBER(Roster!$B223),Setup!$B$21="Yes",ISNUMBER(Setup!$C$21)),EDATE(Roster!$B223,12*Setup!$C$21),"")</f>
        <v/>
      </c>
      <c r="D223" s="32" t="str">
        <f>IF(AND(ISNUMBER(Roster!$B223),Setup!$B$22="Yes",ISNUMBER(Setup!$C$22)),EDATE(Roster!$B223,12*Setup!$C$22),"")</f>
        <v/>
      </c>
      <c r="E223" s="32" t="str">
        <f>IF(AND(ISNUMBER(Roster!$B223),Setup!$B$23="Yes",ISNUMBER(Setup!$C$23)),EDATE(Roster!$B223,12*Setup!$C$23),"")</f>
        <v/>
      </c>
      <c r="F223" s="32" t="str">
        <f>IF(AND(ISNUMBER(Roster!$B223),Setup!$B$24="Yes",ISNUMBER(Setup!$C$24)),EDATE(Roster!$B223,12*Setup!$C$24),"")</f>
        <v/>
      </c>
      <c r="G223" s="32" t="str">
        <f>IF(AND(ISNUMBER(Roster!$B223),Setup!$B$25="Yes",ISNUMBER(Setup!$C$25)),EDATE(Roster!$B223,12*Setup!$C$25),"")</f>
        <v/>
      </c>
      <c r="H223" s="32" t="str">
        <f>IF(AND(ISNUMBER(Roster!$B223),Setup!$B$26="Yes",ISNUMBER(Setup!$C$26)),EDATE(Roster!$B223,12*Setup!$C$26),"")</f>
        <v/>
      </c>
      <c r="I223" s="32" t="str">
        <f>IF(AND(ISNUMBER(Roster!$B223),Setup!$B$27="Yes",ISNUMBER(Setup!$C$27)),EDATE(Roster!$B223,12*Setup!$C$27),"")</f>
        <v/>
      </c>
      <c r="J223" s="32" t="str">
        <f>IF(AND(ISNUMBER(Roster!$B223),Setup!$B$28="Yes",ISNUMBER(Setup!$C$28)),EDATE(Roster!$B223,12*Setup!$C$28),"")</f>
        <v/>
      </c>
      <c r="K223" s="32" t="str">
        <f>IF(AND(ISNUMBER(Roster!$B223),Setup!$B$29="Yes",ISNUMBER(Setup!$C$29)),EDATE(Roster!$B223,12*Setup!$C$29),"")</f>
        <v/>
      </c>
      <c r="L223" s="32" t="str">
        <f>IF(AND(ISNUMBER(Roster!$B223),Setup!$B$30="Yes",ISNUMBER(Setup!$C$30)),EDATE(Roster!$B223,12*Setup!$C$30),"")</f>
        <v/>
      </c>
      <c r="M223" s="32" t="str">
        <f>IF(AND(ISNUMBER(Roster!$B223),Setup!$B$31="Yes",ISNUMBER(Setup!$C$31)),EDATE(Roster!$B223,12*Setup!$C$31),"")</f>
        <v/>
      </c>
      <c r="N223" s="32" t="str">
        <f>IF(AND(ISNUMBER(Roster!$B223),Setup!$B$32="Yes",ISNUMBER(Setup!$C$32)),EDATE(Roster!$B223,12*Setup!$C$32),"")</f>
        <v/>
      </c>
      <c r="O223" s="32" t="str">
        <f>IF(AND(ISNUMBER(Roster!$B223),Setup!$B$33="Yes",ISNUMBER(Setup!$C$33)),EDATE(Roster!$B223,12*Setup!$C$33),"")</f>
        <v/>
      </c>
      <c r="P223" s="32" t="str">
        <f>IF(AND(ISNUMBER(Roster!$B223),Setup!$B$34="Yes",ISNUMBER(Setup!$C$34)),EDATE(Roster!$B223,12*Setup!$C$34),"")</f>
        <v/>
      </c>
      <c r="R223" t="str">
        <f>IF(B223="","",IF(B223&lt;Setup!$C$5-Setup!$C$6,"",IF(IF(ISNUMBER(Roster!$D223),Setup!$C$20&lt;=Roster!$D223,FALSE),"",IF(OR(IF(Setup!$C$15&lt;=Setup!$C$16,AND(MONTH(B223)&gt;=Setup!$C$15,MONTH(B223)&lt;=Setup!$C$16),OR(MONTH(B223)&gt;=Setup!$C$15,MONTH(B223)&lt;=Setup!$C$16)),IF(Setup!$C$15&lt;=Setup!$C$16,AND(MONTH(WORKDAY(B223,-(Setup!$C$13+Setup!$G$20),Setup!$C$39:$C$50))&gt;=Setup!$C$15,MONTH(WORKDAY(B223,-(Setup!$C$13+Setup!$G$20),Setup!$C$39:$C$50))&lt;=Setup!$C$16),OR(MONTH(WORKDAY(B223,-(Setup!$C$13+Setup!$G$20),Setup!$C$39:$C$50))&gt;=Setup!$C$15,MONTH(WORKDAY(B223,-(Setup!$C$13+Setup!$G$20),Setup!$C$39:$C$50))&lt;=Setup!$C$16))),WORKDAY(B223,-(Setup!$C$13+Setup!$G$20+Setup!$C$14),Setup!$C$39:$C$50),WORKDAY(B223,-(Setup!$C$13+Setup!$G$20),Setup!$C$39:$C$50))+(218*100+1)/10000000)))</f>
        <v/>
      </c>
      <c r="S223" t="str">
        <f>IF(C223="","",IF(C223&lt;Setup!$C$5-Setup!$C$6,"",IF(IF(ISNUMBER(Roster!$D223),Setup!$C$21&lt;=Roster!$D223,FALSE),"",IF(OR(IF(Setup!$C$15&lt;=Setup!$C$16,AND(MONTH(C223)&gt;=Setup!$C$15,MONTH(C223)&lt;=Setup!$C$16),OR(MONTH(C223)&gt;=Setup!$C$15,MONTH(C223)&lt;=Setup!$C$16)),IF(Setup!$C$15&lt;=Setup!$C$16,AND(MONTH(WORKDAY(C223,-(Setup!$C$13+Setup!$G$21),Setup!$C$39:$C$50))&gt;=Setup!$C$15,MONTH(WORKDAY(C223,-(Setup!$C$13+Setup!$G$21),Setup!$C$39:$C$50))&lt;=Setup!$C$16),OR(MONTH(WORKDAY(C223,-(Setup!$C$13+Setup!$G$21),Setup!$C$39:$C$50))&gt;=Setup!$C$15,MONTH(WORKDAY(C223,-(Setup!$C$13+Setup!$G$21),Setup!$C$39:$C$50))&lt;=Setup!$C$16))),WORKDAY(C223,-(Setup!$C$13+Setup!$G$21+Setup!$C$14),Setup!$C$39:$C$50),WORKDAY(C223,-(Setup!$C$13+Setup!$G$21),Setup!$C$39:$C$50))+(218*100+2)/10000000)))</f>
        <v/>
      </c>
      <c r="T223" t="str">
        <f>IF(D223="","",IF(D223&lt;Setup!$C$5-Setup!$C$6,"",IF(IF(ISNUMBER(Roster!$D223),Setup!$C$22&lt;=Roster!$D223,FALSE),"",IF(OR(IF(Setup!$C$15&lt;=Setup!$C$16,AND(MONTH(D223)&gt;=Setup!$C$15,MONTH(D223)&lt;=Setup!$C$16),OR(MONTH(D223)&gt;=Setup!$C$15,MONTH(D223)&lt;=Setup!$C$16)),IF(Setup!$C$15&lt;=Setup!$C$16,AND(MONTH(WORKDAY(D223,-(Setup!$C$13+Setup!$G$22),Setup!$C$39:$C$50))&gt;=Setup!$C$15,MONTH(WORKDAY(D223,-(Setup!$C$13+Setup!$G$22),Setup!$C$39:$C$50))&lt;=Setup!$C$16),OR(MONTH(WORKDAY(D223,-(Setup!$C$13+Setup!$G$22),Setup!$C$39:$C$50))&gt;=Setup!$C$15,MONTH(WORKDAY(D223,-(Setup!$C$13+Setup!$G$22),Setup!$C$39:$C$50))&lt;=Setup!$C$16))),WORKDAY(D223,-(Setup!$C$13+Setup!$G$22+Setup!$C$14),Setup!$C$39:$C$50),WORKDAY(D223,-(Setup!$C$13+Setup!$G$22),Setup!$C$39:$C$50))+(218*100+3)/10000000)))</f>
        <v/>
      </c>
      <c r="U223" t="str">
        <f>IF(E223="","",IF(E223&lt;Setup!$C$5-Setup!$C$6,"",IF(IF(ISNUMBER(Roster!$D223),Setup!$C$23&lt;=Roster!$D223,FALSE),"",IF(OR(IF(Setup!$C$15&lt;=Setup!$C$16,AND(MONTH(E223)&gt;=Setup!$C$15,MONTH(E223)&lt;=Setup!$C$16),OR(MONTH(E223)&gt;=Setup!$C$15,MONTH(E223)&lt;=Setup!$C$16)),IF(Setup!$C$15&lt;=Setup!$C$16,AND(MONTH(WORKDAY(E223,-(Setup!$C$13+Setup!$G$23),Setup!$C$39:$C$50))&gt;=Setup!$C$15,MONTH(WORKDAY(E223,-(Setup!$C$13+Setup!$G$23),Setup!$C$39:$C$50))&lt;=Setup!$C$16),OR(MONTH(WORKDAY(E223,-(Setup!$C$13+Setup!$G$23),Setup!$C$39:$C$50))&gt;=Setup!$C$15,MONTH(WORKDAY(E223,-(Setup!$C$13+Setup!$G$23),Setup!$C$39:$C$50))&lt;=Setup!$C$16))),WORKDAY(E223,-(Setup!$C$13+Setup!$G$23+Setup!$C$14),Setup!$C$39:$C$50),WORKDAY(E223,-(Setup!$C$13+Setup!$G$23),Setup!$C$39:$C$50))+(218*100+4)/10000000)))</f>
        <v/>
      </c>
      <c r="V223" t="str">
        <f>IF(F223="","",IF(F223&lt;Setup!$C$5-Setup!$C$6,"",IF(IF(ISNUMBER(Roster!$D223),Setup!$C$24&lt;=Roster!$D223,FALSE),"",IF(OR(IF(Setup!$C$15&lt;=Setup!$C$16,AND(MONTH(F223)&gt;=Setup!$C$15,MONTH(F223)&lt;=Setup!$C$16),OR(MONTH(F223)&gt;=Setup!$C$15,MONTH(F223)&lt;=Setup!$C$16)),IF(Setup!$C$15&lt;=Setup!$C$16,AND(MONTH(WORKDAY(F223,-(Setup!$C$13+Setup!$G$24),Setup!$C$39:$C$50))&gt;=Setup!$C$15,MONTH(WORKDAY(F223,-(Setup!$C$13+Setup!$G$24),Setup!$C$39:$C$50))&lt;=Setup!$C$16),OR(MONTH(WORKDAY(F223,-(Setup!$C$13+Setup!$G$24),Setup!$C$39:$C$50))&gt;=Setup!$C$15,MONTH(WORKDAY(F223,-(Setup!$C$13+Setup!$G$24),Setup!$C$39:$C$50))&lt;=Setup!$C$16))),WORKDAY(F223,-(Setup!$C$13+Setup!$G$24+Setup!$C$14),Setup!$C$39:$C$50),WORKDAY(F223,-(Setup!$C$13+Setup!$G$24),Setup!$C$39:$C$50))+(218*100+5)/10000000)))</f>
        <v/>
      </c>
      <c r="W223" t="str">
        <f>IF(G223="","",IF(G223&lt;Setup!$C$5-Setup!$C$6,"",IF(IF(ISNUMBER(Roster!$D223),Setup!$C$25&lt;=Roster!$D223,FALSE),"",IF(OR(IF(Setup!$C$15&lt;=Setup!$C$16,AND(MONTH(G223)&gt;=Setup!$C$15,MONTH(G223)&lt;=Setup!$C$16),OR(MONTH(G223)&gt;=Setup!$C$15,MONTH(G223)&lt;=Setup!$C$16)),IF(Setup!$C$15&lt;=Setup!$C$16,AND(MONTH(WORKDAY(G223,-(Setup!$C$13+Setup!$G$25),Setup!$C$39:$C$50))&gt;=Setup!$C$15,MONTH(WORKDAY(G223,-(Setup!$C$13+Setup!$G$25),Setup!$C$39:$C$50))&lt;=Setup!$C$16),OR(MONTH(WORKDAY(G223,-(Setup!$C$13+Setup!$G$25),Setup!$C$39:$C$50))&gt;=Setup!$C$15,MONTH(WORKDAY(G223,-(Setup!$C$13+Setup!$G$25),Setup!$C$39:$C$50))&lt;=Setup!$C$16))),WORKDAY(G223,-(Setup!$C$13+Setup!$G$25+Setup!$C$14),Setup!$C$39:$C$50),WORKDAY(G223,-(Setup!$C$13+Setup!$G$25),Setup!$C$39:$C$50))+(218*100+6)/10000000)))</f>
        <v/>
      </c>
      <c r="X223" t="str">
        <f>IF(H223="","",IF(H223&lt;Setup!$C$5-Setup!$C$6,"",IF(IF(ISNUMBER(Roster!$D223),Setup!$C$26&lt;=Roster!$D223,FALSE),"",IF(OR(IF(Setup!$C$15&lt;=Setup!$C$16,AND(MONTH(H223)&gt;=Setup!$C$15,MONTH(H223)&lt;=Setup!$C$16),OR(MONTH(H223)&gt;=Setup!$C$15,MONTH(H223)&lt;=Setup!$C$16)),IF(Setup!$C$15&lt;=Setup!$C$16,AND(MONTH(WORKDAY(H223,-(Setup!$C$13+Setup!$G$26),Setup!$C$39:$C$50))&gt;=Setup!$C$15,MONTH(WORKDAY(H223,-(Setup!$C$13+Setup!$G$26),Setup!$C$39:$C$50))&lt;=Setup!$C$16),OR(MONTH(WORKDAY(H223,-(Setup!$C$13+Setup!$G$26),Setup!$C$39:$C$50))&gt;=Setup!$C$15,MONTH(WORKDAY(H223,-(Setup!$C$13+Setup!$G$26),Setup!$C$39:$C$50))&lt;=Setup!$C$16))),WORKDAY(H223,-(Setup!$C$13+Setup!$G$26+Setup!$C$14),Setup!$C$39:$C$50),WORKDAY(H223,-(Setup!$C$13+Setup!$G$26),Setup!$C$39:$C$50))+(218*100+7)/10000000)))</f>
        <v/>
      </c>
      <c r="Y223" t="str">
        <f>IF(I223="","",IF(I223&lt;Setup!$C$5-Setup!$C$6,"",IF(IF(ISNUMBER(Roster!$D223),Setup!$C$27&lt;=Roster!$D223,FALSE),"",IF(OR(IF(Setup!$C$15&lt;=Setup!$C$16,AND(MONTH(I223)&gt;=Setup!$C$15,MONTH(I223)&lt;=Setup!$C$16),OR(MONTH(I223)&gt;=Setup!$C$15,MONTH(I223)&lt;=Setup!$C$16)),IF(Setup!$C$15&lt;=Setup!$C$16,AND(MONTH(WORKDAY(I223,-(Setup!$C$13+Setup!$G$27),Setup!$C$39:$C$50))&gt;=Setup!$C$15,MONTH(WORKDAY(I223,-(Setup!$C$13+Setup!$G$27),Setup!$C$39:$C$50))&lt;=Setup!$C$16),OR(MONTH(WORKDAY(I223,-(Setup!$C$13+Setup!$G$27),Setup!$C$39:$C$50))&gt;=Setup!$C$15,MONTH(WORKDAY(I223,-(Setup!$C$13+Setup!$G$27),Setup!$C$39:$C$50))&lt;=Setup!$C$16))),WORKDAY(I223,-(Setup!$C$13+Setup!$G$27+Setup!$C$14),Setup!$C$39:$C$50),WORKDAY(I223,-(Setup!$C$13+Setup!$G$27),Setup!$C$39:$C$50))+(218*100+8)/10000000)))</f>
        <v/>
      </c>
      <c r="Z223" t="str">
        <f>IF(J223="","",IF(J223&lt;Setup!$C$5-Setup!$C$6,"",IF(IF(ISNUMBER(Roster!$D223),Setup!$C$28&lt;=Roster!$D223,FALSE),"",IF(OR(IF(Setup!$C$15&lt;=Setup!$C$16,AND(MONTH(J223)&gt;=Setup!$C$15,MONTH(J223)&lt;=Setup!$C$16),OR(MONTH(J223)&gt;=Setup!$C$15,MONTH(J223)&lt;=Setup!$C$16)),IF(Setup!$C$15&lt;=Setup!$C$16,AND(MONTH(WORKDAY(J223,-(Setup!$C$13+Setup!$G$28),Setup!$C$39:$C$50))&gt;=Setup!$C$15,MONTH(WORKDAY(J223,-(Setup!$C$13+Setup!$G$28),Setup!$C$39:$C$50))&lt;=Setup!$C$16),OR(MONTH(WORKDAY(J223,-(Setup!$C$13+Setup!$G$28),Setup!$C$39:$C$50))&gt;=Setup!$C$15,MONTH(WORKDAY(J223,-(Setup!$C$13+Setup!$G$28),Setup!$C$39:$C$50))&lt;=Setup!$C$16))),WORKDAY(J223,-(Setup!$C$13+Setup!$G$28+Setup!$C$14),Setup!$C$39:$C$50),WORKDAY(J223,-(Setup!$C$13+Setup!$G$28),Setup!$C$39:$C$50))+(218*100+9)/10000000)))</f>
        <v/>
      </c>
      <c r="AA223" t="str">
        <f>IF(K223="","",IF(K223&lt;Setup!$C$5-Setup!$C$6,"",IF(IF(ISNUMBER(Roster!$D223),Setup!$C$29&lt;=Roster!$D223,FALSE),"",IF(OR(IF(Setup!$C$15&lt;=Setup!$C$16,AND(MONTH(K223)&gt;=Setup!$C$15,MONTH(K223)&lt;=Setup!$C$16),OR(MONTH(K223)&gt;=Setup!$C$15,MONTH(K223)&lt;=Setup!$C$16)),IF(Setup!$C$15&lt;=Setup!$C$16,AND(MONTH(WORKDAY(K223,-(Setup!$C$13+Setup!$G$29),Setup!$C$39:$C$50))&gt;=Setup!$C$15,MONTH(WORKDAY(K223,-(Setup!$C$13+Setup!$G$29),Setup!$C$39:$C$50))&lt;=Setup!$C$16),OR(MONTH(WORKDAY(K223,-(Setup!$C$13+Setup!$G$29),Setup!$C$39:$C$50))&gt;=Setup!$C$15,MONTH(WORKDAY(K223,-(Setup!$C$13+Setup!$G$29),Setup!$C$39:$C$50))&lt;=Setup!$C$16))),WORKDAY(K223,-(Setup!$C$13+Setup!$G$29+Setup!$C$14),Setup!$C$39:$C$50),WORKDAY(K223,-(Setup!$C$13+Setup!$G$29),Setup!$C$39:$C$50))+(218*100+10)/10000000)))</f>
        <v/>
      </c>
      <c r="AB223" t="str">
        <f>IF(L223="","",IF(L223&lt;Setup!$C$5-Setup!$C$6,"",IF(IF(ISNUMBER(Roster!$D223),Setup!$C$30&lt;=Roster!$D223,FALSE),"",IF(OR(IF(Setup!$C$15&lt;=Setup!$C$16,AND(MONTH(L223)&gt;=Setup!$C$15,MONTH(L223)&lt;=Setup!$C$16),OR(MONTH(L223)&gt;=Setup!$C$15,MONTH(L223)&lt;=Setup!$C$16)),IF(Setup!$C$15&lt;=Setup!$C$16,AND(MONTH(WORKDAY(L223,-(Setup!$C$13+Setup!$G$30),Setup!$C$39:$C$50))&gt;=Setup!$C$15,MONTH(WORKDAY(L223,-(Setup!$C$13+Setup!$G$30),Setup!$C$39:$C$50))&lt;=Setup!$C$16),OR(MONTH(WORKDAY(L223,-(Setup!$C$13+Setup!$G$30),Setup!$C$39:$C$50))&gt;=Setup!$C$15,MONTH(WORKDAY(L223,-(Setup!$C$13+Setup!$G$30),Setup!$C$39:$C$50))&lt;=Setup!$C$16))),WORKDAY(L223,-(Setup!$C$13+Setup!$G$30+Setup!$C$14),Setup!$C$39:$C$50),WORKDAY(L223,-(Setup!$C$13+Setup!$G$30),Setup!$C$39:$C$50))+(218*100+11)/10000000)))</f>
        <v/>
      </c>
      <c r="AC223" t="str">
        <f>IF(M223="","",IF(M223&lt;Setup!$C$5-Setup!$C$6,"",IF(IF(ISNUMBER(Roster!$D223),Setup!$C$31&lt;=Roster!$D223,FALSE),"",IF(OR(IF(Setup!$C$15&lt;=Setup!$C$16,AND(MONTH(M223)&gt;=Setup!$C$15,MONTH(M223)&lt;=Setup!$C$16),OR(MONTH(M223)&gt;=Setup!$C$15,MONTH(M223)&lt;=Setup!$C$16)),IF(Setup!$C$15&lt;=Setup!$C$16,AND(MONTH(WORKDAY(M223,-(Setup!$C$13+Setup!$G$31),Setup!$C$39:$C$50))&gt;=Setup!$C$15,MONTH(WORKDAY(M223,-(Setup!$C$13+Setup!$G$31),Setup!$C$39:$C$50))&lt;=Setup!$C$16),OR(MONTH(WORKDAY(M223,-(Setup!$C$13+Setup!$G$31),Setup!$C$39:$C$50))&gt;=Setup!$C$15,MONTH(WORKDAY(M223,-(Setup!$C$13+Setup!$G$31),Setup!$C$39:$C$50))&lt;=Setup!$C$16))),WORKDAY(M223,-(Setup!$C$13+Setup!$G$31+Setup!$C$14),Setup!$C$39:$C$50),WORKDAY(M223,-(Setup!$C$13+Setup!$G$31),Setup!$C$39:$C$50))+(218*100+12)/10000000)))</f>
        <v/>
      </c>
      <c r="AD223" t="str">
        <f>IF(N223="","",IF(N223&lt;Setup!$C$5-Setup!$C$6,"",IF(IF(ISNUMBER(Roster!$D223),Setup!$C$32&lt;=Roster!$D223,FALSE),"",IF(OR(IF(Setup!$C$15&lt;=Setup!$C$16,AND(MONTH(N223)&gt;=Setup!$C$15,MONTH(N223)&lt;=Setup!$C$16),OR(MONTH(N223)&gt;=Setup!$C$15,MONTH(N223)&lt;=Setup!$C$16)),IF(Setup!$C$15&lt;=Setup!$C$16,AND(MONTH(WORKDAY(N223,-(Setup!$C$13+Setup!$G$32),Setup!$C$39:$C$50))&gt;=Setup!$C$15,MONTH(WORKDAY(N223,-(Setup!$C$13+Setup!$G$32),Setup!$C$39:$C$50))&lt;=Setup!$C$16),OR(MONTH(WORKDAY(N223,-(Setup!$C$13+Setup!$G$32),Setup!$C$39:$C$50))&gt;=Setup!$C$15,MONTH(WORKDAY(N223,-(Setup!$C$13+Setup!$G$32),Setup!$C$39:$C$50))&lt;=Setup!$C$16))),WORKDAY(N223,-(Setup!$C$13+Setup!$G$32+Setup!$C$14),Setup!$C$39:$C$50),WORKDAY(N223,-(Setup!$C$13+Setup!$G$32),Setup!$C$39:$C$50))+(218*100+13)/10000000)))</f>
        <v/>
      </c>
      <c r="AE223" t="str">
        <f>IF(O223="","",IF(O223&lt;Setup!$C$5-Setup!$C$6,"",IF(IF(ISNUMBER(Roster!$D223),Setup!$C$33&lt;=Roster!$D223,FALSE),"",IF(OR(IF(Setup!$C$15&lt;=Setup!$C$16,AND(MONTH(O223)&gt;=Setup!$C$15,MONTH(O223)&lt;=Setup!$C$16),OR(MONTH(O223)&gt;=Setup!$C$15,MONTH(O223)&lt;=Setup!$C$16)),IF(Setup!$C$15&lt;=Setup!$C$16,AND(MONTH(WORKDAY(O223,-(Setup!$C$13+Setup!$G$33),Setup!$C$39:$C$50))&gt;=Setup!$C$15,MONTH(WORKDAY(O223,-(Setup!$C$13+Setup!$G$33),Setup!$C$39:$C$50))&lt;=Setup!$C$16),OR(MONTH(WORKDAY(O223,-(Setup!$C$13+Setup!$G$33),Setup!$C$39:$C$50))&gt;=Setup!$C$15,MONTH(WORKDAY(O223,-(Setup!$C$13+Setup!$G$33),Setup!$C$39:$C$50))&lt;=Setup!$C$16))),WORKDAY(O223,-(Setup!$C$13+Setup!$G$33+Setup!$C$14),Setup!$C$39:$C$50),WORKDAY(O223,-(Setup!$C$13+Setup!$G$33),Setup!$C$39:$C$50))+(218*100+14)/10000000)))</f>
        <v/>
      </c>
      <c r="AF223" t="str">
        <f>IF(P223="","",IF(P223&lt;Setup!$C$5-Setup!$C$6,"",IF(IF(ISNUMBER(Roster!$D223),Setup!$C$34&lt;=Roster!$D223,FALSE),"",IF(OR(IF(Setup!$C$15&lt;=Setup!$C$16,AND(MONTH(P223)&gt;=Setup!$C$15,MONTH(P223)&lt;=Setup!$C$16),OR(MONTH(P223)&gt;=Setup!$C$15,MONTH(P223)&lt;=Setup!$C$16)),IF(Setup!$C$15&lt;=Setup!$C$16,AND(MONTH(WORKDAY(P223,-(Setup!$C$13+Setup!$G$34),Setup!$C$39:$C$50))&gt;=Setup!$C$15,MONTH(WORKDAY(P223,-(Setup!$C$13+Setup!$G$34),Setup!$C$39:$C$50))&lt;=Setup!$C$16),OR(MONTH(WORKDAY(P223,-(Setup!$C$13+Setup!$G$34),Setup!$C$39:$C$50))&gt;=Setup!$C$15,MONTH(WORKDAY(P223,-(Setup!$C$13+Setup!$G$34),Setup!$C$39:$C$50))&lt;=Setup!$C$16))),WORKDAY(P223,-(Setup!$C$13+Setup!$G$34+Setup!$C$14),Setup!$C$39:$C$50),WORKDAY(P223,-(Setup!$C$13+Setup!$G$34),Setup!$C$39:$C$50))+(218*100+15)/10000000)))</f>
        <v/>
      </c>
      <c r="AH223" t="str">
        <f t="shared" si="25"/>
        <v/>
      </c>
      <c r="AI223" t="str">
        <f t="shared" si="26"/>
        <v/>
      </c>
      <c r="AK223" t="str">
        <f ca="1">IF(218&gt;$AK$2,"",SMALL($R$6:$AF$505,218))</f>
        <v/>
      </c>
      <c r="AL223" t="str">
        <f t="shared" ca="1" si="27"/>
        <v/>
      </c>
      <c r="AM223" t="str">
        <f t="shared" ca="1" si="28"/>
        <v/>
      </c>
      <c r="AN223" t="str">
        <f t="shared" ca="1" si="29"/>
        <v/>
      </c>
      <c r="AP223" t="str">
        <f>IF(ISNUMBER(Roster!$B223),MAX(1,YEAR(Setup!$C$5)-YEAR(Roster!$B223)+IF(EDATE(Roster!$B223,12*(YEAR(Setup!$C$5)-YEAR(Roster!$B223)))&lt;Setup!$C$5,1,0)),"")</f>
        <v/>
      </c>
      <c r="AQ223" s="32" t="str">
        <f>IF(AP223="","",EDATE(Roster!$B223,12*AP223))</f>
        <v/>
      </c>
      <c r="AR223" t="str">
        <f>IF(AQ223="","",IF(AQ223&lt;DATE(YEAR(Setup!$C$5)+1,MONTH(Setup!$C$5),DAY(Setup!$C$5)),AQ223+218/1000,""))</f>
        <v/>
      </c>
      <c r="AS223" t="str">
        <f t="shared" si="30"/>
        <v/>
      </c>
      <c r="AT223" t="str">
        <f>IF(AS223="","",IF(ISNUMBER(Roster!$D223),Roster!$D223&gt;=AP223,FALSE))</f>
        <v/>
      </c>
      <c r="AU223" t="str">
        <f t="shared" si="31"/>
        <v/>
      </c>
      <c r="AV223" t="str">
        <f ca="1">IF(218&gt;$AV$2,"",SMALL($AR$6:$AR$505,218))</f>
        <v/>
      </c>
      <c r="AW223" t="str">
        <f t="shared" ca="1" si="32"/>
        <v/>
      </c>
    </row>
    <row r="224" spans="2:49" x14ac:dyDescent="0.2">
      <c r="B224" s="32" t="str">
        <f>IF(AND(ISNUMBER(Roster!$B224),Setup!$B$20="Yes",ISNUMBER(Setup!$C$20)),EDATE(Roster!$B224,12*Setup!$C$20),"")</f>
        <v/>
      </c>
      <c r="C224" s="32" t="str">
        <f>IF(AND(ISNUMBER(Roster!$B224),Setup!$B$21="Yes",ISNUMBER(Setup!$C$21)),EDATE(Roster!$B224,12*Setup!$C$21),"")</f>
        <v/>
      </c>
      <c r="D224" s="32" t="str">
        <f>IF(AND(ISNUMBER(Roster!$B224),Setup!$B$22="Yes",ISNUMBER(Setup!$C$22)),EDATE(Roster!$B224,12*Setup!$C$22),"")</f>
        <v/>
      </c>
      <c r="E224" s="32" t="str">
        <f>IF(AND(ISNUMBER(Roster!$B224),Setup!$B$23="Yes",ISNUMBER(Setup!$C$23)),EDATE(Roster!$B224,12*Setup!$C$23),"")</f>
        <v/>
      </c>
      <c r="F224" s="32" t="str">
        <f>IF(AND(ISNUMBER(Roster!$B224),Setup!$B$24="Yes",ISNUMBER(Setup!$C$24)),EDATE(Roster!$B224,12*Setup!$C$24),"")</f>
        <v/>
      </c>
      <c r="G224" s="32" t="str">
        <f>IF(AND(ISNUMBER(Roster!$B224),Setup!$B$25="Yes",ISNUMBER(Setup!$C$25)),EDATE(Roster!$B224,12*Setup!$C$25),"")</f>
        <v/>
      </c>
      <c r="H224" s="32" t="str">
        <f>IF(AND(ISNUMBER(Roster!$B224),Setup!$B$26="Yes",ISNUMBER(Setup!$C$26)),EDATE(Roster!$B224,12*Setup!$C$26),"")</f>
        <v/>
      </c>
      <c r="I224" s="32" t="str">
        <f>IF(AND(ISNUMBER(Roster!$B224),Setup!$B$27="Yes",ISNUMBER(Setup!$C$27)),EDATE(Roster!$B224,12*Setup!$C$27),"")</f>
        <v/>
      </c>
      <c r="J224" s="32" t="str">
        <f>IF(AND(ISNUMBER(Roster!$B224),Setup!$B$28="Yes",ISNUMBER(Setup!$C$28)),EDATE(Roster!$B224,12*Setup!$C$28),"")</f>
        <v/>
      </c>
      <c r="K224" s="32" t="str">
        <f>IF(AND(ISNUMBER(Roster!$B224),Setup!$B$29="Yes",ISNUMBER(Setup!$C$29)),EDATE(Roster!$B224,12*Setup!$C$29),"")</f>
        <v/>
      </c>
      <c r="L224" s="32" t="str">
        <f>IF(AND(ISNUMBER(Roster!$B224),Setup!$B$30="Yes",ISNUMBER(Setup!$C$30)),EDATE(Roster!$B224,12*Setup!$C$30),"")</f>
        <v/>
      </c>
      <c r="M224" s="32" t="str">
        <f>IF(AND(ISNUMBER(Roster!$B224),Setup!$B$31="Yes",ISNUMBER(Setup!$C$31)),EDATE(Roster!$B224,12*Setup!$C$31),"")</f>
        <v/>
      </c>
      <c r="N224" s="32" t="str">
        <f>IF(AND(ISNUMBER(Roster!$B224),Setup!$B$32="Yes",ISNUMBER(Setup!$C$32)),EDATE(Roster!$B224,12*Setup!$C$32),"")</f>
        <v/>
      </c>
      <c r="O224" s="32" t="str">
        <f>IF(AND(ISNUMBER(Roster!$B224),Setup!$B$33="Yes",ISNUMBER(Setup!$C$33)),EDATE(Roster!$B224,12*Setup!$C$33),"")</f>
        <v/>
      </c>
      <c r="P224" s="32" t="str">
        <f>IF(AND(ISNUMBER(Roster!$B224),Setup!$B$34="Yes",ISNUMBER(Setup!$C$34)),EDATE(Roster!$B224,12*Setup!$C$34),"")</f>
        <v/>
      </c>
      <c r="R224" t="str">
        <f>IF(B224="","",IF(B224&lt;Setup!$C$5-Setup!$C$6,"",IF(IF(ISNUMBER(Roster!$D224),Setup!$C$20&lt;=Roster!$D224,FALSE),"",IF(OR(IF(Setup!$C$15&lt;=Setup!$C$16,AND(MONTH(B224)&gt;=Setup!$C$15,MONTH(B224)&lt;=Setup!$C$16),OR(MONTH(B224)&gt;=Setup!$C$15,MONTH(B224)&lt;=Setup!$C$16)),IF(Setup!$C$15&lt;=Setup!$C$16,AND(MONTH(WORKDAY(B224,-(Setup!$C$13+Setup!$G$20),Setup!$C$39:$C$50))&gt;=Setup!$C$15,MONTH(WORKDAY(B224,-(Setup!$C$13+Setup!$G$20),Setup!$C$39:$C$50))&lt;=Setup!$C$16),OR(MONTH(WORKDAY(B224,-(Setup!$C$13+Setup!$G$20),Setup!$C$39:$C$50))&gt;=Setup!$C$15,MONTH(WORKDAY(B224,-(Setup!$C$13+Setup!$G$20),Setup!$C$39:$C$50))&lt;=Setup!$C$16))),WORKDAY(B224,-(Setup!$C$13+Setup!$G$20+Setup!$C$14),Setup!$C$39:$C$50),WORKDAY(B224,-(Setup!$C$13+Setup!$G$20),Setup!$C$39:$C$50))+(219*100+1)/10000000)))</f>
        <v/>
      </c>
      <c r="S224" t="str">
        <f>IF(C224="","",IF(C224&lt;Setup!$C$5-Setup!$C$6,"",IF(IF(ISNUMBER(Roster!$D224),Setup!$C$21&lt;=Roster!$D224,FALSE),"",IF(OR(IF(Setup!$C$15&lt;=Setup!$C$16,AND(MONTH(C224)&gt;=Setup!$C$15,MONTH(C224)&lt;=Setup!$C$16),OR(MONTH(C224)&gt;=Setup!$C$15,MONTH(C224)&lt;=Setup!$C$16)),IF(Setup!$C$15&lt;=Setup!$C$16,AND(MONTH(WORKDAY(C224,-(Setup!$C$13+Setup!$G$21),Setup!$C$39:$C$50))&gt;=Setup!$C$15,MONTH(WORKDAY(C224,-(Setup!$C$13+Setup!$G$21),Setup!$C$39:$C$50))&lt;=Setup!$C$16),OR(MONTH(WORKDAY(C224,-(Setup!$C$13+Setup!$G$21),Setup!$C$39:$C$50))&gt;=Setup!$C$15,MONTH(WORKDAY(C224,-(Setup!$C$13+Setup!$G$21),Setup!$C$39:$C$50))&lt;=Setup!$C$16))),WORKDAY(C224,-(Setup!$C$13+Setup!$G$21+Setup!$C$14),Setup!$C$39:$C$50),WORKDAY(C224,-(Setup!$C$13+Setup!$G$21),Setup!$C$39:$C$50))+(219*100+2)/10000000)))</f>
        <v/>
      </c>
      <c r="T224" t="str">
        <f>IF(D224="","",IF(D224&lt;Setup!$C$5-Setup!$C$6,"",IF(IF(ISNUMBER(Roster!$D224),Setup!$C$22&lt;=Roster!$D224,FALSE),"",IF(OR(IF(Setup!$C$15&lt;=Setup!$C$16,AND(MONTH(D224)&gt;=Setup!$C$15,MONTH(D224)&lt;=Setup!$C$16),OR(MONTH(D224)&gt;=Setup!$C$15,MONTH(D224)&lt;=Setup!$C$16)),IF(Setup!$C$15&lt;=Setup!$C$16,AND(MONTH(WORKDAY(D224,-(Setup!$C$13+Setup!$G$22),Setup!$C$39:$C$50))&gt;=Setup!$C$15,MONTH(WORKDAY(D224,-(Setup!$C$13+Setup!$G$22),Setup!$C$39:$C$50))&lt;=Setup!$C$16),OR(MONTH(WORKDAY(D224,-(Setup!$C$13+Setup!$G$22),Setup!$C$39:$C$50))&gt;=Setup!$C$15,MONTH(WORKDAY(D224,-(Setup!$C$13+Setup!$G$22),Setup!$C$39:$C$50))&lt;=Setup!$C$16))),WORKDAY(D224,-(Setup!$C$13+Setup!$G$22+Setup!$C$14),Setup!$C$39:$C$50),WORKDAY(D224,-(Setup!$C$13+Setup!$G$22),Setup!$C$39:$C$50))+(219*100+3)/10000000)))</f>
        <v/>
      </c>
      <c r="U224" t="str">
        <f>IF(E224="","",IF(E224&lt;Setup!$C$5-Setup!$C$6,"",IF(IF(ISNUMBER(Roster!$D224),Setup!$C$23&lt;=Roster!$D224,FALSE),"",IF(OR(IF(Setup!$C$15&lt;=Setup!$C$16,AND(MONTH(E224)&gt;=Setup!$C$15,MONTH(E224)&lt;=Setup!$C$16),OR(MONTH(E224)&gt;=Setup!$C$15,MONTH(E224)&lt;=Setup!$C$16)),IF(Setup!$C$15&lt;=Setup!$C$16,AND(MONTH(WORKDAY(E224,-(Setup!$C$13+Setup!$G$23),Setup!$C$39:$C$50))&gt;=Setup!$C$15,MONTH(WORKDAY(E224,-(Setup!$C$13+Setup!$G$23),Setup!$C$39:$C$50))&lt;=Setup!$C$16),OR(MONTH(WORKDAY(E224,-(Setup!$C$13+Setup!$G$23),Setup!$C$39:$C$50))&gt;=Setup!$C$15,MONTH(WORKDAY(E224,-(Setup!$C$13+Setup!$G$23),Setup!$C$39:$C$50))&lt;=Setup!$C$16))),WORKDAY(E224,-(Setup!$C$13+Setup!$G$23+Setup!$C$14),Setup!$C$39:$C$50),WORKDAY(E224,-(Setup!$C$13+Setup!$G$23),Setup!$C$39:$C$50))+(219*100+4)/10000000)))</f>
        <v/>
      </c>
      <c r="V224" t="str">
        <f>IF(F224="","",IF(F224&lt;Setup!$C$5-Setup!$C$6,"",IF(IF(ISNUMBER(Roster!$D224),Setup!$C$24&lt;=Roster!$D224,FALSE),"",IF(OR(IF(Setup!$C$15&lt;=Setup!$C$16,AND(MONTH(F224)&gt;=Setup!$C$15,MONTH(F224)&lt;=Setup!$C$16),OR(MONTH(F224)&gt;=Setup!$C$15,MONTH(F224)&lt;=Setup!$C$16)),IF(Setup!$C$15&lt;=Setup!$C$16,AND(MONTH(WORKDAY(F224,-(Setup!$C$13+Setup!$G$24),Setup!$C$39:$C$50))&gt;=Setup!$C$15,MONTH(WORKDAY(F224,-(Setup!$C$13+Setup!$G$24),Setup!$C$39:$C$50))&lt;=Setup!$C$16),OR(MONTH(WORKDAY(F224,-(Setup!$C$13+Setup!$G$24),Setup!$C$39:$C$50))&gt;=Setup!$C$15,MONTH(WORKDAY(F224,-(Setup!$C$13+Setup!$G$24),Setup!$C$39:$C$50))&lt;=Setup!$C$16))),WORKDAY(F224,-(Setup!$C$13+Setup!$G$24+Setup!$C$14),Setup!$C$39:$C$50),WORKDAY(F224,-(Setup!$C$13+Setup!$G$24),Setup!$C$39:$C$50))+(219*100+5)/10000000)))</f>
        <v/>
      </c>
      <c r="W224" t="str">
        <f>IF(G224="","",IF(G224&lt;Setup!$C$5-Setup!$C$6,"",IF(IF(ISNUMBER(Roster!$D224),Setup!$C$25&lt;=Roster!$D224,FALSE),"",IF(OR(IF(Setup!$C$15&lt;=Setup!$C$16,AND(MONTH(G224)&gt;=Setup!$C$15,MONTH(G224)&lt;=Setup!$C$16),OR(MONTH(G224)&gt;=Setup!$C$15,MONTH(G224)&lt;=Setup!$C$16)),IF(Setup!$C$15&lt;=Setup!$C$16,AND(MONTH(WORKDAY(G224,-(Setup!$C$13+Setup!$G$25),Setup!$C$39:$C$50))&gt;=Setup!$C$15,MONTH(WORKDAY(G224,-(Setup!$C$13+Setup!$G$25),Setup!$C$39:$C$50))&lt;=Setup!$C$16),OR(MONTH(WORKDAY(G224,-(Setup!$C$13+Setup!$G$25),Setup!$C$39:$C$50))&gt;=Setup!$C$15,MONTH(WORKDAY(G224,-(Setup!$C$13+Setup!$G$25),Setup!$C$39:$C$50))&lt;=Setup!$C$16))),WORKDAY(G224,-(Setup!$C$13+Setup!$G$25+Setup!$C$14),Setup!$C$39:$C$50),WORKDAY(G224,-(Setup!$C$13+Setup!$G$25),Setup!$C$39:$C$50))+(219*100+6)/10000000)))</f>
        <v/>
      </c>
      <c r="X224" t="str">
        <f>IF(H224="","",IF(H224&lt;Setup!$C$5-Setup!$C$6,"",IF(IF(ISNUMBER(Roster!$D224),Setup!$C$26&lt;=Roster!$D224,FALSE),"",IF(OR(IF(Setup!$C$15&lt;=Setup!$C$16,AND(MONTH(H224)&gt;=Setup!$C$15,MONTH(H224)&lt;=Setup!$C$16),OR(MONTH(H224)&gt;=Setup!$C$15,MONTH(H224)&lt;=Setup!$C$16)),IF(Setup!$C$15&lt;=Setup!$C$16,AND(MONTH(WORKDAY(H224,-(Setup!$C$13+Setup!$G$26),Setup!$C$39:$C$50))&gt;=Setup!$C$15,MONTH(WORKDAY(H224,-(Setup!$C$13+Setup!$G$26),Setup!$C$39:$C$50))&lt;=Setup!$C$16),OR(MONTH(WORKDAY(H224,-(Setup!$C$13+Setup!$G$26),Setup!$C$39:$C$50))&gt;=Setup!$C$15,MONTH(WORKDAY(H224,-(Setup!$C$13+Setup!$G$26),Setup!$C$39:$C$50))&lt;=Setup!$C$16))),WORKDAY(H224,-(Setup!$C$13+Setup!$G$26+Setup!$C$14),Setup!$C$39:$C$50),WORKDAY(H224,-(Setup!$C$13+Setup!$G$26),Setup!$C$39:$C$50))+(219*100+7)/10000000)))</f>
        <v/>
      </c>
      <c r="Y224" t="str">
        <f>IF(I224="","",IF(I224&lt;Setup!$C$5-Setup!$C$6,"",IF(IF(ISNUMBER(Roster!$D224),Setup!$C$27&lt;=Roster!$D224,FALSE),"",IF(OR(IF(Setup!$C$15&lt;=Setup!$C$16,AND(MONTH(I224)&gt;=Setup!$C$15,MONTH(I224)&lt;=Setup!$C$16),OR(MONTH(I224)&gt;=Setup!$C$15,MONTH(I224)&lt;=Setup!$C$16)),IF(Setup!$C$15&lt;=Setup!$C$16,AND(MONTH(WORKDAY(I224,-(Setup!$C$13+Setup!$G$27),Setup!$C$39:$C$50))&gt;=Setup!$C$15,MONTH(WORKDAY(I224,-(Setup!$C$13+Setup!$G$27),Setup!$C$39:$C$50))&lt;=Setup!$C$16),OR(MONTH(WORKDAY(I224,-(Setup!$C$13+Setup!$G$27),Setup!$C$39:$C$50))&gt;=Setup!$C$15,MONTH(WORKDAY(I224,-(Setup!$C$13+Setup!$G$27),Setup!$C$39:$C$50))&lt;=Setup!$C$16))),WORKDAY(I224,-(Setup!$C$13+Setup!$G$27+Setup!$C$14),Setup!$C$39:$C$50),WORKDAY(I224,-(Setup!$C$13+Setup!$G$27),Setup!$C$39:$C$50))+(219*100+8)/10000000)))</f>
        <v/>
      </c>
      <c r="Z224" t="str">
        <f>IF(J224="","",IF(J224&lt;Setup!$C$5-Setup!$C$6,"",IF(IF(ISNUMBER(Roster!$D224),Setup!$C$28&lt;=Roster!$D224,FALSE),"",IF(OR(IF(Setup!$C$15&lt;=Setup!$C$16,AND(MONTH(J224)&gt;=Setup!$C$15,MONTH(J224)&lt;=Setup!$C$16),OR(MONTH(J224)&gt;=Setup!$C$15,MONTH(J224)&lt;=Setup!$C$16)),IF(Setup!$C$15&lt;=Setup!$C$16,AND(MONTH(WORKDAY(J224,-(Setup!$C$13+Setup!$G$28),Setup!$C$39:$C$50))&gt;=Setup!$C$15,MONTH(WORKDAY(J224,-(Setup!$C$13+Setup!$G$28),Setup!$C$39:$C$50))&lt;=Setup!$C$16),OR(MONTH(WORKDAY(J224,-(Setup!$C$13+Setup!$G$28),Setup!$C$39:$C$50))&gt;=Setup!$C$15,MONTH(WORKDAY(J224,-(Setup!$C$13+Setup!$G$28),Setup!$C$39:$C$50))&lt;=Setup!$C$16))),WORKDAY(J224,-(Setup!$C$13+Setup!$G$28+Setup!$C$14),Setup!$C$39:$C$50),WORKDAY(J224,-(Setup!$C$13+Setup!$G$28),Setup!$C$39:$C$50))+(219*100+9)/10000000)))</f>
        <v/>
      </c>
      <c r="AA224" t="str">
        <f>IF(K224="","",IF(K224&lt;Setup!$C$5-Setup!$C$6,"",IF(IF(ISNUMBER(Roster!$D224),Setup!$C$29&lt;=Roster!$D224,FALSE),"",IF(OR(IF(Setup!$C$15&lt;=Setup!$C$16,AND(MONTH(K224)&gt;=Setup!$C$15,MONTH(K224)&lt;=Setup!$C$16),OR(MONTH(K224)&gt;=Setup!$C$15,MONTH(K224)&lt;=Setup!$C$16)),IF(Setup!$C$15&lt;=Setup!$C$16,AND(MONTH(WORKDAY(K224,-(Setup!$C$13+Setup!$G$29),Setup!$C$39:$C$50))&gt;=Setup!$C$15,MONTH(WORKDAY(K224,-(Setup!$C$13+Setup!$G$29),Setup!$C$39:$C$50))&lt;=Setup!$C$16),OR(MONTH(WORKDAY(K224,-(Setup!$C$13+Setup!$G$29),Setup!$C$39:$C$50))&gt;=Setup!$C$15,MONTH(WORKDAY(K224,-(Setup!$C$13+Setup!$G$29),Setup!$C$39:$C$50))&lt;=Setup!$C$16))),WORKDAY(K224,-(Setup!$C$13+Setup!$G$29+Setup!$C$14),Setup!$C$39:$C$50),WORKDAY(K224,-(Setup!$C$13+Setup!$G$29),Setup!$C$39:$C$50))+(219*100+10)/10000000)))</f>
        <v/>
      </c>
      <c r="AB224" t="str">
        <f>IF(L224="","",IF(L224&lt;Setup!$C$5-Setup!$C$6,"",IF(IF(ISNUMBER(Roster!$D224),Setup!$C$30&lt;=Roster!$D224,FALSE),"",IF(OR(IF(Setup!$C$15&lt;=Setup!$C$16,AND(MONTH(L224)&gt;=Setup!$C$15,MONTH(L224)&lt;=Setup!$C$16),OR(MONTH(L224)&gt;=Setup!$C$15,MONTH(L224)&lt;=Setup!$C$16)),IF(Setup!$C$15&lt;=Setup!$C$16,AND(MONTH(WORKDAY(L224,-(Setup!$C$13+Setup!$G$30),Setup!$C$39:$C$50))&gt;=Setup!$C$15,MONTH(WORKDAY(L224,-(Setup!$C$13+Setup!$G$30),Setup!$C$39:$C$50))&lt;=Setup!$C$16),OR(MONTH(WORKDAY(L224,-(Setup!$C$13+Setup!$G$30),Setup!$C$39:$C$50))&gt;=Setup!$C$15,MONTH(WORKDAY(L224,-(Setup!$C$13+Setup!$G$30),Setup!$C$39:$C$50))&lt;=Setup!$C$16))),WORKDAY(L224,-(Setup!$C$13+Setup!$G$30+Setup!$C$14),Setup!$C$39:$C$50),WORKDAY(L224,-(Setup!$C$13+Setup!$G$30),Setup!$C$39:$C$50))+(219*100+11)/10000000)))</f>
        <v/>
      </c>
      <c r="AC224" t="str">
        <f>IF(M224="","",IF(M224&lt;Setup!$C$5-Setup!$C$6,"",IF(IF(ISNUMBER(Roster!$D224),Setup!$C$31&lt;=Roster!$D224,FALSE),"",IF(OR(IF(Setup!$C$15&lt;=Setup!$C$16,AND(MONTH(M224)&gt;=Setup!$C$15,MONTH(M224)&lt;=Setup!$C$16),OR(MONTH(M224)&gt;=Setup!$C$15,MONTH(M224)&lt;=Setup!$C$16)),IF(Setup!$C$15&lt;=Setup!$C$16,AND(MONTH(WORKDAY(M224,-(Setup!$C$13+Setup!$G$31),Setup!$C$39:$C$50))&gt;=Setup!$C$15,MONTH(WORKDAY(M224,-(Setup!$C$13+Setup!$G$31),Setup!$C$39:$C$50))&lt;=Setup!$C$16),OR(MONTH(WORKDAY(M224,-(Setup!$C$13+Setup!$G$31),Setup!$C$39:$C$50))&gt;=Setup!$C$15,MONTH(WORKDAY(M224,-(Setup!$C$13+Setup!$G$31),Setup!$C$39:$C$50))&lt;=Setup!$C$16))),WORKDAY(M224,-(Setup!$C$13+Setup!$G$31+Setup!$C$14),Setup!$C$39:$C$50),WORKDAY(M224,-(Setup!$C$13+Setup!$G$31),Setup!$C$39:$C$50))+(219*100+12)/10000000)))</f>
        <v/>
      </c>
      <c r="AD224" t="str">
        <f>IF(N224="","",IF(N224&lt;Setup!$C$5-Setup!$C$6,"",IF(IF(ISNUMBER(Roster!$D224),Setup!$C$32&lt;=Roster!$D224,FALSE),"",IF(OR(IF(Setup!$C$15&lt;=Setup!$C$16,AND(MONTH(N224)&gt;=Setup!$C$15,MONTH(N224)&lt;=Setup!$C$16),OR(MONTH(N224)&gt;=Setup!$C$15,MONTH(N224)&lt;=Setup!$C$16)),IF(Setup!$C$15&lt;=Setup!$C$16,AND(MONTH(WORKDAY(N224,-(Setup!$C$13+Setup!$G$32),Setup!$C$39:$C$50))&gt;=Setup!$C$15,MONTH(WORKDAY(N224,-(Setup!$C$13+Setup!$G$32),Setup!$C$39:$C$50))&lt;=Setup!$C$16),OR(MONTH(WORKDAY(N224,-(Setup!$C$13+Setup!$G$32),Setup!$C$39:$C$50))&gt;=Setup!$C$15,MONTH(WORKDAY(N224,-(Setup!$C$13+Setup!$G$32),Setup!$C$39:$C$50))&lt;=Setup!$C$16))),WORKDAY(N224,-(Setup!$C$13+Setup!$G$32+Setup!$C$14),Setup!$C$39:$C$50),WORKDAY(N224,-(Setup!$C$13+Setup!$G$32),Setup!$C$39:$C$50))+(219*100+13)/10000000)))</f>
        <v/>
      </c>
      <c r="AE224" t="str">
        <f>IF(O224="","",IF(O224&lt;Setup!$C$5-Setup!$C$6,"",IF(IF(ISNUMBER(Roster!$D224),Setup!$C$33&lt;=Roster!$D224,FALSE),"",IF(OR(IF(Setup!$C$15&lt;=Setup!$C$16,AND(MONTH(O224)&gt;=Setup!$C$15,MONTH(O224)&lt;=Setup!$C$16),OR(MONTH(O224)&gt;=Setup!$C$15,MONTH(O224)&lt;=Setup!$C$16)),IF(Setup!$C$15&lt;=Setup!$C$16,AND(MONTH(WORKDAY(O224,-(Setup!$C$13+Setup!$G$33),Setup!$C$39:$C$50))&gt;=Setup!$C$15,MONTH(WORKDAY(O224,-(Setup!$C$13+Setup!$G$33),Setup!$C$39:$C$50))&lt;=Setup!$C$16),OR(MONTH(WORKDAY(O224,-(Setup!$C$13+Setup!$G$33),Setup!$C$39:$C$50))&gt;=Setup!$C$15,MONTH(WORKDAY(O224,-(Setup!$C$13+Setup!$G$33),Setup!$C$39:$C$50))&lt;=Setup!$C$16))),WORKDAY(O224,-(Setup!$C$13+Setup!$G$33+Setup!$C$14),Setup!$C$39:$C$50),WORKDAY(O224,-(Setup!$C$13+Setup!$G$33),Setup!$C$39:$C$50))+(219*100+14)/10000000)))</f>
        <v/>
      </c>
      <c r="AF224" t="str">
        <f>IF(P224="","",IF(P224&lt;Setup!$C$5-Setup!$C$6,"",IF(IF(ISNUMBER(Roster!$D224),Setup!$C$34&lt;=Roster!$D224,FALSE),"",IF(OR(IF(Setup!$C$15&lt;=Setup!$C$16,AND(MONTH(P224)&gt;=Setup!$C$15,MONTH(P224)&lt;=Setup!$C$16),OR(MONTH(P224)&gt;=Setup!$C$15,MONTH(P224)&lt;=Setup!$C$16)),IF(Setup!$C$15&lt;=Setup!$C$16,AND(MONTH(WORKDAY(P224,-(Setup!$C$13+Setup!$G$34),Setup!$C$39:$C$50))&gt;=Setup!$C$15,MONTH(WORKDAY(P224,-(Setup!$C$13+Setup!$G$34),Setup!$C$39:$C$50))&lt;=Setup!$C$16),OR(MONTH(WORKDAY(P224,-(Setup!$C$13+Setup!$G$34),Setup!$C$39:$C$50))&gt;=Setup!$C$15,MONTH(WORKDAY(P224,-(Setup!$C$13+Setup!$G$34),Setup!$C$39:$C$50))&lt;=Setup!$C$16))),WORKDAY(P224,-(Setup!$C$13+Setup!$G$34+Setup!$C$14),Setup!$C$39:$C$50),WORKDAY(P224,-(Setup!$C$13+Setup!$G$34),Setup!$C$39:$C$50))+(219*100+15)/10000000)))</f>
        <v/>
      </c>
      <c r="AH224" t="str">
        <f t="shared" si="25"/>
        <v/>
      </c>
      <c r="AI224" t="str">
        <f t="shared" si="26"/>
        <v/>
      </c>
      <c r="AK224" t="str">
        <f ca="1">IF(219&gt;$AK$2,"",SMALL($R$6:$AF$505,219))</f>
        <v/>
      </c>
      <c r="AL224" t="str">
        <f t="shared" ca="1" si="27"/>
        <v/>
      </c>
      <c r="AM224" t="str">
        <f t="shared" ca="1" si="28"/>
        <v/>
      </c>
      <c r="AN224" t="str">
        <f t="shared" ca="1" si="29"/>
        <v/>
      </c>
      <c r="AP224" t="str">
        <f>IF(ISNUMBER(Roster!$B224),MAX(1,YEAR(Setup!$C$5)-YEAR(Roster!$B224)+IF(EDATE(Roster!$B224,12*(YEAR(Setup!$C$5)-YEAR(Roster!$B224)))&lt;Setup!$C$5,1,0)),"")</f>
        <v/>
      </c>
      <c r="AQ224" s="32" t="str">
        <f>IF(AP224="","",EDATE(Roster!$B224,12*AP224))</f>
        <v/>
      </c>
      <c r="AR224" t="str">
        <f>IF(AQ224="","",IF(AQ224&lt;DATE(YEAR(Setup!$C$5)+1,MONTH(Setup!$C$5),DAY(Setup!$C$5)),AQ224+219/1000,""))</f>
        <v/>
      </c>
      <c r="AS224" t="str">
        <f t="shared" si="30"/>
        <v/>
      </c>
      <c r="AT224" t="str">
        <f>IF(AS224="","",IF(ISNUMBER(Roster!$D224),Roster!$D224&gt;=AP224,FALSE))</f>
        <v/>
      </c>
      <c r="AU224" t="str">
        <f t="shared" si="31"/>
        <v/>
      </c>
      <c r="AV224" t="str">
        <f ca="1">IF(219&gt;$AV$2,"",SMALL($AR$6:$AR$505,219))</f>
        <v/>
      </c>
      <c r="AW224" t="str">
        <f t="shared" ca="1" si="32"/>
        <v/>
      </c>
    </row>
    <row r="225" spans="2:49" x14ac:dyDescent="0.2">
      <c r="B225" s="32" t="str">
        <f>IF(AND(ISNUMBER(Roster!$B225),Setup!$B$20="Yes",ISNUMBER(Setup!$C$20)),EDATE(Roster!$B225,12*Setup!$C$20),"")</f>
        <v/>
      </c>
      <c r="C225" s="32" t="str">
        <f>IF(AND(ISNUMBER(Roster!$B225),Setup!$B$21="Yes",ISNUMBER(Setup!$C$21)),EDATE(Roster!$B225,12*Setup!$C$21),"")</f>
        <v/>
      </c>
      <c r="D225" s="32" t="str">
        <f>IF(AND(ISNUMBER(Roster!$B225),Setup!$B$22="Yes",ISNUMBER(Setup!$C$22)),EDATE(Roster!$B225,12*Setup!$C$22),"")</f>
        <v/>
      </c>
      <c r="E225" s="32" t="str">
        <f>IF(AND(ISNUMBER(Roster!$B225),Setup!$B$23="Yes",ISNUMBER(Setup!$C$23)),EDATE(Roster!$B225,12*Setup!$C$23),"")</f>
        <v/>
      </c>
      <c r="F225" s="32" t="str">
        <f>IF(AND(ISNUMBER(Roster!$B225),Setup!$B$24="Yes",ISNUMBER(Setup!$C$24)),EDATE(Roster!$B225,12*Setup!$C$24),"")</f>
        <v/>
      </c>
      <c r="G225" s="32" t="str">
        <f>IF(AND(ISNUMBER(Roster!$B225),Setup!$B$25="Yes",ISNUMBER(Setup!$C$25)),EDATE(Roster!$B225,12*Setup!$C$25),"")</f>
        <v/>
      </c>
      <c r="H225" s="32" t="str">
        <f>IF(AND(ISNUMBER(Roster!$B225),Setup!$B$26="Yes",ISNUMBER(Setup!$C$26)),EDATE(Roster!$B225,12*Setup!$C$26),"")</f>
        <v/>
      </c>
      <c r="I225" s="32" t="str">
        <f>IF(AND(ISNUMBER(Roster!$B225),Setup!$B$27="Yes",ISNUMBER(Setup!$C$27)),EDATE(Roster!$B225,12*Setup!$C$27),"")</f>
        <v/>
      </c>
      <c r="J225" s="32" t="str">
        <f>IF(AND(ISNUMBER(Roster!$B225),Setup!$B$28="Yes",ISNUMBER(Setup!$C$28)),EDATE(Roster!$B225,12*Setup!$C$28),"")</f>
        <v/>
      </c>
      <c r="K225" s="32" t="str">
        <f>IF(AND(ISNUMBER(Roster!$B225),Setup!$B$29="Yes",ISNUMBER(Setup!$C$29)),EDATE(Roster!$B225,12*Setup!$C$29),"")</f>
        <v/>
      </c>
      <c r="L225" s="32" t="str">
        <f>IF(AND(ISNUMBER(Roster!$B225),Setup!$B$30="Yes",ISNUMBER(Setup!$C$30)),EDATE(Roster!$B225,12*Setup!$C$30),"")</f>
        <v/>
      </c>
      <c r="M225" s="32" t="str">
        <f>IF(AND(ISNUMBER(Roster!$B225),Setup!$B$31="Yes",ISNUMBER(Setup!$C$31)),EDATE(Roster!$B225,12*Setup!$C$31),"")</f>
        <v/>
      </c>
      <c r="N225" s="32" t="str">
        <f>IF(AND(ISNUMBER(Roster!$B225),Setup!$B$32="Yes",ISNUMBER(Setup!$C$32)),EDATE(Roster!$B225,12*Setup!$C$32),"")</f>
        <v/>
      </c>
      <c r="O225" s="32" t="str">
        <f>IF(AND(ISNUMBER(Roster!$B225),Setup!$B$33="Yes",ISNUMBER(Setup!$C$33)),EDATE(Roster!$B225,12*Setup!$C$33),"")</f>
        <v/>
      </c>
      <c r="P225" s="32" t="str">
        <f>IF(AND(ISNUMBER(Roster!$B225),Setup!$B$34="Yes",ISNUMBER(Setup!$C$34)),EDATE(Roster!$B225,12*Setup!$C$34),"")</f>
        <v/>
      </c>
      <c r="R225" t="str">
        <f>IF(B225="","",IF(B225&lt;Setup!$C$5-Setup!$C$6,"",IF(IF(ISNUMBER(Roster!$D225),Setup!$C$20&lt;=Roster!$D225,FALSE),"",IF(OR(IF(Setup!$C$15&lt;=Setup!$C$16,AND(MONTH(B225)&gt;=Setup!$C$15,MONTH(B225)&lt;=Setup!$C$16),OR(MONTH(B225)&gt;=Setup!$C$15,MONTH(B225)&lt;=Setup!$C$16)),IF(Setup!$C$15&lt;=Setup!$C$16,AND(MONTH(WORKDAY(B225,-(Setup!$C$13+Setup!$G$20),Setup!$C$39:$C$50))&gt;=Setup!$C$15,MONTH(WORKDAY(B225,-(Setup!$C$13+Setup!$G$20),Setup!$C$39:$C$50))&lt;=Setup!$C$16),OR(MONTH(WORKDAY(B225,-(Setup!$C$13+Setup!$G$20),Setup!$C$39:$C$50))&gt;=Setup!$C$15,MONTH(WORKDAY(B225,-(Setup!$C$13+Setup!$G$20),Setup!$C$39:$C$50))&lt;=Setup!$C$16))),WORKDAY(B225,-(Setup!$C$13+Setup!$G$20+Setup!$C$14),Setup!$C$39:$C$50),WORKDAY(B225,-(Setup!$C$13+Setup!$G$20),Setup!$C$39:$C$50))+(220*100+1)/10000000)))</f>
        <v/>
      </c>
      <c r="S225" t="str">
        <f>IF(C225="","",IF(C225&lt;Setup!$C$5-Setup!$C$6,"",IF(IF(ISNUMBER(Roster!$D225),Setup!$C$21&lt;=Roster!$D225,FALSE),"",IF(OR(IF(Setup!$C$15&lt;=Setup!$C$16,AND(MONTH(C225)&gt;=Setup!$C$15,MONTH(C225)&lt;=Setup!$C$16),OR(MONTH(C225)&gt;=Setup!$C$15,MONTH(C225)&lt;=Setup!$C$16)),IF(Setup!$C$15&lt;=Setup!$C$16,AND(MONTH(WORKDAY(C225,-(Setup!$C$13+Setup!$G$21),Setup!$C$39:$C$50))&gt;=Setup!$C$15,MONTH(WORKDAY(C225,-(Setup!$C$13+Setup!$G$21),Setup!$C$39:$C$50))&lt;=Setup!$C$16),OR(MONTH(WORKDAY(C225,-(Setup!$C$13+Setup!$G$21),Setup!$C$39:$C$50))&gt;=Setup!$C$15,MONTH(WORKDAY(C225,-(Setup!$C$13+Setup!$G$21),Setup!$C$39:$C$50))&lt;=Setup!$C$16))),WORKDAY(C225,-(Setup!$C$13+Setup!$G$21+Setup!$C$14),Setup!$C$39:$C$50),WORKDAY(C225,-(Setup!$C$13+Setup!$G$21),Setup!$C$39:$C$50))+(220*100+2)/10000000)))</f>
        <v/>
      </c>
      <c r="T225" t="str">
        <f>IF(D225="","",IF(D225&lt;Setup!$C$5-Setup!$C$6,"",IF(IF(ISNUMBER(Roster!$D225),Setup!$C$22&lt;=Roster!$D225,FALSE),"",IF(OR(IF(Setup!$C$15&lt;=Setup!$C$16,AND(MONTH(D225)&gt;=Setup!$C$15,MONTH(D225)&lt;=Setup!$C$16),OR(MONTH(D225)&gt;=Setup!$C$15,MONTH(D225)&lt;=Setup!$C$16)),IF(Setup!$C$15&lt;=Setup!$C$16,AND(MONTH(WORKDAY(D225,-(Setup!$C$13+Setup!$G$22),Setup!$C$39:$C$50))&gt;=Setup!$C$15,MONTH(WORKDAY(D225,-(Setup!$C$13+Setup!$G$22),Setup!$C$39:$C$50))&lt;=Setup!$C$16),OR(MONTH(WORKDAY(D225,-(Setup!$C$13+Setup!$G$22),Setup!$C$39:$C$50))&gt;=Setup!$C$15,MONTH(WORKDAY(D225,-(Setup!$C$13+Setup!$G$22),Setup!$C$39:$C$50))&lt;=Setup!$C$16))),WORKDAY(D225,-(Setup!$C$13+Setup!$G$22+Setup!$C$14),Setup!$C$39:$C$50),WORKDAY(D225,-(Setup!$C$13+Setup!$G$22),Setup!$C$39:$C$50))+(220*100+3)/10000000)))</f>
        <v/>
      </c>
      <c r="U225" t="str">
        <f>IF(E225="","",IF(E225&lt;Setup!$C$5-Setup!$C$6,"",IF(IF(ISNUMBER(Roster!$D225),Setup!$C$23&lt;=Roster!$D225,FALSE),"",IF(OR(IF(Setup!$C$15&lt;=Setup!$C$16,AND(MONTH(E225)&gt;=Setup!$C$15,MONTH(E225)&lt;=Setup!$C$16),OR(MONTH(E225)&gt;=Setup!$C$15,MONTH(E225)&lt;=Setup!$C$16)),IF(Setup!$C$15&lt;=Setup!$C$16,AND(MONTH(WORKDAY(E225,-(Setup!$C$13+Setup!$G$23),Setup!$C$39:$C$50))&gt;=Setup!$C$15,MONTH(WORKDAY(E225,-(Setup!$C$13+Setup!$G$23),Setup!$C$39:$C$50))&lt;=Setup!$C$16),OR(MONTH(WORKDAY(E225,-(Setup!$C$13+Setup!$G$23),Setup!$C$39:$C$50))&gt;=Setup!$C$15,MONTH(WORKDAY(E225,-(Setup!$C$13+Setup!$G$23),Setup!$C$39:$C$50))&lt;=Setup!$C$16))),WORKDAY(E225,-(Setup!$C$13+Setup!$G$23+Setup!$C$14),Setup!$C$39:$C$50),WORKDAY(E225,-(Setup!$C$13+Setup!$G$23),Setup!$C$39:$C$50))+(220*100+4)/10000000)))</f>
        <v/>
      </c>
      <c r="V225" t="str">
        <f>IF(F225="","",IF(F225&lt;Setup!$C$5-Setup!$C$6,"",IF(IF(ISNUMBER(Roster!$D225),Setup!$C$24&lt;=Roster!$D225,FALSE),"",IF(OR(IF(Setup!$C$15&lt;=Setup!$C$16,AND(MONTH(F225)&gt;=Setup!$C$15,MONTH(F225)&lt;=Setup!$C$16),OR(MONTH(F225)&gt;=Setup!$C$15,MONTH(F225)&lt;=Setup!$C$16)),IF(Setup!$C$15&lt;=Setup!$C$16,AND(MONTH(WORKDAY(F225,-(Setup!$C$13+Setup!$G$24),Setup!$C$39:$C$50))&gt;=Setup!$C$15,MONTH(WORKDAY(F225,-(Setup!$C$13+Setup!$G$24),Setup!$C$39:$C$50))&lt;=Setup!$C$16),OR(MONTH(WORKDAY(F225,-(Setup!$C$13+Setup!$G$24),Setup!$C$39:$C$50))&gt;=Setup!$C$15,MONTH(WORKDAY(F225,-(Setup!$C$13+Setup!$G$24),Setup!$C$39:$C$50))&lt;=Setup!$C$16))),WORKDAY(F225,-(Setup!$C$13+Setup!$G$24+Setup!$C$14),Setup!$C$39:$C$50),WORKDAY(F225,-(Setup!$C$13+Setup!$G$24),Setup!$C$39:$C$50))+(220*100+5)/10000000)))</f>
        <v/>
      </c>
      <c r="W225" t="str">
        <f>IF(G225="","",IF(G225&lt;Setup!$C$5-Setup!$C$6,"",IF(IF(ISNUMBER(Roster!$D225),Setup!$C$25&lt;=Roster!$D225,FALSE),"",IF(OR(IF(Setup!$C$15&lt;=Setup!$C$16,AND(MONTH(G225)&gt;=Setup!$C$15,MONTH(G225)&lt;=Setup!$C$16),OR(MONTH(G225)&gt;=Setup!$C$15,MONTH(G225)&lt;=Setup!$C$16)),IF(Setup!$C$15&lt;=Setup!$C$16,AND(MONTH(WORKDAY(G225,-(Setup!$C$13+Setup!$G$25),Setup!$C$39:$C$50))&gt;=Setup!$C$15,MONTH(WORKDAY(G225,-(Setup!$C$13+Setup!$G$25),Setup!$C$39:$C$50))&lt;=Setup!$C$16),OR(MONTH(WORKDAY(G225,-(Setup!$C$13+Setup!$G$25),Setup!$C$39:$C$50))&gt;=Setup!$C$15,MONTH(WORKDAY(G225,-(Setup!$C$13+Setup!$G$25),Setup!$C$39:$C$50))&lt;=Setup!$C$16))),WORKDAY(G225,-(Setup!$C$13+Setup!$G$25+Setup!$C$14),Setup!$C$39:$C$50),WORKDAY(G225,-(Setup!$C$13+Setup!$G$25),Setup!$C$39:$C$50))+(220*100+6)/10000000)))</f>
        <v/>
      </c>
      <c r="X225" t="str">
        <f>IF(H225="","",IF(H225&lt;Setup!$C$5-Setup!$C$6,"",IF(IF(ISNUMBER(Roster!$D225),Setup!$C$26&lt;=Roster!$D225,FALSE),"",IF(OR(IF(Setup!$C$15&lt;=Setup!$C$16,AND(MONTH(H225)&gt;=Setup!$C$15,MONTH(H225)&lt;=Setup!$C$16),OR(MONTH(H225)&gt;=Setup!$C$15,MONTH(H225)&lt;=Setup!$C$16)),IF(Setup!$C$15&lt;=Setup!$C$16,AND(MONTH(WORKDAY(H225,-(Setup!$C$13+Setup!$G$26),Setup!$C$39:$C$50))&gt;=Setup!$C$15,MONTH(WORKDAY(H225,-(Setup!$C$13+Setup!$G$26),Setup!$C$39:$C$50))&lt;=Setup!$C$16),OR(MONTH(WORKDAY(H225,-(Setup!$C$13+Setup!$G$26),Setup!$C$39:$C$50))&gt;=Setup!$C$15,MONTH(WORKDAY(H225,-(Setup!$C$13+Setup!$G$26),Setup!$C$39:$C$50))&lt;=Setup!$C$16))),WORKDAY(H225,-(Setup!$C$13+Setup!$G$26+Setup!$C$14),Setup!$C$39:$C$50),WORKDAY(H225,-(Setup!$C$13+Setup!$G$26),Setup!$C$39:$C$50))+(220*100+7)/10000000)))</f>
        <v/>
      </c>
      <c r="Y225" t="str">
        <f>IF(I225="","",IF(I225&lt;Setup!$C$5-Setup!$C$6,"",IF(IF(ISNUMBER(Roster!$D225),Setup!$C$27&lt;=Roster!$D225,FALSE),"",IF(OR(IF(Setup!$C$15&lt;=Setup!$C$16,AND(MONTH(I225)&gt;=Setup!$C$15,MONTH(I225)&lt;=Setup!$C$16),OR(MONTH(I225)&gt;=Setup!$C$15,MONTH(I225)&lt;=Setup!$C$16)),IF(Setup!$C$15&lt;=Setup!$C$16,AND(MONTH(WORKDAY(I225,-(Setup!$C$13+Setup!$G$27),Setup!$C$39:$C$50))&gt;=Setup!$C$15,MONTH(WORKDAY(I225,-(Setup!$C$13+Setup!$G$27),Setup!$C$39:$C$50))&lt;=Setup!$C$16),OR(MONTH(WORKDAY(I225,-(Setup!$C$13+Setup!$G$27),Setup!$C$39:$C$50))&gt;=Setup!$C$15,MONTH(WORKDAY(I225,-(Setup!$C$13+Setup!$G$27),Setup!$C$39:$C$50))&lt;=Setup!$C$16))),WORKDAY(I225,-(Setup!$C$13+Setup!$G$27+Setup!$C$14),Setup!$C$39:$C$50),WORKDAY(I225,-(Setup!$C$13+Setup!$G$27),Setup!$C$39:$C$50))+(220*100+8)/10000000)))</f>
        <v/>
      </c>
      <c r="Z225" t="str">
        <f>IF(J225="","",IF(J225&lt;Setup!$C$5-Setup!$C$6,"",IF(IF(ISNUMBER(Roster!$D225),Setup!$C$28&lt;=Roster!$D225,FALSE),"",IF(OR(IF(Setup!$C$15&lt;=Setup!$C$16,AND(MONTH(J225)&gt;=Setup!$C$15,MONTH(J225)&lt;=Setup!$C$16),OR(MONTH(J225)&gt;=Setup!$C$15,MONTH(J225)&lt;=Setup!$C$16)),IF(Setup!$C$15&lt;=Setup!$C$16,AND(MONTH(WORKDAY(J225,-(Setup!$C$13+Setup!$G$28),Setup!$C$39:$C$50))&gt;=Setup!$C$15,MONTH(WORKDAY(J225,-(Setup!$C$13+Setup!$G$28),Setup!$C$39:$C$50))&lt;=Setup!$C$16),OR(MONTH(WORKDAY(J225,-(Setup!$C$13+Setup!$G$28),Setup!$C$39:$C$50))&gt;=Setup!$C$15,MONTH(WORKDAY(J225,-(Setup!$C$13+Setup!$G$28),Setup!$C$39:$C$50))&lt;=Setup!$C$16))),WORKDAY(J225,-(Setup!$C$13+Setup!$G$28+Setup!$C$14),Setup!$C$39:$C$50),WORKDAY(J225,-(Setup!$C$13+Setup!$G$28),Setup!$C$39:$C$50))+(220*100+9)/10000000)))</f>
        <v/>
      </c>
      <c r="AA225" t="str">
        <f>IF(K225="","",IF(K225&lt;Setup!$C$5-Setup!$C$6,"",IF(IF(ISNUMBER(Roster!$D225),Setup!$C$29&lt;=Roster!$D225,FALSE),"",IF(OR(IF(Setup!$C$15&lt;=Setup!$C$16,AND(MONTH(K225)&gt;=Setup!$C$15,MONTH(K225)&lt;=Setup!$C$16),OR(MONTH(K225)&gt;=Setup!$C$15,MONTH(K225)&lt;=Setup!$C$16)),IF(Setup!$C$15&lt;=Setup!$C$16,AND(MONTH(WORKDAY(K225,-(Setup!$C$13+Setup!$G$29),Setup!$C$39:$C$50))&gt;=Setup!$C$15,MONTH(WORKDAY(K225,-(Setup!$C$13+Setup!$G$29),Setup!$C$39:$C$50))&lt;=Setup!$C$16),OR(MONTH(WORKDAY(K225,-(Setup!$C$13+Setup!$G$29),Setup!$C$39:$C$50))&gt;=Setup!$C$15,MONTH(WORKDAY(K225,-(Setup!$C$13+Setup!$G$29),Setup!$C$39:$C$50))&lt;=Setup!$C$16))),WORKDAY(K225,-(Setup!$C$13+Setup!$G$29+Setup!$C$14),Setup!$C$39:$C$50),WORKDAY(K225,-(Setup!$C$13+Setup!$G$29),Setup!$C$39:$C$50))+(220*100+10)/10000000)))</f>
        <v/>
      </c>
      <c r="AB225" t="str">
        <f>IF(L225="","",IF(L225&lt;Setup!$C$5-Setup!$C$6,"",IF(IF(ISNUMBER(Roster!$D225),Setup!$C$30&lt;=Roster!$D225,FALSE),"",IF(OR(IF(Setup!$C$15&lt;=Setup!$C$16,AND(MONTH(L225)&gt;=Setup!$C$15,MONTH(L225)&lt;=Setup!$C$16),OR(MONTH(L225)&gt;=Setup!$C$15,MONTH(L225)&lt;=Setup!$C$16)),IF(Setup!$C$15&lt;=Setup!$C$16,AND(MONTH(WORKDAY(L225,-(Setup!$C$13+Setup!$G$30),Setup!$C$39:$C$50))&gt;=Setup!$C$15,MONTH(WORKDAY(L225,-(Setup!$C$13+Setup!$G$30),Setup!$C$39:$C$50))&lt;=Setup!$C$16),OR(MONTH(WORKDAY(L225,-(Setup!$C$13+Setup!$G$30),Setup!$C$39:$C$50))&gt;=Setup!$C$15,MONTH(WORKDAY(L225,-(Setup!$C$13+Setup!$G$30),Setup!$C$39:$C$50))&lt;=Setup!$C$16))),WORKDAY(L225,-(Setup!$C$13+Setup!$G$30+Setup!$C$14),Setup!$C$39:$C$50),WORKDAY(L225,-(Setup!$C$13+Setup!$G$30),Setup!$C$39:$C$50))+(220*100+11)/10000000)))</f>
        <v/>
      </c>
      <c r="AC225" t="str">
        <f>IF(M225="","",IF(M225&lt;Setup!$C$5-Setup!$C$6,"",IF(IF(ISNUMBER(Roster!$D225),Setup!$C$31&lt;=Roster!$D225,FALSE),"",IF(OR(IF(Setup!$C$15&lt;=Setup!$C$16,AND(MONTH(M225)&gt;=Setup!$C$15,MONTH(M225)&lt;=Setup!$C$16),OR(MONTH(M225)&gt;=Setup!$C$15,MONTH(M225)&lt;=Setup!$C$16)),IF(Setup!$C$15&lt;=Setup!$C$16,AND(MONTH(WORKDAY(M225,-(Setup!$C$13+Setup!$G$31),Setup!$C$39:$C$50))&gt;=Setup!$C$15,MONTH(WORKDAY(M225,-(Setup!$C$13+Setup!$G$31),Setup!$C$39:$C$50))&lt;=Setup!$C$16),OR(MONTH(WORKDAY(M225,-(Setup!$C$13+Setup!$G$31),Setup!$C$39:$C$50))&gt;=Setup!$C$15,MONTH(WORKDAY(M225,-(Setup!$C$13+Setup!$G$31),Setup!$C$39:$C$50))&lt;=Setup!$C$16))),WORKDAY(M225,-(Setup!$C$13+Setup!$G$31+Setup!$C$14),Setup!$C$39:$C$50),WORKDAY(M225,-(Setup!$C$13+Setup!$G$31),Setup!$C$39:$C$50))+(220*100+12)/10000000)))</f>
        <v/>
      </c>
      <c r="AD225" t="str">
        <f>IF(N225="","",IF(N225&lt;Setup!$C$5-Setup!$C$6,"",IF(IF(ISNUMBER(Roster!$D225),Setup!$C$32&lt;=Roster!$D225,FALSE),"",IF(OR(IF(Setup!$C$15&lt;=Setup!$C$16,AND(MONTH(N225)&gt;=Setup!$C$15,MONTH(N225)&lt;=Setup!$C$16),OR(MONTH(N225)&gt;=Setup!$C$15,MONTH(N225)&lt;=Setup!$C$16)),IF(Setup!$C$15&lt;=Setup!$C$16,AND(MONTH(WORKDAY(N225,-(Setup!$C$13+Setup!$G$32),Setup!$C$39:$C$50))&gt;=Setup!$C$15,MONTH(WORKDAY(N225,-(Setup!$C$13+Setup!$G$32),Setup!$C$39:$C$50))&lt;=Setup!$C$16),OR(MONTH(WORKDAY(N225,-(Setup!$C$13+Setup!$G$32),Setup!$C$39:$C$50))&gt;=Setup!$C$15,MONTH(WORKDAY(N225,-(Setup!$C$13+Setup!$G$32),Setup!$C$39:$C$50))&lt;=Setup!$C$16))),WORKDAY(N225,-(Setup!$C$13+Setup!$G$32+Setup!$C$14),Setup!$C$39:$C$50),WORKDAY(N225,-(Setup!$C$13+Setup!$G$32),Setup!$C$39:$C$50))+(220*100+13)/10000000)))</f>
        <v/>
      </c>
      <c r="AE225" t="str">
        <f>IF(O225="","",IF(O225&lt;Setup!$C$5-Setup!$C$6,"",IF(IF(ISNUMBER(Roster!$D225),Setup!$C$33&lt;=Roster!$D225,FALSE),"",IF(OR(IF(Setup!$C$15&lt;=Setup!$C$16,AND(MONTH(O225)&gt;=Setup!$C$15,MONTH(O225)&lt;=Setup!$C$16),OR(MONTH(O225)&gt;=Setup!$C$15,MONTH(O225)&lt;=Setup!$C$16)),IF(Setup!$C$15&lt;=Setup!$C$16,AND(MONTH(WORKDAY(O225,-(Setup!$C$13+Setup!$G$33),Setup!$C$39:$C$50))&gt;=Setup!$C$15,MONTH(WORKDAY(O225,-(Setup!$C$13+Setup!$G$33),Setup!$C$39:$C$50))&lt;=Setup!$C$16),OR(MONTH(WORKDAY(O225,-(Setup!$C$13+Setup!$G$33),Setup!$C$39:$C$50))&gt;=Setup!$C$15,MONTH(WORKDAY(O225,-(Setup!$C$13+Setup!$G$33),Setup!$C$39:$C$50))&lt;=Setup!$C$16))),WORKDAY(O225,-(Setup!$C$13+Setup!$G$33+Setup!$C$14),Setup!$C$39:$C$50),WORKDAY(O225,-(Setup!$C$13+Setup!$G$33),Setup!$C$39:$C$50))+(220*100+14)/10000000)))</f>
        <v/>
      </c>
      <c r="AF225" t="str">
        <f>IF(P225="","",IF(P225&lt;Setup!$C$5-Setup!$C$6,"",IF(IF(ISNUMBER(Roster!$D225),Setup!$C$34&lt;=Roster!$D225,FALSE),"",IF(OR(IF(Setup!$C$15&lt;=Setup!$C$16,AND(MONTH(P225)&gt;=Setup!$C$15,MONTH(P225)&lt;=Setup!$C$16),OR(MONTH(P225)&gt;=Setup!$C$15,MONTH(P225)&lt;=Setup!$C$16)),IF(Setup!$C$15&lt;=Setup!$C$16,AND(MONTH(WORKDAY(P225,-(Setup!$C$13+Setup!$G$34),Setup!$C$39:$C$50))&gt;=Setup!$C$15,MONTH(WORKDAY(P225,-(Setup!$C$13+Setup!$G$34),Setup!$C$39:$C$50))&lt;=Setup!$C$16),OR(MONTH(WORKDAY(P225,-(Setup!$C$13+Setup!$G$34),Setup!$C$39:$C$50))&gt;=Setup!$C$15,MONTH(WORKDAY(P225,-(Setup!$C$13+Setup!$G$34),Setup!$C$39:$C$50))&lt;=Setup!$C$16))),WORKDAY(P225,-(Setup!$C$13+Setup!$G$34+Setup!$C$14),Setup!$C$39:$C$50),WORKDAY(P225,-(Setup!$C$13+Setup!$G$34),Setup!$C$39:$C$50))+(220*100+15)/10000000)))</f>
        <v/>
      </c>
      <c r="AH225" t="str">
        <f t="shared" si="25"/>
        <v/>
      </c>
      <c r="AI225" t="str">
        <f t="shared" si="26"/>
        <v/>
      </c>
      <c r="AK225" t="str">
        <f ca="1">IF(220&gt;$AK$2,"",SMALL($R$6:$AF$505,220))</f>
        <v/>
      </c>
      <c r="AL225" t="str">
        <f t="shared" ca="1" si="27"/>
        <v/>
      </c>
      <c r="AM225" t="str">
        <f t="shared" ca="1" si="28"/>
        <v/>
      </c>
      <c r="AN225" t="str">
        <f t="shared" ca="1" si="29"/>
        <v/>
      </c>
      <c r="AP225" t="str">
        <f>IF(ISNUMBER(Roster!$B225),MAX(1,YEAR(Setup!$C$5)-YEAR(Roster!$B225)+IF(EDATE(Roster!$B225,12*(YEAR(Setup!$C$5)-YEAR(Roster!$B225)))&lt;Setup!$C$5,1,0)),"")</f>
        <v/>
      </c>
      <c r="AQ225" s="32" t="str">
        <f>IF(AP225="","",EDATE(Roster!$B225,12*AP225))</f>
        <v/>
      </c>
      <c r="AR225" t="str">
        <f>IF(AQ225="","",IF(AQ225&lt;DATE(YEAR(Setup!$C$5)+1,MONTH(Setup!$C$5),DAY(Setup!$C$5)),AQ225+220/1000,""))</f>
        <v/>
      </c>
      <c r="AS225" t="str">
        <f t="shared" si="30"/>
        <v/>
      </c>
      <c r="AT225" t="str">
        <f>IF(AS225="","",IF(ISNUMBER(Roster!$D225),Roster!$D225&gt;=AP225,FALSE))</f>
        <v/>
      </c>
      <c r="AU225" t="str">
        <f t="shared" si="31"/>
        <v/>
      </c>
      <c r="AV225" t="str">
        <f ca="1">IF(220&gt;$AV$2,"",SMALL($AR$6:$AR$505,220))</f>
        <v/>
      </c>
      <c r="AW225" t="str">
        <f t="shared" ca="1" si="32"/>
        <v/>
      </c>
    </row>
    <row r="226" spans="2:49" x14ac:dyDescent="0.2">
      <c r="B226" s="32" t="str">
        <f>IF(AND(ISNUMBER(Roster!$B226),Setup!$B$20="Yes",ISNUMBER(Setup!$C$20)),EDATE(Roster!$B226,12*Setup!$C$20),"")</f>
        <v/>
      </c>
      <c r="C226" s="32" t="str">
        <f>IF(AND(ISNUMBER(Roster!$B226),Setup!$B$21="Yes",ISNUMBER(Setup!$C$21)),EDATE(Roster!$B226,12*Setup!$C$21),"")</f>
        <v/>
      </c>
      <c r="D226" s="32" t="str">
        <f>IF(AND(ISNUMBER(Roster!$B226),Setup!$B$22="Yes",ISNUMBER(Setup!$C$22)),EDATE(Roster!$B226,12*Setup!$C$22),"")</f>
        <v/>
      </c>
      <c r="E226" s="32" t="str">
        <f>IF(AND(ISNUMBER(Roster!$B226),Setup!$B$23="Yes",ISNUMBER(Setup!$C$23)),EDATE(Roster!$B226,12*Setup!$C$23),"")</f>
        <v/>
      </c>
      <c r="F226" s="32" t="str">
        <f>IF(AND(ISNUMBER(Roster!$B226),Setup!$B$24="Yes",ISNUMBER(Setup!$C$24)),EDATE(Roster!$B226,12*Setup!$C$24),"")</f>
        <v/>
      </c>
      <c r="G226" s="32" t="str">
        <f>IF(AND(ISNUMBER(Roster!$B226),Setup!$B$25="Yes",ISNUMBER(Setup!$C$25)),EDATE(Roster!$B226,12*Setup!$C$25),"")</f>
        <v/>
      </c>
      <c r="H226" s="32" t="str">
        <f>IF(AND(ISNUMBER(Roster!$B226),Setup!$B$26="Yes",ISNUMBER(Setup!$C$26)),EDATE(Roster!$B226,12*Setup!$C$26),"")</f>
        <v/>
      </c>
      <c r="I226" s="32" t="str">
        <f>IF(AND(ISNUMBER(Roster!$B226),Setup!$B$27="Yes",ISNUMBER(Setup!$C$27)),EDATE(Roster!$B226,12*Setup!$C$27),"")</f>
        <v/>
      </c>
      <c r="J226" s="32" t="str">
        <f>IF(AND(ISNUMBER(Roster!$B226),Setup!$B$28="Yes",ISNUMBER(Setup!$C$28)),EDATE(Roster!$B226,12*Setup!$C$28),"")</f>
        <v/>
      </c>
      <c r="K226" s="32" t="str">
        <f>IF(AND(ISNUMBER(Roster!$B226),Setup!$B$29="Yes",ISNUMBER(Setup!$C$29)),EDATE(Roster!$B226,12*Setup!$C$29),"")</f>
        <v/>
      </c>
      <c r="L226" s="32" t="str">
        <f>IF(AND(ISNUMBER(Roster!$B226),Setup!$B$30="Yes",ISNUMBER(Setup!$C$30)),EDATE(Roster!$B226,12*Setup!$C$30),"")</f>
        <v/>
      </c>
      <c r="M226" s="32" t="str">
        <f>IF(AND(ISNUMBER(Roster!$B226),Setup!$B$31="Yes",ISNUMBER(Setup!$C$31)),EDATE(Roster!$B226,12*Setup!$C$31),"")</f>
        <v/>
      </c>
      <c r="N226" s="32" t="str">
        <f>IF(AND(ISNUMBER(Roster!$B226),Setup!$B$32="Yes",ISNUMBER(Setup!$C$32)),EDATE(Roster!$B226,12*Setup!$C$32),"")</f>
        <v/>
      </c>
      <c r="O226" s="32" t="str">
        <f>IF(AND(ISNUMBER(Roster!$B226),Setup!$B$33="Yes",ISNUMBER(Setup!$C$33)),EDATE(Roster!$B226,12*Setup!$C$33),"")</f>
        <v/>
      </c>
      <c r="P226" s="32" t="str">
        <f>IF(AND(ISNUMBER(Roster!$B226),Setup!$B$34="Yes",ISNUMBER(Setup!$C$34)),EDATE(Roster!$B226,12*Setup!$C$34),"")</f>
        <v/>
      </c>
      <c r="R226" t="str">
        <f>IF(B226="","",IF(B226&lt;Setup!$C$5-Setup!$C$6,"",IF(IF(ISNUMBER(Roster!$D226),Setup!$C$20&lt;=Roster!$D226,FALSE),"",IF(OR(IF(Setup!$C$15&lt;=Setup!$C$16,AND(MONTH(B226)&gt;=Setup!$C$15,MONTH(B226)&lt;=Setup!$C$16),OR(MONTH(B226)&gt;=Setup!$C$15,MONTH(B226)&lt;=Setup!$C$16)),IF(Setup!$C$15&lt;=Setup!$C$16,AND(MONTH(WORKDAY(B226,-(Setup!$C$13+Setup!$G$20),Setup!$C$39:$C$50))&gt;=Setup!$C$15,MONTH(WORKDAY(B226,-(Setup!$C$13+Setup!$G$20),Setup!$C$39:$C$50))&lt;=Setup!$C$16),OR(MONTH(WORKDAY(B226,-(Setup!$C$13+Setup!$G$20),Setup!$C$39:$C$50))&gt;=Setup!$C$15,MONTH(WORKDAY(B226,-(Setup!$C$13+Setup!$G$20),Setup!$C$39:$C$50))&lt;=Setup!$C$16))),WORKDAY(B226,-(Setup!$C$13+Setup!$G$20+Setup!$C$14),Setup!$C$39:$C$50),WORKDAY(B226,-(Setup!$C$13+Setup!$G$20),Setup!$C$39:$C$50))+(221*100+1)/10000000)))</f>
        <v/>
      </c>
      <c r="S226" t="str">
        <f>IF(C226="","",IF(C226&lt;Setup!$C$5-Setup!$C$6,"",IF(IF(ISNUMBER(Roster!$D226),Setup!$C$21&lt;=Roster!$D226,FALSE),"",IF(OR(IF(Setup!$C$15&lt;=Setup!$C$16,AND(MONTH(C226)&gt;=Setup!$C$15,MONTH(C226)&lt;=Setup!$C$16),OR(MONTH(C226)&gt;=Setup!$C$15,MONTH(C226)&lt;=Setup!$C$16)),IF(Setup!$C$15&lt;=Setup!$C$16,AND(MONTH(WORKDAY(C226,-(Setup!$C$13+Setup!$G$21),Setup!$C$39:$C$50))&gt;=Setup!$C$15,MONTH(WORKDAY(C226,-(Setup!$C$13+Setup!$G$21),Setup!$C$39:$C$50))&lt;=Setup!$C$16),OR(MONTH(WORKDAY(C226,-(Setup!$C$13+Setup!$G$21),Setup!$C$39:$C$50))&gt;=Setup!$C$15,MONTH(WORKDAY(C226,-(Setup!$C$13+Setup!$G$21),Setup!$C$39:$C$50))&lt;=Setup!$C$16))),WORKDAY(C226,-(Setup!$C$13+Setup!$G$21+Setup!$C$14),Setup!$C$39:$C$50),WORKDAY(C226,-(Setup!$C$13+Setup!$G$21),Setup!$C$39:$C$50))+(221*100+2)/10000000)))</f>
        <v/>
      </c>
      <c r="T226" t="str">
        <f>IF(D226="","",IF(D226&lt;Setup!$C$5-Setup!$C$6,"",IF(IF(ISNUMBER(Roster!$D226),Setup!$C$22&lt;=Roster!$D226,FALSE),"",IF(OR(IF(Setup!$C$15&lt;=Setup!$C$16,AND(MONTH(D226)&gt;=Setup!$C$15,MONTH(D226)&lt;=Setup!$C$16),OR(MONTH(D226)&gt;=Setup!$C$15,MONTH(D226)&lt;=Setup!$C$16)),IF(Setup!$C$15&lt;=Setup!$C$16,AND(MONTH(WORKDAY(D226,-(Setup!$C$13+Setup!$G$22),Setup!$C$39:$C$50))&gt;=Setup!$C$15,MONTH(WORKDAY(D226,-(Setup!$C$13+Setup!$G$22),Setup!$C$39:$C$50))&lt;=Setup!$C$16),OR(MONTH(WORKDAY(D226,-(Setup!$C$13+Setup!$G$22),Setup!$C$39:$C$50))&gt;=Setup!$C$15,MONTH(WORKDAY(D226,-(Setup!$C$13+Setup!$G$22),Setup!$C$39:$C$50))&lt;=Setup!$C$16))),WORKDAY(D226,-(Setup!$C$13+Setup!$G$22+Setup!$C$14),Setup!$C$39:$C$50),WORKDAY(D226,-(Setup!$C$13+Setup!$G$22),Setup!$C$39:$C$50))+(221*100+3)/10000000)))</f>
        <v/>
      </c>
      <c r="U226" t="str">
        <f>IF(E226="","",IF(E226&lt;Setup!$C$5-Setup!$C$6,"",IF(IF(ISNUMBER(Roster!$D226),Setup!$C$23&lt;=Roster!$D226,FALSE),"",IF(OR(IF(Setup!$C$15&lt;=Setup!$C$16,AND(MONTH(E226)&gt;=Setup!$C$15,MONTH(E226)&lt;=Setup!$C$16),OR(MONTH(E226)&gt;=Setup!$C$15,MONTH(E226)&lt;=Setup!$C$16)),IF(Setup!$C$15&lt;=Setup!$C$16,AND(MONTH(WORKDAY(E226,-(Setup!$C$13+Setup!$G$23),Setup!$C$39:$C$50))&gt;=Setup!$C$15,MONTH(WORKDAY(E226,-(Setup!$C$13+Setup!$G$23),Setup!$C$39:$C$50))&lt;=Setup!$C$16),OR(MONTH(WORKDAY(E226,-(Setup!$C$13+Setup!$G$23),Setup!$C$39:$C$50))&gt;=Setup!$C$15,MONTH(WORKDAY(E226,-(Setup!$C$13+Setup!$G$23),Setup!$C$39:$C$50))&lt;=Setup!$C$16))),WORKDAY(E226,-(Setup!$C$13+Setup!$G$23+Setup!$C$14),Setup!$C$39:$C$50),WORKDAY(E226,-(Setup!$C$13+Setup!$G$23),Setup!$C$39:$C$50))+(221*100+4)/10000000)))</f>
        <v/>
      </c>
      <c r="V226" t="str">
        <f>IF(F226="","",IF(F226&lt;Setup!$C$5-Setup!$C$6,"",IF(IF(ISNUMBER(Roster!$D226),Setup!$C$24&lt;=Roster!$D226,FALSE),"",IF(OR(IF(Setup!$C$15&lt;=Setup!$C$16,AND(MONTH(F226)&gt;=Setup!$C$15,MONTH(F226)&lt;=Setup!$C$16),OR(MONTH(F226)&gt;=Setup!$C$15,MONTH(F226)&lt;=Setup!$C$16)),IF(Setup!$C$15&lt;=Setup!$C$16,AND(MONTH(WORKDAY(F226,-(Setup!$C$13+Setup!$G$24),Setup!$C$39:$C$50))&gt;=Setup!$C$15,MONTH(WORKDAY(F226,-(Setup!$C$13+Setup!$G$24),Setup!$C$39:$C$50))&lt;=Setup!$C$16),OR(MONTH(WORKDAY(F226,-(Setup!$C$13+Setup!$G$24),Setup!$C$39:$C$50))&gt;=Setup!$C$15,MONTH(WORKDAY(F226,-(Setup!$C$13+Setup!$G$24),Setup!$C$39:$C$50))&lt;=Setup!$C$16))),WORKDAY(F226,-(Setup!$C$13+Setup!$G$24+Setup!$C$14),Setup!$C$39:$C$50),WORKDAY(F226,-(Setup!$C$13+Setup!$G$24),Setup!$C$39:$C$50))+(221*100+5)/10000000)))</f>
        <v/>
      </c>
      <c r="W226" t="str">
        <f>IF(G226="","",IF(G226&lt;Setup!$C$5-Setup!$C$6,"",IF(IF(ISNUMBER(Roster!$D226),Setup!$C$25&lt;=Roster!$D226,FALSE),"",IF(OR(IF(Setup!$C$15&lt;=Setup!$C$16,AND(MONTH(G226)&gt;=Setup!$C$15,MONTH(G226)&lt;=Setup!$C$16),OR(MONTH(G226)&gt;=Setup!$C$15,MONTH(G226)&lt;=Setup!$C$16)),IF(Setup!$C$15&lt;=Setup!$C$16,AND(MONTH(WORKDAY(G226,-(Setup!$C$13+Setup!$G$25),Setup!$C$39:$C$50))&gt;=Setup!$C$15,MONTH(WORKDAY(G226,-(Setup!$C$13+Setup!$G$25),Setup!$C$39:$C$50))&lt;=Setup!$C$16),OR(MONTH(WORKDAY(G226,-(Setup!$C$13+Setup!$G$25),Setup!$C$39:$C$50))&gt;=Setup!$C$15,MONTH(WORKDAY(G226,-(Setup!$C$13+Setup!$G$25),Setup!$C$39:$C$50))&lt;=Setup!$C$16))),WORKDAY(G226,-(Setup!$C$13+Setup!$G$25+Setup!$C$14),Setup!$C$39:$C$50),WORKDAY(G226,-(Setup!$C$13+Setup!$G$25),Setup!$C$39:$C$50))+(221*100+6)/10000000)))</f>
        <v/>
      </c>
      <c r="X226" t="str">
        <f>IF(H226="","",IF(H226&lt;Setup!$C$5-Setup!$C$6,"",IF(IF(ISNUMBER(Roster!$D226),Setup!$C$26&lt;=Roster!$D226,FALSE),"",IF(OR(IF(Setup!$C$15&lt;=Setup!$C$16,AND(MONTH(H226)&gt;=Setup!$C$15,MONTH(H226)&lt;=Setup!$C$16),OR(MONTH(H226)&gt;=Setup!$C$15,MONTH(H226)&lt;=Setup!$C$16)),IF(Setup!$C$15&lt;=Setup!$C$16,AND(MONTH(WORKDAY(H226,-(Setup!$C$13+Setup!$G$26),Setup!$C$39:$C$50))&gt;=Setup!$C$15,MONTH(WORKDAY(H226,-(Setup!$C$13+Setup!$G$26),Setup!$C$39:$C$50))&lt;=Setup!$C$16),OR(MONTH(WORKDAY(H226,-(Setup!$C$13+Setup!$G$26),Setup!$C$39:$C$50))&gt;=Setup!$C$15,MONTH(WORKDAY(H226,-(Setup!$C$13+Setup!$G$26),Setup!$C$39:$C$50))&lt;=Setup!$C$16))),WORKDAY(H226,-(Setup!$C$13+Setup!$G$26+Setup!$C$14),Setup!$C$39:$C$50),WORKDAY(H226,-(Setup!$C$13+Setup!$G$26),Setup!$C$39:$C$50))+(221*100+7)/10000000)))</f>
        <v/>
      </c>
      <c r="Y226" t="str">
        <f>IF(I226="","",IF(I226&lt;Setup!$C$5-Setup!$C$6,"",IF(IF(ISNUMBER(Roster!$D226),Setup!$C$27&lt;=Roster!$D226,FALSE),"",IF(OR(IF(Setup!$C$15&lt;=Setup!$C$16,AND(MONTH(I226)&gt;=Setup!$C$15,MONTH(I226)&lt;=Setup!$C$16),OR(MONTH(I226)&gt;=Setup!$C$15,MONTH(I226)&lt;=Setup!$C$16)),IF(Setup!$C$15&lt;=Setup!$C$16,AND(MONTH(WORKDAY(I226,-(Setup!$C$13+Setup!$G$27),Setup!$C$39:$C$50))&gt;=Setup!$C$15,MONTH(WORKDAY(I226,-(Setup!$C$13+Setup!$G$27),Setup!$C$39:$C$50))&lt;=Setup!$C$16),OR(MONTH(WORKDAY(I226,-(Setup!$C$13+Setup!$G$27),Setup!$C$39:$C$50))&gt;=Setup!$C$15,MONTH(WORKDAY(I226,-(Setup!$C$13+Setup!$G$27),Setup!$C$39:$C$50))&lt;=Setup!$C$16))),WORKDAY(I226,-(Setup!$C$13+Setup!$G$27+Setup!$C$14),Setup!$C$39:$C$50),WORKDAY(I226,-(Setup!$C$13+Setup!$G$27),Setup!$C$39:$C$50))+(221*100+8)/10000000)))</f>
        <v/>
      </c>
      <c r="Z226" t="str">
        <f>IF(J226="","",IF(J226&lt;Setup!$C$5-Setup!$C$6,"",IF(IF(ISNUMBER(Roster!$D226),Setup!$C$28&lt;=Roster!$D226,FALSE),"",IF(OR(IF(Setup!$C$15&lt;=Setup!$C$16,AND(MONTH(J226)&gt;=Setup!$C$15,MONTH(J226)&lt;=Setup!$C$16),OR(MONTH(J226)&gt;=Setup!$C$15,MONTH(J226)&lt;=Setup!$C$16)),IF(Setup!$C$15&lt;=Setup!$C$16,AND(MONTH(WORKDAY(J226,-(Setup!$C$13+Setup!$G$28),Setup!$C$39:$C$50))&gt;=Setup!$C$15,MONTH(WORKDAY(J226,-(Setup!$C$13+Setup!$G$28),Setup!$C$39:$C$50))&lt;=Setup!$C$16),OR(MONTH(WORKDAY(J226,-(Setup!$C$13+Setup!$G$28),Setup!$C$39:$C$50))&gt;=Setup!$C$15,MONTH(WORKDAY(J226,-(Setup!$C$13+Setup!$G$28),Setup!$C$39:$C$50))&lt;=Setup!$C$16))),WORKDAY(J226,-(Setup!$C$13+Setup!$G$28+Setup!$C$14),Setup!$C$39:$C$50),WORKDAY(J226,-(Setup!$C$13+Setup!$G$28),Setup!$C$39:$C$50))+(221*100+9)/10000000)))</f>
        <v/>
      </c>
      <c r="AA226" t="str">
        <f>IF(K226="","",IF(K226&lt;Setup!$C$5-Setup!$C$6,"",IF(IF(ISNUMBER(Roster!$D226),Setup!$C$29&lt;=Roster!$D226,FALSE),"",IF(OR(IF(Setup!$C$15&lt;=Setup!$C$16,AND(MONTH(K226)&gt;=Setup!$C$15,MONTH(K226)&lt;=Setup!$C$16),OR(MONTH(K226)&gt;=Setup!$C$15,MONTH(K226)&lt;=Setup!$C$16)),IF(Setup!$C$15&lt;=Setup!$C$16,AND(MONTH(WORKDAY(K226,-(Setup!$C$13+Setup!$G$29),Setup!$C$39:$C$50))&gt;=Setup!$C$15,MONTH(WORKDAY(K226,-(Setup!$C$13+Setup!$G$29),Setup!$C$39:$C$50))&lt;=Setup!$C$16),OR(MONTH(WORKDAY(K226,-(Setup!$C$13+Setup!$G$29),Setup!$C$39:$C$50))&gt;=Setup!$C$15,MONTH(WORKDAY(K226,-(Setup!$C$13+Setup!$G$29),Setup!$C$39:$C$50))&lt;=Setup!$C$16))),WORKDAY(K226,-(Setup!$C$13+Setup!$G$29+Setup!$C$14),Setup!$C$39:$C$50),WORKDAY(K226,-(Setup!$C$13+Setup!$G$29),Setup!$C$39:$C$50))+(221*100+10)/10000000)))</f>
        <v/>
      </c>
      <c r="AB226" t="str">
        <f>IF(L226="","",IF(L226&lt;Setup!$C$5-Setup!$C$6,"",IF(IF(ISNUMBER(Roster!$D226),Setup!$C$30&lt;=Roster!$D226,FALSE),"",IF(OR(IF(Setup!$C$15&lt;=Setup!$C$16,AND(MONTH(L226)&gt;=Setup!$C$15,MONTH(L226)&lt;=Setup!$C$16),OR(MONTH(L226)&gt;=Setup!$C$15,MONTH(L226)&lt;=Setup!$C$16)),IF(Setup!$C$15&lt;=Setup!$C$16,AND(MONTH(WORKDAY(L226,-(Setup!$C$13+Setup!$G$30),Setup!$C$39:$C$50))&gt;=Setup!$C$15,MONTH(WORKDAY(L226,-(Setup!$C$13+Setup!$G$30),Setup!$C$39:$C$50))&lt;=Setup!$C$16),OR(MONTH(WORKDAY(L226,-(Setup!$C$13+Setup!$G$30),Setup!$C$39:$C$50))&gt;=Setup!$C$15,MONTH(WORKDAY(L226,-(Setup!$C$13+Setup!$G$30),Setup!$C$39:$C$50))&lt;=Setup!$C$16))),WORKDAY(L226,-(Setup!$C$13+Setup!$G$30+Setup!$C$14),Setup!$C$39:$C$50),WORKDAY(L226,-(Setup!$C$13+Setup!$G$30),Setup!$C$39:$C$50))+(221*100+11)/10000000)))</f>
        <v/>
      </c>
      <c r="AC226" t="str">
        <f>IF(M226="","",IF(M226&lt;Setup!$C$5-Setup!$C$6,"",IF(IF(ISNUMBER(Roster!$D226),Setup!$C$31&lt;=Roster!$D226,FALSE),"",IF(OR(IF(Setup!$C$15&lt;=Setup!$C$16,AND(MONTH(M226)&gt;=Setup!$C$15,MONTH(M226)&lt;=Setup!$C$16),OR(MONTH(M226)&gt;=Setup!$C$15,MONTH(M226)&lt;=Setup!$C$16)),IF(Setup!$C$15&lt;=Setup!$C$16,AND(MONTH(WORKDAY(M226,-(Setup!$C$13+Setup!$G$31),Setup!$C$39:$C$50))&gt;=Setup!$C$15,MONTH(WORKDAY(M226,-(Setup!$C$13+Setup!$G$31),Setup!$C$39:$C$50))&lt;=Setup!$C$16),OR(MONTH(WORKDAY(M226,-(Setup!$C$13+Setup!$G$31),Setup!$C$39:$C$50))&gt;=Setup!$C$15,MONTH(WORKDAY(M226,-(Setup!$C$13+Setup!$G$31),Setup!$C$39:$C$50))&lt;=Setup!$C$16))),WORKDAY(M226,-(Setup!$C$13+Setup!$G$31+Setup!$C$14),Setup!$C$39:$C$50),WORKDAY(M226,-(Setup!$C$13+Setup!$G$31),Setup!$C$39:$C$50))+(221*100+12)/10000000)))</f>
        <v/>
      </c>
      <c r="AD226" t="str">
        <f>IF(N226="","",IF(N226&lt;Setup!$C$5-Setup!$C$6,"",IF(IF(ISNUMBER(Roster!$D226),Setup!$C$32&lt;=Roster!$D226,FALSE),"",IF(OR(IF(Setup!$C$15&lt;=Setup!$C$16,AND(MONTH(N226)&gt;=Setup!$C$15,MONTH(N226)&lt;=Setup!$C$16),OR(MONTH(N226)&gt;=Setup!$C$15,MONTH(N226)&lt;=Setup!$C$16)),IF(Setup!$C$15&lt;=Setup!$C$16,AND(MONTH(WORKDAY(N226,-(Setup!$C$13+Setup!$G$32),Setup!$C$39:$C$50))&gt;=Setup!$C$15,MONTH(WORKDAY(N226,-(Setup!$C$13+Setup!$G$32),Setup!$C$39:$C$50))&lt;=Setup!$C$16),OR(MONTH(WORKDAY(N226,-(Setup!$C$13+Setup!$G$32),Setup!$C$39:$C$50))&gt;=Setup!$C$15,MONTH(WORKDAY(N226,-(Setup!$C$13+Setup!$G$32),Setup!$C$39:$C$50))&lt;=Setup!$C$16))),WORKDAY(N226,-(Setup!$C$13+Setup!$G$32+Setup!$C$14),Setup!$C$39:$C$50),WORKDAY(N226,-(Setup!$C$13+Setup!$G$32),Setup!$C$39:$C$50))+(221*100+13)/10000000)))</f>
        <v/>
      </c>
      <c r="AE226" t="str">
        <f>IF(O226="","",IF(O226&lt;Setup!$C$5-Setup!$C$6,"",IF(IF(ISNUMBER(Roster!$D226),Setup!$C$33&lt;=Roster!$D226,FALSE),"",IF(OR(IF(Setup!$C$15&lt;=Setup!$C$16,AND(MONTH(O226)&gt;=Setup!$C$15,MONTH(O226)&lt;=Setup!$C$16),OR(MONTH(O226)&gt;=Setup!$C$15,MONTH(O226)&lt;=Setup!$C$16)),IF(Setup!$C$15&lt;=Setup!$C$16,AND(MONTH(WORKDAY(O226,-(Setup!$C$13+Setup!$G$33),Setup!$C$39:$C$50))&gt;=Setup!$C$15,MONTH(WORKDAY(O226,-(Setup!$C$13+Setup!$G$33),Setup!$C$39:$C$50))&lt;=Setup!$C$16),OR(MONTH(WORKDAY(O226,-(Setup!$C$13+Setup!$G$33),Setup!$C$39:$C$50))&gt;=Setup!$C$15,MONTH(WORKDAY(O226,-(Setup!$C$13+Setup!$G$33),Setup!$C$39:$C$50))&lt;=Setup!$C$16))),WORKDAY(O226,-(Setup!$C$13+Setup!$G$33+Setup!$C$14),Setup!$C$39:$C$50),WORKDAY(O226,-(Setup!$C$13+Setup!$G$33),Setup!$C$39:$C$50))+(221*100+14)/10000000)))</f>
        <v/>
      </c>
      <c r="AF226" t="str">
        <f>IF(P226="","",IF(P226&lt;Setup!$C$5-Setup!$C$6,"",IF(IF(ISNUMBER(Roster!$D226),Setup!$C$34&lt;=Roster!$D226,FALSE),"",IF(OR(IF(Setup!$C$15&lt;=Setup!$C$16,AND(MONTH(P226)&gt;=Setup!$C$15,MONTH(P226)&lt;=Setup!$C$16),OR(MONTH(P226)&gt;=Setup!$C$15,MONTH(P226)&lt;=Setup!$C$16)),IF(Setup!$C$15&lt;=Setup!$C$16,AND(MONTH(WORKDAY(P226,-(Setup!$C$13+Setup!$G$34),Setup!$C$39:$C$50))&gt;=Setup!$C$15,MONTH(WORKDAY(P226,-(Setup!$C$13+Setup!$G$34),Setup!$C$39:$C$50))&lt;=Setup!$C$16),OR(MONTH(WORKDAY(P226,-(Setup!$C$13+Setup!$G$34),Setup!$C$39:$C$50))&gt;=Setup!$C$15,MONTH(WORKDAY(P226,-(Setup!$C$13+Setup!$G$34),Setup!$C$39:$C$50))&lt;=Setup!$C$16))),WORKDAY(P226,-(Setup!$C$13+Setup!$G$34+Setup!$C$14),Setup!$C$39:$C$50),WORKDAY(P226,-(Setup!$C$13+Setup!$G$34),Setup!$C$39:$C$50))+(221*100+15)/10000000)))</f>
        <v/>
      </c>
      <c r="AH226" t="str">
        <f t="shared" si="25"/>
        <v/>
      </c>
      <c r="AI226" t="str">
        <f t="shared" si="26"/>
        <v/>
      </c>
      <c r="AK226" t="str">
        <f ca="1">IF(221&gt;$AK$2,"",SMALL($R$6:$AF$505,221))</f>
        <v/>
      </c>
      <c r="AL226" t="str">
        <f t="shared" ca="1" si="27"/>
        <v/>
      </c>
      <c r="AM226" t="str">
        <f t="shared" ca="1" si="28"/>
        <v/>
      </c>
      <c r="AN226" t="str">
        <f t="shared" ca="1" si="29"/>
        <v/>
      </c>
      <c r="AP226" t="str">
        <f>IF(ISNUMBER(Roster!$B226),MAX(1,YEAR(Setup!$C$5)-YEAR(Roster!$B226)+IF(EDATE(Roster!$B226,12*(YEAR(Setup!$C$5)-YEAR(Roster!$B226)))&lt;Setup!$C$5,1,0)),"")</f>
        <v/>
      </c>
      <c r="AQ226" s="32" t="str">
        <f>IF(AP226="","",EDATE(Roster!$B226,12*AP226))</f>
        <v/>
      </c>
      <c r="AR226" t="str">
        <f>IF(AQ226="","",IF(AQ226&lt;DATE(YEAR(Setup!$C$5)+1,MONTH(Setup!$C$5),DAY(Setup!$C$5)),AQ226+221/1000,""))</f>
        <v/>
      </c>
      <c r="AS226" t="str">
        <f t="shared" si="30"/>
        <v/>
      </c>
      <c r="AT226" t="str">
        <f>IF(AS226="","",IF(ISNUMBER(Roster!$D226),Roster!$D226&gt;=AP226,FALSE))</f>
        <v/>
      </c>
      <c r="AU226" t="str">
        <f t="shared" si="31"/>
        <v/>
      </c>
      <c r="AV226" t="str">
        <f ca="1">IF(221&gt;$AV$2,"",SMALL($AR$6:$AR$505,221))</f>
        <v/>
      </c>
      <c r="AW226" t="str">
        <f t="shared" ca="1" si="32"/>
        <v/>
      </c>
    </row>
    <row r="227" spans="2:49" x14ac:dyDescent="0.2">
      <c r="B227" s="32" t="str">
        <f>IF(AND(ISNUMBER(Roster!$B227),Setup!$B$20="Yes",ISNUMBER(Setup!$C$20)),EDATE(Roster!$B227,12*Setup!$C$20),"")</f>
        <v/>
      </c>
      <c r="C227" s="32" t="str">
        <f>IF(AND(ISNUMBER(Roster!$B227),Setup!$B$21="Yes",ISNUMBER(Setup!$C$21)),EDATE(Roster!$B227,12*Setup!$C$21),"")</f>
        <v/>
      </c>
      <c r="D227" s="32" t="str">
        <f>IF(AND(ISNUMBER(Roster!$B227),Setup!$B$22="Yes",ISNUMBER(Setup!$C$22)),EDATE(Roster!$B227,12*Setup!$C$22),"")</f>
        <v/>
      </c>
      <c r="E227" s="32" t="str">
        <f>IF(AND(ISNUMBER(Roster!$B227),Setup!$B$23="Yes",ISNUMBER(Setup!$C$23)),EDATE(Roster!$B227,12*Setup!$C$23),"")</f>
        <v/>
      </c>
      <c r="F227" s="32" t="str">
        <f>IF(AND(ISNUMBER(Roster!$B227),Setup!$B$24="Yes",ISNUMBER(Setup!$C$24)),EDATE(Roster!$B227,12*Setup!$C$24),"")</f>
        <v/>
      </c>
      <c r="G227" s="32" t="str">
        <f>IF(AND(ISNUMBER(Roster!$B227),Setup!$B$25="Yes",ISNUMBER(Setup!$C$25)),EDATE(Roster!$B227,12*Setup!$C$25),"")</f>
        <v/>
      </c>
      <c r="H227" s="32" t="str">
        <f>IF(AND(ISNUMBER(Roster!$B227),Setup!$B$26="Yes",ISNUMBER(Setup!$C$26)),EDATE(Roster!$B227,12*Setup!$C$26),"")</f>
        <v/>
      </c>
      <c r="I227" s="32" t="str">
        <f>IF(AND(ISNUMBER(Roster!$B227),Setup!$B$27="Yes",ISNUMBER(Setup!$C$27)),EDATE(Roster!$B227,12*Setup!$C$27),"")</f>
        <v/>
      </c>
      <c r="J227" s="32" t="str">
        <f>IF(AND(ISNUMBER(Roster!$B227),Setup!$B$28="Yes",ISNUMBER(Setup!$C$28)),EDATE(Roster!$B227,12*Setup!$C$28),"")</f>
        <v/>
      </c>
      <c r="K227" s="32" t="str">
        <f>IF(AND(ISNUMBER(Roster!$B227),Setup!$B$29="Yes",ISNUMBER(Setup!$C$29)),EDATE(Roster!$B227,12*Setup!$C$29),"")</f>
        <v/>
      </c>
      <c r="L227" s="32" t="str">
        <f>IF(AND(ISNUMBER(Roster!$B227),Setup!$B$30="Yes",ISNUMBER(Setup!$C$30)),EDATE(Roster!$B227,12*Setup!$C$30),"")</f>
        <v/>
      </c>
      <c r="M227" s="32" t="str">
        <f>IF(AND(ISNUMBER(Roster!$B227),Setup!$B$31="Yes",ISNUMBER(Setup!$C$31)),EDATE(Roster!$B227,12*Setup!$C$31),"")</f>
        <v/>
      </c>
      <c r="N227" s="32" t="str">
        <f>IF(AND(ISNUMBER(Roster!$B227),Setup!$B$32="Yes",ISNUMBER(Setup!$C$32)),EDATE(Roster!$B227,12*Setup!$C$32),"")</f>
        <v/>
      </c>
      <c r="O227" s="32" t="str">
        <f>IF(AND(ISNUMBER(Roster!$B227),Setup!$B$33="Yes",ISNUMBER(Setup!$C$33)),EDATE(Roster!$B227,12*Setup!$C$33),"")</f>
        <v/>
      </c>
      <c r="P227" s="32" t="str">
        <f>IF(AND(ISNUMBER(Roster!$B227),Setup!$B$34="Yes",ISNUMBER(Setup!$C$34)),EDATE(Roster!$B227,12*Setup!$C$34),"")</f>
        <v/>
      </c>
      <c r="R227" t="str">
        <f>IF(B227="","",IF(B227&lt;Setup!$C$5-Setup!$C$6,"",IF(IF(ISNUMBER(Roster!$D227),Setup!$C$20&lt;=Roster!$D227,FALSE),"",IF(OR(IF(Setup!$C$15&lt;=Setup!$C$16,AND(MONTH(B227)&gt;=Setup!$C$15,MONTH(B227)&lt;=Setup!$C$16),OR(MONTH(B227)&gt;=Setup!$C$15,MONTH(B227)&lt;=Setup!$C$16)),IF(Setup!$C$15&lt;=Setup!$C$16,AND(MONTH(WORKDAY(B227,-(Setup!$C$13+Setup!$G$20),Setup!$C$39:$C$50))&gt;=Setup!$C$15,MONTH(WORKDAY(B227,-(Setup!$C$13+Setup!$G$20),Setup!$C$39:$C$50))&lt;=Setup!$C$16),OR(MONTH(WORKDAY(B227,-(Setup!$C$13+Setup!$G$20),Setup!$C$39:$C$50))&gt;=Setup!$C$15,MONTH(WORKDAY(B227,-(Setup!$C$13+Setup!$G$20),Setup!$C$39:$C$50))&lt;=Setup!$C$16))),WORKDAY(B227,-(Setup!$C$13+Setup!$G$20+Setup!$C$14),Setup!$C$39:$C$50),WORKDAY(B227,-(Setup!$C$13+Setup!$G$20),Setup!$C$39:$C$50))+(222*100+1)/10000000)))</f>
        <v/>
      </c>
      <c r="S227" t="str">
        <f>IF(C227="","",IF(C227&lt;Setup!$C$5-Setup!$C$6,"",IF(IF(ISNUMBER(Roster!$D227),Setup!$C$21&lt;=Roster!$D227,FALSE),"",IF(OR(IF(Setup!$C$15&lt;=Setup!$C$16,AND(MONTH(C227)&gt;=Setup!$C$15,MONTH(C227)&lt;=Setup!$C$16),OR(MONTH(C227)&gt;=Setup!$C$15,MONTH(C227)&lt;=Setup!$C$16)),IF(Setup!$C$15&lt;=Setup!$C$16,AND(MONTH(WORKDAY(C227,-(Setup!$C$13+Setup!$G$21),Setup!$C$39:$C$50))&gt;=Setup!$C$15,MONTH(WORKDAY(C227,-(Setup!$C$13+Setup!$G$21),Setup!$C$39:$C$50))&lt;=Setup!$C$16),OR(MONTH(WORKDAY(C227,-(Setup!$C$13+Setup!$G$21),Setup!$C$39:$C$50))&gt;=Setup!$C$15,MONTH(WORKDAY(C227,-(Setup!$C$13+Setup!$G$21),Setup!$C$39:$C$50))&lt;=Setup!$C$16))),WORKDAY(C227,-(Setup!$C$13+Setup!$G$21+Setup!$C$14),Setup!$C$39:$C$50),WORKDAY(C227,-(Setup!$C$13+Setup!$G$21),Setup!$C$39:$C$50))+(222*100+2)/10000000)))</f>
        <v/>
      </c>
      <c r="T227" t="str">
        <f>IF(D227="","",IF(D227&lt;Setup!$C$5-Setup!$C$6,"",IF(IF(ISNUMBER(Roster!$D227),Setup!$C$22&lt;=Roster!$D227,FALSE),"",IF(OR(IF(Setup!$C$15&lt;=Setup!$C$16,AND(MONTH(D227)&gt;=Setup!$C$15,MONTH(D227)&lt;=Setup!$C$16),OR(MONTH(D227)&gt;=Setup!$C$15,MONTH(D227)&lt;=Setup!$C$16)),IF(Setup!$C$15&lt;=Setup!$C$16,AND(MONTH(WORKDAY(D227,-(Setup!$C$13+Setup!$G$22),Setup!$C$39:$C$50))&gt;=Setup!$C$15,MONTH(WORKDAY(D227,-(Setup!$C$13+Setup!$G$22),Setup!$C$39:$C$50))&lt;=Setup!$C$16),OR(MONTH(WORKDAY(D227,-(Setup!$C$13+Setup!$G$22),Setup!$C$39:$C$50))&gt;=Setup!$C$15,MONTH(WORKDAY(D227,-(Setup!$C$13+Setup!$G$22),Setup!$C$39:$C$50))&lt;=Setup!$C$16))),WORKDAY(D227,-(Setup!$C$13+Setup!$G$22+Setup!$C$14),Setup!$C$39:$C$50),WORKDAY(D227,-(Setup!$C$13+Setup!$G$22),Setup!$C$39:$C$50))+(222*100+3)/10000000)))</f>
        <v/>
      </c>
      <c r="U227" t="str">
        <f>IF(E227="","",IF(E227&lt;Setup!$C$5-Setup!$C$6,"",IF(IF(ISNUMBER(Roster!$D227),Setup!$C$23&lt;=Roster!$D227,FALSE),"",IF(OR(IF(Setup!$C$15&lt;=Setup!$C$16,AND(MONTH(E227)&gt;=Setup!$C$15,MONTH(E227)&lt;=Setup!$C$16),OR(MONTH(E227)&gt;=Setup!$C$15,MONTH(E227)&lt;=Setup!$C$16)),IF(Setup!$C$15&lt;=Setup!$C$16,AND(MONTH(WORKDAY(E227,-(Setup!$C$13+Setup!$G$23),Setup!$C$39:$C$50))&gt;=Setup!$C$15,MONTH(WORKDAY(E227,-(Setup!$C$13+Setup!$G$23),Setup!$C$39:$C$50))&lt;=Setup!$C$16),OR(MONTH(WORKDAY(E227,-(Setup!$C$13+Setup!$G$23),Setup!$C$39:$C$50))&gt;=Setup!$C$15,MONTH(WORKDAY(E227,-(Setup!$C$13+Setup!$G$23),Setup!$C$39:$C$50))&lt;=Setup!$C$16))),WORKDAY(E227,-(Setup!$C$13+Setup!$G$23+Setup!$C$14),Setup!$C$39:$C$50),WORKDAY(E227,-(Setup!$C$13+Setup!$G$23),Setup!$C$39:$C$50))+(222*100+4)/10000000)))</f>
        <v/>
      </c>
      <c r="V227" t="str">
        <f>IF(F227="","",IF(F227&lt;Setup!$C$5-Setup!$C$6,"",IF(IF(ISNUMBER(Roster!$D227),Setup!$C$24&lt;=Roster!$D227,FALSE),"",IF(OR(IF(Setup!$C$15&lt;=Setup!$C$16,AND(MONTH(F227)&gt;=Setup!$C$15,MONTH(F227)&lt;=Setup!$C$16),OR(MONTH(F227)&gt;=Setup!$C$15,MONTH(F227)&lt;=Setup!$C$16)),IF(Setup!$C$15&lt;=Setup!$C$16,AND(MONTH(WORKDAY(F227,-(Setup!$C$13+Setup!$G$24),Setup!$C$39:$C$50))&gt;=Setup!$C$15,MONTH(WORKDAY(F227,-(Setup!$C$13+Setup!$G$24),Setup!$C$39:$C$50))&lt;=Setup!$C$16),OR(MONTH(WORKDAY(F227,-(Setup!$C$13+Setup!$G$24),Setup!$C$39:$C$50))&gt;=Setup!$C$15,MONTH(WORKDAY(F227,-(Setup!$C$13+Setup!$G$24),Setup!$C$39:$C$50))&lt;=Setup!$C$16))),WORKDAY(F227,-(Setup!$C$13+Setup!$G$24+Setup!$C$14),Setup!$C$39:$C$50),WORKDAY(F227,-(Setup!$C$13+Setup!$G$24),Setup!$C$39:$C$50))+(222*100+5)/10000000)))</f>
        <v/>
      </c>
      <c r="W227" t="str">
        <f>IF(G227="","",IF(G227&lt;Setup!$C$5-Setup!$C$6,"",IF(IF(ISNUMBER(Roster!$D227),Setup!$C$25&lt;=Roster!$D227,FALSE),"",IF(OR(IF(Setup!$C$15&lt;=Setup!$C$16,AND(MONTH(G227)&gt;=Setup!$C$15,MONTH(G227)&lt;=Setup!$C$16),OR(MONTH(G227)&gt;=Setup!$C$15,MONTH(G227)&lt;=Setup!$C$16)),IF(Setup!$C$15&lt;=Setup!$C$16,AND(MONTH(WORKDAY(G227,-(Setup!$C$13+Setup!$G$25),Setup!$C$39:$C$50))&gt;=Setup!$C$15,MONTH(WORKDAY(G227,-(Setup!$C$13+Setup!$G$25),Setup!$C$39:$C$50))&lt;=Setup!$C$16),OR(MONTH(WORKDAY(G227,-(Setup!$C$13+Setup!$G$25),Setup!$C$39:$C$50))&gt;=Setup!$C$15,MONTH(WORKDAY(G227,-(Setup!$C$13+Setup!$G$25),Setup!$C$39:$C$50))&lt;=Setup!$C$16))),WORKDAY(G227,-(Setup!$C$13+Setup!$G$25+Setup!$C$14),Setup!$C$39:$C$50),WORKDAY(G227,-(Setup!$C$13+Setup!$G$25),Setup!$C$39:$C$50))+(222*100+6)/10000000)))</f>
        <v/>
      </c>
      <c r="X227" t="str">
        <f>IF(H227="","",IF(H227&lt;Setup!$C$5-Setup!$C$6,"",IF(IF(ISNUMBER(Roster!$D227),Setup!$C$26&lt;=Roster!$D227,FALSE),"",IF(OR(IF(Setup!$C$15&lt;=Setup!$C$16,AND(MONTH(H227)&gt;=Setup!$C$15,MONTH(H227)&lt;=Setup!$C$16),OR(MONTH(H227)&gt;=Setup!$C$15,MONTH(H227)&lt;=Setup!$C$16)),IF(Setup!$C$15&lt;=Setup!$C$16,AND(MONTH(WORKDAY(H227,-(Setup!$C$13+Setup!$G$26),Setup!$C$39:$C$50))&gt;=Setup!$C$15,MONTH(WORKDAY(H227,-(Setup!$C$13+Setup!$G$26),Setup!$C$39:$C$50))&lt;=Setup!$C$16),OR(MONTH(WORKDAY(H227,-(Setup!$C$13+Setup!$G$26),Setup!$C$39:$C$50))&gt;=Setup!$C$15,MONTH(WORKDAY(H227,-(Setup!$C$13+Setup!$G$26),Setup!$C$39:$C$50))&lt;=Setup!$C$16))),WORKDAY(H227,-(Setup!$C$13+Setup!$G$26+Setup!$C$14),Setup!$C$39:$C$50),WORKDAY(H227,-(Setup!$C$13+Setup!$G$26),Setup!$C$39:$C$50))+(222*100+7)/10000000)))</f>
        <v/>
      </c>
      <c r="Y227" t="str">
        <f>IF(I227="","",IF(I227&lt;Setup!$C$5-Setup!$C$6,"",IF(IF(ISNUMBER(Roster!$D227),Setup!$C$27&lt;=Roster!$D227,FALSE),"",IF(OR(IF(Setup!$C$15&lt;=Setup!$C$16,AND(MONTH(I227)&gt;=Setup!$C$15,MONTH(I227)&lt;=Setup!$C$16),OR(MONTH(I227)&gt;=Setup!$C$15,MONTH(I227)&lt;=Setup!$C$16)),IF(Setup!$C$15&lt;=Setup!$C$16,AND(MONTH(WORKDAY(I227,-(Setup!$C$13+Setup!$G$27),Setup!$C$39:$C$50))&gt;=Setup!$C$15,MONTH(WORKDAY(I227,-(Setup!$C$13+Setup!$G$27),Setup!$C$39:$C$50))&lt;=Setup!$C$16),OR(MONTH(WORKDAY(I227,-(Setup!$C$13+Setup!$G$27),Setup!$C$39:$C$50))&gt;=Setup!$C$15,MONTH(WORKDAY(I227,-(Setup!$C$13+Setup!$G$27),Setup!$C$39:$C$50))&lt;=Setup!$C$16))),WORKDAY(I227,-(Setup!$C$13+Setup!$G$27+Setup!$C$14),Setup!$C$39:$C$50),WORKDAY(I227,-(Setup!$C$13+Setup!$G$27),Setup!$C$39:$C$50))+(222*100+8)/10000000)))</f>
        <v/>
      </c>
      <c r="Z227" t="str">
        <f>IF(J227="","",IF(J227&lt;Setup!$C$5-Setup!$C$6,"",IF(IF(ISNUMBER(Roster!$D227),Setup!$C$28&lt;=Roster!$D227,FALSE),"",IF(OR(IF(Setup!$C$15&lt;=Setup!$C$16,AND(MONTH(J227)&gt;=Setup!$C$15,MONTH(J227)&lt;=Setup!$C$16),OR(MONTH(J227)&gt;=Setup!$C$15,MONTH(J227)&lt;=Setup!$C$16)),IF(Setup!$C$15&lt;=Setup!$C$16,AND(MONTH(WORKDAY(J227,-(Setup!$C$13+Setup!$G$28),Setup!$C$39:$C$50))&gt;=Setup!$C$15,MONTH(WORKDAY(J227,-(Setup!$C$13+Setup!$G$28),Setup!$C$39:$C$50))&lt;=Setup!$C$16),OR(MONTH(WORKDAY(J227,-(Setup!$C$13+Setup!$G$28),Setup!$C$39:$C$50))&gt;=Setup!$C$15,MONTH(WORKDAY(J227,-(Setup!$C$13+Setup!$G$28),Setup!$C$39:$C$50))&lt;=Setup!$C$16))),WORKDAY(J227,-(Setup!$C$13+Setup!$G$28+Setup!$C$14),Setup!$C$39:$C$50),WORKDAY(J227,-(Setup!$C$13+Setup!$G$28),Setup!$C$39:$C$50))+(222*100+9)/10000000)))</f>
        <v/>
      </c>
      <c r="AA227" t="str">
        <f>IF(K227="","",IF(K227&lt;Setup!$C$5-Setup!$C$6,"",IF(IF(ISNUMBER(Roster!$D227),Setup!$C$29&lt;=Roster!$D227,FALSE),"",IF(OR(IF(Setup!$C$15&lt;=Setup!$C$16,AND(MONTH(K227)&gt;=Setup!$C$15,MONTH(K227)&lt;=Setup!$C$16),OR(MONTH(K227)&gt;=Setup!$C$15,MONTH(K227)&lt;=Setup!$C$16)),IF(Setup!$C$15&lt;=Setup!$C$16,AND(MONTH(WORKDAY(K227,-(Setup!$C$13+Setup!$G$29),Setup!$C$39:$C$50))&gt;=Setup!$C$15,MONTH(WORKDAY(K227,-(Setup!$C$13+Setup!$G$29),Setup!$C$39:$C$50))&lt;=Setup!$C$16),OR(MONTH(WORKDAY(K227,-(Setup!$C$13+Setup!$G$29),Setup!$C$39:$C$50))&gt;=Setup!$C$15,MONTH(WORKDAY(K227,-(Setup!$C$13+Setup!$G$29),Setup!$C$39:$C$50))&lt;=Setup!$C$16))),WORKDAY(K227,-(Setup!$C$13+Setup!$G$29+Setup!$C$14),Setup!$C$39:$C$50),WORKDAY(K227,-(Setup!$C$13+Setup!$G$29),Setup!$C$39:$C$50))+(222*100+10)/10000000)))</f>
        <v/>
      </c>
      <c r="AB227" t="str">
        <f>IF(L227="","",IF(L227&lt;Setup!$C$5-Setup!$C$6,"",IF(IF(ISNUMBER(Roster!$D227),Setup!$C$30&lt;=Roster!$D227,FALSE),"",IF(OR(IF(Setup!$C$15&lt;=Setup!$C$16,AND(MONTH(L227)&gt;=Setup!$C$15,MONTH(L227)&lt;=Setup!$C$16),OR(MONTH(L227)&gt;=Setup!$C$15,MONTH(L227)&lt;=Setup!$C$16)),IF(Setup!$C$15&lt;=Setup!$C$16,AND(MONTH(WORKDAY(L227,-(Setup!$C$13+Setup!$G$30),Setup!$C$39:$C$50))&gt;=Setup!$C$15,MONTH(WORKDAY(L227,-(Setup!$C$13+Setup!$G$30),Setup!$C$39:$C$50))&lt;=Setup!$C$16),OR(MONTH(WORKDAY(L227,-(Setup!$C$13+Setup!$G$30),Setup!$C$39:$C$50))&gt;=Setup!$C$15,MONTH(WORKDAY(L227,-(Setup!$C$13+Setup!$G$30),Setup!$C$39:$C$50))&lt;=Setup!$C$16))),WORKDAY(L227,-(Setup!$C$13+Setup!$G$30+Setup!$C$14),Setup!$C$39:$C$50),WORKDAY(L227,-(Setup!$C$13+Setup!$G$30),Setup!$C$39:$C$50))+(222*100+11)/10000000)))</f>
        <v/>
      </c>
      <c r="AC227" t="str">
        <f>IF(M227="","",IF(M227&lt;Setup!$C$5-Setup!$C$6,"",IF(IF(ISNUMBER(Roster!$D227),Setup!$C$31&lt;=Roster!$D227,FALSE),"",IF(OR(IF(Setup!$C$15&lt;=Setup!$C$16,AND(MONTH(M227)&gt;=Setup!$C$15,MONTH(M227)&lt;=Setup!$C$16),OR(MONTH(M227)&gt;=Setup!$C$15,MONTH(M227)&lt;=Setup!$C$16)),IF(Setup!$C$15&lt;=Setup!$C$16,AND(MONTH(WORKDAY(M227,-(Setup!$C$13+Setup!$G$31),Setup!$C$39:$C$50))&gt;=Setup!$C$15,MONTH(WORKDAY(M227,-(Setup!$C$13+Setup!$G$31),Setup!$C$39:$C$50))&lt;=Setup!$C$16),OR(MONTH(WORKDAY(M227,-(Setup!$C$13+Setup!$G$31),Setup!$C$39:$C$50))&gt;=Setup!$C$15,MONTH(WORKDAY(M227,-(Setup!$C$13+Setup!$G$31),Setup!$C$39:$C$50))&lt;=Setup!$C$16))),WORKDAY(M227,-(Setup!$C$13+Setup!$G$31+Setup!$C$14),Setup!$C$39:$C$50),WORKDAY(M227,-(Setup!$C$13+Setup!$G$31),Setup!$C$39:$C$50))+(222*100+12)/10000000)))</f>
        <v/>
      </c>
      <c r="AD227" t="str">
        <f>IF(N227="","",IF(N227&lt;Setup!$C$5-Setup!$C$6,"",IF(IF(ISNUMBER(Roster!$D227),Setup!$C$32&lt;=Roster!$D227,FALSE),"",IF(OR(IF(Setup!$C$15&lt;=Setup!$C$16,AND(MONTH(N227)&gt;=Setup!$C$15,MONTH(N227)&lt;=Setup!$C$16),OR(MONTH(N227)&gt;=Setup!$C$15,MONTH(N227)&lt;=Setup!$C$16)),IF(Setup!$C$15&lt;=Setup!$C$16,AND(MONTH(WORKDAY(N227,-(Setup!$C$13+Setup!$G$32),Setup!$C$39:$C$50))&gt;=Setup!$C$15,MONTH(WORKDAY(N227,-(Setup!$C$13+Setup!$G$32),Setup!$C$39:$C$50))&lt;=Setup!$C$16),OR(MONTH(WORKDAY(N227,-(Setup!$C$13+Setup!$G$32),Setup!$C$39:$C$50))&gt;=Setup!$C$15,MONTH(WORKDAY(N227,-(Setup!$C$13+Setup!$G$32),Setup!$C$39:$C$50))&lt;=Setup!$C$16))),WORKDAY(N227,-(Setup!$C$13+Setup!$G$32+Setup!$C$14),Setup!$C$39:$C$50),WORKDAY(N227,-(Setup!$C$13+Setup!$G$32),Setup!$C$39:$C$50))+(222*100+13)/10000000)))</f>
        <v/>
      </c>
      <c r="AE227" t="str">
        <f>IF(O227="","",IF(O227&lt;Setup!$C$5-Setup!$C$6,"",IF(IF(ISNUMBER(Roster!$D227),Setup!$C$33&lt;=Roster!$D227,FALSE),"",IF(OR(IF(Setup!$C$15&lt;=Setup!$C$16,AND(MONTH(O227)&gt;=Setup!$C$15,MONTH(O227)&lt;=Setup!$C$16),OR(MONTH(O227)&gt;=Setup!$C$15,MONTH(O227)&lt;=Setup!$C$16)),IF(Setup!$C$15&lt;=Setup!$C$16,AND(MONTH(WORKDAY(O227,-(Setup!$C$13+Setup!$G$33),Setup!$C$39:$C$50))&gt;=Setup!$C$15,MONTH(WORKDAY(O227,-(Setup!$C$13+Setup!$G$33),Setup!$C$39:$C$50))&lt;=Setup!$C$16),OR(MONTH(WORKDAY(O227,-(Setup!$C$13+Setup!$G$33),Setup!$C$39:$C$50))&gt;=Setup!$C$15,MONTH(WORKDAY(O227,-(Setup!$C$13+Setup!$G$33),Setup!$C$39:$C$50))&lt;=Setup!$C$16))),WORKDAY(O227,-(Setup!$C$13+Setup!$G$33+Setup!$C$14),Setup!$C$39:$C$50),WORKDAY(O227,-(Setup!$C$13+Setup!$G$33),Setup!$C$39:$C$50))+(222*100+14)/10000000)))</f>
        <v/>
      </c>
      <c r="AF227" t="str">
        <f>IF(P227="","",IF(P227&lt;Setup!$C$5-Setup!$C$6,"",IF(IF(ISNUMBER(Roster!$D227),Setup!$C$34&lt;=Roster!$D227,FALSE),"",IF(OR(IF(Setup!$C$15&lt;=Setup!$C$16,AND(MONTH(P227)&gt;=Setup!$C$15,MONTH(P227)&lt;=Setup!$C$16),OR(MONTH(P227)&gt;=Setup!$C$15,MONTH(P227)&lt;=Setup!$C$16)),IF(Setup!$C$15&lt;=Setup!$C$16,AND(MONTH(WORKDAY(P227,-(Setup!$C$13+Setup!$G$34),Setup!$C$39:$C$50))&gt;=Setup!$C$15,MONTH(WORKDAY(P227,-(Setup!$C$13+Setup!$G$34),Setup!$C$39:$C$50))&lt;=Setup!$C$16),OR(MONTH(WORKDAY(P227,-(Setup!$C$13+Setup!$G$34),Setup!$C$39:$C$50))&gt;=Setup!$C$15,MONTH(WORKDAY(P227,-(Setup!$C$13+Setup!$G$34),Setup!$C$39:$C$50))&lt;=Setup!$C$16))),WORKDAY(P227,-(Setup!$C$13+Setup!$G$34+Setup!$C$14),Setup!$C$39:$C$50),WORKDAY(P227,-(Setup!$C$13+Setup!$G$34),Setup!$C$39:$C$50))+(222*100+15)/10000000)))</f>
        <v/>
      </c>
      <c r="AH227" t="str">
        <f t="shared" si="25"/>
        <v/>
      </c>
      <c r="AI227" t="str">
        <f t="shared" si="26"/>
        <v/>
      </c>
      <c r="AK227" t="str">
        <f ca="1">IF(222&gt;$AK$2,"",SMALL($R$6:$AF$505,222))</f>
        <v/>
      </c>
      <c r="AL227" t="str">
        <f t="shared" ca="1" si="27"/>
        <v/>
      </c>
      <c r="AM227" t="str">
        <f t="shared" ca="1" si="28"/>
        <v/>
      </c>
      <c r="AN227" t="str">
        <f t="shared" ca="1" si="29"/>
        <v/>
      </c>
      <c r="AP227" t="str">
        <f>IF(ISNUMBER(Roster!$B227),MAX(1,YEAR(Setup!$C$5)-YEAR(Roster!$B227)+IF(EDATE(Roster!$B227,12*(YEAR(Setup!$C$5)-YEAR(Roster!$B227)))&lt;Setup!$C$5,1,0)),"")</f>
        <v/>
      </c>
      <c r="AQ227" s="32" t="str">
        <f>IF(AP227="","",EDATE(Roster!$B227,12*AP227))</f>
        <v/>
      </c>
      <c r="AR227" t="str">
        <f>IF(AQ227="","",IF(AQ227&lt;DATE(YEAR(Setup!$C$5)+1,MONTH(Setup!$C$5),DAY(Setup!$C$5)),AQ227+222/1000,""))</f>
        <v/>
      </c>
      <c r="AS227" t="str">
        <f t="shared" si="30"/>
        <v/>
      </c>
      <c r="AT227" t="str">
        <f>IF(AS227="","",IF(ISNUMBER(Roster!$D227),Roster!$D227&gt;=AP227,FALSE))</f>
        <v/>
      </c>
      <c r="AU227" t="str">
        <f t="shared" si="31"/>
        <v/>
      </c>
      <c r="AV227" t="str">
        <f ca="1">IF(222&gt;$AV$2,"",SMALL($AR$6:$AR$505,222))</f>
        <v/>
      </c>
      <c r="AW227" t="str">
        <f t="shared" ca="1" si="32"/>
        <v/>
      </c>
    </row>
    <row r="228" spans="2:49" x14ac:dyDescent="0.2">
      <c r="B228" s="32" t="str">
        <f>IF(AND(ISNUMBER(Roster!$B228),Setup!$B$20="Yes",ISNUMBER(Setup!$C$20)),EDATE(Roster!$B228,12*Setup!$C$20),"")</f>
        <v/>
      </c>
      <c r="C228" s="32" t="str">
        <f>IF(AND(ISNUMBER(Roster!$B228),Setup!$B$21="Yes",ISNUMBER(Setup!$C$21)),EDATE(Roster!$B228,12*Setup!$C$21),"")</f>
        <v/>
      </c>
      <c r="D228" s="32" t="str">
        <f>IF(AND(ISNUMBER(Roster!$B228),Setup!$B$22="Yes",ISNUMBER(Setup!$C$22)),EDATE(Roster!$B228,12*Setup!$C$22),"")</f>
        <v/>
      </c>
      <c r="E228" s="32" t="str">
        <f>IF(AND(ISNUMBER(Roster!$B228),Setup!$B$23="Yes",ISNUMBER(Setup!$C$23)),EDATE(Roster!$B228,12*Setup!$C$23),"")</f>
        <v/>
      </c>
      <c r="F228" s="32" t="str">
        <f>IF(AND(ISNUMBER(Roster!$B228),Setup!$B$24="Yes",ISNUMBER(Setup!$C$24)),EDATE(Roster!$B228,12*Setup!$C$24),"")</f>
        <v/>
      </c>
      <c r="G228" s="32" t="str">
        <f>IF(AND(ISNUMBER(Roster!$B228),Setup!$B$25="Yes",ISNUMBER(Setup!$C$25)),EDATE(Roster!$B228,12*Setup!$C$25),"")</f>
        <v/>
      </c>
      <c r="H228" s="32" t="str">
        <f>IF(AND(ISNUMBER(Roster!$B228),Setup!$B$26="Yes",ISNUMBER(Setup!$C$26)),EDATE(Roster!$B228,12*Setup!$C$26),"")</f>
        <v/>
      </c>
      <c r="I228" s="32" t="str">
        <f>IF(AND(ISNUMBER(Roster!$B228),Setup!$B$27="Yes",ISNUMBER(Setup!$C$27)),EDATE(Roster!$B228,12*Setup!$C$27),"")</f>
        <v/>
      </c>
      <c r="J228" s="32" t="str">
        <f>IF(AND(ISNUMBER(Roster!$B228),Setup!$B$28="Yes",ISNUMBER(Setup!$C$28)),EDATE(Roster!$B228,12*Setup!$C$28),"")</f>
        <v/>
      </c>
      <c r="K228" s="32" t="str">
        <f>IF(AND(ISNUMBER(Roster!$B228),Setup!$B$29="Yes",ISNUMBER(Setup!$C$29)),EDATE(Roster!$B228,12*Setup!$C$29),"")</f>
        <v/>
      </c>
      <c r="L228" s="32" t="str">
        <f>IF(AND(ISNUMBER(Roster!$B228),Setup!$B$30="Yes",ISNUMBER(Setup!$C$30)),EDATE(Roster!$B228,12*Setup!$C$30),"")</f>
        <v/>
      </c>
      <c r="M228" s="32" t="str">
        <f>IF(AND(ISNUMBER(Roster!$B228),Setup!$B$31="Yes",ISNUMBER(Setup!$C$31)),EDATE(Roster!$B228,12*Setup!$C$31),"")</f>
        <v/>
      </c>
      <c r="N228" s="32" t="str">
        <f>IF(AND(ISNUMBER(Roster!$B228),Setup!$B$32="Yes",ISNUMBER(Setup!$C$32)),EDATE(Roster!$B228,12*Setup!$C$32),"")</f>
        <v/>
      </c>
      <c r="O228" s="32" t="str">
        <f>IF(AND(ISNUMBER(Roster!$B228),Setup!$B$33="Yes",ISNUMBER(Setup!$C$33)),EDATE(Roster!$B228,12*Setup!$C$33),"")</f>
        <v/>
      </c>
      <c r="P228" s="32" t="str">
        <f>IF(AND(ISNUMBER(Roster!$B228),Setup!$B$34="Yes",ISNUMBER(Setup!$C$34)),EDATE(Roster!$B228,12*Setup!$C$34),"")</f>
        <v/>
      </c>
      <c r="R228" t="str">
        <f>IF(B228="","",IF(B228&lt;Setup!$C$5-Setup!$C$6,"",IF(IF(ISNUMBER(Roster!$D228),Setup!$C$20&lt;=Roster!$D228,FALSE),"",IF(OR(IF(Setup!$C$15&lt;=Setup!$C$16,AND(MONTH(B228)&gt;=Setup!$C$15,MONTH(B228)&lt;=Setup!$C$16),OR(MONTH(B228)&gt;=Setup!$C$15,MONTH(B228)&lt;=Setup!$C$16)),IF(Setup!$C$15&lt;=Setup!$C$16,AND(MONTH(WORKDAY(B228,-(Setup!$C$13+Setup!$G$20),Setup!$C$39:$C$50))&gt;=Setup!$C$15,MONTH(WORKDAY(B228,-(Setup!$C$13+Setup!$G$20),Setup!$C$39:$C$50))&lt;=Setup!$C$16),OR(MONTH(WORKDAY(B228,-(Setup!$C$13+Setup!$G$20),Setup!$C$39:$C$50))&gt;=Setup!$C$15,MONTH(WORKDAY(B228,-(Setup!$C$13+Setup!$G$20),Setup!$C$39:$C$50))&lt;=Setup!$C$16))),WORKDAY(B228,-(Setup!$C$13+Setup!$G$20+Setup!$C$14),Setup!$C$39:$C$50),WORKDAY(B228,-(Setup!$C$13+Setup!$G$20),Setup!$C$39:$C$50))+(223*100+1)/10000000)))</f>
        <v/>
      </c>
      <c r="S228" t="str">
        <f>IF(C228="","",IF(C228&lt;Setup!$C$5-Setup!$C$6,"",IF(IF(ISNUMBER(Roster!$D228),Setup!$C$21&lt;=Roster!$D228,FALSE),"",IF(OR(IF(Setup!$C$15&lt;=Setup!$C$16,AND(MONTH(C228)&gt;=Setup!$C$15,MONTH(C228)&lt;=Setup!$C$16),OR(MONTH(C228)&gt;=Setup!$C$15,MONTH(C228)&lt;=Setup!$C$16)),IF(Setup!$C$15&lt;=Setup!$C$16,AND(MONTH(WORKDAY(C228,-(Setup!$C$13+Setup!$G$21),Setup!$C$39:$C$50))&gt;=Setup!$C$15,MONTH(WORKDAY(C228,-(Setup!$C$13+Setup!$G$21),Setup!$C$39:$C$50))&lt;=Setup!$C$16),OR(MONTH(WORKDAY(C228,-(Setup!$C$13+Setup!$G$21),Setup!$C$39:$C$50))&gt;=Setup!$C$15,MONTH(WORKDAY(C228,-(Setup!$C$13+Setup!$G$21),Setup!$C$39:$C$50))&lt;=Setup!$C$16))),WORKDAY(C228,-(Setup!$C$13+Setup!$G$21+Setup!$C$14),Setup!$C$39:$C$50),WORKDAY(C228,-(Setup!$C$13+Setup!$G$21),Setup!$C$39:$C$50))+(223*100+2)/10000000)))</f>
        <v/>
      </c>
      <c r="T228" t="str">
        <f>IF(D228="","",IF(D228&lt;Setup!$C$5-Setup!$C$6,"",IF(IF(ISNUMBER(Roster!$D228),Setup!$C$22&lt;=Roster!$D228,FALSE),"",IF(OR(IF(Setup!$C$15&lt;=Setup!$C$16,AND(MONTH(D228)&gt;=Setup!$C$15,MONTH(D228)&lt;=Setup!$C$16),OR(MONTH(D228)&gt;=Setup!$C$15,MONTH(D228)&lt;=Setup!$C$16)),IF(Setup!$C$15&lt;=Setup!$C$16,AND(MONTH(WORKDAY(D228,-(Setup!$C$13+Setup!$G$22),Setup!$C$39:$C$50))&gt;=Setup!$C$15,MONTH(WORKDAY(D228,-(Setup!$C$13+Setup!$G$22),Setup!$C$39:$C$50))&lt;=Setup!$C$16),OR(MONTH(WORKDAY(D228,-(Setup!$C$13+Setup!$G$22),Setup!$C$39:$C$50))&gt;=Setup!$C$15,MONTH(WORKDAY(D228,-(Setup!$C$13+Setup!$G$22),Setup!$C$39:$C$50))&lt;=Setup!$C$16))),WORKDAY(D228,-(Setup!$C$13+Setup!$G$22+Setup!$C$14),Setup!$C$39:$C$50),WORKDAY(D228,-(Setup!$C$13+Setup!$G$22),Setup!$C$39:$C$50))+(223*100+3)/10000000)))</f>
        <v/>
      </c>
      <c r="U228" t="str">
        <f>IF(E228="","",IF(E228&lt;Setup!$C$5-Setup!$C$6,"",IF(IF(ISNUMBER(Roster!$D228),Setup!$C$23&lt;=Roster!$D228,FALSE),"",IF(OR(IF(Setup!$C$15&lt;=Setup!$C$16,AND(MONTH(E228)&gt;=Setup!$C$15,MONTH(E228)&lt;=Setup!$C$16),OR(MONTH(E228)&gt;=Setup!$C$15,MONTH(E228)&lt;=Setup!$C$16)),IF(Setup!$C$15&lt;=Setup!$C$16,AND(MONTH(WORKDAY(E228,-(Setup!$C$13+Setup!$G$23),Setup!$C$39:$C$50))&gt;=Setup!$C$15,MONTH(WORKDAY(E228,-(Setup!$C$13+Setup!$G$23),Setup!$C$39:$C$50))&lt;=Setup!$C$16),OR(MONTH(WORKDAY(E228,-(Setup!$C$13+Setup!$G$23),Setup!$C$39:$C$50))&gt;=Setup!$C$15,MONTH(WORKDAY(E228,-(Setup!$C$13+Setup!$G$23),Setup!$C$39:$C$50))&lt;=Setup!$C$16))),WORKDAY(E228,-(Setup!$C$13+Setup!$G$23+Setup!$C$14),Setup!$C$39:$C$50),WORKDAY(E228,-(Setup!$C$13+Setup!$G$23),Setup!$C$39:$C$50))+(223*100+4)/10000000)))</f>
        <v/>
      </c>
      <c r="V228" t="str">
        <f>IF(F228="","",IF(F228&lt;Setup!$C$5-Setup!$C$6,"",IF(IF(ISNUMBER(Roster!$D228),Setup!$C$24&lt;=Roster!$D228,FALSE),"",IF(OR(IF(Setup!$C$15&lt;=Setup!$C$16,AND(MONTH(F228)&gt;=Setup!$C$15,MONTH(F228)&lt;=Setup!$C$16),OR(MONTH(F228)&gt;=Setup!$C$15,MONTH(F228)&lt;=Setup!$C$16)),IF(Setup!$C$15&lt;=Setup!$C$16,AND(MONTH(WORKDAY(F228,-(Setup!$C$13+Setup!$G$24),Setup!$C$39:$C$50))&gt;=Setup!$C$15,MONTH(WORKDAY(F228,-(Setup!$C$13+Setup!$G$24),Setup!$C$39:$C$50))&lt;=Setup!$C$16),OR(MONTH(WORKDAY(F228,-(Setup!$C$13+Setup!$G$24),Setup!$C$39:$C$50))&gt;=Setup!$C$15,MONTH(WORKDAY(F228,-(Setup!$C$13+Setup!$G$24),Setup!$C$39:$C$50))&lt;=Setup!$C$16))),WORKDAY(F228,-(Setup!$C$13+Setup!$G$24+Setup!$C$14),Setup!$C$39:$C$50),WORKDAY(F228,-(Setup!$C$13+Setup!$G$24),Setup!$C$39:$C$50))+(223*100+5)/10000000)))</f>
        <v/>
      </c>
      <c r="W228" t="str">
        <f>IF(G228="","",IF(G228&lt;Setup!$C$5-Setup!$C$6,"",IF(IF(ISNUMBER(Roster!$D228),Setup!$C$25&lt;=Roster!$D228,FALSE),"",IF(OR(IF(Setup!$C$15&lt;=Setup!$C$16,AND(MONTH(G228)&gt;=Setup!$C$15,MONTH(G228)&lt;=Setup!$C$16),OR(MONTH(G228)&gt;=Setup!$C$15,MONTH(G228)&lt;=Setup!$C$16)),IF(Setup!$C$15&lt;=Setup!$C$16,AND(MONTH(WORKDAY(G228,-(Setup!$C$13+Setup!$G$25),Setup!$C$39:$C$50))&gt;=Setup!$C$15,MONTH(WORKDAY(G228,-(Setup!$C$13+Setup!$G$25),Setup!$C$39:$C$50))&lt;=Setup!$C$16),OR(MONTH(WORKDAY(G228,-(Setup!$C$13+Setup!$G$25),Setup!$C$39:$C$50))&gt;=Setup!$C$15,MONTH(WORKDAY(G228,-(Setup!$C$13+Setup!$G$25),Setup!$C$39:$C$50))&lt;=Setup!$C$16))),WORKDAY(G228,-(Setup!$C$13+Setup!$G$25+Setup!$C$14),Setup!$C$39:$C$50),WORKDAY(G228,-(Setup!$C$13+Setup!$G$25),Setup!$C$39:$C$50))+(223*100+6)/10000000)))</f>
        <v/>
      </c>
      <c r="X228" t="str">
        <f>IF(H228="","",IF(H228&lt;Setup!$C$5-Setup!$C$6,"",IF(IF(ISNUMBER(Roster!$D228),Setup!$C$26&lt;=Roster!$D228,FALSE),"",IF(OR(IF(Setup!$C$15&lt;=Setup!$C$16,AND(MONTH(H228)&gt;=Setup!$C$15,MONTH(H228)&lt;=Setup!$C$16),OR(MONTH(H228)&gt;=Setup!$C$15,MONTH(H228)&lt;=Setup!$C$16)),IF(Setup!$C$15&lt;=Setup!$C$16,AND(MONTH(WORKDAY(H228,-(Setup!$C$13+Setup!$G$26),Setup!$C$39:$C$50))&gt;=Setup!$C$15,MONTH(WORKDAY(H228,-(Setup!$C$13+Setup!$G$26),Setup!$C$39:$C$50))&lt;=Setup!$C$16),OR(MONTH(WORKDAY(H228,-(Setup!$C$13+Setup!$G$26),Setup!$C$39:$C$50))&gt;=Setup!$C$15,MONTH(WORKDAY(H228,-(Setup!$C$13+Setup!$G$26),Setup!$C$39:$C$50))&lt;=Setup!$C$16))),WORKDAY(H228,-(Setup!$C$13+Setup!$G$26+Setup!$C$14),Setup!$C$39:$C$50),WORKDAY(H228,-(Setup!$C$13+Setup!$G$26),Setup!$C$39:$C$50))+(223*100+7)/10000000)))</f>
        <v/>
      </c>
      <c r="Y228" t="str">
        <f>IF(I228="","",IF(I228&lt;Setup!$C$5-Setup!$C$6,"",IF(IF(ISNUMBER(Roster!$D228),Setup!$C$27&lt;=Roster!$D228,FALSE),"",IF(OR(IF(Setup!$C$15&lt;=Setup!$C$16,AND(MONTH(I228)&gt;=Setup!$C$15,MONTH(I228)&lt;=Setup!$C$16),OR(MONTH(I228)&gt;=Setup!$C$15,MONTH(I228)&lt;=Setup!$C$16)),IF(Setup!$C$15&lt;=Setup!$C$16,AND(MONTH(WORKDAY(I228,-(Setup!$C$13+Setup!$G$27),Setup!$C$39:$C$50))&gt;=Setup!$C$15,MONTH(WORKDAY(I228,-(Setup!$C$13+Setup!$G$27),Setup!$C$39:$C$50))&lt;=Setup!$C$16),OR(MONTH(WORKDAY(I228,-(Setup!$C$13+Setup!$G$27),Setup!$C$39:$C$50))&gt;=Setup!$C$15,MONTH(WORKDAY(I228,-(Setup!$C$13+Setup!$G$27),Setup!$C$39:$C$50))&lt;=Setup!$C$16))),WORKDAY(I228,-(Setup!$C$13+Setup!$G$27+Setup!$C$14),Setup!$C$39:$C$50),WORKDAY(I228,-(Setup!$C$13+Setup!$G$27),Setup!$C$39:$C$50))+(223*100+8)/10000000)))</f>
        <v/>
      </c>
      <c r="Z228" t="str">
        <f>IF(J228="","",IF(J228&lt;Setup!$C$5-Setup!$C$6,"",IF(IF(ISNUMBER(Roster!$D228),Setup!$C$28&lt;=Roster!$D228,FALSE),"",IF(OR(IF(Setup!$C$15&lt;=Setup!$C$16,AND(MONTH(J228)&gt;=Setup!$C$15,MONTH(J228)&lt;=Setup!$C$16),OR(MONTH(J228)&gt;=Setup!$C$15,MONTH(J228)&lt;=Setup!$C$16)),IF(Setup!$C$15&lt;=Setup!$C$16,AND(MONTH(WORKDAY(J228,-(Setup!$C$13+Setup!$G$28),Setup!$C$39:$C$50))&gt;=Setup!$C$15,MONTH(WORKDAY(J228,-(Setup!$C$13+Setup!$G$28),Setup!$C$39:$C$50))&lt;=Setup!$C$16),OR(MONTH(WORKDAY(J228,-(Setup!$C$13+Setup!$G$28),Setup!$C$39:$C$50))&gt;=Setup!$C$15,MONTH(WORKDAY(J228,-(Setup!$C$13+Setup!$G$28),Setup!$C$39:$C$50))&lt;=Setup!$C$16))),WORKDAY(J228,-(Setup!$C$13+Setup!$G$28+Setup!$C$14),Setup!$C$39:$C$50),WORKDAY(J228,-(Setup!$C$13+Setup!$G$28),Setup!$C$39:$C$50))+(223*100+9)/10000000)))</f>
        <v/>
      </c>
      <c r="AA228" t="str">
        <f>IF(K228="","",IF(K228&lt;Setup!$C$5-Setup!$C$6,"",IF(IF(ISNUMBER(Roster!$D228),Setup!$C$29&lt;=Roster!$D228,FALSE),"",IF(OR(IF(Setup!$C$15&lt;=Setup!$C$16,AND(MONTH(K228)&gt;=Setup!$C$15,MONTH(K228)&lt;=Setup!$C$16),OR(MONTH(K228)&gt;=Setup!$C$15,MONTH(K228)&lt;=Setup!$C$16)),IF(Setup!$C$15&lt;=Setup!$C$16,AND(MONTH(WORKDAY(K228,-(Setup!$C$13+Setup!$G$29),Setup!$C$39:$C$50))&gt;=Setup!$C$15,MONTH(WORKDAY(K228,-(Setup!$C$13+Setup!$G$29),Setup!$C$39:$C$50))&lt;=Setup!$C$16),OR(MONTH(WORKDAY(K228,-(Setup!$C$13+Setup!$G$29),Setup!$C$39:$C$50))&gt;=Setup!$C$15,MONTH(WORKDAY(K228,-(Setup!$C$13+Setup!$G$29),Setup!$C$39:$C$50))&lt;=Setup!$C$16))),WORKDAY(K228,-(Setup!$C$13+Setup!$G$29+Setup!$C$14),Setup!$C$39:$C$50),WORKDAY(K228,-(Setup!$C$13+Setup!$G$29),Setup!$C$39:$C$50))+(223*100+10)/10000000)))</f>
        <v/>
      </c>
      <c r="AB228" t="str">
        <f>IF(L228="","",IF(L228&lt;Setup!$C$5-Setup!$C$6,"",IF(IF(ISNUMBER(Roster!$D228),Setup!$C$30&lt;=Roster!$D228,FALSE),"",IF(OR(IF(Setup!$C$15&lt;=Setup!$C$16,AND(MONTH(L228)&gt;=Setup!$C$15,MONTH(L228)&lt;=Setup!$C$16),OR(MONTH(L228)&gt;=Setup!$C$15,MONTH(L228)&lt;=Setup!$C$16)),IF(Setup!$C$15&lt;=Setup!$C$16,AND(MONTH(WORKDAY(L228,-(Setup!$C$13+Setup!$G$30),Setup!$C$39:$C$50))&gt;=Setup!$C$15,MONTH(WORKDAY(L228,-(Setup!$C$13+Setup!$G$30),Setup!$C$39:$C$50))&lt;=Setup!$C$16),OR(MONTH(WORKDAY(L228,-(Setup!$C$13+Setup!$G$30),Setup!$C$39:$C$50))&gt;=Setup!$C$15,MONTH(WORKDAY(L228,-(Setup!$C$13+Setup!$G$30),Setup!$C$39:$C$50))&lt;=Setup!$C$16))),WORKDAY(L228,-(Setup!$C$13+Setup!$G$30+Setup!$C$14),Setup!$C$39:$C$50),WORKDAY(L228,-(Setup!$C$13+Setup!$G$30),Setup!$C$39:$C$50))+(223*100+11)/10000000)))</f>
        <v/>
      </c>
      <c r="AC228" t="str">
        <f>IF(M228="","",IF(M228&lt;Setup!$C$5-Setup!$C$6,"",IF(IF(ISNUMBER(Roster!$D228),Setup!$C$31&lt;=Roster!$D228,FALSE),"",IF(OR(IF(Setup!$C$15&lt;=Setup!$C$16,AND(MONTH(M228)&gt;=Setup!$C$15,MONTH(M228)&lt;=Setup!$C$16),OR(MONTH(M228)&gt;=Setup!$C$15,MONTH(M228)&lt;=Setup!$C$16)),IF(Setup!$C$15&lt;=Setup!$C$16,AND(MONTH(WORKDAY(M228,-(Setup!$C$13+Setup!$G$31),Setup!$C$39:$C$50))&gt;=Setup!$C$15,MONTH(WORKDAY(M228,-(Setup!$C$13+Setup!$G$31),Setup!$C$39:$C$50))&lt;=Setup!$C$16),OR(MONTH(WORKDAY(M228,-(Setup!$C$13+Setup!$G$31),Setup!$C$39:$C$50))&gt;=Setup!$C$15,MONTH(WORKDAY(M228,-(Setup!$C$13+Setup!$G$31),Setup!$C$39:$C$50))&lt;=Setup!$C$16))),WORKDAY(M228,-(Setup!$C$13+Setup!$G$31+Setup!$C$14),Setup!$C$39:$C$50),WORKDAY(M228,-(Setup!$C$13+Setup!$G$31),Setup!$C$39:$C$50))+(223*100+12)/10000000)))</f>
        <v/>
      </c>
      <c r="AD228" t="str">
        <f>IF(N228="","",IF(N228&lt;Setup!$C$5-Setup!$C$6,"",IF(IF(ISNUMBER(Roster!$D228),Setup!$C$32&lt;=Roster!$D228,FALSE),"",IF(OR(IF(Setup!$C$15&lt;=Setup!$C$16,AND(MONTH(N228)&gt;=Setup!$C$15,MONTH(N228)&lt;=Setup!$C$16),OR(MONTH(N228)&gt;=Setup!$C$15,MONTH(N228)&lt;=Setup!$C$16)),IF(Setup!$C$15&lt;=Setup!$C$16,AND(MONTH(WORKDAY(N228,-(Setup!$C$13+Setup!$G$32),Setup!$C$39:$C$50))&gt;=Setup!$C$15,MONTH(WORKDAY(N228,-(Setup!$C$13+Setup!$G$32),Setup!$C$39:$C$50))&lt;=Setup!$C$16),OR(MONTH(WORKDAY(N228,-(Setup!$C$13+Setup!$G$32),Setup!$C$39:$C$50))&gt;=Setup!$C$15,MONTH(WORKDAY(N228,-(Setup!$C$13+Setup!$G$32),Setup!$C$39:$C$50))&lt;=Setup!$C$16))),WORKDAY(N228,-(Setup!$C$13+Setup!$G$32+Setup!$C$14),Setup!$C$39:$C$50),WORKDAY(N228,-(Setup!$C$13+Setup!$G$32),Setup!$C$39:$C$50))+(223*100+13)/10000000)))</f>
        <v/>
      </c>
      <c r="AE228" t="str">
        <f>IF(O228="","",IF(O228&lt;Setup!$C$5-Setup!$C$6,"",IF(IF(ISNUMBER(Roster!$D228),Setup!$C$33&lt;=Roster!$D228,FALSE),"",IF(OR(IF(Setup!$C$15&lt;=Setup!$C$16,AND(MONTH(O228)&gt;=Setup!$C$15,MONTH(O228)&lt;=Setup!$C$16),OR(MONTH(O228)&gt;=Setup!$C$15,MONTH(O228)&lt;=Setup!$C$16)),IF(Setup!$C$15&lt;=Setup!$C$16,AND(MONTH(WORKDAY(O228,-(Setup!$C$13+Setup!$G$33),Setup!$C$39:$C$50))&gt;=Setup!$C$15,MONTH(WORKDAY(O228,-(Setup!$C$13+Setup!$G$33),Setup!$C$39:$C$50))&lt;=Setup!$C$16),OR(MONTH(WORKDAY(O228,-(Setup!$C$13+Setup!$G$33),Setup!$C$39:$C$50))&gt;=Setup!$C$15,MONTH(WORKDAY(O228,-(Setup!$C$13+Setup!$G$33),Setup!$C$39:$C$50))&lt;=Setup!$C$16))),WORKDAY(O228,-(Setup!$C$13+Setup!$G$33+Setup!$C$14),Setup!$C$39:$C$50),WORKDAY(O228,-(Setup!$C$13+Setup!$G$33),Setup!$C$39:$C$50))+(223*100+14)/10000000)))</f>
        <v/>
      </c>
      <c r="AF228" t="str">
        <f>IF(P228="","",IF(P228&lt;Setup!$C$5-Setup!$C$6,"",IF(IF(ISNUMBER(Roster!$D228),Setup!$C$34&lt;=Roster!$D228,FALSE),"",IF(OR(IF(Setup!$C$15&lt;=Setup!$C$16,AND(MONTH(P228)&gt;=Setup!$C$15,MONTH(P228)&lt;=Setup!$C$16),OR(MONTH(P228)&gt;=Setup!$C$15,MONTH(P228)&lt;=Setup!$C$16)),IF(Setup!$C$15&lt;=Setup!$C$16,AND(MONTH(WORKDAY(P228,-(Setup!$C$13+Setup!$G$34),Setup!$C$39:$C$50))&gt;=Setup!$C$15,MONTH(WORKDAY(P228,-(Setup!$C$13+Setup!$G$34),Setup!$C$39:$C$50))&lt;=Setup!$C$16),OR(MONTH(WORKDAY(P228,-(Setup!$C$13+Setup!$G$34),Setup!$C$39:$C$50))&gt;=Setup!$C$15,MONTH(WORKDAY(P228,-(Setup!$C$13+Setup!$G$34),Setup!$C$39:$C$50))&lt;=Setup!$C$16))),WORKDAY(P228,-(Setup!$C$13+Setup!$G$34+Setup!$C$14),Setup!$C$39:$C$50),WORKDAY(P228,-(Setup!$C$13+Setup!$G$34),Setup!$C$39:$C$50))+(223*100+15)/10000000)))</f>
        <v/>
      </c>
      <c r="AH228" t="str">
        <f t="shared" si="25"/>
        <v/>
      </c>
      <c r="AI228" t="str">
        <f t="shared" si="26"/>
        <v/>
      </c>
      <c r="AK228" t="str">
        <f ca="1">IF(223&gt;$AK$2,"",SMALL($R$6:$AF$505,223))</f>
        <v/>
      </c>
      <c r="AL228" t="str">
        <f t="shared" ca="1" si="27"/>
        <v/>
      </c>
      <c r="AM228" t="str">
        <f t="shared" ca="1" si="28"/>
        <v/>
      </c>
      <c r="AN228" t="str">
        <f t="shared" ca="1" si="29"/>
        <v/>
      </c>
      <c r="AP228" t="str">
        <f>IF(ISNUMBER(Roster!$B228),MAX(1,YEAR(Setup!$C$5)-YEAR(Roster!$B228)+IF(EDATE(Roster!$B228,12*(YEAR(Setup!$C$5)-YEAR(Roster!$B228)))&lt;Setup!$C$5,1,0)),"")</f>
        <v/>
      </c>
      <c r="AQ228" s="32" t="str">
        <f>IF(AP228="","",EDATE(Roster!$B228,12*AP228))</f>
        <v/>
      </c>
      <c r="AR228" t="str">
        <f>IF(AQ228="","",IF(AQ228&lt;DATE(YEAR(Setup!$C$5)+1,MONTH(Setup!$C$5),DAY(Setup!$C$5)),AQ228+223/1000,""))</f>
        <v/>
      </c>
      <c r="AS228" t="str">
        <f t="shared" si="30"/>
        <v/>
      </c>
      <c r="AT228" t="str">
        <f>IF(AS228="","",IF(ISNUMBER(Roster!$D228),Roster!$D228&gt;=AP228,FALSE))</f>
        <v/>
      </c>
      <c r="AU228" t="str">
        <f t="shared" si="31"/>
        <v/>
      </c>
      <c r="AV228" t="str">
        <f ca="1">IF(223&gt;$AV$2,"",SMALL($AR$6:$AR$505,223))</f>
        <v/>
      </c>
      <c r="AW228" t="str">
        <f t="shared" ca="1" si="32"/>
        <v/>
      </c>
    </row>
    <row r="229" spans="2:49" x14ac:dyDescent="0.2">
      <c r="B229" s="32" t="str">
        <f>IF(AND(ISNUMBER(Roster!$B229),Setup!$B$20="Yes",ISNUMBER(Setup!$C$20)),EDATE(Roster!$B229,12*Setup!$C$20),"")</f>
        <v/>
      </c>
      <c r="C229" s="32" t="str">
        <f>IF(AND(ISNUMBER(Roster!$B229),Setup!$B$21="Yes",ISNUMBER(Setup!$C$21)),EDATE(Roster!$B229,12*Setup!$C$21),"")</f>
        <v/>
      </c>
      <c r="D229" s="32" t="str">
        <f>IF(AND(ISNUMBER(Roster!$B229),Setup!$B$22="Yes",ISNUMBER(Setup!$C$22)),EDATE(Roster!$B229,12*Setup!$C$22),"")</f>
        <v/>
      </c>
      <c r="E229" s="32" t="str">
        <f>IF(AND(ISNUMBER(Roster!$B229),Setup!$B$23="Yes",ISNUMBER(Setup!$C$23)),EDATE(Roster!$B229,12*Setup!$C$23),"")</f>
        <v/>
      </c>
      <c r="F229" s="32" t="str">
        <f>IF(AND(ISNUMBER(Roster!$B229),Setup!$B$24="Yes",ISNUMBER(Setup!$C$24)),EDATE(Roster!$B229,12*Setup!$C$24),"")</f>
        <v/>
      </c>
      <c r="G229" s="32" t="str">
        <f>IF(AND(ISNUMBER(Roster!$B229),Setup!$B$25="Yes",ISNUMBER(Setup!$C$25)),EDATE(Roster!$B229,12*Setup!$C$25),"")</f>
        <v/>
      </c>
      <c r="H229" s="32" t="str">
        <f>IF(AND(ISNUMBER(Roster!$B229),Setup!$B$26="Yes",ISNUMBER(Setup!$C$26)),EDATE(Roster!$B229,12*Setup!$C$26),"")</f>
        <v/>
      </c>
      <c r="I229" s="32" t="str">
        <f>IF(AND(ISNUMBER(Roster!$B229),Setup!$B$27="Yes",ISNUMBER(Setup!$C$27)),EDATE(Roster!$B229,12*Setup!$C$27),"")</f>
        <v/>
      </c>
      <c r="J229" s="32" t="str">
        <f>IF(AND(ISNUMBER(Roster!$B229),Setup!$B$28="Yes",ISNUMBER(Setup!$C$28)),EDATE(Roster!$B229,12*Setup!$C$28),"")</f>
        <v/>
      </c>
      <c r="K229" s="32" t="str">
        <f>IF(AND(ISNUMBER(Roster!$B229),Setup!$B$29="Yes",ISNUMBER(Setup!$C$29)),EDATE(Roster!$B229,12*Setup!$C$29),"")</f>
        <v/>
      </c>
      <c r="L229" s="32" t="str">
        <f>IF(AND(ISNUMBER(Roster!$B229),Setup!$B$30="Yes",ISNUMBER(Setup!$C$30)),EDATE(Roster!$B229,12*Setup!$C$30),"")</f>
        <v/>
      </c>
      <c r="M229" s="32" t="str">
        <f>IF(AND(ISNUMBER(Roster!$B229),Setup!$B$31="Yes",ISNUMBER(Setup!$C$31)),EDATE(Roster!$B229,12*Setup!$C$31),"")</f>
        <v/>
      </c>
      <c r="N229" s="32" t="str">
        <f>IF(AND(ISNUMBER(Roster!$B229),Setup!$B$32="Yes",ISNUMBER(Setup!$C$32)),EDATE(Roster!$B229,12*Setup!$C$32),"")</f>
        <v/>
      </c>
      <c r="O229" s="32" t="str">
        <f>IF(AND(ISNUMBER(Roster!$B229),Setup!$B$33="Yes",ISNUMBER(Setup!$C$33)),EDATE(Roster!$B229,12*Setup!$C$33),"")</f>
        <v/>
      </c>
      <c r="P229" s="32" t="str">
        <f>IF(AND(ISNUMBER(Roster!$B229),Setup!$B$34="Yes",ISNUMBER(Setup!$C$34)),EDATE(Roster!$B229,12*Setup!$C$34),"")</f>
        <v/>
      </c>
      <c r="R229" t="str">
        <f>IF(B229="","",IF(B229&lt;Setup!$C$5-Setup!$C$6,"",IF(IF(ISNUMBER(Roster!$D229),Setup!$C$20&lt;=Roster!$D229,FALSE),"",IF(OR(IF(Setup!$C$15&lt;=Setup!$C$16,AND(MONTH(B229)&gt;=Setup!$C$15,MONTH(B229)&lt;=Setup!$C$16),OR(MONTH(B229)&gt;=Setup!$C$15,MONTH(B229)&lt;=Setup!$C$16)),IF(Setup!$C$15&lt;=Setup!$C$16,AND(MONTH(WORKDAY(B229,-(Setup!$C$13+Setup!$G$20),Setup!$C$39:$C$50))&gt;=Setup!$C$15,MONTH(WORKDAY(B229,-(Setup!$C$13+Setup!$G$20),Setup!$C$39:$C$50))&lt;=Setup!$C$16),OR(MONTH(WORKDAY(B229,-(Setup!$C$13+Setup!$G$20),Setup!$C$39:$C$50))&gt;=Setup!$C$15,MONTH(WORKDAY(B229,-(Setup!$C$13+Setup!$G$20),Setup!$C$39:$C$50))&lt;=Setup!$C$16))),WORKDAY(B229,-(Setup!$C$13+Setup!$G$20+Setup!$C$14),Setup!$C$39:$C$50),WORKDAY(B229,-(Setup!$C$13+Setup!$G$20),Setup!$C$39:$C$50))+(224*100+1)/10000000)))</f>
        <v/>
      </c>
      <c r="S229" t="str">
        <f>IF(C229="","",IF(C229&lt;Setup!$C$5-Setup!$C$6,"",IF(IF(ISNUMBER(Roster!$D229),Setup!$C$21&lt;=Roster!$D229,FALSE),"",IF(OR(IF(Setup!$C$15&lt;=Setup!$C$16,AND(MONTH(C229)&gt;=Setup!$C$15,MONTH(C229)&lt;=Setup!$C$16),OR(MONTH(C229)&gt;=Setup!$C$15,MONTH(C229)&lt;=Setup!$C$16)),IF(Setup!$C$15&lt;=Setup!$C$16,AND(MONTH(WORKDAY(C229,-(Setup!$C$13+Setup!$G$21),Setup!$C$39:$C$50))&gt;=Setup!$C$15,MONTH(WORKDAY(C229,-(Setup!$C$13+Setup!$G$21),Setup!$C$39:$C$50))&lt;=Setup!$C$16),OR(MONTH(WORKDAY(C229,-(Setup!$C$13+Setup!$G$21),Setup!$C$39:$C$50))&gt;=Setup!$C$15,MONTH(WORKDAY(C229,-(Setup!$C$13+Setup!$G$21),Setup!$C$39:$C$50))&lt;=Setup!$C$16))),WORKDAY(C229,-(Setup!$C$13+Setup!$G$21+Setup!$C$14),Setup!$C$39:$C$50),WORKDAY(C229,-(Setup!$C$13+Setup!$G$21),Setup!$C$39:$C$50))+(224*100+2)/10000000)))</f>
        <v/>
      </c>
      <c r="T229" t="str">
        <f>IF(D229="","",IF(D229&lt;Setup!$C$5-Setup!$C$6,"",IF(IF(ISNUMBER(Roster!$D229),Setup!$C$22&lt;=Roster!$D229,FALSE),"",IF(OR(IF(Setup!$C$15&lt;=Setup!$C$16,AND(MONTH(D229)&gt;=Setup!$C$15,MONTH(D229)&lt;=Setup!$C$16),OR(MONTH(D229)&gt;=Setup!$C$15,MONTH(D229)&lt;=Setup!$C$16)),IF(Setup!$C$15&lt;=Setup!$C$16,AND(MONTH(WORKDAY(D229,-(Setup!$C$13+Setup!$G$22),Setup!$C$39:$C$50))&gt;=Setup!$C$15,MONTH(WORKDAY(D229,-(Setup!$C$13+Setup!$G$22),Setup!$C$39:$C$50))&lt;=Setup!$C$16),OR(MONTH(WORKDAY(D229,-(Setup!$C$13+Setup!$G$22),Setup!$C$39:$C$50))&gt;=Setup!$C$15,MONTH(WORKDAY(D229,-(Setup!$C$13+Setup!$G$22),Setup!$C$39:$C$50))&lt;=Setup!$C$16))),WORKDAY(D229,-(Setup!$C$13+Setup!$G$22+Setup!$C$14),Setup!$C$39:$C$50),WORKDAY(D229,-(Setup!$C$13+Setup!$G$22),Setup!$C$39:$C$50))+(224*100+3)/10000000)))</f>
        <v/>
      </c>
      <c r="U229" t="str">
        <f>IF(E229="","",IF(E229&lt;Setup!$C$5-Setup!$C$6,"",IF(IF(ISNUMBER(Roster!$D229),Setup!$C$23&lt;=Roster!$D229,FALSE),"",IF(OR(IF(Setup!$C$15&lt;=Setup!$C$16,AND(MONTH(E229)&gt;=Setup!$C$15,MONTH(E229)&lt;=Setup!$C$16),OR(MONTH(E229)&gt;=Setup!$C$15,MONTH(E229)&lt;=Setup!$C$16)),IF(Setup!$C$15&lt;=Setup!$C$16,AND(MONTH(WORKDAY(E229,-(Setup!$C$13+Setup!$G$23),Setup!$C$39:$C$50))&gt;=Setup!$C$15,MONTH(WORKDAY(E229,-(Setup!$C$13+Setup!$G$23),Setup!$C$39:$C$50))&lt;=Setup!$C$16),OR(MONTH(WORKDAY(E229,-(Setup!$C$13+Setup!$G$23),Setup!$C$39:$C$50))&gt;=Setup!$C$15,MONTH(WORKDAY(E229,-(Setup!$C$13+Setup!$G$23),Setup!$C$39:$C$50))&lt;=Setup!$C$16))),WORKDAY(E229,-(Setup!$C$13+Setup!$G$23+Setup!$C$14),Setup!$C$39:$C$50),WORKDAY(E229,-(Setup!$C$13+Setup!$G$23),Setup!$C$39:$C$50))+(224*100+4)/10000000)))</f>
        <v/>
      </c>
      <c r="V229" t="str">
        <f>IF(F229="","",IF(F229&lt;Setup!$C$5-Setup!$C$6,"",IF(IF(ISNUMBER(Roster!$D229),Setup!$C$24&lt;=Roster!$D229,FALSE),"",IF(OR(IF(Setup!$C$15&lt;=Setup!$C$16,AND(MONTH(F229)&gt;=Setup!$C$15,MONTH(F229)&lt;=Setup!$C$16),OR(MONTH(F229)&gt;=Setup!$C$15,MONTH(F229)&lt;=Setup!$C$16)),IF(Setup!$C$15&lt;=Setup!$C$16,AND(MONTH(WORKDAY(F229,-(Setup!$C$13+Setup!$G$24),Setup!$C$39:$C$50))&gt;=Setup!$C$15,MONTH(WORKDAY(F229,-(Setup!$C$13+Setup!$G$24),Setup!$C$39:$C$50))&lt;=Setup!$C$16),OR(MONTH(WORKDAY(F229,-(Setup!$C$13+Setup!$G$24),Setup!$C$39:$C$50))&gt;=Setup!$C$15,MONTH(WORKDAY(F229,-(Setup!$C$13+Setup!$G$24),Setup!$C$39:$C$50))&lt;=Setup!$C$16))),WORKDAY(F229,-(Setup!$C$13+Setup!$G$24+Setup!$C$14),Setup!$C$39:$C$50),WORKDAY(F229,-(Setup!$C$13+Setup!$G$24),Setup!$C$39:$C$50))+(224*100+5)/10000000)))</f>
        <v/>
      </c>
      <c r="W229" t="str">
        <f>IF(G229="","",IF(G229&lt;Setup!$C$5-Setup!$C$6,"",IF(IF(ISNUMBER(Roster!$D229),Setup!$C$25&lt;=Roster!$D229,FALSE),"",IF(OR(IF(Setup!$C$15&lt;=Setup!$C$16,AND(MONTH(G229)&gt;=Setup!$C$15,MONTH(G229)&lt;=Setup!$C$16),OR(MONTH(G229)&gt;=Setup!$C$15,MONTH(G229)&lt;=Setup!$C$16)),IF(Setup!$C$15&lt;=Setup!$C$16,AND(MONTH(WORKDAY(G229,-(Setup!$C$13+Setup!$G$25),Setup!$C$39:$C$50))&gt;=Setup!$C$15,MONTH(WORKDAY(G229,-(Setup!$C$13+Setup!$G$25),Setup!$C$39:$C$50))&lt;=Setup!$C$16),OR(MONTH(WORKDAY(G229,-(Setup!$C$13+Setup!$G$25),Setup!$C$39:$C$50))&gt;=Setup!$C$15,MONTH(WORKDAY(G229,-(Setup!$C$13+Setup!$G$25),Setup!$C$39:$C$50))&lt;=Setup!$C$16))),WORKDAY(G229,-(Setup!$C$13+Setup!$G$25+Setup!$C$14),Setup!$C$39:$C$50),WORKDAY(G229,-(Setup!$C$13+Setup!$G$25),Setup!$C$39:$C$50))+(224*100+6)/10000000)))</f>
        <v/>
      </c>
      <c r="X229" t="str">
        <f>IF(H229="","",IF(H229&lt;Setup!$C$5-Setup!$C$6,"",IF(IF(ISNUMBER(Roster!$D229),Setup!$C$26&lt;=Roster!$D229,FALSE),"",IF(OR(IF(Setup!$C$15&lt;=Setup!$C$16,AND(MONTH(H229)&gt;=Setup!$C$15,MONTH(H229)&lt;=Setup!$C$16),OR(MONTH(H229)&gt;=Setup!$C$15,MONTH(H229)&lt;=Setup!$C$16)),IF(Setup!$C$15&lt;=Setup!$C$16,AND(MONTH(WORKDAY(H229,-(Setup!$C$13+Setup!$G$26),Setup!$C$39:$C$50))&gt;=Setup!$C$15,MONTH(WORKDAY(H229,-(Setup!$C$13+Setup!$G$26),Setup!$C$39:$C$50))&lt;=Setup!$C$16),OR(MONTH(WORKDAY(H229,-(Setup!$C$13+Setup!$G$26),Setup!$C$39:$C$50))&gt;=Setup!$C$15,MONTH(WORKDAY(H229,-(Setup!$C$13+Setup!$G$26),Setup!$C$39:$C$50))&lt;=Setup!$C$16))),WORKDAY(H229,-(Setup!$C$13+Setup!$G$26+Setup!$C$14),Setup!$C$39:$C$50),WORKDAY(H229,-(Setup!$C$13+Setup!$G$26),Setup!$C$39:$C$50))+(224*100+7)/10000000)))</f>
        <v/>
      </c>
      <c r="Y229" t="str">
        <f>IF(I229="","",IF(I229&lt;Setup!$C$5-Setup!$C$6,"",IF(IF(ISNUMBER(Roster!$D229),Setup!$C$27&lt;=Roster!$D229,FALSE),"",IF(OR(IF(Setup!$C$15&lt;=Setup!$C$16,AND(MONTH(I229)&gt;=Setup!$C$15,MONTH(I229)&lt;=Setup!$C$16),OR(MONTH(I229)&gt;=Setup!$C$15,MONTH(I229)&lt;=Setup!$C$16)),IF(Setup!$C$15&lt;=Setup!$C$16,AND(MONTH(WORKDAY(I229,-(Setup!$C$13+Setup!$G$27),Setup!$C$39:$C$50))&gt;=Setup!$C$15,MONTH(WORKDAY(I229,-(Setup!$C$13+Setup!$G$27),Setup!$C$39:$C$50))&lt;=Setup!$C$16),OR(MONTH(WORKDAY(I229,-(Setup!$C$13+Setup!$G$27),Setup!$C$39:$C$50))&gt;=Setup!$C$15,MONTH(WORKDAY(I229,-(Setup!$C$13+Setup!$G$27),Setup!$C$39:$C$50))&lt;=Setup!$C$16))),WORKDAY(I229,-(Setup!$C$13+Setup!$G$27+Setup!$C$14),Setup!$C$39:$C$50),WORKDAY(I229,-(Setup!$C$13+Setup!$G$27),Setup!$C$39:$C$50))+(224*100+8)/10000000)))</f>
        <v/>
      </c>
      <c r="Z229" t="str">
        <f>IF(J229="","",IF(J229&lt;Setup!$C$5-Setup!$C$6,"",IF(IF(ISNUMBER(Roster!$D229),Setup!$C$28&lt;=Roster!$D229,FALSE),"",IF(OR(IF(Setup!$C$15&lt;=Setup!$C$16,AND(MONTH(J229)&gt;=Setup!$C$15,MONTH(J229)&lt;=Setup!$C$16),OR(MONTH(J229)&gt;=Setup!$C$15,MONTH(J229)&lt;=Setup!$C$16)),IF(Setup!$C$15&lt;=Setup!$C$16,AND(MONTH(WORKDAY(J229,-(Setup!$C$13+Setup!$G$28),Setup!$C$39:$C$50))&gt;=Setup!$C$15,MONTH(WORKDAY(J229,-(Setup!$C$13+Setup!$G$28),Setup!$C$39:$C$50))&lt;=Setup!$C$16),OR(MONTH(WORKDAY(J229,-(Setup!$C$13+Setup!$G$28),Setup!$C$39:$C$50))&gt;=Setup!$C$15,MONTH(WORKDAY(J229,-(Setup!$C$13+Setup!$G$28),Setup!$C$39:$C$50))&lt;=Setup!$C$16))),WORKDAY(J229,-(Setup!$C$13+Setup!$G$28+Setup!$C$14),Setup!$C$39:$C$50),WORKDAY(J229,-(Setup!$C$13+Setup!$G$28),Setup!$C$39:$C$50))+(224*100+9)/10000000)))</f>
        <v/>
      </c>
      <c r="AA229" t="str">
        <f>IF(K229="","",IF(K229&lt;Setup!$C$5-Setup!$C$6,"",IF(IF(ISNUMBER(Roster!$D229),Setup!$C$29&lt;=Roster!$D229,FALSE),"",IF(OR(IF(Setup!$C$15&lt;=Setup!$C$16,AND(MONTH(K229)&gt;=Setup!$C$15,MONTH(K229)&lt;=Setup!$C$16),OR(MONTH(K229)&gt;=Setup!$C$15,MONTH(K229)&lt;=Setup!$C$16)),IF(Setup!$C$15&lt;=Setup!$C$16,AND(MONTH(WORKDAY(K229,-(Setup!$C$13+Setup!$G$29),Setup!$C$39:$C$50))&gt;=Setup!$C$15,MONTH(WORKDAY(K229,-(Setup!$C$13+Setup!$G$29),Setup!$C$39:$C$50))&lt;=Setup!$C$16),OR(MONTH(WORKDAY(K229,-(Setup!$C$13+Setup!$G$29),Setup!$C$39:$C$50))&gt;=Setup!$C$15,MONTH(WORKDAY(K229,-(Setup!$C$13+Setup!$G$29),Setup!$C$39:$C$50))&lt;=Setup!$C$16))),WORKDAY(K229,-(Setup!$C$13+Setup!$G$29+Setup!$C$14),Setup!$C$39:$C$50),WORKDAY(K229,-(Setup!$C$13+Setup!$G$29),Setup!$C$39:$C$50))+(224*100+10)/10000000)))</f>
        <v/>
      </c>
      <c r="AB229" t="str">
        <f>IF(L229="","",IF(L229&lt;Setup!$C$5-Setup!$C$6,"",IF(IF(ISNUMBER(Roster!$D229),Setup!$C$30&lt;=Roster!$D229,FALSE),"",IF(OR(IF(Setup!$C$15&lt;=Setup!$C$16,AND(MONTH(L229)&gt;=Setup!$C$15,MONTH(L229)&lt;=Setup!$C$16),OR(MONTH(L229)&gt;=Setup!$C$15,MONTH(L229)&lt;=Setup!$C$16)),IF(Setup!$C$15&lt;=Setup!$C$16,AND(MONTH(WORKDAY(L229,-(Setup!$C$13+Setup!$G$30),Setup!$C$39:$C$50))&gt;=Setup!$C$15,MONTH(WORKDAY(L229,-(Setup!$C$13+Setup!$G$30),Setup!$C$39:$C$50))&lt;=Setup!$C$16),OR(MONTH(WORKDAY(L229,-(Setup!$C$13+Setup!$G$30),Setup!$C$39:$C$50))&gt;=Setup!$C$15,MONTH(WORKDAY(L229,-(Setup!$C$13+Setup!$G$30),Setup!$C$39:$C$50))&lt;=Setup!$C$16))),WORKDAY(L229,-(Setup!$C$13+Setup!$G$30+Setup!$C$14),Setup!$C$39:$C$50),WORKDAY(L229,-(Setup!$C$13+Setup!$G$30),Setup!$C$39:$C$50))+(224*100+11)/10000000)))</f>
        <v/>
      </c>
      <c r="AC229" t="str">
        <f>IF(M229="","",IF(M229&lt;Setup!$C$5-Setup!$C$6,"",IF(IF(ISNUMBER(Roster!$D229),Setup!$C$31&lt;=Roster!$D229,FALSE),"",IF(OR(IF(Setup!$C$15&lt;=Setup!$C$16,AND(MONTH(M229)&gt;=Setup!$C$15,MONTH(M229)&lt;=Setup!$C$16),OR(MONTH(M229)&gt;=Setup!$C$15,MONTH(M229)&lt;=Setup!$C$16)),IF(Setup!$C$15&lt;=Setup!$C$16,AND(MONTH(WORKDAY(M229,-(Setup!$C$13+Setup!$G$31),Setup!$C$39:$C$50))&gt;=Setup!$C$15,MONTH(WORKDAY(M229,-(Setup!$C$13+Setup!$G$31),Setup!$C$39:$C$50))&lt;=Setup!$C$16),OR(MONTH(WORKDAY(M229,-(Setup!$C$13+Setup!$G$31),Setup!$C$39:$C$50))&gt;=Setup!$C$15,MONTH(WORKDAY(M229,-(Setup!$C$13+Setup!$G$31),Setup!$C$39:$C$50))&lt;=Setup!$C$16))),WORKDAY(M229,-(Setup!$C$13+Setup!$G$31+Setup!$C$14),Setup!$C$39:$C$50),WORKDAY(M229,-(Setup!$C$13+Setup!$G$31),Setup!$C$39:$C$50))+(224*100+12)/10000000)))</f>
        <v/>
      </c>
      <c r="AD229" t="str">
        <f>IF(N229="","",IF(N229&lt;Setup!$C$5-Setup!$C$6,"",IF(IF(ISNUMBER(Roster!$D229),Setup!$C$32&lt;=Roster!$D229,FALSE),"",IF(OR(IF(Setup!$C$15&lt;=Setup!$C$16,AND(MONTH(N229)&gt;=Setup!$C$15,MONTH(N229)&lt;=Setup!$C$16),OR(MONTH(N229)&gt;=Setup!$C$15,MONTH(N229)&lt;=Setup!$C$16)),IF(Setup!$C$15&lt;=Setup!$C$16,AND(MONTH(WORKDAY(N229,-(Setup!$C$13+Setup!$G$32),Setup!$C$39:$C$50))&gt;=Setup!$C$15,MONTH(WORKDAY(N229,-(Setup!$C$13+Setup!$G$32),Setup!$C$39:$C$50))&lt;=Setup!$C$16),OR(MONTH(WORKDAY(N229,-(Setup!$C$13+Setup!$G$32),Setup!$C$39:$C$50))&gt;=Setup!$C$15,MONTH(WORKDAY(N229,-(Setup!$C$13+Setup!$G$32),Setup!$C$39:$C$50))&lt;=Setup!$C$16))),WORKDAY(N229,-(Setup!$C$13+Setup!$G$32+Setup!$C$14),Setup!$C$39:$C$50),WORKDAY(N229,-(Setup!$C$13+Setup!$G$32),Setup!$C$39:$C$50))+(224*100+13)/10000000)))</f>
        <v/>
      </c>
      <c r="AE229" t="str">
        <f>IF(O229="","",IF(O229&lt;Setup!$C$5-Setup!$C$6,"",IF(IF(ISNUMBER(Roster!$D229),Setup!$C$33&lt;=Roster!$D229,FALSE),"",IF(OR(IF(Setup!$C$15&lt;=Setup!$C$16,AND(MONTH(O229)&gt;=Setup!$C$15,MONTH(O229)&lt;=Setup!$C$16),OR(MONTH(O229)&gt;=Setup!$C$15,MONTH(O229)&lt;=Setup!$C$16)),IF(Setup!$C$15&lt;=Setup!$C$16,AND(MONTH(WORKDAY(O229,-(Setup!$C$13+Setup!$G$33),Setup!$C$39:$C$50))&gt;=Setup!$C$15,MONTH(WORKDAY(O229,-(Setup!$C$13+Setup!$G$33),Setup!$C$39:$C$50))&lt;=Setup!$C$16),OR(MONTH(WORKDAY(O229,-(Setup!$C$13+Setup!$G$33),Setup!$C$39:$C$50))&gt;=Setup!$C$15,MONTH(WORKDAY(O229,-(Setup!$C$13+Setup!$G$33),Setup!$C$39:$C$50))&lt;=Setup!$C$16))),WORKDAY(O229,-(Setup!$C$13+Setup!$G$33+Setup!$C$14),Setup!$C$39:$C$50),WORKDAY(O229,-(Setup!$C$13+Setup!$G$33),Setup!$C$39:$C$50))+(224*100+14)/10000000)))</f>
        <v/>
      </c>
      <c r="AF229" t="str">
        <f>IF(P229="","",IF(P229&lt;Setup!$C$5-Setup!$C$6,"",IF(IF(ISNUMBER(Roster!$D229),Setup!$C$34&lt;=Roster!$D229,FALSE),"",IF(OR(IF(Setup!$C$15&lt;=Setup!$C$16,AND(MONTH(P229)&gt;=Setup!$C$15,MONTH(P229)&lt;=Setup!$C$16),OR(MONTH(P229)&gt;=Setup!$C$15,MONTH(P229)&lt;=Setup!$C$16)),IF(Setup!$C$15&lt;=Setup!$C$16,AND(MONTH(WORKDAY(P229,-(Setup!$C$13+Setup!$G$34),Setup!$C$39:$C$50))&gt;=Setup!$C$15,MONTH(WORKDAY(P229,-(Setup!$C$13+Setup!$G$34),Setup!$C$39:$C$50))&lt;=Setup!$C$16),OR(MONTH(WORKDAY(P229,-(Setup!$C$13+Setup!$G$34),Setup!$C$39:$C$50))&gt;=Setup!$C$15,MONTH(WORKDAY(P229,-(Setup!$C$13+Setup!$G$34),Setup!$C$39:$C$50))&lt;=Setup!$C$16))),WORKDAY(P229,-(Setup!$C$13+Setup!$G$34+Setup!$C$14),Setup!$C$39:$C$50),WORKDAY(P229,-(Setup!$C$13+Setup!$G$34),Setup!$C$39:$C$50))+(224*100+15)/10000000)))</f>
        <v/>
      </c>
      <c r="AH229" t="str">
        <f t="shared" si="25"/>
        <v/>
      </c>
      <c r="AI229" t="str">
        <f t="shared" si="26"/>
        <v/>
      </c>
      <c r="AK229" t="str">
        <f ca="1">IF(224&gt;$AK$2,"",SMALL($R$6:$AF$505,224))</f>
        <v/>
      </c>
      <c r="AL229" t="str">
        <f t="shared" ca="1" si="27"/>
        <v/>
      </c>
      <c r="AM229" t="str">
        <f t="shared" ca="1" si="28"/>
        <v/>
      </c>
      <c r="AN229" t="str">
        <f t="shared" ca="1" si="29"/>
        <v/>
      </c>
      <c r="AP229" t="str">
        <f>IF(ISNUMBER(Roster!$B229),MAX(1,YEAR(Setup!$C$5)-YEAR(Roster!$B229)+IF(EDATE(Roster!$B229,12*(YEAR(Setup!$C$5)-YEAR(Roster!$B229)))&lt;Setup!$C$5,1,0)),"")</f>
        <v/>
      </c>
      <c r="AQ229" s="32" t="str">
        <f>IF(AP229="","",EDATE(Roster!$B229,12*AP229))</f>
        <v/>
      </c>
      <c r="AR229" t="str">
        <f>IF(AQ229="","",IF(AQ229&lt;DATE(YEAR(Setup!$C$5)+1,MONTH(Setup!$C$5),DAY(Setup!$C$5)),AQ229+224/1000,""))</f>
        <v/>
      </c>
      <c r="AS229" t="str">
        <f t="shared" si="30"/>
        <v/>
      </c>
      <c r="AT229" t="str">
        <f>IF(AS229="","",IF(ISNUMBER(Roster!$D229),Roster!$D229&gt;=AP229,FALSE))</f>
        <v/>
      </c>
      <c r="AU229" t="str">
        <f t="shared" si="31"/>
        <v/>
      </c>
      <c r="AV229" t="str">
        <f ca="1">IF(224&gt;$AV$2,"",SMALL($AR$6:$AR$505,224))</f>
        <v/>
      </c>
      <c r="AW229" t="str">
        <f t="shared" ca="1" si="32"/>
        <v/>
      </c>
    </row>
    <row r="230" spans="2:49" x14ac:dyDescent="0.2">
      <c r="B230" s="32" t="str">
        <f>IF(AND(ISNUMBER(Roster!$B230),Setup!$B$20="Yes",ISNUMBER(Setup!$C$20)),EDATE(Roster!$B230,12*Setup!$C$20),"")</f>
        <v/>
      </c>
      <c r="C230" s="32" t="str">
        <f>IF(AND(ISNUMBER(Roster!$B230),Setup!$B$21="Yes",ISNUMBER(Setup!$C$21)),EDATE(Roster!$B230,12*Setup!$C$21),"")</f>
        <v/>
      </c>
      <c r="D230" s="32" t="str">
        <f>IF(AND(ISNUMBER(Roster!$B230),Setup!$B$22="Yes",ISNUMBER(Setup!$C$22)),EDATE(Roster!$B230,12*Setup!$C$22),"")</f>
        <v/>
      </c>
      <c r="E230" s="32" t="str">
        <f>IF(AND(ISNUMBER(Roster!$B230),Setup!$B$23="Yes",ISNUMBER(Setup!$C$23)),EDATE(Roster!$B230,12*Setup!$C$23),"")</f>
        <v/>
      </c>
      <c r="F230" s="32" t="str">
        <f>IF(AND(ISNUMBER(Roster!$B230),Setup!$B$24="Yes",ISNUMBER(Setup!$C$24)),EDATE(Roster!$B230,12*Setup!$C$24),"")</f>
        <v/>
      </c>
      <c r="G230" s="32" t="str">
        <f>IF(AND(ISNUMBER(Roster!$B230),Setup!$B$25="Yes",ISNUMBER(Setup!$C$25)),EDATE(Roster!$B230,12*Setup!$C$25),"")</f>
        <v/>
      </c>
      <c r="H230" s="32" t="str">
        <f>IF(AND(ISNUMBER(Roster!$B230),Setup!$B$26="Yes",ISNUMBER(Setup!$C$26)),EDATE(Roster!$B230,12*Setup!$C$26),"")</f>
        <v/>
      </c>
      <c r="I230" s="32" t="str">
        <f>IF(AND(ISNUMBER(Roster!$B230),Setup!$B$27="Yes",ISNUMBER(Setup!$C$27)),EDATE(Roster!$B230,12*Setup!$C$27),"")</f>
        <v/>
      </c>
      <c r="J230" s="32" t="str">
        <f>IF(AND(ISNUMBER(Roster!$B230),Setup!$B$28="Yes",ISNUMBER(Setup!$C$28)),EDATE(Roster!$B230,12*Setup!$C$28),"")</f>
        <v/>
      </c>
      <c r="K230" s="32" t="str">
        <f>IF(AND(ISNUMBER(Roster!$B230),Setup!$B$29="Yes",ISNUMBER(Setup!$C$29)),EDATE(Roster!$B230,12*Setup!$C$29),"")</f>
        <v/>
      </c>
      <c r="L230" s="32" t="str">
        <f>IF(AND(ISNUMBER(Roster!$B230),Setup!$B$30="Yes",ISNUMBER(Setup!$C$30)),EDATE(Roster!$B230,12*Setup!$C$30),"")</f>
        <v/>
      </c>
      <c r="M230" s="32" t="str">
        <f>IF(AND(ISNUMBER(Roster!$B230),Setup!$B$31="Yes",ISNUMBER(Setup!$C$31)),EDATE(Roster!$B230,12*Setup!$C$31),"")</f>
        <v/>
      </c>
      <c r="N230" s="32" t="str">
        <f>IF(AND(ISNUMBER(Roster!$B230),Setup!$B$32="Yes",ISNUMBER(Setup!$C$32)),EDATE(Roster!$B230,12*Setup!$C$32),"")</f>
        <v/>
      </c>
      <c r="O230" s="32" t="str">
        <f>IF(AND(ISNUMBER(Roster!$B230),Setup!$B$33="Yes",ISNUMBER(Setup!$C$33)),EDATE(Roster!$B230,12*Setup!$C$33),"")</f>
        <v/>
      </c>
      <c r="P230" s="32" t="str">
        <f>IF(AND(ISNUMBER(Roster!$B230),Setup!$B$34="Yes",ISNUMBER(Setup!$C$34)),EDATE(Roster!$B230,12*Setup!$C$34),"")</f>
        <v/>
      </c>
      <c r="R230" t="str">
        <f>IF(B230="","",IF(B230&lt;Setup!$C$5-Setup!$C$6,"",IF(IF(ISNUMBER(Roster!$D230),Setup!$C$20&lt;=Roster!$D230,FALSE),"",IF(OR(IF(Setup!$C$15&lt;=Setup!$C$16,AND(MONTH(B230)&gt;=Setup!$C$15,MONTH(B230)&lt;=Setup!$C$16),OR(MONTH(B230)&gt;=Setup!$C$15,MONTH(B230)&lt;=Setup!$C$16)),IF(Setup!$C$15&lt;=Setup!$C$16,AND(MONTH(WORKDAY(B230,-(Setup!$C$13+Setup!$G$20),Setup!$C$39:$C$50))&gt;=Setup!$C$15,MONTH(WORKDAY(B230,-(Setup!$C$13+Setup!$G$20),Setup!$C$39:$C$50))&lt;=Setup!$C$16),OR(MONTH(WORKDAY(B230,-(Setup!$C$13+Setup!$G$20),Setup!$C$39:$C$50))&gt;=Setup!$C$15,MONTH(WORKDAY(B230,-(Setup!$C$13+Setup!$G$20),Setup!$C$39:$C$50))&lt;=Setup!$C$16))),WORKDAY(B230,-(Setup!$C$13+Setup!$G$20+Setup!$C$14),Setup!$C$39:$C$50),WORKDAY(B230,-(Setup!$C$13+Setup!$G$20),Setup!$C$39:$C$50))+(225*100+1)/10000000)))</f>
        <v/>
      </c>
      <c r="S230" t="str">
        <f>IF(C230="","",IF(C230&lt;Setup!$C$5-Setup!$C$6,"",IF(IF(ISNUMBER(Roster!$D230),Setup!$C$21&lt;=Roster!$D230,FALSE),"",IF(OR(IF(Setup!$C$15&lt;=Setup!$C$16,AND(MONTH(C230)&gt;=Setup!$C$15,MONTH(C230)&lt;=Setup!$C$16),OR(MONTH(C230)&gt;=Setup!$C$15,MONTH(C230)&lt;=Setup!$C$16)),IF(Setup!$C$15&lt;=Setup!$C$16,AND(MONTH(WORKDAY(C230,-(Setup!$C$13+Setup!$G$21),Setup!$C$39:$C$50))&gt;=Setup!$C$15,MONTH(WORKDAY(C230,-(Setup!$C$13+Setup!$G$21),Setup!$C$39:$C$50))&lt;=Setup!$C$16),OR(MONTH(WORKDAY(C230,-(Setup!$C$13+Setup!$G$21),Setup!$C$39:$C$50))&gt;=Setup!$C$15,MONTH(WORKDAY(C230,-(Setup!$C$13+Setup!$G$21),Setup!$C$39:$C$50))&lt;=Setup!$C$16))),WORKDAY(C230,-(Setup!$C$13+Setup!$G$21+Setup!$C$14),Setup!$C$39:$C$50),WORKDAY(C230,-(Setup!$C$13+Setup!$G$21),Setup!$C$39:$C$50))+(225*100+2)/10000000)))</f>
        <v/>
      </c>
      <c r="T230" t="str">
        <f>IF(D230="","",IF(D230&lt;Setup!$C$5-Setup!$C$6,"",IF(IF(ISNUMBER(Roster!$D230),Setup!$C$22&lt;=Roster!$D230,FALSE),"",IF(OR(IF(Setup!$C$15&lt;=Setup!$C$16,AND(MONTH(D230)&gt;=Setup!$C$15,MONTH(D230)&lt;=Setup!$C$16),OR(MONTH(D230)&gt;=Setup!$C$15,MONTH(D230)&lt;=Setup!$C$16)),IF(Setup!$C$15&lt;=Setup!$C$16,AND(MONTH(WORKDAY(D230,-(Setup!$C$13+Setup!$G$22),Setup!$C$39:$C$50))&gt;=Setup!$C$15,MONTH(WORKDAY(D230,-(Setup!$C$13+Setup!$G$22),Setup!$C$39:$C$50))&lt;=Setup!$C$16),OR(MONTH(WORKDAY(D230,-(Setup!$C$13+Setup!$G$22),Setup!$C$39:$C$50))&gt;=Setup!$C$15,MONTH(WORKDAY(D230,-(Setup!$C$13+Setup!$G$22),Setup!$C$39:$C$50))&lt;=Setup!$C$16))),WORKDAY(D230,-(Setup!$C$13+Setup!$G$22+Setup!$C$14),Setup!$C$39:$C$50),WORKDAY(D230,-(Setup!$C$13+Setup!$G$22),Setup!$C$39:$C$50))+(225*100+3)/10000000)))</f>
        <v/>
      </c>
      <c r="U230" t="str">
        <f>IF(E230="","",IF(E230&lt;Setup!$C$5-Setup!$C$6,"",IF(IF(ISNUMBER(Roster!$D230),Setup!$C$23&lt;=Roster!$D230,FALSE),"",IF(OR(IF(Setup!$C$15&lt;=Setup!$C$16,AND(MONTH(E230)&gt;=Setup!$C$15,MONTH(E230)&lt;=Setup!$C$16),OR(MONTH(E230)&gt;=Setup!$C$15,MONTH(E230)&lt;=Setup!$C$16)),IF(Setup!$C$15&lt;=Setup!$C$16,AND(MONTH(WORKDAY(E230,-(Setup!$C$13+Setup!$G$23),Setup!$C$39:$C$50))&gt;=Setup!$C$15,MONTH(WORKDAY(E230,-(Setup!$C$13+Setup!$G$23),Setup!$C$39:$C$50))&lt;=Setup!$C$16),OR(MONTH(WORKDAY(E230,-(Setup!$C$13+Setup!$G$23),Setup!$C$39:$C$50))&gt;=Setup!$C$15,MONTH(WORKDAY(E230,-(Setup!$C$13+Setup!$G$23),Setup!$C$39:$C$50))&lt;=Setup!$C$16))),WORKDAY(E230,-(Setup!$C$13+Setup!$G$23+Setup!$C$14),Setup!$C$39:$C$50),WORKDAY(E230,-(Setup!$C$13+Setup!$G$23),Setup!$C$39:$C$50))+(225*100+4)/10000000)))</f>
        <v/>
      </c>
      <c r="V230" t="str">
        <f>IF(F230="","",IF(F230&lt;Setup!$C$5-Setup!$C$6,"",IF(IF(ISNUMBER(Roster!$D230),Setup!$C$24&lt;=Roster!$D230,FALSE),"",IF(OR(IF(Setup!$C$15&lt;=Setup!$C$16,AND(MONTH(F230)&gt;=Setup!$C$15,MONTH(F230)&lt;=Setup!$C$16),OR(MONTH(F230)&gt;=Setup!$C$15,MONTH(F230)&lt;=Setup!$C$16)),IF(Setup!$C$15&lt;=Setup!$C$16,AND(MONTH(WORKDAY(F230,-(Setup!$C$13+Setup!$G$24),Setup!$C$39:$C$50))&gt;=Setup!$C$15,MONTH(WORKDAY(F230,-(Setup!$C$13+Setup!$G$24),Setup!$C$39:$C$50))&lt;=Setup!$C$16),OR(MONTH(WORKDAY(F230,-(Setup!$C$13+Setup!$G$24),Setup!$C$39:$C$50))&gt;=Setup!$C$15,MONTH(WORKDAY(F230,-(Setup!$C$13+Setup!$G$24),Setup!$C$39:$C$50))&lt;=Setup!$C$16))),WORKDAY(F230,-(Setup!$C$13+Setup!$G$24+Setup!$C$14),Setup!$C$39:$C$50),WORKDAY(F230,-(Setup!$C$13+Setup!$G$24),Setup!$C$39:$C$50))+(225*100+5)/10000000)))</f>
        <v/>
      </c>
      <c r="W230" t="str">
        <f>IF(G230="","",IF(G230&lt;Setup!$C$5-Setup!$C$6,"",IF(IF(ISNUMBER(Roster!$D230),Setup!$C$25&lt;=Roster!$D230,FALSE),"",IF(OR(IF(Setup!$C$15&lt;=Setup!$C$16,AND(MONTH(G230)&gt;=Setup!$C$15,MONTH(G230)&lt;=Setup!$C$16),OR(MONTH(G230)&gt;=Setup!$C$15,MONTH(G230)&lt;=Setup!$C$16)),IF(Setup!$C$15&lt;=Setup!$C$16,AND(MONTH(WORKDAY(G230,-(Setup!$C$13+Setup!$G$25),Setup!$C$39:$C$50))&gt;=Setup!$C$15,MONTH(WORKDAY(G230,-(Setup!$C$13+Setup!$G$25),Setup!$C$39:$C$50))&lt;=Setup!$C$16),OR(MONTH(WORKDAY(G230,-(Setup!$C$13+Setup!$G$25),Setup!$C$39:$C$50))&gt;=Setup!$C$15,MONTH(WORKDAY(G230,-(Setup!$C$13+Setup!$G$25),Setup!$C$39:$C$50))&lt;=Setup!$C$16))),WORKDAY(G230,-(Setup!$C$13+Setup!$G$25+Setup!$C$14),Setup!$C$39:$C$50),WORKDAY(G230,-(Setup!$C$13+Setup!$G$25),Setup!$C$39:$C$50))+(225*100+6)/10000000)))</f>
        <v/>
      </c>
      <c r="X230" t="str">
        <f>IF(H230="","",IF(H230&lt;Setup!$C$5-Setup!$C$6,"",IF(IF(ISNUMBER(Roster!$D230),Setup!$C$26&lt;=Roster!$D230,FALSE),"",IF(OR(IF(Setup!$C$15&lt;=Setup!$C$16,AND(MONTH(H230)&gt;=Setup!$C$15,MONTH(H230)&lt;=Setup!$C$16),OR(MONTH(H230)&gt;=Setup!$C$15,MONTH(H230)&lt;=Setup!$C$16)),IF(Setup!$C$15&lt;=Setup!$C$16,AND(MONTH(WORKDAY(H230,-(Setup!$C$13+Setup!$G$26),Setup!$C$39:$C$50))&gt;=Setup!$C$15,MONTH(WORKDAY(H230,-(Setup!$C$13+Setup!$G$26),Setup!$C$39:$C$50))&lt;=Setup!$C$16),OR(MONTH(WORKDAY(H230,-(Setup!$C$13+Setup!$G$26),Setup!$C$39:$C$50))&gt;=Setup!$C$15,MONTH(WORKDAY(H230,-(Setup!$C$13+Setup!$G$26),Setup!$C$39:$C$50))&lt;=Setup!$C$16))),WORKDAY(H230,-(Setup!$C$13+Setup!$G$26+Setup!$C$14),Setup!$C$39:$C$50),WORKDAY(H230,-(Setup!$C$13+Setup!$G$26),Setup!$C$39:$C$50))+(225*100+7)/10000000)))</f>
        <v/>
      </c>
      <c r="Y230" t="str">
        <f>IF(I230="","",IF(I230&lt;Setup!$C$5-Setup!$C$6,"",IF(IF(ISNUMBER(Roster!$D230),Setup!$C$27&lt;=Roster!$D230,FALSE),"",IF(OR(IF(Setup!$C$15&lt;=Setup!$C$16,AND(MONTH(I230)&gt;=Setup!$C$15,MONTH(I230)&lt;=Setup!$C$16),OR(MONTH(I230)&gt;=Setup!$C$15,MONTH(I230)&lt;=Setup!$C$16)),IF(Setup!$C$15&lt;=Setup!$C$16,AND(MONTH(WORKDAY(I230,-(Setup!$C$13+Setup!$G$27),Setup!$C$39:$C$50))&gt;=Setup!$C$15,MONTH(WORKDAY(I230,-(Setup!$C$13+Setup!$G$27),Setup!$C$39:$C$50))&lt;=Setup!$C$16),OR(MONTH(WORKDAY(I230,-(Setup!$C$13+Setup!$G$27),Setup!$C$39:$C$50))&gt;=Setup!$C$15,MONTH(WORKDAY(I230,-(Setup!$C$13+Setup!$G$27),Setup!$C$39:$C$50))&lt;=Setup!$C$16))),WORKDAY(I230,-(Setup!$C$13+Setup!$G$27+Setup!$C$14),Setup!$C$39:$C$50),WORKDAY(I230,-(Setup!$C$13+Setup!$G$27),Setup!$C$39:$C$50))+(225*100+8)/10000000)))</f>
        <v/>
      </c>
      <c r="Z230" t="str">
        <f>IF(J230="","",IF(J230&lt;Setup!$C$5-Setup!$C$6,"",IF(IF(ISNUMBER(Roster!$D230),Setup!$C$28&lt;=Roster!$D230,FALSE),"",IF(OR(IF(Setup!$C$15&lt;=Setup!$C$16,AND(MONTH(J230)&gt;=Setup!$C$15,MONTH(J230)&lt;=Setup!$C$16),OR(MONTH(J230)&gt;=Setup!$C$15,MONTH(J230)&lt;=Setup!$C$16)),IF(Setup!$C$15&lt;=Setup!$C$16,AND(MONTH(WORKDAY(J230,-(Setup!$C$13+Setup!$G$28),Setup!$C$39:$C$50))&gt;=Setup!$C$15,MONTH(WORKDAY(J230,-(Setup!$C$13+Setup!$G$28),Setup!$C$39:$C$50))&lt;=Setup!$C$16),OR(MONTH(WORKDAY(J230,-(Setup!$C$13+Setup!$G$28),Setup!$C$39:$C$50))&gt;=Setup!$C$15,MONTH(WORKDAY(J230,-(Setup!$C$13+Setup!$G$28),Setup!$C$39:$C$50))&lt;=Setup!$C$16))),WORKDAY(J230,-(Setup!$C$13+Setup!$G$28+Setup!$C$14),Setup!$C$39:$C$50),WORKDAY(J230,-(Setup!$C$13+Setup!$G$28),Setup!$C$39:$C$50))+(225*100+9)/10000000)))</f>
        <v/>
      </c>
      <c r="AA230" t="str">
        <f>IF(K230="","",IF(K230&lt;Setup!$C$5-Setup!$C$6,"",IF(IF(ISNUMBER(Roster!$D230),Setup!$C$29&lt;=Roster!$D230,FALSE),"",IF(OR(IF(Setup!$C$15&lt;=Setup!$C$16,AND(MONTH(K230)&gt;=Setup!$C$15,MONTH(K230)&lt;=Setup!$C$16),OR(MONTH(K230)&gt;=Setup!$C$15,MONTH(K230)&lt;=Setup!$C$16)),IF(Setup!$C$15&lt;=Setup!$C$16,AND(MONTH(WORKDAY(K230,-(Setup!$C$13+Setup!$G$29),Setup!$C$39:$C$50))&gt;=Setup!$C$15,MONTH(WORKDAY(K230,-(Setup!$C$13+Setup!$G$29),Setup!$C$39:$C$50))&lt;=Setup!$C$16),OR(MONTH(WORKDAY(K230,-(Setup!$C$13+Setup!$G$29),Setup!$C$39:$C$50))&gt;=Setup!$C$15,MONTH(WORKDAY(K230,-(Setup!$C$13+Setup!$G$29),Setup!$C$39:$C$50))&lt;=Setup!$C$16))),WORKDAY(K230,-(Setup!$C$13+Setup!$G$29+Setup!$C$14),Setup!$C$39:$C$50),WORKDAY(K230,-(Setup!$C$13+Setup!$G$29),Setup!$C$39:$C$50))+(225*100+10)/10000000)))</f>
        <v/>
      </c>
      <c r="AB230" t="str">
        <f>IF(L230="","",IF(L230&lt;Setup!$C$5-Setup!$C$6,"",IF(IF(ISNUMBER(Roster!$D230),Setup!$C$30&lt;=Roster!$D230,FALSE),"",IF(OR(IF(Setup!$C$15&lt;=Setup!$C$16,AND(MONTH(L230)&gt;=Setup!$C$15,MONTH(L230)&lt;=Setup!$C$16),OR(MONTH(L230)&gt;=Setup!$C$15,MONTH(L230)&lt;=Setup!$C$16)),IF(Setup!$C$15&lt;=Setup!$C$16,AND(MONTH(WORKDAY(L230,-(Setup!$C$13+Setup!$G$30),Setup!$C$39:$C$50))&gt;=Setup!$C$15,MONTH(WORKDAY(L230,-(Setup!$C$13+Setup!$G$30),Setup!$C$39:$C$50))&lt;=Setup!$C$16),OR(MONTH(WORKDAY(L230,-(Setup!$C$13+Setup!$G$30),Setup!$C$39:$C$50))&gt;=Setup!$C$15,MONTH(WORKDAY(L230,-(Setup!$C$13+Setup!$G$30),Setup!$C$39:$C$50))&lt;=Setup!$C$16))),WORKDAY(L230,-(Setup!$C$13+Setup!$G$30+Setup!$C$14),Setup!$C$39:$C$50),WORKDAY(L230,-(Setup!$C$13+Setup!$G$30),Setup!$C$39:$C$50))+(225*100+11)/10000000)))</f>
        <v/>
      </c>
      <c r="AC230" t="str">
        <f>IF(M230="","",IF(M230&lt;Setup!$C$5-Setup!$C$6,"",IF(IF(ISNUMBER(Roster!$D230),Setup!$C$31&lt;=Roster!$D230,FALSE),"",IF(OR(IF(Setup!$C$15&lt;=Setup!$C$16,AND(MONTH(M230)&gt;=Setup!$C$15,MONTH(M230)&lt;=Setup!$C$16),OR(MONTH(M230)&gt;=Setup!$C$15,MONTH(M230)&lt;=Setup!$C$16)),IF(Setup!$C$15&lt;=Setup!$C$16,AND(MONTH(WORKDAY(M230,-(Setup!$C$13+Setup!$G$31),Setup!$C$39:$C$50))&gt;=Setup!$C$15,MONTH(WORKDAY(M230,-(Setup!$C$13+Setup!$G$31),Setup!$C$39:$C$50))&lt;=Setup!$C$16),OR(MONTH(WORKDAY(M230,-(Setup!$C$13+Setup!$G$31),Setup!$C$39:$C$50))&gt;=Setup!$C$15,MONTH(WORKDAY(M230,-(Setup!$C$13+Setup!$G$31),Setup!$C$39:$C$50))&lt;=Setup!$C$16))),WORKDAY(M230,-(Setup!$C$13+Setup!$G$31+Setup!$C$14),Setup!$C$39:$C$50),WORKDAY(M230,-(Setup!$C$13+Setup!$G$31),Setup!$C$39:$C$50))+(225*100+12)/10000000)))</f>
        <v/>
      </c>
      <c r="AD230" t="str">
        <f>IF(N230="","",IF(N230&lt;Setup!$C$5-Setup!$C$6,"",IF(IF(ISNUMBER(Roster!$D230),Setup!$C$32&lt;=Roster!$D230,FALSE),"",IF(OR(IF(Setup!$C$15&lt;=Setup!$C$16,AND(MONTH(N230)&gt;=Setup!$C$15,MONTH(N230)&lt;=Setup!$C$16),OR(MONTH(N230)&gt;=Setup!$C$15,MONTH(N230)&lt;=Setup!$C$16)),IF(Setup!$C$15&lt;=Setup!$C$16,AND(MONTH(WORKDAY(N230,-(Setup!$C$13+Setup!$G$32),Setup!$C$39:$C$50))&gt;=Setup!$C$15,MONTH(WORKDAY(N230,-(Setup!$C$13+Setup!$G$32),Setup!$C$39:$C$50))&lt;=Setup!$C$16),OR(MONTH(WORKDAY(N230,-(Setup!$C$13+Setup!$G$32),Setup!$C$39:$C$50))&gt;=Setup!$C$15,MONTH(WORKDAY(N230,-(Setup!$C$13+Setup!$G$32),Setup!$C$39:$C$50))&lt;=Setup!$C$16))),WORKDAY(N230,-(Setup!$C$13+Setup!$G$32+Setup!$C$14),Setup!$C$39:$C$50),WORKDAY(N230,-(Setup!$C$13+Setup!$G$32),Setup!$C$39:$C$50))+(225*100+13)/10000000)))</f>
        <v/>
      </c>
      <c r="AE230" t="str">
        <f>IF(O230="","",IF(O230&lt;Setup!$C$5-Setup!$C$6,"",IF(IF(ISNUMBER(Roster!$D230),Setup!$C$33&lt;=Roster!$D230,FALSE),"",IF(OR(IF(Setup!$C$15&lt;=Setup!$C$16,AND(MONTH(O230)&gt;=Setup!$C$15,MONTH(O230)&lt;=Setup!$C$16),OR(MONTH(O230)&gt;=Setup!$C$15,MONTH(O230)&lt;=Setup!$C$16)),IF(Setup!$C$15&lt;=Setup!$C$16,AND(MONTH(WORKDAY(O230,-(Setup!$C$13+Setup!$G$33),Setup!$C$39:$C$50))&gt;=Setup!$C$15,MONTH(WORKDAY(O230,-(Setup!$C$13+Setup!$G$33),Setup!$C$39:$C$50))&lt;=Setup!$C$16),OR(MONTH(WORKDAY(O230,-(Setup!$C$13+Setup!$G$33),Setup!$C$39:$C$50))&gt;=Setup!$C$15,MONTH(WORKDAY(O230,-(Setup!$C$13+Setup!$G$33),Setup!$C$39:$C$50))&lt;=Setup!$C$16))),WORKDAY(O230,-(Setup!$C$13+Setup!$G$33+Setup!$C$14),Setup!$C$39:$C$50),WORKDAY(O230,-(Setup!$C$13+Setup!$G$33),Setup!$C$39:$C$50))+(225*100+14)/10000000)))</f>
        <v/>
      </c>
      <c r="AF230" t="str">
        <f>IF(P230="","",IF(P230&lt;Setup!$C$5-Setup!$C$6,"",IF(IF(ISNUMBER(Roster!$D230),Setup!$C$34&lt;=Roster!$D230,FALSE),"",IF(OR(IF(Setup!$C$15&lt;=Setup!$C$16,AND(MONTH(P230)&gt;=Setup!$C$15,MONTH(P230)&lt;=Setup!$C$16),OR(MONTH(P230)&gt;=Setup!$C$15,MONTH(P230)&lt;=Setup!$C$16)),IF(Setup!$C$15&lt;=Setup!$C$16,AND(MONTH(WORKDAY(P230,-(Setup!$C$13+Setup!$G$34),Setup!$C$39:$C$50))&gt;=Setup!$C$15,MONTH(WORKDAY(P230,-(Setup!$C$13+Setup!$G$34),Setup!$C$39:$C$50))&lt;=Setup!$C$16),OR(MONTH(WORKDAY(P230,-(Setup!$C$13+Setup!$G$34),Setup!$C$39:$C$50))&gt;=Setup!$C$15,MONTH(WORKDAY(P230,-(Setup!$C$13+Setup!$G$34),Setup!$C$39:$C$50))&lt;=Setup!$C$16))),WORKDAY(P230,-(Setup!$C$13+Setup!$G$34+Setup!$C$14),Setup!$C$39:$C$50),WORKDAY(P230,-(Setup!$C$13+Setup!$G$34),Setup!$C$39:$C$50))+(225*100+15)/10000000)))</f>
        <v/>
      </c>
      <c r="AH230" t="str">
        <f t="shared" si="25"/>
        <v/>
      </c>
      <c r="AI230" t="str">
        <f t="shared" si="26"/>
        <v/>
      </c>
      <c r="AK230" t="str">
        <f ca="1">IF(225&gt;$AK$2,"",SMALL($R$6:$AF$505,225))</f>
        <v/>
      </c>
      <c r="AL230" t="str">
        <f t="shared" ca="1" si="27"/>
        <v/>
      </c>
      <c r="AM230" t="str">
        <f t="shared" ca="1" si="28"/>
        <v/>
      </c>
      <c r="AN230" t="str">
        <f t="shared" ca="1" si="29"/>
        <v/>
      </c>
      <c r="AP230" t="str">
        <f>IF(ISNUMBER(Roster!$B230),MAX(1,YEAR(Setup!$C$5)-YEAR(Roster!$B230)+IF(EDATE(Roster!$B230,12*(YEAR(Setup!$C$5)-YEAR(Roster!$B230)))&lt;Setup!$C$5,1,0)),"")</f>
        <v/>
      </c>
      <c r="AQ230" s="32" t="str">
        <f>IF(AP230="","",EDATE(Roster!$B230,12*AP230))</f>
        <v/>
      </c>
      <c r="AR230" t="str">
        <f>IF(AQ230="","",IF(AQ230&lt;DATE(YEAR(Setup!$C$5)+1,MONTH(Setup!$C$5),DAY(Setup!$C$5)),AQ230+225/1000,""))</f>
        <v/>
      </c>
      <c r="AS230" t="str">
        <f t="shared" si="30"/>
        <v/>
      </c>
      <c r="AT230" t="str">
        <f>IF(AS230="","",IF(ISNUMBER(Roster!$D230),Roster!$D230&gt;=AP230,FALSE))</f>
        <v/>
      </c>
      <c r="AU230" t="str">
        <f t="shared" si="31"/>
        <v/>
      </c>
      <c r="AV230" t="str">
        <f ca="1">IF(225&gt;$AV$2,"",SMALL($AR$6:$AR$505,225))</f>
        <v/>
      </c>
      <c r="AW230" t="str">
        <f t="shared" ca="1" si="32"/>
        <v/>
      </c>
    </row>
    <row r="231" spans="2:49" x14ac:dyDescent="0.2">
      <c r="B231" s="32" t="str">
        <f>IF(AND(ISNUMBER(Roster!$B231),Setup!$B$20="Yes",ISNUMBER(Setup!$C$20)),EDATE(Roster!$B231,12*Setup!$C$20),"")</f>
        <v/>
      </c>
      <c r="C231" s="32" t="str">
        <f>IF(AND(ISNUMBER(Roster!$B231),Setup!$B$21="Yes",ISNUMBER(Setup!$C$21)),EDATE(Roster!$B231,12*Setup!$C$21),"")</f>
        <v/>
      </c>
      <c r="D231" s="32" t="str">
        <f>IF(AND(ISNUMBER(Roster!$B231),Setup!$B$22="Yes",ISNUMBER(Setup!$C$22)),EDATE(Roster!$B231,12*Setup!$C$22),"")</f>
        <v/>
      </c>
      <c r="E231" s="32" t="str">
        <f>IF(AND(ISNUMBER(Roster!$B231),Setup!$B$23="Yes",ISNUMBER(Setup!$C$23)),EDATE(Roster!$B231,12*Setup!$C$23),"")</f>
        <v/>
      </c>
      <c r="F231" s="32" t="str">
        <f>IF(AND(ISNUMBER(Roster!$B231),Setup!$B$24="Yes",ISNUMBER(Setup!$C$24)),EDATE(Roster!$B231,12*Setup!$C$24),"")</f>
        <v/>
      </c>
      <c r="G231" s="32" t="str">
        <f>IF(AND(ISNUMBER(Roster!$B231),Setup!$B$25="Yes",ISNUMBER(Setup!$C$25)),EDATE(Roster!$B231,12*Setup!$C$25),"")</f>
        <v/>
      </c>
      <c r="H231" s="32" t="str">
        <f>IF(AND(ISNUMBER(Roster!$B231),Setup!$B$26="Yes",ISNUMBER(Setup!$C$26)),EDATE(Roster!$B231,12*Setup!$C$26),"")</f>
        <v/>
      </c>
      <c r="I231" s="32" t="str">
        <f>IF(AND(ISNUMBER(Roster!$B231),Setup!$B$27="Yes",ISNUMBER(Setup!$C$27)),EDATE(Roster!$B231,12*Setup!$C$27),"")</f>
        <v/>
      </c>
      <c r="J231" s="32" t="str">
        <f>IF(AND(ISNUMBER(Roster!$B231),Setup!$B$28="Yes",ISNUMBER(Setup!$C$28)),EDATE(Roster!$B231,12*Setup!$C$28),"")</f>
        <v/>
      </c>
      <c r="K231" s="32" t="str">
        <f>IF(AND(ISNUMBER(Roster!$B231),Setup!$B$29="Yes",ISNUMBER(Setup!$C$29)),EDATE(Roster!$B231,12*Setup!$C$29),"")</f>
        <v/>
      </c>
      <c r="L231" s="32" t="str">
        <f>IF(AND(ISNUMBER(Roster!$B231),Setup!$B$30="Yes",ISNUMBER(Setup!$C$30)),EDATE(Roster!$B231,12*Setup!$C$30),"")</f>
        <v/>
      </c>
      <c r="M231" s="32" t="str">
        <f>IF(AND(ISNUMBER(Roster!$B231),Setup!$B$31="Yes",ISNUMBER(Setup!$C$31)),EDATE(Roster!$B231,12*Setup!$C$31),"")</f>
        <v/>
      </c>
      <c r="N231" s="32" t="str">
        <f>IF(AND(ISNUMBER(Roster!$B231),Setup!$B$32="Yes",ISNUMBER(Setup!$C$32)),EDATE(Roster!$B231,12*Setup!$C$32),"")</f>
        <v/>
      </c>
      <c r="O231" s="32" t="str">
        <f>IF(AND(ISNUMBER(Roster!$B231),Setup!$B$33="Yes",ISNUMBER(Setup!$C$33)),EDATE(Roster!$B231,12*Setup!$C$33),"")</f>
        <v/>
      </c>
      <c r="P231" s="32" t="str">
        <f>IF(AND(ISNUMBER(Roster!$B231),Setup!$B$34="Yes",ISNUMBER(Setup!$C$34)),EDATE(Roster!$B231,12*Setup!$C$34),"")</f>
        <v/>
      </c>
      <c r="R231" t="str">
        <f>IF(B231="","",IF(B231&lt;Setup!$C$5-Setup!$C$6,"",IF(IF(ISNUMBER(Roster!$D231),Setup!$C$20&lt;=Roster!$D231,FALSE),"",IF(OR(IF(Setup!$C$15&lt;=Setup!$C$16,AND(MONTH(B231)&gt;=Setup!$C$15,MONTH(B231)&lt;=Setup!$C$16),OR(MONTH(B231)&gt;=Setup!$C$15,MONTH(B231)&lt;=Setup!$C$16)),IF(Setup!$C$15&lt;=Setup!$C$16,AND(MONTH(WORKDAY(B231,-(Setup!$C$13+Setup!$G$20),Setup!$C$39:$C$50))&gt;=Setup!$C$15,MONTH(WORKDAY(B231,-(Setup!$C$13+Setup!$G$20),Setup!$C$39:$C$50))&lt;=Setup!$C$16),OR(MONTH(WORKDAY(B231,-(Setup!$C$13+Setup!$G$20),Setup!$C$39:$C$50))&gt;=Setup!$C$15,MONTH(WORKDAY(B231,-(Setup!$C$13+Setup!$G$20),Setup!$C$39:$C$50))&lt;=Setup!$C$16))),WORKDAY(B231,-(Setup!$C$13+Setup!$G$20+Setup!$C$14),Setup!$C$39:$C$50),WORKDAY(B231,-(Setup!$C$13+Setup!$G$20),Setup!$C$39:$C$50))+(226*100+1)/10000000)))</f>
        <v/>
      </c>
      <c r="S231" t="str">
        <f>IF(C231="","",IF(C231&lt;Setup!$C$5-Setup!$C$6,"",IF(IF(ISNUMBER(Roster!$D231),Setup!$C$21&lt;=Roster!$D231,FALSE),"",IF(OR(IF(Setup!$C$15&lt;=Setup!$C$16,AND(MONTH(C231)&gt;=Setup!$C$15,MONTH(C231)&lt;=Setup!$C$16),OR(MONTH(C231)&gt;=Setup!$C$15,MONTH(C231)&lt;=Setup!$C$16)),IF(Setup!$C$15&lt;=Setup!$C$16,AND(MONTH(WORKDAY(C231,-(Setup!$C$13+Setup!$G$21),Setup!$C$39:$C$50))&gt;=Setup!$C$15,MONTH(WORKDAY(C231,-(Setup!$C$13+Setup!$G$21),Setup!$C$39:$C$50))&lt;=Setup!$C$16),OR(MONTH(WORKDAY(C231,-(Setup!$C$13+Setup!$G$21),Setup!$C$39:$C$50))&gt;=Setup!$C$15,MONTH(WORKDAY(C231,-(Setup!$C$13+Setup!$G$21),Setup!$C$39:$C$50))&lt;=Setup!$C$16))),WORKDAY(C231,-(Setup!$C$13+Setup!$G$21+Setup!$C$14),Setup!$C$39:$C$50),WORKDAY(C231,-(Setup!$C$13+Setup!$G$21),Setup!$C$39:$C$50))+(226*100+2)/10000000)))</f>
        <v/>
      </c>
      <c r="T231" t="str">
        <f>IF(D231="","",IF(D231&lt;Setup!$C$5-Setup!$C$6,"",IF(IF(ISNUMBER(Roster!$D231),Setup!$C$22&lt;=Roster!$D231,FALSE),"",IF(OR(IF(Setup!$C$15&lt;=Setup!$C$16,AND(MONTH(D231)&gt;=Setup!$C$15,MONTH(D231)&lt;=Setup!$C$16),OR(MONTH(D231)&gt;=Setup!$C$15,MONTH(D231)&lt;=Setup!$C$16)),IF(Setup!$C$15&lt;=Setup!$C$16,AND(MONTH(WORKDAY(D231,-(Setup!$C$13+Setup!$G$22),Setup!$C$39:$C$50))&gt;=Setup!$C$15,MONTH(WORKDAY(D231,-(Setup!$C$13+Setup!$G$22),Setup!$C$39:$C$50))&lt;=Setup!$C$16),OR(MONTH(WORKDAY(D231,-(Setup!$C$13+Setup!$G$22),Setup!$C$39:$C$50))&gt;=Setup!$C$15,MONTH(WORKDAY(D231,-(Setup!$C$13+Setup!$G$22),Setup!$C$39:$C$50))&lt;=Setup!$C$16))),WORKDAY(D231,-(Setup!$C$13+Setup!$G$22+Setup!$C$14),Setup!$C$39:$C$50),WORKDAY(D231,-(Setup!$C$13+Setup!$G$22),Setup!$C$39:$C$50))+(226*100+3)/10000000)))</f>
        <v/>
      </c>
      <c r="U231" t="str">
        <f>IF(E231="","",IF(E231&lt;Setup!$C$5-Setup!$C$6,"",IF(IF(ISNUMBER(Roster!$D231),Setup!$C$23&lt;=Roster!$D231,FALSE),"",IF(OR(IF(Setup!$C$15&lt;=Setup!$C$16,AND(MONTH(E231)&gt;=Setup!$C$15,MONTH(E231)&lt;=Setup!$C$16),OR(MONTH(E231)&gt;=Setup!$C$15,MONTH(E231)&lt;=Setup!$C$16)),IF(Setup!$C$15&lt;=Setup!$C$16,AND(MONTH(WORKDAY(E231,-(Setup!$C$13+Setup!$G$23),Setup!$C$39:$C$50))&gt;=Setup!$C$15,MONTH(WORKDAY(E231,-(Setup!$C$13+Setup!$G$23),Setup!$C$39:$C$50))&lt;=Setup!$C$16),OR(MONTH(WORKDAY(E231,-(Setup!$C$13+Setup!$G$23),Setup!$C$39:$C$50))&gt;=Setup!$C$15,MONTH(WORKDAY(E231,-(Setup!$C$13+Setup!$G$23),Setup!$C$39:$C$50))&lt;=Setup!$C$16))),WORKDAY(E231,-(Setup!$C$13+Setup!$G$23+Setup!$C$14),Setup!$C$39:$C$50),WORKDAY(E231,-(Setup!$C$13+Setup!$G$23),Setup!$C$39:$C$50))+(226*100+4)/10000000)))</f>
        <v/>
      </c>
      <c r="V231" t="str">
        <f>IF(F231="","",IF(F231&lt;Setup!$C$5-Setup!$C$6,"",IF(IF(ISNUMBER(Roster!$D231),Setup!$C$24&lt;=Roster!$D231,FALSE),"",IF(OR(IF(Setup!$C$15&lt;=Setup!$C$16,AND(MONTH(F231)&gt;=Setup!$C$15,MONTH(F231)&lt;=Setup!$C$16),OR(MONTH(F231)&gt;=Setup!$C$15,MONTH(F231)&lt;=Setup!$C$16)),IF(Setup!$C$15&lt;=Setup!$C$16,AND(MONTH(WORKDAY(F231,-(Setup!$C$13+Setup!$G$24),Setup!$C$39:$C$50))&gt;=Setup!$C$15,MONTH(WORKDAY(F231,-(Setup!$C$13+Setup!$G$24),Setup!$C$39:$C$50))&lt;=Setup!$C$16),OR(MONTH(WORKDAY(F231,-(Setup!$C$13+Setup!$G$24),Setup!$C$39:$C$50))&gt;=Setup!$C$15,MONTH(WORKDAY(F231,-(Setup!$C$13+Setup!$G$24),Setup!$C$39:$C$50))&lt;=Setup!$C$16))),WORKDAY(F231,-(Setup!$C$13+Setup!$G$24+Setup!$C$14),Setup!$C$39:$C$50),WORKDAY(F231,-(Setup!$C$13+Setup!$G$24),Setup!$C$39:$C$50))+(226*100+5)/10000000)))</f>
        <v/>
      </c>
      <c r="W231" t="str">
        <f>IF(G231="","",IF(G231&lt;Setup!$C$5-Setup!$C$6,"",IF(IF(ISNUMBER(Roster!$D231),Setup!$C$25&lt;=Roster!$D231,FALSE),"",IF(OR(IF(Setup!$C$15&lt;=Setup!$C$16,AND(MONTH(G231)&gt;=Setup!$C$15,MONTH(G231)&lt;=Setup!$C$16),OR(MONTH(G231)&gt;=Setup!$C$15,MONTH(G231)&lt;=Setup!$C$16)),IF(Setup!$C$15&lt;=Setup!$C$16,AND(MONTH(WORKDAY(G231,-(Setup!$C$13+Setup!$G$25),Setup!$C$39:$C$50))&gt;=Setup!$C$15,MONTH(WORKDAY(G231,-(Setup!$C$13+Setup!$G$25),Setup!$C$39:$C$50))&lt;=Setup!$C$16),OR(MONTH(WORKDAY(G231,-(Setup!$C$13+Setup!$G$25),Setup!$C$39:$C$50))&gt;=Setup!$C$15,MONTH(WORKDAY(G231,-(Setup!$C$13+Setup!$G$25),Setup!$C$39:$C$50))&lt;=Setup!$C$16))),WORKDAY(G231,-(Setup!$C$13+Setup!$G$25+Setup!$C$14),Setup!$C$39:$C$50),WORKDAY(G231,-(Setup!$C$13+Setup!$G$25),Setup!$C$39:$C$50))+(226*100+6)/10000000)))</f>
        <v/>
      </c>
      <c r="X231" t="str">
        <f>IF(H231="","",IF(H231&lt;Setup!$C$5-Setup!$C$6,"",IF(IF(ISNUMBER(Roster!$D231),Setup!$C$26&lt;=Roster!$D231,FALSE),"",IF(OR(IF(Setup!$C$15&lt;=Setup!$C$16,AND(MONTH(H231)&gt;=Setup!$C$15,MONTH(H231)&lt;=Setup!$C$16),OR(MONTH(H231)&gt;=Setup!$C$15,MONTH(H231)&lt;=Setup!$C$16)),IF(Setup!$C$15&lt;=Setup!$C$16,AND(MONTH(WORKDAY(H231,-(Setup!$C$13+Setup!$G$26),Setup!$C$39:$C$50))&gt;=Setup!$C$15,MONTH(WORKDAY(H231,-(Setup!$C$13+Setup!$G$26),Setup!$C$39:$C$50))&lt;=Setup!$C$16),OR(MONTH(WORKDAY(H231,-(Setup!$C$13+Setup!$G$26),Setup!$C$39:$C$50))&gt;=Setup!$C$15,MONTH(WORKDAY(H231,-(Setup!$C$13+Setup!$G$26),Setup!$C$39:$C$50))&lt;=Setup!$C$16))),WORKDAY(H231,-(Setup!$C$13+Setup!$G$26+Setup!$C$14),Setup!$C$39:$C$50),WORKDAY(H231,-(Setup!$C$13+Setup!$G$26),Setup!$C$39:$C$50))+(226*100+7)/10000000)))</f>
        <v/>
      </c>
      <c r="Y231" t="str">
        <f>IF(I231="","",IF(I231&lt;Setup!$C$5-Setup!$C$6,"",IF(IF(ISNUMBER(Roster!$D231),Setup!$C$27&lt;=Roster!$D231,FALSE),"",IF(OR(IF(Setup!$C$15&lt;=Setup!$C$16,AND(MONTH(I231)&gt;=Setup!$C$15,MONTH(I231)&lt;=Setup!$C$16),OR(MONTH(I231)&gt;=Setup!$C$15,MONTH(I231)&lt;=Setup!$C$16)),IF(Setup!$C$15&lt;=Setup!$C$16,AND(MONTH(WORKDAY(I231,-(Setup!$C$13+Setup!$G$27),Setup!$C$39:$C$50))&gt;=Setup!$C$15,MONTH(WORKDAY(I231,-(Setup!$C$13+Setup!$G$27),Setup!$C$39:$C$50))&lt;=Setup!$C$16),OR(MONTH(WORKDAY(I231,-(Setup!$C$13+Setup!$G$27),Setup!$C$39:$C$50))&gt;=Setup!$C$15,MONTH(WORKDAY(I231,-(Setup!$C$13+Setup!$G$27),Setup!$C$39:$C$50))&lt;=Setup!$C$16))),WORKDAY(I231,-(Setup!$C$13+Setup!$G$27+Setup!$C$14),Setup!$C$39:$C$50),WORKDAY(I231,-(Setup!$C$13+Setup!$G$27),Setup!$C$39:$C$50))+(226*100+8)/10000000)))</f>
        <v/>
      </c>
      <c r="Z231" t="str">
        <f>IF(J231="","",IF(J231&lt;Setup!$C$5-Setup!$C$6,"",IF(IF(ISNUMBER(Roster!$D231),Setup!$C$28&lt;=Roster!$D231,FALSE),"",IF(OR(IF(Setup!$C$15&lt;=Setup!$C$16,AND(MONTH(J231)&gt;=Setup!$C$15,MONTH(J231)&lt;=Setup!$C$16),OR(MONTH(J231)&gt;=Setup!$C$15,MONTH(J231)&lt;=Setup!$C$16)),IF(Setup!$C$15&lt;=Setup!$C$16,AND(MONTH(WORKDAY(J231,-(Setup!$C$13+Setup!$G$28),Setup!$C$39:$C$50))&gt;=Setup!$C$15,MONTH(WORKDAY(J231,-(Setup!$C$13+Setup!$G$28),Setup!$C$39:$C$50))&lt;=Setup!$C$16),OR(MONTH(WORKDAY(J231,-(Setup!$C$13+Setup!$G$28),Setup!$C$39:$C$50))&gt;=Setup!$C$15,MONTH(WORKDAY(J231,-(Setup!$C$13+Setup!$G$28),Setup!$C$39:$C$50))&lt;=Setup!$C$16))),WORKDAY(J231,-(Setup!$C$13+Setup!$G$28+Setup!$C$14),Setup!$C$39:$C$50),WORKDAY(J231,-(Setup!$C$13+Setup!$G$28),Setup!$C$39:$C$50))+(226*100+9)/10000000)))</f>
        <v/>
      </c>
      <c r="AA231" t="str">
        <f>IF(K231="","",IF(K231&lt;Setup!$C$5-Setup!$C$6,"",IF(IF(ISNUMBER(Roster!$D231),Setup!$C$29&lt;=Roster!$D231,FALSE),"",IF(OR(IF(Setup!$C$15&lt;=Setup!$C$16,AND(MONTH(K231)&gt;=Setup!$C$15,MONTH(K231)&lt;=Setup!$C$16),OR(MONTH(K231)&gt;=Setup!$C$15,MONTH(K231)&lt;=Setup!$C$16)),IF(Setup!$C$15&lt;=Setup!$C$16,AND(MONTH(WORKDAY(K231,-(Setup!$C$13+Setup!$G$29),Setup!$C$39:$C$50))&gt;=Setup!$C$15,MONTH(WORKDAY(K231,-(Setup!$C$13+Setup!$G$29),Setup!$C$39:$C$50))&lt;=Setup!$C$16),OR(MONTH(WORKDAY(K231,-(Setup!$C$13+Setup!$G$29),Setup!$C$39:$C$50))&gt;=Setup!$C$15,MONTH(WORKDAY(K231,-(Setup!$C$13+Setup!$G$29),Setup!$C$39:$C$50))&lt;=Setup!$C$16))),WORKDAY(K231,-(Setup!$C$13+Setup!$G$29+Setup!$C$14),Setup!$C$39:$C$50),WORKDAY(K231,-(Setup!$C$13+Setup!$G$29),Setup!$C$39:$C$50))+(226*100+10)/10000000)))</f>
        <v/>
      </c>
      <c r="AB231" t="str">
        <f>IF(L231="","",IF(L231&lt;Setup!$C$5-Setup!$C$6,"",IF(IF(ISNUMBER(Roster!$D231),Setup!$C$30&lt;=Roster!$D231,FALSE),"",IF(OR(IF(Setup!$C$15&lt;=Setup!$C$16,AND(MONTH(L231)&gt;=Setup!$C$15,MONTH(L231)&lt;=Setup!$C$16),OR(MONTH(L231)&gt;=Setup!$C$15,MONTH(L231)&lt;=Setup!$C$16)),IF(Setup!$C$15&lt;=Setup!$C$16,AND(MONTH(WORKDAY(L231,-(Setup!$C$13+Setup!$G$30),Setup!$C$39:$C$50))&gt;=Setup!$C$15,MONTH(WORKDAY(L231,-(Setup!$C$13+Setup!$G$30),Setup!$C$39:$C$50))&lt;=Setup!$C$16),OR(MONTH(WORKDAY(L231,-(Setup!$C$13+Setup!$G$30),Setup!$C$39:$C$50))&gt;=Setup!$C$15,MONTH(WORKDAY(L231,-(Setup!$C$13+Setup!$G$30),Setup!$C$39:$C$50))&lt;=Setup!$C$16))),WORKDAY(L231,-(Setup!$C$13+Setup!$G$30+Setup!$C$14),Setup!$C$39:$C$50),WORKDAY(L231,-(Setup!$C$13+Setup!$G$30),Setup!$C$39:$C$50))+(226*100+11)/10000000)))</f>
        <v/>
      </c>
      <c r="AC231" t="str">
        <f>IF(M231="","",IF(M231&lt;Setup!$C$5-Setup!$C$6,"",IF(IF(ISNUMBER(Roster!$D231),Setup!$C$31&lt;=Roster!$D231,FALSE),"",IF(OR(IF(Setup!$C$15&lt;=Setup!$C$16,AND(MONTH(M231)&gt;=Setup!$C$15,MONTH(M231)&lt;=Setup!$C$16),OR(MONTH(M231)&gt;=Setup!$C$15,MONTH(M231)&lt;=Setup!$C$16)),IF(Setup!$C$15&lt;=Setup!$C$16,AND(MONTH(WORKDAY(M231,-(Setup!$C$13+Setup!$G$31),Setup!$C$39:$C$50))&gt;=Setup!$C$15,MONTH(WORKDAY(M231,-(Setup!$C$13+Setup!$G$31),Setup!$C$39:$C$50))&lt;=Setup!$C$16),OR(MONTH(WORKDAY(M231,-(Setup!$C$13+Setup!$G$31),Setup!$C$39:$C$50))&gt;=Setup!$C$15,MONTH(WORKDAY(M231,-(Setup!$C$13+Setup!$G$31),Setup!$C$39:$C$50))&lt;=Setup!$C$16))),WORKDAY(M231,-(Setup!$C$13+Setup!$G$31+Setup!$C$14),Setup!$C$39:$C$50),WORKDAY(M231,-(Setup!$C$13+Setup!$G$31),Setup!$C$39:$C$50))+(226*100+12)/10000000)))</f>
        <v/>
      </c>
      <c r="AD231" t="str">
        <f>IF(N231="","",IF(N231&lt;Setup!$C$5-Setup!$C$6,"",IF(IF(ISNUMBER(Roster!$D231),Setup!$C$32&lt;=Roster!$D231,FALSE),"",IF(OR(IF(Setup!$C$15&lt;=Setup!$C$16,AND(MONTH(N231)&gt;=Setup!$C$15,MONTH(N231)&lt;=Setup!$C$16),OR(MONTH(N231)&gt;=Setup!$C$15,MONTH(N231)&lt;=Setup!$C$16)),IF(Setup!$C$15&lt;=Setup!$C$16,AND(MONTH(WORKDAY(N231,-(Setup!$C$13+Setup!$G$32),Setup!$C$39:$C$50))&gt;=Setup!$C$15,MONTH(WORKDAY(N231,-(Setup!$C$13+Setup!$G$32),Setup!$C$39:$C$50))&lt;=Setup!$C$16),OR(MONTH(WORKDAY(N231,-(Setup!$C$13+Setup!$G$32),Setup!$C$39:$C$50))&gt;=Setup!$C$15,MONTH(WORKDAY(N231,-(Setup!$C$13+Setup!$G$32),Setup!$C$39:$C$50))&lt;=Setup!$C$16))),WORKDAY(N231,-(Setup!$C$13+Setup!$G$32+Setup!$C$14),Setup!$C$39:$C$50),WORKDAY(N231,-(Setup!$C$13+Setup!$G$32),Setup!$C$39:$C$50))+(226*100+13)/10000000)))</f>
        <v/>
      </c>
      <c r="AE231" t="str">
        <f>IF(O231="","",IF(O231&lt;Setup!$C$5-Setup!$C$6,"",IF(IF(ISNUMBER(Roster!$D231),Setup!$C$33&lt;=Roster!$D231,FALSE),"",IF(OR(IF(Setup!$C$15&lt;=Setup!$C$16,AND(MONTH(O231)&gt;=Setup!$C$15,MONTH(O231)&lt;=Setup!$C$16),OR(MONTH(O231)&gt;=Setup!$C$15,MONTH(O231)&lt;=Setup!$C$16)),IF(Setup!$C$15&lt;=Setup!$C$16,AND(MONTH(WORKDAY(O231,-(Setup!$C$13+Setup!$G$33),Setup!$C$39:$C$50))&gt;=Setup!$C$15,MONTH(WORKDAY(O231,-(Setup!$C$13+Setup!$G$33),Setup!$C$39:$C$50))&lt;=Setup!$C$16),OR(MONTH(WORKDAY(O231,-(Setup!$C$13+Setup!$G$33),Setup!$C$39:$C$50))&gt;=Setup!$C$15,MONTH(WORKDAY(O231,-(Setup!$C$13+Setup!$G$33),Setup!$C$39:$C$50))&lt;=Setup!$C$16))),WORKDAY(O231,-(Setup!$C$13+Setup!$G$33+Setup!$C$14),Setup!$C$39:$C$50),WORKDAY(O231,-(Setup!$C$13+Setup!$G$33),Setup!$C$39:$C$50))+(226*100+14)/10000000)))</f>
        <v/>
      </c>
      <c r="AF231" t="str">
        <f>IF(P231="","",IF(P231&lt;Setup!$C$5-Setup!$C$6,"",IF(IF(ISNUMBER(Roster!$D231),Setup!$C$34&lt;=Roster!$D231,FALSE),"",IF(OR(IF(Setup!$C$15&lt;=Setup!$C$16,AND(MONTH(P231)&gt;=Setup!$C$15,MONTH(P231)&lt;=Setup!$C$16),OR(MONTH(P231)&gt;=Setup!$C$15,MONTH(P231)&lt;=Setup!$C$16)),IF(Setup!$C$15&lt;=Setup!$C$16,AND(MONTH(WORKDAY(P231,-(Setup!$C$13+Setup!$G$34),Setup!$C$39:$C$50))&gt;=Setup!$C$15,MONTH(WORKDAY(P231,-(Setup!$C$13+Setup!$G$34),Setup!$C$39:$C$50))&lt;=Setup!$C$16),OR(MONTH(WORKDAY(P231,-(Setup!$C$13+Setup!$G$34),Setup!$C$39:$C$50))&gt;=Setup!$C$15,MONTH(WORKDAY(P231,-(Setup!$C$13+Setup!$G$34),Setup!$C$39:$C$50))&lt;=Setup!$C$16))),WORKDAY(P231,-(Setup!$C$13+Setup!$G$34+Setup!$C$14),Setup!$C$39:$C$50),WORKDAY(P231,-(Setup!$C$13+Setup!$G$34),Setup!$C$39:$C$50))+(226*100+15)/10000000)))</f>
        <v/>
      </c>
      <c r="AH231" t="str">
        <f t="shared" si="25"/>
        <v/>
      </c>
      <c r="AI231" t="str">
        <f t="shared" si="26"/>
        <v/>
      </c>
      <c r="AK231" t="str">
        <f ca="1">IF(226&gt;$AK$2,"",SMALL($R$6:$AF$505,226))</f>
        <v/>
      </c>
      <c r="AL231" t="str">
        <f t="shared" ca="1" si="27"/>
        <v/>
      </c>
      <c r="AM231" t="str">
        <f t="shared" ca="1" si="28"/>
        <v/>
      </c>
      <c r="AN231" t="str">
        <f t="shared" ca="1" si="29"/>
        <v/>
      </c>
      <c r="AP231" t="str">
        <f>IF(ISNUMBER(Roster!$B231),MAX(1,YEAR(Setup!$C$5)-YEAR(Roster!$B231)+IF(EDATE(Roster!$B231,12*(YEAR(Setup!$C$5)-YEAR(Roster!$B231)))&lt;Setup!$C$5,1,0)),"")</f>
        <v/>
      </c>
      <c r="AQ231" s="32" t="str">
        <f>IF(AP231="","",EDATE(Roster!$B231,12*AP231))</f>
        <v/>
      </c>
      <c r="AR231" t="str">
        <f>IF(AQ231="","",IF(AQ231&lt;DATE(YEAR(Setup!$C$5)+1,MONTH(Setup!$C$5),DAY(Setup!$C$5)),AQ231+226/1000,""))</f>
        <v/>
      </c>
      <c r="AS231" t="str">
        <f t="shared" si="30"/>
        <v/>
      </c>
      <c r="AT231" t="str">
        <f>IF(AS231="","",IF(ISNUMBER(Roster!$D231),Roster!$D231&gt;=AP231,FALSE))</f>
        <v/>
      </c>
      <c r="AU231" t="str">
        <f t="shared" si="31"/>
        <v/>
      </c>
      <c r="AV231" t="str">
        <f ca="1">IF(226&gt;$AV$2,"",SMALL($AR$6:$AR$505,226))</f>
        <v/>
      </c>
      <c r="AW231" t="str">
        <f t="shared" ca="1" si="32"/>
        <v/>
      </c>
    </row>
    <row r="232" spans="2:49" x14ac:dyDescent="0.2">
      <c r="B232" s="32" t="str">
        <f>IF(AND(ISNUMBER(Roster!$B232),Setup!$B$20="Yes",ISNUMBER(Setup!$C$20)),EDATE(Roster!$B232,12*Setup!$C$20),"")</f>
        <v/>
      </c>
      <c r="C232" s="32" t="str">
        <f>IF(AND(ISNUMBER(Roster!$B232),Setup!$B$21="Yes",ISNUMBER(Setup!$C$21)),EDATE(Roster!$B232,12*Setup!$C$21),"")</f>
        <v/>
      </c>
      <c r="D232" s="32" t="str">
        <f>IF(AND(ISNUMBER(Roster!$B232),Setup!$B$22="Yes",ISNUMBER(Setup!$C$22)),EDATE(Roster!$B232,12*Setup!$C$22),"")</f>
        <v/>
      </c>
      <c r="E232" s="32" t="str">
        <f>IF(AND(ISNUMBER(Roster!$B232),Setup!$B$23="Yes",ISNUMBER(Setup!$C$23)),EDATE(Roster!$B232,12*Setup!$C$23),"")</f>
        <v/>
      </c>
      <c r="F232" s="32" t="str">
        <f>IF(AND(ISNUMBER(Roster!$B232),Setup!$B$24="Yes",ISNUMBER(Setup!$C$24)),EDATE(Roster!$B232,12*Setup!$C$24),"")</f>
        <v/>
      </c>
      <c r="G232" s="32" t="str">
        <f>IF(AND(ISNUMBER(Roster!$B232),Setup!$B$25="Yes",ISNUMBER(Setup!$C$25)),EDATE(Roster!$B232,12*Setup!$C$25),"")</f>
        <v/>
      </c>
      <c r="H232" s="32" t="str">
        <f>IF(AND(ISNUMBER(Roster!$B232),Setup!$B$26="Yes",ISNUMBER(Setup!$C$26)),EDATE(Roster!$B232,12*Setup!$C$26),"")</f>
        <v/>
      </c>
      <c r="I232" s="32" t="str">
        <f>IF(AND(ISNUMBER(Roster!$B232),Setup!$B$27="Yes",ISNUMBER(Setup!$C$27)),EDATE(Roster!$B232,12*Setup!$C$27),"")</f>
        <v/>
      </c>
      <c r="J232" s="32" t="str">
        <f>IF(AND(ISNUMBER(Roster!$B232),Setup!$B$28="Yes",ISNUMBER(Setup!$C$28)),EDATE(Roster!$B232,12*Setup!$C$28),"")</f>
        <v/>
      </c>
      <c r="K232" s="32" t="str">
        <f>IF(AND(ISNUMBER(Roster!$B232),Setup!$B$29="Yes",ISNUMBER(Setup!$C$29)),EDATE(Roster!$B232,12*Setup!$C$29),"")</f>
        <v/>
      </c>
      <c r="L232" s="32" t="str">
        <f>IF(AND(ISNUMBER(Roster!$B232),Setup!$B$30="Yes",ISNUMBER(Setup!$C$30)),EDATE(Roster!$B232,12*Setup!$C$30),"")</f>
        <v/>
      </c>
      <c r="M232" s="32" t="str">
        <f>IF(AND(ISNUMBER(Roster!$B232),Setup!$B$31="Yes",ISNUMBER(Setup!$C$31)),EDATE(Roster!$B232,12*Setup!$C$31),"")</f>
        <v/>
      </c>
      <c r="N232" s="32" t="str">
        <f>IF(AND(ISNUMBER(Roster!$B232),Setup!$B$32="Yes",ISNUMBER(Setup!$C$32)),EDATE(Roster!$B232,12*Setup!$C$32),"")</f>
        <v/>
      </c>
      <c r="O232" s="32" t="str">
        <f>IF(AND(ISNUMBER(Roster!$B232),Setup!$B$33="Yes",ISNUMBER(Setup!$C$33)),EDATE(Roster!$B232,12*Setup!$C$33),"")</f>
        <v/>
      </c>
      <c r="P232" s="32" t="str">
        <f>IF(AND(ISNUMBER(Roster!$B232),Setup!$B$34="Yes",ISNUMBER(Setup!$C$34)),EDATE(Roster!$B232,12*Setup!$C$34),"")</f>
        <v/>
      </c>
      <c r="R232" t="str">
        <f>IF(B232="","",IF(B232&lt;Setup!$C$5-Setup!$C$6,"",IF(IF(ISNUMBER(Roster!$D232),Setup!$C$20&lt;=Roster!$D232,FALSE),"",IF(OR(IF(Setup!$C$15&lt;=Setup!$C$16,AND(MONTH(B232)&gt;=Setup!$C$15,MONTH(B232)&lt;=Setup!$C$16),OR(MONTH(B232)&gt;=Setup!$C$15,MONTH(B232)&lt;=Setup!$C$16)),IF(Setup!$C$15&lt;=Setup!$C$16,AND(MONTH(WORKDAY(B232,-(Setup!$C$13+Setup!$G$20),Setup!$C$39:$C$50))&gt;=Setup!$C$15,MONTH(WORKDAY(B232,-(Setup!$C$13+Setup!$G$20),Setup!$C$39:$C$50))&lt;=Setup!$C$16),OR(MONTH(WORKDAY(B232,-(Setup!$C$13+Setup!$G$20),Setup!$C$39:$C$50))&gt;=Setup!$C$15,MONTH(WORKDAY(B232,-(Setup!$C$13+Setup!$G$20),Setup!$C$39:$C$50))&lt;=Setup!$C$16))),WORKDAY(B232,-(Setup!$C$13+Setup!$G$20+Setup!$C$14),Setup!$C$39:$C$50),WORKDAY(B232,-(Setup!$C$13+Setup!$G$20),Setup!$C$39:$C$50))+(227*100+1)/10000000)))</f>
        <v/>
      </c>
      <c r="S232" t="str">
        <f>IF(C232="","",IF(C232&lt;Setup!$C$5-Setup!$C$6,"",IF(IF(ISNUMBER(Roster!$D232),Setup!$C$21&lt;=Roster!$D232,FALSE),"",IF(OR(IF(Setup!$C$15&lt;=Setup!$C$16,AND(MONTH(C232)&gt;=Setup!$C$15,MONTH(C232)&lt;=Setup!$C$16),OR(MONTH(C232)&gt;=Setup!$C$15,MONTH(C232)&lt;=Setup!$C$16)),IF(Setup!$C$15&lt;=Setup!$C$16,AND(MONTH(WORKDAY(C232,-(Setup!$C$13+Setup!$G$21),Setup!$C$39:$C$50))&gt;=Setup!$C$15,MONTH(WORKDAY(C232,-(Setup!$C$13+Setup!$G$21),Setup!$C$39:$C$50))&lt;=Setup!$C$16),OR(MONTH(WORKDAY(C232,-(Setup!$C$13+Setup!$G$21),Setup!$C$39:$C$50))&gt;=Setup!$C$15,MONTH(WORKDAY(C232,-(Setup!$C$13+Setup!$G$21),Setup!$C$39:$C$50))&lt;=Setup!$C$16))),WORKDAY(C232,-(Setup!$C$13+Setup!$G$21+Setup!$C$14),Setup!$C$39:$C$50),WORKDAY(C232,-(Setup!$C$13+Setup!$G$21),Setup!$C$39:$C$50))+(227*100+2)/10000000)))</f>
        <v/>
      </c>
      <c r="T232" t="str">
        <f>IF(D232="","",IF(D232&lt;Setup!$C$5-Setup!$C$6,"",IF(IF(ISNUMBER(Roster!$D232),Setup!$C$22&lt;=Roster!$D232,FALSE),"",IF(OR(IF(Setup!$C$15&lt;=Setup!$C$16,AND(MONTH(D232)&gt;=Setup!$C$15,MONTH(D232)&lt;=Setup!$C$16),OR(MONTH(D232)&gt;=Setup!$C$15,MONTH(D232)&lt;=Setup!$C$16)),IF(Setup!$C$15&lt;=Setup!$C$16,AND(MONTH(WORKDAY(D232,-(Setup!$C$13+Setup!$G$22),Setup!$C$39:$C$50))&gt;=Setup!$C$15,MONTH(WORKDAY(D232,-(Setup!$C$13+Setup!$G$22),Setup!$C$39:$C$50))&lt;=Setup!$C$16),OR(MONTH(WORKDAY(D232,-(Setup!$C$13+Setup!$G$22),Setup!$C$39:$C$50))&gt;=Setup!$C$15,MONTH(WORKDAY(D232,-(Setup!$C$13+Setup!$G$22),Setup!$C$39:$C$50))&lt;=Setup!$C$16))),WORKDAY(D232,-(Setup!$C$13+Setup!$G$22+Setup!$C$14),Setup!$C$39:$C$50),WORKDAY(D232,-(Setup!$C$13+Setup!$G$22),Setup!$C$39:$C$50))+(227*100+3)/10000000)))</f>
        <v/>
      </c>
      <c r="U232" t="str">
        <f>IF(E232="","",IF(E232&lt;Setup!$C$5-Setup!$C$6,"",IF(IF(ISNUMBER(Roster!$D232),Setup!$C$23&lt;=Roster!$D232,FALSE),"",IF(OR(IF(Setup!$C$15&lt;=Setup!$C$16,AND(MONTH(E232)&gt;=Setup!$C$15,MONTH(E232)&lt;=Setup!$C$16),OR(MONTH(E232)&gt;=Setup!$C$15,MONTH(E232)&lt;=Setup!$C$16)),IF(Setup!$C$15&lt;=Setup!$C$16,AND(MONTH(WORKDAY(E232,-(Setup!$C$13+Setup!$G$23),Setup!$C$39:$C$50))&gt;=Setup!$C$15,MONTH(WORKDAY(E232,-(Setup!$C$13+Setup!$G$23),Setup!$C$39:$C$50))&lt;=Setup!$C$16),OR(MONTH(WORKDAY(E232,-(Setup!$C$13+Setup!$G$23),Setup!$C$39:$C$50))&gt;=Setup!$C$15,MONTH(WORKDAY(E232,-(Setup!$C$13+Setup!$G$23),Setup!$C$39:$C$50))&lt;=Setup!$C$16))),WORKDAY(E232,-(Setup!$C$13+Setup!$G$23+Setup!$C$14),Setup!$C$39:$C$50),WORKDAY(E232,-(Setup!$C$13+Setup!$G$23),Setup!$C$39:$C$50))+(227*100+4)/10000000)))</f>
        <v/>
      </c>
      <c r="V232" t="str">
        <f>IF(F232="","",IF(F232&lt;Setup!$C$5-Setup!$C$6,"",IF(IF(ISNUMBER(Roster!$D232),Setup!$C$24&lt;=Roster!$D232,FALSE),"",IF(OR(IF(Setup!$C$15&lt;=Setup!$C$16,AND(MONTH(F232)&gt;=Setup!$C$15,MONTH(F232)&lt;=Setup!$C$16),OR(MONTH(F232)&gt;=Setup!$C$15,MONTH(F232)&lt;=Setup!$C$16)),IF(Setup!$C$15&lt;=Setup!$C$16,AND(MONTH(WORKDAY(F232,-(Setup!$C$13+Setup!$G$24),Setup!$C$39:$C$50))&gt;=Setup!$C$15,MONTH(WORKDAY(F232,-(Setup!$C$13+Setup!$G$24),Setup!$C$39:$C$50))&lt;=Setup!$C$16),OR(MONTH(WORKDAY(F232,-(Setup!$C$13+Setup!$G$24),Setup!$C$39:$C$50))&gt;=Setup!$C$15,MONTH(WORKDAY(F232,-(Setup!$C$13+Setup!$G$24),Setup!$C$39:$C$50))&lt;=Setup!$C$16))),WORKDAY(F232,-(Setup!$C$13+Setup!$G$24+Setup!$C$14),Setup!$C$39:$C$50),WORKDAY(F232,-(Setup!$C$13+Setup!$G$24),Setup!$C$39:$C$50))+(227*100+5)/10000000)))</f>
        <v/>
      </c>
      <c r="W232" t="str">
        <f>IF(G232="","",IF(G232&lt;Setup!$C$5-Setup!$C$6,"",IF(IF(ISNUMBER(Roster!$D232),Setup!$C$25&lt;=Roster!$D232,FALSE),"",IF(OR(IF(Setup!$C$15&lt;=Setup!$C$16,AND(MONTH(G232)&gt;=Setup!$C$15,MONTH(G232)&lt;=Setup!$C$16),OR(MONTH(G232)&gt;=Setup!$C$15,MONTH(G232)&lt;=Setup!$C$16)),IF(Setup!$C$15&lt;=Setup!$C$16,AND(MONTH(WORKDAY(G232,-(Setup!$C$13+Setup!$G$25),Setup!$C$39:$C$50))&gt;=Setup!$C$15,MONTH(WORKDAY(G232,-(Setup!$C$13+Setup!$G$25),Setup!$C$39:$C$50))&lt;=Setup!$C$16),OR(MONTH(WORKDAY(G232,-(Setup!$C$13+Setup!$G$25),Setup!$C$39:$C$50))&gt;=Setup!$C$15,MONTH(WORKDAY(G232,-(Setup!$C$13+Setup!$G$25),Setup!$C$39:$C$50))&lt;=Setup!$C$16))),WORKDAY(G232,-(Setup!$C$13+Setup!$G$25+Setup!$C$14),Setup!$C$39:$C$50),WORKDAY(G232,-(Setup!$C$13+Setup!$G$25),Setup!$C$39:$C$50))+(227*100+6)/10000000)))</f>
        <v/>
      </c>
      <c r="X232" t="str">
        <f>IF(H232="","",IF(H232&lt;Setup!$C$5-Setup!$C$6,"",IF(IF(ISNUMBER(Roster!$D232),Setup!$C$26&lt;=Roster!$D232,FALSE),"",IF(OR(IF(Setup!$C$15&lt;=Setup!$C$16,AND(MONTH(H232)&gt;=Setup!$C$15,MONTH(H232)&lt;=Setup!$C$16),OR(MONTH(H232)&gt;=Setup!$C$15,MONTH(H232)&lt;=Setup!$C$16)),IF(Setup!$C$15&lt;=Setup!$C$16,AND(MONTH(WORKDAY(H232,-(Setup!$C$13+Setup!$G$26),Setup!$C$39:$C$50))&gt;=Setup!$C$15,MONTH(WORKDAY(H232,-(Setup!$C$13+Setup!$G$26),Setup!$C$39:$C$50))&lt;=Setup!$C$16),OR(MONTH(WORKDAY(H232,-(Setup!$C$13+Setup!$G$26),Setup!$C$39:$C$50))&gt;=Setup!$C$15,MONTH(WORKDAY(H232,-(Setup!$C$13+Setup!$G$26),Setup!$C$39:$C$50))&lt;=Setup!$C$16))),WORKDAY(H232,-(Setup!$C$13+Setup!$G$26+Setup!$C$14),Setup!$C$39:$C$50),WORKDAY(H232,-(Setup!$C$13+Setup!$G$26),Setup!$C$39:$C$50))+(227*100+7)/10000000)))</f>
        <v/>
      </c>
      <c r="Y232" t="str">
        <f>IF(I232="","",IF(I232&lt;Setup!$C$5-Setup!$C$6,"",IF(IF(ISNUMBER(Roster!$D232),Setup!$C$27&lt;=Roster!$D232,FALSE),"",IF(OR(IF(Setup!$C$15&lt;=Setup!$C$16,AND(MONTH(I232)&gt;=Setup!$C$15,MONTH(I232)&lt;=Setup!$C$16),OR(MONTH(I232)&gt;=Setup!$C$15,MONTH(I232)&lt;=Setup!$C$16)),IF(Setup!$C$15&lt;=Setup!$C$16,AND(MONTH(WORKDAY(I232,-(Setup!$C$13+Setup!$G$27),Setup!$C$39:$C$50))&gt;=Setup!$C$15,MONTH(WORKDAY(I232,-(Setup!$C$13+Setup!$G$27),Setup!$C$39:$C$50))&lt;=Setup!$C$16),OR(MONTH(WORKDAY(I232,-(Setup!$C$13+Setup!$G$27),Setup!$C$39:$C$50))&gt;=Setup!$C$15,MONTH(WORKDAY(I232,-(Setup!$C$13+Setup!$G$27),Setup!$C$39:$C$50))&lt;=Setup!$C$16))),WORKDAY(I232,-(Setup!$C$13+Setup!$G$27+Setup!$C$14),Setup!$C$39:$C$50),WORKDAY(I232,-(Setup!$C$13+Setup!$G$27),Setup!$C$39:$C$50))+(227*100+8)/10000000)))</f>
        <v/>
      </c>
      <c r="Z232" t="str">
        <f>IF(J232="","",IF(J232&lt;Setup!$C$5-Setup!$C$6,"",IF(IF(ISNUMBER(Roster!$D232),Setup!$C$28&lt;=Roster!$D232,FALSE),"",IF(OR(IF(Setup!$C$15&lt;=Setup!$C$16,AND(MONTH(J232)&gt;=Setup!$C$15,MONTH(J232)&lt;=Setup!$C$16),OR(MONTH(J232)&gt;=Setup!$C$15,MONTH(J232)&lt;=Setup!$C$16)),IF(Setup!$C$15&lt;=Setup!$C$16,AND(MONTH(WORKDAY(J232,-(Setup!$C$13+Setup!$G$28),Setup!$C$39:$C$50))&gt;=Setup!$C$15,MONTH(WORKDAY(J232,-(Setup!$C$13+Setup!$G$28),Setup!$C$39:$C$50))&lt;=Setup!$C$16),OR(MONTH(WORKDAY(J232,-(Setup!$C$13+Setup!$G$28),Setup!$C$39:$C$50))&gt;=Setup!$C$15,MONTH(WORKDAY(J232,-(Setup!$C$13+Setup!$G$28),Setup!$C$39:$C$50))&lt;=Setup!$C$16))),WORKDAY(J232,-(Setup!$C$13+Setup!$G$28+Setup!$C$14),Setup!$C$39:$C$50),WORKDAY(J232,-(Setup!$C$13+Setup!$G$28),Setup!$C$39:$C$50))+(227*100+9)/10000000)))</f>
        <v/>
      </c>
      <c r="AA232" t="str">
        <f>IF(K232="","",IF(K232&lt;Setup!$C$5-Setup!$C$6,"",IF(IF(ISNUMBER(Roster!$D232),Setup!$C$29&lt;=Roster!$D232,FALSE),"",IF(OR(IF(Setup!$C$15&lt;=Setup!$C$16,AND(MONTH(K232)&gt;=Setup!$C$15,MONTH(K232)&lt;=Setup!$C$16),OR(MONTH(K232)&gt;=Setup!$C$15,MONTH(K232)&lt;=Setup!$C$16)),IF(Setup!$C$15&lt;=Setup!$C$16,AND(MONTH(WORKDAY(K232,-(Setup!$C$13+Setup!$G$29),Setup!$C$39:$C$50))&gt;=Setup!$C$15,MONTH(WORKDAY(K232,-(Setup!$C$13+Setup!$G$29),Setup!$C$39:$C$50))&lt;=Setup!$C$16),OR(MONTH(WORKDAY(K232,-(Setup!$C$13+Setup!$G$29),Setup!$C$39:$C$50))&gt;=Setup!$C$15,MONTH(WORKDAY(K232,-(Setup!$C$13+Setup!$G$29),Setup!$C$39:$C$50))&lt;=Setup!$C$16))),WORKDAY(K232,-(Setup!$C$13+Setup!$G$29+Setup!$C$14),Setup!$C$39:$C$50),WORKDAY(K232,-(Setup!$C$13+Setup!$G$29),Setup!$C$39:$C$50))+(227*100+10)/10000000)))</f>
        <v/>
      </c>
      <c r="AB232" t="str">
        <f>IF(L232="","",IF(L232&lt;Setup!$C$5-Setup!$C$6,"",IF(IF(ISNUMBER(Roster!$D232),Setup!$C$30&lt;=Roster!$D232,FALSE),"",IF(OR(IF(Setup!$C$15&lt;=Setup!$C$16,AND(MONTH(L232)&gt;=Setup!$C$15,MONTH(L232)&lt;=Setup!$C$16),OR(MONTH(L232)&gt;=Setup!$C$15,MONTH(L232)&lt;=Setup!$C$16)),IF(Setup!$C$15&lt;=Setup!$C$16,AND(MONTH(WORKDAY(L232,-(Setup!$C$13+Setup!$G$30),Setup!$C$39:$C$50))&gt;=Setup!$C$15,MONTH(WORKDAY(L232,-(Setup!$C$13+Setup!$G$30),Setup!$C$39:$C$50))&lt;=Setup!$C$16),OR(MONTH(WORKDAY(L232,-(Setup!$C$13+Setup!$G$30),Setup!$C$39:$C$50))&gt;=Setup!$C$15,MONTH(WORKDAY(L232,-(Setup!$C$13+Setup!$G$30),Setup!$C$39:$C$50))&lt;=Setup!$C$16))),WORKDAY(L232,-(Setup!$C$13+Setup!$G$30+Setup!$C$14),Setup!$C$39:$C$50),WORKDAY(L232,-(Setup!$C$13+Setup!$G$30),Setup!$C$39:$C$50))+(227*100+11)/10000000)))</f>
        <v/>
      </c>
      <c r="AC232" t="str">
        <f>IF(M232="","",IF(M232&lt;Setup!$C$5-Setup!$C$6,"",IF(IF(ISNUMBER(Roster!$D232),Setup!$C$31&lt;=Roster!$D232,FALSE),"",IF(OR(IF(Setup!$C$15&lt;=Setup!$C$16,AND(MONTH(M232)&gt;=Setup!$C$15,MONTH(M232)&lt;=Setup!$C$16),OR(MONTH(M232)&gt;=Setup!$C$15,MONTH(M232)&lt;=Setup!$C$16)),IF(Setup!$C$15&lt;=Setup!$C$16,AND(MONTH(WORKDAY(M232,-(Setup!$C$13+Setup!$G$31),Setup!$C$39:$C$50))&gt;=Setup!$C$15,MONTH(WORKDAY(M232,-(Setup!$C$13+Setup!$G$31),Setup!$C$39:$C$50))&lt;=Setup!$C$16),OR(MONTH(WORKDAY(M232,-(Setup!$C$13+Setup!$G$31),Setup!$C$39:$C$50))&gt;=Setup!$C$15,MONTH(WORKDAY(M232,-(Setup!$C$13+Setup!$G$31),Setup!$C$39:$C$50))&lt;=Setup!$C$16))),WORKDAY(M232,-(Setup!$C$13+Setup!$G$31+Setup!$C$14),Setup!$C$39:$C$50),WORKDAY(M232,-(Setup!$C$13+Setup!$G$31),Setup!$C$39:$C$50))+(227*100+12)/10000000)))</f>
        <v/>
      </c>
      <c r="AD232" t="str">
        <f>IF(N232="","",IF(N232&lt;Setup!$C$5-Setup!$C$6,"",IF(IF(ISNUMBER(Roster!$D232),Setup!$C$32&lt;=Roster!$D232,FALSE),"",IF(OR(IF(Setup!$C$15&lt;=Setup!$C$16,AND(MONTH(N232)&gt;=Setup!$C$15,MONTH(N232)&lt;=Setup!$C$16),OR(MONTH(N232)&gt;=Setup!$C$15,MONTH(N232)&lt;=Setup!$C$16)),IF(Setup!$C$15&lt;=Setup!$C$16,AND(MONTH(WORKDAY(N232,-(Setup!$C$13+Setup!$G$32),Setup!$C$39:$C$50))&gt;=Setup!$C$15,MONTH(WORKDAY(N232,-(Setup!$C$13+Setup!$G$32),Setup!$C$39:$C$50))&lt;=Setup!$C$16),OR(MONTH(WORKDAY(N232,-(Setup!$C$13+Setup!$G$32),Setup!$C$39:$C$50))&gt;=Setup!$C$15,MONTH(WORKDAY(N232,-(Setup!$C$13+Setup!$G$32),Setup!$C$39:$C$50))&lt;=Setup!$C$16))),WORKDAY(N232,-(Setup!$C$13+Setup!$G$32+Setup!$C$14),Setup!$C$39:$C$50),WORKDAY(N232,-(Setup!$C$13+Setup!$G$32),Setup!$C$39:$C$50))+(227*100+13)/10000000)))</f>
        <v/>
      </c>
      <c r="AE232" t="str">
        <f>IF(O232="","",IF(O232&lt;Setup!$C$5-Setup!$C$6,"",IF(IF(ISNUMBER(Roster!$D232),Setup!$C$33&lt;=Roster!$D232,FALSE),"",IF(OR(IF(Setup!$C$15&lt;=Setup!$C$16,AND(MONTH(O232)&gt;=Setup!$C$15,MONTH(O232)&lt;=Setup!$C$16),OR(MONTH(O232)&gt;=Setup!$C$15,MONTH(O232)&lt;=Setup!$C$16)),IF(Setup!$C$15&lt;=Setup!$C$16,AND(MONTH(WORKDAY(O232,-(Setup!$C$13+Setup!$G$33),Setup!$C$39:$C$50))&gt;=Setup!$C$15,MONTH(WORKDAY(O232,-(Setup!$C$13+Setup!$G$33),Setup!$C$39:$C$50))&lt;=Setup!$C$16),OR(MONTH(WORKDAY(O232,-(Setup!$C$13+Setup!$G$33),Setup!$C$39:$C$50))&gt;=Setup!$C$15,MONTH(WORKDAY(O232,-(Setup!$C$13+Setup!$G$33),Setup!$C$39:$C$50))&lt;=Setup!$C$16))),WORKDAY(O232,-(Setup!$C$13+Setup!$G$33+Setup!$C$14),Setup!$C$39:$C$50),WORKDAY(O232,-(Setup!$C$13+Setup!$G$33),Setup!$C$39:$C$50))+(227*100+14)/10000000)))</f>
        <v/>
      </c>
      <c r="AF232" t="str">
        <f>IF(P232="","",IF(P232&lt;Setup!$C$5-Setup!$C$6,"",IF(IF(ISNUMBER(Roster!$D232),Setup!$C$34&lt;=Roster!$D232,FALSE),"",IF(OR(IF(Setup!$C$15&lt;=Setup!$C$16,AND(MONTH(P232)&gt;=Setup!$C$15,MONTH(P232)&lt;=Setup!$C$16),OR(MONTH(P232)&gt;=Setup!$C$15,MONTH(P232)&lt;=Setup!$C$16)),IF(Setup!$C$15&lt;=Setup!$C$16,AND(MONTH(WORKDAY(P232,-(Setup!$C$13+Setup!$G$34),Setup!$C$39:$C$50))&gt;=Setup!$C$15,MONTH(WORKDAY(P232,-(Setup!$C$13+Setup!$G$34),Setup!$C$39:$C$50))&lt;=Setup!$C$16),OR(MONTH(WORKDAY(P232,-(Setup!$C$13+Setup!$G$34),Setup!$C$39:$C$50))&gt;=Setup!$C$15,MONTH(WORKDAY(P232,-(Setup!$C$13+Setup!$G$34),Setup!$C$39:$C$50))&lt;=Setup!$C$16))),WORKDAY(P232,-(Setup!$C$13+Setup!$G$34+Setup!$C$14),Setup!$C$39:$C$50),WORKDAY(P232,-(Setup!$C$13+Setup!$G$34),Setup!$C$39:$C$50))+(227*100+15)/10000000)))</f>
        <v/>
      </c>
      <c r="AH232" t="str">
        <f t="shared" si="25"/>
        <v/>
      </c>
      <c r="AI232" t="str">
        <f t="shared" si="26"/>
        <v/>
      </c>
      <c r="AK232" t="str">
        <f ca="1">IF(227&gt;$AK$2,"",SMALL($R$6:$AF$505,227))</f>
        <v/>
      </c>
      <c r="AL232" t="str">
        <f t="shared" ca="1" si="27"/>
        <v/>
      </c>
      <c r="AM232" t="str">
        <f t="shared" ca="1" si="28"/>
        <v/>
      </c>
      <c r="AN232" t="str">
        <f t="shared" ca="1" si="29"/>
        <v/>
      </c>
      <c r="AP232" t="str">
        <f>IF(ISNUMBER(Roster!$B232),MAX(1,YEAR(Setup!$C$5)-YEAR(Roster!$B232)+IF(EDATE(Roster!$B232,12*(YEAR(Setup!$C$5)-YEAR(Roster!$B232)))&lt;Setup!$C$5,1,0)),"")</f>
        <v/>
      </c>
      <c r="AQ232" s="32" t="str">
        <f>IF(AP232="","",EDATE(Roster!$B232,12*AP232))</f>
        <v/>
      </c>
      <c r="AR232" t="str">
        <f>IF(AQ232="","",IF(AQ232&lt;DATE(YEAR(Setup!$C$5)+1,MONTH(Setup!$C$5),DAY(Setup!$C$5)),AQ232+227/1000,""))</f>
        <v/>
      </c>
      <c r="AS232" t="str">
        <f t="shared" si="30"/>
        <v/>
      </c>
      <c r="AT232" t="str">
        <f>IF(AS232="","",IF(ISNUMBER(Roster!$D232),Roster!$D232&gt;=AP232,FALSE))</f>
        <v/>
      </c>
      <c r="AU232" t="str">
        <f t="shared" si="31"/>
        <v/>
      </c>
      <c r="AV232" t="str">
        <f ca="1">IF(227&gt;$AV$2,"",SMALL($AR$6:$AR$505,227))</f>
        <v/>
      </c>
      <c r="AW232" t="str">
        <f t="shared" ca="1" si="32"/>
        <v/>
      </c>
    </row>
    <row r="233" spans="2:49" x14ac:dyDescent="0.2">
      <c r="B233" s="32" t="str">
        <f>IF(AND(ISNUMBER(Roster!$B233),Setup!$B$20="Yes",ISNUMBER(Setup!$C$20)),EDATE(Roster!$B233,12*Setup!$C$20),"")</f>
        <v/>
      </c>
      <c r="C233" s="32" t="str">
        <f>IF(AND(ISNUMBER(Roster!$B233),Setup!$B$21="Yes",ISNUMBER(Setup!$C$21)),EDATE(Roster!$B233,12*Setup!$C$21),"")</f>
        <v/>
      </c>
      <c r="D233" s="32" t="str">
        <f>IF(AND(ISNUMBER(Roster!$B233),Setup!$B$22="Yes",ISNUMBER(Setup!$C$22)),EDATE(Roster!$B233,12*Setup!$C$22),"")</f>
        <v/>
      </c>
      <c r="E233" s="32" t="str">
        <f>IF(AND(ISNUMBER(Roster!$B233),Setup!$B$23="Yes",ISNUMBER(Setup!$C$23)),EDATE(Roster!$B233,12*Setup!$C$23),"")</f>
        <v/>
      </c>
      <c r="F233" s="32" t="str">
        <f>IF(AND(ISNUMBER(Roster!$B233),Setup!$B$24="Yes",ISNUMBER(Setup!$C$24)),EDATE(Roster!$B233,12*Setup!$C$24),"")</f>
        <v/>
      </c>
      <c r="G233" s="32" t="str">
        <f>IF(AND(ISNUMBER(Roster!$B233),Setup!$B$25="Yes",ISNUMBER(Setup!$C$25)),EDATE(Roster!$B233,12*Setup!$C$25),"")</f>
        <v/>
      </c>
      <c r="H233" s="32" t="str">
        <f>IF(AND(ISNUMBER(Roster!$B233),Setup!$B$26="Yes",ISNUMBER(Setup!$C$26)),EDATE(Roster!$B233,12*Setup!$C$26),"")</f>
        <v/>
      </c>
      <c r="I233" s="32" t="str">
        <f>IF(AND(ISNUMBER(Roster!$B233),Setup!$B$27="Yes",ISNUMBER(Setup!$C$27)),EDATE(Roster!$B233,12*Setup!$C$27),"")</f>
        <v/>
      </c>
      <c r="J233" s="32" t="str">
        <f>IF(AND(ISNUMBER(Roster!$B233),Setup!$B$28="Yes",ISNUMBER(Setup!$C$28)),EDATE(Roster!$B233,12*Setup!$C$28),"")</f>
        <v/>
      </c>
      <c r="K233" s="32" t="str">
        <f>IF(AND(ISNUMBER(Roster!$B233),Setup!$B$29="Yes",ISNUMBER(Setup!$C$29)),EDATE(Roster!$B233,12*Setup!$C$29),"")</f>
        <v/>
      </c>
      <c r="L233" s="32" t="str">
        <f>IF(AND(ISNUMBER(Roster!$B233),Setup!$B$30="Yes",ISNUMBER(Setup!$C$30)),EDATE(Roster!$B233,12*Setup!$C$30),"")</f>
        <v/>
      </c>
      <c r="M233" s="32" t="str">
        <f>IF(AND(ISNUMBER(Roster!$B233),Setup!$B$31="Yes",ISNUMBER(Setup!$C$31)),EDATE(Roster!$B233,12*Setup!$C$31),"")</f>
        <v/>
      </c>
      <c r="N233" s="32" t="str">
        <f>IF(AND(ISNUMBER(Roster!$B233),Setup!$B$32="Yes",ISNUMBER(Setup!$C$32)),EDATE(Roster!$B233,12*Setup!$C$32),"")</f>
        <v/>
      </c>
      <c r="O233" s="32" t="str">
        <f>IF(AND(ISNUMBER(Roster!$B233),Setup!$B$33="Yes",ISNUMBER(Setup!$C$33)),EDATE(Roster!$B233,12*Setup!$C$33),"")</f>
        <v/>
      </c>
      <c r="P233" s="32" t="str">
        <f>IF(AND(ISNUMBER(Roster!$B233),Setup!$B$34="Yes",ISNUMBER(Setup!$C$34)),EDATE(Roster!$B233,12*Setup!$C$34),"")</f>
        <v/>
      </c>
      <c r="R233" t="str">
        <f>IF(B233="","",IF(B233&lt;Setup!$C$5-Setup!$C$6,"",IF(IF(ISNUMBER(Roster!$D233),Setup!$C$20&lt;=Roster!$D233,FALSE),"",IF(OR(IF(Setup!$C$15&lt;=Setup!$C$16,AND(MONTH(B233)&gt;=Setup!$C$15,MONTH(B233)&lt;=Setup!$C$16),OR(MONTH(B233)&gt;=Setup!$C$15,MONTH(B233)&lt;=Setup!$C$16)),IF(Setup!$C$15&lt;=Setup!$C$16,AND(MONTH(WORKDAY(B233,-(Setup!$C$13+Setup!$G$20),Setup!$C$39:$C$50))&gt;=Setup!$C$15,MONTH(WORKDAY(B233,-(Setup!$C$13+Setup!$G$20),Setup!$C$39:$C$50))&lt;=Setup!$C$16),OR(MONTH(WORKDAY(B233,-(Setup!$C$13+Setup!$G$20),Setup!$C$39:$C$50))&gt;=Setup!$C$15,MONTH(WORKDAY(B233,-(Setup!$C$13+Setup!$G$20),Setup!$C$39:$C$50))&lt;=Setup!$C$16))),WORKDAY(B233,-(Setup!$C$13+Setup!$G$20+Setup!$C$14),Setup!$C$39:$C$50),WORKDAY(B233,-(Setup!$C$13+Setup!$G$20),Setup!$C$39:$C$50))+(228*100+1)/10000000)))</f>
        <v/>
      </c>
      <c r="S233" t="str">
        <f>IF(C233="","",IF(C233&lt;Setup!$C$5-Setup!$C$6,"",IF(IF(ISNUMBER(Roster!$D233),Setup!$C$21&lt;=Roster!$D233,FALSE),"",IF(OR(IF(Setup!$C$15&lt;=Setup!$C$16,AND(MONTH(C233)&gt;=Setup!$C$15,MONTH(C233)&lt;=Setup!$C$16),OR(MONTH(C233)&gt;=Setup!$C$15,MONTH(C233)&lt;=Setup!$C$16)),IF(Setup!$C$15&lt;=Setup!$C$16,AND(MONTH(WORKDAY(C233,-(Setup!$C$13+Setup!$G$21),Setup!$C$39:$C$50))&gt;=Setup!$C$15,MONTH(WORKDAY(C233,-(Setup!$C$13+Setup!$G$21),Setup!$C$39:$C$50))&lt;=Setup!$C$16),OR(MONTH(WORKDAY(C233,-(Setup!$C$13+Setup!$G$21),Setup!$C$39:$C$50))&gt;=Setup!$C$15,MONTH(WORKDAY(C233,-(Setup!$C$13+Setup!$G$21),Setup!$C$39:$C$50))&lt;=Setup!$C$16))),WORKDAY(C233,-(Setup!$C$13+Setup!$G$21+Setup!$C$14),Setup!$C$39:$C$50),WORKDAY(C233,-(Setup!$C$13+Setup!$G$21),Setup!$C$39:$C$50))+(228*100+2)/10000000)))</f>
        <v/>
      </c>
      <c r="T233" t="str">
        <f>IF(D233="","",IF(D233&lt;Setup!$C$5-Setup!$C$6,"",IF(IF(ISNUMBER(Roster!$D233),Setup!$C$22&lt;=Roster!$D233,FALSE),"",IF(OR(IF(Setup!$C$15&lt;=Setup!$C$16,AND(MONTH(D233)&gt;=Setup!$C$15,MONTH(D233)&lt;=Setup!$C$16),OR(MONTH(D233)&gt;=Setup!$C$15,MONTH(D233)&lt;=Setup!$C$16)),IF(Setup!$C$15&lt;=Setup!$C$16,AND(MONTH(WORKDAY(D233,-(Setup!$C$13+Setup!$G$22),Setup!$C$39:$C$50))&gt;=Setup!$C$15,MONTH(WORKDAY(D233,-(Setup!$C$13+Setup!$G$22),Setup!$C$39:$C$50))&lt;=Setup!$C$16),OR(MONTH(WORKDAY(D233,-(Setup!$C$13+Setup!$G$22),Setup!$C$39:$C$50))&gt;=Setup!$C$15,MONTH(WORKDAY(D233,-(Setup!$C$13+Setup!$G$22),Setup!$C$39:$C$50))&lt;=Setup!$C$16))),WORKDAY(D233,-(Setup!$C$13+Setup!$G$22+Setup!$C$14),Setup!$C$39:$C$50),WORKDAY(D233,-(Setup!$C$13+Setup!$G$22),Setup!$C$39:$C$50))+(228*100+3)/10000000)))</f>
        <v/>
      </c>
      <c r="U233" t="str">
        <f>IF(E233="","",IF(E233&lt;Setup!$C$5-Setup!$C$6,"",IF(IF(ISNUMBER(Roster!$D233),Setup!$C$23&lt;=Roster!$D233,FALSE),"",IF(OR(IF(Setup!$C$15&lt;=Setup!$C$16,AND(MONTH(E233)&gt;=Setup!$C$15,MONTH(E233)&lt;=Setup!$C$16),OR(MONTH(E233)&gt;=Setup!$C$15,MONTH(E233)&lt;=Setup!$C$16)),IF(Setup!$C$15&lt;=Setup!$C$16,AND(MONTH(WORKDAY(E233,-(Setup!$C$13+Setup!$G$23),Setup!$C$39:$C$50))&gt;=Setup!$C$15,MONTH(WORKDAY(E233,-(Setup!$C$13+Setup!$G$23),Setup!$C$39:$C$50))&lt;=Setup!$C$16),OR(MONTH(WORKDAY(E233,-(Setup!$C$13+Setup!$G$23),Setup!$C$39:$C$50))&gt;=Setup!$C$15,MONTH(WORKDAY(E233,-(Setup!$C$13+Setup!$G$23),Setup!$C$39:$C$50))&lt;=Setup!$C$16))),WORKDAY(E233,-(Setup!$C$13+Setup!$G$23+Setup!$C$14),Setup!$C$39:$C$50),WORKDAY(E233,-(Setup!$C$13+Setup!$G$23),Setup!$C$39:$C$50))+(228*100+4)/10000000)))</f>
        <v/>
      </c>
      <c r="V233" t="str">
        <f>IF(F233="","",IF(F233&lt;Setup!$C$5-Setup!$C$6,"",IF(IF(ISNUMBER(Roster!$D233),Setup!$C$24&lt;=Roster!$D233,FALSE),"",IF(OR(IF(Setup!$C$15&lt;=Setup!$C$16,AND(MONTH(F233)&gt;=Setup!$C$15,MONTH(F233)&lt;=Setup!$C$16),OR(MONTH(F233)&gt;=Setup!$C$15,MONTH(F233)&lt;=Setup!$C$16)),IF(Setup!$C$15&lt;=Setup!$C$16,AND(MONTH(WORKDAY(F233,-(Setup!$C$13+Setup!$G$24),Setup!$C$39:$C$50))&gt;=Setup!$C$15,MONTH(WORKDAY(F233,-(Setup!$C$13+Setup!$G$24),Setup!$C$39:$C$50))&lt;=Setup!$C$16),OR(MONTH(WORKDAY(F233,-(Setup!$C$13+Setup!$G$24),Setup!$C$39:$C$50))&gt;=Setup!$C$15,MONTH(WORKDAY(F233,-(Setup!$C$13+Setup!$G$24),Setup!$C$39:$C$50))&lt;=Setup!$C$16))),WORKDAY(F233,-(Setup!$C$13+Setup!$G$24+Setup!$C$14),Setup!$C$39:$C$50),WORKDAY(F233,-(Setup!$C$13+Setup!$G$24),Setup!$C$39:$C$50))+(228*100+5)/10000000)))</f>
        <v/>
      </c>
      <c r="W233" t="str">
        <f>IF(G233="","",IF(G233&lt;Setup!$C$5-Setup!$C$6,"",IF(IF(ISNUMBER(Roster!$D233),Setup!$C$25&lt;=Roster!$D233,FALSE),"",IF(OR(IF(Setup!$C$15&lt;=Setup!$C$16,AND(MONTH(G233)&gt;=Setup!$C$15,MONTH(G233)&lt;=Setup!$C$16),OR(MONTH(G233)&gt;=Setup!$C$15,MONTH(G233)&lt;=Setup!$C$16)),IF(Setup!$C$15&lt;=Setup!$C$16,AND(MONTH(WORKDAY(G233,-(Setup!$C$13+Setup!$G$25),Setup!$C$39:$C$50))&gt;=Setup!$C$15,MONTH(WORKDAY(G233,-(Setup!$C$13+Setup!$G$25),Setup!$C$39:$C$50))&lt;=Setup!$C$16),OR(MONTH(WORKDAY(G233,-(Setup!$C$13+Setup!$G$25),Setup!$C$39:$C$50))&gt;=Setup!$C$15,MONTH(WORKDAY(G233,-(Setup!$C$13+Setup!$G$25),Setup!$C$39:$C$50))&lt;=Setup!$C$16))),WORKDAY(G233,-(Setup!$C$13+Setup!$G$25+Setup!$C$14),Setup!$C$39:$C$50),WORKDAY(G233,-(Setup!$C$13+Setup!$G$25),Setup!$C$39:$C$50))+(228*100+6)/10000000)))</f>
        <v/>
      </c>
      <c r="X233" t="str">
        <f>IF(H233="","",IF(H233&lt;Setup!$C$5-Setup!$C$6,"",IF(IF(ISNUMBER(Roster!$D233),Setup!$C$26&lt;=Roster!$D233,FALSE),"",IF(OR(IF(Setup!$C$15&lt;=Setup!$C$16,AND(MONTH(H233)&gt;=Setup!$C$15,MONTH(H233)&lt;=Setup!$C$16),OR(MONTH(H233)&gt;=Setup!$C$15,MONTH(H233)&lt;=Setup!$C$16)),IF(Setup!$C$15&lt;=Setup!$C$16,AND(MONTH(WORKDAY(H233,-(Setup!$C$13+Setup!$G$26),Setup!$C$39:$C$50))&gt;=Setup!$C$15,MONTH(WORKDAY(H233,-(Setup!$C$13+Setup!$G$26),Setup!$C$39:$C$50))&lt;=Setup!$C$16),OR(MONTH(WORKDAY(H233,-(Setup!$C$13+Setup!$G$26),Setup!$C$39:$C$50))&gt;=Setup!$C$15,MONTH(WORKDAY(H233,-(Setup!$C$13+Setup!$G$26),Setup!$C$39:$C$50))&lt;=Setup!$C$16))),WORKDAY(H233,-(Setup!$C$13+Setup!$G$26+Setup!$C$14),Setup!$C$39:$C$50),WORKDAY(H233,-(Setup!$C$13+Setup!$G$26),Setup!$C$39:$C$50))+(228*100+7)/10000000)))</f>
        <v/>
      </c>
      <c r="Y233" t="str">
        <f>IF(I233="","",IF(I233&lt;Setup!$C$5-Setup!$C$6,"",IF(IF(ISNUMBER(Roster!$D233),Setup!$C$27&lt;=Roster!$D233,FALSE),"",IF(OR(IF(Setup!$C$15&lt;=Setup!$C$16,AND(MONTH(I233)&gt;=Setup!$C$15,MONTH(I233)&lt;=Setup!$C$16),OR(MONTH(I233)&gt;=Setup!$C$15,MONTH(I233)&lt;=Setup!$C$16)),IF(Setup!$C$15&lt;=Setup!$C$16,AND(MONTH(WORKDAY(I233,-(Setup!$C$13+Setup!$G$27),Setup!$C$39:$C$50))&gt;=Setup!$C$15,MONTH(WORKDAY(I233,-(Setup!$C$13+Setup!$G$27),Setup!$C$39:$C$50))&lt;=Setup!$C$16),OR(MONTH(WORKDAY(I233,-(Setup!$C$13+Setup!$G$27),Setup!$C$39:$C$50))&gt;=Setup!$C$15,MONTH(WORKDAY(I233,-(Setup!$C$13+Setup!$G$27),Setup!$C$39:$C$50))&lt;=Setup!$C$16))),WORKDAY(I233,-(Setup!$C$13+Setup!$G$27+Setup!$C$14),Setup!$C$39:$C$50),WORKDAY(I233,-(Setup!$C$13+Setup!$G$27),Setup!$C$39:$C$50))+(228*100+8)/10000000)))</f>
        <v/>
      </c>
      <c r="Z233" t="str">
        <f>IF(J233="","",IF(J233&lt;Setup!$C$5-Setup!$C$6,"",IF(IF(ISNUMBER(Roster!$D233),Setup!$C$28&lt;=Roster!$D233,FALSE),"",IF(OR(IF(Setup!$C$15&lt;=Setup!$C$16,AND(MONTH(J233)&gt;=Setup!$C$15,MONTH(J233)&lt;=Setup!$C$16),OR(MONTH(J233)&gt;=Setup!$C$15,MONTH(J233)&lt;=Setup!$C$16)),IF(Setup!$C$15&lt;=Setup!$C$16,AND(MONTH(WORKDAY(J233,-(Setup!$C$13+Setup!$G$28),Setup!$C$39:$C$50))&gt;=Setup!$C$15,MONTH(WORKDAY(J233,-(Setup!$C$13+Setup!$G$28),Setup!$C$39:$C$50))&lt;=Setup!$C$16),OR(MONTH(WORKDAY(J233,-(Setup!$C$13+Setup!$G$28),Setup!$C$39:$C$50))&gt;=Setup!$C$15,MONTH(WORKDAY(J233,-(Setup!$C$13+Setup!$G$28),Setup!$C$39:$C$50))&lt;=Setup!$C$16))),WORKDAY(J233,-(Setup!$C$13+Setup!$G$28+Setup!$C$14),Setup!$C$39:$C$50),WORKDAY(J233,-(Setup!$C$13+Setup!$G$28),Setup!$C$39:$C$50))+(228*100+9)/10000000)))</f>
        <v/>
      </c>
      <c r="AA233" t="str">
        <f>IF(K233="","",IF(K233&lt;Setup!$C$5-Setup!$C$6,"",IF(IF(ISNUMBER(Roster!$D233),Setup!$C$29&lt;=Roster!$D233,FALSE),"",IF(OR(IF(Setup!$C$15&lt;=Setup!$C$16,AND(MONTH(K233)&gt;=Setup!$C$15,MONTH(K233)&lt;=Setup!$C$16),OR(MONTH(K233)&gt;=Setup!$C$15,MONTH(K233)&lt;=Setup!$C$16)),IF(Setup!$C$15&lt;=Setup!$C$16,AND(MONTH(WORKDAY(K233,-(Setup!$C$13+Setup!$G$29),Setup!$C$39:$C$50))&gt;=Setup!$C$15,MONTH(WORKDAY(K233,-(Setup!$C$13+Setup!$G$29),Setup!$C$39:$C$50))&lt;=Setup!$C$16),OR(MONTH(WORKDAY(K233,-(Setup!$C$13+Setup!$G$29),Setup!$C$39:$C$50))&gt;=Setup!$C$15,MONTH(WORKDAY(K233,-(Setup!$C$13+Setup!$G$29),Setup!$C$39:$C$50))&lt;=Setup!$C$16))),WORKDAY(K233,-(Setup!$C$13+Setup!$G$29+Setup!$C$14),Setup!$C$39:$C$50),WORKDAY(K233,-(Setup!$C$13+Setup!$G$29),Setup!$C$39:$C$50))+(228*100+10)/10000000)))</f>
        <v/>
      </c>
      <c r="AB233" t="str">
        <f>IF(L233="","",IF(L233&lt;Setup!$C$5-Setup!$C$6,"",IF(IF(ISNUMBER(Roster!$D233),Setup!$C$30&lt;=Roster!$D233,FALSE),"",IF(OR(IF(Setup!$C$15&lt;=Setup!$C$16,AND(MONTH(L233)&gt;=Setup!$C$15,MONTH(L233)&lt;=Setup!$C$16),OR(MONTH(L233)&gt;=Setup!$C$15,MONTH(L233)&lt;=Setup!$C$16)),IF(Setup!$C$15&lt;=Setup!$C$16,AND(MONTH(WORKDAY(L233,-(Setup!$C$13+Setup!$G$30),Setup!$C$39:$C$50))&gt;=Setup!$C$15,MONTH(WORKDAY(L233,-(Setup!$C$13+Setup!$G$30),Setup!$C$39:$C$50))&lt;=Setup!$C$16),OR(MONTH(WORKDAY(L233,-(Setup!$C$13+Setup!$G$30),Setup!$C$39:$C$50))&gt;=Setup!$C$15,MONTH(WORKDAY(L233,-(Setup!$C$13+Setup!$G$30),Setup!$C$39:$C$50))&lt;=Setup!$C$16))),WORKDAY(L233,-(Setup!$C$13+Setup!$G$30+Setup!$C$14),Setup!$C$39:$C$50),WORKDAY(L233,-(Setup!$C$13+Setup!$G$30),Setup!$C$39:$C$50))+(228*100+11)/10000000)))</f>
        <v/>
      </c>
      <c r="AC233" t="str">
        <f>IF(M233="","",IF(M233&lt;Setup!$C$5-Setup!$C$6,"",IF(IF(ISNUMBER(Roster!$D233),Setup!$C$31&lt;=Roster!$D233,FALSE),"",IF(OR(IF(Setup!$C$15&lt;=Setup!$C$16,AND(MONTH(M233)&gt;=Setup!$C$15,MONTH(M233)&lt;=Setup!$C$16),OR(MONTH(M233)&gt;=Setup!$C$15,MONTH(M233)&lt;=Setup!$C$16)),IF(Setup!$C$15&lt;=Setup!$C$16,AND(MONTH(WORKDAY(M233,-(Setup!$C$13+Setup!$G$31),Setup!$C$39:$C$50))&gt;=Setup!$C$15,MONTH(WORKDAY(M233,-(Setup!$C$13+Setup!$G$31),Setup!$C$39:$C$50))&lt;=Setup!$C$16),OR(MONTH(WORKDAY(M233,-(Setup!$C$13+Setup!$G$31),Setup!$C$39:$C$50))&gt;=Setup!$C$15,MONTH(WORKDAY(M233,-(Setup!$C$13+Setup!$G$31),Setup!$C$39:$C$50))&lt;=Setup!$C$16))),WORKDAY(M233,-(Setup!$C$13+Setup!$G$31+Setup!$C$14),Setup!$C$39:$C$50),WORKDAY(M233,-(Setup!$C$13+Setup!$G$31),Setup!$C$39:$C$50))+(228*100+12)/10000000)))</f>
        <v/>
      </c>
      <c r="AD233" t="str">
        <f>IF(N233="","",IF(N233&lt;Setup!$C$5-Setup!$C$6,"",IF(IF(ISNUMBER(Roster!$D233),Setup!$C$32&lt;=Roster!$D233,FALSE),"",IF(OR(IF(Setup!$C$15&lt;=Setup!$C$16,AND(MONTH(N233)&gt;=Setup!$C$15,MONTH(N233)&lt;=Setup!$C$16),OR(MONTH(N233)&gt;=Setup!$C$15,MONTH(N233)&lt;=Setup!$C$16)),IF(Setup!$C$15&lt;=Setup!$C$16,AND(MONTH(WORKDAY(N233,-(Setup!$C$13+Setup!$G$32),Setup!$C$39:$C$50))&gt;=Setup!$C$15,MONTH(WORKDAY(N233,-(Setup!$C$13+Setup!$G$32),Setup!$C$39:$C$50))&lt;=Setup!$C$16),OR(MONTH(WORKDAY(N233,-(Setup!$C$13+Setup!$G$32),Setup!$C$39:$C$50))&gt;=Setup!$C$15,MONTH(WORKDAY(N233,-(Setup!$C$13+Setup!$G$32),Setup!$C$39:$C$50))&lt;=Setup!$C$16))),WORKDAY(N233,-(Setup!$C$13+Setup!$G$32+Setup!$C$14),Setup!$C$39:$C$50),WORKDAY(N233,-(Setup!$C$13+Setup!$G$32),Setup!$C$39:$C$50))+(228*100+13)/10000000)))</f>
        <v/>
      </c>
      <c r="AE233" t="str">
        <f>IF(O233="","",IF(O233&lt;Setup!$C$5-Setup!$C$6,"",IF(IF(ISNUMBER(Roster!$D233),Setup!$C$33&lt;=Roster!$D233,FALSE),"",IF(OR(IF(Setup!$C$15&lt;=Setup!$C$16,AND(MONTH(O233)&gt;=Setup!$C$15,MONTH(O233)&lt;=Setup!$C$16),OR(MONTH(O233)&gt;=Setup!$C$15,MONTH(O233)&lt;=Setup!$C$16)),IF(Setup!$C$15&lt;=Setup!$C$16,AND(MONTH(WORKDAY(O233,-(Setup!$C$13+Setup!$G$33),Setup!$C$39:$C$50))&gt;=Setup!$C$15,MONTH(WORKDAY(O233,-(Setup!$C$13+Setup!$G$33),Setup!$C$39:$C$50))&lt;=Setup!$C$16),OR(MONTH(WORKDAY(O233,-(Setup!$C$13+Setup!$G$33),Setup!$C$39:$C$50))&gt;=Setup!$C$15,MONTH(WORKDAY(O233,-(Setup!$C$13+Setup!$G$33),Setup!$C$39:$C$50))&lt;=Setup!$C$16))),WORKDAY(O233,-(Setup!$C$13+Setup!$G$33+Setup!$C$14),Setup!$C$39:$C$50),WORKDAY(O233,-(Setup!$C$13+Setup!$G$33),Setup!$C$39:$C$50))+(228*100+14)/10000000)))</f>
        <v/>
      </c>
      <c r="AF233" t="str">
        <f>IF(P233="","",IF(P233&lt;Setup!$C$5-Setup!$C$6,"",IF(IF(ISNUMBER(Roster!$D233),Setup!$C$34&lt;=Roster!$D233,FALSE),"",IF(OR(IF(Setup!$C$15&lt;=Setup!$C$16,AND(MONTH(P233)&gt;=Setup!$C$15,MONTH(P233)&lt;=Setup!$C$16),OR(MONTH(P233)&gt;=Setup!$C$15,MONTH(P233)&lt;=Setup!$C$16)),IF(Setup!$C$15&lt;=Setup!$C$16,AND(MONTH(WORKDAY(P233,-(Setup!$C$13+Setup!$G$34),Setup!$C$39:$C$50))&gt;=Setup!$C$15,MONTH(WORKDAY(P233,-(Setup!$C$13+Setup!$G$34),Setup!$C$39:$C$50))&lt;=Setup!$C$16),OR(MONTH(WORKDAY(P233,-(Setup!$C$13+Setup!$G$34),Setup!$C$39:$C$50))&gt;=Setup!$C$15,MONTH(WORKDAY(P233,-(Setup!$C$13+Setup!$G$34),Setup!$C$39:$C$50))&lt;=Setup!$C$16))),WORKDAY(P233,-(Setup!$C$13+Setup!$G$34+Setup!$C$14),Setup!$C$39:$C$50),WORKDAY(P233,-(Setup!$C$13+Setup!$G$34),Setup!$C$39:$C$50))+(228*100+15)/10000000)))</f>
        <v/>
      </c>
      <c r="AH233" t="str">
        <f t="shared" si="25"/>
        <v/>
      </c>
      <c r="AI233" t="str">
        <f t="shared" si="26"/>
        <v/>
      </c>
      <c r="AK233" t="str">
        <f ca="1">IF(228&gt;$AK$2,"",SMALL($R$6:$AF$505,228))</f>
        <v/>
      </c>
      <c r="AL233" t="str">
        <f t="shared" ca="1" si="27"/>
        <v/>
      </c>
      <c r="AM233" t="str">
        <f t="shared" ca="1" si="28"/>
        <v/>
      </c>
      <c r="AN233" t="str">
        <f t="shared" ca="1" si="29"/>
        <v/>
      </c>
      <c r="AP233" t="str">
        <f>IF(ISNUMBER(Roster!$B233),MAX(1,YEAR(Setup!$C$5)-YEAR(Roster!$B233)+IF(EDATE(Roster!$B233,12*(YEAR(Setup!$C$5)-YEAR(Roster!$B233)))&lt;Setup!$C$5,1,0)),"")</f>
        <v/>
      </c>
      <c r="AQ233" s="32" t="str">
        <f>IF(AP233="","",EDATE(Roster!$B233,12*AP233))</f>
        <v/>
      </c>
      <c r="AR233" t="str">
        <f>IF(AQ233="","",IF(AQ233&lt;DATE(YEAR(Setup!$C$5)+1,MONTH(Setup!$C$5),DAY(Setup!$C$5)),AQ233+228/1000,""))</f>
        <v/>
      </c>
      <c r="AS233" t="str">
        <f t="shared" si="30"/>
        <v/>
      </c>
      <c r="AT233" t="str">
        <f>IF(AS233="","",IF(ISNUMBER(Roster!$D233),Roster!$D233&gt;=AP233,FALSE))</f>
        <v/>
      </c>
      <c r="AU233" t="str">
        <f t="shared" si="31"/>
        <v/>
      </c>
      <c r="AV233" t="str">
        <f ca="1">IF(228&gt;$AV$2,"",SMALL($AR$6:$AR$505,228))</f>
        <v/>
      </c>
      <c r="AW233" t="str">
        <f t="shared" ca="1" si="32"/>
        <v/>
      </c>
    </row>
    <row r="234" spans="2:49" x14ac:dyDescent="0.2">
      <c r="B234" s="32" t="str">
        <f>IF(AND(ISNUMBER(Roster!$B234),Setup!$B$20="Yes",ISNUMBER(Setup!$C$20)),EDATE(Roster!$B234,12*Setup!$C$20),"")</f>
        <v/>
      </c>
      <c r="C234" s="32" t="str">
        <f>IF(AND(ISNUMBER(Roster!$B234),Setup!$B$21="Yes",ISNUMBER(Setup!$C$21)),EDATE(Roster!$B234,12*Setup!$C$21),"")</f>
        <v/>
      </c>
      <c r="D234" s="32" t="str">
        <f>IF(AND(ISNUMBER(Roster!$B234),Setup!$B$22="Yes",ISNUMBER(Setup!$C$22)),EDATE(Roster!$B234,12*Setup!$C$22),"")</f>
        <v/>
      </c>
      <c r="E234" s="32" t="str">
        <f>IF(AND(ISNUMBER(Roster!$B234),Setup!$B$23="Yes",ISNUMBER(Setup!$C$23)),EDATE(Roster!$B234,12*Setup!$C$23),"")</f>
        <v/>
      </c>
      <c r="F234" s="32" t="str">
        <f>IF(AND(ISNUMBER(Roster!$B234),Setup!$B$24="Yes",ISNUMBER(Setup!$C$24)),EDATE(Roster!$B234,12*Setup!$C$24),"")</f>
        <v/>
      </c>
      <c r="G234" s="32" t="str">
        <f>IF(AND(ISNUMBER(Roster!$B234),Setup!$B$25="Yes",ISNUMBER(Setup!$C$25)),EDATE(Roster!$B234,12*Setup!$C$25),"")</f>
        <v/>
      </c>
      <c r="H234" s="32" t="str">
        <f>IF(AND(ISNUMBER(Roster!$B234),Setup!$B$26="Yes",ISNUMBER(Setup!$C$26)),EDATE(Roster!$B234,12*Setup!$C$26),"")</f>
        <v/>
      </c>
      <c r="I234" s="32" t="str">
        <f>IF(AND(ISNUMBER(Roster!$B234),Setup!$B$27="Yes",ISNUMBER(Setup!$C$27)),EDATE(Roster!$B234,12*Setup!$C$27),"")</f>
        <v/>
      </c>
      <c r="J234" s="32" t="str">
        <f>IF(AND(ISNUMBER(Roster!$B234),Setup!$B$28="Yes",ISNUMBER(Setup!$C$28)),EDATE(Roster!$B234,12*Setup!$C$28),"")</f>
        <v/>
      </c>
      <c r="K234" s="32" t="str">
        <f>IF(AND(ISNUMBER(Roster!$B234),Setup!$B$29="Yes",ISNUMBER(Setup!$C$29)),EDATE(Roster!$B234,12*Setup!$C$29),"")</f>
        <v/>
      </c>
      <c r="L234" s="32" t="str">
        <f>IF(AND(ISNUMBER(Roster!$B234),Setup!$B$30="Yes",ISNUMBER(Setup!$C$30)),EDATE(Roster!$B234,12*Setup!$C$30),"")</f>
        <v/>
      </c>
      <c r="M234" s="32" t="str">
        <f>IF(AND(ISNUMBER(Roster!$B234),Setup!$B$31="Yes",ISNUMBER(Setup!$C$31)),EDATE(Roster!$B234,12*Setup!$C$31),"")</f>
        <v/>
      </c>
      <c r="N234" s="32" t="str">
        <f>IF(AND(ISNUMBER(Roster!$B234),Setup!$B$32="Yes",ISNUMBER(Setup!$C$32)),EDATE(Roster!$B234,12*Setup!$C$32),"")</f>
        <v/>
      </c>
      <c r="O234" s="32" t="str">
        <f>IF(AND(ISNUMBER(Roster!$B234),Setup!$B$33="Yes",ISNUMBER(Setup!$C$33)),EDATE(Roster!$B234,12*Setup!$C$33),"")</f>
        <v/>
      </c>
      <c r="P234" s="32" t="str">
        <f>IF(AND(ISNUMBER(Roster!$B234),Setup!$B$34="Yes",ISNUMBER(Setup!$C$34)),EDATE(Roster!$B234,12*Setup!$C$34),"")</f>
        <v/>
      </c>
      <c r="R234" t="str">
        <f>IF(B234="","",IF(B234&lt;Setup!$C$5-Setup!$C$6,"",IF(IF(ISNUMBER(Roster!$D234),Setup!$C$20&lt;=Roster!$D234,FALSE),"",IF(OR(IF(Setup!$C$15&lt;=Setup!$C$16,AND(MONTH(B234)&gt;=Setup!$C$15,MONTH(B234)&lt;=Setup!$C$16),OR(MONTH(B234)&gt;=Setup!$C$15,MONTH(B234)&lt;=Setup!$C$16)),IF(Setup!$C$15&lt;=Setup!$C$16,AND(MONTH(WORKDAY(B234,-(Setup!$C$13+Setup!$G$20),Setup!$C$39:$C$50))&gt;=Setup!$C$15,MONTH(WORKDAY(B234,-(Setup!$C$13+Setup!$G$20),Setup!$C$39:$C$50))&lt;=Setup!$C$16),OR(MONTH(WORKDAY(B234,-(Setup!$C$13+Setup!$G$20),Setup!$C$39:$C$50))&gt;=Setup!$C$15,MONTH(WORKDAY(B234,-(Setup!$C$13+Setup!$G$20),Setup!$C$39:$C$50))&lt;=Setup!$C$16))),WORKDAY(B234,-(Setup!$C$13+Setup!$G$20+Setup!$C$14),Setup!$C$39:$C$50),WORKDAY(B234,-(Setup!$C$13+Setup!$G$20),Setup!$C$39:$C$50))+(229*100+1)/10000000)))</f>
        <v/>
      </c>
      <c r="S234" t="str">
        <f>IF(C234="","",IF(C234&lt;Setup!$C$5-Setup!$C$6,"",IF(IF(ISNUMBER(Roster!$D234),Setup!$C$21&lt;=Roster!$D234,FALSE),"",IF(OR(IF(Setup!$C$15&lt;=Setup!$C$16,AND(MONTH(C234)&gt;=Setup!$C$15,MONTH(C234)&lt;=Setup!$C$16),OR(MONTH(C234)&gt;=Setup!$C$15,MONTH(C234)&lt;=Setup!$C$16)),IF(Setup!$C$15&lt;=Setup!$C$16,AND(MONTH(WORKDAY(C234,-(Setup!$C$13+Setup!$G$21),Setup!$C$39:$C$50))&gt;=Setup!$C$15,MONTH(WORKDAY(C234,-(Setup!$C$13+Setup!$G$21),Setup!$C$39:$C$50))&lt;=Setup!$C$16),OR(MONTH(WORKDAY(C234,-(Setup!$C$13+Setup!$G$21),Setup!$C$39:$C$50))&gt;=Setup!$C$15,MONTH(WORKDAY(C234,-(Setup!$C$13+Setup!$G$21),Setup!$C$39:$C$50))&lt;=Setup!$C$16))),WORKDAY(C234,-(Setup!$C$13+Setup!$G$21+Setup!$C$14),Setup!$C$39:$C$50),WORKDAY(C234,-(Setup!$C$13+Setup!$G$21),Setup!$C$39:$C$50))+(229*100+2)/10000000)))</f>
        <v/>
      </c>
      <c r="T234" t="str">
        <f>IF(D234="","",IF(D234&lt;Setup!$C$5-Setup!$C$6,"",IF(IF(ISNUMBER(Roster!$D234),Setup!$C$22&lt;=Roster!$D234,FALSE),"",IF(OR(IF(Setup!$C$15&lt;=Setup!$C$16,AND(MONTH(D234)&gt;=Setup!$C$15,MONTH(D234)&lt;=Setup!$C$16),OR(MONTH(D234)&gt;=Setup!$C$15,MONTH(D234)&lt;=Setup!$C$16)),IF(Setup!$C$15&lt;=Setup!$C$16,AND(MONTH(WORKDAY(D234,-(Setup!$C$13+Setup!$G$22),Setup!$C$39:$C$50))&gt;=Setup!$C$15,MONTH(WORKDAY(D234,-(Setup!$C$13+Setup!$G$22),Setup!$C$39:$C$50))&lt;=Setup!$C$16),OR(MONTH(WORKDAY(D234,-(Setup!$C$13+Setup!$G$22),Setup!$C$39:$C$50))&gt;=Setup!$C$15,MONTH(WORKDAY(D234,-(Setup!$C$13+Setup!$G$22),Setup!$C$39:$C$50))&lt;=Setup!$C$16))),WORKDAY(D234,-(Setup!$C$13+Setup!$G$22+Setup!$C$14),Setup!$C$39:$C$50),WORKDAY(D234,-(Setup!$C$13+Setup!$G$22),Setup!$C$39:$C$50))+(229*100+3)/10000000)))</f>
        <v/>
      </c>
      <c r="U234" t="str">
        <f>IF(E234="","",IF(E234&lt;Setup!$C$5-Setup!$C$6,"",IF(IF(ISNUMBER(Roster!$D234),Setup!$C$23&lt;=Roster!$D234,FALSE),"",IF(OR(IF(Setup!$C$15&lt;=Setup!$C$16,AND(MONTH(E234)&gt;=Setup!$C$15,MONTH(E234)&lt;=Setup!$C$16),OR(MONTH(E234)&gt;=Setup!$C$15,MONTH(E234)&lt;=Setup!$C$16)),IF(Setup!$C$15&lt;=Setup!$C$16,AND(MONTH(WORKDAY(E234,-(Setup!$C$13+Setup!$G$23),Setup!$C$39:$C$50))&gt;=Setup!$C$15,MONTH(WORKDAY(E234,-(Setup!$C$13+Setup!$G$23),Setup!$C$39:$C$50))&lt;=Setup!$C$16),OR(MONTH(WORKDAY(E234,-(Setup!$C$13+Setup!$G$23),Setup!$C$39:$C$50))&gt;=Setup!$C$15,MONTH(WORKDAY(E234,-(Setup!$C$13+Setup!$G$23),Setup!$C$39:$C$50))&lt;=Setup!$C$16))),WORKDAY(E234,-(Setup!$C$13+Setup!$G$23+Setup!$C$14),Setup!$C$39:$C$50),WORKDAY(E234,-(Setup!$C$13+Setup!$G$23),Setup!$C$39:$C$50))+(229*100+4)/10000000)))</f>
        <v/>
      </c>
      <c r="V234" t="str">
        <f>IF(F234="","",IF(F234&lt;Setup!$C$5-Setup!$C$6,"",IF(IF(ISNUMBER(Roster!$D234),Setup!$C$24&lt;=Roster!$D234,FALSE),"",IF(OR(IF(Setup!$C$15&lt;=Setup!$C$16,AND(MONTH(F234)&gt;=Setup!$C$15,MONTH(F234)&lt;=Setup!$C$16),OR(MONTH(F234)&gt;=Setup!$C$15,MONTH(F234)&lt;=Setup!$C$16)),IF(Setup!$C$15&lt;=Setup!$C$16,AND(MONTH(WORKDAY(F234,-(Setup!$C$13+Setup!$G$24),Setup!$C$39:$C$50))&gt;=Setup!$C$15,MONTH(WORKDAY(F234,-(Setup!$C$13+Setup!$G$24),Setup!$C$39:$C$50))&lt;=Setup!$C$16),OR(MONTH(WORKDAY(F234,-(Setup!$C$13+Setup!$G$24),Setup!$C$39:$C$50))&gt;=Setup!$C$15,MONTH(WORKDAY(F234,-(Setup!$C$13+Setup!$G$24),Setup!$C$39:$C$50))&lt;=Setup!$C$16))),WORKDAY(F234,-(Setup!$C$13+Setup!$G$24+Setup!$C$14),Setup!$C$39:$C$50),WORKDAY(F234,-(Setup!$C$13+Setup!$G$24),Setup!$C$39:$C$50))+(229*100+5)/10000000)))</f>
        <v/>
      </c>
      <c r="W234" t="str">
        <f>IF(G234="","",IF(G234&lt;Setup!$C$5-Setup!$C$6,"",IF(IF(ISNUMBER(Roster!$D234),Setup!$C$25&lt;=Roster!$D234,FALSE),"",IF(OR(IF(Setup!$C$15&lt;=Setup!$C$16,AND(MONTH(G234)&gt;=Setup!$C$15,MONTH(G234)&lt;=Setup!$C$16),OR(MONTH(G234)&gt;=Setup!$C$15,MONTH(G234)&lt;=Setup!$C$16)),IF(Setup!$C$15&lt;=Setup!$C$16,AND(MONTH(WORKDAY(G234,-(Setup!$C$13+Setup!$G$25),Setup!$C$39:$C$50))&gt;=Setup!$C$15,MONTH(WORKDAY(G234,-(Setup!$C$13+Setup!$G$25),Setup!$C$39:$C$50))&lt;=Setup!$C$16),OR(MONTH(WORKDAY(G234,-(Setup!$C$13+Setup!$G$25),Setup!$C$39:$C$50))&gt;=Setup!$C$15,MONTH(WORKDAY(G234,-(Setup!$C$13+Setup!$G$25),Setup!$C$39:$C$50))&lt;=Setup!$C$16))),WORKDAY(G234,-(Setup!$C$13+Setup!$G$25+Setup!$C$14),Setup!$C$39:$C$50),WORKDAY(G234,-(Setup!$C$13+Setup!$G$25),Setup!$C$39:$C$50))+(229*100+6)/10000000)))</f>
        <v/>
      </c>
      <c r="X234" t="str">
        <f>IF(H234="","",IF(H234&lt;Setup!$C$5-Setup!$C$6,"",IF(IF(ISNUMBER(Roster!$D234),Setup!$C$26&lt;=Roster!$D234,FALSE),"",IF(OR(IF(Setup!$C$15&lt;=Setup!$C$16,AND(MONTH(H234)&gt;=Setup!$C$15,MONTH(H234)&lt;=Setup!$C$16),OR(MONTH(H234)&gt;=Setup!$C$15,MONTH(H234)&lt;=Setup!$C$16)),IF(Setup!$C$15&lt;=Setup!$C$16,AND(MONTH(WORKDAY(H234,-(Setup!$C$13+Setup!$G$26),Setup!$C$39:$C$50))&gt;=Setup!$C$15,MONTH(WORKDAY(H234,-(Setup!$C$13+Setup!$G$26),Setup!$C$39:$C$50))&lt;=Setup!$C$16),OR(MONTH(WORKDAY(H234,-(Setup!$C$13+Setup!$G$26),Setup!$C$39:$C$50))&gt;=Setup!$C$15,MONTH(WORKDAY(H234,-(Setup!$C$13+Setup!$G$26),Setup!$C$39:$C$50))&lt;=Setup!$C$16))),WORKDAY(H234,-(Setup!$C$13+Setup!$G$26+Setup!$C$14),Setup!$C$39:$C$50),WORKDAY(H234,-(Setup!$C$13+Setup!$G$26),Setup!$C$39:$C$50))+(229*100+7)/10000000)))</f>
        <v/>
      </c>
      <c r="Y234" t="str">
        <f>IF(I234="","",IF(I234&lt;Setup!$C$5-Setup!$C$6,"",IF(IF(ISNUMBER(Roster!$D234),Setup!$C$27&lt;=Roster!$D234,FALSE),"",IF(OR(IF(Setup!$C$15&lt;=Setup!$C$16,AND(MONTH(I234)&gt;=Setup!$C$15,MONTH(I234)&lt;=Setup!$C$16),OR(MONTH(I234)&gt;=Setup!$C$15,MONTH(I234)&lt;=Setup!$C$16)),IF(Setup!$C$15&lt;=Setup!$C$16,AND(MONTH(WORKDAY(I234,-(Setup!$C$13+Setup!$G$27),Setup!$C$39:$C$50))&gt;=Setup!$C$15,MONTH(WORKDAY(I234,-(Setup!$C$13+Setup!$G$27),Setup!$C$39:$C$50))&lt;=Setup!$C$16),OR(MONTH(WORKDAY(I234,-(Setup!$C$13+Setup!$G$27),Setup!$C$39:$C$50))&gt;=Setup!$C$15,MONTH(WORKDAY(I234,-(Setup!$C$13+Setup!$G$27),Setup!$C$39:$C$50))&lt;=Setup!$C$16))),WORKDAY(I234,-(Setup!$C$13+Setup!$G$27+Setup!$C$14),Setup!$C$39:$C$50),WORKDAY(I234,-(Setup!$C$13+Setup!$G$27),Setup!$C$39:$C$50))+(229*100+8)/10000000)))</f>
        <v/>
      </c>
      <c r="Z234" t="str">
        <f>IF(J234="","",IF(J234&lt;Setup!$C$5-Setup!$C$6,"",IF(IF(ISNUMBER(Roster!$D234),Setup!$C$28&lt;=Roster!$D234,FALSE),"",IF(OR(IF(Setup!$C$15&lt;=Setup!$C$16,AND(MONTH(J234)&gt;=Setup!$C$15,MONTH(J234)&lt;=Setup!$C$16),OR(MONTH(J234)&gt;=Setup!$C$15,MONTH(J234)&lt;=Setup!$C$16)),IF(Setup!$C$15&lt;=Setup!$C$16,AND(MONTH(WORKDAY(J234,-(Setup!$C$13+Setup!$G$28),Setup!$C$39:$C$50))&gt;=Setup!$C$15,MONTH(WORKDAY(J234,-(Setup!$C$13+Setup!$G$28),Setup!$C$39:$C$50))&lt;=Setup!$C$16),OR(MONTH(WORKDAY(J234,-(Setup!$C$13+Setup!$G$28),Setup!$C$39:$C$50))&gt;=Setup!$C$15,MONTH(WORKDAY(J234,-(Setup!$C$13+Setup!$G$28),Setup!$C$39:$C$50))&lt;=Setup!$C$16))),WORKDAY(J234,-(Setup!$C$13+Setup!$G$28+Setup!$C$14),Setup!$C$39:$C$50),WORKDAY(J234,-(Setup!$C$13+Setup!$G$28),Setup!$C$39:$C$50))+(229*100+9)/10000000)))</f>
        <v/>
      </c>
      <c r="AA234" t="str">
        <f>IF(K234="","",IF(K234&lt;Setup!$C$5-Setup!$C$6,"",IF(IF(ISNUMBER(Roster!$D234),Setup!$C$29&lt;=Roster!$D234,FALSE),"",IF(OR(IF(Setup!$C$15&lt;=Setup!$C$16,AND(MONTH(K234)&gt;=Setup!$C$15,MONTH(K234)&lt;=Setup!$C$16),OR(MONTH(K234)&gt;=Setup!$C$15,MONTH(K234)&lt;=Setup!$C$16)),IF(Setup!$C$15&lt;=Setup!$C$16,AND(MONTH(WORKDAY(K234,-(Setup!$C$13+Setup!$G$29),Setup!$C$39:$C$50))&gt;=Setup!$C$15,MONTH(WORKDAY(K234,-(Setup!$C$13+Setup!$G$29),Setup!$C$39:$C$50))&lt;=Setup!$C$16),OR(MONTH(WORKDAY(K234,-(Setup!$C$13+Setup!$G$29),Setup!$C$39:$C$50))&gt;=Setup!$C$15,MONTH(WORKDAY(K234,-(Setup!$C$13+Setup!$G$29),Setup!$C$39:$C$50))&lt;=Setup!$C$16))),WORKDAY(K234,-(Setup!$C$13+Setup!$G$29+Setup!$C$14),Setup!$C$39:$C$50),WORKDAY(K234,-(Setup!$C$13+Setup!$G$29),Setup!$C$39:$C$50))+(229*100+10)/10000000)))</f>
        <v/>
      </c>
      <c r="AB234" t="str">
        <f>IF(L234="","",IF(L234&lt;Setup!$C$5-Setup!$C$6,"",IF(IF(ISNUMBER(Roster!$D234),Setup!$C$30&lt;=Roster!$D234,FALSE),"",IF(OR(IF(Setup!$C$15&lt;=Setup!$C$16,AND(MONTH(L234)&gt;=Setup!$C$15,MONTH(L234)&lt;=Setup!$C$16),OR(MONTH(L234)&gt;=Setup!$C$15,MONTH(L234)&lt;=Setup!$C$16)),IF(Setup!$C$15&lt;=Setup!$C$16,AND(MONTH(WORKDAY(L234,-(Setup!$C$13+Setup!$G$30),Setup!$C$39:$C$50))&gt;=Setup!$C$15,MONTH(WORKDAY(L234,-(Setup!$C$13+Setup!$G$30),Setup!$C$39:$C$50))&lt;=Setup!$C$16),OR(MONTH(WORKDAY(L234,-(Setup!$C$13+Setup!$G$30),Setup!$C$39:$C$50))&gt;=Setup!$C$15,MONTH(WORKDAY(L234,-(Setup!$C$13+Setup!$G$30),Setup!$C$39:$C$50))&lt;=Setup!$C$16))),WORKDAY(L234,-(Setup!$C$13+Setup!$G$30+Setup!$C$14),Setup!$C$39:$C$50),WORKDAY(L234,-(Setup!$C$13+Setup!$G$30),Setup!$C$39:$C$50))+(229*100+11)/10000000)))</f>
        <v/>
      </c>
      <c r="AC234" t="str">
        <f>IF(M234="","",IF(M234&lt;Setup!$C$5-Setup!$C$6,"",IF(IF(ISNUMBER(Roster!$D234),Setup!$C$31&lt;=Roster!$D234,FALSE),"",IF(OR(IF(Setup!$C$15&lt;=Setup!$C$16,AND(MONTH(M234)&gt;=Setup!$C$15,MONTH(M234)&lt;=Setup!$C$16),OR(MONTH(M234)&gt;=Setup!$C$15,MONTH(M234)&lt;=Setup!$C$16)),IF(Setup!$C$15&lt;=Setup!$C$16,AND(MONTH(WORKDAY(M234,-(Setup!$C$13+Setup!$G$31),Setup!$C$39:$C$50))&gt;=Setup!$C$15,MONTH(WORKDAY(M234,-(Setup!$C$13+Setup!$G$31),Setup!$C$39:$C$50))&lt;=Setup!$C$16),OR(MONTH(WORKDAY(M234,-(Setup!$C$13+Setup!$G$31),Setup!$C$39:$C$50))&gt;=Setup!$C$15,MONTH(WORKDAY(M234,-(Setup!$C$13+Setup!$G$31),Setup!$C$39:$C$50))&lt;=Setup!$C$16))),WORKDAY(M234,-(Setup!$C$13+Setup!$G$31+Setup!$C$14),Setup!$C$39:$C$50),WORKDAY(M234,-(Setup!$C$13+Setup!$G$31),Setup!$C$39:$C$50))+(229*100+12)/10000000)))</f>
        <v/>
      </c>
      <c r="AD234" t="str">
        <f>IF(N234="","",IF(N234&lt;Setup!$C$5-Setup!$C$6,"",IF(IF(ISNUMBER(Roster!$D234),Setup!$C$32&lt;=Roster!$D234,FALSE),"",IF(OR(IF(Setup!$C$15&lt;=Setup!$C$16,AND(MONTH(N234)&gt;=Setup!$C$15,MONTH(N234)&lt;=Setup!$C$16),OR(MONTH(N234)&gt;=Setup!$C$15,MONTH(N234)&lt;=Setup!$C$16)),IF(Setup!$C$15&lt;=Setup!$C$16,AND(MONTH(WORKDAY(N234,-(Setup!$C$13+Setup!$G$32),Setup!$C$39:$C$50))&gt;=Setup!$C$15,MONTH(WORKDAY(N234,-(Setup!$C$13+Setup!$G$32),Setup!$C$39:$C$50))&lt;=Setup!$C$16),OR(MONTH(WORKDAY(N234,-(Setup!$C$13+Setup!$G$32),Setup!$C$39:$C$50))&gt;=Setup!$C$15,MONTH(WORKDAY(N234,-(Setup!$C$13+Setup!$G$32),Setup!$C$39:$C$50))&lt;=Setup!$C$16))),WORKDAY(N234,-(Setup!$C$13+Setup!$G$32+Setup!$C$14),Setup!$C$39:$C$50),WORKDAY(N234,-(Setup!$C$13+Setup!$G$32),Setup!$C$39:$C$50))+(229*100+13)/10000000)))</f>
        <v/>
      </c>
      <c r="AE234" t="str">
        <f>IF(O234="","",IF(O234&lt;Setup!$C$5-Setup!$C$6,"",IF(IF(ISNUMBER(Roster!$D234),Setup!$C$33&lt;=Roster!$D234,FALSE),"",IF(OR(IF(Setup!$C$15&lt;=Setup!$C$16,AND(MONTH(O234)&gt;=Setup!$C$15,MONTH(O234)&lt;=Setup!$C$16),OR(MONTH(O234)&gt;=Setup!$C$15,MONTH(O234)&lt;=Setup!$C$16)),IF(Setup!$C$15&lt;=Setup!$C$16,AND(MONTH(WORKDAY(O234,-(Setup!$C$13+Setup!$G$33),Setup!$C$39:$C$50))&gt;=Setup!$C$15,MONTH(WORKDAY(O234,-(Setup!$C$13+Setup!$G$33),Setup!$C$39:$C$50))&lt;=Setup!$C$16),OR(MONTH(WORKDAY(O234,-(Setup!$C$13+Setup!$G$33),Setup!$C$39:$C$50))&gt;=Setup!$C$15,MONTH(WORKDAY(O234,-(Setup!$C$13+Setup!$G$33),Setup!$C$39:$C$50))&lt;=Setup!$C$16))),WORKDAY(O234,-(Setup!$C$13+Setup!$G$33+Setup!$C$14),Setup!$C$39:$C$50),WORKDAY(O234,-(Setup!$C$13+Setup!$G$33),Setup!$C$39:$C$50))+(229*100+14)/10000000)))</f>
        <v/>
      </c>
      <c r="AF234" t="str">
        <f>IF(P234="","",IF(P234&lt;Setup!$C$5-Setup!$C$6,"",IF(IF(ISNUMBER(Roster!$D234),Setup!$C$34&lt;=Roster!$D234,FALSE),"",IF(OR(IF(Setup!$C$15&lt;=Setup!$C$16,AND(MONTH(P234)&gt;=Setup!$C$15,MONTH(P234)&lt;=Setup!$C$16),OR(MONTH(P234)&gt;=Setup!$C$15,MONTH(P234)&lt;=Setup!$C$16)),IF(Setup!$C$15&lt;=Setup!$C$16,AND(MONTH(WORKDAY(P234,-(Setup!$C$13+Setup!$G$34),Setup!$C$39:$C$50))&gt;=Setup!$C$15,MONTH(WORKDAY(P234,-(Setup!$C$13+Setup!$G$34),Setup!$C$39:$C$50))&lt;=Setup!$C$16),OR(MONTH(WORKDAY(P234,-(Setup!$C$13+Setup!$G$34),Setup!$C$39:$C$50))&gt;=Setup!$C$15,MONTH(WORKDAY(P234,-(Setup!$C$13+Setup!$G$34),Setup!$C$39:$C$50))&lt;=Setup!$C$16))),WORKDAY(P234,-(Setup!$C$13+Setup!$G$34+Setup!$C$14),Setup!$C$39:$C$50),WORKDAY(P234,-(Setup!$C$13+Setup!$G$34),Setup!$C$39:$C$50))+(229*100+15)/10000000)))</f>
        <v/>
      </c>
      <c r="AH234" t="str">
        <f t="shared" si="25"/>
        <v/>
      </c>
      <c r="AI234" t="str">
        <f t="shared" si="26"/>
        <v/>
      </c>
      <c r="AK234" t="str">
        <f ca="1">IF(229&gt;$AK$2,"",SMALL($R$6:$AF$505,229))</f>
        <v/>
      </c>
      <c r="AL234" t="str">
        <f t="shared" ca="1" si="27"/>
        <v/>
      </c>
      <c r="AM234" t="str">
        <f t="shared" ca="1" si="28"/>
        <v/>
      </c>
      <c r="AN234" t="str">
        <f t="shared" ca="1" si="29"/>
        <v/>
      </c>
      <c r="AP234" t="str">
        <f>IF(ISNUMBER(Roster!$B234),MAX(1,YEAR(Setup!$C$5)-YEAR(Roster!$B234)+IF(EDATE(Roster!$B234,12*(YEAR(Setup!$C$5)-YEAR(Roster!$B234)))&lt;Setup!$C$5,1,0)),"")</f>
        <v/>
      </c>
      <c r="AQ234" s="32" t="str">
        <f>IF(AP234="","",EDATE(Roster!$B234,12*AP234))</f>
        <v/>
      </c>
      <c r="AR234" t="str">
        <f>IF(AQ234="","",IF(AQ234&lt;DATE(YEAR(Setup!$C$5)+1,MONTH(Setup!$C$5),DAY(Setup!$C$5)),AQ234+229/1000,""))</f>
        <v/>
      </c>
      <c r="AS234" t="str">
        <f t="shared" si="30"/>
        <v/>
      </c>
      <c r="AT234" t="str">
        <f>IF(AS234="","",IF(ISNUMBER(Roster!$D234),Roster!$D234&gt;=AP234,FALSE))</f>
        <v/>
      </c>
      <c r="AU234" t="str">
        <f t="shared" si="31"/>
        <v/>
      </c>
      <c r="AV234" t="str">
        <f ca="1">IF(229&gt;$AV$2,"",SMALL($AR$6:$AR$505,229))</f>
        <v/>
      </c>
      <c r="AW234" t="str">
        <f t="shared" ca="1" si="32"/>
        <v/>
      </c>
    </row>
    <row r="235" spans="2:49" x14ac:dyDescent="0.2">
      <c r="B235" s="32" t="str">
        <f>IF(AND(ISNUMBER(Roster!$B235),Setup!$B$20="Yes",ISNUMBER(Setup!$C$20)),EDATE(Roster!$B235,12*Setup!$C$20),"")</f>
        <v/>
      </c>
      <c r="C235" s="32" t="str">
        <f>IF(AND(ISNUMBER(Roster!$B235),Setup!$B$21="Yes",ISNUMBER(Setup!$C$21)),EDATE(Roster!$B235,12*Setup!$C$21),"")</f>
        <v/>
      </c>
      <c r="D235" s="32" t="str">
        <f>IF(AND(ISNUMBER(Roster!$B235),Setup!$B$22="Yes",ISNUMBER(Setup!$C$22)),EDATE(Roster!$B235,12*Setup!$C$22),"")</f>
        <v/>
      </c>
      <c r="E235" s="32" t="str">
        <f>IF(AND(ISNUMBER(Roster!$B235),Setup!$B$23="Yes",ISNUMBER(Setup!$C$23)),EDATE(Roster!$B235,12*Setup!$C$23),"")</f>
        <v/>
      </c>
      <c r="F235" s="32" t="str">
        <f>IF(AND(ISNUMBER(Roster!$B235),Setup!$B$24="Yes",ISNUMBER(Setup!$C$24)),EDATE(Roster!$B235,12*Setup!$C$24),"")</f>
        <v/>
      </c>
      <c r="G235" s="32" t="str">
        <f>IF(AND(ISNUMBER(Roster!$B235),Setup!$B$25="Yes",ISNUMBER(Setup!$C$25)),EDATE(Roster!$B235,12*Setup!$C$25),"")</f>
        <v/>
      </c>
      <c r="H235" s="32" t="str">
        <f>IF(AND(ISNUMBER(Roster!$B235),Setup!$B$26="Yes",ISNUMBER(Setup!$C$26)),EDATE(Roster!$B235,12*Setup!$C$26),"")</f>
        <v/>
      </c>
      <c r="I235" s="32" t="str">
        <f>IF(AND(ISNUMBER(Roster!$B235),Setup!$B$27="Yes",ISNUMBER(Setup!$C$27)),EDATE(Roster!$B235,12*Setup!$C$27),"")</f>
        <v/>
      </c>
      <c r="J235" s="32" t="str">
        <f>IF(AND(ISNUMBER(Roster!$B235),Setup!$B$28="Yes",ISNUMBER(Setup!$C$28)),EDATE(Roster!$B235,12*Setup!$C$28),"")</f>
        <v/>
      </c>
      <c r="K235" s="32" t="str">
        <f>IF(AND(ISNUMBER(Roster!$B235),Setup!$B$29="Yes",ISNUMBER(Setup!$C$29)),EDATE(Roster!$B235,12*Setup!$C$29),"")</f>
        <v/>
      </c>
      <c r="L235" s="32" t="str">
        <f>IF(AND(ISNUMBER(Roster!$B235),Setup!$B$30="Yes",ISNUMBER(Setup!$C$30)),EDATE(Roster!$B235,12*Setup!$C$30),"")</f>
        <v/>
      </c>
      <c r="M235" s="32" t="str">
        <f>IF(AND(ISNUMBER(Roster!$B235),Setup!$B$31="Yes",ISNUMBER(Setup!$C$31)),EDATE(Roster!$B235,12*Setup!$C$31),"")</f>
        <v/>
      </c>
      <c r="N235" s="32" t="str">
        <f>IF(AND(ISNUMBER(Roster!$B235),Setup!$B$32="Yes",ISNUMBER(Setup!$C$32)),EDATE(Roster!$B235,12*Setup!$C$32),"")</f>
        <v/>
      </c>
      <c r="O235" s="32" t="str">
        <f>IF(AND(ISNUMBER(Roster!$B235),Setup!$B$33="Yes",ISNUMBER(Setup!$C$33)),EDATE(Roster!$B235,12*Setup!$C$33),"")</f>
        <v/>
      </c>
      <c r="P235" s="32" t="str">
        <f>IF(AND(ISNUMBER(Roster!$B235),Setup!$B$34="Yes",ISNUMBER(Setup!$C$34)),EDATE(Roster!$B235,12*Setup!$C$34),"")</f>
        <v/>
      </c>
      <c r="R235" t="str">
        <f>IF(B235="","",IF(B235&lt;Setup!$C$5-Setup!$C$6,"",IF(IF(ISNUMBER(Roster!$D235),Setup!$C$20&lt;=Roster!$D235,FALSE),"",IF(OR(IF(Setup!$C$15&lt;=Setup!$C$16,AND(MONTH(B235)&gt;=Setup!$C$15,MONTH(B235)&lt;=Setup!$C$16),OR(MONTH(B235)&gt;=Setup!$C$15,MONTH(B235)&lt;=Setup!$C$16)),IF(Setup!$C$15&lt;=Setup!$C$16,AND(MONTH(WORKDAY(B235,-(Setup!$C$13+Setup!$G$20),Setup!$C$39:$C$50))&gt;=Setup!$C$15,MONTH(WORKDAY(B235,-(Setup!$C$13+Setup!$G$20),Setup!$C$39:$C$50))&lt;=Setup!$C$16),OR(MONTH(WORKDAY(B235,-(Setup!$C$13+Setup!$G$20),Setup!$C$39:$C$50))&gt;=Setup!$C$15,MONTH(WORKDAY(B235,-(Setup!$C$13+Setup!$G$20),Setup!$C$39:$C$50))&lt;=Setup!$C$16))),WORKDAY(B235,-(Setup!$C$13+Setup!$G$20+Setup!$C$14),Setup!$C$39:$C$50),WORKDAY(B235,-(Setup!$C$13+Setup!$G$20),Setup!$C$39:$C$50))+(230*100+1)/10000000)))</f>
        <v/>
      </c>
      <c r="S235" t="str">
        <f>IF(C235="","",IF(C235&lt;Setup!$C$5-Setup!$C$6,"",IF(IF(ISNUMBER(Roster!$D235),Setup!$C$21&lt;=Roster!$D235,FALSE),"",IF(OR(IF(Setup!$C$15&lt;=Setup!$C$16,AND(MONTH(C235)&gt;=Setup!$C$15,MONTH(C235)&lt;=Setup!$C$16),OR(MONTH(C235)&gt;=Setup!$C$15,MONTH(C235)&lt;=Setup!$C$16)),IF(Setup!$C$15&lt;=Setup!$C$16,AND(MONTH(WORKDAY(C235,-(Setup!$C$13+Setup!$G$21),Setup!$C$39:$C$50))&gt;=Setup!$C$15,MONTH(WORKDAY(C235,-(Setup!$C$13+Setup!$G$21),Setup!$C$39:$C$50))&lt;=Setup!$C$16),OR(MONTH(WORKDAY(C235,-(Setup!$C$13+Setup!$G$21),Setup!$C$39:$C$50))&gt;=Setup!$C$15,MONTH(WORKDAY(C235,-(Setup!$C$13+Setup!$G$21),Setup!$C$39:$C$50))&lt;=Setup!$C$16))),WORKDAY(C235,-(Setup!$C$13+Setup!$G$21+Setup!$C$14),Setup!$C$39:$C$50),WORKDAY(C235,-(Setup!$C$13+Setup!$G$21),Setup!$C$39:$C$50))+(230*100+2)/10000000)))</f>
        <v/>
      </c>
      <c r="T235" t="str">
        <f>IF(D235="","",IF(D235&lt;Setup!$C$5-Setup!$C$6,"",IF(IF(ISNUMBER(Roster!$D235),Setup!$C$22&lt;=Roster!$D235,FALSE),"",IF(OR(IF(Setup!$C$15&lt;=Setup!$C$16,AND(MONTH(D235)&gt;=Setup!$C$15,MONTH(D235)&lt;=Setup!$C$16),OR(MONTH(D235)&gt;=Setup!$C$15,MONTH(D235)&lt;=Setup!$C$16)),IF(Setup!$C$15&lt;=Setup!$C$16,AND(MONTH(WORKDAY(D235,-(Setup!$C$13+Setup!$G$22),Setup!$C$39:$C$50))&gt;=Setup!$C$15,MONTH(WORKDAY(D235,-(Setup!$C$13+Setup!$G$22),Setup!$C$39:$C$50))&lt;=Setup!$C$16),OR(MONTH(WORKDAY(D235,-(Setup!$C$13+Setup!$G$22),Setup!$C$39:$C$50))&gt;=Setup!$C$15,MONTH(WORKDAY(D235,-(Setup!$C$13+Setup!$G$22),Setup!$C$39:$C$50))&lt;=Setup!$C$16))),WORKDAY(D235,-(Setup!$C$13+Setup!$G$22+Setup!$C$14),Setup!$C$39:$C$50),WORKDAY(D235,-(Setup!$C$13+Setup!$G$22),Setup!$C$39:$C$50))+(230*100+3)/10000000)))</f>
        <v/>
      </c>
      <c r="U235" t="str">
        <f>IF(E235="","",IF(E235&lt;Setup!$C$5-Setup!$C$6,"",IF(IF(ISNUMBER(Roster!$D235),Setup!$C$23&lt;=Roster!$D235,FALSE),"",IF(OR(IF(Setup!$C$15&lt;=Setup!$C$16,AND(MONTH(E235)&gt;=Setup!$C$15,MONTH(E235)&lt;=Setup!$C$16),OR(MONTH(E235)&gt;=Setup!$C$15,MONTH(E235)&lt;=Setup!$C$16)),IF(Setup!$C$15&lt;=Setup!$C$16,AND(MONTH(WORKDAY(E235,-(Setup!$C$13+Setup!$G$23),Setup!$C$39:$C$50))&gt;=Setup!$C$15,MONTH(WORKDAY(E235,-(Setup!$C$13+Setup!$G$23),Setup!$C$39:$C$50))&lt;=Setup!$C$16),OR(MONTH(WORKDAY(E235,-(Setup!$C$13+Setup!$G$23),Setup!$C$39:$C$50))&gt;=Setup!$C$15,MONTH(WORKDAY(E235,-(Setup!$C$13+Setup!$G$23),Setup!$C$39:$C$50))&lt;=Setup!$C$16))),WORKDAY(E235,-(Setup!$C$13+Setup!$G$23+Setup!$C$14),Setup!$C$39:$C$50),WORKDAY(E235,-(Setup!$C$13+Setup!$G$23),Setup!$C$39:$C$50))+(230*100+4)/10000000)))</f>
        <v/>
      </c>
      <c r="V235" t="str">
        <f>IF(F235="","",IF(F235&lt;Setup!$C$5-Setup!$C$6,"",IF(IF(ISNUMBER(Roster!$D235),Setup!$C$24&lt;=Roster!$D235,FALSE),"",IF(OR(IF(Setup!$C$15&lt;=Setup!$C$16,AND(MONTH(F235)&gt;=Setup!$C$15,MONTH(F235)&lt;=Setup!$C$16),OR(MONTH(F235)&gt;=Setup!$C$15,MONTH(F235)&lt;=Setup!$C$16)),IF(Setup!$C$15&lt;=Setup!$C$16,AND(MONTH(WORKDAY(F235,-(Setup!$C$13+Setup!$G$24),Setup!$C$39:$C$50))&gt;=Setup!$C$15,MONTH(WORKDAY(F235,-(Setup!$C$13+Setup!$G$24),Setup!$C$39:$C$50))&lt;=Setup!$C$16),OR(MONTH(WORKDAY(F235,-(Setup!$C$13+Setup!$G$24),Setup!$C$39:$C$50))&gt;=Setup!$C$15,MONTH(WORKDAY(F235,-(Setup!$C$13+Setup!$G$24),Setup!$C$39:$C$50))&lt;=Setup!$C$16))),WORKDAY(F235,-(Setup!$C$13+Setup!$G$24+Setup!$C$14),Setup!$C$39:$C$50),WORKDAY(F235,-(Setup!$C$13+Setup!$G$24),Setup!$C$39:$C$50))+(230*100+5)/10000000)))</f>
        <v/>
      </c>
      <c r="W235" t="str">
        <f>IF(G235="","",IF(G235&lt;Setup!$C$5-Setup!$C$6,"",IF(IF(ISNUMBER(Roster!$D235),Setup!$C$25&lt;=Roster!$D235,FALSE),"",IF(OR(IF(Setup!$C$15&lt;=Setup!$C$16,AND(MONTH(G235)&gt;=Setup!$C$15,MONTH(G235)&lt;=Setup!$C$16),OR(MONTH(G235)&gt;=Setup!$C$15,MONTH(G235)&lt;=Setup!$C$16)),IF(Setup!$C$15&lt;=Setup!$C$16,AND(MONTH(WORKDAY(G235,-(Setup!$C$13+Setup!$G$25),Setup!$C$39:$C$50))&gt;=Setup!$C$15,MONTH(WORKDAY(G235,-(Setup!$C$13+Setup!$G$25),Setup!$C$39:$C$50))&lt;=Setup!$C$16),OR(MONTH(WORKDAY(G235,-(Setup!$C$13+Setup!$G$25),Setup!$C$39:$C$50))&gt;=Setup!$C$15,MONTH(WORKDAY(G235,-(Setup!$C$13+Setup!$G$25),Setup!$C$39:$C$50))&lt;=Setup!$C$16))),WORKDAY(G235,-(Setup!$C$13+Setup!$G$25+Setup!$C$14),Setup!$C$39:$C$50),WORKDAY(G235,-(Setup!$C$13+Setup!$G$25),Setup!$C$39:$C$50))+(230*100+6)/10000000)))</f>
        <v/>
      </c>
      <c r="X235" t="str">
        <f>IF(H235="","",IF(H235&lt;Setup!$C$5-Setup!$C$6,"",IF(IF(ISNUMBER(Roster!$D235),Setup!$C$26&lt;=Roster!$D235,FALSE),"",IF(OR(IF(Setup!$C$15&lt;=Setup!$C$16,AND(MONTH(H235)&gt;=Setup!$C$15,MONTH(H235)&lt;=Setup!$C$16),OR(MONTH(H235)&gt;=Setup!$C$15,MONTH(H235)&lt;=Setup!$C$16)),IF(Setup!$C$15&lt;=Setup!$C$16,AND(MONTH(WORKDAY(H235,-(Setup!$C$13+Setup!$G$26),Setup!$C$39:$C$50))&gt;=Setup!$C$15,MONTH(WORKDAY(H235,-(Setup!$C$13+Setup!$G$26),Setup!$C$39:$C$50))&lt;=Setup!$C$16),OR(MONTH(WORKDAY(H235,-(Setup!$C$13+Setup!$G$26),Setup!$C$39:$C$50))&gt;=Setup!$C$15,MONTH(WORKDAY(H235,-(Setup!$C$13+Setup!$G$26),Setup!$C$39:$C$50))&lt;=Setup!$C$16))),WORKDAY(H235,-(Setup!$C$13+Setup!$G$26+Setup!$C$14),Setup!$C$39:$C$50),WORKDAY(H235,-(Setup!$C$13+Setup!$G$26),Setup!$C$39:$C$50))+(230*100+7)/10000000)))</f>
        <v/>
      </c>
      <c r="Y235" t="str">
        <f>IF(I235="","",IF(I235&lt;Setup!$C$5-Setup!$C$6,"",IF(IF(ISNUMBER(Roster!$D235),Setup!$C$27&lt;=Roster!$D235,FALSE),"",IF(OR(IF(Setup!$C$15&lt;=Setup!$C$16,AND(MONTH(I235)&gt;=Setup!$C$15,MONTH(I235)&lt;=Setup!$C$16),OR(MONTH(I235)&gt;=Setup!$C$15,MONTH(I235)&lt;=Setup!$C$16)),IF(Setup!$C$15&lt;=Setup!$C$16,AND(MONTH(WORKDAY(I235,-(Setup!$C$13+Setup!$G$27),Setup!$C$39:$C$50))&gt;=Setup!$C$15,MONTH(WORKDAY(I235,-(Setup!$C$13+Setup!$G$27),Setup!$C$39:$C$50))&lt;=Setup!$C$16),OR(MONTH(WORKDAY(I235,-(Setup!$C$13+Setup!$G$27),Setup!$C$39:$C$50))&gt;=Setup!$C$15,MONTH(WORKDAY(I235,-(Setup!$C$13+Setup!$G$27),Setup!$C$39:$C$50))&lt;=Setup!$C$16))),WORKDAY(I235,-(Setup!$C$13+Setup!$G$27+Setup!$C$14),Setup!$C$39:$C$50),WORKDAY(I235,-(Setup!$C$13+Setup!$G$27),Setup!$C$39:$C$50))+(230*100+8)/10000000)))</f>
        <v/>
      </c>
      <c r="Z235" t="str">
        <f>IF(J235="","",IF(J235&lt;Setup!$C$5-Setup!$C$6,"",IF(IF(ISNUMBER(Roster!$D235),Setup!$C$28&lt;=Roster!$D235,FALSE),"",IF(OR(IF(Setup!$C$15&lt;=Setup!$C$16,AND(MONTH(J235)&gt;=Setup!$C$15,MONTH(J235)&lt;=Setup!$C$16),OR(MONTH(J235)&gt;=Setup!$C$15,MONTH(J235)&lt;=Setup!$C$16)),IF(Setup!$C$15&lt;=Setup!$C$16,AND(MONTH(WORKDAY(J235,-(Setup!$C$13+Setup!$G$28),Setup!$C$39:$C$50))&gt;=Setup!$C$15,MONTH(WORKDAY(J235,-(Setup!$C$13+Setup!$G$28),Setup!$C$39:$C$50))&lt;=Setup!$C$16),OR(MONTH(WORKDAY(J235,-(Setup!$C$13+Setup!$G$28),Setup!$C$39:$C$50))&gt;=Setup!$C$15,MONTH(WORKDAY(J235,-(Setup!$C$13+Setup!$G$28),Setup!$C$39:$C$50))&lt;=Setup!$C$16))),WORKDAY(J235,-(Setup!$C$13+Setup!$G$28+Setup!$C$14),Setup!$C$39:$C$50),WORKDAY(J235,-(Setup!$C$13+Setup!$G$28),Setup!$C$39:$C$50))+(230*100+9)/10000000)))</f>
        <v/>
      </c>
      <c r="AA235" t="str">
        <f>IF(K235="","",IF(K235&lt;Setup!$C$5-Setup!$C$6,"",IF(IF(ISNUMBER(Roster!$D235),Setup!$C$29&lt;=Roster!$D235,FALSE),"",IF(OR(IF(Setup!$C$15&lt;=Setup!$C$16,AND(MONTH(K235)&gt;=Setup!$C$15,MONTH(K235)&lt;=Setup!$C$16),OR(MONTH(K235)&gt;=Setup!$C$15,MONTH(K235)&lt;=Setup!$C$16)),IF(Setup!$C$15&lt;=Setup!$C$16,AND(MONTH(WORKDAY(K235,-(Setup!$C$13+Setup!$G$29),Setup!$C$39:$C$50))&gt;=Setup!$C$15,MONTH(WORKDAY(K235,-(Setup!$C$13+Setup!$G$29),Setup!$C$39:$C$50))&lt;=Setup!$C$16),OR(MONTH(WORKDAY(K235,-(Setup!$C$13+Setup!$G$29),Setup!$C$39:$C$50))&gt;=Setup!$C$15,MONTH(WORKDAY(K235,-(Setup!$C$13+Setup!$G$29),Setup!$C$39:$C$50))&lt;=Setup!$C$16))),WORKDAY(K235,-(Setup!$C$13+Setup!$G$29+Setup!$C$14),Setup!$C$39:$C$50),WORKDAY(K235,-(Setup!$C$13+Setup!$G$29),Setup!$C$39:$C$50))+(230*100+10)/10000000)))</f>
        <v/>
      </c>
      <c r="AB235" t="str">
        <f>IF(L235="","",IF(L235&lt;Setup!$C$5-Setup!$C$6,"",IF(IF(ISNUMBER(Roster!$D235),Setup!$C$30&lt;=Roster!$D235,FALSE),"",IF(OR(IF(Setup!$C$15&lt;=Setup!$C$16,AND(MONTH(L235)&gt;=Setup!$C$15,MONTH(L235)&lt;=Setup!$C$16),OR(MONTH(L235)&gt;=Setup!$C$15,MONTH(L235)&lt;=Setup!$C$16)),IF(Setup!$C$15&lt;=Setup!$C$16,AND(MONTH(WORKDAY(L235,-(Setup!$C$13+Setup!$G$30),Setup!$C$39:$C$50))&gt;=Setup!$C$15,MONTH(WORKDAY(L235,-(Setup!$C$13+Setup!$G$30),Setup!$C$39:$C$50))&lt;=Setup!$C$16),OR(MONTH(WORKDAY(L235,-(Setup!$C$13+Setup!$G$30),Setup!$C$39:$C$50))&gt;=Setup!$C$15,MONTH(WORKDAY(L235,-(Setup!$C$13+Setup!$G$30),Setup!$C$39:$C$50))&lt;=Setup!$C$16))),WORKDAY(L235,-(Setup!$C$13+Setup!$G$30+Setup!$C$14),Setup!$C$39:$C$50),WORKDAY(L235,-(Setup!$C$13+Setup!$G$30),Setup!$C$39:$C$50))+(230*100+11)/10000000)))</f>
        <v/>
      </c>
      <c r="AC235" t="str">
        <f>IF(M235="","",IF(M235&lt;Setup!$C$5-Setup!$C$6,"",IF(IF(ISNUMBER(Roster!$D235),Setup!$C$31&lt;=Roster!$D235,FALSE),"",IF(OR(IF(Setup!$C$15&lt;=Setup!$C$16,AND(MONTH(M235)&gt;=Setup!$C$15,MONTH(M235)&lt;=Setup!$C$16),OR(MONTH(M235)&gt;=Setup!$C$15,MONTH(M235)&lt;=Setup!$C$16)),IF(Setup!$C$15&lt;=Setup!$C$16,AND(MONTH(WORKDAY(M235,-(Setup!$C$13+Setup!$G$31),Setup!$C$39:$C$50))&gt;=Setup!$C$15,MONTH(WORKDAY(M235,-(Setup!$C$13+Setup!$G$31),Setup!$C$39:$C$50))&lt;=Setup!$C$16),OR(MONTH(WORKDAY(M235,-(Setup!$C$13+Setup!$G$31),Setup!$C$39:$C$50))&gt;=Setup!$C$15,MONTH(WORKDAY(M235,-(Setup!$C$13+Setup!$G$31),Setup!$C$39:$C$50))&lt;=Setup!$C$16))),WORKDAY(M235,-(Setup!$C$13+Setup!$G$31+Setup!$C$14),Setup!$C$39:$C$50),WORKDAY(M235,-(Setup!$C$13+Setup!$G$31),Setup!$C$39:$C$50))+(230*100+12)/10000000)))</f>
        <v/>
      </c>
      <c r="AD235" t="str">
        <f>IF(N235="","",IF(N235&lt;Setup!$C$5-Setup!$C$6,"",IF(IF(ISNUMBER(Roster!$D235),Setup!$C$32&lt;=Roster!$D235,FALSE),"",IF(OR(IF(Setup!$C$15&lt;=Setup!$C$16,AND(MONTH(N235)&gt;=Setup!$C$15,MONTH(N235)&lt;=Setup!$C$16),OR(MONTH(N235)&gt;=Setup!$C$15,MONTH(N235)&lt;=Setup!$C$16)),IF(Setup!$C$15&lt;=Setup!$C$16,AND(MONTH(WORKDAY(N235,-(Setup!$C$13+Setup!$G$32),Setup!$C$39:$C$50))&gt;=Setup!$C$15,MONTH(WORKDAY(N235,-(Setup!$C$13+Setup!$G$32),Setup!$C$39:$C$50))&lt;=Setup!$C$16),OR(MONTH(WORKDAY(N235,-(Setup!$C$13+Setup!$G$32),Setup!$C$39:$C$50))&gt;=Setup!$C$15,MONTH(WORKDAY(N235,-(Setup!$C$13+Setup!$G$32),Setup!$C$39:$C$50))&lt;=Setup!$C$16))),WORKDAY(N235,-(Setup!$C$13+Setup!$G$32+Setup!$C$14),Setup!$C$39:$C$50),WORKDAY(N235,-(Setup!$C$13+Setup!$G$32),Setup!$C$39:$C$50))+(230*100+13)/10000000)))</f>
        <v/>
      </c>
      <c r="AE235" t="str">
        <f>IF(O235="","",IF(O235&lt;Setup!$C$5-Setup!$C$6,"",IF(IF(ISNUMBER(Roster!$D235),Setup!$C$33&lt;=Roster!$D235,FALSE),"",IF(OR(IF(Setup!$C$15&lt;=Setup!$C$16,AND(MONTH(O235)&gt;=Setup!$C$15,MONTH(O235)&lt;=Setup!$C$16),OR(MONTH(O235)&gt;=Setup!$C$15,MONTH(O235)&lt;=Setup!$C$16)),IF(Setup!$C$15&lt;=Setup!$C$16,AND(MONTH(WORKDAY(O235,-(Setup!$C$13+Setup!$G$33),Setup!$C$39:$C$50))&gt;=Setup!$C$15,MONTH(WORKDAY(O235,-(Setup!$C$13+Setup!$G$33),Setup!$C$39:$C$50))&lt;=Setup!$C$16),OR(MONTH(WORKDAY(O235,-(Setup!$C$13+Setup!$G$33),Setup!$C$39:$C$50))&gt;=Setup!$C$15,MONTH(WORKDAY(O235,-(Setup!$C$13+Setup!$G$33),Setup!$C$39:$C$50))&lt;=Setup!$C$16))),WORKDAY(O235,-(Setup!$C$13+Setup!$G$33+Setup!$C$14),Setup!$C$39:$C$50),WORKDAY(O235,-(Setup!$C$13+Setup!$G$33),Setup!$C$39:$C$50))+(230*100+14)/10000000)))</f>
        <v/>
      </c>
      <c r="AF235" t="str">
        <f>IF(P235="","",IF(P235&lt;Setup!$C$5-Setup!$C$6,"",IF(IF(ISNUMBER(Roster!$D235),Setup!$C$34&lt;=Roster!$D235,FALSE),"",IF(OR(IF(Setup!$C$15&lt;=Setup!$C$16,AND(MONTH(P235)&gt;=Setup!$C$15,MONTH(P235)&lt;=Setup!$C$16),OR(MONTH(P235)&gt;=Setup!$C$15,MONTH(P235)&lt;=Setup!$C$16)),IF(Setup!$C$15&lt;=Setup!$C$16,AND(MONTH(WORKDAY(P235,-(Setup!$C$13+Setup!$G$34),Setup!$C$39:$C$50))&gt;=Setup!$C$15,MONTH(WORKDAY(P235,-(Setup!$C$13+Setup!$G$34),Setup!$C$39:$C$50))&lt;=Setup!$C$16),OR(MONTH(WORKDAY(P235,-(Setup!$C$13+Setup!$G$34),Setup!$C$39:$C$50))&gt;=Setup!$C$15,MONTH(WORKDAY(P235,-(Setup!$C$13+Setup!$G$34),Setup!$C$39:$C$50))&lt;=Setup!$C$16))),WORKDAY(P235,-(Setup!$C$13+Setup!$G$34+Setup!$C$14),Setup!$C$39:$C$50),WORKDAY(P235,-(Setup!$C$13+Setup!$G$34),Setup!$C$39:$C$50))+(230*100+15)/10000000)))</f>
        <v/>
      </c>
      <c r="AH235" t="str">
        <f t="shared" si="25"/>
        <v/>
      </c>
      <c r="AI235" t="str">
        <f t="shared" si="26"/>
        <v/>
      </c>
      <c r="AK235" t="str">
        <f ca="1">IF(230&gt;$AK$2,"",SMALL($R$6:$AF$505,230))</f>
        <v/>
      </c>
      <c r="AL235" t="str">
        <f t="shared" ca="1" si="27"/>
        <v/>
      </c>
      <c r="AM235" t="str">
        <f t="shared" ca="1" si="28"/>
        <v/>
      </c>
      <c r="AN235" t="str">
        <f t="shared" ca="1" si="29"/>
        <v/>
      </c>
      <c r="AP235" t="str">
        <f>IF(ISNUMBER(Roster!$B235),MAX(1,YEAR(Setup!$C$5)-YEAR(Roster!$B235)+IF(EDATE(Roster!$B235,12*(YEAR(Setup!$C$5)-YEAR(Roster!$B235)))&lt;Setup!$C$5,1,0)),"")</f>
        <v/>
      </c>
      <c r="AQ235" s="32" t="str">
        <f>IF(AP235="","",EDATE(Roster!$B235,12*AP235))</f>
        <v/>
      </c>
      <c r="AR235" t="str">
        <f>IF(AQ235="","",IF(AQ235&lt;DATE(YEAR(Setup!$C$5)+1,MONTH(Setup!$C$5),DAY(Setup!$C$5)),AQ235+230/1000,""))</f>
        <v/>
      </c>
      <c r="AS235" t="str">
        <f t="shared" si="30"/>
        <v/>
      </c>
      <c r="AT235" t="str">
        <f>IF(AS235="","",IF(ISNUMBER(Roster!$D235),Roster!$D235&gt;=AP235,FALSE))</f>
        <v/>
      </c>
      <c r="AU235" t="str">
        <f t="shared" si="31"/>
        <v/>
      </c>
      <c r="AV235" t="str">
        <f ca="1">IF(230&gt;$AV$2,"",SMALL($AR$6:$AR$505,230))</f>
        <v/>
      </c>
      <c r="AW235" t="str">
        <f t="shared" ca="1" si="32"/>
        <v/>
      </c>
    </row>
    <row r="236" spans="2:49" x14ac:dyDescent="0.2">
      <c r="B236" s="32" t="str">
        <f>IF(AND(ISNUMBER(Roster!$B236),Setup!$B$20="Yes",ISNUMBER(Setup!$C$20)),EDATE(Roster!$B236,12*Setup!$C$20),"")</f>
        <v/>
      </c>
      <c r="C236" s="32" t="str">
        <f>IF(AND(ISNUMBER(Roster!$B236),Setup!$B$21="Yes",ISNUMBER(Setup!$C$21)),EDATE(Roster!$B236,12*Setup!$C$21),"")</f>
        <v/>
      </c>
      <c r="D236" s="32" t="str">
        <f>IF(AND(ISNUMBER(Roster!$B236),Setup!$B$22="Yes",ISNUMBER(Setup!$C$22)),EDATE(Roster!$B236,12*Setup!$C$22),"")</f>
        <v/>
      </c>
      <c r="E236" s="32" t="str">
        <f>IF(AND(ISNUMBER(Roster!$B236),Setup!$B$23="Yes",ISNUMBER(Setup!$C$23)),EDATE(Roster!$B236,12*Setup!$C$23),"")</f>
        <v/>
      </c>
      <c r="F236" s="32" t="str">
        <f>IF(AND(ISNUMBER(Roster!$B236),Setup!$B$24="Yes",ISNUMBER(Setup!$C$24)),EDATE(Roster!$B236,12*Setup!$C$24),"")</f>
        <v/>
      </c>
      <c r="G236" s="32" t="str">
        <f>IF(AND(ISNUMBER(Roster!$B236),Setup!$B$25="Yes",ISNUMBER(Setup!$C$25)),EDATE(Roster!$B236,12*Setup!$C$25),"")</f>
        <v/>
      </c>
      <c r="H236" s="32" t="str">
        <f>IF(AND(ISNUMBER(Roster!$B236),Setup!$B$26="Yes",ISNUMBER(Setup!$C$26)),EDATE(Roster!$B236,12*Setup!$C$26),"")</f>
        <v/>
      </c>
      <c r="I236" s="32" t="str">
        <f>IF(AND(ISNUMBER(Roster!$B236),Setup!$B$27="Yes",ISNUMBER(Setup!$C$27)),EDATE(Roster!$B236,12*Setup!$C$27),"")</f>
        <v/>
      </c>
      <c r="J236" s="32" t="str">
        <f>IF(AND(ISNUMBER(Roster!$B236),Setup!$B$28="Yes",ISNUMBER(Setup!$C$28)),EDATE(Roster!$B236,12*Setup!$C$28),"")</f>
        <v/>
      </c>
      <c r="K236" s="32" t="str">
        <f>IF(AND(ISNUMBER(Roster!$B236),Setup!$B$29="Yes",ISNUMBER(Setup!$C$29)),EDATE(Roster!$B236,12*Setup!$C$29),"")</f>
        <v/>
      </c>
      <c r="L236" s="32" t="str">
        <f>IF(AND(ISNUMBER(Roster!$B236),Setup!$B$30="Yes",ISNUMBER(Setup!$C$30)),EDATE(Roster!$B236,12*Setup!$C$30),"")</f>
        <v/>
      </c>
      <c r="M236" s="32" t="str">
        <f>IF(AND(ISNUMBER(Roster!$B236),Setup!$B$31="Yes",ISNUMBER(Setup!$C$31)),EDATE(Roster!$B236,12*Setup!$C$31),"")</f>
        <v/>
      </c>
      <c r="N236" s="32" t="str">
        <f>IF(AND(ISNUMBER(Roster!$B236),Setup!$B$32="Yes",ISNUMBER(Setup!$C$32)),EDATE(Roster!$B236,12*Setup!$C$32),"")</f>
        <v/>
      </c>
      <c r="O236" s="32" t="str">
        <f>IF(AND(ISNUMBER(Roster!$B236),Setup!$B$33="Yes",ISNUMBER(Setup!$C$33)),EDATE(Roster!$B236,12*Setup!$C$33),"")</f>
        <v/>
      </c>
      <c r="P236" s="32" t="str">
        <f>IF(AND(ISNUMBER(Roster!$B236),Setup!$B$34="Yes",ISNUMBER(Setup!$C$34)),EDATE(Roster!$B236,12*Setup!$C$34),"")</f>
        <v/>
      </c>
      <c r="R236" t="str">
        <f>IF(B236="","",IF(B236&lt;Setup!$C$5-Setup!$C$6,"",IF(IF(ISNUMBER(Roster!$D236),Setup!$C$20&lt;=Roster!$D236,FALSE),"",IF(OR(IF(Setup!$C$15&lt;=Setup!$C$16,AND(MONTH(B236)&gt;=Setup!$C$15,MONTH(B236)&lt;=Setup!$C$16),OR(MONTH(B236)&gt;=Setup!$C$15,MONTH(B236)&lt;=Setup!$C$16)),IF(Setup!$C$15&lt;=Setup!$C$16,AND(MONTH(WORKDAY(B236,-(Setup!$C$13+Setup!$G$20),Setup!$C$39:$C$50))&gt;=Setup!$C$15,MONTH(WORKDAY(B236,-(Setup!$C$13+Setup!$G$20),Setup!$C$39:$C$50))&lt;=Setup!$C$16),OR(MONTH(WORKDAY(B236,-(Setup!$C$13+Setup!$G$20),Setup!$C$39:$C$50))&gt;=Setup!$C$15,MONTH(WORKDAY(B236,-(Setup!$C$13+Setup!$G$20),Setup!$C$39:$C$50))&lt;=Setup!$C$16))),WORKDAY(B236,-(Setup!$C$13+Setup!$G$20+Setup!$C$14),Setup!$C$39:$C$50),WORKDAY(B236,-(Setup!$C$13+Setup!$G$20),Setup!$C$39:$C$50))+(231*100+1)/10000000)))</f>
        <v/>
      </c>
      <c r="S236" t="str">
        <f>IF(C236="","",IF(C236&lt;Setup!$C$5-Setup!$C$6,"",IF(IF(ISNUMBER(Roster!$D236),Setup!$C$21&lt;=Roster!$D236,FALSE),"",IF(OR(IF(Setup!$C$15&lt;=Setup!$C$16,AND(MONTH(C236)&gt;=Setup!$C$15,MONTH(C236)&lt;=Setup!$C$16),OR(MONTH(C236)&gt;=Setup!$C$15,MONTH(C236)&lt;=Setup!$C$16)),IF(Setup!$C$15&lt;=Setup!$C$16,AND(MONTH(WORKDAY(C236,-(Setup!$C$13+Setup!$G$21),Setup!$C$39:$C$50))&gt;=Setup!$C$15,MONTH(WORKDAY(C236,-(Setup!$C$13+Setup!$G$21),Setup!$C$39:$C$50))&lt;=Setup!$C$16),OR(MONTH(WORKDAY(C236,-(Setup!$C$13+Setup!$G$21),Setup!$C$39:$C$50))&gt;=Setup!$C$15,MONTH(WORKDAY(C236,-(Setup!$C$13+Setup!$G$21),Setup!$C$39:$C$50))&lt;=Setup!$C$16))),WORKDAY(C236,-(Setup!$C$13+Setup!$G$21+Setup!$C$14),Setup!$C$39:$C$50),WORKDAY(C236,-(Setup!$C$13+Setup!$G$21),Setup!$C$39:$C$50))+(231*100+2)/10000000)))</f>
        <v/>
      </c>
      <c r="T236" t="str">
        <f>IF(D236="","",IF(D236&lt;Setup!$C$5-Setup!$C$6,"",IF(IF(ISNUMBER(Roster!$D236),Setup!$C$22&lt;=Roster!$D236,FALSE),"",IF(OR(IF(Setup!$C$15&lt;=Setup!$C$16,AND(MONTH(D236)&gt;=Setup!$C$15,MONTH(D236)&lt;=Setup!$C$16),OR(MONTH(D236)&gt;=Setup!$C$15,MONTH(D236)&lt;=Setup!$C$16)),IF(Setup!$C$15&lt;=Setup!$C$16,AND(MONTH(WORKDAY(D236,-(Setup!$C$13+Setup!$G$22),Setup!$C$39:$C$50))&gt;=Setup!$C$15,MONTH(WORKDAY(D236,-(Setup!$C$13+Setup!$G$22),Setup!$C$39:$C$50))&lt;=Setup!$C$16),OR(MONTH(WORKDAY(D236,-(Setup!$C$13+Setup!$G$22),Setup!$C$39:$C$50))&gt;=Setup!$C$15,MONTH(WORKDAY(D236,-(Setup!$C$13+Setup!$G$22),Setup!$C$39:$C$50))&lt;=Setup!$C$16))),WORKDAY(D236,-(Setup!$C$13+Setup!$G$22+Setup!$C$14),Setup!$C$39:$C$50),WORKDAY(D236,-(Setup!$C$13+Setup!$G$22),Setup!$C$39:$C$50))+(231*100+3)/10000000)))</f>
        <v/>
      </c>
      <c r="U236" t="str">
        <f>IF(E236="","",IF(E236&lt;Setup!$C$5-Setup!$C$6,"",IF(IF(ISNUMBER(Roster!$D236),Setup!$C$23&lt;=Roster!$D236,FALSE),"",IF(OR(IF(Setup!$C$15&lt;=Setup!$C$16,AND(MONTH(E236)&gt;=Setup!$C$15,MONTH(E236)&lt;=Setup!$C$16),OR(MONTH(E236)&gt;=Setup!$C$15,MONTH(E236)&lt;=Setup!$C$16)),IF(Setup!$C$15&lt;=Setup!$C$16,AND(MONTH(WORKDAY(E236,-(Setup!$C$13+Setup!$G$23),Setup!$C$39:$C$50))&gt;=Setup!$C$15,MONTH(WORKDAY(E236,-(Setup!$C$13+Setup!$G$23),Setup!$C$39:$C$50))&lt;=Setup!$C$16),OR(MONTH(WORKDAY(E236,-(Setup!$C$13+Setup!$G$23),Setup!$C$39:$C$50))&gt;=Setup!$C$15,MONTH(WORKDAY(E236,-(Setup!$C$13+Setup!$G$23),Setup!$C$39:$C$50))&lt;=Setup!$C$16))),WORKDAY(E236,-(Setup!$C$13+Setup!$G$23+Setup!$C$14),Setup!$C$39:$C$50),WORKDAY(E236,-(Setup!$C$13+Setup!$G$23),Setup!$C$39:$C$50))+(231*100+4)/10000000)))</f>
        <v/>
      </c>
      <c r="V236" t="str">
        <f>IF(F236="","",IF(F236&lt;Setup!$C$5-Setup!$C$6,"",IF(IF(ISNUMBER(Roster!$D236),Setup!$C$24&lt;=Roster!$D236,FALSE),"",IF(OR(IF(Setup!$C$15&lt;=Setup!$C$16,AND(MONTH(F236)&gt;=Setup!$C$15,MONTH(F236)&lt;=Setup!$C$16),OR(MONTH(F236)&gt;=Setup!$C$15,MONTH(F236)&lt;=Setup!$C$16)),IF(Setup!$C$15&lt;=Setup!$C$16,AND(MONTH(WORKDAY(F236,-(Setup!$C$13+Setup!$G$24),Setup!$C$39:$C$50))&gt;=Setup!$C$15,MONTH(WORKDAY(F236,-(Setup!$C$13+Setup!$G$24),Setup!$C$39:$C$50))&lt;=Setup!$C$16),OR(MONTH(WORKDAY(F236,-(Setup!$C$13+Setup!$G$24),Setup!$C$39:$C$50))&gt;=Setup!$C$15,MONTH(WORKDAY(F236,-(Setup!$C$13+Setup!$G$24),Setup!$C$39:$C$50))&lt;=Setup!$C$16))),WORKDAY(F236,-(Setup!$C$13+Setup!$G$24+Setup!$C$14),Setup!$C$39:$C$50),WORKDAY(F236,-(Setup!$C$13+Setup!$G$24),Setup!$C$39:$C$50))+(231*100+5)/10000000)))</f>
        <v/>
      </c>
      <c r="W236" t="str">
        <f>IF(G236="","",IF(G236&lt;Setup!$C$5-Setup!$C$6,"",IF(IF(ISNUMBER(Roster!$D236),Setup!$C$25&lt;=Roster!$D236,FALSE),"",IF(OR(IF(Setup!$C$15&lt;=Setup!$C$16,AND(MONTH(G236)&gt;=Setup!$C$15,MONTH(G236)&lt;=Setup!$C$16),OR(MONTH(G236)&gt;=Setup!$C$15,MONTH(G236)&lt;=Setup!$C$16)),IF(Setup!$C$15&lt;=Setup!$C$16,AND(MONTH(WORKDAY(G236,-(Setup!$C$13+Setup!$G$25),Setup!$C$39:$C$50))&gt;=Setup!$C$15,MONTH(WORKDAY(G236,-(Setup!$C$13+Setup!$G$25),Setup!$C$39:$C$50))&lt;=Setup!$C$16),OR(MONTH(WORKDAY(G236,-(Setup!$C$13+Setup!$G$25),Setup!$C$39:$C$50))&gt;=Setup!$C$15,MONTH(WORKDAY(G236,-(Setup!$C$13+Setup!$G$25),Setup!$C$39:$C$50))&lt;=Setup!$C$16))),WORKDAY(G236,-(Setup!$C$13+Setup!$G$25+Setup!$C$14),Setup!$C$39:$C$50),WORKDAY(G236,-(Setup!$C$13+Setup!$G$25),Setup!$C$39:$C$50))+(231*100+6)/10000000)))</f>
        <v/>
      </c>
      <c r="X236" t="str">
        <f>IF(H236="","",IF(H236&lt;Setup!$C$5-Setup!$C$6,"",IF(IF(ISNUMBER(Roster!$D236),Setup!$C$26&lt;=Roster!$D236,FALSE),"",IF(OR(IF(Setup!$C$15&lt;=Setup!$C$16,AND(MONTH(H236)&gt;=Setup!$C$15,MONTH(H236)&lt;=Setup!$C$16),OR(MONTH(H236)&gt;=Setup!$C$15,MONTH(H236)&lt;=Setup!$C$16)),IF(Setup!$C$15&lt;=Setup!$C$16,AND(MONTH(WORKDAY(H236,-(Setup!$C$13+Setup!$G$26),Setup!$C$39:$C$50))&gt;=Setup!$C$15,MONTH(WORKDAY(H236,-(Setup!$C$13+Setup!$G$26),Setup!$C$39:$C$50))&lt;=Setup!$C$16),OR(MONTH(WORKDAY(H236,-(Setup!$C$13+Setup!$G$26),Setup!$C$39:$C$50))&gt;=Setup!$C$15,MONTH(WORKDAY(H236,-(Setup!$C$13+Setup!$G$26),Setup!$C$39:$C$50))&lt;=Setup!$C$16))),WORKDAY(H236,-(Setup!$C$13+Setup!$G$26+Setup!$C$14),Setup!$C$39:$C$50),WORKDAY(H236,-(Setup!$C$13+Setup!$G$26),Setup!$C$39:$C$50))+(231*100+7)/10000000)))</f>
        <v/>
      </c>
      <c r="Y236" t="str">
        <f>IF(I236="","",IF(I236&lt;Setup!$C$5-Setup!$C$6,"",IF(IF(ISNUMBER(Roster!$D236),Setup!$C$27&lt;=Roster!$D236,FALSE),"",IF(OR(IF(Setup!$C$15&lt;=Setup!$C$16,AND(MONTH(I236)&gt;=Setup!$C$15,MONTH(I236)&lt;=Setup!$C$16),OR(MONTH(I236)&gt;=Setup!$C$15,MONTH(I236)&lt;=Setup!$C$16)),IF(Setup!$C$15&lt;=Setup!$C$16,AND(MONTH(WORKDAY(I236,-(Setup!$C$13+Setup!$G$27),Setup!$C$39:$C$50))&gt;=Setup!$C$15,MONTH(WORKDAY(I236,-(Setup!$C$13+Setup!$G$27),Setup!$C$39:$C$50))&lt;=Setup!$C$16),OR(MONTH(WORKDAY(I236,-(Setup!$C$13+Setup!$G$27),Setup!$C$39:$C$50))&gt;=Setup!$C$15,MONTH(WORKDAY(I236,-(Setup!$C$13+Setup!$G$27),Setup!$C$39:$C$50))&lt;=Setup!$C$16))),WORKDAY(I236,-(Setup!$C$13+Setup!$G$27+Setup!$C$14),Setup!$C$39:$C$50),WORKDAY(I236,-(Setup!$C$13+Setup!$G$27),Setup!$C$39:$C$50))+(231*100+8)/10000000)))</f>
        <v/>
      </c>
      <c r="Z236" t="str">
        <f>IF(J236="","",IF(J236&lt;Setup!$C$5-Setup!$C$6,"",IF(IF(ISNUMBER(Roster!$D236),Setup!$C$28&lt;=Roster!$D236,FALSE),"",IF(OR(IF(Setup!$C$15&lt;=Setup!$C$16,AND(MONTH(J236)&gt;=Setup!$C$15,MONTH(J236)&lt;=Setup!$C$16),OR(MONTH(J236)&gt;=Setup!$C$15,MONTH(J236)&lt;=Setup!$C$16)),IF(Setup!$C$15&lt;=Setup!$C$16,AND(MONTH(WORKDAY(J236,-(Setup!$C$13+Setup!$G$28),Setup!$C$39:$C$50))&gt;=Setup!$C$15,MONTH(WORKDAY(J236,-(Setup!$C$13+Setup!$G$28),Setup!$C$39:$C$50))&lt;=Setup!$C$16),OR(MONTH(WORKDAY(J236,-(Setup!$C$13+Setup!$G$28),Setup!$C$39:$C$50))&gt;=Setup!$C$15,MONTH(WORKDAY(J236,-(Setup!$C$13+Setup!$G$28),Setup!$C$39:$C$50))&lt;=Setup!$C$16))),WORKDAY(J236,-(Setup!$C$13+Setup!$G$28+Setup!$C$14),Setup!$C$39:$C$50),WORKDAY(J236,-(Setup!$C$13+Setup!$G$28),Setup!$C$39:$C$50))+(231*100+9)/10000000)))</f>
        <v/>
      </c>
      <c r="AA236" t="str">
        <f>IF(K236="","",IF(K236&lt;Setup!$C$5-Setup!$C$6,"",IF(IF(ISNUMBER(Roster!$D236),Setup!$C$29&lt;=Roster!$D236,FALSE),"",IF(OR(IF(Setup!$C$15&lt;=Setup!$C$16,AND(MONTH(K236)&gt;=Setup!$C$15,MONTH(K236)&lt;=Setup!$C$16),OR(MONTH(K236)&gt;=Setup!$C$15,MONTH(K236)&lt;=Setup!$C$16)),IF(Setup!$C$15&lt;=Setup!$C$16,AND(MONTH(WORKDAY(K236,-(Setup!$C$13+Setup!$G$29),Setup!$C$39:$C$50))&gt;=Setup!$C$15,MONTH(WORKDAY(K236,-(Setup!$C$13+Setup!$G$29),Setup!$C$39:$C$50))&lt;=Setup!$C$16),OR(MONTH(WORKDAY(K236,-(Setup!$C$13+Setup!$G$29),Setup!$C$39:$C$50))&gt;=Setup!$C$15,MONTH(WORKDAY(K236,-(Setup!$C$13+Setup!$G$29),Setup!$C$39:$C$50))&lt;=Setup!$C$16))),WORKDAY(K236,-(Setup!$C$13+Setup!$G$29+Setup!$C$14),Setup!$C$39:$C$50),WORKDAY(K236,-(Setup!$C$13+Setup!$G$29),Setup!$C$39:$C$50))+(231*100+10)/10000000)))</f>
        <v/>
      </c>
      <c r="AB236" t="str">
        <f>IF(L236="","",IF(L236&lt;Setup!$C$5-Setup!$C$6,"",IF(IF(ISNUMBER(Roster!$D236),Setup!$C$30&lt;=Roster!$D236,FALSE),"",IF(OR(IF(Setup!$C$15&lt;=Setup!$C$16,AND(MONTH(L236)&gt;=Setup!$C$15,MONTH(L236)&lt;=Setup!$C$16),OR(MONTH(L236)&gt;=Setup!$C$15,MONTH(L236)&lt;=Setup!$C$16)),IF(Setup!$C$15&lt;=Setup!$C$16,AND(MONTH(WORKDAY(L236,-(Setup!$C$13+Setup!$G$30),Setup!$C$39:$C$50))&gt;=Setup!$C$15,MONTH(WORKDAY(L236,-(Setup!$C$13+Setup!$G$30),Setup!$C$39:$C$50))&lt;=Setup!$C$16),OR(MONTH(WORKDAY(L236,-(Setup!$C$13+Setup!$G$30),Setup!$C$39:$C$50))&gt;=Setup!$C$15,MONTH(WORKDAY(L236,-(Setup!$C$13+Setup!$G$30),Setup!$C$39:$C$50))&lt;=Setup!$C$16))),WORKDAY(L236,-(Setup!$C$13+Setup!$G$30+Setup!$C$14),Setup!$C$39:$C$50),WORKDAY(L236,-(Setup!$C$13+Setup!$G$30),Setup!$C$39:$C$50))+(231*100+11)/10000000)))</f>
        <v/>
      </c>
      <c r="AC236" t="str">
        <f>IF(M236="","",IF(M236&lt;Setup!$C$5-Setup!$C$6,"",IF(IF(ISNUMBER(Roster!$D236),Setup!$C$31&lt;=Roster!$D236,FALSE),"",IF(OR(IF(Setup!$C$15&lt;=Setup!$C$16,AND(MONTH(M236)&gt;=Setup!$C$15,MONTH(M236)&lt;=Setup!$C$16),OR(MONTH(M236)&gt;=Setup!$C$15,MONTH(M236)&lt;=Setup!$C$16)),IF(Setup!$C$15&lt;=Setup!$C$16,AND(MONTH(WORKDAY(M236,-(Setup!$C$13+Setup!$G$31),Setup!$C$39:$C$50))&gt;=Setup!$C$15,MONTH(WORKDAY(M236,-(Setup!$C$13+Setup!$G$31),Setup!$C$39:$C$50))&lt;=Setup!$C$16),OR(MONTH(WORKDAY(M236,-(Setup!$C$13+Setup!$G$31),Setup!$C$39:$C$50))&gt;=Setup!$C$15,MONTH(WORKDAY(M236,-(Setup!$C$13+Setup!$G$31),Setup!$C$39:$C$50))&lt;=Setup!$C$16))),WORKDAY(M236,-(Setup!$C$13+Setup!$G$31+Setup!$C$14),Setup!$C$39:$C$50),WORKDAY(M236,-(Setup!$C$13+Setup!$G$31),Setup!$C$39:$C$50))+(231*100+12)/10000000)))</f>
        <v/>
      </c>
      <c r="AD236" t="str">
        <f>IF(N236="","",IF(N236&lt;Setup!$C$5-Setup!$C$6,"",IF(IF(ISNUMBER(Roster!$D236),Setup!$C$32&lt;=Roster!$D236,FALSE),"",IF(OR(IF(Setup!$C$15&lt;=Setup!$C$16,AND(MONTH(N236)&gt;=Setup!$C$15,MONTH(N236)&lt;=Setup!$C$16),OR(MONTH(N236)&gt;=Setup!$C$15,MONTH(N236)&lt;=Setup!$C$16)),IF(Setup!$C$15&lt;=Setup!$C$16,AND(MONTH(WORKDAY(N236,-(Setup!$C$13+Setup!$G$32),Setup!$C$39:$C$50))&gt;=Setup!$C$15,MONTH(WORKDAY(N236,-(Setup!$C$13+Setup!$G$32),Setup!$C$39:$C$50))&lt;=Setup!$C$16),OR(MONTH(WORKDAY(N236,-(Setup!$C$13+Setup!$G$32),Setup!$C$39:$C$50))&gt;=Setup!$C$15,MONTH(WORKDAY(N236,-(Setup!$C$13+Setup!$G$32),Setup!$C$39:$C$50))&lt;=Setup!$C$16))),WORKDAY(N236,-(Setup!$C$13+Setup!$G$32+Setup!$C$14),Setup!$C$39:$C$50),WORKDAY(N236,-(Setup!$C$13+Setup!$G$32),Setup!$C$39:$C$50))+(231*100+13)/10000000)))</f>
        <v/>
      </c>
      <c r="AE236" t="str">
        <f>IF(O236="","",IF(O236&lt;Setup!$C$5-Setup!$C$6,"",IF(IF(ISNUMBER(Roster!$D236),Setup!$C$33&lt;=Roster!$D236,FALSE),"",IF(OR(IF(Setup!$C$15&lt;=Setup!$C$16,AND(MONTH(O236)&gt;=Setup!$C$15,MONTH(O236)&lt;=Setup!$C$16),OR(MONTH(O236)&gt;=Setup!$C$15,MONTH(O236)&lt;=Setup!$C$16)),IF(Setup!$C$15&lt;=Setup!$C$16,AND(MONTH(WORKDAY(O236,-(Setup!$C$13+Setup!$G$33),Setup!$C$39:$C$50))&gt;=Setup!$C$15,MONTH(WORKDAY(O236,-(Setup!$C$13+Setup!$G$33),Setup!$C$39:$C$50))&lt;=Setup!$C$16),OR(MONTH(WORKDAY(O236,-(Setup!$C$13+Setup!$G$33),Setup!$C$39:$C$50))&gt;=Setup!$C$15,MONTH(WORKDAY(O236,-(Setup!$C$13+Setup!$G$33),Setup!$C$39:$C$50))&lt;=Setup!$C$16))),WORKDAY(O236,-(Setup!$C$13+Setup!$G$33+Setup!$C$14),Setup!$C$39:$C$50),WORKDAY(O236,-(Setup!$C$13+Setup!$G$33),Setup!$C$39:$C$50))+(231*100+14)/10000000)))</f>
        <v/>
      </c>
      <c r="AF236" t="str">
        <f>IF(P236="","",IF(P236&lt;Setup!$C$5-Setup!$C$6,"",IF(IF(ISNUMBER(Roster!$D236),Setup!$C$34&lt;=Roster!$D236,FALSE),"",IF(OR(IF(Setup!$C$15&lt;=Setup!$C$16,AND(MONTH(P236)&gt;=Setup!$C$15,MONTH(P236)&lt;=Setup!$C$16),OR(MONTH(P236)&gt;=Setup!$C$15,MONTH(P236)&lt;=Setup!$C$16)),IF(Setup!$C$15&lt;=Setup!$C$16,AND(MONTH(WORKDAY(P236,-(Setup!$C$13+Setup!$G$34),Setup!$C$39:$C$50))&gt;=Setup!$C$15,MONTH(WORKDAY(P236,-(Setup!$C$13+Setup!$G$34),Setup!$C$39:$C$50))&lt;=Setup!$C$16),OR(MONTH(WORKDAY(P236,-(Setup!$C$13+Setup!$G$34),Setup!$C$39:$C$50))&gt;=Setup!$C$15,MONTH(WORKDAY(P236,-(Setup!$C$13+Setup!$G$34),Setup!$C$39:$C$50))&lt;=Setup!$C$16))),WORKDAY(P236,-(Setup!$C$13+Setup!$G$34+Setup!$C$14),Setup!$C$39:$C$50),WORKDAY(P236,-(Setup!$C$13+Setup!$G$34),Setup!$C$39:$C$50))+(231*100+15)/10000000)))</f>
        <v/>
      </c>
      <c r="AH236" t="str">
        <f t="shared" si="25"/>
        <v/>
      </c>
      <c r="AI236" t="str">
        <f t="shared" si="26"/>
        <v/>
      </c>
      <c r="AK236" t="str">
        <f ca="1">IF(231&gt;$AK$2,"",SMALL($R$6:$AF$505,231))</f>
        <v/>
      </c>
      <c r="AL236" t="str">
        <f t="shared" ca="1" si="27"/>
        <v/>
      </c>
      <c r="AM236" t="str">
        <f t="shared" ca="1" si="28"/>
        <v/>
      </c>
      <c r="AN236" t="str">
        <f t="shared" ca="1" si="29"/>
        <v/>
      </c>
      <c r="AP236" t="str">
        <f>IF(ISNUMBER(Roster!$B236),MAX(1,YEAR(Setup!$C$5)-YEAR(Roster!$B236)+IF(EDATE(Roster!$B236,12*(YEAR(Setup!$C$5)-YEAR(Roster!$B236)))&lt;Setup!$C$5,1,0)),"")</f>
        <v/>
      </c>
      <c r="AQ236" s="32" t="str">
        <f>IF(AP236="","",EDATE(Roster!$B236,12*AP236))</f>
        <v/>
      </c>
      <c r="AR236" t="str">
        <f>IF(AQ236="","",IF(AQ236&lt;DATE(YEAR(Setup!$C$5)+1,MONTH(Setup!$C$5),DAY(Setup!$C$5)),AQ236+231/1000,""))</f>
        <v/>
      </c>
      <c r="AS236" t="str">
        <f t="shared" si="30"/>
        <v/>
      </c>
      <c r="AT236" t="str">
        <f>IF(AS236="","",IF(ISNUMBER(Roster!$D236),Roster!$D236&gt;=AP236,FALSE))</f>
        <v/>
      </c>
      <c r="AU236" t="str">
        <f t="shared" si="31"/>
        <v/>
      </c>
      <c r="AV236" t="str">
        <f ca="1">IF(231&gt;$AV$2,"",SMALL($AR$6:$AR$505,231))</f>
        <v/>
      </c>
      <c r="AW236" t="str">
        <f t="shared" ca="1" si="32"/>
        <v/>
      </c>
    </row>
    <row r="237" spans="2:49" x14ac:dyDescent="0.2">
      <c r="B237" s="32" t="str">
        <f>IF(AND(ISNUMBER(Roster!$B237),Setup!$B$20="Yes",ISNUMBER(Setup!$C$20)),EDATE(Roster!$B237,12*Setup!$C$20),"")</f>
        <v/>
      </c>
      <c r="C237" s="32" t="str">
        <f>IF(AND(ISNUMBER(Roster!$B237),Setup!$B$21="Yes",ISNUMBER(Setup!$C$21)),EDATE(Roster!$B237,12*Setup!$C$21),"")</f>
        <v/>
      </c>
      <c r="D237" s="32" t="str">
        <f>IF(AND(ISNUMBER(Roster!$B237),Setup!$B$22="Yes",ISNUMBER(Setup!$C$22)),EDATE(Roster!$B237,12*Setup!$C$22),"")</f>
        <v/>
      </c>
      <c r="E237" s="32" t="str">
        <f>IF(AND(ISNUMBER(Roster!$B237),Setup!$B$23="Yes",ISNUMBER(Setup!$C$23)),EDATE(Roster!$B237,12*Setup!$C$23),"")</f>
        <v/>
      </c>
      <c r="F237" s="32" t="str">
        <f>IF(AND(ISNUMBER(Roster!$B237),Setup!$B$24="Yes",ISNUMBER(Setup!$C$24)),EDATE(Roster!$B237,12*Setup!$C$24),"")</f>
        <v/>
      </c>
      <c r="G237" s="32" t="str">
        <f>IF(AND(ISNUMBER(Roster!$B237),Setup!$B$25="Yes",ISNUMBER(Setup!$C$25)),EDATE(Roster!$B237,12*Setup!$C$25),"")</f>
        <v/>
      </c>
      <c r="H237" s="32" t="str">
        <f>IF(AND(ISNUMBER(Roster!$B237),Setup!$B$26="Yes",ISNUMBER(Setup!$C$26)),EDATE(Roster!$B237,12*Setup!$C$26),"")</f>
        <v/>
      </c>
      <c r="I237" s="32" t="str">
        <f>IF(AND(ISNUMBER(Roster!$B237),Setup!$B$27="Yes",ISNUMBER(Setup!$C$27)),EDATE(Roster!$B237,12*Setup!$C$27),"")</f>
        <v/>
      </c>
      <c r="J237" s="32" t="str">
        <f>IF(AND(ISNUMBER(Roster!$B237),Setup!$B$28="Yes",ISNUMBER(Setup!$C$28)),EDATE(Roster!$B237,12*Setup!$C$28),"")</f>
        <v/>
      </c>
      <c r="K237" s="32" t="str">
        <f>IF(AND(ISNUMBER(Roster!$B237),Setup!$B$29="Yes",ISNUMBER(Setup!$C$29)),EDATE(Roster!$B237,12*Setup!$C$29),"")</f>
        <v/>
      </c>
      <c r="L237" s="32" t="str">
        <f>IF(AND(ISNUMBER(Roster!$B237),Setup!$B$30="Yes",ISNUMBER(Setup!$C$30)),EDATE(Roster!$B237,12*Setup!$C$30),"")</f>
        <v/>
      </c>
      <c r="M237" s="32" t="str">
        <f>IF(AND(ISNUMBER(Roster!$B237),Setup!$B$31="Yes",ISNUMBER(Setup!$C$31)),EDATE(Roster!$B237,12*Setup!$C$31),"")</f>
        <v/>
      </c>
      <c r="N237" s="32" t="str">
        <f>IF(AND(ISNUMBER(Roster!$B237),Setup!$B$32="Yes",ISNUMBER(Setup!$C$32)),EDATE(Roster!$B237,12*Setup!$C$32),"")</f>
        <v/>
      </c>
      <c r="O237" s="32" t="str">
        <f>IF(AND(ISNUMBER(Roster!$B237),Setup!$B$33="Yes",ISNUMBER(Setup!$C$33)),EDATE(Roster!$B237,12*Setup!$C$33),"")</f>
        <v/>
      </c>
      <c r="P237" s="32" t="str">
        <f>IF(AND(ISNUMBER(Roster!$B237),Setup!$B$34="Yes",ISNUMBER(Setup!$C$34)),EDATE(Roster!$B237,12*Setup!$C$34),"")</f>
        <v/>
      </c>
      <c r="R237" t="str">
        <f>IF(B237="","",IF(B237&lt;Setup!$C$5-Setup!$C$6,"",IF(IF(ISNUMBER(Roster!$D237),Setup!$C$20&lt;=Roster!$D237,FALSE),"",IF(OR(IF(Setup!$C$15&lt;=Setup!$C$16,AND(MONTH(B237)&gt;=Setup!$C$15,MONTH(B237)&lt;=Setup!$C$16),OR(MONTH(B237)&gt;=Setup!$C$15,MONTH(B237)&lt;=Setup!$C$16)),IF(Setup!$C$15&lt;=Setup!$C$16,AND(MONTH(WORKDAY(B237,-(Setup!$C$13+Setup!$G$20),Setup!$C$39:$C$50))&gt;=Setup!$C$15,MONTH(WORKDAY(B237,-(Setup!$C$13+Setup!$G$20),Setup!$C$39:$C$50))&lt;=Setup!$C$16),OR(MONTH(WORKDAY(B237,-(Setup!$C$13+Setup!$G$20),Setup!$C$39:$C$50))&gt;=Setup!$C$15,MONTH(WORKDAY(B237,-(Setup!$C$13+Setup!$G$20),Setup!$C$39:$C$50))&lt;=Setup!$C$16))),WORKDAY(B237,-(Setup!$C$13+Setup!$G$20+Setup!$C$14),Setup!$C$39:$C$50),WORKDAY(B237,-(Setup!$C$13+Setup!$G$20),Setup!$C$39:$C$50))+(232*100+1)/10000000)))</f>
        <v/>
      </c>
      <c r="S237" t="str">
        <f>IF(C237="","",IF(C237&lt;Setup!$C$5-Setup!$C$6,"",IF(IF(ISNUMBER(Roster!$D237),Setup!$C$21&lt;=Roster!$D237,FALSE),"",IF(OR(IF(Setup!$C$15&lt;=Setup!$C$16,AND(MONTH(C237)&gt;=Setup!$C$15,MONTH(C237)&lt;=Setup!$C$16),OR(MONTH(C237)&gt;=Setup!$C$15,MONTH(C237)&lt;=Setup!$C$16)),IF(Setup!$C$15&lt;=Setup!$C$16,AND(MONTH(WORKDAY(C237,-(Setup!$C$13+Setup!$G$21),Setup!$C$39:$C$50))&gt;=Setup!$C$15,MONTH(WORKDAY(C237,-(Setup!$C$13+Setup!$G$21),Setup!$C$39:$C$50))&lt;=Setup!$C$16),OR(MONTH(WORKDAY(C237,-(Setup!$C$13+Setup!$G$21),Setup!$C$39:$C$50))&gt;=Setup!$C$15,MONTH(WORKDAY(C237,-(Setup!$C$13+Setup!$G$21),Setup!$C$39:$C$50))&lt;=Setup!$C$16))),WORKDAY(C237,-(Setup!$C$13+Setup!$G$21+Setup!$C$14),Setup!$C$39:$C$50),WORKDAY(C237,-(Setup!$C$13+Setup!$G$21),Setup!$C$39:$C$50))+(232*100+2)/10000000)))</f>
        <v/>
      </c>
      <c r="T237" t="str">
        <f>IF(D237="","",IF(D237&lt;Setup!$C$5-Setup!$C$6,"",IF(IF(ISNUMBER(Roster!$D237),Setup!$C$22&lt;=Roster!$D237,FALSE),"",IF(OR(IF(Setup!$C$15&lt;=Setup!$C$16,AND(MONTH(D237)&gt;=Setup!$C$15,MONTH(D237)&lt;=Setup!$C$16),OR(MONTH(D237)&gt;=Setup!$C$15,MONTH(D237)&lt;=Setup!$C$16)),IF(Setup!$C$15&lt;=Setup!$C$16,AND(MONTH(WORKDAY(D237,-(Setup!$C$13+Setup!$G$22),Setup!$C$39:$C$50))&gt;=Setup!$C$15,MONTH(WORKDAY(D237,-(Setup!$C$13+Setup!$G$22),Setup!$C$39:$C$50))&lt;=Setup!$C$16),OR(MONTH(WORKDAY(D237,-(Setup!$C$13+Setup!$G$22),Setup!$C$39:$C$50))&gt;=Setup!$C$15,MONTH(WORKDAY(D237,-(Setup!$C$13+Setup!$G$22),Setup!$C$39:$C$50))&lt;=Setup!$C$16))),WORKDAY(D237,-(Setup!$C$13+Setup!$G$22+Setup!$C$14),Setup!$C$39:$C$50),WORKDAY(D237,-(Setup!$C$13+Setup!$G$22),Setup!$C$39:$C$50))+(232*100+3)/10000000)))</f>
        <v/>
      </c>
      <c r="U237" t="str">
        <f>IF(E237="","",IF(E237&lt;Setup!$C$5-Setup!$C$6,"",IF(IF(ISNUMBER(Roster!$D237),Setup!$C$23&lt;=Roster!$D237,FALSE),"",IF(OR(IF(Setup!$C$15&lt;=Setup!$C$16,AND(MONTH(E237)&gt;=Setup!$C$15,MONTH(E237)&lt;=Setup!$C$16),OR(MONTH(E237)&gt;=Setup!$C$15,MONTH(E237)&lt;=Setup!$C$16)),IF(Setup!$C$15&lt;=Setup!$C$16,AND(MONTH(WORKDAY(E237,-(Setup!$C$13+Setup!$G$23),Setup!$C$39:$C$50))&gt;=Setup!$C$15,MONTH(WORKDAY(E237,-(Setup!$C$13+Setup!$G$23),Setup!$C$39:$C$50))&lt;=Setup!$C$16),OR(MONTH(WORKDAY(E237,-(Setup!$C$13+Setup!$G$23),Setup!$C$39:$C$50))&gt;=Setup!$C$15,MONTH(WORKDAY(E237,-(Setup!$C$13+Setup!$G$23),Setup!$C$39:$C$50))&lt;=Setup!$C$16))),WORKDAY(E237,-(Setup!$C$13+Setup!$G$23+Setup!$C$14),Setup!$C$39:$C$50),WORKDAY(E237,-(Setup!$C$13+Setup!$G$23),Setup!$C$39:$C$50))+(232*100+4)/10000000)))</f>
        <v/>
      </c>
      <c r="V237" t="str">
        <f>IF(F237="","",IF(F237&lt;Setup!$C$5-Setup!$C$6,"",IF(IF(ISNUMBER(Roster!$D237),Setup!$C$24&lt;=Roster!$D237,FALSE),"",IF(OR(IF(Setup!$C$15&lt;=Setup!$C$16,AND(MONTH(F237)&gt;=Setup!$C$15,MONTH(F237)&lt;=Setup!$C$16),OR(MONTH(F237)&gt;=Setup!$C$15,MONTH(F237)&lt;=Setup!$C$16)),IF(Setup!$C$15&lt;=Setup!$C$16,AND(MONTH(WORKDAY(F237,-(Setup!$C$13+Setup!$G$24),Setup!$C$39:$C$50))&gt;=Setup!$C$15,MONTH(WORKDAY(F237,-(Setup!$C$13+Setup!$G$24),Setup!$C$39:$C$50))&lt;=Setup!$C$16),OR(MONTH(WORKDAY(F237,-(Setup!$C$13+Setup!$G$24),Setup!$C$39:$C$50))&gt;=Setup!$C$15,MONTH(WORKDAY(F237,-(Setup!$C$13+Setup!$G$24),Setup!$C$39:$C$50))&lt;=Setup!$C$16))),WORKDAY(F237,-(Setup!$C$13+Setup!$G$24+Setup!$C$14),Setup!$C$39:$C$50),WORKDAY(F237,-(Setup!$C$13+Setup!$G$24),Setup!$C$39:$C$50))+(232*100+5)/10000000)))</f>
        <v/>
      </c>
      <c r="W237" t="str">
        <f>IF(G237="","",IF(G237&lt;Setup!$C$5-Setup!$C$6,"",IF(IF(ISNUMBER(Roster!$D237),Setup!$C$25&lt;=Roster!$D237,FALSE),"",IF(OR(IF(Setup!$C$15&lt;=Setup!$C$16,AND(MONTH(G237)&gt;=Setup!$C$15,MONTH(G237)&lt;=Setup!$C$16),OR(MONTH(G237)&gt;=Setup!$C$15,MONTH(G237)&lt;=Setup!$C$16)),IF(Setup!$C$15&lt;=Setup!$C$16,AND(MONTH(WORKDAY(G237,-(Setup!$C$13+Setup!$G$25),Setup!$C$39:$C$50))&gt;=Setup!$C$15,MONTH(WORKDAY(G237,-(Setup!$C$13+Setup!$G$25),Setup!$C$39:$C$50))&lt;=Setup!$C$16),OR(MONTH(WORKDAY(G237,-(Setup!$C$13+Setup!$G$25),Setup!$C$39:$C$50))&gt;=Setup!$C$15,MONTH(WORKDAY(G237,-(Setup!$C$13+Setup!$G$25),Setup!$C$39:$C$50))&lt;=Setup!$C$16))),WORKDAY(G237,-(Setup!$C$13+Setup!$G$25+Setup!$C$14),Setup!$C$39:$C$50),WORKDAY(G237,-(Setup!$C$13+Setup!$G$25),Setup!$C$39:$C$50))+(232*100+6)/10000000)))</f>
        <v/>
      </c>
      <c r="X237" t="str">
        <f>IF(H237="","",IF(H237&lt;Setup!$C$5-Setup!$C$6,"",IF(IF(ISNUMBER(Roster!$D237),Setup!$C$26&lt;=Roster!$D237,FALSE),"",IF(OR(IF(Setup!$C$15&lt;=Setup!$C$16,AND(MONTH(H237)&gt;=Setup!$C$15,MONTH(H237)&lt;=Setup!$C$16),OR(MONTH(H237)&gt;=Setup!$C$15,MONTH(H237)&lt;=Setup!$C$16)),IF(Setup!$C$15&lt;=Setup!$C$16,AND(MONTH(WORKDAY(H237,-(Setup!$C$13+Setup!$G$26),Setup!$C$39:$C$50))&gt;=Setup!$C$15,MONTH(WORKDAY(H237,-(Setup!$C$13+Setup!$G$26),Setup!$C$39:$C$50))&lt;=Setup!$C$16),OR(MONTH(WORKDAY(H237,-(Setup!$C$13+Setup!$G$26),Setup!$C$39:$C$50))&gt;=Setup!$C$15,MONTH(WORKDAY(H237,-(Setup!$C$13+Setup!$G$26),Setup!$C$39:$C$50))&lt;=Setup!$C$16))),WORKDAY(H237,-(Setup!$C$13+Setup!$G$26+Setup!$C$14),Setup!$C$39:$C$50),WORKDAY(H237,-(Setup!$C$13+Setup!$G$26),Setup!$C$39:$C$50))+(232*100+7)/10000000)))</f>
        <v/>
      </c>
      <c r="Y237" t="str">
        <f>IF(I237="","",IF(I237&lt;Setup!$C$5-Setup!$C$6,"",IF(IF(ISNUMBER(Roster!$D237),Setup!$C$27&lt;=Roster!$D237,FALSE),"",IF(OR(IF(Setup!$C$15&lt;=Setup!$C$16,AND(MONTH(I237)&gt;=Setup!$C$15,MONTH(I237)&lt;=Setup!$C$16),OR(MONTH(I237)&gt;=Setup!$C$15,MONTH(I237)&lt;=Setup!$C$16)),IF(Setup!$C$15&lt;=Setup!$C$16,AND(MONTH(WORKDAY(I237,-(Setup!$C$13+Setup!$G$27),Setup!$C$39:$C$50))&gt;=Setup!$C$15,MONTH(WORKDAY(I237,-(Setup!$C$13+Setup!$G$27),Setup!$C$39:$C$50))&lt;=Setup!$C$16),OR(MONTH(WORKDAY(I237,-(Setup!$C$13+Setup!$G$27),Setup!$C$39:$C$50))&gt;=Setup!$C$15,MONTH(WORKDAY(I237,-(Setup!$C$13+Setup!$G$27),Setup!$C$39:$C$50))&lt;=Setup!$C$16))),WORKDAY(I237,-(Setup!$C$13+Setup!$G$27+Setup!$C$14),Setup!$C$39:$C$50),WORKDAY(I237,-(Setup!$C$13+Setup!$G$27),Setup!$C$39:$C$50))+(232*100+8)/10000000)))</f>
        <v/>
      </c>
      <c r="Z237" t="str">
        <f>IF(J237="","",IF(J237&lt;Setup!$C$5-Setup!$C$6,"",IF(IF(ISNUMBER(Roster!$D237),Setup!$C$28&lt;=Roster!$D237,FALSE),"",IF(OR(IF(Setup!$C$15&lt;=Setup!$C$16,AND(MONTH(J237)&gt;=Setup!$C$15,MONTH(J237)&lt;=Setup!$C$16),OR(MONTH(J237)&gt;=Setup!$C$15,MONTH(J237)&lt;=Setup!$C$16)),IF(Setup!$C$15&lt;=Setup!$C$16,AND(MONTH(WORKDAY(J237,-(Setup!$C$13+Setup!$G$28),Setup!$C$39:$C$50))&gt;=Setup!$C$15,MONTH(WORKDAY(J237,-(Setup!$C$13+Setup!$G$28),Setup!$C$39:$C$50))&lt;=Setup!$C$16),OR(MONTH(WORKDAY(J237,-(Setup!$C$13+Setup!$G$28),Setup!$C$39:$C$50))&gt;=Setup!$C$15,MONTH(WORKDAY(J237,-(Setup!$C$13+Setup!$G$28),Setup!$C$39:$C$50))&lt;=Setup!$C$16))),WORKDAY(J237,-(Setup!$C$13+Setup!$G$28+Setup!$C$14),Setup!$C$39:$C$50),WORKDAY(J237,-(Setup!$C$13+Setup!$G$28),Setup!$C$39:$C$50))+(232*100+9)/10000000)))</f>
        <v/>
      </c>
      <c r="AA237" t="str">
        <f>IF(K237="","",IF(K237&lt;Setup!$C$5-Setup!$C$6,"",IF(IF(ISNUMBER(Roster!$D237),Setup!$C$29&lt;=Roster!$D237,FALSE),"",IF(OR(IF(Setup!$C$15&lt;=Setup!$C$16,AND(MONTH(K237)&gt;=Setup!$C$15,MONTH(K237)&lt;=Setup!$C$16),OR(MONTH(K237)&gt;=Setup!$C$15,MONTH(K237)&lt;=Setup!$C$16)),IF(Setup!$C$15&lt;=Setup!$C$16,AND(MONTH(WORKDAY(K237,-(Setup!$C$13+Setup!$G$29),Setup!$C$39:$C$50))&gt;=Setup!$C$15,MONTH(WORKDAY(K237,-(Setup!$C$13+Setup!$G$29),Setup!$C$39:$C$50))&lt;=Setup!$C$16),OR(MONTH(WORKDAY(K237,-(Setup!$C$13+Setup!$G$29),Setup!$C$39:$C$50))&gt;=Setup!$C$15,MONTH(WORKDAY(K237,-(Setup!$C$13+Setup!$G$29),Setup!$C$39:$C$50))&lt;=Setup!$C$16))),WORKDAY(K237,-(Setup!$C$13+Setup!$G$29+Setup!$C$14),Setup!$C$39:$C$50),WORKDAY(K237,-(Setup!$C$13+Setup!$G$29),Setup!$C$39:$C$50))+(232*100+10)/10000000)))</f>
        <v/>
      </c>
      <c r="AB237" t="str">
        <f>IF(L237="","",IF(L237&lt;Setup!$C$5-Setup!$C$6,"",IF(IF(ISNUMBER(Roster!$D237),Setup!$C$30&lt;=Roster!$D237,FALSE),"",IF(OR(IF(Setup!$C$15&lt;=Setup!$C$16,AND(MONTH(L237)&gt;=Setup!$C$15,MONTH(L237)&lt;=Setup!$C$16),OR(MONTH(L237)&gt;=Setup!$C$15,MONTH(L237)&lt;=Setup!$C$16)),IF(Setup!$C$15&lt;=Setup!$C$16,AND(MONTH(WORKDAY(L237,-(Setup!$C$13+Setup!$G$30),Setup!$C$39:$C$50))&gt;=Setup!$C$15,MONTH(WORKDAY(L237,-(Setup!$C$13+Setup!$G$30),Setup!$C$39:$C$50))&lt;=Setup!$C$16),OR(MONTH(WORKDAY(L237,-(Setup!$C$13+Setup!$G$30),Setup!$C$39:$C$50))&gt;=Setup!$C$15,MONTH(WORKDAY(L237,-(Setup!$C$13+Setup!$G$30),Setup!$C$39:$C$50))&lt;=Setup!$C$16))),WORKDAY(L237,-(Setup!$C$13+Setup!$G$30+Setup!$C$14),Setup!$C$39:$C$50),WORKDAY(L237,-(Setup!$C$13+Setup!$G$30),Setup!$C$39:$C$50))+(232*100+11)/10000000)))</f>
        <v/>
      </c>
      <c r="AC237" t="str">
        <f>IF(M237="","",IF(M237&lt;Setup!$C$5-Setup!$C$6,"",IF(IF(ISNUMBER(Roster!$D237),Setup!$C$31&lt;=Roster!$D237,FALSE),"",IF(OR(IF(Setup!$C$15&lt;=Setup!$C$16,AND(MONTH(M237)&gt;=Setup!$C$15,MONTH(M237)&lt;=Setup!$C$16),OR(MONTH(M237)&gt;=Setup!$C$15,MONTH(M237)&lt;=Setup!$C$16)),IF(Setup!$C$15&lt;=Setup!$C$16,AND(MONTH(WORKDAY(M237,-(Setup!$C$13+Setup!$G$31),Setup!$C$39:$C$50))&gt;=Setup!$C$15,MONTH(WORKDAY(M237,-(Setup!$C$13+Setup!$G$31),Setup!$C$39:$C$50))&lt;=Setup!$C$16),OR(MONTH(WORKDAY(M237,-(Setup!$C$13+Setup!$G$31),Setup!$C$39:$C$50))&gt;=Setup!$C$15,MONTH(WORKDAY(M237,-(Setup!$C$13+Setup!$G$31),Setup!$C$39:$C$50))&lt;=Setup!$C$16))),WORKDAY(M237,-(Setup!$C$13+Setup!$G$31+Setup!$C$14),Setup!$C$39:$C$50),WORKDAY(M237,-(Setup!$C$13+Setup!$G$31),Setup!$C$39:$C$50))+(232*100+12)/10000000)))</f>
        <v/>
      </c>
      <c r="AD237" t="str">
        <f>IF(N237="","",IF(N237&lt;Setup!$C$5-Setup!$C$6,"",IF(IF(ISNUMBER(Roster!$D237),Setup!$C$32&lt;=Roster!$D237,FALSE),"",IF(OR(IF(Setup!$C$15&lt;=Setup!$C$16,AND(MONTH(N237)&gt;=Setup!$C$15,MONTH(N237)&lt;=Setup!$C$16),OR(MONTH(N237)&gt;=Setup!$C$15,MONTH(N237)&lt;=Setup!$C$16)),IF(Setup!$C$15&lt;=Setup!$C$16,AND(MONTH(WORKDAY(N237,-(Setup!$C$13+Setup!$G$32),Setup!$C$39:$C$50))&gt;=Setup!$C$15,MONTH(WORKDAY(N237,-(Setup!$C$13+Setup!$G$32),Setup!$C$39:$C$50))&lt;=Setup!$C$16),OR(MONTH(WORKDAY(N237,-(Setup!$C$13+Setup!$G$32),Setup!$C$39:$C$50))&gt;=Setup!$C$15,MONTH(WORKDAY(N237,-(Setup!$C$13+Setup!$G$32),Setup!$C$39:$C$50))&lt;=Setup!$C$16))),WORKDAY(N237,-(Setup!$C$13+Setup!$G$32+Setup!$C$14),Setup!$C$39:$C$50),WORKDAY(N237,-(Setup!$C$13+Setup!$G$32),Setup!$C$39:$C$50))+(232*100+13)/10000000)))</f>
        <v/>
      </c>
      <c r="AE237" t="str">
        <f>IF(O237="","",IF(O237&lt;Setup!$C$5-Setup!$C$6,"",IF(IF(ISNUMBER(Roster!$D237),Setup!$C$33&lt;=Roster!$D237,FALSE),"",IF(OR(IF(Setup!$C$15&lt;=Setup!$C$16,AND(MONTH(O237)&gt;=Setup!$C$15,MONTH(O237)&lt;=Setup!$C$16),OR(MONTH(O237)&gt;=Setup!$C$15,MONTH(O237)&lt;=Setup!$C$16)),IF(Setup!$C$15&lt;=Setup!$C$16,AND(MONTH(WORKDAY(O237,-(Setup!$C$13+Setup!$G$33),Setup!$C$39:$C$50))&gt;=Setup!$C$15,MONTH(WORKDAY(O237,-(Setup!$C$13+Setup!$G$33),Setup!$C$39:$C$50))&lt;=Setup!$C$16),OR(MONTH(WORKDAY(O237,-(Setup!$C$13+Setup!$G$33),Setup!$C$39:$C$50))&gt;=Setup!$C$15,MONTH(WORKDAY(O237,-(Setup!$C$13+Setup!$G$33),Setup!$C$39:$C$50))&lt;=Setup!$C$16))),WORKDAY(O237,-(Setup!$C$13+Setup!$G$33+Setup!$C$14),Setup!$C$39:$C$50),WORKDAY(O237,-(Setup!$C$13+Setup!$G$33),Setup!$C$39:$C$50))+(232*100+14)/10000000)))</f>
        <v/>
      </c>
      <c r="AF237" t="str">
        <f>IF(P237="","",IF(P237&lt;Setup!$C$5-Setup!$C$6,"",IF(IF(ISNUMBER(Roster!$D237),Setup!$C$34&lt;=Roster!$D237,FALSE),"",IF(OR(IF(Setup!$C$15&lt;=Setup!$C$16,AND(MONTH(P237)&gt;=Setup!$C$15,MONTH(P237)&lt;=Setup!$C$16),OR(MONTH(P237)&gt;=Setup!$C$15,MONTH(P237)&lt;=Setup!$C$16)),IF(Setup!$C$15&lt;=Setup!$C$16,AND(MONTH(WORKDAY(P237,-(Setup!$C$13+Setup!$G$34),Setup!$C$39:$C$50))&gt;=Setup!$C$15,MONTH(WORKDAY(P237,-(Setup!$C$13+Setup!$G$34),Setup!$C$39:$C$50))&lt;=Setup!$C$16),OR(MONTH(WORKDAY(P237,-(Setup!$C$13+Setup!$G$34),Setup!$C$39:$C$50))&gt;=Setup!$C$15,MONTH(WORKDAY(P237,-(Setup!$C$13+Setup!$G$34),Setup!$C$39:$C$50))&lt;=Setup!$C$16))),WORKDAY(P237,-(Setup!$C$13+Setup!$G$34+Setup!$C$14),Setup!$C$39:$C$50),WORKDAY(P237,-(Setup!$C$13+Setup!$G$34),Setup!$C$39:$C$50))+(232*100+15)/10000000)))</f>
        <v/>
      </c>
      <c r="AH237" t="str">
        <f t="shared" si="25"/>
        <v/>
      </c>
      <c r="AI237" t="str">
        <f t="shared" si="26"/>
        <v/>
      </c>
      <c r="AK237" t="str">
        <f ca="1">IF(232&gt;$AK$2,"",SMALL($R$6:$AF$505,232))</f>
        <v/>
      </c>
      <c r="AL237" t="str">
        <f t="shared" ca="1" si="27"/>
        <v/>
      </c>
      <c r="AM237" t="str">
        <f t="shared" ca="1" si="28"/>
        <v/>
      </c>
      <c r="AN237" t="str">
        <f t="shared" ca="1" si="29"/>
        <v/>
      </c>
      <c r="AP237" t="str">
        <f>IF(ISNUMBER(Roster!$B237),MAX(1,YEAR(Setup!$C$5)-YEAR(Roster!$B237)+IF(EDATE(Roster!$B237,12*(YEAR(Setup!$C$5)-YEAR(Roster!$B237)))&lt;Setup!$C$5,1,0)),"")</f>
        <v/>
      </c>
      <c r="AQ237" s="32" t="str">
        <f>IF(AP237="","",EDATE(Roster!$B237,12*AP237))</f>
        <v/>
      </c>
      <c r="AR237" t="str">
        <f>IF(AQ237="","",IF(AQ237&lt;DATE(YEAR(Setup!$C$5)+1,MONTH(Setup!$C$5),DAY(Setup!$C$5)),AQ237+232/1000,""))</f>
        <v/>
      </c>
      <c r="AS237" t="str">
        <f t="shared" si="30"/>
        <v/>
      </c>
      <c r="AT237" t="str">
        <f>IF(AS237="","",IF(ISNUMBER(Roster!$D237),Roster!$D237&gt;=AP237,FALSE))</f>
        <v/>
      </c>
      <c r="AU237" t="str">
        <f t="shared" si="31"/>
        <v/>
      </c>
      <c r="AV237" t="str">
        <f ca="1">IF(232&gt;$AV$2,"",SMALL($AR$6:$AR$505,232))</f>
        <v/>
      </c>
      <c r="AW237" t="str">
        <f t="shared" ca="1" si="32"/>
        <v/>
      </c>
    </row>
    <row r="238" spans="2:49" x14ac:dyDescent="0.2">
      <c r="B238" s="32" t="str">
        <f>IF(AND(ISNUMBER(Roster!$B238),Setup!$B$20="Yes",ISNUMBER(Setup!$C$20)),EDATE(Roster!$B238,12*Setup!$C$20),"")</f>
        <v/>
      </c>
      <c r="C238" s="32" t="str">
        <f>IF(AND(ISNUMBER(Roster!$B238),Setup!$B$21="Yes",ISNUMBER(Setup!$C$21)),EDATE(Roster!$B238,12*Setup!$C$21),"")</f>
        <v/>
      </c>
      <c r="D238" s="32" t="str">
        <f>IF(AND(ISNUMBER(Roster!$B238),Setup!$B$22="Yes",ISNUMBER(Setup!$C$22)),EDATE(Roster!$B238,12*Setup!$C$22),"")</f>
        <v/>
      </c>
      <c r="E238" s="32" t="str">
        <f>IF(AND(ISNUMBER(Roster!$B238),Setup!$B$23="Yes",ISNUMBER(Setup!$C$23)),EDATE(Roster!$B238,12*Setup!$C$23),"")</f>
        <v/>
      </c>
      <c r="F238" s="32" t="str">
        <f>IF(AND(ISNUMBER(Roster!$B238),Setup!$B$24="Yes",ISNUMBER(Setup!$C$24)),EDATE(Roster!$B238,12*Setup!$C$24),"")</f>
        <v/>
      </c>
      <c r="G238" s="32" t="str">
        <f>IF(AND(ISNUMBER(Roster!$B238),Setup!$B$25="Yes",ISNUMBER(Setup!$C$25)),EDATE(Roster!$B238,12*Setup!$C$25),"")</f>
        <v/>
      </c>
      <c r="H238" s="32" t="str">
        <f>IF(AND(ISNUMBER(Roster!$B238),Setup!$B$26="Yes",ISNUMBER(Setup!$C$26)),EDATE(Roster!$B238,12*Setup!$C$26),"")</f>
        <v/>
      </c>
      <c r="I238" s="32" t="str">
        <f>IF(AND(ISNUMBER(Roster!$B238),Setup!$B$27="Yes",ISNUMBER(Setup!$C$27)),EDATE(Roster!$B238,12*Setup!$C$27),"")</f>
        <v/>
      </c>
      <c r="J238" s="32" t="str">
        <f>IF(AND(ISNUMBER(Roster!$B238),Setup!$B$28="Yes",ISNUMBER(Setup!$C$28)),EDATE(Roster!$B238,12*Setup!$C$28),"")</f>
        <v/>
      </c>
      <c r="K238" s="32" t="str">
        <f>IF(AND(ISNUMBER(Roster!$B238),Setup!$B$29="Yes",ISNUMBER(Setup!$C$29)),EDATE(Roster!$B238,12*Setup!$C$29),"")</f>
        <v/>
      </c>
      <c r="L238" s="32" t="str">
        <f>IF(AND(ISNUMBER(Roster!$B238),Setup!$B$30="Yes",ISNUMBER(Setup!$C$30)),EDATE(Roster!$B238,12*Setup!$C$30),"")</f>
        <v/>
      </c>
      <c r="M238" s="32" t="str">
        <f>IF(AND(ISNUMBER(Roster!$B238),Setup!$B$31="Yes",ISNUMBER(Setup!$C$31)),EDATE(Roster!$B238,12*Setup!$C$31),"")</f>
        <v/>
      </c>
      <c r="N238" s="32" t="str">
        <f>IF(AND(ISNUMBER(Roster!$B238),Setup!$B$32="Yes",ISNUMBER(Setup!$C$32)),EDATE(Roster!$B238,12*Setup!$C$32),"")</f>
        <v/>
      </c>
      <c r="O238" s="32" t="str">
        <f>IF(AND(ISNUMBER(Roster!$B238),Setup!$B$33="Yes",ISNUMBER(Setup!$C$33)),EDATE(Roster!$B238,12*Setup!$C$33),"")</f>
        <v/>
      </c>
      <c r="P238" s="32" t="str">
        <f>IF(AND(ISNUMBER(Roster!$B238),Setup!$B$34="Yes",ISNUMBER(Setup!$C$34)),EDATE(Roster!$B238,12*Setup!$C$34),"")</f>
        <v/>
      </c>
      <c r="R238" t="str">
        <f>IF(B238="","",IF(B238&lt;Setup!$C$5-Setup!$C$6,"",IF(IF(ISNUMBER(Roster!$D238),Setup!$C$20&lt;=Roster!$D238,FALSE),"",IF(OR(IF(Setup!$C$15&lt;=Setup!$C$16,AND(MONTH(B238)&gt;=Setup!$C$15,MONTH(B238)&lt;=Setup!$C$16),OR(MONTH(B238)&gt;=Setup!$C$15,MONTH(B238)&lt;=Setup!$C$16)),IF(Setup!$C$15&lt;=Setup!$C$16,AND(MONTH(WORKDAY(B238,-(Setup!$C$13+Setup!$G$20),Setup!$C$39:$C$50))&gt;=Setup!$C$15,MONTH(WORKDAY(B238,-(Setup!$C$13+Setup!$G$20),Setup!$C$39:$C$50))&lt;=Setup!$C$16),OR(MONTH(WORKDAY(B238,-(Setup!$C$13+Setup!$G$20),Setup!$C$39:$C$50))&gt;=Setup!$C$15,MONTH(WORKDAY(B238,-(Setup!$C$13+Setup!$G$20),Setup!$C$39:$C$50))&lt;=Setup!$C$16))),WORKDAY(B238,-(Setup!$C$13+Setup!$G$20+Setup!$C$14),Setup!$C$39:$C$50),WORKDAY(B238,-(Setup!$C$13+Setup!$G$20),Setup!$C$39:$C$50))+(233*100+1)/10000000)))</f>
        <v/>
      </c>
      <c r="S238" t="str">
        <f>IF(C238="","",IF(C238&lt;Setup!$C$5-Setup!$C$6,"",IF(IF(ISNUMBER(Roster!$D238),Setup!$C$21&lt;=Roster!$D238,FALSE),"",IF(OR(IF(Setup!$C$15&lt;=Setup!$C$16,AND(MONTH(C238)&gt;=Setup!$C$15,MONTH(C238)&lt;=Setup!$C$16),OR(MONTH(C238)&gt;=Setup!$C$15,MONTH(C238)&lt;=Setup!$C$16)),IF(Setup!$C$15&lt;=Setup!$C$16,AND(MONTH(WORKDAY(C238,-(Setup!$C$13+Setup!$G$21),Setup!$C$39:$C$50))&gt;=Setup!$C$15,MONTH(WORKDAY(C238,-(Setup!$C$13+Setup!$G$21),Setup!$C$39:$C$50))&lt;=Setup!$C$16),OR(MONTH(WORKDAY(C238,-(Setup!$C$13+Setup!$G$21),Setup!$C$39:$C$50))&gt;=Setup!$C$15,MONTH(WORKDAY(C238,-(Setup!$C$13+Setup!$G$21),Setup!$C$39:$C$50))&lt;=Setup!$C$16))),WORKDAY(C238,-(Setup!$C$13+Setup!$G$21+Setup!$C$14),Setup!$C$39:$C$50),WORKDAY(C238,-(Setup!$C$13+Setup!$G$21),Setup!$C$39:$C$50))+(233*100+2)/10000000)))</f>
        <v/>
      </c>
      <c r="T238" t="str">
        <f>IF(D238="","",IF(D238&lt;Setup!$C$5-Setup!$C$6,"",IF(IF(ISNUMBER(Roster!$D238),Setup!$C$22&lt;=Roster!$D238,FALSE),"",IF(OR(IF(Setup!$C$15&lt;=Setup!$C$16,AND(MONTH(D238)&gt;=Setup!$C$15,MONTH(D238)&lt;=Setup!$C$16),OR(MONTH(D238)&gt;=Setup!$C$15,MONTH(D238)&lt;=Setup!$C$16)),IF(Setup!$C$15&lt;=Setup!$C$16,AND(MONTH(WORKDAY(D238,-(Setup!$C$13+Setup!$G$22),Setup!$C$39:$C$50))&gt;=Setup!$C$15,MONTH(WORKDAY(D238,-(Setup!$C$13+Setup!$G$22),Setup!$C$39:$C$50))&lt;=Setup!$C$16),OR(MONTH(WORKDAY(D238,-(Setup!$C$13+Setup!$G$22),Setup!$C$39:$C$50))&gt;=Setup!$C$15,MONTH(WORKDAY(D238,-(Setup!$C$13+Setup!$G$22),Setup!$C$39:$C$50))&lt;=Setup!$C$16))),WORKDAY(D238,-(Setup!$C$13+Setup!$G$22+Setup!$C$14),Setup!$C$39:$C$50),WORKDAY(D238,-(Setup!$C$13+Setup!$G$22),Setup!$C$39:$C$50))+(233*100+3)/10000000)))</f>
        <v/>
      </c>
      <c r="U238" t="str">
        <f>IF(E238="","",IF(E238&lt;Setup!$C$5-Setup!$C$6,"",IF(IF(ISNUMBER(Roster!$D238),Setup!$C$23&lt;=Roster!$D238,FALSE),"",IF(OR(IF(Setup!$C$15&lt;=Setup!$C$16,AND(MONTH(E238)&gt;=Setup!$C$15,MONTH(E238)&lt;=Setup!$C$16),OR(MONTH(E238)&gt;=Setup!$C$15,MONTH(E238)&lt;=Setup!$C$16)),IF(Setup!$C$15&lt;=Setup!$C$16,AND(MONTH(WORKDAY(E238,-(Setup!$C$13+Setup!$G$23),Setup!$C$39:$C$50))&gt;=Setup!$C$15,MONTH(WORKDAY(E238,-(Setup!$C$13+Setup!$G$23),Setup!$C$39:$C$50))&lt;=Setup!$C$16),OR(MONTH(WORKDAY(E238,-(Setup!$C$13+Setup!$G$23),Setup!$C$39:$C$50))&gt;=Setup!$C$15,MONTH(WORKDAY(E238,-(Setup!$C$13+Setup!$G$23),Setup!$C$39:$C$50))&lt;=Setup!$C$16))),WORKDAY(E238,-(Setup!$C$13+Setup!$G$23+Setup!$C$14),Setup!$C$39:$C$50),WORKDAY(E238,-(Setup!$C$13+Setup!$G$23),Setup!$C$39:$C$50))+(233*100+4)/10000000)))</f>
        <v/>
      </c>
      <c r="V238" t="str">
        <f>IF(F238="","",IF(F238&lt;Setup!$C$5-Setup!$C$6,"",IF(IF(ISNUMBER(Roster!$D238),Setup!$C$24&lt;=Roster!$D238,FALSE),"",IF(OR(IF(Setup!$C$15&lt;=Setup!$C$16,AND(MONTH(F238)&gt;=Setup!$C$15,MONTH(F238)&lt;=Setup!$C$16),OR(MONTH(F238)&gt;=Setup!$C$15,MONTH(F238)&lt;=Setup!$C$16)),IF(Setup!$C$15&lt;=Setup!$C$16,AND(MONTH(WORKDAY(F238,-(Setup!$C$13+Setup!$G$24),Setup!$C$39:$C$50))&gt;=Setup!$C$15,MONTH(WORKDAY(F238,-(Setup!$C$13+Setup!$G$24),Setup!$C$39:$C$50))&lt;=Setup!$C$16),OR(MONTH(WORKDAY(F238,-(Setup!$C$13+Setup!$G$24),Setup!$C$39:$C$50))&gt;=Setup!$C$15,MONTH(WORKDAY(F238,-(Setup!$C$13+Setup!$G$24),Setup!$C$39:$C$50))&lt;=Setup!$C$16))),WORKDAY(F238,-(Setup!$C$13+Setup!$G$24+Setup!$C$14),Setup!$C$39:$C$50),WORKDAY(F238,-(Setup!$C$13+Setup!$G$24),Setup!$C$39:$C$50))+(233*100+5)/10000000)))</f>
        <v/>
      </c>
      <c r="W238" t="str">
        <f>IF(G238="","",IF(G238&lt;Setup!$C$5-Setup!$C$6,"",IF(IF(ISNUMBER(Roster!$D238),Setup!$C$25&lt;=Roster!$D238,FALSE),"",IF(OR(IF(Setup!$C$15&lt;=Setup!$C$16,AND(MONTH(G238)&gt;=Setup!$C$15,MONTH(G238)&lt;=Setup!$C$16),OR(MONTH(G238)&gt;=Setup!$C$15,MONTH(G238)&lt;=Setup!$C$16)),IF(Setup!$C$15&lt;=Setup!$C$16,AND(MONTH(WORKDAY(G238,-(Setup!$C$13+Setup!$G$25),Setup!$C$39:$C$50))&gt;=Setup!$C$15,MONTH(WORKDAY(G238,-(Setup!$C$13+Setup!$G$25),Setup!$C$39:$C$50))&lt;=Setup!$C$16),OR(MONTH(WORKDAY(G238,-(Setup!$C$13+Setup!$G$25),Setup!$C$39:$C$50))&gt;=Setup!$C$15,MONTH(WORKDAY(G238,-(Setup!$C$13+Setup!$G$25),Setup!$C$39:$C$50))&lt;=Setup!$C$16))),WORKDAY(G238,-(Setup!$C$13+Setup!$G$25+Setup!$C$14),Setup!$C$39:$C$50),WORKDAY(G238,-(Setup!$C$13+Setup!$G$25),Setup!$C$39:$C$50))+(233*100+6)/10000000)))</f>
        <v/>
      </c>
      <c r="X238" t="str">
        <f>IF(H238="","",IF(H238&lt;Setup!$C$5-Setup!$C$6,"",IF(IF(ISNUMBER(Roster!$D238),Setup!$C$26&lt;=Roster!$D238,FALSE),"",IF(OR(IF(Setup!$C$15&lt;=Setup!$C$16,AND(MONTH(H238)&gt;=Setup!$C$15,MONTH(H238)&lt;=Setup!$C$16),OR(MONTH(H238)&gt;=Setup!$C$15,MONTH(H238)&lt;=Setup!$C$16)),IF(Setup!$C$15&lt;=Setup!$C$16,AND(MONTH(WORKDAY(H238,-(Setup!$C$13+Setup!$G$26),Setup!$C$39:$C$50))&gt;=Setup!$C$15,MONTH(WORKDAY(H238,-(Setup!$C$13+Setup!$G$26),Setup!$C$39:$C$50))&lt;=Setup!$C$16),OR(MONTH(WORKDAY(H238,-(Setup!$C$13+Setup!$G$26),Setup!$C$39:$C$50))&gt;=Setup!$C$15,MONTH(WORKDAY(H238,-(Setup!$C$13+Setup!$G$26),Setup!$C$39:$C$50))&lt;=Setup!$C$16))),WORKDAY(H238,-(Setup!$C$13+Setup!$G$26+Setup!$C$14),Setup!$C$39:$C$50),WORKDAY(H238,-(Setup!$C$13+Setup!$G$26),Setup!$C$39:$C$50))+(233*100+7)/10000000)))</f>
        <v/>
      </c>
      <c r="Y238" t="str">
        <f>IF(I238="","",IF(I238&lt;Setup!$C$5-Setup!$C$6,"",IF(IF(ISNUMBER(Roster!$D238),Setup!$C$27&lt;=Roster!$D238,FALSE),"",IF(OR(IF(Setup!$C$15&lt;=Setup!$C$16,AND(MONTH(I238)&gt;=Setup!$C$15,MONTH(I238)&lt;=Setup!$C$16),OR(MONTH(I238)&gt;=Setup!$C$15,MONTH(I238)&lt;=Setup!$C$16)),IF(Setup!$C$15&lt;=Setup!$C$16,AND(MONTH(WORKDAY(I238,-(Setup!$C$13+Setup!$G$27),Setup!$C$39:$C$50))&gt;=Setup!$C$15,MONTH(WORKDAY(I238,-(Setup!$C$13+Setup!$G$27),Setup!$C$39:$C$50))&lt;=Setup!$C$16),OR(MONTH(WORKDAY(I238,-(Setup!$C$13+Setup!$G$27),Setup!$C$39:$C$50))&gt;=Setup!$C$15,MONTH(WORKDAY(I238,-(Setup!$C$13+Setup!$G$27),Setup!$C$39:$C$50))&lt;=Setup!$C$16))),WORKDAY(I238,-(Setup!$C$13+Setup!$G$27+Setup!$C$14),Setup!$C$39:$C$50),WORKDAY(I238,-(Setup!$C$13+Setup!$G$27),Setup!$C$39:$C$50))+(233*100+8)/10000000)))</f>
        <v/>
      </c>
      <c r="Z238" t="str">
        <f>IF(J238="","",IF(J238&lt;Setup!$C$5-Setup!$C$6,"",IF(IF(ISNUMBER(Roster!$D238),Setup!$C$28&lt;=Roster!$D238,FALSE),"",IF(OR(IF(Setup!$C$15&lt;=Setup!$C$16,AND(MONTH(J238)&gt;=Setup!$C$15,MONTH(J238)&lt;=Setup!$C$16),OR(MONTH(J238)&gt;=Setup!$C$15,MONTH(J238)&lt;=Setup!$C$16)),IF(Setup!$C$15&lt;=Setup!$C$16,AND(MONTH(WORKDAY(J238,-(Setup!$C$13+Setup!$G$28),Setup!$C$39:$C$50))&gt;=Setup!$C$15,MONTH(WORKDAY(J238,-(Setup!$C$13+Setup!$G$28),Setup!$C$39:$C$50))&lt;=Setup!$C$16),OR(MONTH(WORKDAY(J238,-(Setup!$C$13+Setup!$G$28),Setup!$C$39:$C$50))&gt;=Setup!$C$15,MONTH(WORKDAY(J238,-(Setup!$C$13+Setup!$G$28),Setup!$C$39:$C$50))&lt;=Setup!$C$16))),WORKDAY(J238,-(Setup!$C$13+Setup!$G$28+Setup!$C$14),Setup!$C$39:$C$50),WORKDAY(J238,-(Setup!$C$13+Setup!$G$28),Setup!$C$39:$C$50))+(233*100+9)/10000000)))</f>
        <v/>
      </c>
      <c r="AA238" t="str">
        <f>IF(K238="","",IF(K238&lt;Setup!$C$5-Setup!$C$6,"",IF(IF(ISNUMBER(Roster!$D238),Setup!$C$29&lt;=Roster!$D238,FALSE),"",IF(OR(IF(Setup!$C$15&lt;=Setup!$C$16,AND(MONTH(K238)&gt;=Setup!$C$15,MONTH(K238)&lt;=Setup!$C$16),OR(MONTH(K238)&gt;=Setup!$C$15,MONTH(K238)&lt;=Setup!$C$16)),IF(Setup!$C$15&lt;=Setup!$C$16,AND(MONTH(WORKDAY(K238,-(Setup!$C$13+Setup!$G$29),Setup!$C$39:$C$50))&gt;=Setup!$C$15,MONTH(WORKDAY(K238,-(Setup!$C$13+Setup!$G$29),Setup!$C$39:$C$50))&lt;=Setup!$C$16),OR(MONTH(WORKDAY(K238,-(Setup!$C$13+Setup!$G$29),Setup!$C$39:$C$50))&gt;=Setup!$C$15,MONTH(WORKDAY(K238,-(Setup!$C$13+Setup!$G$29),Setup!$C$39:$C$50))&lt;=Setup!$C$16))),WORKDAY(K238,-(Setup!$C$13+Setup!$G$29+Setup!$C$14),Setup!$C$39:$C$50),WORKDAY(K238,-(Setup!$C$13+Setup!$G$29),Setup!$C$39:$C$50))+(233*100+10)/10000000)))</f>
        <v/>
      </c>
      <c r="AB238" t="str">
        <f>IF(L238="","",IF(L238&lt;Setup!$C$5-Setup!$C$6,"",IF(IF(ISNUMBER(Roster!$D238),Setup!$C$30&lt;=Roster!$D238,FALSE),"",IF(OR(IF(Setup!$C$15&lt;=Setup!$C$16,AND(MONTH(L238)&gt;=Setup!$C$15,MONTH(L238)&lt;=Setup!$C$16),OR(MONTH(L238)&gt;=Setup!$C$15,MONTH(L238)&lt;=Setup!$C$16)),IF(Setup!$C$15&lt;=Setup!$C$16,AND(MONTH(WORKDAY(L238,-(Setup!$C$13+Setup!$G$30),Setup!$C$39:$C$50))&gt;=Setup!$C$15,MONTH(WORKDAY(L238,-(Setup!$C$13+Setup!$G$30),Setup!$C$39:$C$50))&lt;=Setup!$C$16),OR(MONTH(WORKDAY(L238,-(Setup!$C$13+Setup!$G$30),Setup!$C$39:$C$50))&gt;=Setup!$C$15,MONTH(WORKDAY(L238,-(Setup!$C$13+Setup!$G$30),Setup!$C$39:$C$50))&lt;=Setup!$C$16))),WORKDAY(L238,-(Setup!$C$13+Setup!$G$30+Setup!$C$14),Setup!$C$39:$C$50),WORKDAY(L238,-(Setup!$C$13+Setup!$G$30),Setup!$C$39:$C$50))+(233*100+11)/10000000)))</f>
        <v/>
      </c>
      <c r="AC238" t="str">
        <f>IF(M238="","",IF(M238&lt;Setup!$C$5-Setup!$C$6,"",IF(IF(ISNUMBER(Roster!$D238),Setup!$C$31&lt;=Roster!$D238,FALSE),"",IF(OR(IF(Setup!$C$15&lt;=Setup!$C$16,AND(MONTH(M238)&gt;=Setup!$C$15,MONTH(M238)&lt;=Setup!$C$16),OR(MONTH(M238)&gt;=Setup!$C$15,MONTH(M238)&lt;=Setup!$C$16)),IF(Setup!$C$15&lt;=Setup!$C$16,AND(MONTH(WORKDAY(M238,-(Setup!$C$13+Setup!$G$31),Setup!$C$39:$C$50))&gt;=Setup!$C$15,MONTH(WORKDAY(M238,-(Setup!$C$13+Setup!$G$31),Setup!$C$39:$C$50))&lt;=Setup!$C$16),OR(MONTH(WORKDAY(M238,-(Setup!$C$13+Setup!$G$31),Setup!$C$39:$C$50))&gt;=Setup!$C$15,MONTH(WORKDAY(M238,-(Setup!$C$13+Setup!$G$31),Setup!$C$39:$C$50))&lt;=Setup!$C$16))),WORKDAY(M238,-(Setup!$C$13+Setup!$G$31+Setup!$C$14),Setup!$C$39:$C$50),WORKDAY(M238,-(Setup!$C$13+Setup!$G$31),Setup!$C$39:$C$50))+(233*100+12)/10000000)))</f>
        <v/>
      </c>
      <c r="AD238" t="str">
        <f>IF(N238="","",IF(N238&lt;Setup!$C$5-Setup!$C$6,"",IF(IF(ISNUMBER(Roster!$D238),Setup!$C$32&lt;=Roster!$D238,FALSE),"",IF(OR(IF(Setup!$C$15&lt;=Setup!$C$16,AND(MONTH(N238)&gt;=Setup!$C$15,MONTH(N238)&lt;=Setup!$C$16),OR(MONTH(N238)&gt;=Setup!$C$15,MONTH(N238)&lt;=Setup!$C$16)),IF(Setup!$C$15&lt;=Setup!$C$16,AND(MONTH(WORKDAY(N238,-(Setup!$C$13+Setup!$G$32),Setup!$C$39:$C$50))&gt;=Setup!$C$15,MONTH(WORKDAY(N238,-(Setup!$C$13+Setup!$G$32),Setup!$C$39:$C$50))&lt;=Setup!$C$16),OR(MONTH(WORKDAY(N238,-(Setup!$C$13+Setup!$G$32),Setup!$C$39:$C$50))&gt;=Setup!$C$15,MONTH(WORKDAY(N238,-(Setup!$C$13+Setup!$G$32),Setup!$C$39:$C$50))&lt;=Setup!$C$16))),WORKDAY(N238,-(Setup!$C$13+Setup!$G$32+Setup!$C$14),Setup!$C$39:$C$50),WORKDAY(N238,-(Setup!$C$13+Setup!$G$32),Setup!$C$39:$C$50))+(233*100+13)/10000000)))</f>
        <v/>
      </c>
      <c r="AE238" t="str">
        <f>IF(O238="","",IF(O238&lt;Setup!$C$5-Setup!$C$6,"",IF(IF(ISNUMBER(Roster!$D238),Setup!$C$33&lt;=Roster!$D238,FALSE),"",IF(OR(IF(Setup!$C$15&lt;=Setup!$C$16,AND(MONTH(O238)&gt;=Setup!$C$15,MONTH(O238)&lt;=Setup!$C$16),OR(MONTH(O238)&gt;=Setup!$C$15,MONTH(O238)&lt;=Setup!$C$16)),IF(Setup!$C$15&lt;=Setup!$C$16,AND(MONTH(WORKDAY(O238,-(Setup!$C$13+Setup!$G$33),Setup!$C$39:$C$50))&gt;=Setup!$C$15,MONTH(WORKDAY(O238,-(Setup!$C$13+Setup!$G$33),Setup!$C$39:$C$50))&lt;=Setup!$C$16),OR(MONTH(WORKDAY(O238,-(Setup!$C$13+Setup!$G$33),Setup!$C$39:$C$50))&gt;=Setup!$C$15,MONTH(WORKDAY(O238,-(Setup!$C$13+Setup!$G$33),Setup!$C$39:$C$50))&lt;=Setup!$C$16))),WORKDAY(O238,-(Setup!$C$13+Setup!$G$33+Setup!$C$14),Setup!$C$39:$C$50),WORKDAY(O238,-(Setup!$C$13+Setup!$G$33),Setup!$C$39:$C$50))+(233*100+14)/10000000)))</f>
        <v/>
      </c>
      <c r="AF238" t="str">
        <f>IF(P238="","",IF(P238&lt;Setup!$C$5-Setup!$C$6,"",IF(IF(ISNUMBER(Roster!$D238),Setup!$C$34&lt;=Roster!$D238,FALSE),"",IF(OR(IF(Setup!$C$15&lt;=Setup!$C$16,AND(MONTH(P238)&gt;=Setup!$C$15,MONTH(P238)&lt;=Setup!$C$16),OR(MONTH(P238)&gt;=Setup!$C$15,MONTH(P238)&lt;=Setup!$C$16)),IF(Setup!$C$15&lt;=Setup!$C$16,AND(MONTH(WORKDAY(P238,-(Setup!$C$13+Setup!$G$34),Setup!$C$39:$C$50))&gt;=Setup!$C$15,MONTH(WORKDAY(P238,-(Setup!$C$13+Setup!$G$34),Setup!$C$39:$C$50))&lt;=Setup!$C$16),OR(MONTH(WORKDAY(P238,-(Setup!$C$13+Setup!$G$34),Setup!$C$39:$C$50))&gt;=Setup!$C$15,MONTH(WORKDAY(P238,-(Setup!$C$13+Setup!$G$34),Setup!$C$39:$C$50))&lt;=Setup!$C$16))),WORKDAY(P238,-(Setup!$C$13+Setup!$G$34+Setup!$C$14),Setup!$C$39:$C$50),WORKDAY(P238,-(Setup!$C$13+Setup!$G$34),Setup!$C$39:$C$50))+(233*100+15)/10000000)))</f>
        <v/>
      </c>
      <c r="AH238" t="str">
        <f t="shared" si="25"/>
        <v/>
      </c>
      <c r="AI238" t="str">
        <f t="shared" si="26"/>
        <v/>
      </c>
      <c r="AK238" t="str">
        <f ca="1">IF(233&gt;$AK$2,"",SMALL($R$6:$AF$505,233))</f>
        <v/>
      </c>
      <c r="AL238" t="str">
        <f t="shared" ca="1" si="27"/>
        <v/>
      </c>
      <c r="AM238" t="str">
        <f t="shared" ca="1" si="28"/>
        <v/>
      </c>
      <c r="AN238" t="str">
        <f t="shared" ca="1" si="29"/>
        <v/>
      </c>
      <c r="AP238" t="str">
        <f>IF(ISNUMBER(Roster!$B238),MAX(1,YEAR(Setup!$C$5)-YEAR(Roster!$B238)+IF(EDATE(Roster!$B238,12*(YEAR(Setup!$C$5)-YEAR(Roster!$B238)))&lt;Setup!$C$5,1,0)),"")</f>
        <v/>
      </c>
      <c r="AQ238" s="32" t="str">
        <f>IF(AP238="","",EDATE(Roster!$B238,12*AP238))</f>
        <v/>
      </c>
      <c r="AR238" t="str">
        <f>IF(AQ238="","",IF(AQ238&lt;DATE(YEAR(Setup!$C$5)+1,MONTH(Setup!$C$5),DAY(Setup!$C$5)),AQ238+233/1000,""))</f>
        <v/>
      </c>
      <c r="AS238" t="str">
        <f t="shared" si="30"/>
        <v/>
      </c>
      <c r="AT238" t="str">
        <f>IF(AS238="","",IF(ISNUMBER(Roster!$D238),Roster!$D238&gt;=AP238,FALSE))</f>
        <v/>
      </c>
      <c r="AU238" t="str">
        <f t="shared" si="31"/>
        <v/>
      </c>
      <c r="AV238" t="str">
        <f ca="1">IF(233&gt;$AV$2,"",SMALL($AR$6:$AR$505,233))</f>
        <v/>
      </c>
      <c r="AW238" t="str">
        <f t="shared" ca="1" si="32"/>
        <v/>
      </c>
    </row>
    <row r="239" spans="2:49" x14ac:dyDescent="0.2">
      <c r="B239" s="32" t="str">
        <f>IF(AND(ISNUMBER(Roster!$B239),Setup!$B$20="Yes",ISNUMBER(Setup!$C$20)),EDATE(Roster!$B239,12*Setup!$C$20),"")</f>
        <v/>
      </c>
      <c r="C239" s="32" t="str">
        <f>IF(AND(ISNUMBER(Roster!$B239),Setup!$B$21="Yes",ISNUMBER(Setup!$C$21)),EDATE(Roster!$B239,12*Setup!$C$21),"")</f>
        <v/>
      </c>
      <c r="D239" s="32" t="str">
        <f>IF(AND(ISNUMBER(Roster!$B239),Setup!$B$22="Yes",ISNUMBER(Setup!$C$22)),EDATE(Roster!$B239,12*Setup!$C$22),"")</f>
        <v/>
      </c>
      <c r="E239" s="32" t="str">
        <f>IF(AND(ISNUMBER(Roster!$B239),Setup!$B$23="Yes",ISNUMBER(Setup!$C$23)),EDATE(Roster!$B239,12*Setup!$C$23),"")</f>
        <v/>
      </c>
      <c r="F239" s="32" t="str">
        <f>IF(AND(ISNUMBER(Roster!$B239),Setup!$B$24="Yes",ISNUMBER(Setup!$C$24)),EDATE(Roster!$B239,12*Setup!$C$24),"")</f>
        <v/>
      </c>
      <c r="G239" s="32" t="str">
        <f>IF(AND(ISNUMBER(Roster!$B239),Setup!$B$25="Yes",ISNUMBER(Setup!$C$25)),EDATE(Roster!$B239,12*Setup!$C$25),"")</f>
        <v/>
      </c>
      <c r="H239" s="32" t="str">
        <f>IF(AND(ISNUMBER(Roster!$B239),Setup!$B$26="Yes",ISNUMBER(Setup!$C$26)),EDATE(Roster!$B239,12*Setup!$C$26),"")</f>
        <v/>
      </c>
      <c r="I239" s="32" t="str">
        <f>IF(AND(ISNUMBER(Roster!$B239),Setup!$B$27="Yes",ISNUMBER(Setup!$C$27)),EDATE(Roster!$B239,12*Setup!$C$27),"")</f>
        <v/>
      </c>
      <c r="J239" s="32" t="str">
        <f>IF(AND(ISNUMBER(Roster!$B239),Setup!$B$28="Yes",ISNUMBER(Setup!$C$28)),EDATE(Roster!$B239,12*Setup!$C$28),"")</f>
        <v/>
      </c>
      <c r="K239" s="32" t="str">
        <f>IF(AND(ISNUMBER(Roster!$B239),Setup!$B$29="Yes",ISNUMBER(Setup!$C$29)),EDATE(Roster!$B239,12*Setup!$C$29),"")</f>
        <v/>
      </c>
      <c r="L239" s="32" t="str">
        <f>IF(AND(ISNUMBER(Roster!$B239),Setup!$B$30="Yes",ISNUMBER(Setup!$C$30)),EDATE(Roster!$B239,12*Setup!$C$30),"")</f>
        <v/>
      </c>
      <c r="M239" s="32" t="str">
        <f>IF(AND(ISNUMBER(Roster!$B239),Setup!$B$31="Yes",ISNUMBER(Setup!$C$31)),EDATE(Roster!$B239,12*Setup!$C$31),"")</f>
        <v/>
      </c>
      <c r="N239" s="32" t="str">
        <f>IF(AND(ISNUMBER(Roster!$B239),Setup!$B$32="Yes",ISNUMBER(Setup!$C$32)),EDATE(Roster!$B239,12*Setup!$C$32),"")</f>
        <v/>
      </c>
      <c r="O239" s="32" t="str">
        <f>IF(AND(ISNUMBER(Roster!$B239),Setup!$B$33="Yes",ISNUMBER(Setup!$C$33)),EDATE(Roster!$B239,12*Setup!$C$33),"")</f>
        <v/>
      </c>
      <c r="P239" s="32" t="str">
        <f>IF(AND(ISNUMBER(Roster!$B239),Setup!$B$34="Yes",ISNUMBER(Setup!$C$34)),EDATE(Roster!$B239,12*Setup!$C$34),"")</f>
        <v/>
      </c>
      <c r="R239" t="str">
        <f>IF(B239="","",IF(B239&lt;Setup!$C$5-Setup!$C$6,"",IF(IF(ISNUMBER(Roster!$D239),Setup!$C$20&lt;=Roster!$D239,FALSE),"",IF(OR(IF(Setup!$C$15&lt;=Setup!$C$16,AND(MONTH(B239)&gt;=Setup!$C$15,MONTH(B239)&lt;=Setup!$C$16),OR(MONTH(B239)&gt;=Setup!$C$15,MONTH(B239)&lt;=Setup!$C$16)),IF(Setup!$C$15&lt;=Setup!$C$16,AND(MONTH(WORKDAY(B239,-(Setup!$C$13+Setup!$G$20),Setup!$C$39:$C$50))&gt;=Setup!$C$15,MONTH(WORKDAY(B239,-(Setup!$C$13+Setup!$G$20),Setup!$C$39:$C$50))&lt;=Setup!$C$16),OR(MONTH(WORKDAY(B239,-(Setup!$C$13+Setup!$G$20),Setup!$C$39:$C$50))&gt;=Setup!$C$15,MONTH(WORKDAY(B239,-(Setup!$C$13+Setup!$G$20),Setup!$C$39:$C$50))&lt;=Setup!$C$16))),WORKDAY(B239,-(Setup!$C$13+Setup!$G$20+Setup!$C$14),Setup!$C$39:$C$50),WORKDAY(B239,-(Setup!$C$13+Setup!$G$20),Setup!$C$39:$C$50))+(234*100+1)/10000000)))</f>
        <v/>
      </c>
      <c r="S239" t="str">
        <f>IF(C239="","",IF(C239&lt;Setup!$C$5-Setup!$C$6,"",IF(IF(ISNUMBER(Roster!$D239),Setup!$C$21&lt;=Roster!$D239,FALSE),"",IF(OR(IF(Setup!$C$15&lt;=Setup!$C$16,AND(MONTH(C239)&gt;=Setup!$C$15,MONTH(C239)&lt;=Setup!$C$16),OR(MONTH(C239)&gt;=Setup!$C$15,MONTH(C239)&lt;=Setup!$C$16)),IF(Setup!$C$15&lt;=Setup!$C$16,AND(MONTH(WORKDAY(C239,-(Setup!$C$13+Setup!$G$21),Setup!$C$39:$C$50))&gt;=Setup!$C$15,MONTH(WORKDAY(C239,-(Setup!$C$13+Setup!$G$21),Setup!$C$39:$C$50))&lt;=Setup!$C$16),OR(MONTH(WORKDAY(C239,-(Setup!$C$13+Setup!$G$21),Setup!$C$39:$C$50))&gt;=Setup!$C$15,MONTH(WORKDAY(C239,-(Setup!$C$13+Setup!$G$21),Setup!$C$39:$C$50))&lt;=Setup!$C$16))),WORKDAY(C239,-(Setup!$C$13+Setup!$G$21+Setup!$C$14),Setup!$C$39:$C$50),WORKDAY(C239,-(Setup!$C$13+Setup!$G$21),Setup!$C$39:$C$50))+(234*100+2)/10000000)))</f>
        <v/>
      </c>
      <c r="T239" t="str">
        <f>IF(D239="","",IF(D239&lt;Setup!$C$5-Setup!$C$6,"",IF(IF(ISNUMBER(Roster!$D239),Setup!$C$22&lt;=Roster!$D239,FALSE),"",IF(OR(IF(Setup!$C$15&lt;=Setup!$C$16,AND(MONTH(D239)&gt;=Setup!$C$15,MONTH(D239)&lt;=Setup!$C$16),OR(MONTH(D239)&gt;=Setup!$C$15,MONTH(D239)&lt;=Setup!$C$16)),IF(Setup!$C$15&lt;=Setup!$C$16,AND(MONTH(WORKDAY(D239,-(Setup!$C$13+Setup!$G$22),Setup!$C$39:$C$50))&gt;=Setup!$C$15,MONTH(WORKDAY(D239,-(Setup!$C$13+Setup!$G$22),Setup!$C$39:$C$50))&lt;=Setup!$C$16),OR(MONTH(WORKDAY(D239,-(Setup!$C$13+Setup!$G$22),Setup!$C$39:$C$50))&gt;=Setup!$C$15,MONTH(WORKDAY(D239,-(Setup!$C$13+Setup!$G$22),Setup!$C$39:$C$50))&lt;=Setup!$C$16))),WORKDAY(D239,-(Setup!$C$13+Setup!$G$22+Setup!$C$14),Setup!$C$39:$C$50),WORKDAY(D239,-(Setup!$C$13+Setup!$G$22),Setup!$C$39:$C$50))+(234*100+3)/10000000)))</f>
        <v/>
      </c>
      <c r="U239" t="str">
        <f>IF(E239="","",IF(E239&lt;Setup!$C$5-Setup!$C$6,"",IF(IF(ISNUMBER(Roster!$D239),Setup!$C$23&lt;=Roster!$D239,FALSE),"",IF(OR(IF(Setup!$C$15&lt;=Setup!$C$16,AND(MONTH(E239)&gt;=Setup!$C$15,MONTH(E239)&lt;=Setup!$C$16),OR(MONTH(E239)&gt;=Setup!$C$15,MONTH(E239)&lt;=Setup!$C$16)),IF(Setup!$C$15&lt;=Setup!$C$16,AND(MONTH(WORKDAY(E239,-(Setup!$C$13+Setup!$G$23),Setup!$C$39:$C$50))&gt;=Setup!$C$15,MONTH(WORKDAY(E239,-(Setup!$C$13+Setup!$G$23),Setup!$C$39:$C$50))&lt;=Setup!$C$16),OR(MONTH(WORKDAY(E239,-(Setup!$C$13+Setup!$G$23),Setup!$C$39:$C$50))&gt;=Setup!$C$15,MONTH(WORKDAY(E239,-(Setup!$C$13+Setup!$G$23),Setup!$C$39:$C$50))&lt;=Setup!$C$16))),WORKDAY(E239,-(Setup!$C$13+Setup!$G$23+Setup!$C$14),Setup!$C$39:$C$50),WORKDAY(E239,-(Setup!$C$13+Setup!$G$23),Setup!$C$39:$C$50))+(234*100+4)/10000000)))</f>
        <v/>
      </c>
      <c r="V239" t="str">
        <f>IF(F239="","",IF(F239&lt;Setup!$C$5-Setup!$C$6,"",IF(IF(ISNUMBER(Roster!$D239),Setup!$C$24&lt;=Roster!$D239,FALSE),"",IF(OR(IF(Setup!$C$15&lt;=Setup!$C$16,AND(MONTH(F239)&gt;=Setup!$C$15,MONTH(F239)&lt;=Setup!$C$16),OR(MONTH(F239)&gt;=Setup!$C$15,MONTH(F239)&lt;=Setup!$C$16)),IF(Setup!$C$15&lt;=Setup!$C$16,AND(MONTH(WORKDAY(F239,-(Setup!$C$13+Setup!$G$24),Setup!$C$39:$C$50))&gt;=Setup!$C$15,MONTH(WORKDAY(F239,-(Setup!$C$13+Setup!$G$24),Setup!$C$39:$C$50))&lt;=Setup!$C$16),OR(MONTH(WORKDAY(F239,-(Setup!$C$13+Setup!$G$24),Setup!$C$39:$C$50))&gt;=Setup!$C$15,MONTH(WORKDAY(F239,-(Setup!$C$13+Setup!$G$24),Setup!$C$39:$C$50))&lt;=Setup!$C$16))),WORKDAY(F239,-(Setup!$C$13+Setup!$G$24+Setup!$C$14),Setup!$C$39:$C$50),WORKDAY(F239,-(Setup!$C$13+Setup!$G$24),Setup!$C$39:$C$50))+(234*100+5)/10000000)))</f>
        <v/>
      </c>
      <c r="W239" t="str">
        <f>IF(G239="","",IF(G239&lt;Setup!$C$5-Setup!$C$6,"",IF(IF(ISNUMBER(Roster!$D239),Setup!$C$25&lt;=Roster!$D239,FALSE),"",IF(OR(IF(Setup!$C$15&lt;=Setup!$C$16,AND(MONTH(G239)&gt;=Setup!$C$15,MONTH(G239)&lt;=Setup!$C$16),OR(MONTH(G239)&gt;=Setup!$C$15,MONTH(G239)&lt;=Setup!$C$16)),IF(Setup!$C$15&lt;=Setup!$C$16,AND(MONTH(WORKDAY(G239,-(Setup!$C$13+Setup!$G$25),Setup!$C$39:$C$50))&gt;=Setup!$C$15,MONTH(WORKDAY(G239,-(Setup!$C$13+Setup!$G$25),Setup!$C$39:$C$50))&lt;=Setup!$C$16),OR(MONTH(WORKDAY(G239,-(Setup!$C$13+Setup!$G$25),Setup!$C$39:$C$50))&gt;=Setup!$C$15,MONTH(WORKDAY(G239,-(Setup!$C$13+Setup!$G$25),Setup!$C$39:$C$50))&lt;=Setup!$C$16))),WORKDAY(G239,-(Setup!$C$13+Setup!$G$25+Setup!$C$14),Setup!$C$39:$C$50),WORKDAY(G239,-(Setup!$C$13+Setup!$G$25),Setup!$C$39:$C$50))+(234*100+6)/10000000)))</f>
        <v/>
      </c>
      <c r="X239" t="str">
        <f>IF(H239="","",IF(H239&lt;Setup!$C$5-Setup!$C$6,"",IF(IF(ISNUMBER(Roster!$D239),Setup!$C$26&lt;=Roster!$D239,FALSE),"",IF(OR(IF(Setup!$C$15&lt;=Setup!$C$16,AND(MONTH(H239)&gt;=Setup!$C$15,MONTH(H239)&lt;=Setup!$C$16),OR(MONTH(H239)&gt;=Setup!$C$15,MONTH(H239)&lt;=Setup!$C$16)),IF(Setup!$C$15&lt;=Setup!$C$16,AND(MONTH(WORKDAY(H239,-(Setup!$C$13+Setup!$G$26),Setup!$C$39:$C$50))&gt;=Setup!$C$15,MONTH(WORKDAY(H239,-(Setup!$C$13+Setup!$G$26),Setup!$C$39:$C$50))&lt;=Setup!$C$16),OR(MONTH(WORKDAY(H239,-(Setup!$C$13+Setup!$G$26),Setup!$C$39:$C$50))&gt;=Setup!$C$15,MONTH(WORKDAY(H239,-(Setup!$C$13+Setup!$G$26),Setup!$C$39:$C$50))&lt;=Setup!$C$16))),WORKDAY(H239,-(Setup!$C$13+Setup!$G$26+Setup!$C$14),Setup!$C$39:$C$50),WORKDAY(H239,-(Setup!$C$13+Setup!$G$26),Setup!$C$39:$C$50))+(234*100+7)/10000000)))</f>
        <v/>
      </c>
      <c r="Y239" t="str">
        <f>IF(I239="","",IF(I239&lt;Setup!$C$5-Setup!$C$6,"",IF(IF(ISNUMBER(Roster!$D239),Setup!$C$27&lt;=Roster!$D239,FALSE),"",IF(OR(IF(Setup!$C$15&lt;=Setup!$C$16,AND(MONTH(I239)&gt;=Setup!$C$15,MONTH(I239)&lt;=Setup!$C$16),OR(MONTH(I239)&gt;=Setup!$C$15,MONTH(I239)&lt;=Setup!$C$16)),IF(Setup!$C$15&lt;=Setup!$C$16,AND(MONTH(WORKDAY(I239,-(Setup!$C$13+Setup!$G$27),Setup!$C$39:$C$50))&gt;=Setup!$C$15,MONTH(WORKDAY(I239,-(Setup!$C$13+Setup!$G$27),Setup!$C$39:$C$50))&lt;=Setup!$C$16),OR(MONTH(WORKDAY(I239,-(Setup!$C$13+Setup!$G$27),Setup!$C$39:$C$50))&gt;=Setup!$C$15,MONTH(WORKDAY(I239,-(Setup!$C$13+Setup!$G$27),Setup!$C$39:$C$50))&lt;=Setup!$C$16))),WORKDAY(I239,-(Setup!$C$13+Setup!$G$27+Setup!$C$14),Setup!$C$39:$C$50),WORKDAY(I239,-(Setup!$C$13+Setup!$G$27),Setup!$C$39:$C$50))+(234*100+8)/10000000)))</f>
        <v/>
      </c>
      <c r="Z239" t="str">
        <f>IF(J239="","",IF(J239&lt;Setup!$C$5-Setup!$C$6,"",IF(IF(ISNUMBER(Roster!$D239),Setup!$C$28&lt;=Roster!$D239,FALSE),"",IF(OR(IF(Setup!$C$15&lt;=Setup!$C$16,AND(MONTH(J239)&gt;=Setup!$C$15,MONTH(J239)&lt;=Setup!$C$16),OR(MONTH(J239)&gt;=Setup!$C$15,MONTH(J239)&lt;=Setup!$C$16)),IF(Setup!$C$15&lt;=Setup!$C$16,AND(MONTH(WORKDAY(J239,-(Setup!$C$13+Setup!$G$28),Setup!$C$39:$C$50))&gt;=Setup!$C$15,MONTH(WORKDAY(J239,-(Setup!$C$13+Setup!$G$28),Setup!$C$39:$C$50))&lt;=Setup!$C$16),OR(MONTH(WORKDAY(J239,-(Setup!$C$13+Setup!$G$28),Setup!$C$39:$C$50))&gt;=Setup!$C$15,MONTH(WORKDAY(J239,-(Setup!$C$13+Setup!$G$28),Setup!$C$39:$C$50))&lt;=Setup!$C$16))),WORKDAY(J239,-(Setup!$C$13+Setup!$G$28+Setup!$C$14),Setup!$C$39:$C$50),WORKDAY(J239,-(Setup!$C$13+Setup!$G$28),Setup!$C$39:$C$50))+(234*100+9)/10000000)))</f>
        <v/>
      </c>
      <c r="AA239" t="str">
        <f>IF(K239="","",IF(K239&lt;Setup!$C$5-Setup!$C$6,"",IF(IF(ISNUMBER(Roster!$D239),Setup!$C$29&lt;=Roster!$D239,FALSE),"",IF(OR(IF(Setup!$C$15&lt;=Setup!$C$16,AND(MONTH(K239)&gt;=Setup!$C$15,MONTH(K239)&lt;=Setup!$C$16),OR(MONTH(K239)&gt;=Setup!$C$15,MONTH(K239)&lt;=Setup!$C$16)),IF(Setup!$C$15&lt;=Setup!$C$16,AND(MONTH(WORKDAY(K239,-(Setup!$C$13+Setup!$G$29),Setup!$C$39:$C$50))&gt;=Setup!$C$15,MONTH(WORKDAY(K239,-(Setup!$C$13+Setup!$G$29),Setup!$C$39:$C$50))&lt;=Setup!$C$16),OR(MONTH(WORKDAY(K239,-(Setup!$C$13+Setup!$G$29),Setup!$C$39:$C$50))&gt;=Setup!$C$15,MONTH(WORKDAY(K239,-(Setup!$C$13+Setup!$G$29),Setup!$C$39:$C$50))&lt;=Setup!$C$16))),WORKDAY(K239,-(Setup!$C$13+Setup!$G$29+Setup!$C$14),Setup!$C$39:$C$50),WORKDAY(K239,-(Setup!$C$13+Setup!$G$29),Setup!$C$39:$C$50))+(234*100+10)/10000000)))</f>
        <v/>
      </c>
      <c r="AB239" t="str">
        <f>IF(L239="","",IF(L239&lt;Setup!$C$5-Setup!$C$6,"",IF(IF(ISNUMBER(Roster!$D239),Setup!$C$30&lt;=Roster!$D239,FALSE),"",IF(OR(IF(Setup!$C$15&lt;=Setup!$C$16,AND(MONTH(L239)&gt;=Setup!$C$15,MONTH(L239)&lt;=Setup!$C$16),OR(MONTH(L239)&gt;=Setup!$C$15,MONTH(L239)&lt;=Setup!$C$16)),IF(Setup!$C$15&lt;=Setup!$C$16,AND(MONTH(WORKDAY(L239,-(Setup!$C$13+Setup!$G$30),Setup!$C$39:$C$50))&gt;=Setup!$C$15,MONTH(WORKDAY(L239,-(Setup!$C$13+Setup!$G$30),Setup!$C$39:$C$50))&lt;=Setup!$C$16),OR(MONTH(WORKDAY(L239,-(Setup!$C$13+Setup!$G$30),Setup!$C$39:$C$50))&gt;=Setup!$C$15,MONTH(WORKDAY(L239,-(Setup!$C$13+Setup!$G$30),Setup!$C$39:$C$50))&lt;=Setup!$C$16))),WORKDAY(L239,-(Setup!$C$13+Setup!$G$30+Setup!$C$14),Setup!$C$39:$C$50),WORKDAY(L239,-(Setup!$C$13+Setup!$G$30),Setup!$C$39:$C$50))+(234*100+11)/10000000)))</f>
        <v/>
      </c>
      <c r="AC239" t="str">
        <f>IF(M239="","",IF(M239&lt;Setup!$C$5-Setup!$C$6,"",IF(IF(ISNUMBER(Roster!$D239),Setup!$C$31&lt;=Roster!$D239,FALSE),"",IF(OR(IF(Setup!$C$15&lt;=Setup!$C$16,AND(MONTH(M239)&gt;=Setup!$C$15,MONTH(M239)&lt;=Setup!$C$16),OR(MONTH(M239)&gt;=Setup!$C$15,MONTH(M239)&lt;=Setup!$C$16)),IF(Setup!$C$15&lt;=Setup!$C$16,AND(MONTH(WORKDAY(M239,-(Setup!$C$13+Setup!$G$31),Setup!$C$39:$C$50))&gt;=Setup!$C$15,MONTH(WORKDAY(M239,-(Setup!$C$13+Setup!$G$31),Setup!$C$39:$C$50))&lt;=Setup!$C$16),OR(MONTH(WORKDAY(M239,-(Setup!$C$13+Setup!$G$31),Setup!$C$39:$C$50))&gt;=Setup!$C$15,MONTH(WORKDAY(M239,-(Setup!$C$13+Setup!$G$31),Setup!$C$39:$C$50))&lt;=Setup!$C$16))),WORKDAY(M239,-(Setup!$C$13+Setup!$G$31+Setup!$C$14),Setup!$C$39:$C$50),WORKDAY(M239,-(Setup!$C$13+Setup!$G$31),Setup!$C$39:$C$50))+(234*100+12)/10000000)))</f>
        <v/>
      </c>
      <c r="AD239" t="str">
        <f>IF(N239="","",IF(N239&lt;Setup!$C$5-Setup!$C$6,"",IF(IF(ISNUMBER(Roster!$D239),Setup!$C$32&lt;=Roster!$D239,FALSE),"",IF(OR(IF(Setup!$C$15&lt;=Setup!$C$16,AND(MONTH(N239)&gt;=Setup!$C$15,MONTH(N239)&lt;=Setup!$C$16),OR(MONTH(N239)&gt;=Setup!$C$15,MONTH(N239)&lt;=Setup!$C$16)),IF(Setup!$C$15&lt;=Setup!$C$16,AND(MONTH(WORKDAY(N239,-(Setup!$C$13+Setup!$G$32),Setup!$C$39:$C$50))&gt;=Setup!$C$15,MONTH(WORKDAY(N239,-(Setup!$C$13+Setup!$G$32),Setup!$C$39:$C$50))&lt;=Setup!$C$16),OR(MONTH(WORKDAY(N239,-(Setup!$C$13+Setup!$G$32),Setup!$C$39:$C$50))&gt;=Setup!$C$15,MONTH(WORKDAY(N239,-(Setup!$C$13+Setup!$G$32),Setup!$C$39:$C$50))&lt;=Setup!$C$16))),WORKDAY(N239,-(Setup!$C$13+Setup!$G$32+Setup!$C$14),Setup!$C$39:$C$50),WORKDAY(N239,-(Setup!$C$13+Setup!$G$32),Setup!$C$39:$C$50))+(234*100+13)/10000000)))</f>
        <v/>
      </c>
      <c r="AE239" t="str">
        <f>IF(O239="","",IF(O239&lt;Setup!$C$5-Setup!$C$6,"",IF(IF(ISNUMBER(Roster!$D239),Setup!$C$33&lt;=Roster!$D239,FALSE),"",IF(OR(IF(Setup!$C$15&lt;=Setup!$C$16,AND(MONTH(O239)&gt;=Setup!$C$15,MONTH(O239)&lt;=Setup!$C$16),OR(MONTH(O239)&gt;=Setup!$C$15,MONTH(O239)&lt;=Setup!$C$16)),IF(Setup!$C$15&lt;=Setup!$C$16,AND(MONTH(WORKDAY(O239,-(Setup!$C$13+Setup!$G$33),Setup!$C$39:$C$50))&gt;=Setup!$C$15,MONTH(WORKDAY(O239,-(Setup!$C$13+Setup!$G$33),Setup!$C$39:$C$50))&lt;=Setup!$C$16),OR(MONTH(WORKDAY(O239,-(Setup!$C$13+Setup!$G$33),Setup!$C$39:$C$50))&gt;=Setup!$C$15,MONTH(WORKDAY(O239,-(Setup!$C$13+Setup!$G$33),Setup!$C$39:$C$50))&lt;=Setup!$C$16))),WORKDAY(O239,-(Setup!$C$13+Setup!$G$33+Setup!$C$14),Setup!$C$39:$C$50),WORKDAY(O239,-(Setup!$C$13+Setup!$G$33),Setup!$C$39:$C$50))+(234*100+14)/10000000)))</f>
        <v/>
      </c>
      <c r="AF239" t="str">
        <f>IF(P239="","",IF(P239&lt;Setup!$C$5-Setup!$C$6,"",IF(IF(ISNUMBER(Roster!$D239),Setup!$C$34&lt;=Roster!$D239,FALSE),"",IF(OR(IF(Setup!$C$15&lt;=Setup!$C$16,AND(MONTH(P239)&gt;=Setup!$C$15,MONTH(P239)&lt;=Setup!$C$16),OR(MONTH(P239)&gt;=Setup!$C$15,MONTH(P239)&lt;=Setup!$C$16)),IF(Setup!$C$15&lt;=Setup!$C$16,AND(MONTH(WORKDAY(P239,-(Setup!$C$13+Setup!$G$34),Setup!$C$39:$C$50))&gt;=Setup!$C$15,MONTH(WORKDAY(P239,-(Setup!$C$13+Setup!$G$34),Setup!$C$39:$C$50))&lt;=Setup!$C$16),OR(MONTH(WORKDAY(P239,-(Setup!$C$13+Setup!$G$34),Setup!$C$39:$C$50))&gt;=Setup!$C$15,MONTH(WORKDAY(P239,-(Setup!$C$13+Setup!$G$34),Setup!$C$39:$C$50))&lt;=Setup!$C$16))),WORKDAY(P239,-(Setup!$C$13+Setup!$G$34+Setup!$C$14),Setup!$C$39:$C$50),WORKDAY(P239,-(Setup!$C$13+Setup!$G$34),Setup!$C$39:$C$50))+(234*100+15)/10000000)))</f>
        <v/>
      </c>
      <c r="AH239" t="str">
        <f t="shared" si="25"/>
        <v/>
      </c>
      <c r="AI239" t="str">
        <f t="shared" si="26"/>
        <v/>
      </c>
      <c r="AK239" t="str">
        <f ca="1">IF(234&gt;$AK$2,"",SMALL($R$6:$AF$505,234))</f>
        <v/>
      </c>
      <c r="AL239" t="str">
        <f t="shared" ca="1" si="27"/>
        <v/>
      </c>
      <c r="AM239" t="str">
        <f t="shared" ca="1" si="28"/>
        <v/>
      </c>
      <c r="AN239" t="str">
        <f t="shared" ca="1" si="29"/>
        <v/>
      </c>
      <c r="AP239" t="str">
        <f>IF(ISNUMBER(Roster!$B239),MAX(1,YEAR(Setup!$C$5)-YEAR(Roster!$B239)+IF(EDATE(Roster!$B239,12*(YEAR(Setup!$C$5)-YEAR(Roster!$B239)))&lt;Setup!$C$5,1,0)),"")</f>
        <v/>
      </c>
      <c r="AQ239" s="32" t="str">
        <f>IF(AP239="","",EDATE(Roster!$B239,12*AP239))</f>
        <v/>
      </c>
      <c r="AR239" t="str">
        <f>IF(AQ239="","",IF(AQ239&lt;DATE(YEAR(Setup!$C$5)+1,MONTH(Setup!$C$5),DAY(Setup!$C$5)),AQ239+234/1000,""))</f>
        <v/>
      </c>
      <c r="AS239" t="str">
        <f t="shared" si="30"/>
        <v/>
      </c>
      <c r="AT239" t="str">
        <f>IF(AS239="","",IF(ISNUMBER(Roster!$D239),Roster!$D239&gt;=AP239,FALSE))</f>
        <v/>
      </c>
      <c r="AU239" t="str">
        <f t="shared" si="31"/>
        <v/>
      </c>
      <c r="AV239" t="str">
        <f ca="1">IF(234&gt;$AV$2,"",SMALL($AR$6:$AR$505,234))</f>
        <v/>
      </c>
      <c r="AW239" t="str">
        <f t="shared" ca="1" si="32"/>
        <v/>
      </c>
    </row>
    <row r="240" spans="2:49" x14ac:dyDescent="0.2">
      <c r="B240" s="32" t="str">
        <f>IF(AND(ISNUMBER(Roster!$B240),Setup!$B$20="Yes",ISNUMBER(Setup!$C$20)),EDATE(Roster!$B240,12*Setup!$C$20),"")</f>
        <v/>
      </c>
      <c r="C240" s="32" t="str">
        <f>IF(AND(ISNUMBER(Roster!$B240),Setup!$B$21="Yes",ISNUMBER(Setup!$C$21)),EDATE(Roster!$B240,12*Setup!$C$21),"")</f>
        <v/>
      </c>
      <c r="D240" s="32" t="str">
        <f>IF(AND(ISNUMBER(Roster!$B240),Setup!$B$22="Yes",ISNUMBER(Setup!$C$22)),EDATE(Roster!$B240,12*Setup!$C$22),"")</f>
        <v/>
      </c>
      <c r="E240" s="32" t="str">
        <f>IF(AND(ISNUMBER(Roster!$B240),Setup!$B$23="Yes",ISNUMBER(Setup!$C$23)),EDATE(Roster!$B240,12*Setup!$C$23),"")</f>
        <v/>
      </c>
      <c r="F240" s="32" t="str">
        <f>IF(AND(ISNUMBER(Roster!$B240),Setup!$B$24="Yes",ISNUMBER(Setup!$C$24)),EDATE(Roster!$B240,12*Setup!$C$24),"")</f>
        <v/>
      </c>
      <c r="G240" s="32" t="str">
        <f>IF(AND(ISNUMBER(Roster!$B240),Setup!$B$25="Yes",ISNUMBER(Setup!$C$25)),EDATE(Roster!$B240,12*Setup!$C$25),"")</f>
        <v/>
      </c>
      <c r="H240" s="32" t="str">
        <f>IF(AND(ISNUMBER(Roster!$B240),Setup!$B$26="Yes",ISNUMBER(Setup!$C$26)),EDATE(Roster!$B240,12*Setup!$C$26),"")</f>
        <v/>
      </c>
      <c r="I240" s="32" t="str">
        <f>IF(AND(ISNUMBER(Roster!$B240),Setup!$B$27="Yes",ISNUMBER(Setup!$C$27)),EDATE(Roster!$B240,12*Setup!$C$27),"")</f>
        <v/>
      </c>
      <c r="J240" s="32" t="str">
        <f>IF(AND(ISNUMBER(Roster!$B240),Setup!$B$28="Yes",ISNUMBER(Setup!$C$28)),EDATE(Roster!$B240,12*Setup!$C$28),"")</f>
        <v/>
      </c>
      <c r="K240" s="32" t="str">
        <f>IF(AND(ISNUMBER(Roster!$B240),Setup!$B$29="Yes",ISNUMBER(Setup!$C$29)),EDATE(Roster!$B240,12*Setup!$C$29),"")</f>
        <v/>
      </c>
      <c r="L240" s="32" t="str">
        <f>IF(AND(ISNUMBER(Roster!$B240),Setup!$B$30="Yes",ISNUMBER(Setup!$C$30)),EDATE(Roster!$B240,12*Setup!$C$30),"")</f>
        <v/>
      </c>
      <c r="M240" s="32" t="str">
        <f>IF(AND(ISNUMBER(Roster!$B240),Setup!$B$31="Yes",ISNUMBER(Setup!$C$31)),EDATE(Roster!$B240,12*Setup!$C$31),"")</f>
        <v/>
      </c>
      <c r="N240" s="32" t="str">
        <f>IF(AND(ISNUMBER(Roster!$B240),Setup!$B$32="Yes",ISNUMBER(Setup!$C$32)),EDATE(Roster!$B240,12*Setup!$C$32),"")</f>
        <v/>
      </c>
      <c r="O240" s="32" t="str">
        <f>IF(AND(ISNUMBER(Roster!$B240),Setup!$B$33="Yes",ISNUMBER(Setup!$C$33)),EDATE(Roster!$B240,12*Setup!$C$33),"")</f>
        <v/>
      </c>
      <c r="P240" s="32" t="str">
        <f>IF(AND(ISNUMBER(Roster!$B240),Setup!$B$34="Yes",ISNUMBER(Setup!$C$34)),EDATE(Roster!$B240,12*Setup!$C$34),"")</f>
        <v/>
      </c>
      <c r="R240" t="str">
        <f>IF(B240="","",IF(B240&lt;Setup!$C$5-Setup!$C$6,"",IF(IF(ISNUMBER(Roster!$D240),Setup!$C$20&lt;=Roster!$D240,FALSE),"",IF(OR(IF(Setup!$C$15&lt;=Setup!$C$16,AND(MONTH(B240)&gt;=Setup!$C$15,MONTH(B240)&lt;=Setup!$C$16),OR(MONTH(B240)&gt;=Setup!$C$15,MONTH(B240)&lt;=Setup!$C$16)),IF(Setup!$C$15&lt;=Setup!$C$16,AND(MONTH(WORKDAY(B240,-(Setup!$C$13+Setup!$G$20),Setup!$C$39:$C$50))&gt;=Setup!$C$15,MONTH(WORKDAY(B240,-(Setup!$C$13+Setup!$G$20),Setup!$C$39:$C$50))&lt;=Setup!$C$16),OR(MONTH(WORKDAY(B240,-(Setup!$C$13+Setup!$G$20),Setup!$C$39:$C$50))&gt;=Setup!$C$15,MONTH(WORKDAY(B240,-(Setup!$C$13+Setup!$G$20),Setup!$C$39:$C$50))&lt;=Setup!$C$16))),WORKDAY(B240,-(Setup!$C$13+Setup!$G$20+Setup!$C$14),Setup!$C$39:$C$50),WORKDAY(B240,-(Setup!$C$13+Setup!$G$20),Setup!$C$39:$C$50))+(235*100+1)/10000000)))</f>
        <v/>
      </c>
      <c r="S240" t="str">
        <f>IF(C240="","",IF(C240&lt;Setup!$C$5-Setup!$C$6,"",IF(IF(ISNUMBER(Roster!$D240),Setup!$C$21&lt;=Roster!$D240,FALSE),"",IF(OR(IF(Setup!$C$15&lt;=Setup!$C$16,AND(MONTH(C240)&gt;=Setup!$C$15,MONTH(C240)&lt;=Setup!$C$16),OR(MONTH(C240)&gt;=Setup!$C$15,MONTH(C240)&lt;=Setup!$C$16)),IF(Setup!$C$15&lt;=Setup!$C$16,AND(MONTH(WORKDAY(C240,-(Setup!$C$13+Setup!$G$21),Setup!$C$39:$C$50))&gt;=Setup!$C$15,MONTH(WORKDAY(C240,-(Setup!$C$13+Setup!$G$21),Setup!$C$39:$C$50))&lt;=Setup!$C$16),OR(MONTH(WORKDAY(C240,-(Setup!$C$13+Setup!$G$21),Setup!$C$39:$C$50))&gt;=Setup!$C$15,MONTH(WORKDAY(C240,-(Setup!$C$13+Setup!$G$21),Setup!$C$39:$C$50))&lt;=Setup!$C$16))),WORKDAY(C240,-(Setup!$C$13+Setup!$G$21+Setup!$C$14),Setup!$C$39:$C$50),WORKDAY(C240,-(Setup!$C$13+Setup!$G$21),Setup!$C$39:$C$50))+(235*100+2)/10000000)))</f>
        <v/>
      </c>
      <c r="T240" t="str">
        <f>IF(D240="","",IF(D240&lt;Setup!$C$5-Setup!$C$6,"",IF(IF(ISNUMBER(Roster!$D240),Setup!$C$22&lt;=Roster!$D240,FALSE),"",IF(OR(IF(Setup!$C$15&lt;=Setup!$C$16,AND(MONTH(D240)&gt;=Setup!$C$15,MONTH(D240)&lt;=Setup!$C$16),OR(MONTH(D240)&gt;=Setup!$C$15,MONTH(D240)&lt;=Setup!$C$16)),IF(Setup!$C$15&lt;=Setup!$C$16,AND(MONTH(WORKDAY(D240,-(Setup!$C$13+Setup!$G$22),Setup!$C$39:$C$50))&gt;=Setup!$C$15,MONTH(WORKDAY(D240,-(Setup!$C$13+Setup!$G$22),Setup!$C$39:$C$50))&lt;=Setup!$C$16),OR(MONTH(WORKDAY(D240,-(Setup!$C$13+Setup!$G$22),Setup!$C$39:$C$50))&gt;=Setup!$C$15,MONTH(WORKDAY(D240,-(Setup!$C$13+Setup!$G$22),Setup!$C$39:$C$50))&lt;=Setup!$C$16))),WORKDAY(D240,-(Setup!$C$13+Setup!$G$22+Setup!$C$14),Setup!$C$39:$C$50),WORKDAY(D240,-(Setup!$C$13+Setup!$G$22),Setup!$C$39:$C$50))+(235*100+3)/10000000)))</f>
        <v/>
      </c>
      <c r="U240" t="str">
        <f>IF(E240="","",IF(E240&lt;Setup!$C$5-Setup!$C$6,"",IF(IF(ISNUMBER(Roster!$D240),Setup!$C$23&lt;=Roster!$D240,FALSE),"",IF(OR(IF(Setup!$C$15&lt;=Setup!$C$16,AND(MONTH(E240)&gt;=Setup!$C$15,MONTH(E240)&lt;=Setup!$C$16),OR(MONTH(E240)&gt;=Setup!$C$15,MONTH(E240)&lt;=Setup!$C$16)),IF(Setup!$C$15&lt;=Setup!$C$16,AND(MONTH(WORKDAY(E240,-(Setup!$C$13+Setup!$G$23),Setup!$C$39:$C$50))&gt;=Setup!$C$15,MONTH(WORKDAY(E240,-(Setup!$C$13+Setup!$G$23),Setup!$C$39:$C$50))&lt;=Setup!$C$16),OR(MONTH(WORKDAY(E240,-(Setup!$C$13+Setup!$G$23),Setup!$C$39:$C$50))&gt;=Setup!$C$15,MONTH(WORKDAY(E240,-(Setup!$C$13+Setup!$G$23),Setup!$C$39:$C$50))&lt;=Setup!$C$16))),WORKDAY(E240,-(Setup!$C$13+Setup!$G$23+Setup!$C$14),Setup!$C$39:$C$50),WORKDAY(E240,-(Setup!$C$13+Setup!$G$23),Setup!$C$39:$C$50))+(235*100+4)/10000000)))</f>
        <v/>
      </c>
      <c r="V240" t="str">
        <f>IF(F240="","",IF(F240&lt;Setup!$C$5-Setup!$C$6,"",IF(IF(ISNUMBER(Roster!$D240),Setup!$C$24&lt;=Roster!$D240,FALSE),"",IF(OR(IF(Setup!$C$15&lt;=Setup!$C$16,AND(MONTH(F240)&gt;=Setup!$C$15,MONTH(F240)&lt;=Setup!$C$16),OR(MONTH(F240)&gt;=Setup!$C$15,MONTH(F240)&lt;=Setup!$C$16)),IF(Setup!$C$15&lt;=Setup!$C$16,AND(MONTH(WORKDAY(F240,-(Setup!$C$13+Setup!$G$24),Setup!$C$39:$C$50))&gt;=Setup!$C$15,MONTH(WORKDAY(F240,-(Setup!$C$13+Setup!$G$24),Setup!$C$39:$C$50))&lt;=Setup!$C$16),OR(MONTH(WORKDAY(F240,-(Setup!$C$13+Setup!$G$24),Setup!$C$39:$C$50))&gt;=Setup!$C$15,MONTH(WORKDAY(F240,-(Setup!$C$13+Setup!$G$24),Setup!$C$39:$C$50))&lt;=Setup!$C$16))),WORKDAY(F240,-(Setup!$C$13+Setup!$G$24+Setup!$C$14),Setup!$C$39:$C$50),WORKDAY(F240,-(Setup!$C$13+Setup!$G$24),Setup!$C$39:$C$50))+(235*100+5)/10000000)))</f>
        <v/>
      </c>
      <c r="W240" t="str">
        <f>IF(G240="","",IF(G240&lt;Setup!$C$5-Setup!$C$6,"",IF(IF(ISNUMBER(Roster!$D240),Setup!$C$25&lt;=Roster!$D240,FALSE),"",IF(OR(IF(Setup!$C$15&lt;=Setup!$C$16,AND(MONTH(G240)&gt;=Setup!$C$15,MONTH(G240)&lt;=Setup!$C$16),OR(MONTH(G240)&gt;=Setup!$C$15,MONTH(G240)&lt;=Setup!$C$16)),IF(Setup!$C$15&lt;=Setup!$C$16,AND(MONTH(WORKDAY(G240,-(Setup!$C$13+Setup!$G$25),Setup!$C$39:$C$50))&gt;=Setup!$C$15,MONTH(WORKDAY(G240,-(Setup!$C$13+Setup!$G$25),Setup!$C$39:$C$50))&lt;=Setup!$C$16),OR(MONTH(WORKDAY(G240,-(Setup!$C$13+Setup!$G$25),Setup!$C$39:$C$50))&gt;=Setup!$C$15,MONTH(WORKDAY(G240,-(Setup!$C$13+Setup!$G$25),Setup!$C$39:$C$50))&lt;=Setup!$C$16))),WORKDAY(G240,-(Setup!$C$13+Setup!$G$25+Setup!$C$14),Setup!$C$39:$C$50),WORKDAY(G240,-(Setup!$C$13+Setup!$G$25),Setup!$C$39:$C$50))+(235*100+6)/10000000)))</f>
        <v/>
      </c>
      <c r="X240" t="str">
        <f>IF(H240="","",IF(H240&lt;Setup!$C$5-Setup!$C$6,"",IF(IF(ISNUMBER(Roster!$D240),Setup!$C$26&lt;=Roster!$D240,FALSE),"",IF(OR(IF(Setup!$C$15&lt;=Setup!$C$16,AND(MONTH(H240)&gt;=Setup!$C$15,MONTH(H240)&lt;=Setup!$C$16),OR(MONTH(H240)&gt;=Setup!$C$15,MONTH(H240)&lt;=Setup!$C$16)),IF(Setup!$C$15&lt;=Setup!$C$16,AND(MONTH(WORKDAY(H240,-(Setup!$C$13+Setup!$G$26),Setup!$C$39:$C$50))&gt;=Setup!$C$15,MONTH(WORKDAY(H240,-(Setup!$C$13+Setup!$G$26),Setup!$C$39:$C$50))&lt;=Setup!$C$16),OR(MONTH(WORKDAY(H240,-(Setup!$C$13+Setup!$G$26),Setup!$C$39:$C$50))&gt;=Setup!$C$15,MONTH(WORKDAY(H240,-(Setup!$C$13+Setup!$G$26),Setup!$C$39:$C$50))&lt;=Setup!$C$16))),WORKDAY(H240,-(Setup!$C$13+Setup!$G$26+Setup!$C$14),Setup!$C$39:$C$50),WORKDAY(H240,-(Setup!$C$13+Setup!$G$26),Setup!$C$39:$C$50))+(235*100+7)/10000000)))</f>
        <v/>
      </c>
      <c r="Y240" t="str">
        <f>IF(I240="","",IF(I240&lt;Setup!$C$5-Setup!$C$6,"",IF(IF(ISNUMBER(Roster!$D240),Setup!$C$27&lt;=Roster!$D240,FALSE),"",IF(OR(IF(Setup!$C$15&lt;=Setup!$C$16,AND(MONTH(I240)&gt;=Setup!$C$15,MONTH(I240)&lt;=Setup!$C$16),OR(MONTH(I240)&gt;=Setup!$C$15,MONTH(I240)&lt;=Setup!$C$16)),IF(Setup!$C$15&lt;=Setup!$C$16,AND(MONTH(WORKDAY(I240,-(Setup!$C$13+Setup!$G$27),Setup!$C$39:$C$50))&gt;=Setup!$C$15,MONTH(WORKDAY(I240,-(Setup!$C$13+Setup!$G$27),Setup!$C$39:$C$50))&lt;=Setup!$C$16),OR(MONTH(WORKDAY(I240,-(Setup!$C$13+Setup!$G$27),Setup!$C$39:$C$50))&gt;=Setup!$C$15,MONTH(WORKDAY(I240,-(Setup!$C$13+Setup!$G$27),Setup!$C$39:$C$50))&lt;=Setup!$C$16))),WORKDAY(I240,-(Setup!$C$13+Setup!$G$27+Setup!$C$14),Setup!$C$39:$C$50),WORKDAY(I240,-(Setup!$C$13+Setup!$G$27),Setup!$C$39:$C$50))+(235*100+8)/10000000)))</f>
        <v/>
      </c>
      <c r="Z240" t="str">
        <f>IF(J240="","",IF(J240&lt;Setup!$C$5-Setup!$C$6,"",IF(IF(ISNUMBER(Roster!$D240),Setup!$C$28&lt;=Roster!$D240,FALSE),"",IF(OR(IF(Setup!$C$15&lt;=Setup!$C$16,AND(MONTH(J240)&gt;=Setup!$C$15,MONTH(J240)&lt;=Setup!$C$16),OR(MONTH(J240)&gt;=Setup!$C$15,MONTH(J240)&lt;=Setup!$C$16)),IF(Setup!$C$15&lt;=Setup!$C$16,AND(MONTH(WORKDAY(J240,-(Setup!$C$13+Setup!$G$28),Setup!$C$39:$C$50))&gt;=Setup!$C$15,MONTH(WORKDAY(J240,-(Setup!$C$13+Setup!$G$28),Setup!$C$39:$C$50))&lt;=Setup!$C$16),OR(MONTH(WORKDAY(J240,-(Setup!$C$13+Setup!$G$28),Setup!$C$39:$C$50))&gt;=Setup!$C$15,MONTH(WORKDAY(J240,-(Setup!$C$13+Setup!$G$28),Setup!$C$39:$C$50))&lt;=Setup!$C$16))),WORKDAY(J240,-(Setup!$C$13+Setup!$G$28+Setup!$C$14),Setup!$C$39:$C$50),WORKDAY(J240,-(Setup!$C$13+Setup!$G$28),Setup!$C$39:$C$50))+(235*100+9)/10000000)))</f>
        <v/>
      </c>
      <c r="AA240" t="str">
        <f>IF(K240="","",IF(K240&lt;Setup!$C$5-Setup!$C$6,"",IF(IF(ISNUMBER(Roster!$D240),Setup!$C$29&lt;=Roster!$D240,FALSE),"",IF(OR(IF(Setup!$C$15&lt;=Setup!$C$16,AND(MONTH(K240)&gt;=Setup!$C$15,MONTH(K240)&lt;=Setup!$C$16),OR(MONTH(K240)&gt;=Setup!$C$15,MONTH(K240)&lt;=Setup!$C$16)),IF(Setup!$C$15&lt;=Setup!$C$16,AND(MONTH(WORKDAY(K240,-(Setup!$C$13+Setup!$G$29),Setup!$C$39:$C$50))&gt;=Setup!$C$15,MONTH(WORKDAY(K240,-(Setup!$C$13+Setup!$G$29),Setup!$C$39:$C$50))&lt;=Setup!$C$16),OR(MONTH(WORKDAY(K240,-(Setup!$C$13+Setup!$G$29),Setup!$C$39:$C$50))&gt;=Setup!$C$15,MONTH(WORKDAY(K240,-(Setup!$C$13+Setup!$G$29),Setup!$C$39:$C$50))&lt;=Setup!$C$16))),WORKDAY(K240,-(Setup!$C$13+Setup!$G$29+Setup!$C$14),Setup!$C$39:$C$50),WORKDAY(K240,-(Setup!$C$13+Setup!$G$29),Setup!$C$39:$C$50))+(235*100+10)/10000000)))</f>
        <v/>
      </c>
      <c r="AB240" t="str">
        <f>IF(L240="","",IF(L240&lt;Setup!$C$5-Setup!$C$6,"",IF(IF(ISNUMBER(Roster!$D240),Setup!$C$30&lt;=Roster!$D240,FALSE),"",IF(OR(IF(Setup!$C$15&lt;=Setup!$C$16,AND(MONTH(L240)&gt;=Setup!$C$15,MONTH(L240)&lt;=Setup!$C$16),OR(MONTH(L240)&gt;=Setup!$C$15,MONTH(L240)&lt;=Setup!$C$16)),IF(Setup!$C$15&lt;=Setup!$C$16,AND(MONTH(WORKDAY(L240,-(Setup!$C$13+Setup!$G$30),Setup!$C$39:$C$50))&gt;=Setup!$C$15,MONTH(WORKDAY(L240,-(Setup!$C$13+Setup!$G$30),Setup!$C$39:$C$50))&lt;=Setup!$C$16),OR(MONTH(WORKDAY(L240,-(Setup!$C$13+Setup!$G$30),Setup!$C$39:$C$50))&gt;=Setup!$C$15,MONTH(WORKDAY(L240,-(Setup!$C$13+Setup!$G$30),Setup!$C$39:$C$50))&lt;=Setup!$C$16))),WORKDAY(L240,-(Setup!$C$13+Setup!$G$30+Setup!$C$14),Setup!$C$39:$C$50),WORKDAY(L240,-(Setup!$C$13+Setup!$G$30),Setup!$C$39:$C$50))+(235*100+11)/10000000)))</f>
        <v/>
      </c>
      <c r="AC240" t="str">
        <f>IF(M240="","",IF(M240&lt;Setup!$C$5-Setup!$C$6,"",IF(IF(ISNUMBER(Roster!$D240),Setup!$C$31&lt;=Roster!$D240,FALSE),"",IF(OR(IF(Setup!$C$15&lt;=Setup!$C$16,AND(MONTH(M240)&gt;=Setup!$C$15,MONTH(M240)&lt;=Setup!$C$16),OR(MONTH(M240)&gt;=Setup!$C$15,MONTH(M240)&lt;=Setup!$C$16)),IF(Setup!$C$15&lt;=Setup!$C$16,AND(MONTH(WORKDAY(M240,-(Setup!$C$13+Setup!$G$31),Setup!$C$39:$C$50))&gt;=Setup!$C$15,MONTH(WORKDAY(M240,-(Setup!$C$13+Setup!$G$31),Setup!$C$39:$C$50))&lt;=Setup!$C$16),OR(MONTH(WORKDAY(M240,-(Setup!$C$13+Setup!$G$31),Setup!$C$39:$C$50))&gt;=Setup!$C$15,MONTH(WORKDAY(M240,-(Setup!$C$13+Setup!$G$31),Setup!$C$39:$C$50))&lt;=Setup!$C$16))),WORKDAY(M240,-(Setup!$C$13+Setup!$G$31+Setup!$C$14),Setup!$C$39:$C$50),WORKDAY(M240,-(Setup!$C$13+Setup!$G$31),Setup!$C$39:$C$50))+(235*100+12)/10000000)))</f>
        <v/>
      </c>
      <c r="AD240" t="str">
        <f>IF(N240="","",IF(N240&lt;Setup!$C$5-Setup!$C$6,"",IF(IF(ISNUMBER(Roster!$D240),Setup!$C$32&lt;=Roster!$D240,FALSE),"",IF(OR(IF(Setup!$C$15&lt;=Setup!$C$16,AND(MONTH(N240)&gt;=Setup!$C$15,MONTH(N240)&lt;=Setup!$C$16),OR(MONTH(N240)&gt;=Setup!$C$15,MONTH(N240)&lt;=Setup!$C$16)),IF(Setup!$C$15&lt;=Setup!$C$16,AND(MONTH(WORKDAY(N240,-(Setup!$C$13+Setup!$G$32),Setup!$C$39:$C$50))&gt;=Setup!$C$15,MONTH(WORKDAY(N240,-(Setup!$C$13+Setup!$G$32),Setup!$C$39:$C$50))&lt;=Setup!$C$16),OR(MONTH(WORKDAY(N240,-(Setup!$C$13+Setup!$G$32),Setup!$C$39:$C$50))&gt;=Setup!$C$15,MONTH(WORKDAY(N240,-(Setup!$C$13+Setup!$G$32),Setup!$C$39:$C$50))&lt;=Setup!$C$16))),WORKDAY(N240,-(Setup!$C$13+Setup!$G$32+Setup!$C$14),Setup!$C$39:$C$50),WORKDAY(N240,-(Setup!$C$13+Setup!$G$32),Setup!$C$39:$C$50))+(235*100+13)/10000000)))</f>
        <v/>
      </c>
      <c r="AE240" t="str">
        <f>IF(O240="","",IF(O240&lt;Setup!$C$5-Setup!$C$6,"",IF(IF(ISNUMBER(Roster!$D240),Setup!$C$33&lt;=Roster!$D240,FALSE),"",IF(OR(IF(Setup!$C$15&lt;=Setup!$C$16,AND(MONTH(O240)&gt;=Setup!$C$15,MONTH(O240)&lt;=Setup!$C$16),OR(MONTH(O240)&gt;=Setup!$C$15,MONTH(O240)&lt;=Setup!$C$16)),IF(Setup!$C$15&lt;=Setup!$C$16,AND(MONTH(WORKDAY(O240,-(Setup!$C$13+Setup!$G$33),Setup!$C$39:$C$50))&gt;=Setup!$C$15,MONTH(WORKDAY(O240,-(Setup!$C$13+Setup!$G$33),Setup!$C$39:$C$50))&lt;=Setup!$C$16),OR(MONTH(WORKDAY(O240,-(Setup!$C$13+Setup!$G$33),Setup!$C$39:$C$50))&gt;=Setup!$C$15,MONTH(WORKDAY(O240,-(Setup!$C$13+Setup!$G$33),Setup!$C$39:$C$50))&lt;=Setup!$C$16))),WORKDAY(O240,-(Setup!$C$13+Setup!$G$33+Setup!$C$14),Setup!$C$39:$C$50),WORKDAY(O240,-(Setup!$C$13+Setup!$G$33),Setup!$C$39:$C$50))+(235*100+14)/10000000)))</f>
        <v/>
      </c>
      <c r="AF240" t="str">
        <f>IF(P240="","",IF(P240&lt;Setup!$C$5-Setup!$C$6,"",IF(IF(ISNUMBER(Roster!$D240),Setup!$C$34&lt;=Roster!$D240,FALSE),"",IF(OR(IF(Setup!$C$15&lt;=Setup!$C$16,AND(MONTH(P240)&gt;=Setup!$C$15,MONTH(P240)&lt;=Setup!$C$16),OR(MONTH(P240)&gt;=Setup!$C$15,MONTH(P240)&lt;=Setup!$C$16)),IF(Setup!$C$15&lt;=Setup!$C$16,AND(MONTH(WORKDAY(P240,-(Setup!$C$13+Setup!$G$34),Setup!$C$39:$C$50))&gt;=Setup!$C$15,MONTH(WORKDAY(P240,-(Setup!$C$13+Setup!$G$34),Setup!$C$39:$C$50))&lt;=Setup!$C$16),OR(MONTH(WORKDAY(P240,-(Setup!$C$13+Setup!$G$34),Setup!$C$39:$C$50))&gt;=Setup!$C$15,MONTH(WORKDAY(P240,-(Setup!$C$13+Setup!$G$34),Setup!$C$39:$C$50))&lt;=Setup!$C$16))),WORKDAY(P240,-(Setup!$C$13+Setup!$G$34+Setup!$C$14),Setup!$C$39:$C$50),WORKDAY(P240,-(Setup!$C$13+Setup!$G$34),Setup!$C$39:$C$50))+(235*100+15)/10000000)))</f>
        <v/>
      </c>
      <c r="AH240" t="str">
        <f t="shared" si="25"/>
        <v/>
      </c>
      <c r="AI240" t="str">
        <f t="shared" si="26"/>
        <v/>
      </c>
      <c r="AK240" t="str">
        <f ca="1">IF(235&gt;$AK$2,"",SMALL($R$6:$AF$505,235))</f>
        <v/>
      </c>
      <c r="AL240" t="str">
        <f t="shared" ca="1" si="27"/>
        <v/>
      </c>
      <c r="AM240" t="str">
        <f t="shared" ca="1" si="28"/>
        <v/>
      </c>
      <c r="AN240" t="str">
        <f t="shared" ca="1" si="29"/>
        <v/>
      </c>
      <c r="AP240" t="str">
        <f>IF(ISNUMBER(Roster!$B240),MAX(1,YEAR(Setup!$C$5)-YEAR(Roster!$B240)+IF(EDATE(Roster!$B240,12*(YEAR(Setup!$C$5)-YEAR(Roster!$B240)))&lt;Setup!$C$5,1,0)),"")</f>
        <v/>
      </c>
      <c r="AQ240" s="32" t="str">
        <f>IF(AP240="","",EDATE(Roster!$B240,12*AP240))</f>
        <v/>
      </c>
      <c r="AR240" t="str">
        <f>IF(AQ240="","",IF(AQ240&lt;DATE(YEAR(Setup!$C$5)+1,MONTH(Setup!$C$5),DAY(Setup!$C$5)),AQ240+235/1000,""))</f>
        <v/>
      </c>
      <c r="AS240" t="str">
        <f t="shared" si="30"/>
        <v/>
      </c>
      <c r="AT240" t="str">
        <f>IF(AS240="","",IF(ISNUMBER(Roster!$D240),Roster!$D240&gt;=AP240,FALSE))</f>
        <v/>
      </c>
      <c r="AU240" t="str">
        <f t="shared" si="31"/>
        <v/>
      </c>
      <c r="AV240" t="str">
        <f ca="1">IF(235&gt;$AV$2,"",SMALL($AR$6:$AR$505,235))</f>
        <v/>
      </c>
      <c r="AW240" t="str">
        <f t="shared" ca="1" si="32"/>
        <v/>
      </c>
    </row>
    <row r="241" spans="2:49" x14ac:dyDescent="0.2">
      <c r="B241" s="32" t="str">
        <f>IF(AND(ISNUMBER(Roster!$B241),Setup!$B$20="Yes",ISNUMBER(Setup!$C$20)),EDATE(Roster!$B241,12*Setup!$C$20),"")</f>
        <v/>
      </c>
      <c r="C241" s="32" t="str">
        <f>IF(AND(ISNUMBER(Roster!$B241),Setup!$B$21="Yes",ISNUMBER(Setup!$C$21)),EDATE(Roster!$B241,12*Setup!$C$21),"")</f>
        <v/>
      </c>
      <c r="D241" s="32" t="str">
        <f>IF(AND(ISNUMBER(Roster!$B241),Setup!$B$22="Yes",ISNUMBER(Setup!$C$22)),EDATE(Roster!$B241,12*Setup!$C$22),"")</f>
        <v/>
      </c>
      <c r="E241" s="32" t="str">
        <f>IF(AND(ISNUMBER(Roster!$B241),Setup!$B$23="Yes",ISNUMBER(Setup!$C$23)),EDATE(Roster!$B241,12*Setup!$C$23),"")</f>
        <v/>
      </c>
      <c r="F241" s="32" t="str">
        <f>IF(AND(ISNUMBER(Roster!$B241),Setup!$B$24="Yes",ISNUMBER(Setup!$C$24)),EDATE(Roster!$B241,12*Setup!$C$24),"")</f>
        <v/>
      </c>
      <c r="G241" s="32" t="str">
        <f>IF(AND(ISNUMBER(Roster!$B241),Setup!$B$25="Yes",ISNUMBER(Setup!$C$25)),EDATE(Roster!$B241,12*Setup!$C$25),"")</f>
        <v/>
      </c>
      <c r="H241" s="32" t="str">
        <f>IF(AND(ISNUMBER(Roster!$B241),Setup!$B$26="Yes",ISNUMBER(Setup!$C$26)),EDATE(Roster!$B241,12*Setup!$C$26),"")</f>
        <v/>
      </c>
      <c r="I241" s="32" t="str">
        <f>IF(AND(ISNUMBER(Roster!$B241),Setup!$B$27="Yes",ISNUMBER(Setup!$C$27)),EDATE(Roster!$B241,12*Setup!$C$27),"")</f>
        <v/>
      </c>
      <c r="J241" s="32" t="str">
        <f>IF(AND(ISNUMBER(Roster!$B241),Setup!$B$28="Yes",ISNUMBER(Setup!$C$28)),EDATE(Roster!$B241,12*Setup!$C$28),"")</f>
        <v/>
      </c>
      <c r="K241" s="32" t="str">
        <f>IF(AND(ISNUMBER(Roster!$B241),Setup!$B$29="Yes",ISNUMBER(Setup!$C$29)),EDATE(Roster!$B241,12*Setup!$C$29),"")</f>
        <v/>
      </c>
      <c r="L241" s="32" t="str">
        <f>IF(AND(ISNUMBER(Roster!$B241),Setup!$B$30="Yes",ISNUMBER(Setup!$C$30)),EDATE(Roster!$B241,12*Setup!$C$30),"")</f>
        <v/>
      </c>
      <c r="M241" s="32" t="str">
        <f>IF(AND(ISNUMBER(Roster!$B241),Setup!$B$31="Yes",ISNUMBER(Setup!$C$31)),EDATE(Roster!$B241,12*Setup!$C$31),"")</f>
        <v/>
      </c>
      <c r="N241" s="32" t="str">
        <f>IF(AND(ISNUMBER(Roster!$B241),Setup!$B$32="Yes",ISNUMBER(Setup!$C$32)),EDATE(Roster!$B241,12*Setup!$C$32),"")</f>
        <v/>
      </c>
      <c r="O241" s="32" t="str">
        <f>IF(AND(ISNUMBER(Roster!$B241),Setup!$B$33="Yes",ISNUMBER(Setup!$C$33)),EDATE(Roster!$B241,12*Setup!$C$33),"")</f>
        <v/>
      </c>
      <c r="P241" s="32" t="str">
        <f>IF(AND(ISNUMBER(Roster!$B241),Setup!$B$34="Yes",ISNUMBER(Setup!$C$34)),EDATE(Roster!$B241,12*Setup!$C$34),"")</f>
        <v/>
      </c>
      <c r="R241" t="str">
        <f>IF(B241="","",IF(B241&lt;Setup!$C$5-Setup!$C$6,"",IF(IF(ISNUMBER(Roster!$D241),Setup!$C$20&lt;=Roster!$D241,FALSE),"",IF(OR(IF(Setup!$C$15&lt;=Setup!$C$16,AND(MONTH(B241)&gt;=Setup!$C$15,MONTH(B241)&lt;=Setup!$C$16),OR(MONTH(B241)&gt;=Setup!$C$15,MONTH(B241)&lt;=Setup!$C$16)),IF(Setup!$C$15&lt;=Setup!$C$16,AND(MONTH(WORKDAY(B241,-(Setup!$C$13+Setup!$G$20),Setup!$C$39:$C$50))&gt;=Setup!$C$15,MONTH(WORKDAY(B241,-(Setup!$C$13+Setup!$G$20),Setup!$C$39:$C$50))&lt;=Setup!$C$16),OR(MONTH(WORKDAY(B241,-(Setup!$C$13+Setup!$G$20),Setup!$C$39:$C$50))&gt;=Setup!$C$15,MONTH(WORKDAY(B241,-(Setup!$C$13+Setup!$G$20),Setup!$C$39:$C$50))&lt;=Setup!$C$16))),WORKDAY(B241,-(Setup!$C$13+Setup!$G$20+Setup!$C$14),Setup!$C$39:$C$50),WORKDAY(B241,-(Setup!$C$13+Setup!$G$20),Setup!$C$39:$C$50))+(236*100+1)/10000000)))</f>
        <v/>
      </c>
      <c r="S241" t="str">
        <f>IF(C241="","",IF(C241&lt;Setup!$C$5-Setup!$C$6,"",IF(IF(ISNUMBER(Roster!$D241),Setup!$C$21&lt;=Roster!$D241,FALSE),"",IF(OR(IF(Setup!$C$15&lt;=Setup!$C$16,AND(MONTH(C241)&gt;=Setup!$C$15,MONTH(C241)&lt;=Setup!$C$16),OR(MONTH(C241)&gt;=Setup!$C$15,MONTH(C241)&lt;=Setup!$C$16)),IF(Setup!$C$15&lt;=Setup!$C$16,AND(MONTH(WORKDAY(C241,-(Setup!$C$13+Setup!$G$21),Setup!$C$39:$C$50))&gt;=Setup!$C$15,MONTH(WORKDAY(C241,-(Setup!$C$13+Setup!$G$21),Setup!$C$39:$C$50))&lt;=Setup!$C$16),OR(MONTH(WORKDAY(C241,-(Setup!$C$13+Setup!$G$21),Setup!$C$39:$C$50))&gt;=Setup!$C$15,MONTH(WORKDAY(C241,-(Setup!$C$13+Setup!$G$21),Setup!$C$39:$C$50))&lt;=Setup!$C$16))),WORKDAY(C241,-(Setup!$C$13+Setup!$G$21+Setup!$C$14),Setup!$C$39:$C$50),WORKDAY(C241,-(Setup!$C$13+Setup!$G$21),Setup!$C$39:$C$50))+(236*100+2)/10000000)))</f>
        <v/>
      </c>
      <c r="T241" t="str">
        <f>IF(D241="","",IF(D241&lt;Setup!$C$5-Setup!$C$6,"",IF(IF(ISNUMBER(Roster!$D241),Setup!$C$22&lt;=Roster!$D241,FALSE),"",IF(OR(IF(Setup!$C$15&lt;=Setup!$C$16,AND(MONTH(D241)&gt;=Setup!$C$15,MONTH(D241)&lt;=Setup!$C$16),OR(MONTH(D241)&gt;=Setup!$C$15,MONTH(D241)&lt;=Setup!$C$16)),IF(Setup!$C$15&lt;=Setup!$C$16,AND(MONTH(WORKDAY(D241,-(Setup!$C$13+Setup!$G$22),Setup!$C$39:$C$50))&gt;=Setup!$C$15,MONTH(WORKDAY(D241,-(Setup!$C$13+Setup!$G$22),Setup!$C$39:$C$50))&lt;=Setup!$C$16),OR(MONTH(WORKDAY(D241,-(Setup!$C$13+Setup!$G$22),Setup!$C$39:$C$50))&gt;=Setup!$C$15,MONTH(WORKDAY(D241,-(Setup!$C$13+Setup!$G$22),Setup!$C$39:$C$50))&lt;=Setup!$C$16))),WORKDAY(D241,-(Setup!$C$13+Setup!$G$22+Setup!$C$14),Setup!$C$39:$C$50),WORKDAY(D241,-(Setup!$C$13+Setup!$G$22),Setup!$C$39:$C$50))+(236*100+3)/10000000)))</f>
        <v/>
      </c>
      <c r="U241" t="str">
        <f>IF(E241="","",IF(E241&lt;Setup!$C$5-Setup!$C$6,"",IF(IF(ISNUMBER(Roster!$D241),Setup!$C$23&lt;=Roster!$D241,FALSE),"",IF(OR(IF(Setup!$C$15&lt;=Setup!$C$16,AND(MONTH(E241)&gt;=Setup!$C$15,MONTH(E241)&lt;=Setup!$C$16),OR(MONTH(E241)&gt;=Setup!$C$15,MONTH(E241)&lt;=Setup!$C$16)),IF(Setup!$C$15&lt;=Setup!$C$16,AND(MONTH(WORKDAY(E241,-(Setup!$C$13+Setup!$G$23),Setup!$C$39:$C$50))&gt;=Setup!$C$15,MONTH(WORKDAY(E241,-(Setup!$C$13+Setup!$G$23),Setup!$C$39:$C$50))&lt;=Setup!$C$16),OR(MONTH(WORKDAY(E241,-(Setup!$C$13+Setup!$G$23),Setup!$C$39:$C$50))&gt;=Setup!$C$15,MONTH(WORKDAY(E241,-(Setup!$C$13+Setup!$G$23),Setup!$C$39:$C$50))&lt;=Setup!$C$16))),WORKDAY(E241,-(Setup!$C$13+Setup!$G$23+Setup!$C$14),Setup!$C$39:$C$50),WORKDAY(E241,-(Setup!$C$13+Setup!$G$23),Setup!$C$39:$C$50))+(236*100+4)/10000000)))</f>
        <v/>
      </c>
      <c r="V241" t="str">
        <f>IF(F241="","",IF(F241&lt;Setup!$C$5-Setup!$C$6,"",IF(IF(ISNUMBER(Roster!$D241),Setup!$C$24&lt;=Roster!$D241,FALSE),"",IF(OR(IF(Setup!$C$15&lt;=Setup!$C$16,AND(MONTH(F241)&gt;=Setup!$C$15,MONTH(F241)&lt;=Setup!$C$16),OR(MONTH(F241)&gt;=Setup!$C$15,MONTH(F241)&lt;=Setup!$C$16)),IF(Setup!$C$15&lt;=Setup!$C$16,AND(MONTH(WORKDAY(F241,-(Setup!$C$13+Setup!$G$24),Setup!$C$39:$C$50))&gt;=Setup!$C$15,MONTH(WORKDAY(F241,-(Setup!$C$13+Setup!$G$24),Setup!$C$39:$C$50))&lt;=Setup!$C$16),OR(MONTH(WORKDAY(F241,-(Setup!$C$13+Setup!$G$24),Setup!$C$39:$C$50))&gt;=Setup!$C$15,MONTH(WORKDAY(F241,-(Setup!$C$13+Setup!$G$24),Setup!$C$39:$C$50))&lt;=Setup!$C$16))),WORKDAY(F241,-(Setup!$C$13+Setup!$G$24+Setup!$C$14),Setup!$C$39:$C$50),WORKDAY(F241,-(Setup!$C$13+Setup!$G$24),Setup!$C$39:$C$50))+(236*100+5)/10000000)))</f>
        <v/>
      </c>
      <c r="W241" t="str">
        <f>IF(G241="","",IF(G241&lt;Setup!$C$5-Setup!$C$6,"",IF(IF(ISNUMBER(Roster!$D241),Setup!$C$25&lt;=Roster!$D241,FALSE),"",IF(OR(IF(Setup!$C$15&lt;=Setup!$C$16,AND(MONTH(G241)&gt;=Setup!$C$15,MONTH(G241)&lt;=Setup!$C$16),OR(MONTH(G241)&gt;=Setup!$C$15,MONTH(G241)&lt;=Setup!$C$16)),IF(Setup!$C$15&lt;=Setup!$C$16,AND(MONTH(WORKDAY(G241,-(Setup!$C$13+Setup!$G$25),Setup!$C$39:$C$50))&gt;=Setup!$C$15,MONTH(WORKDAY(G241,-(Setup!$C$13+Setup!$G$25),Setup!$C$39:$C$50))&lt;=Setup!$C$16),OR(MONTH(WORKDAY(G241,-(Setup!$C$13+Setup!$G$25),Setup!$C$39:$C$50))&gt;=Setup!$C$15,MONTH(WORKDAY(G241,-(Setup!$C$13+Setup!$G$25),Setup!$C$39:$C$50))&lt;=Setup!$C$16))),WORKDAY(G241,-(Setup!$C$13+Setup!$G$25+Setup!$C$14),Setup!$C$39:$C$50),WORKDAY(G241,-(Setup!$C$13+Setup!$G$25),Setup!$C$39:$C$50))+(236*100+6)/10000000)))</f>
        <v/>
      </c>
      <c r="X241" t="str">
        <f>IF(H241="","",IF(H241&lt;Setup!$C$5-Setup!$C$6,"",IF(IF(ISNUMBER(Roster!$D241),Setup!$C$26&lt;=Roster!$D241,FALSE),"",IF(OR(IF(Setup!$C$15&lt;=Setup!$C$16,AND(MONTH(H241)&gt;=Setup!$C$15,MONTH(H241)&lt;=Setup!$C$16),OR(MONTH(H241)&gt;=Setup!$C$15,MONTH(H241)&lt;=Setup!$C$16)),IF(Setup!$C$15&lt;=Setup!$C$16,AND(MONTH(WORKDAY(H241,-(Setup!$C$13+Setup!$G$26),Setup!$C$39:$C$50))&gt;=Setup!$C$15,MONTH(WORKDAY(H241,-(Setup!$C$13+Setup!$G$26),Setup!$C$39:$C$50))&lt;=Setup!$C$16),OR(MONTH(WORKDAY(H241,-(Setup!$C$13+Setup!$G$26),Setup!$C$39:$C$50))&gt;=Setup!$C$15,MONTH(WORKDAY(H241,-(Setup!$C$13+Setup!$G$26),Setup!$C$39:$C$50))&lt;=Setup!$C$16))),WORKDAY(H241,-(Setup!$C$13+Setup!$G$26+Setup!$C$14),Setup!$C$39:$C$50),WORKDAY(H241,-(Setup!$C$13+Setup!$G$26),Setup!$C$39:$C$50))+(236*100+7)/10000000)))</f>
        <v/>
      </c>
      <c r="Y241" t="str">
        <f>IF(I241="","",IF(I241&lt;Setup!$C$5-Setup!$C$6,"",IF(IF(ISNUMBER(Roster!$D241),Setup!$C$27&lt;=Roster!$D241,FALSE),"",IF(OR(IF(Setup!$C$15&lt;=Setup!$C$16,AND(MONTH(I241)&gt;=Setup!$C$15,MONTH(I241)&lt;=Setup!$C$16),OR(MONTH(I241)&gt;=Setup!$C$15,MONTH(I241)&lt;=Setup!$C$16)),IF(Setup!$C$15&lt;=Setup!$C$16,AND(MONTH(WORKDAY(I241,-(Setup!$C$13+Setup!$G$27),Setup!$C$39:$C$50))&gt;=Setup!$C$15,MONTH(WORKDAY(I241,-(Setup!$C$13+Setup!$G$27),Setup!$C$39:$C$50))&lt;=Setup!$C$16),OR(MONTH(WORKDAY(I241,-(Setup!$C$13+Setup!$G$27),Setup!$C$39:$C$50))&gt;=Setup!$C$15,MONTH(WORKDAY(I241,-(Setup!$C$13+Setup!$G$27),Setup!$C$39:$C$50))&lt;=Setup!$C$16))),WORKDAY(I241,-(Setup!$C$13+Setup!$G$27+Setup!$C$14),Setup!$C$39:$C$50),WORKDAY(I241,-(Setup!$C$13+Setup!$G$27),Setup!$C$39:$C$50))+(236*100+8)/10000000)))</f>
        <v/>
      </c>
      <c r="Z241" t="str">
        <f>IF(J241="","",IF(J241&lt;Setup!$C$5-Setup!$C$6,"",IF(IF(ISNUMBER(Roster!$D241),Setup!$C$28&lt;=Roster!$D241,FALSE),"",IF(OR(IF(Setup!$C$15&lt;=Setup!$C$16,AND(MONTH(J241)&gt;=Setup!$C$15,MONTH(J241)&lt;=Setup!$C$16),OR(MONTH(J241)&gt;=Setup!$C$15,MONTH(J241)&lt;=Setup!$C$16)),IF(Setup!$C$15&lt;=Setup!$C$16,AND(MONTH(WORKDAY(J241,-(Setup!$C$13+Setup!$G$28),Setup!$C$39:$C$50))&gt;=Setup!$C$15,MONTH(WORKDAY(J241,-(Setup!$C$13+Setup!$G$28),Setup!$C$39:$C$50))&lt;=Setup!$C$16),OR(MONTH(WORKDAY(J241,-(Setup!$C$13+Setup!$G$28),Setup!$C$39:$C$50))&gt;=Setup!$C$15,MONTH(WORKDAY(J241,-(Setup!$C$13+Setup!$G$28),Setup!$C$39:$C$50))&lt;=Setup!$C$16))),WORKDAY(J241,-(Setup!$C$13+Setup!$G$28+Setup!$C$14),Setup!$C$39:$C$50),WORKDAY(J241,-(Setup!$C$13+Setup!$G$28),Setup!$C$39:$C$50))+(236*100+9)/10000000)))</f>
        <v/>
      </c>
      <c r="AA241" t="str">
        <f>IF(K241="","",IF(K241&lt;Setup!$C$5-Setup!$C$6,"",IF(IF(ISNUMBER(Roster!$D241),Setup!$C$29&lt;=Roster!$D241,FALSE),"",IF(OR(IF(Setup!$C$15&lt;=Setup!$C$16,AND(MONTH(K241)&gt;=Setup!$C$15,MONTH(K241)&lt;=Setup!$C$16),OR(MONTH(K241)&gt;=Setup!$C$15,MONTH(K241)&lt;=Setup!$C$16)),IF(Setup!$C$15&lt;=Setup!$C$16,AND(MONTH(WORKDAY(K241,-(Setup!$C$13+Setup!$G$29),Setup!$C$39:$C$50))&gt;=Setup!$C$15,MONTH(WORKDAY(K241,-(Setup!$C$13+Setup!$G$29),Setup!$C$39:$C$50))&lt;=Setup!$C$16),OR(MONTH(WORKDAY(K241,-(Setup!$C$13+Setup!$G$29),Setup!$C$39:$C$50))&gt;=Setup!$C$15,MONTH(WORKDAY(K241,-(Setup!$C$13+Setup!$G$29),Setup!$C$39:$C$50))&lt;=Setup!$C$16))),WORKDAY(K241,-(Setup!$C$13+Setup!$G$29+Setup!$C$14),Setup!$C$39:$C$50),WORKDAY(K241,-(Setup!$C$13+Setup!$G$29),Setup!$C$39:$C$50))+(236*100+10)/10000000)))</f>
        <v/>
      </c>
      <c r="AB241" t="str">
        <f>IF(L241="","",IF(L241&lt;Setup!$C$5-Setup!$C$6,"",IF(IF(ISNUMBER(Roster!$D241),Setup!$C$30&lt;=Roster!$D241,FALSE),"",IF(OR(IF(Setup!$C$15&lt;=Setup!$C$16,AND(MONTH(L241)&gt;=Setup!$C$15,MONTH(L241)&lt;=Setup!$C$16),OR(MONTH(L241)&gt;=Setup!$C$15,MONTH(L241)&lt;=Setup!$C$16)),IF(Setup!$C$15&lt;=Setup!$C$16,AND(MONTH(WORKDAY(L241,-(Setup!$C$13+Setup!$G$30),Setup!$C$39:$C$50))&gt;=Setup!$C$15,MONTH(WORKDAY(L241,-(Setup!$C$13+Setup!$G$30),Setup!$C$39:$C$50))&lt;=Setup!$C$16),OR(MONTH(WORKDAY(L241,-(Setup!$C$13+Setup!$G$30),Setup!$C$39:$C$50))&gt;=Setup!$C$15,MONTH(WORKDAY(L241,-(Setup!$C$13+Setup!$G$30),Setup!$C$39:$C$50))&lt;=Setup!$C$16))),WORKDAY(L241,-(Setup!$C$13+Setup!$G$30+Setup!$C$14),Setup!$C$39:$C$50),WORKDAY(L241,-(Setup!$C$13+Setup!$G$30),Setup!$C$39:$C$50))+(236*100+11)/10000000)))</f>
        <v/>
      </c>
      <c r="AC241" t="str">
        <f>IF(M241="","",IF(M241&lt;Setup!$C$5-Setup!$C$6,"",IF(IF(ISNUMBER(Roster!$D241),Setup!$C$31&lt;=Roster!$D241,FALSE),"",IF(OR(IF(Setup!$C$15&lt;=Setup!$C$16,AND(MONTH(M241)&gt;=Setup!$C$15,MONTH(M241)&lt;=Setup!$C$16),OR(MONTH(M241)&gt;=Setup!$C$15,MONTH(M241)&lt;=Setup!$C$16)),IF(Setup!$C$15&lt;=Setup!$C$16,AND(MONTH(WORKDAY(M241,-(Setup!$C$13+Setup!$G$31),Setup!$C$39:$C$50))&gt;=Setup!$C$15,MONTH(WORKDAY(M241,-(Setup!$C$13+Setup!$G$31),Setup!$C$39:$C$50))&lt;=Setup!$C$16),OR(MONTH(WORKDAY(M241,-(Setup!$C$13+Setup!$G$31),Setup!$C$39:$C$50))&gt;=Setup!$C$15,MONTH(WORKDAY(M241,-(Setup!$C$13+Setup!$G$31),Setup!$C$39:$C$50))&lt;=Setup!$C$16))),WORKDAY(M241,-(Setup!$C$13+Setup!$G$31+Setup!$C$14),Setup!$C$39:$C$50),WORKDAY(M241,-(Setup!$C$13+Setup!$G$31),Setup!$C$39:$C$50))+(236*100+12)/10000000)))</f>
        <v/>
      </c>
      <c r="AD241" t="str">
        <f>IF(N241="","",IF(N241&lt;Setup!$C$5-Setup!$C$6,"",IF(IF(ISNUMBER(Roster!$D241),Setup!$C$32&lt;=Roster!$D241,FALSE),"",IF(OR(IF(Setup!$C$15&lt;=Setup!$C$16,AND(MONTH(N241)&gt;=Setup!$C$15,MONTH(N241)&lt;=Setup!$C$16),OR(MONTH(N241)&gt;=Setup!$C$15,MONTH(N241)&lt;=Setup!$C$16)),IF(Setup!$C$15&lt;=Setup!$C$16,AND(MONTH(WORKDAY(N241,-(Setup!$C$13+Setup!$G$32),Setup!$C$39:$C$50))&gt;=Setup!$C$15,MONTH(WORKDAY(N241,-(Setup!$C$13+Setup!$G$32),Setup!$C$39:$C$50))&lt;=Setup!$C$16),OR(MONTH(WORKDAY(N241,-(Setup!$C$13+Setup!$G$32),Setup!$C$39:$C$50))&gt;=Setup!$C$15,MONTH(WORKDAY(N241,-(Setup!$C$13+Setup!$G$32),Setup!$C$39:$C$50))&lt;=Setup!$C$16))),WORKDAY(N241,-(Setup!$C$13+Setup!$G$32+Setup!$C$14),Setup!$C$39:$C$50),WORKDAY(N241,-(Setup!$C$13+Setup!$G$32),Setup!$C$39:$C$50))+(236*100+13)/10000000)))</f>
        <v/>
      </c>
      <c r="AE241" t="str">
        <f>IF(O241="","",IF(O241&lt;Setup!$C$5-Setup!$C$6,"",IF(IF(ISNUMBER(Roster!$D241),Setup!$C$33&lt;=Roster!$D241,FALSE),"",IF(OR(IF(Setup!$C$15&lt;=Setup!$C$16,AND(MONTH(O241)&gt;=Setup!$C$15,MONTH(O241)&lt;=Setup!$C$16),OR(MONTH(O241)&gt;=Setup!$C$15,MONTH(O241)&lt;=Setup!$C$16)),IF(Setup!$C$15&lt;=Setup!$C$16,AND(MONTH(WORKDAY(O241,-(Setup!$C$13+Setup!$G$33),Setup!$C$39:$C$50))&gt;=Setup!$C$15,MONTH(WORKDAY(O241,-(Setup!$C$13+Setup!$G$33),Setup!$C$39:$C$50))&lt;=Setup!$C$16),OR(MONTH(WORKDAY(O241,-(Setup!$C$13+Setup!$G$33),Setup!$C$39:$C$50))&gt;=Setup!$C$15,MONTH(WORKDAY(O241,-(Setup!$C$13+Setup!$G$33),Setup!$C$39:$C$50))&lt;=Setup!$C$16))),WORKDAY(O241,-(Setup!$C$13+Setup!$G$33+Setup!$C$14),Setup!$C$39:$C$50),WORKDAY(O241,-(Setup!$C$13+Setup!$G$33),Setup!$C$39:$C$50))+(236*100+14)/10000000)))</f>
        <v/>
      </c>
      <c r="AF241" t="str">
        <f>IF(P241="","",IF(P241&lt;Setup!$C$5-Setup!$C$6,"",IF(IF(ISNUMBER(Roster!$D241),Setup!$C$34&lt;=Roster!$D241,FALSE),"",IF(OR(IF(Setup!$C$15&lt;=Setup!$C$16,AND(MONTH(P241)&gt;=Setup!$C$15,MONTH(P241)&lt;=Setup!$C$16),OR(MONTH(P241)&gt;=Setup!$C$15,MONTH(P241)&lt;=Setup!$C$16)),IF(Setup!$C$15&lt;=Setup!$C$16,AND(MONTH(WORKDAY(P241,-(Setup!$C$13+Setup!$G$34),Setup!$C$39:$C$50))&gt;=Setup!$C$15,MONTH(WORKDAY(P241,-(Setup!$C$13+Setup!$G$34),Setup!$C$39:$C$50))&lt;=Setup!$C$16),OR(MONTH(WORKDAY(P241,-(Setup!$C$13+Setup!$G$34),Setup!$C$39:$C$50))&gt;=Setup!$C$15,MONTH(WORKDAY(P241,-(Setup!$C$13+Setup!$G$34),Setup!$C$39:$C$50))&lt;=Setup!$C$16))),WORKDAY(P241,-(Setup!$C$13+Setup!$G$34+Setup!$C$14),Setup!$C$39:$C$50),WORKDAY(P241,-(Setup!$C$13+Setup!$G$34),Setup!$C$39:$C$50))+(236*100+15)/10000000)))</f>
        <v/>
      </c>
      <c r="AH241" t="str">
        <f t="shared" si="25"/>
        <v/>
      </c>
      <c r="AI241" t="str">
        <f t="shared" si="26"/>
        <v/>
      </c>
      <c r="AK241" t="str">
        <f ca="1">IF(236&gt;$AK$2,"",SMALL($R$6:$AF$505,236))</f>
        <v/>
      </c>
      <c r="AL241" t="str">
        <f t="shared" ca="1" si="27"/>
        <v/>
      </c>
      <c r="AM241" t="str">
        <f t="shared" ca="1" si="28"/>
        <v/>
      </c>
      <c r="AN241" t="str">
        <f t="shared" ca="1" si="29"/>
        <v/>
      </c>
      <c r="AP241" t="str">
        <f>IF(ISNUMBER(Roster!$B241),MAX(1,YEAR(Setup!$C$5)-YEAR(Roster!$B241)+IF(EDATE(Roster!$B241,12*(YEAR(Setup!$C$5)-YEAR(Roster!$B241)))&lt;Setup!$C$5,1,0)),"")</f>
        <v/>
      </c>
      <c r="AQ241" s="32" t="str">
        <f>IF(AP241="","",EDATE(Roster!$B241,12*AP241))</f>
        <v/>
      </c>
      <c r="AR241" t="str">
        <f>IF(AQ241="","",IF(AQ241&lt;DATE(YEAR(Setup!$C$5)+1,MONTH(Setup!$C$5),DAY(Setup!$C$5)),AQ241+236/1000,""))</f>
        <v/>
      </c>
      <c r="AS241" t="str">
        <f t="shared" si="30"/>
        <v/>
      </c>
      <c r="AT241" t="str">
        <f>IF(AS241="","",IF(ISNUMBER(Roster!$D241),Roster!$D241&gt;=AP241,FALSE))</f>
        <v/>
      </c>
      <c r="AU241" t="str">
        <f t="shared" si="31"/>
        <v/>
      </c>
      <c r="AV241" t="str">
        <f ca="1">IF(236&gt;$AV$2,"",SMALL($AR$6:$AR$505,236))</f>
        <v/>
      </c>
      <c r="AW241" t="str">
        <f t="shared" ca="1" si="32"/>
        <v/>
      </c>
    </row>
    <row r="242" spans="2:49" x14ac:dyDescent="0.2">
      <c r="B242" s="32" t="str">
        <f>IF(AND(ISNUMBER(Roster!$B242),Setup!$B$20="Yes",ISNUMBER(Setup!$C$20)),EDATE(Roster!$B242,12*Setup!$C$20),"")</f>
        <v/>
      </c>
      <c r="C242" s="32" t="str">
        <f>IF(AND(ISNUMBER(Roster!$B242),Setup!$B$21="Yes",ISNUMBER(Setup!$C$21)),EDATE(Roster!$B242,12*Setup!$C$21),"")</f>
        <v/>
      </c>
      <c r="D242" s="32" t="str">
        <f>IF(AND(ISNUMBER(Roster!$B242),Setup!$B$22="Yes",ISNUMBER(Setup!$C$22)),EDATE(Roster!$B242,12*Setup!$C$22),"")</f>
        <v/>
      </c>
      <c r="E242" s="32" t="str">
        <f>IF(AND(ISNUMBER(Roster!$B242),Setup!$B$23="Yes",ISNUMBER(Setup!$C$23)),EDATE(Roster!$B242,12*Setup!$C$23),"")</f>
        <v/>
      </c>
      <c r="F242" s="32" t="str">
        <f>IF(AND(ISNUMBER(Roster!$B242),Setup!$B$24="Yes",ISNUMBER(Setup!$C$24)),EDATE(Roster!$B242,12*Setup!$C$24),"")</f>
        <v/>
      </c>
      <c r="G242" s="32" t="str">
        <f>IF(AND(ISNUMBER(Roster!$B242),Setup!$B$25="Yes",ISNUMBER(Setup!$C$25)),EDATE(Roster!$B242,12*Setup!$C$25),"")</f>
        <v/>
      </c>
      <c r="H242" s="32" t="str">
        <f>IF(AND(ISNUMBER(Roster!$B242),Setup!$B$26="Yes",ISNUMBER(Setup!$C$26)),EDATE(Roster!$B242,12*Setup!$C$26),"")</f>
        <v/>
      </c>
      <c r="I242" s="32" t="str">
        <f>IF(AND(ISNUMBER(Roster!$B242),Setup!$B$27="Yes",ISNUMBER(Setup!$C$27)),EDATE(Roster!$B242,12*Setup!$C$27),"")</f>
        <v/>
      </c>
      <c r="J242" s="32" t="str">
        <f>IF(AND(ISNUMBER(Roster!$B242),Setup!$B$28="Yes",ISNUMBER(Setup!$C$28)),EDATE(Roster!$B242,12*Setup!$C$28),"")</f>
        <v/>
      </c>
      <c r="K242" s="32" t="str">
        <f>IF(AND(ISNUMBER(Roster!$B242),Setup!$B$29="Yes",ISNUMBER(Setup!$C$29)),EDATE(Roster!$B242,12*Setup!$C$29),"")</f>
        <v/>
      </c>
      <c r="L242" s="32" t="str">
        <f>IF(AND(ISNUMBER(Roster!$B242),Setup!$B$30="Yes",ISNUMBER(Setup!$C$30)),EDATE(Roster!$B242,12*Setup!$C$30),"")</f>
        <v/>
      </c>
      <c r="M242" s="32" t="str">
        <f>IF(AND(ISNUMBER(Roster!$B242),Setup!$B$31="Yes",ISNUMBER(Setup!$C$31)),EDATE(Roster!$B242,12*Setup!$C$31),"")</f>
        <v/>
      </c>
      <c r="N242" s="32" t="str">
        <f>IF(AND(ISNUMBER(Roster!$B242),Setup!$B$32="Yes",ISNUMBER(Setup!$C$32)),EDATE(Roster!$B242,12*Setup!$C$32),"")</f>
        <v/>
      </c>
      <c r="O242" s="32" t="str">
        <f>IF(AND(ISNUMBER(Roster!$B242),Setup!$B$33="Yes",ISNUMBER(Setup!$C$33)),EDATE(Roster!$B242,12*Setup!$C$33),"")</f>
        <v/>
      </c>
      <c r="P242" s="32" t="str">
        <f>IF(AND(ISNUMBER(Roster!$B242),Setup!$B$34="Yes",ISNUMBER(Setup!$C$34)),EDATE(Roster!$B242,12*Setup!$C$34),"")</f>
        <v/>
      </c>
      <c r="R242" t="str">
        <f>IF(B242="","",IF(B242&lt;Setup!$C$5-Setup!$C$6,"",IF(IF(ISNUMBER(Roster!$D242),Setup!$C$20&lt;=Roster!$D242,FALSE),"",IF(OR(IF(Setup!$C$15&lt;=Setup!$C$16,AND(MONTH(B242)&gt;=Setup!$C$15,MONTH(B242)&lt;=Setup!$C$16),OR(MONTH(B242)&gt;=Setup!$C$15,MONTH(B242)&lt;=Setup!$C$16)),IF(Setup!$C$15&lt;=Setup!$C$16,AND(MONTH(WORKDAY(B242,-(Setup!$C$13+Setup!$G$20),Setup!$C$39:$C$50))&gt;=Setup!$C$15,MONTH(WORKDAY(B242,-(Setup!$C$13+Setup!$G$20),Setup!$C$39:$C$50))&lt;=Setup!$C$16),OR(MONTH(WORKDAY(B242,-(Setup!$C$13+Setup!$G$20),Setup!$C$39:$C$50))&gt;=Setup!$C$15,MONTH(WORKDAY(B242,-(Setup!$C$13+Setup!$G$20),Setup!$C$39:$C$50))&lt;=Setup!$C$16))),WORKDAY(B242,-(Setup!$C$13+Setup!$G$20+Setup!$C$14),Setup!$C$39:$C$50),WORKDAY(B242,-(Setup!$C$13+Setup!$G$20),Setup!$C$39:$C$50))+(237*100+1)/10000000)))</f>
        <v/>
      </c>
      <c r="S242" t="str">
        <f>IF(C242="","",IF(C242&lt;Setup!$C$5-Setup!$C$6,"",IF(IF(ISNUMBER(Roster!$D242),Setup!$C$21&lt;=Roster!$D242,FALSE),"",IF(OR(IF(Setup!$C$15&lt;=Setup!$C$16,AND(MONTH(C242)&gt;=Setup!$C$15,MONTH(C242)&lt;=Setup!$C$16),OR(MONTH(C242)&gt;=Setup!$C$15,MONTH(C242)&lt;=Setup!$C$16)),IF(Setup!$C$15&lt;=Setup!$C$16,AND(MONTH(WORKDAY(C242,-(Setup!$C$13+Setup!$G$21),Setup!$C$39:$C$50))&gt;=Setup!$C$15,MONTH(WORKDAY(C242,-(Setup!$C$13+Setup!$G$21),Setup!$C$39:$C$50))&lt;=Setup!$C$16),OR(MONTH(WORKDAY(C242,-(Setup!$C$13+Setup!$G$21),Setup!$C$39:$C$50))&gt;=Setup!$C$15,MONTH(WORKDAY(C242,-(Setup!$C$13+Setup!$G$21),Setup!$C$39:$C$50))&lt;=Setup!$C$16))),WORKDAY(C242,-(Setup!$C$13+Setup!$G$21+Setup!$C$14),Setup!$C$39:$C$50),WORKDAY(C242,-(Setup!$C$13+Setup!$G$21),Setup!$C$39:$C$50))+(237*100+2)/10000000)))</f>
        <v/>
      </c>
      <c r="T242" t="str">
        <f>IF(D242="","",IF(D242&lt;Setup!$C$5-Setup!$C$6,"",IF(IF(ISNUMBER(Roster!$D242),Setup!$C$22&lt;=Roster!$D242,FALSE),"",IF(OR(IF(Setup!$C$15&lt;=Setup!$C$16,AND(MONTH(D242)&gt;=Setup!$C$15,MONTH(D242)&lt;=Setup!$C$16),OR(MONTH(D242)&gt;=Setup!$C$15,MONTH(D242)&lt;=Setup!$C$16)),IF(Setup!$C$15&lt;=Setup!$C$16,AND(MONTH(WORKDAY(D242,-(Setup!$C$13+Setup!$G$22),Setup!$C$39:$C$50))&gt;=Setup!$C$15,MONTH(WORKDAY(D242,-(Setup!$C$13+Setup!$G$22),Setup!$C$39:$C$50))&lt;=Setup!$C$16),OR(MONTH(WORKDAY(D242,-(Setup!$C$13+Setup!$G$22),Setup!$C$39:$C$50))&gt;=Setup!$C$15,MONTH(WORKDAY(D242,-(Setup!$C$13+Setup!$G$22),Setup!$C$39:$C$50))&lt;=Setup!$C$16))),WORKDAY(D242,-(Setup!$C$13+Setup!$G$22+Setup!$C$14),Setup!$C$39:$C$50),WORKDAY(D242,-(Setup!$C$13+Setup!$G$22),Setup!$C$39:$C$50))+(237*100+3)/10000000)))</f>
        <v/>
      </c>
      <c r="U242" t="str">
        <f>IF(E242="","",IF(E242&lt;Setup!$C$5-Setup!$C$6,"",IF(IF(ISNUMBER(Roster!$D242),Setup!$C$23&lt;=Roster!$D242,FALSE),"",IF(OR(IF(Setup!$C$15&lt;=Setup!$C$16,AND(MONTH(E242)&gt;=Setup!$C$15,MONTH(E242)&lt;=Setup!$C$16),OR(MONTH(E242)&gt;=Setup!$C$15,MONTH(E242)&lt;=Setup!$C$16)),IF(Setup!$C$15&lt;=Setup!$C$16,AND(MONTH(WORKDAY(E242,-(Setup!$C$13+Setup!$G$23),Setup!$C$39:$C$50))&gt;=Setup!$C$15,MONTH(WORKDAY(E242,-(Setup!$C$13+Setup!$G$23),Setup!$C$39:$C$50))&lt;=Setup!$C$16),OR(MONTH(WORKDAY(E242,-(Setup!$C$13+Setup!$G$23),Setup!$C$39:$C$50))&gt;=Setup!$C$15,MONTH(WORKDAY(E242,-(Setup!$C$13+Setup!$G$23),Setup!$C$39:$C$50))&lt;=Setup!$C$16))),WORKDAY(E242,-(Setup!$C$13+Setup!$G$23+Setup!$C$14),Setup!$C$39:$C$50),WORKDAY(E242,-(Setup!$C$13+Setup!$G$23),Setup!$C$39:$C$50))+(237*100+4)/10000000)))</f>
        <v/>
      </c>
      <c r="V242" t="str">
        <f>IF(F242="","",IF(F242&lt;Setup!$C$5-Setup!$C$6,"",IF(IF(ISNUMBER(Roster!$D242),Setup!$C$24&lt;=Roster!$D242,FALSE),"",IF(OR(IF(Setup!$C$15&lt;=Setup!$C$16,AND(MONTH(F242)&gt;=Setup!$C$15,MONTH(F242)&lt;=Setup!$C$16),OR(MONTH(F242)&gt;=Setup!$C$15,MONTH(F242)&lt;=Setup!$C$16)),IF(Setup!$C$15&lt;=Setup!$C$16,AND(MONTH(WORKDAY(F242,-(Setup!$C$13+Setup!$G$24),Setup!$C$39:$C$50))&gt;=Setup!$C$15,MONTH(WORKDAY(F242,-(Setup!$C$13+Setup!$G$24),Setup!$C$39:$C$50))&lt;=Setup!$C$16),OR(MONTH(WORKDAY(F242,-(Setup!$C$13+Setup!$G$24),Setup!$C$39:$C$50))&gt;=Setup!$C$15,MONTH(WORKDAY(F242,-(Setup!$C$13+Setup!$G$24),Setup!$C$39:$C$50))&lt;=Setup!$C$16))),WORKDAY(F242,-(Setup!$C$13+Setup!$G$24+Setup!$C$14),Setup!$C$39:$C$50),WORKDAY(F242,-(Setup!$C$13+Setup!$G$24),Setup!$C$39:$C$50))+(237*100+5)/10000000)))</f>
        <v/>
      </c>
      <c r="W242" t="str">
        <f>IF(G242="","",IF(G242&lt;Setup!$C$5-Setup!$C$6,"",IF(IF(ISNUMBER(Roster!$D242),Setup!$C$25&lt;=Roster!$D242,FALSE),"",IF(OR(IF(Setup!$C$15&lt;=Setup!$C$16,AND(MONTH(G242)&gt;=Setup!$C$15,MONTH(G242)&lt;=Setup!$C$16),OR(MONTH(G242)&gt;=Setup!$C$15,MONTH(G242)&lt;=Setup!$C$16)),IF(Setup!$C$15&lt;=Setup!$C$16,AND(MONTH(WORKDAY(G242,-(Setup!$C$13+Setup!$G$25),Setup!$C$39:$C$50))&gt;=Setup!$C$15,MONTH(WORKDAY(G242,-(Setup!$C$13+Setup!$G$25),Setup!$C$39:$C$50))&lt;=Setup!$C$16),OR(MONTH(WORKDAY(G242,-(Setup!$C$13+Setup!$G$25),Setup!$C$39:$C$50))&gt;=Setup!$C$15,MONTH(WORKDAY(G242,-(Setup!$C$13+Setup!$G$25),Setup!$C$39:$C$50))&lt;=Setup!$C$16))),WORKDAY(G242,-(Setup!$C$13+Setup!$G$25+Setup!$C$14),Setup!$C$39:$C$50),WORKDAY(G242,-(Setup!$C$13+Setup!$G$25),Setup!$C$39:$C$50))+(237*100+6)/10000000)))</f>
        <v/>
      </c>
      <c r="X242" t="str">
        <f>IF(H242="","",IF(H242&lt;Setup!$C$5-Setup!$C$6,"",IF(IF(ISNUMBER(Roster!$D242),Setup!$C$26&lt;=Roster!$D242,FALSE),"",IF(OR(IF(Setup!$C$15&lt;=Setup!$C$16,AND(MONTH(H242)&gt;=Setup!$C$15,MONTH(H242)&lt;=Setup!$C$16),OR(MONTH(H242)&gt;=Setup!$C$15,MONTH(H242)&lt;=Setup!$C$16)),IF(Setup!$C$15&lt;=Setup!$C$16,AND(MONTH(WORKDAY(H242,-(Setup!$C$13+Setup!$G$26),Setup!$C$39:$C$50))&gt;=Setup!$C$15,MONTH(WORKDAY(H242,-(Setup!$C$13+Setup!$G$26),Setup!$C$39:$C$50))&lt;=Setup!$C$16),OR(MONTH(WORKDAY(H242,-(Setup!$C$13+Setup!$G$26),Setup!$C$39:$C$50))&gt;=Setup!$C$15,MONTH(WORKDAY(H242,-(Setup!$C$13+Setup!$G$26),Setup!$C$39:$C$50))&lt;=Setup!$C$16))),WORKDAY(H242,-(Setup!$C$13+Setup!$G$26+Setup!$C$14),Setup!$C$39:$C$50),WORKDAY(H242,-(Setup!$C$13+Setup!$G$26),Setup!$C$39:$C$50))+(237*100+7)/10000000)))</f>
        <v/>
      </c>
      <c r="Y242" t="str">
        <f>IF(I242="","",IF(I242&lt;Setup!$C$5-Setup!$C$6,"",IF(IF(ISNUMBER(Roster!$D242),Setup!$C$27&lt;=Roster!$D242,FALSE),"",IF(OR(IF(Setup!$C$15&lt;=Setup!$C$16,AND(MONTH(I242)&gt;=Setup!$C$15,MONTH(I242)&lt;=Setup!$C$16),OR(MONTH(I242)&gt;=Setup!$C$15,MONTH(I242)&lt;=Setup!$C$16)),IF(Setup!$C$15&lt;=Setup!$C$16,AND(MONTH(WORKDAY(I242,-(Setup!$C$13+Setup!$G$27),Setup!$C$39:$C$50))&gt;=Setup!$C$15,MONTH(WORKDAY(I242,-(Setup!$C$13+Setup!$G$27),Setup!$C$39:$C$50))&lt;=Setup!$C$16),OR(MONTH(WORKDAY(I242,-(Setup!$C$13+Setup!$G$27),Setup!$C$39:$C$50))&gt;=Setup!$C$15,MONTH(WORKDAY(I242,-(Setup!$C$13+Setup!$G$27),Setup!$C$39:$C$50))&lt;=Setup!$C$16))),WORKDAY(I242,-(Setup!$C$13+Setup!$G$27+Setup!$C$14),Setup!$C$39:$C$50),WORKDAY(I242,-(Setup!$C$13+Setup!$G$27),Setup!$C$39:$C$50))+(237*100+8)/10000000)))</f>
        <v/>
      </c>
      <c r="Z242" t="str">
        <f>IF(J242="","",IF(J242&lt;Setup!$C$5-Setup!$C$6,"",IF(IF(ISNUMBER(Roster!$D242),Setup!$C$28&lt;=Roster!$D242,FALSE),"",IF(OR(IF(Setup!$C$15&lt;=Setup!$C$16,AND(MONTH(J242)&gt;=Setup!$C$15,MONTH(J242)&lt;=Setup!$C$16),OR(MONTH(J242)&gt;=Setup!$C$15,MONTH(J242)&lt;=Setup!$C$16)),IF(Setup!$C$15&lt;=Setup!$C$16,AND(MONTH(WORKDAY(J242,-(Setup!$C$13+Setup!$G$28),Setup!$C$39:$C$50))&gt;=Setup!$C$15,MONTH(WORKDAY(J242,-(Setup!$C$13+Setup!$G$28),Setup!$C$39:$C$50))&lt;=Setup!$C$16),OR(MONTH(WORKDAY(J242,-(Setup!$C$13+Setup!$G$28),Setup!$C$39:$C$50))&gt;=Setup!$C$15,MONTH(WORKDAY(J242,-(Setup!$C$13+Setup!$G$28),Setup!$C$39:$C$50))&lt;=Setup!$C$16))),WORKDAY(J242,-(Setup!$C$13+Setup!$G$28+Setup!$C$14),Setup!$C$39:$C$50),WORKDAY(J242,-(Setup!$C$13+Setup!$G$28),Setup!$C$39:$C$50))+(237*100+9)/10000000)))</f>
        <v/>
      </c>
      <c r="AA242" t="str">
        <f>IF(K242="","",IF(K242&lt;Setup!$C$5-Setup!$C$6,"",IF(IF(ISNUMBER(Roster!$D242),Setup!$C$29&lt;=Roster!$D242,FALSE),"",IF(OR(IF(Setup!$C$15&lt;=Setup!$C$16,AND(MONTH(K242)&gt;=Setup!$C$15,MONTH(K242)&lt;=Setup!$C$16),OR(MONTH(K242)&gt;=Setup!$C$15,MONTH(K242)&lt;=Setup!$C$16)),IF(Setup!$C$15&lt;=Setup!$C$16,AND(MONTH(WORKDAY(K242,-(Setup!$C$13+Setup!$G$29),Setup!$C$39:$C$50))&gt;=Setup!$C$15,MONTH(WORKDAY(K242,-(Setup!$C$13+Setup!$G$29),Setup!$C$39:$C$50))&lt;=Setup!$C$16),OR(MONTH(WORKDAY(K242,-(Setup!$C$13+Setup!$G$29),Setup!$C$39:$C$50))&gt;=Setup!$C$15,MONTH(WORKDAY(K242,-(Setup!$C$13+Setup!$G$29),Setup!$C$39:$C$50))&lt;=Setup!$C$16))),WORKDAY(K242,-(Setup!$C$13+Setup!$G$29+Setup!$C$14),Setup!$C$39:$C$50),WORKDAY(K242,-(Setup!$C$13+Setup!$G$29),Setup!$C$39:$C$50))+(237*100+10)/10000000)))</f>
        <v/>
      </c>
      <c r="AB242" t="str">
        <f>IF(L242="","",IF(L242&lt;Setup!$C$5-Setup!$C$6,"",IF(IF(ISNUMBER(Roster!$D242),Setup!$C$30&lt;=Roster!$D242,FALSE),"",IF(OR(IF(Setup!$C$15&lt;=Setup!$C$16,AND(MONTH(L242)&gt;=Setup!$C$15,MONTH(L242)&lt;=Setup!$C$16),OR(MONTH(L242)&gt;=Setup!$C$15,MONTH(L242)&lt;=Setup!$C$16)),IF(Setup!$C$15&lt;=Setup!$C$16,AND(MONTH(WORKDAY(L242,-(Setup!$C$13+Setup!$G$30),Setup!$C$39:$C$50))&gt;=Setup!$C$15,MONTH(WORKDAY(L242,-(Setup!$C$13+Setup!$G$30),Setup!$C$39:$C$50))&lt;=Setup!$C$16),OR(MONTH(WORKDAY(L242,-(Setup!$C$13+Setup!$G$30),Setup!$C$39:$C$50))&gt;=Setup!$C$15,MONTH(WORKDAY(L242,-(Setup!$C$13+Setup!$G$30),Setup!$C$39:$C$50))&lt;=Setup!$C$16))),WORKDAY(L242,-(Setup!$C$13+Setup!$G$30+Setup!$C$14),Setup!$C$39:$C$50),WORKDAY(L242,-(Setup!$C$13+Setup!$G$30),Setup!$C$39:$C$50))+(237*100+11)/10000000)))</f>
        <v/>
      </c>
      <c r="AC242" t="str">
        <f>IF(M242="","",IF(M242&lt;Setup!$C$5-Setup!$C$6,"",IF(IF(ISNUMBER(Roster!$D242),Setup!$C$31&lt;=Roster!$D242,FALSE),"",IF(OR(IF(Setup!$C$15&lt;=Setup!$C$16,AND(MONTH(M242)&gt;=Setup!$C$15,MONTH(M242)&lt;=Setup!$C$16),OR(MONTH(M242)&gt;=Setup!$C$15,MONTH(M242)&lt;=Setup!$C$16)),IF(Setup!$C$15&lt;=Setup!$C$16,AND(MONTH(WORKDAY(M242,-(Setup!$C$13+Setup!$G$31),Setup!$C$39:$C$50))&gt;=Setup!$C$15,MONTH(WORKDAY(M242,-(Setup!$C$13+Setup!$G$31),Setup!$C$39:$C$50))&lt;=Setup!$C$16),OR(MONTH(WORKDAY(M242,-(Setup!$C$13+Setup!$G$31),Setup!$C$39:$C$50))&gt;=Setup!$C$15,MONTH(WORKDAY(M242,-(Setup!$C$13+Setup!$G$31),Setup!$C$39:$C$50))&lt;=Setup!$C$16))),WORKDAY(M242,-(Setup!$C$13+Setup!$G$31+Setup!$C$14),Setup!$C$39:$C$50),WORKDAY(M242,-(Setup!$C$13+Setup!$G$31),Setup!$C$39:$C$50))+(237*100+12)/10000000)))</f>
        <v/>
      </c>
      <c r="AD242" t="str">
        <f>IF(N242="","",IF(N242&lt;Setup!$C$5-Setup!$C$6,"",IF(IF(ISNUMBER(Roster!$D242),Setup!$C$32&lt;=Roster!$D242,FALSE),"",IF(OR(IF(Setup!$C$15&lt;=Setup!$C$16,AND(MONTH(N242)&gt;=Setup!$C$15,MONTH(N242)&lt;=Setup!$C$16),OR(MONTH(N242)&gt;=Setup!$C$15,MONTH(N242)&lt;=Setup!$C$16)),IF(Setup!$C$15&lt;=Setup!$C$16,AND(MONTH(WORKDAY(N242,-(Setup!$C$13+Setup!$G$32),Setup!$C$39:$C$50))&gt;=Setup!$C$15,MONTH(WORKDAY(N242,-(Setup!$C$13+Setup!$G$32),Setup!$C$39:$C$50))&lt;=Setup!$C$16),OR(MONTH(WORKDAY(N242,-(Setup!$C$13+Setup!$G$32),Setup!$C$39:$C$50))&gt;=Setup!$C$15,MONTH(WORKDAY(N242,-(Setup!$C$13+Setup!$G$32),Setup!$C$39:$C$50))&lt;=Setup!$C$16))),WORKDAY(N242,-(Setup!$C$13+Setup!$G$32+Setup!$C$14),Setup!$C$39:$C$50),WORKDAY(N242,-(Setup!$C$13+Setup!$G$32),Setup!$C$39:$C$50))+(237*100+13)/10000000)))</f>
        <v/>
      </c>
      <c r="AE242" t="str">
        <f>IF(O242="","",IF(O242&lt;Setup!$C$5-Setup!$C$6,"",IF(IF(ISNUMBER(Roster!$D242),Setup!$C$33&lt;=Roster!$D242,FALSE),"",IF(OR(IF(Setup!$C$15&lt;=Setup!$C$16,AND(MONTH(O242)&gt;=Setup!$C$15,MONTH(O242)&lt;=Setup!$C$16),OR(MONTH(O242)&gt;=Setup!$C$15,MONTH(O242)&lt;=Setup!$C$16)),IF(Setup!$C$15&lt;=Setup!$C$16,AND(MONTH(WORKDAY(O242,-(Setup!$C$13+Setup!$G$33),Setup!$C$39:$C$50))&gt;=Setup!$C$15,MONTH(WORKDAY(O242,-(Setup!$C$13+Setup!$G$33),Setup!$C$39:$C$50))&lt;=Setup!$C$16),OR(MONTH(WORKDAY(O242,-(Setup!$C$13+Setup!$G$33),Setup!$C$39:$C$50))&gt;=Setup!$C$15,MONTH(WORKDAY(O242,-(Setup!$C$13+Setup!$G$33),Setup!$C$39:$C$50))&lt;=Setup!$C$16))),WORKDAY(O242,-(Setup!$C$13+Setup!$G$33+Setup!$C$14),Setup!$C$39:$C$50),WORKDAY(O242,-(Setup!$C$13+Setup!$G$33),Setup!$C$39:$C$50))+(237*100+14)/10000000)))</f>
        <v/>
      </c>
      <c r="AF242" t="str">
        <f>IF(P242="","",IF(P242&lt;Setup!$C$5-Setup!$C$6,"",IF(IF(ISNUMBER(Roster!$D242),Setup!$C$34&lt;=Roster!$D242,FALSE),"",IF(OR(IF(Setup!$C$15&lt;=Setup!$C$16,AND(MONTH(P242)&gt;=Setup!$C$15,MONTH(P242)&lt;=Setup!$C$16),OR(MONTH(P242)&gt;=Setup!$C$15,MONTH(P242)&lt;=Setup!$C$16)),IF(Setup!$C$15&lt;=Setup!$C$16,AND(MONTH(WORKDAY(P242,-(Setup!$C$13+Setup!$G$34),Setup!$C$39:$C$50))&gt;=Setup!$C$15,MONTH(WORKDAY(P242,-(Setup!$C$13+Setup!$G$34),Setup!$C$39:$C$50))&lt;=Setup!$C$16),OR(MONTH(WORKDAY(P242,-(Setup!$C$13+Setup!$G$34),Setup!$C$39:$C$50))&gt;=Setup!$C$15,MONTH(WORKDAY(P242,-(Setup!$C$13+Setup!$G$34),Setup!$C$39:$C$50))&lt;=Setup!$C$16))),WORKDAY(P242,-(Setup!$C$13+Setup!$G$34+Setup!$C$14),Setup!$C$39:$C$50),WORKDAY(P242,-(Setup!$C$13+Setup!$G$34),Setup!$C$39:$C$50))+(237*100+15)/10000000)))</f>
        <v/>
      </c>
      <c r="AH242" t="str">
        <f t="shared" si="25"/>
        <v/>
      </c>
      <c r="AI242" t="str">
        <f t="shared" si="26"/>
        <v/>
      </c>
      <c r="AK242" t="str">
        <f ca="1">IF(237&gt;$AK$2,"",SMALL($R$6:$AF$505,237))</f>
        <v/>
      </c>
      <c r="AL242" t="str">
        <f t="shared" ca="1" si="27"/>
        <v/>
      </c>
      <c r="AM242" t="str">
        <f t="shared" ca="1" si="28"/>
        <v/>
      </c>
      <c r="AN242" t="str">
        <f t="shared" ca="1" si="29"/>
        <v/>
      </c>
      <c r="AP242" t="str">
        <f>IF(ISNUMBER(Roster!$B242),MAX(1,YEAR(Setup!$C$5)-YEAR(Roster!$B242)+IF(EDATE(Roster!$B242,12*(YEAR(Setup!$C$5)-YEAR(Roster!$B242)))&lt;Setup!$C$5,1,0)),"")</f>
        <v/>
      </c>
      <c r="AQ242" s="32" t="str">
        <f>IF(AP242="","",EDATE(Roster!$B242,12*AP242))</f>
        <v/>
      </c>
      <c r="AR242" t="str">
        <f>IF(AQ242="","",IF(AQ242&lt;DATE(YEAR(Setup!$C$5)+1,MONTH(Setup!$C$5),DAY(Setup!$C$5)),AQ242+237/1000,""))</f>
        <v/>
      </c>
      <c r="AS242" t="str">
        <f t="shared" si="30"/>
        <v/>
      </c>
      <c r="AT242" t="str">
        <f>IF(AS242="","",IF(ISNUMBER(Roster!$D242),Roster!$D242&gt;=AP242,FALSE))</f>
        <v/>
      </c>
      <c r="AU242" t="str">
        <f t="shared" si="31"/>
        <v/>
      </c>
      <c r="AV242" t="str">
        <f ca="1">IF(237&gt;$AV$2,"",SMALL($AR$6:$AR$505,237))</f>
        <v/>
      </c>
      <c r="AW242" t="str">
        <f t="shared" ca="1" si="32"/>
        <v/>
      </c>
    </row>
    <row r="243" spans="2:49" x14ac:dyDescent="0.2">
      <c r="B243" s="32" t="str">
        <f>IF(AND(ISNUMBER(Roster!$B243),Setup!$B$20="Yes",ISNUMBER(Setup!$C$20)),EDATE(Roster!$B243,12*Setup!$C$20),"")</f>
        <v/>
      </c>
      <c r="C243" s="32" t="str">
        <f>IF(AND(ISNUMBER(Roster!$B243),Setup!$B$21="Yes",ISNUMBER(Setup!$C$21)),EDATE(Roster!$B243,12*Setup!$C$21),"")</f>
        <v/>
      </c>
      <c r="D243" s="32" t="str">
        <f>IF(AND(ISNUMBER(Roster!$B243),Setup!$B$22="Yes",ISNUMBER(Setup!$C$22)),EDATE(Roster!$B243,12*Setup!$C$22),"")</f>
        <v/>
      </c>
      <c r="E243" s="32" t="str">
        <f>IF(AND(ISNUMBER(Roster!$B243),Setup!$B$23="Yes",ISNUMBER(Setup!$C$23)),EDATE(Roster!$B243,12*Setup!$C$23),"")</f>
        <v/>
      </c>
      <c r="F243" s="32" t="str">
        <f>IF(AND(ISNUMBER(Roster!$B243),Setup!$B$24="Yes",ISNUMBER(Setup!$C$24)),EDATE(Roster!$B243,12*Setup!$C$24),"")</f>
        <v/>
      </c>
      <c r="G243" s="32" t="str">
        <f>IF(AND(ISNUMBER(Roster!$B243),Setup!$B$25="Yes",ISNUMBER(Setup!$C$25)),EDATE(Roster!$B243,12*Setup!$C$25),"")</f>
        <v/>
      </c>
      <c r="H243" s="32" t="str">
        <f>IF(AND(ISNUMBER(Roster!$B243),Setup!$B$26="Yes",ISNUMBER(Setup!$C$26)),EDATE(Roster!$B243,12*Setup!$C$26),"")</f>
        <v/>
      </c>
      <c r="I243" s="32" t="str">
        <f>IF(AND(ISNUMBER(Roster!$B243),Setup!$B$27="Yes",ISNUMBER(Setup!$C$27)),EDATE(Roster!$B243,12*Setup!$C$27),"")</f>
        <v/>
      </c>
      <c r="J243" s="32" t="str">
        <f>IF(AND(ISNUMBER(Roster!$B243),Setup!$B$28="Yes",ISNUMBER(Setup!$C$28)),EDATE(Roster!$B243,12*Setup!$C$28),"")</f>
        <v/>
      </c>
      <c r="K243" s="32" t="str">
        <f>IF(AND(ISNUMBER(Roster!$B243),Setup!$B$29="Yes",ISNUMBER(Setup!$C$29)),EDATE(Roster!$B243,12*Setup!$C$29),"")</f>
        <v/>
      </c>
      <c r="L243" s="32" t="str">
        <f>IF(AND(ISNUMBER(Roster!$B243),Setup!$B$30="Yes",ISNUMBER(Setup!$C$30)),EDATE(Roster!$B243,12*Setup!$C$30),"")</f>
        <v/>
      </c>
      <c r="M243" s="32" t="str">
        <f>IF(AND(ISNUMBER(Roster!$B243),Setup!$B$31="Yes",ISNUMBER(Setup!$C$31)),EDATE(Roster!$B243,12*Setup!$C$31),"")</f>
        <v/>
      </c>
      <c r="N243" s="32" t="str">
        <f>IF(AND(ISNUMBER(Roster!$B243),Setup!$B$32="Yes",ISNUMBER(Setup!$C$32)),EDATE(Roster!$B243,12*Setup!$C$32),"")</f>
        <v/>
      </c>
      <c r="O243" s="32" t="str">
        <f>IF(AND(ISNUMBER(Roster!$B243),Setup!$B$33="Yes",ISNUMBER(Setup!$C$33)),EDATE(Roster!$B243,12*Setup!$C$33),"")</f>
        <v/>
      </c>
      <c r="P243" s="32" t="str">
        <f>IF(AND(ISNUMBER(Roster!$B243),Setup!$B$34="Yes",ISNUMBER(Setup!$C$34)),EDATE(Roster!$B243,12*Setup!$C$34),"")</f>
        <v/>
      </c>
      <c r="R243" t="str">
        <f>IF(B243="","",IF(B243&lt;Setup!$C$5-Setup!$C$6,"",IF(IF(ISNUMBER(Roster!$D243),Setup!$C$20&lt;=Roster!$D243,FALSE),"",IF(OR(IF(Setup!$C$15&lt;=Setup!$C$16,AND(MONTH(B243)&gt;=Setup!$C$15,MONTH(B243)&lt;=Setup!$C$16),OR(MONTH(B243)&gt;=Setup!$C$15,MONTH(B243)&lt;=Setup!$C$16)),IF(Setup!$C$15&lt;=Setup!$C$16,AND(MONTH(WORKDAY(B243,-(Setup!$C$13+Setup!$G$20),Setup!$C$39:$C$50))&gt;=Setup!$C$15,MONTH(WORKDAY(B243,-(Setup!$C$13+Setup!$G$20),Setup!$C$39:$C$50))&lt;=Setup!$C$16),OR(MONTH(WORKDAY(B243,-(Setup!$C$13+Setup!$G$20),Setup!$C$39:$C$50))&gt;=Setup!$C$15,MONTH(WORKDAY(B243,-(Setup!$C$13+Setup!$G$20),Setup!$C$39:$C$50))&lt;=Setup!$C$16))),WORKDAY(B243,-(Setup!$C$13+Setup!$G$20+Setup!$C$14),Setup!$C$39:$C$50),WORKDAY(B243,-(Setup!$C$13+Setup!$G$20),Setup!$C$39:$C$50))+(238*100+1)/10000000)))</f>
        <v/>
      </c>
      <c r="S243" t="str">
        <f>IF(C243="","",IF(C243&lt;Setup!$C$5-Setup!$C$6,"",IF(IF(ISNUMBER(Roster!$D243),Setup!$C$21&lt;=Roster!$D243,FALSE),"",IF(OR(IF(Setup!$C$15&lt;=Setup!$C$16,AND(MONTH(C243)&gt;=Setup!$C$15,MONTH(C243)&lt;=Setup!$C$16),OR(MONTH(C243)&gt;=Setup!$C$15,MONTH(C243)&lt;=Setup!$C$16)),IF(Setup!$C$15&lt;=Setup!$C$16,AND(MONTH(WORKDAY(C243,-(Setup!$C$13+Setup!$G$21),Setup!$C$39:$C$50))&gt;=Setup!$C$15,MONTH(WORKDAY(C243,-(Setup!$C$13+Setup!$G$21),Setup!$C$39:$C$50))&lt;=Setup!$C$16),OR(MONTH(WORKDAY(C243,-(Setup!$C$13+Setup!$G$21),Setup!$C$39:$C$50))&gt;=Setup!$C$15,MONTH(WORKDAY(C243,-(Setup!$C$13+Setup!$G$21),Setup!$C$39:$C$50))&lt;=Setup!$C$16))),WORKDAY(C243,-(Setup!$C$13+Setup!$G$21+Setup!$C$14),Setup!$C$39:$C$50),WORKDAY(C243,-(Setup!$C$13+Setup!$G$21),Setup!$C$39:$C$50))+(238*100+2)/10000000)))</f>
        <v/>
      </c>
      <c r="T243" t="str">
        <f>IF(D243="","",IF(D243&lt;Setup!$C$5-Setup!$C$6,"",IF(IF(ISNUMBER(Roster!$D243),Setup!$C$22&lt;=Roster!$D243,FALSE),"",IF(OR(IF(Setup!$C$15&lt;=Setup!$C$16,AND(MONTH(D243)&gt;=Setup!$C$15,MONTH(D243)&lt;=Setup!$C$16),OR(MONTH(D243)&gt;=Setup!$C$15,MONTH(D243)&lt;=Setup!$C$16)),IF(Setup!$C$15&lt;=Setup!$C$16,AND(MONTH(WORKDAY(D243,-(Setup!$C$13+Setup!$G$22),Setup!$C$39:$C$50))&gt;=Setup!$C$15,MONTH(WORKDAY(D243,-(Setup!$C$13+Setup!$G$22),Setup!$C$39:$C$50))&lt;=Setup!$C$16),OR(MONTH(WORKDAY(D243,-(Setup!$C$13+Setup!$G$22),Setup!$C$39:$C$50))&gt;=Setup!$C$15,MONTH(WORKDAY(D243,-(Setup!$C$13+Setup!$G$22),Setup!$C$39:$C$50))&lt;=Setup!$C$16))),WORKDAY(D243,-(Setup!$C$13+Setup!$G$22+Setup!$C$14),Setup!$C$39:$C$50),WORKDAY(D243,-(Setup!$C$13+Setup!$G$22),Setup!$C$39:$C$50))+(238*100+3)/10000000)))</f>
        <v/>
      </c>
      <c r="U243" t="str">
        <f>IF(E243="","",IF(E243&lt;Setup!$C$5-Setup!$C$6,"",IF(IF(ISNUMBER(Roster!$D243),Setup!$C$23&lt;=Roster!$D243,FALSE),"",IF(OR(IF(Setup!$C$15&lt;=Setup!$C$16,AND(MONTH(E243)&gt;=Setup!$C$15,MONTH(E243)&lt;=Setup!$C$16),OR(MONTH(E243)&gt;=Setup!$C$15,MONTH(E243)&lt;=Setup!$C$16)),IF(Setup!$C$15&lt;=Setup!$C$16,AND(MONTH(WORKDAY(E243,-(Setup!$C$13+Setup!$G$23),Setup!$C$39:$C$50))&gt;=Setup!$C$15,MONTH(WORKDAY(E243,-(Setup!$C$13+Setup!$G$23),Setup!$C$39:$C$50))&lt;=Setup!$C$16),OR(MONTH(WORKDAY(E243,-(Setup!$C$13+Setup!$G$23),Setup!$C$39:$C$50))&gt;=Setup!$C$15,MONTH(WORKDAY(E243,-(Setup!$C$13+Setup!$G$23),Setup!$C$39:$C$50))&lt;=Setup!$C$16))),WORKDAY(E243,-(Setup!$C$13+Setup!$G$23+Setup!$C$14),Setup!$C$39:$C$50),WORKDAY(E243,-(Setup!$C$13+Setup!$G$23),Setup!$C$39:$C$50))+(238*100+4)/10000000)))</f>
        <v/>
      </c>
      <c r="V243" t="str">
        <f>IF(F243="","",IF(F243&lt;Setup!$C$5-Setup!$C$6,"",IF(IF(ISNUMBER(Roster!$D243),Setup!$C$24&lt;=Roster!$D243,FALSE),"",IF(OR(IF(Setup!$C$15&lt;=Setup!$C$16,AND(MONTH(F243)&gt;=Setup!$C$15,MONTH(F243)&lt;=Setup!$C$16),OR(MONTH(F243)&gt;=Setup!$C$15,MONTH(F243)&lt;=Setup!$C$16)),IF(Setup!$C$15&lt;=Setup!$C$16,AND(MONTH(WORKDAY(F243,-(Setup!$C$13+Setup!$G$24),Setup!$C$39:$C$50))&gt;=Setup!$C$15,MONTH(WORKDAY(F243,-(Setup!$C$13+Setup!$G$24),Setup!$C$39:$C$50))&lt;=Setup!$C$16),OR(MONTH(WORKDAY(F243,-(Setup!$C$13+Setup!$G$24),Setup!$C$39:$C$50))&gt;=Setup!$C$15,MONTH(WORKDAY(F243,-(Setup!$C$13+Setup!$G$24),Setup!$C$39:$C$50))&lt;=Setup!$C$16))),WORKDAY(F243,-(Setup!$C$13+Setup!$G$24+Setup!$C$14),Setup!$C$39:$C$50),WORKDAY(F243,-(Setup!$C$13+Setup!$G$24),Setup!$C$39:$C$50))+(238*100+5)/10000000)))</f>
        <v/>
      </c>
      <c r="W243" t="str">
        <f>IF(G243="","",IF(G243&lt;Setup!$C$5-Setup!$C$6,"",IF(IF(ISNUMBER(Roster!$D243),Setup!$C$25&lt;=Roster!$D243,FALSE),"",IF(OR(IF(Setup!$C$15&lt;=Setup!$C$16,AND(MONTH(G243)&gt;=Setup!$C$15,MONTH(G243)&lt;=Setup!$C$16),OR(MONTH(G243)&gt;=Setup!$C$15,MONTH(G243)&lt;=Setup!$C$16)),IF(Setup!$C$15&lt;=Setup!$C$16,AND(MONTH(WORKDAY(G243,-(Setup!$C$13+Setup!$G$25),Setup!$C$39:$C$50))&gt;=Setup!$C$15,MONTH(WORKDAY(G243,-(Setup!$C$13+Setup!$G$25),Setup!$C$39:$C$50))&lt;=Setup!$C$16),OR(MONTH(WORKDAY(G243,-(Setup!$C$13+Setup!$G$25),Setup!$C$39:$C$50))&gt;=Setup!$C$15,MONTH(WORKDAY(G243,-(Setup!$C$13+Setup!$G$25),Setup!$C$39:$C$50))&lt;=Setup!$C$16))),WORKDAY(G243,-(Setup!$C$13+Setup!$G$25+Setup!$C$14),Setup!$C$39:$C$50),WORKDAY(G243,-(Setup!$C$13+Setup!$G$25),Setup!$C$39:$C$50))+(238*100+6)/10000000)))</f>
        <v/>
      </c>
      <c r="X243" t="str">
        <f>IF(H243="","",IF(H243&lt;Setup!$C$5-Setup!$C$6,"",IF(IF(ISNUMBER(Roster!$D243),Setup!$C$26&lt;=Roster!$D243,FALSE),"",IF(OR(IF(Setup!$C$15&lt;=Setup!$C$16,AND(MONTH(H243)&gt;=Setup!$C$15,MONTH(H243)&lt;=Setup!$C$16),OR(MONTH(H243)&gt;=Setup!$C$15,MONTH(H243)&lt;=Setup!$C$16)),IF(Setup!$C$15&lt;=Setup!$C$16,AND(MONTH(WORKDAY(H243,-(Setup!$C$13+Setup!$G$26),Setup!$C$39:$C$50))&gt;=Setup!$C$15,MONTH(WORKDAY(H243,-(Setup!$C$13+Setup!$G$26),Setup!$C$39:$C$50))&lt;=Setup!$C$16),OR(MONTH(WORKDAY(H243,-(Setup!$C$13+Setup!$G$26),Setup!$C$39:$C$50))&gt;=Setup!$C$15,MONTH(WORKDAY(H243,-(Setup!$C$13+Setup!$G$26),Setup!$C$39:$C$50))&lt;=Setup!$C$16))),WORKDAY(H243,-(Setup!$C$13+Setup!$G$26+Setup!$C$14),Setup!$C$39:$C$50),WORKDAY(H243,-(Setup!$C$13+Setup!$G$26),Setup!$C$39:$C$50))+(238*100+7)/10000000)))</f>
        <v/>
      </c>
      <c r="Y243" t="str">
        <f>IF(I243="","",IF(I243&lt;Setup!$C$5-Setup!$C$6,"",IF(IF(ISNUMBER(Roster!$D243),Setup!$C$27&lt;=Roster!$D243,FALSE),"",IF(OR(IF(Setup!$C$15&lt;=Setup!$C$16,AND(MONTH(I243)&gt;=Setup!$C$15,MONTH(I243)&lt;=Setup!$C$16),OR(MONTH(I243)&gt;=Setup!$C$15,MONTH(I243)&lt;=Setup!$C$16)),IF(Setup!$C$15&lt;=Setup!$C$16,AND(MONTH(WORKDAY(I243,-(Setup!$C$13+Setup!$G$27),Setup!$C$39:$C$50))&gt;=Setup!$C$15,MONTH(WORKDAY(I243,-(Setup!$C$13+Setup!$G$27),Setup!$C$39:$C$50))&lt;=Setup!$C$16),OR(MONTH(WORKDAY(I243,-(Setup!$C$13+Setup!$G$27),Setup!$C$39:$C$50))&gt;=Setup!$C$15,MONTH(WORKDAY(I243,-(Setup!$C$13+Setup!$G$27),Setup!$C$39:$C$50))&lt;=Setup!$C$16))),WORKDAY(I243,-(Setup!$C$13+Setup!$G$27+Setup!$C$14),Setup!$C$39:$C$50),WORKDAY(I243,-(Setup!$C$13+Setup!$G$27),Setup!$C$39:$C$50))+(238*100+8)/10000000)))</f>
        <v/>
      </c>
      <c r="Z243" t="str">
        <f>IF(J243="","",IF(J243&lt;Setup!$C$5-Setup!$C$6,"",IF(IF(ISNUMBER(Roster!$D243),Setup!$C$28&lt;=Roster!$D243,FALSE),"",IF(OR(IF(Setup!$C$15&lt;=Setup!$C$16,AND(MONTH(J243)&gt;=Setup!$C$15,MONTH(J243)&lt;=Setup!$C$16),OR(MONTH(J243)&gt;=Setup!$C$15,MONTH(J243)&lt;=Setup!$C$16)),IF(Setup!$C$15&lt;=Setup!$C$16,AND(MONTH(WORKDAY(J243,-(Setup!$C$13+Setup!$G$28),Setup!$C$39:$C$50))&gt;=Setup!$C$15,MONTH(WORKDAY(J243,-(Setup!$C$13+Setup!$G$28),Setup!$C$39:$C$50))&lt;=Setup!$C$16),OR(MONTH(WORKDAY(J243,-(Setup!$C$13+Setup!$G$28),Setup!$C$39:$C$50))&gt;=Setup!$C$15,MONTH(WORKDAY(J243,-(Setup!$C$13+Setup!$G$28),Setup!$C$39:$C$50))&lt;=Setup!$C$16))),WORKDAY(J243,-(Setup!$C$13+Setup!$G$28+Setup!$C$14),Setup!$C$39:$C$50),WORKDAY(J243,-(Setup!$C$13+Setup!$G$28),Setup!$C$39:$C$50))+(238*100+9)/10000000)))</f>
        <v/>
      </c>
      <c r="AA243" t="str">
        <f>IF(K243="","",IF(K243&lt;Setup!$C$5-Setup!$C$6,"",IF(IF(ISNUMBER(Roster!$D243),Setup!$C$29&lt;=Roster!$D243,FALSE),"",IF(OR(IF(Setup!$C$15&lt;=Setup!$C$16,AND(MONTH(K243)&gt;=Setup!$C$15,MONTH(K243)&lt;=Setup!$C$16),OR(MONTH(K243)&gt;=Setup!$C$15,MONTH(K243)&lt;=Setup!$C$16)),IF(Setup!$C$15&lt;=Setup!$C$16,AND(MONTH(WORKDAY(K243,-(Setup!$C$13+Setup!$G$29),Setup!$C$39:$C$50))&gt;=Setup!$C$15,MONTH(WORKDAY(K243,-(Setup!$C$13+Setup!$G$29),Setup!$C$39:$C$50))&lt;=Setup!$C$16),OR(MONTH(WORKDAY(K243,-(Setup!$C$13+Setup!$G$29),Setup!$C$39:$C$50))&gt;=Setup!$C$15,MONTH(WORKDAY(K243,-(Setup!$C$13+Setup!$G$29),Setup!$C$39:$C$50))&lt;=Setup!$C$16))),WORKDAY(K243,-(Setup!$C$13+Setup!$G$29+Setup!$C$14),Setup!$C$39:$C$50),WORKDAY(K243,-(Setup!$C$13+Setup!$G$29),Setup!$C$39:$C$50))+(238*100+10)/10000000)))</f>
        <v/>
      </c>
      <c r="AB243" t="str">
        <f>IF(L243="","",IF(L243&lt;Setup!$C$5-Setup!$C$6,"",IF(IF(ISNUMBER(Roster!$D243),Setup!$C$30&lt;=Roster!$D243,FALSE),"",IF(OR(IF(Setup!$C$15&lt;=Setup!$C$16,AND(MONTH(L243)&gt;=Setup!$C$15,MONTH(L243)&lt;=Setup!$C$16),OR(MONTH(L243)&gt;=Setup!$C$15,MONTH(L243)&lt;=Setup!$C$16)),IF(Setup!$C$15&lt;=Setup!$C$16,AND(MONTH(WORKDAY(L243,-(Setup!$C$13+Setup!$G$30),Setup!$C$39:$C$50))&gt;=Setup!$C$15,MONTH(WORKDAY(L243,-(Setup!$C$13+Setup!$G$30),Setup!$C$39:$C$50))&lt;=Setup!$C$16),OR(MONTH(WORKDAY(L243,-(Setup!$C$13+Setup!$G$30),Setup!$C$39:$C$50))&gt;=Setup!$C$15,MONTH(WORKDAY(L243,-(Setup!$C$13+Setup!$G$30),Setup!$C$39:$C$50))&lt;=Setup!$C$16))),WORKDAY(L243,-(Setup!$C$13+Setup!$G$30+Setup!$C$14),Setup!$C$39:$C$50),WORKDAY(L243,-(Setup!$C$13+Setup!$G$30),Setup!$C$39:$C$50))+(238*100+11)/10000000)))</f>
        <v/>
      </c>
      <c r="AC243" t="str">
        <f>IF(M243="","",IF(M243&lt;Setup!$C$5-Setup!$C$6,"",IF(IF(ISNUMBER(Roster!$D243),Setup!$C$31&lt;=Roster!$D243,FALSE),"",IF(OR(IF(Setup!$C$15&lt;=Setup!$C$16,AND(MONTH(M243)&gt;=Setup!$C$15,MONTH(M243)&lt;=Setup!$C$16),OR(MONTH(M243)&gt;=Setup!$C$15,MONTH(M243)&lt;=Setup!$C$16)),IF(Setup!$C$15&lt;=Setup!$C$16,AND(MONTH(WORKDAY(M243,-(Setup!$C$13+Setup!$G$31),Setup!$C$39:$C$50))&gt;=Setup!$C$15,MONTH(WORKDAY(M243,-(Setup!$C$13+Setup!$G$31),Setup!$C$39:$C$50))&lt;=Setup!$C$16),OR(MONTH(WORKDAY(M243,-(Setup!$C$13+Setup!$G$31),Setup!$C$39:$C$50))&gt;=Setup!$C$15,MONTH(WORKDAY(M243,-(Setup!$C$13+Setup!$G$31),Setup!$C$39:$C$50))&lt;=Setup!$C$16))),WORKDAY(M243,-(Setup!$C$13+Setup!$G$31+Setup!$C$14),Setup!$C$39:$C$50),WORKDAY(M243,-(Setup!$C$13+Setup!$G$31),Setup!$C$39:$C$50))+(238*100+12)/10000000)))</f>
        <v/>
      </c>
      <c r="AD243" t="str">
        <f>IF(N243="","",IF(N243&lt;Setup!$C$5-Setup!$C$6,"",IF(IF(ISNUMBER(Roster!$D243),Setup!$C$32&lt;=Roster!$D243,FALSE),"",IF(OR(IF(Setup!$C$15&lt;=Setup!$C$16,AND(MONTH(N243)&gt;=Setup!$C$15,MONTH(N243)&lt;=Setup!$C$16),OR(MONTH(N243)&gt;=Setup!$C$15,MONTH(N243)&lt;=Setup!$C$16)),IF(Setup!$C$15&lt;=Setup!$C$16,AND(MONTH(WORKDAY(N243,-(Setup!$C$13+Setup!$G$32),Setup!$C$39:$C$50))&gt;=Setup!$C$15,MONTH(WORKDAY(N243,-(Setup!$C$13+Setup!$G$32),Setup!$C$39:$C$50))&lt;=Setup!$C$16),OR(MONTH(WORKDAY(N243,-(Setup!$C$13+Setup!$G$32),Setup!$C$39:$C$50))&gt;=Setup!$C$15,MONTH(WORKDAY(N243,-(Setup!$C$13+Setup!$G$32),Setup!$C$39:$C$50))&lt;=Setup!$C$16))),WORKDAY(N243,-(Setup!$C$13+Setup!$G$32+Setup!$C$14),Setup!$C$39:$C$50),WORKDAY(N243,-(Setup!$C$13+Setup!$G$32),Setup!$C$39:$C$50))+(238*100+13)/10000000)))</f>
        <v/>
      </c>
      <c r="AE243" t="str">
        <f>IF(O243="","",IF(O243&lt;Setup!$C$5-Setup!$C$6,"",IF(IF(ISNUMBER(Roster!$D243),Setup!$C$33&lt;=Roster!$D243,FALSE),"",IF(OR(IF(Setup!$C$15&lt;=Setup!$C$16,AND(MONTH(O243)&gt;=Setup!$C$15,MONTH(O243)&lt;=Setup!$C$16),OR(MONTH(O243)&gt;=Setup!$C$15,MONTH(O243)&lt;=Setup!$C$16)),IF(Setup!$C$15&lt;=Setup!$C$16,AND(MONTH(WORKDAY(O243,-(Setup!$C$13+Setup!$G$33),Setup!$C$39:$C$50))&gt;=Setup!$C$15,MONTH(WORKDAY(O243,-(Setup!$C$13+Setup!$G$33),Setup!$C$39:$C$50))&lt;=Setup!$C$16),OR(MONTH(WORKDAY(O243,-(Setup!$C$13+Setup!$G$33),Setup!$C$39:$C$50))&gt;=Setup!$C$15,MONTH(WORKDAY(O243,-(Setup!$C$13+Setup!$G$33),Setup!$C$39:$C$50))&lt;=Setup!$C$16))),WORKDAY(O243,-(Setup!$C$13+Setup!$G$33+Setup!$C$14),Setup!$C$39:$C$50),WORKDAY(O243,-(Setup!$C$13+Setup!$G$33),Setup!$C$39:$C$50))+(238*100+14)/10000000)))</f>
        <v/>
      </c>
      <c r="AF243" t="str">
        <f>IF(P243="","",IF(P243&lt;Setup!$C$5-Setup!$C$6,"",IF(IF(ISNUMBER(Roster!$D243),Setup!$C$34&lt;=Roster!$D243,FALSE),"",IF(OR(IF(Setup!$C$15&lt;=Setup!$C$16,AND(MONTH(P243)&gt;=Setup!$C$15,MONTH(P243)&lt;=Setup!$C$16),OR(MONTH(P243)&gt;=Setup!$C$15,MONTH(P243)&lt;=Setup!$C$16)),IF(Setup!$C$15&lt;=Setup!$C$16,AND(MONTH(WORKDAY(P243,-(Setup!$C$13+Setup!$G$34),Setup!$C$39:$C$50))&gt;=Setup!$C$15,MONTH(WORKDAY(P243,-(Setup!$C$13+Setup!$G$34),Setup!$C$39:$C$50))&lt;=Setup!$C$16),OR(MONTH(WORKDAY(P243,-(Setup!$C$13+Setup!$G$34),Setup!$C$39:$C$50))&gt;=Setup!$C$15,MONTH(WORKDAY(P243,-(Setup!$C$13+Setup!$G$34),Setup!$C$39:$C$50))&lt;=Setup!$C$16))),WORKDAY(P243,-(Setup!$C$13+Setup!$G$34+Setup!$C$14),Setup!$C$39:$C$50),WORKDAY(P243,-(Setup!$C$13+Setup!$G$34),Setup!$C$39:$C$50))+(238*100+15)/10000000)))</f>
        <v/>
      </c>
      <c r="AH243" t="str">
        <f t="shared" si="25"/>
        <v/>
      </c>
      <c r="AI243" t="str">
        <f t="shared" si="26"/>
        <v/>
      </c>
      <c r="AK243" t="str">
        <f ca="1">IF(238&gt;$AK$2,"",SMALL($R$6:$AF$505,238))</f>
        <v/>
      </c>
      <c r="AL243" t="str">
        <f t="shared" ca="1" si="27"/>
        <v/>
      </c>
      <c r="AM243" t="str">
        <f t="shared" ca="1" si="28"/>
        <v/>
      </c>
      <c r="AN243" t="str">
        <f t="shared" ca="1" si="29"/>
        <v/>
      </c>
      <c r="AP243" t="str">
        <f>IF(ISNUMBER(Roster!$B243),MAX(1,YEAR(Setup!$C$5)-YEAR(Roster!$B243)+IF(EDATE(Roster!$B243,12*(YEAR(Setup!$C$5)-YEAR(Roster!$B243)))&lt;Setup!$C$5,1,0)),"")</f>
        <v/>
      </c>
      <c r="AQ243" s="32" t="str">
        <f>IF(AP243="","",EDATE(Roster!$B243,12*AP243))</f>
        <v/>
      </c>
      <c r="AR243" t="str">
        <f>IF(AQ243="","",IF(AQ243&lt;DATE(YEAR(Setup!$C$5)+1,MONTH(Setup!$C$5),DAY(Setup!$C$5)),AQ243+238/1000,""))</f>
        <v/>
      </c>
      <c r="AS243" t="str">
        <f t="shared" si="30"/>
        <v/>
      </c>
      <c r="AT243" t="str">
        <f>IF(AS243="","",IF(ISNUMBER(Roster!$D243),Roster!$D243&gt;=AP243,FALSE))</f>
        <v/>
      </c>
      <c r="AU243" t="str">
        <f t="shared" si="31"/>
        <v/>
      </c>
      <c r="AV243" t="str">
        <f ca="1">IF(238&gt;$AV$2,"",SMALL($AR$6:$AR$505,238))</f>
        <v/>
      </c>
      <c r="AW243" t="str">
        <f t="shared" ca="1" si="32"/>
        <v/>
      </c>
    </row>
    <row r="244" spans="2:49" x14ac:dyDescent="0.2">
      <c r="B244" s="32" t="str">
        <f>IF(AND(ISNUMBER(Roster!$B244),Setup!$B$20="Yes",ISNUMBER(Setup!$C$20)),EDATE(Roster!$B244,12*Setup!$C$20),"")</f>
        <v/>
      </c>
      <c r="C244" s="32" t="str">
        <f>IF(AND(ISNUMBER(Roster!$B244),Setup!$B$21="Yes",ISNUMBER(Setup!$C$21)),EDATE(Roster!$B244,12*Setup!$C$21),"")</f>
        <v/>
      </c>
      <c r="D244" s="32" t="str">
        <f>IF(AND(ISNUMBER(Roster!$B244),Setup!$B$22="Yes",ISNUMBER(Setup!$C$22)),EDATE(Roster!$B244,12*Setup!$C$22),"")</f>
        <v/>
      </c>
      <c r="E244" s="32" t="str">
        <f>IF(AND(ISNUMBER(Roster!$B244),Setup!$B$23="Yes",ISNUMBER(Setup!$C$23)),EDATE(Roster!$B244,12*Setup!$C$23),"")</f>
        <v/>
      </c>
      <c r="F244" s="32" t="str">
        <f>IF(AND(ISNUMBER(Roster!$B244),Setup!$B$24="Yes",ISNUMBER(Setup!$C$24)),EDATE(Roster!$B244,12*Setup!$C$24),"")</f>
        <v/>
      </c>
      <c r="G244" s="32" t="str">
        <f>IF(AND(ISNUMBER(Roster!$B244),Setup!$B$25="Yes",ISNUMBER(Setup!$C$25)),EDATE(Roster!$B244,12*Setup!$C$25),"")</f>
        <v/>
      </c>
      <c r="H244" s="32" t="str">
        <f>IF(AND(ISNUMBER(Roster!$B244),Setup!$B$26="Yes",ISNUMBER(Setup!$C$26)),EDATE(Roster!$B244,12*Setup!$C$26),"")</f>
        <v/>
      </c>
      <c r="I244" s="32" t="str">
        <f>IF(AND(ISNUMBER(Roster!$B244),Setup!$B$27="Yes",ISNUMBER(Setup!$C$27)),EDATE(Roster!$B244,12*Setup!$C$27),"")</f>
        <v/>
      </c>
      <c r="J244" s="32" t="str">
        <f>IF(AND(ISNUMBER(Roster!$B244),Setup!$B$28="Yes",ISNUMBER(Setup!$C$28)),EDATE(Roster!$B244,12*Setup!$C$28),"")</f>
        <v/>
      </c>
      <c r="K244" s="32" t="str">
        <f>IF(AND(ISNUMBER(Roster!$B244),Setup!$B$29="Yes",ISNUMBER(Setup!$C$29)),EDATE(Roster!$B244,12*Setup!$C$29),"")</f>
        <v/>
      </c>
      <c r="L244" s="32" t="str">
        <f>IF(AND(ISNUMBER(Roster!$B244),Setup!$B$30="Yes",ISNUMBER(Setup!$C$30)),EDATE(Roster!$B244,12*Setup!$C$30),"")</f>
        <v/>
      </c>
      <c r="M244" s="32" t="str">
        <f>IF(AND(ISNUMBER(Roster!$B244),Setup!$B$31="Yes",ISNUMBER(Setup!$C$31)),EDATE(Roster!$B244,12*Setup!$C$31),"")</f>
        <v/>
      </c>
      <c r="N244" s="32" t="str">
        <f>IF(AND(ISNUMBER(Roster!$B244),Setup!$B$32="Yes",ISNUMBER(Setup!$C$32)),EDATE(Roster!$B244,12*Setup!$C$32),"")</f>
        <v/>
      </c>
      <c r="O244" s="32" t="str">
        <f>IF(AND(ISNUMBER(Roster!$B244),Setup!$B$33="Yes",ISNUMBER(Setup!$C$33)),EDATE(Roster!$B244,12*Setup!$C$33),"")</f>
        <v/>
      </c>
      <c r="P244" s="32" t="str">
        <f>IF(AND(ISNUMBER(Roster!$B244),Setup!$B$34="Yes",ISNUMBER(Setup!$C$34)),EDATE(Roster!$B244,12*Setup!$C$34),"")</f>
        <v/>
      </c>
      <c r="R244" t="str">
        <f>IF(B244="","",IF(B244&lt;Setup!$C$5-Setup!$C$6,"",IF(IF(ISNUMBER(Roster!$D244),Setup!$C$20&lt;=Roster!$D244,FALSE),"",IF(OR(IF(Setup!$C$15&lt;=Setup!$C$16,AND(MONTH(B244)&gt;=Setup!$C$15,MONTH(B244)&lt;=Setup!$C$16),OR(MONTH(B244)&gt;=Setup!$C$15,MONTH(B244)&lt;=Setup!$C$16)),IF(Setup!$C$15&lt;=Setup!$C$16,AND(MONTH(WORKDAY(B244,-(Setup!$C$13+Setup!$G$20),Setup!$C$39:$C$50))&gt;=Setup!$C$15,MONTH(WORKDAY(B244,-(Setup!$C$13+Setup!$G$20),Setup!$C$39:$C$50))&lt;=Setup!$C$16),OR(MONTH(WORKDAY(B244,-(Setup!$C$13+Setup!$G$20),Setup!$C$39:$C$50))&gt;=Setup!$C$15,MONTH(WORKDAY(B244,-(Setup!$C$13+Setup!$G$20),Setup!$C$39:$C$50))&lt;=Setup!$C$16))),WORKDAY(B244,-(Setup!$C$13+Setup!$G$20+Setup!$C$14),Setup!$C$39:$C$50),WORKDAY(B244,-(Setup!$C$13+Setup!$G$20),Setup!$C$39:$C$50))+(239*100+1)/10000000)))</f>
        <v/>
      </c>
      <c r="S244" t="str">
        <f>IF(C244="","",IF(C244&lt;Setup!$C$5-Setup!$C$6,"",IF(IF(ISNUMBER(Roster!$D244),Setup!$C$21&lt;=Roster!$D244,FALSE),"",IF(OR(IF(Setup!$C$15&lt;=Setup!$C$16,AND(MONTH(C244)&gt;=Setup!$C$15,MONTH(C244)&lt;=Setup!$C$16),OR(MONTH(C244)&gt;=Setup!$C$15,MONTH(C244)&lt;=Setup!$C$16)),IF(Setup!$C$15&lt;=Setup!$C$16,AND(MONTH(WORKDAY(C244,-(Setup!$C$13+Setup!$G$21),Setup!$C$39:$C$50))&gt;=Setup!$C$15,MONTH(WORKDAY(C244,-(Setup!$C$13+Setup!$G$21),Setup!$C$39:$C$50))&lt;=Setup!$C$16),OR(MONTH(WORKDAY(C244,-(Setup!$C$13+Setup!$G$21),Setup!$C$39:$C$50))&gt;=Setup!$C$15,MONTH(WORKDAY(C244,-(Setup!$C$13+Setup!$G$21),Setup!$C$39:$C$50))&lt;=Setup!$C$16))),WORKDAY(C244,-(Setup!$C$13+Setup!$G$21+Setup!$C$14),Setup!$C$39:$C$50),WORKDAY(C244,-(Setup!$C$13+Setup!$G$21),Setup!$C$39:$C$50))+(239*100+2)/10000000)))</f>
        <v/>
      </c>
      <c r="T244" t="str">
        <f>IF(D244="","",IF(D244&lt;Setup!$C$5-Setup!$C$6,"",IF(IF(ISNUMBER(Roster!$D244),Setup!$C$22&lt;=Roster!$D244,FALSE),"",IF(OR(IF(Setup!$C$15&lt;=Setup!$C$16,AND(MONTH(D244)&gt;=Setup!$C$15,MONTH(D244)&lt;=Setup!$C$16),OR(MONTH(D244)&gt;=Setup!$C$15,MONTH(D244)&lt;=Setup!$C$16)),IF(Setup!$C$15&lt;=Setup!$C$16,AND(MONTH(WORKDAY(D244,-(Setup!$C$13+Setup!$G$22),Setup!$C$39:$C$50))&gt;=Setup!$C$15,MONTH(WORKDAY(D244,-(Setup!$C$13+Setup!$G$22),Setup!$C$39:$C$50))&lt;=Setup!$C$16),OR(MONTH(WORKDAY(D244,-(Setup!$C$13+Setup!$G$22),Setup!$C$39:$C$50))&gt;=Setup!$C$15,MONTH(WORKDAY(D244,-(Setup!$C$13+Setup!$G$22),Setup!$C$39:$C$50))&lt;=Setup!$C$16))),WORKDAY(D244,-(Setup!$C$13+Setup!$G$22+Setup!$C$14),Setup!$C$39:$C$50),WORKDAY(D244,-(Setup!$C$13+Setup!$G$22),Setup!$C$39:$C$50))+(239*100+3)/10000000)))</f>
        <v/>
      </c>
      <c r="U244" t="str">
        <f>IF(E244="","",IF(E244&lt;Setup!$C$5-Setup!$C$6,"",IF(IF(ISNUMBER(Roster!$D244),Setup!$C$23&lt;=Roster!$D244,FALSE),"",IF(OR(IF(Setup!$C$15&lt;=Setup!$C$16,AND(MONTH(E244)&gt;=Setup!$C$15,MONTH(E244)&lt;=Setup!$C$16),OR(MONTH(E244)&gt;=Setup!$C$15,MONTH(E244)&lt;=Setup!$C$16)),IF(Setup!$C$15&lt;=Setup!$C$16,AND(MONTH(WORKDAY(E244,-(Setup!$C$13+Setup!$G$23),Setup!$C$39:$C$50))&gt;=Setup!$C$15,MONTH(WORKDAY(E244,-(Setup!$C$13+Setup!$G$23),Setup!$C$39:$C$50))&lt;=Setup!$C$16),OR(MONTH(WORKDAY(E244,-(Setup!$C$13+Setup!$G$23),Setup!$C$39:$C$50))&gt;=Setup!$C$15,MONTH(WORKDAY(E244,-(Setup!$C$13+Setup!$G$23),Setup!$C$39:$C$50))&lt;=Setup!$C$16))),WORKDAY(E244,-(Setup!$C$13+Setup!$G$23+Setup!$C$14),Setup!$C$39:$C$50),WORKDAY(E244,-(Setup!$C$13+Setup!$G$23),Setup!$C$39:$C$50))+(239*100+4)/10000000)))</f>
        <v/>
      </c>
      <c r="V244" t="str">
        <f>IF(F244="","",IF(F244&lt;Setup!$C$5-Setup!$C$6,"",IF(IF(ISNUMBER(Roster!$D244),Setup!$C$24&lt;=Roster!$D244,FALSE),"",IF(OR(IF(Setup!$C$15&lt;=Setup!$C$16,AND(MONTH(F244)&gt;=Setup!$C$15,MONTH(F244)&lt;=Setup!$C$16),OR(MONTH(F244)&gt;=Setup!$C$15,MONTH(F244)&lt;=Setup!$C$16)),IF(Setup!$C$15&lt;=Setup!$C$16,AND(MONTH(WORKDAY(F244,-(Setup!$C$13+Setup!$G$24),Setup!$C$39:$C$50))&gt;=Setup!$C$15,MONTH(WORKDAY(F244,-(Setup!$C$13+Setup!$G$24),Setup!$C$39:$C$50))&lt;=Setup!$C$16),OR(MONTH(WORKDAY(F244,-(Setup!$C$13+Setup!$G$24),Setup!$C$39:$C$50))&gt;=Setup!$C$15,MONTH(WORKDAY(F244,-(Setup!$C$13+Setup!$G$24),Setup!$C$39:$C$50))&lt;=Setup!$C$16))),WORKDAY(F244,-(Setup!$C$13+Setup!$G$24+Setup!$C$14),Setup!$C$39:$C$50),WORKDAY(F244,-(Setup!$C$13+Setup!$G$24),Setup!$C$39:$C$50))+(239*100+5)/10000000)))</f>
        <v/>
      </c>
      <c r="W244" t="str">
        <f>IF(G244="","",IF(G244&lt;Setup!$C$5-Setup!$C$6,"",IF(IF(ISNUMBER(Roster!$D244),Setup!$C$25&lt;=Roster!$D244,FALSE),"",IF(OR(IF(Setup!$C$15&lt;=Setup!$C$16,AND(MONTH(G244)&gt;=Setup!$C$15,MONTH(G244)&lt;=Setup!$C$16),OR(MONTH(G244)&gt;=Setup!$C$15,MONTH(G244)&lt;=Setup!$C$16)),IF(Setup!$C$15&lt;=Setup!$C$16,AND(MONTH(WORKDAY(G244,-(Setup!$C$13+Setup!$G$25),Setup!$C$39:$C$50))&gt;=Setup!$C$15,MONTH(WORKDAY(G244,-(Setup!$C$13+Setup!$G$25),Setup!$C$39:$C$50))&lt;=Setup!$C$16),OR(MONTH(WORKDAY(G244,-(Setup!$C$13+Setup!$G$25),Setup!$C$39:$C$50))&gt;=Setup!$C$15,MONTH(WORKDAY(G244,-(Setup!$C$13+Setup!$G$25),Setup!$C$39:$C$50))&lt;=Setup!$C$16))),WORKDAY(G244,-(Setup!$C$13+Setup!$G$25+Setup!$C$14),Setup!$C$39:$C$50),WORKDAY(G244,-(Setup!$C$13+Setup!$G$25),Setup!$C$39:$C$50))+(239*100+6)/10000000)))</f>
        <v/>
      </c>
      <c r="X244" t="str">
        <f>IF(H244="","",IF(H244&lt;Setup!$C$5-Setup!$C$6,"",IF(IF(ISNUMBER(Roster!$D244),Setup!$C$26&lt;=Roster!$D244,FALSE),"",IF(OR(IF(Setup!$C$15&lt;=Setup!$C$16,AND(MONTH(H244)&gt;=Setup!$C$15,MONTH(H244)&lt;=Setup!$C$16),OR(MONTH(H244)&gt;=Setup!$C$15,MONTH(H244)&lt;=Setup!$C$16)),IF(Setup!$C$15&lt;=Setup!$C$16,AND(MONTH(WORKDAY(H244,-(Setup!$C$13+Setup!$G$26),Setup!$C$39:$C$50))&gt;=Setup!$C$15,MONTH(WORKDAY(H244,-(Setup!$C$13+Setup!$G$26),Setup!$C$39:$C$50))&lt;=Setup!$C$16),OR(MONTH(WORKDAY(H244,-(Setup!$C$13+Setup!$G$26),Setup!$C$39:$C$50))&gt;=Setup!$C$15,MONTH(WORKDAY(H244,-(Setup!$C$13+Setup!$G$26),Setup!$C$39:$C$50))&lt;=Setup!$C$16))),WORKDAY(H244,-(Setup!$C$13+Setup!$G$26+Setup!$C$14),Setup!$C$39:$C$50),WORKDAY(H244,-(Setup!$C$13+Setup!$G$26),Setup!$C$39:$C$50))+(239*100+7)/10000000)))</f>
        <v/>
      </c>
      <c r="Y244" t="str">
        <f>IF(I244="","",IF(I244&lt;Setup!$C$5-Setup!$C$6,"",IF(IF(ISNUMBER(Roster!$D244),Setup!$C$27&lt;=Roster!$D244,FALSE),"",IF(OR(IF(Setup!$C$15&lt;=Setup!$C$16,AND(MONTH(I244)&gt;=Setup!$C$15,MONTH(I244)&lt;=Setup!$C$16),OR(MONTH(I244)&gt;=Setup!$C$15,MONTH(I244)&lt;=Setup!$C$16)),IF(Setup!$C$15&lt;=Setup!$C$16,AND(MONTH(WORKDAY(I244,-(Setup!$C$13+Setup!$G$27),Setup!$C$39:$C$50))&gt;=Setup!$C$15,MONTH(WORKDAY(I244,-(Setup!$C$13+Setup!$G$27),Setup!$C$39:$C$50))&lt;=Setup!$C$16),OR(MONTH(WORKDAY(I244,-(Setup!$C$13+Setup!$G$27),Setup!$C$39:$C$50))&gt;=Setup!$C$15,MONTH(WORKDAY(I244,-(Setup!$C$13+Setup!$G$27),Setup!$C$39:$C$50))&lt;=Setup!$C$16))),WORKDAY(I244,-(Setup!$C$13+Setup!$G$27+Setup!$C$14),Setup!$C$39:$C$50),WORKDAY(I244,-(Setup!$C$13+Setup!$G$27),Setup!$C$39:$C$50))+(239*100+8)/10000000)))</f>
        <v/>
      </c>
      <c r="Z244" t="str">
        <f>IF(J244="","",IF(J244&lt;Setup!$C$5-Setup!$C$6,"",IF(IF(ISNUMBER(Roster!$D244),Setup!$C$28&lt;=Roster!$D244,FALSE),"",IF(OR(IF(Setup!$C$15&lt;=Setup!$C$16,AND(MONTH(J244)&gt;=Setup!$C$15,MONTH(J244)&lt;=Setup!$C$16),OR(MONTH(J244)&gt;=Setup!$C$15,MONTH(J244)&lt;=Setup!$C$16)),IF(Setup!$C$15&lt;=Setup!$C$16,AND(MONTH(WORKDAY(J244,-(Setup!$C$13+Setup!$G$28),Setup!$C$39:$C$50))&gt;=Setup!$C$15,MONTH(WORKDAY(J244,-(Setup!$C$13+Setup!$G$28),Setup!$C$39:$C$50))&lt;=Setup!$C$16),OR(MONTH(WORKDAY(J244,-(Setup!$C$13+Setup!$G$28),Setup!$C$39:$C$50))&gt;=Setup!$C$15,MONTH(WORKDAY(J244,-(Setup!$C$13+Setup!$G$28),Setup!$C$39:$C$50))&lt;=Setup!$C$16))),WORKDAY(J244,-(Setup!$C$13+Setup!$G$28+Setup!$C$14),Setup!$C$39:$C$50),WORKDAY(J244,-(Setup!$C$13+Setup!$G$28),Setup!$C$39:$C$50))+(239*100+9)/10000000)))</f>
        <v/>
      </c>
      <c r="AA244" t="str">
        <f>IF(K244="","",IF(K244&lt;Setup!$C$5-Setup!$C$6,"",IF(IF(ISNUMBER(Roster!$D244),Setup!$C$29&lt;=Roster!$D244,FALSE),"",IF(OR(IF(Setup!$C$15&lt;=Setup!$C$16,AND(MONTH(K244)&gt;=Setup!$C$15,MONTH(K244)&lt;=Setup!$C$16),OR(MONTH(K244)&gt;=Setup!$C$15,MONTH(K244)&lt;=Setup!$C$16)),IF(Setup!$C$15&lt;=Setup!$C$16,AND(MONTH(WORKDAY(K244,-(Setup!$C$13+Setup!$G$29),Setup!$C$39:$C$50))&gt;=Setup!$C$15,MONTH(WORKDAY(K244,-(Setup!$C$13+Setup!$G$29),Setup!$C$39:$C$50))&lt;=Setup!$C$16),OR(MONTH(WORKDAY(K244,-(Setup!$C$13+Setup!$G$29),Setup!$C$39:$C$50))&gt;=Setup!$C$15,MONTH(WORKDAY(K244,-(Setup!$C$13+Setup!$G$29),Setup!$C$39:$C$50))&lt;=Setup!$C$16))),WORKDAY(K244,-(Setup!$C$13+Setup!$G$29+Setup!$C$14),Setup!$C$39:$C$50),WORKDAY(K244,-(Setup!$C$13+Setup!$G$29),Setup!$C$39:$C$50))+(239*100+10)/10000000)))</f>
        <v/>
      </c>
      <c r="AB244" t="str">
        <f>IF(L244="","",IF(L244&lt;Setup!$C$5-Setup!$C$6,"",IF(IF(ISNUMBER(Roster!$D244),Setup!$C$30&lt;=Roster!$D244,FALSE),"",IF(OR(IF(Setup!$C$15&lt;=Setup!$C$16,AND(MONTH(L244)&gt;=Setup!$C$15,MONTH(L244)&lt;=Setup!$C$16),OR(MONTH(L244)&gt;=Setup!$C$15,MONTH(L244)&lt;=Setup!$C$16)),IF(Setup!$C$15&lt;=Setup!$C$16,AND(MONTH(WORKDAY(L244,-(Setup!$C$13+Setup!$G$30),Setup!$C$39:$C$50))&gt;=Setup!$C$15,MONTH(WORKDAY(L244,-(Setup!$C$13+Setup!$G$30),Setup!$C$39:$C$50))&lt;=Setup!$C$16),OR(MONTH(WORKDAY(L244,-(Setup!$C$13+Setup!$G$30),Setup!$C$39:$C$50))&gt;=Setup!$C$15,MONTH(WORKDAY(L244,-(Setup!$C$13+Setup!$G$30),Setup!$C$39:$C$50))&lt;=Setup!$C$16))),WORKDAY(L244,-(Setup!$C$13+Setup!$G$30+Setup!$C$14),Setup!$C$39:$C$50),WORKDAY(L244,-(Setup!$C$13+Setup!$G$30),Setup!$C$39:$C$50))+(239*100+11)/10000000)))</f>
        <v/>
      </c>
      <c r="AC244" t="str">
        <f>IF(M244="","",IF(M244&lt;Setup!$C$5-Setup!$C$6,"",IF(IF(ISNUMBER(Roster!$D244),Setup!$C$31&lt;=Roster!$D244,FALSE),"",IF(OR(IF(Setup!$C$15&lt;=Setup!$C$16,AND(MONTH(M244)&gt;=Setup!$C$15,MONTH(M244)&lt;=Setup!$C$16),OR(MONTH(M244)&gt;=Setup!$C$15,MONTH(M244)&lt;=Setup!$C$16)),IF(Setup!$C$15&lt;=Setup!$C$16,AND(MONTH(WORKDAY(M244,-(Setup!$C$13+Setup!$G$31),Setup!$C$39:$C$50))&gt;=Setup!$C$15,MONTH(WORKDAY(M244,-(Setup!$C$13+Setup!$G$31),Setup!$C$39:$C$50))&lt;=Setup!$C$16),OR(MONTH(WORKDAY(M244,-(Setup!$C$13+Setup!$G$31),Setup!$C$39:$C$50))&gt;=Setup!$C$15,MONTH(WORKDAY(M244,-(Setup!$C$13+Setup!$G$31),Setup!$C$39:$C$50))&lt;=Setup!$C$16))),WORKDAY(M244,-(Setup!$C$13+Setup!$G$31+Setup!$C$14),Setup!$C$39:$C$50),WORKDAY(M244,-(Setup!$C$13+Setup!$G$31),Setup!$C$39:$C$50))+(239*100+12)/10000000)))</f>
        <v/>
      </c>
      <c r="AD244" t="str">
        <f>IF(N244="","",IF(N244&lt;Setup!$C$5-Setup!$C$6,"",IF(IF(ISNUMBER(Roster!$D244),Setup!$C$32&lt;=Roster!$D244,FALSE),"",IF(OR(IF(Setup!$C$15&lt;=Setup!$C$16,AND(MONTH(N244)&gt;=Setup!$C$15,MONTH(N244)&lt;=Setup!$C$16),OR(MONTH(N244)&gt;=Setup!$C$15,MONTH(N244)&lt;=Setup!$C$16)),IF(Setup!$C$15&lt;=Setup!$C$16,AND(MONTH(WORKDAY(N244,-(Setup!$C$13+Setup!$G$32),Setup!$C$39:$C$50))&gt;=Setup!$C$15,MONTH(WORKDAY(N244,-(Setup!$C$13+Setup!$G$32),Setup!$C$39:$C$50))&lt;=Setup!$C$16),OR(MONTH(WORKDAY(N244,-(Setup!$C$13+Setup!$G$32),Setup!$C$39:$C$50))&gt;=Setup!$C$15,MONTH(WORKDAY(N244,-(Setup!$C$13+Setup!$G$32),Setup!$C$39:$C$50))&lt;=Setup!$C$16))),WORKDAY(N244,-(Setup!$C$13+Setup!$G$32+Setup!$C$14),Setup!$C$39:$C$50),WORKDAY(N244,-(Setup!$C$13+Setup!$G$32),Setup!$C$39:$C$50))+(239*100+13)/10000000)))</f>
        <v/>
      </c>
      <c r="AE244" t="str">
        <f>IF(O244="","",IF(O244&lt;Setup!$C$5-Setup!$C$6,"",IF(IF(ISNUMBER(Roster!$D244),Setup!$C$33&lt;=Roster!$D244,FALSE),"",IF(OR(IF(Setup!$C$15&lt;=Setup!$C$16,AND(MONTH(O244)&gt;=Setup!$C$15,MONTH(O244)&lt;=Setup!$C$16),OR(MONTH(O244)&gt;=Setup!$C$15,MONTH(O244)&lt;=Setup!$C$16)),IF(Setup!$C$15&lt;=Setup!$C$16,AND(MONTH(WORKDAY(O244,-(Setup!$C$13+Setup!$G$33),Setup!$C$39:$C$50))&gt;=Setup!$C$15,MONTH(WORKDAY(O244,-(Setup!$C$13+Setup!$G$33),Setup!$C$39:$C$50))&lt;=Setup!$C$16),OR(MONTH(WORKDAY(O244,-(Setup!$C$13+Setup!$G$33),Setup!$C$39:$C$50))&gt;=Setup!$C$15,MONTH(WORKDAY(O244,-(Setup!$C$13+Setup!$G$33),Setup!$C$39:$C$50))&lt;=Setup!$C$16))),WORKDAY(O244,-(Setup!$C$13+Setup!$G$33+Setup!$C$14),Setup!$C$39:$C$50),WORKDAY(O244,-(Setup!$C$13+Setup!$G$33),Setup!$C$39:$C$50))+(239*100+14)/10000000)))</f>
        <v/>
      </c>
      <c r="AF244" t="str">
        <f>IF(P244="","",IF(P244&lt;Setup!$C$5-Setup!$C$6,"",IF(IF(ISNUMBER(Roster!$D244),Setup!$C$34&lt;=Roster!$D244,FALSE),"",IF(OR(IF(Setup!$C$15&lt;=Setup!$C$16,AND(MONTH(P244)&gt;=Setup!$C$15,MONTH(P244)&lt;=Setup!$C$16),OR(MONTH(P244)&gt;=Setup!$C$15,MONTH(P244)&lt;=Setup!$C$16)),IF(Setup!$C$15&lt;=Setup!$C$16,AND(MONTH(WORKDAY(P244,-(Setup!$C$13+Setup!$G$34),Setup!$C$39:$C$50))&gt;=Setup!$C$15,MONTH(WORKDAY(P244,-(Setup!$C$13+Setup!$G$34),Setup!$C$39:$C$50))&lt;=Setup!$C$16),OR(MONTH(WORKDAY(P244,-(Setup!$C$13+Setup!$G$34),Setup!$C$39:$C$50))&gt;=Setup!$C$15,MONTH(WORKDAY(P244,-(Setup!$C$13+Setup!$G$34),Setup!$C$39:$C$50))&lt;=Setup!$C$16))),WORKDAY(P244,-(Setup!$C$13+Setup!$G$34+Setup!$C$14),Setup!$C$39:$C$50),WORKDAY(P244,-(Setup!$C$13+Setup!$G$34),Setup!$C$39:$C$50))+(239*100+15)/10000000)))</f>
        <v/>
      </c>
      <c r="AH244" t="str">
        <f t="shared" si="25"/>
        <v/>
      </c>
      <c r="AI244" t="str">
        <f t="shared" si="26"/>
        <v/>
      </c>
      <c r="AK244" t="str">
        <f ca="1">IF(239&gt;$AK$2,"",SMALL($R$6:$AF$505,239))</f>
        <v/>
      </c>
      <c r="AL244" t="str">
        <f t="shared" ca="1" si="27"/>
        <v/>
      </c>
      <c r="AM244" t="str">
        <f t="shared" ca="1" si="28"/>
        <v/>
      </c>
      <c r="AN244" t="str">
        <f t="shared" ca="1" si="29"/>
        <v/>
      </c>
      <c r="AP244" t="str">
        <f>IF(ISNUMBER(Roster!$B244),MAX(1,YEAR(Setup!$C$5)-YEAR(Roster!$B244)+IF(EDATE(Roster!$B244,12*(YEAR(Setup!$C$5)-YEAR(Roster!$B244)))&lt;Setup!$C$5,1,0)),"")</f>
        <v/>
      </c>
      <c r="AQ244" s="32" t="str">
        <f>IF(AP244="","",EDATE(Roster!$B244,12*AP244))</f>
        <v/>
      </c>
      <c r="AR244" t="str">
        <f>IF(AQ244="","",IF(AQ244&lt;DATE(YEAR(Setup!$C$5)+1,MONTH(Setup!$C$5),DAY(Setup!$C$5)),AQ244+239/1000,""))</f>
        <v/>
      </c>
      <c r="AS244" t="str">
        <f t="shared" si="30"/>
        <v/>
      </c>
      <c r="AT244" t="str">
        <f>IF(AS244="","",IF(ISNUMBER(Roster!$D244),Roster!$D244&gt;=AP244,FALSE))</f>
        <v/>
      </c>
      <c r="AU244" t="str">
        <f t="shared" si="31"/>
        <v/>
      </c>
      <c r="AV244" t="str">
        <f ca="1">IF(239&gt;$AV$2,"",SMALL($AR$6:$AR$505,239))</f>
        <v/>
      </c>
      <c r="AW244" t="str">
        <f t="shared" ca="1" si="32"/>
        <v/>
      </c>
    </row>
    <row r="245" spans="2:49" x14ac:dyDescent="0.2">
      <c r="B245" s="32" t="str">
        <f>IF(AND(ISNUMBER(Roster!$B245),Setup!$B$20="Yes",ISNUMBER(Setup!$C$20)),EDATE(Roster!$B245,12*Setup!$C$20),"")</f>
        <v/>
      </c>
      <c r="C245" s="32" t="str">
        <f>IF(AND(ISNUMBER(Roster!$B245),Setup!$B$21="Yes",ISNUMBER(Setup!$C$21)),EDATE(Roster!$B245,12*Setup!$C$21),"")</f>
        <v/>
      </c>
      <c r="D245" s="32" t="str">
        <f>IF(AND(ISNUMBER(Roster!$B245),Setup!$B$22="Yes",ISNUMBER(Setup!$C$22)),EDATE(Roster!$B245,12*Setup!$C$22),"")</f>
        <v/>
      </c>
      <c r="E245" s="32" t="str">
        <f>IF(AND(ISNUMBER(Roster!$B245),Setup!$B$23="Yes",ISNUMBER(Setup!$C$23)),EDATE(Roster!$B245,12*Setup!$C$23),"")</f>
        <v/>
      </c>
      <c r="F245" s="32" t="str">
        <f>IF(AND(ISNUMBER(Roster!$B245),Setup!$B$24="Yes",ISNUMBER(Setup!$C$24)),EDATE(Roster!$B245,12*Setup!$C$24),"")</f>
        <v/>
      </c>
      <c r="G245" s="32" t="str">
        <f>IF(AND(ISNUMBER(Roster!$B245),Setup!$B$25="Yes",ISNUMBER(Setup!$C$25)),EDATE(Roster!$B245,12*Setup!$C$25),"")</f>
        <v/>
      </c>
      <c r="H245" s="32" t="str">
        <f>IF(AND(ISNUMBER(Roster!$B245),Setup!$B$26="Yes",ISNUMBER(Setup!$C$26)),EDATE(Roster!$B245,12*Setup!$C$26),"")</f>
        <v/>
      </c>
      <c r="I245" s="32" t="str">
        <f>IF(AND(ISNUMBER(Roster!$B245),Setup!$B$27="Yes",ISNUMBER(Setup!$C$27)),EDATE(Roster!$B245,12*Setup!$C$27),"")</f>
        <v/>
      </c>
      <c r="J245" s="32" t="str">
        <f>IF(AND(ISNUMBER(Roster!$B245),Setup!$B$28="Yes",ISNUMBER(Setup!$C$28)),EDATE(Roster!$B245,12*Setup!$C$28),"")</f>
        <v/>
      </c>
      <c r="K245" s="32" t="str">
        <f>IF(AND(ISNUMBER(Roster!$B245),Setup!$B$29="Yes",ISNUMBER(Setup!$C$29)),EDATE(Roster!$B245,12*Setup!$C$29),"")</f>
        <v/>
      </c>
      <c r="L245" s="32" t="str">
        <f>IF(AND(ISNUMBER(Roster!$B245),Setup!$B$30="Yes",ISNUMBER(Setup!$C$30)),EDATE(Roster!$B245,12*Setup!$C$30),"")</f>
        <v/>
      </c>
      <c r="M245" s="32" t="str">
        <f>IF(AND(ISNUMBER(Roster!$B245),Setup!$B$31="Yes",ISNUMBER(Setup!$C$31)),EDATE(Roster!$B245,12*Setup!$C$31),"")</f>
        <v/>
      </c>
      <c r="N245" s="32" t="str">
        <f>IF(AND(ISNUMBER(Roster!$B245),Setup!$B$32="Yes",ISNUMBER(Setup!$C$32)),EDATE(Roster!$B245,12*Setup!$C$32),"")</f>
        <v/>
      </c>
      <c r="O245" s="32" t="str">
        <f>IF(AND(ISNUMBER(Roster!$B245),Setup!$B$33="Yes",ISNUMBER(Setup!$C$33)),EDATE(Roster!$B245,12*Setup!$C$33),"")</f>
        <v/>
      </c>
      <c r="P245" s="32" t="str">
        <f>IF(AND(ISNUMBER(Roster!$B245),Setup!$B$34="Yes",ISNUMBER(Setup!$C$34)),EDATE(Roster!$B245,12*Setup!$C$34),"")</f>
        <v/>
      </c>
      <c r="R245" t="str">
        <f>IF(B245="","",IF(B245&lt;Setup!$C$5-Setup!$C$6,"",IF(IF(ISNUMBER(Roster!$D245),Setup!$C$20&lt;=Roster!$D245,FALSE),"",IF(OR(IF(Setup!$C$15&lt;=Setup!$C$16,AND(MONTH(B245)&gt;=Setup!$C$15,MONTH(B245)&lt;=Setup!$C$16),OR(MONTH(B245)&gt;=Setup!$C$15,MONTH(B245)&lt;=Setup!$C$16)),IF(Setup!$C$15&lt;=Setup!$C$16,AND(MONTH(WORKDAY(B245,-(Setup!$C$13+Setup!$G$20),Setup!$C$39:$C$50))&gt;=Setup!$C$15,MONTH(WORKDAY(B245,-(Setup!$C$13+Setup!$G$20),Setup!$C$39:$C$50))&lt;=Setup!$C$16),OR(MONTH(WORKDAY(B245,-(Setup!$C$13+Setup!$G$20),Setup!$C$39:$C$50))&gt;=Setup!$C$15,MONTH(WORKDAY(B245,-(Setup!$C$13+Setup!$G$20),Setup!$C$39:$C$50))&lt;=Setup!$C$16))),WORKDAY(B245,-(Setup!$C$13+Setup!$G$20+Setup!$C$14),Setup!$C$39:$C$50),WORKDAY(B245,-(Setup!$C$13+Setup!$G$20),Setup!$C$39:$C$50))+(240*100+1)/10000000)))</f>
        <v/>
      </c>
      <c r="S245" t="str">
        <f>IF(C245="","",IF(C245&lt;Setup!$C$5-Setup!$C$6,"",IF(IF(ISNUMBER(Roster!$D245),Setup!$C$21&lt;=Roster!$D245,FALSE),"",IF(OR(IF(Setup!$C$15&lt;=Setup!$C$16,AND(MONTH(C245)&gt;=Setup!$C$15,MONTH(C245)&lt;=Setup!$C$16),OR(MONTH(C245)&gt;=Setup!$C$15,MONTH(C245)&lt;=Setup!$C$16)),IF(Setup!$C$15&lt;=Setup!$C$16,AND(MONTH(WORKDAY(C245,-(Setup!$C$13+Setup!$G$21),Setup!$C$39:$C$50))&gt;=Setup!$C$15,MONTH(WORKDAY(C245,-(Setup!$C$13+Setup!$G$21),Setup!$C$39:$C$50))&lt;=Setup!$C$16),OR(MONTH(WORKDAY(C245,-(Setup!$C$13+Setup!$G$21),Setup!$C$39:$C$50))&gt;=Setup!$C$15,MONTH(WORKDAY(C245,-(Setup!$C$13+Setup!$G$21),Setup!$C$39:$C$50))&lt;=Setup!$C$16))),WORKDAY(C245,-(Setup!$C$13+Setup!$G$21+Setup!$C$14),Setup!$C$39:$C$50),WORKDAY(C245,-(Setup!$C$13+Setup!$G$21),Setup!$C$39:$C$50))+(240*100+2)/10000000)))</f>
        <v/>
      </c>
      <c r="T245" t="str">
        <f>IF(D245="","",IF(D245&lt;Setup!$C$5-Setup!$C$6,"",IF(IF(ISNUMBER(Roster!$D245),Setup!$C$22&lt;=Roster!$D245,FALSE),"",IF(OR(IF(Setup!$C$15&lt;=Setup!$C$16,AND(MONTH(D245)&gt;=Setup!$C$15,MONTH(D245)&lt;=Setup!$C$16),OR(MONTH(D245)&gt;=Setup!$C$15,MONTH(D245)&lt;=Setup!$C$16)),IF(Setup!$C$15&lt;=Setup!$C$16,AND(MONTH(WORKDAY(D245,-(Setup!$C$13+Setup!$G$22),Setup!$C$39:$C$50))&gt;=Setup!$C$15,MONTH(WORKDAY(D245,-(Setup!$C$13+Setup!$G$22),Setup!$C$39:$C$50))&lt;=Setup!$C$16),OR(MONTH(WORKDAY(D245,-(Setup!$C$13+Setup!$G$22),Setup!$C$39:$C$50))&gt;=Setup!$C$15,MONTH(WORKDAY(D245,-(Setup!$C$13+Setup!$G$22),Setup!$C$39:$C$50))&lt;=Setup!$C$16))),WORKDAY(D245,-(Setup!$C$13+Setup!$G$22+Setup!$C$14),Setup!$C$39:$C$50),WORKDAY(D245,-(Setup!$C$13+Setup!$G$22),Setup!$C$39:$C$50))+(240*100+3)/10000000)))</f>
        <v/>
      </c>
      <c r="U245" t="str">
        <f>IF(E245="","",IF(E245&lt;Setup!$C$5-Setup!$C$6,"",IF(IF(ISNUMBER(Roster!$D245),Setup!$C$23&lt;=Roster!$D245,FALSE),"",IF(OR(IF(Setup!$C$15&lt;=Setup!$C$16,AND(MONTH(E245)&gt;=Setup!$C$15,MONTH(E245)&lt;=Setup!$C$16),OR(MONTH(E245)&gt;=Setup!$C$15,MONTH(E245)&lt;=Setup!$C$16)),IF(Setup!$C$15&lt;=Setup!$C$16,AND(MONTH(WORKDAY(E245,-(Setup!$C$13+Setup!$G$23),Setup!$C$39:$C$50))&gt;=Setup!$C$15,MONTH(WORKDAY(E245,-(Setup!$C$13+Setup!$G$23),Setup!$C$39:$C$50))&lt;=Setup!$C$16),OR(MONTH(WORKDAY(E245,-(Setup!$C$13+Setup!$G$23),Setup!$C$39:$C$50))&gt;=Setup!$C$15,MONTH(WORKDAY(E245,-(Setup!$C$13+Setup!$G$23),Setup!$C$39:$C$50))&lt;=Setup!$C$16))),WORKDAY(E245,-(Setup!$C$13+Setup!$G$23+Setup!$C$14),Setup!$C$39:$C$50),WORKDAY(E245,-(Setup!$C$13+Setup!$G$23),Setup!$C$39:$C$50))+(240*100+4)/10000000)))</f>
        <v/>
      </c>
      <c r="V245" t="str">
        <f>IF(F245="","",IF(F245&lt;Setup!$C$5-Setup!$C$6,"",IF(IF(ISNUMBER(Roster!$D245),Setup!$C$24&lt;=Roster!$D245,FALSE),"",IF(OR(IF(Setup!$C$15&lt;=Setup!$C$16,AND(MONTH(F245)&gt;=Setup!$C$15,MONTH(F245)&lt;=Setup!$C$16),OR(MONTH(F245)&gt;=Setup!$C$15,MONTH(F245)&lt;=Setup!$C$16)),IF(Setup!$C$15&lt;=Setup!$C$16,AND(MONTH(WORKDAY(F245,-(Setup!$C$13+Setup!$G$24),Setup!$C$39:$C$50))&gt;=Setup!$C$15,MONTH(WORKDAY(F245,-(Setup!$C$13+Setup!$G$24),Setup!$C$39:$C$50))&lt;=Setup!$C$16),OR(MONTH(WORKDAY(F245,-(Setup!$C$13+Setup!$G$24),Setup!$C$39:$C$50))&gt;=Setup!$C$15,MONTH(WORKDAY(F245,-(Setup!$C$13+Setup!$G$24),Setup!$C$39:$C$50))&lt;=Setup!$C$16))),WORKDAY(F245,-(Setup!$C$13+Setup!$G$24+Setup!$C$14),Setup!$C$39:$C$50),WORKDAY(F245,-(Setup!$C$13+Setup!$G$24),Setup!$C$39:$C$50))+(240*100+5)/10000000)))</f>
        <v/>
      </c>
      <c r="W245" t="str">
        <f>IF(G245="","",IF(G245&lt;Setup!$C$5-Setup!$C$6,"",IF(IF(ISNUMBER(Roster!$D245),Setup!$C$25&lt;=Roster!$D245,FALSE),"",IF(OR(IF(Setup!$C$15&lt;=Setup!$C$16,AND(MONTH(G245)&gt;=Setup!$C$15,MONTH(G245)&lt;=Setup!$C$16),OR(MONTH(G245)&gt;=Setup!$C$15,MONTH(G245)&lt;=Setup!$C$16)),IF(Setup!$C$15&lt;=Setup!$C$16,AND(MONTH(WORKDAY(G245,-(Setup!$C$13+Setup!$G$25),Setup!$C$39:$C$50))&gt;=Setup!$C$15,MONTH(WORKDAY(G245,-(Setup!$C$13+Setup!$G$25),Setup!$C$39:$C$50))&lt;=Setup!$C$16),OR(MONTH(WORKDAY(G245,-(Setup!$C$13+Setup!$G$25),Setup!$C$39:$C$50))&gt;=Setup!$C$15,MONTH(WORKDAY(G245,-(Setup!$C$13+Setup!$G$25),Setup!$C$39:$C$50))&lt;=Setup!$C$16))),WORKDAY(G245,-(Setup!$C$13+Setup!$G$25+Setup!$C$14),Setup!$C$39:$C$50),WORKDAY(G245,-(Setup!$C$13+Setup!$G$25),Setup!$C$39:$C$50))+(240*100+6)/10000000)))</f>
        <v/>
      </c>
      <c r="X245" t="str">
        <f>IF(H245="","",IF(H245&lt;Setup!$C$5-Setup!$C$6,"",IF(IF(ISNUMBER(Roster!$D245),Setup!$C$26&lt;=Roster!$D245,FALSE),"",IF(OR(IF(Setup!$C$15&lt;=Setup!$C$16,AND(MONTH(H245)&gt;=Setup!$C$15,MONTH(H245)&lt;=Setup!$C$16),OR(MONTH(H245)&gt;=Setup!$C$15,MONTH(H245)&lt;=Setup!$C$16)),IF(Setup!$C$15&lt;=Setup!$C$16,AND(MONTH(WORKDAY(H245,-(Setup!$C$13+Setup!$G$26),Setup!$C$39:$C$50))&gt;=Setup!$C$15,MONTH(WORKDAY(H245,-(Setup!$C$13+Setup!$G$26),Setup!$C$39:$C$50))&lt;=Setup!$C$16),OR(MONTH(WORKDAY(H245,-(Setup!$C$13+Setup!$G$26),Setup!$C$39:$C$50))&gt;=Setup!$C$15,MONTH(WORKDAY(H245,-(Setup!$C$13+Setup!$G$26),Setup!$C$39:$C$50))&lt;=Setup!$C$16))),WORKDAY(H245,-(Setup!$C$13+Setup!$G$26+Setup!$C$14),Setup!$C$39:$C$50),WORKDAY(H245,-(Setup!$C$13+Setup!$G$26),Setup!$C$39:$C$50))+(240*100+7)/10000000)))</f>
        <v/>
      </c>
      <c r="Y245" t="str">
        <f>IF(I245="","",IF(I245&lt;Setup!$C$5-Setup!$C$6,"",IF(IF(ISNUMBER(Roster!$D245),Setup!$C$27&lt;=Roster!$D245,FALSE),"",IF(OR(IF(Setup!$C$15&lt;=Setup!$C$16,AND(MONTH(I245)&gt;=Setup!$C$15,MONTH(I245)&lt;=Setup!$C$16),OR(MONTH(I245)&gt;=Setup!$C$15,MONTH(I245)&lt;=Setup!$C$16)),IF(Setup!$C$15&lt;=Setup!$C$16,AND(MONTH(WORKDAY(I245,-(Setup!$C$13+Setup!$G$27),Setup!$C$39:$C$50))&gt;=Setup!$C$15,MONTH(WORKDAY(I245,-(Setup!$C$13+Setup!$G$27),Setup!$C$39:$C$50))&lt;=Setup!$C$16),OR(MONTH(WORKDAY(I245,-(Setup!$C$13+Setup!$G$27),Setup!$C$39:$C$50))&gt;=Setup!$C$15,MONTH(WORKDAY(I245,-(Setup!$C$13+Setup!$G$27),Setup!$C$39:$C$50))&lt;=Setup!$C$16))),WORKDAY(I245,-(Setup!$C$13+Setup!$G$27+Setup!$C$14),Setup!$C$39:$C$50),WORKDAY(I245,-(Setup!$C$13+Setup!$G$27),Setup!$C$39:$C$50))+(240*100+8)/10000000)))</f>
        <v/>
      </c>
      <c r="Z245" t="str">
        <f>IF(J245="","",IF(J245&lt;Setup!$C$5-Setup!$C$6,"",IF(IF(ISNUMBER(Roster!$D245),Setup!$C$28&lt;=Roster!$D245,FALSE),"",IF(OR(IF(Setup!$C$15&lt;=Setup!$C$16,AND(MONTH(J245)&gt;=Setup!$C$15,MONTH(J245)&lt;=Setup!$C$16),OR(MONTH(J245)&gt;=Setup!$C$15,MONTH(J245)&lt;=Setup!$C$16)),IF(Setup!$C$15&lt;=Setup!$C$16,AND(MONTH(WORKDAY(J245,-(Setup!$C$13+Setup!$G$28),Setup!$C$39:$C$50))&gt;=Setup!$C$15,MONTH(WORKDAY(J245,-(Setup!$C$13+Setup!$G$28),Setup!$C$39:$C$50))&lt;=Setup!$C$16),OR(MONTH(WORKDAY(J245,-(Setup!$C$13+Setup!$G$28),Setup!$C$39:$C$50))&gt;=Setup!$C$15,MONTH(WORKDAY(J245,-(Setup!$C$13+Setup!$G$28),Setup!$C$39:$C$50))&lt;=Setup!$C$16))),WORKDAY(J245,-(Setup!$C$13+Setup!$G$28+Setup!$C$14),Setup!$C$39:$C$50),WORKDAY(J245,-(Setup!$C$13+Setup!$G$28),Setup!$C$39:$C$50))+(240*100+9)/10000000)))</f>
        <v/>
      </c>
      <c r="AA245" t="str">
        <f>IF(K245="","",IF(K245&lt;Setup!$C$5-Setup!$C$6,"",IF(IF(ISNUMBER(Roster!$D245),Setup!$C$29&lt;=Roster!$D245,FALSE),"",IF(OR(IF(Setup!$C$15&lt;=Setup!$C$16,AND(MONTH(K245)&gt;=Setup!$C$15,MONTH(K245)&lt;=Setup!$C$16),OR(MONTH(K245)&gt;=Setup!$C$15,MONTH(K245)&lt;=Setup!$C$16)),IF(Setup!$C$15&lt;=Setup!$C$16,AND(MONTH(WORKDAY(K245,-(Setup!$C$13+Setup!$G$29),Setup!$C$39:$C$50))&gt;=Setup!$C$15,MONTH(WORKDAY(K245,-(Setup!$C$13+Setup!$G$29),Setup!$C$39:$C$50))&lt;=Setup!$C$16),OR(MONTH(WORKDAY(K245,-(Setup!$C$13+Setup!$G$29),Setup!$C$39:$C$50))&gt;=Setup!$C$15,MONTH(WORKDAY(K245,-(Setup!$C$13+Setup!$G$29),Setup!$C$39:$C$50))&lt;=Setup!$C$16))),WORKDAY(K245,-(Setup!$C$13+Setup!$G$29+Setup!$C$14),Setup!$C$39:$C$50),WORKDAY(K245,-(Setup!$C$13+Setup!$G$29),Setup!$C$39:$C$50))+(240*100+10)/10000000)))</f>
        <v/>
      </c>
      <c r="AB245" t="str">
        <f>IF(L245="","",IF(L245&lt;Setup!$C$5-Setup!$C$6,"",IF(IF(ISNUMBER(Roster!$D245),Setup!$C$30&lt;=Roster!$D245,FALSE),"",IF(OR(IF(Setup!$C$15&lt;=Setup!$C$16,AND(MONTH(L245)&gt;=Setup!$C$15,MONTH(L245)&lt;=Setup!$C$16),OR(MONTH(L245)&gt;=Setup!$C$15,MONTH(L245)&lt;=Setup!$C$16)),IF(Setup!$C$15&lt;=Setup!$C$16,AND(MONTH(WORKDAY(L245,-(Setup!$C$13+Setup!$G$30),Setup!$C$39:$C$50))&gt;=Setup!$C$15,MONTH(WORKDAY(L245,-(Setup!$C$13+Setup!$G$30),Setup!$C$39:$C$50))&lt;=Setup!$C$16),OR(MONTH(WORKDAY(L245,-(Setup!$C$13+Setup!$G$30),Setup!$C$39:$C$50))&gt;=Setup!$C$15,MONTH(WORKDAY(L245,-(Setup!$C$13+Setup!$G$30),Setup!$C$39:$C$50))&lt;=Setup!$C$16))),WORKDAY(L245,-(Setup!$C$13+Setup!$G$30+Setup!$C$14),Setup!$C$39:$C$50),WORKDAY(L245,-(Setup!$C$13+Setup!$G$30),Setup!$C$39:$C$50))+(240*100+11)/10000000)))</f>
        <v/>
      </c>
      <c r="AC245" t="str">
        <f>IF(M245="","",IF(M245&lt;Setup!$C$5-Setup!$C$6,"",IF(IF(ISNUMBER(Roster!$D245),Setup!$C$31&lt;=Roster!$D245,FALSE),"",IF(OR(IF(Setup!$C$15&lt;=Setup!$C$16,AND(MONTH(M245)&gt;=Setup!$C$15,MONTH(M245)&lt;=Setup!$C$16),OR(MONTH(M245)&gt;=Setup!$C$15,MONTH(M245)&lt;=Setup!$C$16)),IF(Setup!$C$15&lt;=Setup!$C$16,AND(MONTH(WORKDAY(M245,-(Setup!$C$13+Setup!$G$31),Setup!$C$39:$C$50))&gt;=Setup!$C$15,MONTH(WORKDAY(M245,-(Setup!$C$13+Setup!$G$31),Setup!$C$39:$C$50))&lt;=Setup!$C$16),OR(MONTH(WORKDAY(M245,-(Setup!$C$13+Setup!$G$31),Setup!$C$39:$C$50))&gt;=Setup!$C$15,MONTH(WORKDAY(M245,-(Setup!$C$13+Setup!$G$31),Setup!$C$39:$C$50))&lt;=Setup!$C$16))),WORKDAY(M245,-(Setup!$C$13+Setup!$G$31+Setup!$C$14),Setup!$C$39:$C$50),WORKDAY(M245,-(Setup!$C$13+Setup!$G$31),Setup!$C$39:$C$50))+(240*100+12)/10000000)))</f>
        <v/>
      </c>
      <c r="AD245" t="str">
        <f>IF(N245="","",IF(N245&lt;Setup!$C$5-Setup!$C$6,"",IF(IF(ISNUMBER(Roster!$D245),Setup!$C$32&lt;=Roster!$D245,FALSE),"",IF(OR(IF(Setup!$C$15&lt;=Setup!$C$16,AND(MONTH(N245)&gt;=Setup!$C$15,MONTH(N245)&lt;=Setup!$C$16),OR(MONTH(N245)&gt;=Setup!$C$15,MONTH(N245)&lt;=Setup!$C$16)),IF(Setup!$C$15&lt;=Setup!$C$16,AND(MONTH(WORKDAY(N245,-(Setup!$C$13+Setup!$G$32),Setup!$C$39:$C$50))&gt;=Setup!$C$15,MONTH(WORKDAY(N245,-(Setup!$C$13+Setup!$G$32),Setup!$C$39:$C$50))&lt;=Setup!$C$16),OR(MONTH(WORKDAY(N245,-(Setup!$C$13+Setup!$G$32),Setup!$C$39:$C$50))&gt;=Setup!$C$15,MONTH(WORKDAY(N245,-(Setup!$C$13+Setup!$G$32),Setup!$C$39:$C$50))&lt;=Setup!$C$16))),WORKDAY(N245,-(Setup!$C$13+Setup!$G$32+Setup!$C$14),Setup!$C$39:$C$50),WORKDAY(N245,-(Setup!$C$13+Setup!$G$32),Setup!$C$39:$C$50))+(240*100+13)/10000000)))</f>
        <v/>
      </c>
      <c r="AE245" t="str">
        <f>IF(O245="","",IF(O245&lt;Setup!$C$5-Setup!$C$6,"",IF(IF(ISNUMBER(Roster!$D245),Setup!$C$33&lt;=Roster!$D245,FALSE),"",IF(OR(IF(Setup!$C$15&lt;=Setup!$C$16,AND(MONTH(O245)&gt;=Setup!$C$15,MONTH(O245)&lt;=Setup!$C$16),OR(MONTH(O245)&gt;=Setup!$C$15,MONTH(O245)&lt;=Setup!$C$16)),IF(Setup!$C$15&lt;=Setup!$C$16,AND(MONTH(WORKDAY(O245,-(Setup!$C$13+Setup!$G$33),Setup!$C$39:$C$50))&gt;=Setup!$C$15,MONTH(WORKDAY(O245,-(Setup!$C$13+Setup!$G$33),Setup!$C$39:$C$50))&lt;=Setup!$C$16),OR(MONTH(WORKDAY(O245,-(Setup!$C$13+Setup!$G$33),Setup!$C$39:$C$50))&gt;=Setup!$C$15,MONTH(WORKDAY(O245,-(Setup!$C$13+Setup!$G$33),Setup!$C$39:$C$50))&lt;=Setup!$C$16))),WORKDAY(O245,-(Setup!$C$13+Setup!$G$33+Setup!$C$14),Setup!$C$39:$C$50),WORKDAY(O245,-(Setup!$C$13+Setup!$G$33),Setup!$C$39:$C$50))+(240*100+14)/10000000)))</f>
        <v/>
      </c>
      <c r="AF245" t="str">
        <f>IF(P245="","",IF(P245&lt;Setup!$C$5-Setup!$C$6,"",IF(IF(ISNUMBER(Roster!$D245),Setup!$C$34&lt;=Roster!$D245,FALSE),"",IF(OR(IF(Setup!$C$15&lt;=Setup!$C$16,AND(MONTH(P245)&gt;=Setup!$C$15,MONTH(P245)&lt;=Setup!$C$16),OR(MONTH(P245)&gt;=Setup!$C$15,MONTH(P245)&lt;=Setup!$C$16)),IF(Setup!$C$15&lt;=Setup!$C$16,AND(MONTH(WORKDAY(P245,-(Setup!$C$13+Setup!$G$34),Setup!$C$39:$C$50))&gt;=Setup!$C$15,MONTH(WORKDAY(P245,-(Setup!$C$13+Setup!$G$34),Setup!$C$39:$C$50))&lt;=Setup!$C$16),OR(MONTH(WORKDAY(P245,-(Setup!$C$13+Setup!$G$34),Setup!$C$39:$C$50))&gt;=Setup!$C$15,MONTH(WORKDAY(P245,-(Setup!$C$13+Setup!$G$34),Setup!$C$39:$C$50))&lt;=Setup!$C$16))),WORKDAY(P245,-(Setup!$C$13+Setup!$G$34+Setup!$C$14),Setup!$C$39:$C$50),WORKDAY(P245,-(Setup!$C$13+Setup!$G$34),Setup!$C$39:$C$50))+(240*100+15)/10000000)))</f>
        <v/>
      </c>
      <c r="AH245" t="str">
        <f t="shared" si="25"/>
        <v/>
      </c>
      <c r="AI245" t="str">
        <f t="shared" si="26"/>
        <v/>
      </c>
      <c r="AK245" t="str">
        <f ca="1">IF(240&gt;$AK$2,"",SMALL($R$6:$AF$505,240))</f>
        <v/>
      </c>
      <c r="AL245" t="str">
        <f t="shared" ca="1" si="27"/>
        <v/>
      </c>
      <c r="AM245" t="str">
        <f t="shared" ca="1" si="28"/>
        <v/>
      </c>
      <c r="AN245" t="str">
        <f t="shared" ca="1" si="29"/>
        <v/>
      </c>
      <c r="AP245" t="str">
        <f>IF(ISNUMBER(Roster!$B245),MAX(1,YEAR(Setup!$C$5)-YEAR(Roster!$B245)+IF(EDATE(Roster!$B245,12*(YEAR(Setup!$C$5)-YEAR(Roster!$B245)))&lt;Setup!$C$5,1,0)),"")</f>
        <v/>
      </c>
      <c r="AQ245" s="32" t="str">
        <f>IF(AP245="","",EDATE(Roster!$B245,12*AP245))</f>
        <v/>
      </c>
      <c r="AR245" t="str">
        <f>IF(AQ245="","",IF(AQ245&lt;DATE(YEAR(Setup!$C$5)+1,MONTH(Setup!$C$5),DAY(Setup!$C$5)),AQ245+240/1000,""))</f>
        <v/>
      </c>
      <c r="AS245" t="str">
        <f t="shared" si="30"/>
        <v/>
      </c>
      <c r="AT245" t="str">
        <f>IF(AS245="","",IF(ISNUMBER(Roster!$D245),Roster!$D245&gt;=AP245,FALSE))</f>
        <v/>
      </c>
      <c r="AU245" t="str">
        <f t="shared" si="31"/>
        <v/>
      </c>
      <c r="AV245" t="str">
        <f ca="1">IF(240&gt;$AV$2,"",SMALL($AR$6:$AR$505,240))</f>
        <v/>
      </c>
      <c r="AW245" t="str">
        <f t="shared" ca="1" si="32"/>
        <v/>
      </c>
    </row>
    <row r="246" spans="2:49" x14ac:dyDescent="0.2">
      <c r="B246" s="32" t="str">
        <f>IF(AND(ISNUMBER(Roster!$B246),Setup!$B$20="Yes",ISNUMBER(Setup!$C$20)),EDATE(Roster!$B246,12*Setup!$C$20),"")</f>
        <v/>
      </c>
      <c r="C246" s="32" t="str">
        <f>IF(AND(ISNUMBER(Roster!$B246),Setup!$B$21="Yes",ISNUMBER(Setup!$C$21)),EDATE(Roster!$B246,12*Setup!$C$21),"")</f>
        <v/>
      </c>
      <c r="D246" s="32" t="str">
        <f>IF(AND(ISNUMBER(Roster!$B246),Setup!$B$22="Yes",ISNUMBER(Setup!$C$22)),EDATE(Roster!$B246,12*Setup!$C$22),"")</f>
        <v/>
      </c>
      <c r="E246" s="32" t="str">
        <f>IF(AND(ISNUMBER(Roster!$B246),Setup!$B$23="Yes",ISNUMBER(Setup!$C$23)),EDATE(Roster!$B246,12*Setup!$C$23),"")</f>
        <v/>
      </c>
      <c r="F246" s="32" t="str">
        <f>IF(AND(ISNUMBER(Roster!$B246),Setup!$B$24="Yes",ISNUMBER(Setup!$C$24)),EDATE(Roster!$B246,12*Setup!$C$24),"")</f>
        <v/>
      </c>
      <c r="G246" s="32" t="str">
        <f>IF(AND(ISNUMBER(Roster!$B246),Setup!$B$25="Yes",ISNUMBER(Setup!$C$25)),EDATE(Roster!$B246,12*Setup!$C$25),"")</f>
        <v/>
      </c>
      <c r="H246" s="32" t="str">
        <f>IF(AND(ISNUMBER(Roster!$B246),Setup!$B$26="Yes",ISNUMBER(Setup!$C$26)),EDATE(Roster!$B246,12*Setup!$C$26),"")</f>
        <v/>
      </c>
      <c r="I246" s="32" t="str">
        <f>IF(AND(ISNUMBER(Roster!$B246),Setup!$B$27="Yes",ISNUMBER(Setup!$C$27)),EDATE(Roster!$B246,12*Setup!$C$27),"")</f>
        <v/>
      </c>
      <c r="J246" s="32" t="str">
        <f>IF(AND(ISNUMBER(Roster!$B246),Setup!$B$28="Yes",ISNUMBER(Setup!$C$28)),EDATE(Roster!$B246,12*Setup!$C$28),"")</f>
        <v/>
      </c>
      <c r="K246" s="32" t="str">
        <f>IF(AND(ISNUMBER(Roster!$B246),Setup!$B$29="Yes",ISNUMBER(Setup!$C$29)),EDATE(Roster!$B246,12*Setup!$C$29),"")</f>
        <v/>
      </c>
      <c r="L246" s="32" t="str">
        <f>IF(AND(ISNUMBER(Roster!$B246),Setup!$B$30="Yes",ISNUMBER(Setup!$C$30)),EDATE(Roster!$B246,12*Setup!$C$30),"")</f>
        <v/>
      </c>
      <c r="M246" s="32" t="str">
        <f>IF(AND(ISNUMBER(Roster!$B246),Setup!$B$31="Yes",ISNUMBER(Setup!$C$31)),EDATE(Roster!$B246,12*Setup!$C$31),"")</f>
        <v/>
      </c>
      <c r="N246" s="32" t="str">
        <f>IF(AND(ISNUMBER(Roster!$B246),Setup!$B$32="Yes",ISNUMBER(Setup!$C$32)),EDATE(Roster!$B246,12*Setup!$C$32),"")</f>
        <v/>
      </c>
      <c r="O246" s="32" t="str">
        <f>IF(AND(ISNUMBER(Roster!$B246),Setup!$B$33="Yes",ISNUMBER(Setup!$C$33)),EDATE(Roster!$B246,12*Setup!$C$33),"")</f>
        <v/>
      </c>
      <c r="P246" s="32" t="str">
        <f>IF(AND(ISNUMBER(Roster!$B246),Setup!$B$34="Yes",ISNUMBER(Setup!$C$34)),EDATE(Roster!$B246,12*Setup!$C$34),"")</f>
        <v/>
      </c>
      <c r="R246" t="str">
        <f>IF(B246="","",IF(B246&lt;Setup!$C$5-Setup!$C$6,"",IF(IF(ISNUMBER(Roster!$D246),Setup!$C$20&lt;=Roster!$D246,FALSE),"",IF(OR(IF(Setup!$C$15&lt;=Setup!$C$16,AND(MONTH(B246)&gt;=Setup!$C$15,MONTH(B246)&lt;=Setup!$C$16),OR(MONTH(B246)&gt;=Setup!$C$15,MONTH(B246)&lt;=Setup!$C$16)),IF(Setup!$C$15&lt;=Setup!$C$16,AND(MONTH(WORKDAY(B246,-(Setup!$C$13+Setup!$G$20),Setup!$C$39:$C$50))&gt;=Setup!$C$15,MONTH(WORKDAY(B246,-(Setup!$C$13+Setup!$G$20),Setup!$C$39:$C$50))&lt;=Setup!$C$16),OR(MONTH(WORKDAY(B246,-(Setup!$C$13+Setup!$G$20),Setup!$C$39:$C$50))&gt;=Setup!$C$15,MONTH(WORKDAY(B246,-(Setup!$C$13+Setup!$G$20),Setup!$C$39:$C$50))&lt;=Setup!$C$16))),WORKDAY(B246,-(Setup!$C$13+Setup!$G$20+Setup!$C$14),Setup!$C$39:$C$50),WORKDAY(B246,-(Setup!$C$13+Setup!$G$20),Setup!$C$39:$C$50))+(241*100+1)/10000000)))</f>
        <v/>
      </c>
      <c r="S246" t="str">
        <f>IF(C246="","",IF(C246&lt;Setup!$C$5-Setup!$C$6,"",IF(IF(ISNUMBER(Roster!$D246),Setup!$C$21&lt;=Roster!$D246,FALSE),"",IF(OR(IF(Setup!$C$15&lt;=Setup!$C$16,AND(MONTH(C246)&gt;=Setup!$C$15,MONTH(C246)&lt;=Setup!$C$16),OR(MONTH(C246)&gt;=Setup!$C$15,MONTH(C246)&lt;=Setup!$C$16)),IF(Setup!$C$15&lt;=Setup!$C$16,AND(MONTH(WORKDAY(C246,-(Setup!$C$13+Setup!$G$21),Setup!$C$39:$C$50))&gt;=Setup!$C$15,MONTH(WORKDAY(C246,-(Setup!$C$13+Setup!$G$21),Setup!$C$39:$C$50))&lt;=Setup!$C$16),OR(MONTH(WORKDAY(C246,-(Setup!$C$13+Setup!$G$21),Setup!$C$39:$C$50))&gt;=Setup!$C$15,MONTH(WORKDAY(C246,-(Setup!$C$13+Setup!$G$21),Setup!$C$39:$C$50))&lt;=Setup!$C$16))),WORKDAY(C246,-(Setup!$C$13+Setup!$G$21+Setup!$C$14),Setup!$C$39:$C$50),WORKDAY(C246,-(Setup!$C$13+Setup!$G$21),Setup!$C$39:$C$50))+(241*100+2)/10000000)))</f>
        <v/>
      </c>
      <c r="T246" t="str">
        <f>IF(D246="","",IF(D246&lt;Setup!$C$5-Setup!$C$6,"",IF(IF(ISNUMBER(Roster!$D246),Setup!$C$22&lt;=Roster!$D246,FALSE),"",IF(OR(IF(Setup!$C$15&lt;=Setup!$C$16,AND(MONTH(D246)&gt;=Setup!$C$15,MONTH(D246)&lt;=Setup!$C$16),OR(MONTH(D246)&gt;=Setup!$C$15,MONTH(D246)&lt;=Setup!$C$16)),IF(Setup!$C$15&lt;=Setup!$C$16,AND(MONTH(WORKDAY(D246,-(Setup!$C$13+Setup!$G$22),Setup!$C$39:$C$50))&gt;=Setup!$C$15,MONTH(WORKDAY(D246,-(Setup!$C$13+Setup!$G$22),Setup!$C$39:$C$50))&lt;=Setup!$C$16),OR(MONTH(WORKDAY(D246,-(Setup!$C$13+Setup!$G$22),Setup!$C$39:$C$50))&gt;=Setup!$C$15,MONTH(WORKDAY(D246,-(Setup!$C$13+Setup!$G$22),Setup!$C$39:$C$50))&lt;=Setup!$C$16))),WORKDAY(D246,-(Setup!$C$13+Setup!$G$22+Setup!$C$14),Setup!$C$39:$C$50),WORKDAY(D246,-(Setup!$C$13+Setup!$G$22),Setup!$C$39:$C$50))+(241*100+3)/10000000)))</f>
        <v/>
      </c>
      <c r="U246" t="str">
        <f>IF(E246="","",IF(E246&lt;Setup!$C$5-Setup!$C$6,"",IF(IF(ISNUMBER(Roster!$D246),Setup!$C$23&lt;=Roster!$D246,FALSE),"",IF(OR(IF(Setup!$C$15&lt;=Setup!$C$16,AND(MONTH(E246)&gt;=Setup!$C$15,MONTH(E246)&lt;=Setup!$C$16),OR(MONTH(E246)&gt;=Setup!$C$15,MONTH(E246)&lt;=Setup!$C$16)),IF(Setup!$C$15&lt;=Setup!$C$16,AND(MONTH(WORKDAY(E246,-(Setup!$C$13+Setup!$G$23),Setup!$C$39:$C$50))&gt;=Setup!$C$15,MONTH(WORKDAY(E246,-(Setup!$C$13+Setup!$G$23),Setup!$C$39:$C$50))&lt;=Setup!$C$16),OR(MONTH(WORKDAY(E246,-(Setup!$C$13+Setup!$G$23),Setup!$C$39:$C$50))&gt;=Setup!$C$15,MONTH(WORKDAY(E246,-(Setup!$C$13+Setup!$G$23),Setup!$C$39:$C$50))&lt;=Setup!$C$16))),WORKDAY(E246,-(Setup!$C$13+Setup!$G$23+Setup!$C$14),Setup!$C$39:$C$50),WORKDAY(E246,-(Setup!$C$13+Setup!$G$23),Setup!$C$39:$C$50))+(241*100+4)/10000000)))</f>
        <v/>
      </c>
      <c r="V246" t="str">
        <f>IF(F246="","",IF(F246&lt;Setup!$C$5-Setup!$C$6,"",IF(IF(ISNUMBER(Roster!$D246),Setup!$C$24&lt;=Roster!$D246,FALSE),"",IF(OR(IF(Setup!$C$15&lt;=Setup!$C$16,AND(MONTH(F246)&gt;=Setup!$C$15,MONTH(F246)&lt;=Setup!$C$16),OR(MONTH(F246)&gt;=Setup!$C$15,MONTH(F246)&lt;=Setup!$C$16)),IF(Setup!$C$15&lt;=Setup!$C$16,AND(MONTH(WORKDAY(F246,-(Setup!$C$13+Setup!$G$24),Setup!$C$39:$C$50))&gt;=Setup!$C$15,MONTH(WORKDAY(F246,-(Setup!$C$13+Setup!$G$24),Setup!$C$39:$C$50))&lt;=Setup!$C$16),OR(MONTH(WORKDAY(F246,-(Setup!$C$13+Setup!$G$24),Setup!$C$39:$C$50))&gt;=Setup!$C$15,MONTH(WORKDAY(F246,-(Setup!$C$13+Setup!$G$24),Setup!$C$39:$C$50))&lt;=Setup!$C$16))),WORKDAY(F246,-(Setup!$C$13+Setup!$G$24+Setup!$C$14),Setup!$C$39:$C$50),WORKDAY(F246,-(Setup!$C$13+Setup!$G$24),Setup!$C$39:$C$50))+(241*100+5)/10000000)))</f>
        <v/>
      </c>
      <c r="W246" t="str">
        <f>IF(G246="","",IF(G246&lt;Setup!$C$5-Setup!$C$6,"",IF(IF(ISNUMBER(Roster!$D246),Setup!$C$25&lt;=Roster!$D246,FALSE),"",IF(OR(IF(Setup!$C$15&lt;=Setup!$C$16,AND(MONTH(G246)&gt;=Setup!$C$15,MONTH(G246)&lt;=Setup!$C$16),OR(MONTH(G246)&gt;=Setup!$C$15,MONTH(G246)&lt;=Setup!$C$16)),IF(Setup!$C$15&lt;=Setup!$C$16,AND(MONTH(WORKDAY(G246,-(Setup!$C$13+Setup!$G$25),Setup!$C$39:$C$50))&gt;=Setup!$C$15,MONTH(WORKDAY(G246,-(Setup!$C$13+Setup!$G$25),Setup!$C$39:$C$50))&lt;=Setup!$C$16),OR(MONTH(WORKDAY(G246,-(Setup!$C$13+Setup!$G$25),Setup!$C$39:$C$50))&gt;=Setup!$C$15,MONTH(WORKDAY(G246,-(Setup!$C$13+Setup!$G$25),Setup!$C$39:$C$50))&lt;=Setup!$C$16))),WORKDAY(G246,-(Setup!$C$13+Setup!$G$25+Setup!$C$14),Setup!$C$39:$C$50),WORKDAY(G246,-(Setup!$C$13+Setup!$G$25),Setup!$C$39:$C$50))+(241*100+6)/10000000)))</f>
        <v/>
      </c>
      <c r="X246" t="str">
        <f>IF(H246="","",IF(H246&lt;Setup!$C$5-Setup!$C$6,"",IF(IF(ISNUMBER(Roster!$D246),Setup!$C$26&lt;=Roster!$D246,FALSE),"",IF(OR(IF(Setup!$C$15&lt;=Setup!$C$16,AND(MONTH(H246)&gt;=Setup!$C$15,MONTH(H246)&lt;=Setup!$C$16),OR(MONTH(H246)&gt;=Setup!$C$15,MONTH(H246)&lt;=Setup!$C$16)),IF(Setup!$C$15&lt;=Setup!$C$16,AND(MONTH(WORKDAY(H246,-(Setup!$C$13+Setup!$G$26),Setup!$C$39:$C$50))&gt;=Setup!$C$15,MONTH(WORKDAY(H246,-(Setup!$C$13+Setup!$G$26),Setup!$C$39:$C$50))&lt;=Setup!$C$16),OR(MONTH(WORKDAY(H246,-(Setup!$C$13+Setup!$G$26),Setup!$C$39:$C$50))&gt;=Setup!$C$15,MONTH(WORKDAY(H246,-(Setup!$C$13+Setup!$G$26),Setup!$C$39:$C$50))&lt;=Setup!$C$16))),WORKDAY(H246,-(Setup!$C$13+Setup!$G$26+Setup!$C$14),Setup!$C$39:$C$50),WORKDAY(H246,-(Setup!$C$13+Setup!$G$26),Setup!$C$39:$C$50))+(241*100+7)/10000000)))</f>
        <v/>
      </c>
      <c r="Y246" t="str">
        <f>IF(I246="","",IF(I246&lt;Setup!$C$5-Setup!$C$6,"",IF(IF(ISNUMBER(Roster!$D246),Setup!$C$27&lt;=Roster!$D246,FALSE),"",IF(OR(IF(Setup!$C$15&lt;=Setup!$C$16,AND(MONTH(I246)&gt;=Setup!$C$15,MONTH(I246)&lt;=Setup!$C$16),OR(MONTH(I246)&gt;=Setup!$C$15,MONTH(I246)&lt;=Setup!$C$16)),IF(Setup!$C$15&lt;=Setup!$C$16,AND(MONTH(WORKDAY(I246,-(Setup!$C$13+Setup!$G$27),Setup!$C$39:$C$50))&gt;=Setup!$C$15,MONTH(WORKDAY(I246,-(Setup!$C$13+Setup!$G$27),Setup!$C$39:$C$50))&lt;=Setup!$C$16),OR(MONTH(WORKDAY(I246,-(Setup!$C$13+Setup!$G$27),Setup!$C$39:$C$50))&gt;=Setup!$C$15,MONTH(WORKDAY(I246,-(Setup!$C$13+Setup!$G$27),Setup!$C$39:$C$50))&lt;=Setup!$C$16))),WORKDAY(I246,-(Setup!$C$13+Setup!$G$27+Setup!$C$14),Setup!$C$39:$C$50),WORKDAY(I246,-(Setup!$C$13+Setup!$G$27),Setup!$C$39:$C$50))+(241*100+8)/10000000)))</f>
        <v/>
      </c>
      <c r="Z246" t="str">
        <f>IF(J246="","",IF(J246&lt;Setup!$C$5-Setup!$C$6,"",IF(IF(ISNUMBER(Roster!$D246),Setup!$C$28&lt;=Roster!$D246,FALSE),"",IF(OR(IF(Setup!$C$15&lt;=Setup!$C$16,AND(MONTH(J246)&gt;=Setup!$C$15,MONTH(J246)&lt;=Setup!$C$16),OR(MONTH(J246)&gt;=Setup!$C$15,MONTH(J246)&lt;=Setup!$C$16)),IF(Setup!$C$15&lt;=Setup!$C$16,AND(MONTH(WORKDAY(J246,-(Setup!$C$13+Setup!$G$28),Setup!$C$39:$C$50))&gt;=Setup!$C$15,MONTH(WORKDAY(J246,-(Setup!$C$13+Setup!$G$28),Setup!$C$39:$C$50))&lt;=Setup!$C$16),OR(MONTH(WORKDAY(J246,-(Setup!$C$13+Setup!$G$28),Setup!$C$39:$C$50))&gt;=Setup!$C$15,MONTH(WORKDAY(J246,-(Setup!$C$13+Setup!$G$28),Setup!$C$39:$C$50))&lt;=Setup!$C$16))),WORKDAY(J246,-(Setup!$C$13+Setup!$G$28+Setup!$C$14),Setup!$C$39:$C$50),WORKDAY(J246,-(Setup!$C$13+Setup!$G$28),Setup!$C$39:$C$50))+(241*100+9)/10000000)))</f>
        <v/>
      </c>
      <c r="AA246" t="str">
        <f>IF(K246="","",IF(K246&lt;Setup!$C$5-Setup!$C$6,"",IF(IF(ISNUMBER(Roster!$D246),Setup!$C$29&lt;=Roster!$D246,FALSE),"",IF(OR(IF(Setup!$C$15&lt;=Setup!$C$16,AND(MONTH(K246)&gt;=Setup!$C$15,MONTH(K246)&lt;=Setup!$C$16),OR(MONTH(K246)&gt;=Setup!$C$15,MONTH(K246)&lt;=Setup!$C$16)),IF(Setup!$C$15&lt;=Setup!$C$16,AND(MONTH(WORKDAY(K246,-(Setup!$C$13+Setup!$G$29),Setup!$C$39:$C$50))&gt;=Setup!$C$15,MONTH(WORKDAY(K246,-(Setup!$C$13+Setup!$G$29),Setup!$C$39:$C$50))&lt;=Setup!$C$16),OR(MONTH(WORKDAY(K246,-(Setup!$C$13+Setup!$G$29),Setup!$C$39:$C$50))&gt;=Setup!$C$15,MONTH(WORKDAY(K246,-(Setup!$C$13+Setup!$G$29),Setup!$C$39:$C$50))&lt;=Setup!$C$16))),WORKDAY(K246,-(Setup!$C$13+Setup!$G$29+Setup!$C$14),Setup!$C$39:$C$50),WORKDAY(K246,-(Setup!$C$13+Setup!$G$29),Setup!$C$39:$C$50))+(241*100+10)/10000000)))</f>
        <v/>
      </c>
      <c r="AB246" t="str">
        <f>IF(L246="","",IF(L246&lt;Setup!$C$5-Setup!$C$6,"",IF(IF(ISNUMBER(Roster!$D246),Setup!$C$30&lt;=Roster!$D246,FALSE),"",IF(OR(IF(Setup!$C$15&lt;=Setup!$C$16,AND(MONTH(L246)&gt;=Setup!$C$15,MONTH(L246)&lt;=Setup!$C$16),OR(MONTH(L246)&gt;=Setup!$C$15,MONTH(L246)&lt;=Setup!$C$16)),IF(Setup!$C$15&lt;=Setup!$C$16,AND(MONTH(WORKDAY(L246,-(Setup!$C$13+Setup!$G$30),Setup!$C$39:$C$50))&gt;=Setup!$C$15,MONTH(WORKDAY(L246,-(Setup!$C$13+Setup!$G$30),Setup!$C$39:$C$50))&lt;=Setup!$C$16),OR(MONTH(WORKDAY(L246,-(Setup!$C$13+Setup!$G$30),Setup!$C$39:$C$50))&gt;=Setup!$C$15,MONTH(WORKDAY(L246,-(Setup!$C$13+Setup!$G$30),Setup!$C$39:$C$50))&lt;=Setup!$C$16))),WORKDAY(L246,-(Setup!$C$13+Setup!$G$30+Setup!$C$14),Setup!$C$39:$C$50),WORKDAY(L246,-(Setup!$C$13+Setup!$G$30),Setup!$C$39:$C$50))+(241*100+11)/10000000)))</f>
        <v/>
      </c>
      <c r="AC246" t="str">
        <f>IF(M246="","",IF(M246&lt;Setup!$C$5-Setup!$C$6,"",IF(IF(ISNUMBER(Roster!$D246),Setup!$C$31&lt;=Roster!$D246,FALSE),"",IF(OR(IF(Setup!$C$15&lt;=Setup!$C$16,AND(MONTH(M246)&gt;=Setup!$C$15,MONTH(M246)&lt;=Setup!$C$16),OR(MONTH(M246)&gt;=Setup!$C$15,MONTH(M246)&lt;=Setup!$C$16)),IF(Setup!$C$15&lt;=Setup!$C$16,AND(MONTH(WORKDAY(M246,-(Setup!$C$13+Setup!$G$31),Setup!$C$39:$C$50))&gt;=Setup!$C$15,MONTH(WORKDAY(M246,-(Setup!$C$13+Setup!$G$31),Setup!$C$39:$C$50))&lt;=Setup!$C$16),OR(MONTH(WORKDAY(M246,-(Setup!$C$13+Setup!$G$31),Setup!$C$39:$C$50))&gt;=Setup!$C$15,MONTH(WORKDAY(M246,-(Setup!$C$13+Setup!$G$31),Setup!$C$39:$C$50))&lt;=Setup!$C$16))),WORKDAY(M246,-(Setup!$C$13+Setup!$G$31+Setup!$C$14),Setup!$C$39:$C$50),WORKDAY(M246,-(Setup!$C$13+Setup!$G$31),Setup!$C$39:$C$50))+(241*100+12)/10000000)))</f>
        <v/>
      </c>
      <c r="AD246" t="str">
        <f>IF(N246="","",IF(N246&lt;Setup!$C$5-Setup!$C$6,"",IF(IF(ISNUMBER(Roster!$D246),Setup!$C$32&lt;=Roster!$D246,FALSE),"",IF(OR(IF(Setup!$C$15&lt;=Setup!$C$16,AND(MONTH(N246)&gt;=Setup!$C$15,MONTH(N246)&lt;=Setup!$C$16),OR(MONTH(N246)&gt;=Setup!$C$15,MONTH(N246)&lt;=Setup!$C$16)),IF(Setup!$C$15&lt;=Setup!$C$16,AND(MONTH(WORKDAY(N246,-(Setup!$C$13+Setup!$G$32),Setup!$C$39:$C$50))&gt;=Setup!$C$15,MONTH(WORKDAY(N246,-(Setup!$C$13+Setup!$G$32),Setup!$C$39:$C$50))&lt;=Setup!$C$16),OR(MONTH(WORKDAY(N246,-(Setup!$C$13+Setup!$G$32),Setup!$C$39:$C$50))&gt;=Setup!$C$15,MONTH(WORKDAY(N246,-(Setup!$C$13+Setup!$G$32),Setup!$C$39:$C$50))&lt;=Setup!$C$16))),WORKDAY(N246,-(Setup!$C$13+Setup!$G$32+Setup!$C$14),Setup!$C$39:$C$50),WORKDAY(N246,-(Setup!$C$13+Setup!$G$32),Setup!$C$39:$C$50))+(241*100+13)/10000000)))</f>
        <v/>
      </c>
      <c r="AE246" t="str">
        <f>IF(O246="","",IF(O246&lt;Setup!$C$5-Setup!$C$6,"",IF(IF(ISNUMBER(Roster!$D246),Setup!$C$33&lt;=Roster!$D246,FALSE),"",IF(OR(IF(Setup!$C$15&lt;=Setup!$C$16,AND(MONTH(O246)&gt;=Setup!$C$15,MONTH(O246)&lt;=Setup!$C$16),OR(MONTH(O246)&gt;=Setup!$C$15,MONTH(O246)&lt;=Setup!$C$16)),IF(Setup!$C$15&lt;=Setup!$C$16,AND(MONTH(WORKDAY(O246,-(Setup!$C$13+Setup!$G$33),Setup!$C$39:$C$50))&gt;=Setup!$C$15,MONTH(WORKDAY(O246,-(Setup!$C$13+Setup!$G$33),Setup!$C$39:$C$50))&lt;=Setup!$C$16),OR(MONTH(WORKDAY(O246,-(Setup!$C$13+Setup!$G$33),Setup!$C$39:$C$50))&gt;=Setup!$C$15,MONTH(WORKDAY(O246,-(Setup!$C$13+Setup!$G$33),Setup!$C$39:$C$50))&lt;=Setup!$C$16))),WORKDAY(O246,-(Setup!$C$13+Setup!$G$33+Setup!$C$14),Setup!$C$39:$C$50),WORKDAY(O246,-(Setup!$C$13+Setup!$G$33),Setup!$C$39:$C$50))+(241*100+14)/10000000)))</f>
        <v/>
      </c>
      <c r="AF246" t="str">
        <f>IF(P246="","",IF(P246&lt;Setup!$C$5-Setup!$C$6,"",IF(IF(ISNUMBER(Roster!$D246),Setup!$C$34&lt;=Roster!$D246,FALSE),"",IF(OR(IF(Setup!$C$15&lt;=Setup!$C$16,AND(MONTH(P246)&gt;=Setup!$C$15,MONTH(P246)&lt;=Setup!$C$16),OR(MONTH(P246)&gt;=Setup!$C$15,MONTH(P246)&lt;=Setup!$C$16)),IF(Setup!$C$15&lt;=Setup!$C$16,AND(MONTH(WORKDAY(P246,-(Setup!$C$13+Setup!$G$34),Setup!$C$39:$C$50))&gt;=Setup!$C$15,MONTH(WORKDAY(P246,-(Setup!$C$13+Setup!$G$34),Setup!$C$39:$C$50))&lt;=Setup!$C$16),OR(MONTH(WORKDAY(P246,-(Setup!$C$13+Setup!$G$34),Setup!$C$39:$C$50))&gt;=Setup!$C$15,MONTH(WORKDAY(P246,-(Setup!$C$13+Setup!$G$34),Setup!$C$39:$C$50))&lt;=Setup!$C$16))),WORKDAY(P246,-(Setup!$C$13+Setup!$G$34+Setup!$C$14),Setup!$C$39:$C$50),WORKDAY(P246,-(Setup!$C$13+Setup!$G$34),Setup!$C$39:$C$50))+(241*100+15)/10000000)))</f>
        <v/>
      </c>
      <c r="AH246" t="str">
        <f t="shared" si="25"/>
        <v/>
      </c>
      <c r="AI246" t="str">
        <f t="shared" si="26"/>
        <v/>
      </c>
      <c r="AK246" t="str">
        <f ca="1">IF(241&gt;$AK$2,"",SMALL($R$6:$AF$505,241))</f>
        <v/>
      </c>
      <c r="AL246" t="str">
        <f t="shared" ca="1" si="27"/>
        <v/>
      </c>
      <c r="AM246" t="str">
        <f t="shared" ca="1" si="28"/>
        <v/>
      </c>
      <c r="AN246" t="str">
        <f t="shared" ca="1" si="29"/>
        <v/>
      </c>
      <c r="AP246" t="str">
        <f>IF(ISNUMBER(Roster!$B246),MAX(1,YEAR(Setup!$C$5)-YEAR(Roster!$B246)+IF(EDATE(Roster!$B246,12*(YEAR(Setup!$C$5)-YEAR(Roster!$B246)))&lt;Setup!$C$5,1,0)),"")</f>
        <v/>
      </c>
      <c r="AQ246" s="32" t="str">
        <f>IF(AP246="","",EDATE(Roster!$B246,12*AP246))</f>
        <v/>
      </c>
      <c r="AR246" t="str">
        <f>IF(AQ246="","",IF(AQ246&lt;DATE(YEAR(Setup!$C$5)+1,MONTH(Setup!$C$5),DAY(Setup!$C$5)),AQ246+241/1000,""))</f>
        <v/>
      </c>
      <c r="AS246" t="str">
        <f t="shared" si="30"/>
        <v/>
      </c>
      <c r="AT246" t="str">
        <f>IF(AS246="","",IF(ISNUMBER(Roster!$D246),Roster!$D246&gt;=AP246,FALSE))</f>
        <v/>
      </c>
      <c r="AU246" t="str">
        <f t="shared" si="31"/>
        <v/>
      </c>
      <c r="AV246" t="str">
        <f ca="1">IF(241&gt;$AV$2,"",SMALL($AR$6:$AR$505,241))</f>
        <v/>
      </c>
      <c r="AW246" t="str">
        <f t="shared" ca="1" si="32"/>
        <v/>
      </c>
    </row>
    <row r="247" spans="2:49" x14ac:dyDescent="0.2">
      <c r="B247" s="32" t="str">
        <f>IF(AND(ISNUMBER(Roster!$B247),Setup!$B$20="Yes",ISNUMBER(Setup!$C$20)),EDATE(Roster!$B247,12*Setup!$C$20),"")</f>
        <v/>
      </c>
      <c r="C247" s="32" t="str">
        <f>IF(AND(ISNUMBER(Roster!$B247),Setup!$B$21="Yes",ISNUMBER(Setup!$C$21)),EDATE(Roster!$B247,12*Setup!$C$21),"")</f>
        <v/>
      </c>
      <c r="D247" s="32" t="str">
        <f>IF(AND(ISNUMBER(Roster!$B247),Setup!$B$22="Yes",ISNUMBER(Setup!$C$22)),EDATE(Roster!$B247,12*Setup!$C$22),"")</f>
        <v/>
      </c>
      <c r="E247" s="32" t="str">
        <f>IF(AND(ISNUMBER(Roster!$B247),Setup!$B$23="Yes",ISNUMBER(Setup!$C$23)),EDATE(Roster!$B247,12*Setup!$C$23),"")</f>
        <v/>
      </c>
      <c r="F247" s="32" t="str">
        <f>IF(AND(ISNUMBER(Roster!$B247),Setup!$B$24="Yes",ISNUMBER(Setup!$C$24)),EDATE(Roster!$B247,12*Setup!$C$24),"")</f>
        <v/>
      </c>
      <c r="G247" s="32" t="str">
        <f>IF(AND(ISNUMBER(Roster!$B247),Setup!$B$25="Yes",ISNUMBER(Setup!$C$25)),EDATE(Roster!$B247,12*Setup!$C$25),"")</f>
        <v/>
      </c>
      <c r="H247" s="32" t="str">
        <f>IF(AND(ISNUMBER(Roster!$B247),Setup!$B$26="Yes",ISNUMBER(Setup!$C$26)),EDATE(Roster!$B247,12*Setup!$C$26),"")</f>
        <v/>
      </c>
      <c r="I247" s="32" t="str">
        <f>IF(AND(ISNUMBER(Roster!$B247),Setup!$B$27="Yes",ISNUMBER(Setup!$C$27)),EDATE(Roster!$B247,12*Setup!$C$27),"")</f>
        <v/>
      </c>
      <c r="J247" s="32" t="str">
        <f>IF(AND(ISNUMBER(Roster!$B247),Setup!$B$28="Yes",ISNUMBER(Setup!$C$28)),EDATE(Roster!$B247,12*Setup!$C$28),"")</f>
        <v/>
      </c>
      <c r="K247" s="32" t="str">
        <f>IF(AND(ISNUMBER(Roster!$B247),Setup!$B$29="Yes",ISNUMBER(Setup!$C$29)),EDATE(Roster!$B247,12*Setup!$C$29),"")</f>
        <v/>
      </c>
      <c r="L247" s="32" t="str">
        <f>IF(AND(ISNUMBER(Roster!$B247),Setup!$B$30="Yes",ISNUMBER(Setup!$C$30)),EDATE(Roster!$B247,12*Setup!$C$30),"")</f>
        <v/>
      </c>
      <c r="M247" s="32" t="str">
        <f>IF(AND(ISNUMBER(Roster!$B247),Setup!$B$31="Yes",ISNUMBER(Setup!$C$31)),EDATE(Roster!$B247,12*Setup!$C$31),"")</f>
        <v/>
      </c>
      <c r="N247" s="32" t="str">
        <f>IF(AND(ISNUMBER(Roster!$B247),Setup!$B$32="Yes",ISNUMBER(Setup!$C$32)),EDATE(Roster!$B247,12*Setup!$C$32),"")</f>
        <v/>
      </c>
      <c r="O247" s="32" t="str">
        <f>IF(AND(ISNUMBER(Roster!$B247),Setup!$B$33="Yes",ISNUMBER(Setup!$C$33)),EDATE(Roster!$B247,12*Setup!$C$33),"")</f>
        <v/>
      </c>
      <c r="P247" s="32" t="str">
        <f>IF(AND(ISNUMBER(Roster!$B247),Setup!$B$34="Yes",ISNUMBER(Setup!$C$34)),EDATE(Roster!$B247,12*Setup!$C$34),"")</f>
        <v/>
      </c>
      <c r="R247" t="str">
        <f>IF(B247="","",IF(B247&lt;Setup!$C$5-Setup!$C$6,"",IF(IF(ISNUMBER(Roster!$D247),Setup!$C$20&lt;=Roster!$D247,FALSE),"",IF(OR(IF(Setup!$C$15&lt;=Setup!$C$16,AND(MONTH(B247)&gt;=Setup!$C$15,MONTH(B247)&lt;=Setup!$C$16),OR(MONTH(B247)&gt;=Setup!$C$15,MONTH(B247)&lt;=Setup!$C$16)),IF(Setup!$C$15&lt;=Setup!$C$16,AND(MONTH(WORKDAY(B247,-(Setup!$C$13+Setup!$G$20),Setup!$C$39:$C$50))&gt;=Setup!$C$15,MONTH(WORKDAY(B247,-(Setup!$C$13+Setup!$G$20),Setup!$C$39:$C$50))&lt;=Setup!$C$16),OR(MONTH(WORKDAY(B247,-(Setup!$C$13+Setup!$G$20),Setup!$C$39:$C$50))&gt;=Setup!$C$15,MONTH(WORKDAY(B247,-(Setup!$C$13+Setup!$G$20),Setup!$C$39:$C$50))&lt;=Setup!$C$16))),WORKDAY(B247,-(Setup!$C$13+Setup!$G$20+Setup!$C$14),Setup!$C$39:$C$50),WORKDAY(B247,-(Setup!$C$13+Setup!$G$20),Setup!$C$39:$C$50))+(242*100+1)/10000000)))</f>
        <v/>
      </c>
      <c r="S247" t="str">
        <f>IF(C247="","",IF(C247&lt;Setup!$C$5-Setup!$C$6,"",IF(IF(ISNUMBER(Roster!$D247),Setup!$C$21&lt;=Roster!$D247,FALSE),"",IF(OR(IF(Setup!$C$15&lt;=Setup!$C$16,AND(MONTH(C247)&gt;=Setup!$C$15,MONTH(C247)&lt;=Setup!$C$16),OR(MONTH(C247)&gt;=Setup!$C$15,MONTH(C247)&lt;=Setup!$C$16)),IF(Setup!$C$15&lt;=Setup!$C$16,AND(MONTH(WORKDAY(C247,-(Setup!$C$13+Setup!$G$21),Setup!$C$39:$C$50))&gt;=Setup!$C$15,MONTH(WORKDAY(C247,-(Setup!$C$13+Setup!$G$21),Setup!$C$39:$C$50))&lt;=Setup!$C$16),OR(MONTH(WORKDAY(C247,-(Setup!$C$13+Setup!$G$21),Setup!$C$39:$C$50))&gt;=Setup!$C$15,MONTH(WORKDAY(C247,-(Setup!$C$13+Setup!$G$21),Setup!$C$39:$C$50))&lt;=Setup!$C$16))),WORKDAY(C247,-(Setup!$C$13+Setup!$G$21+Setup!$C$14),Setup!$C$39:$C$50),WORKDAY(C247,-(Setup!$C$13+Setup!$G$21),Setup!$C$39:$C$50))+(242*100+2)/10000000)))</f>
        <v/>
      </c>
      <c r="T247" t="str">
        <f>IF(D247="","",IF(D247&lt;Setup!$C$5-Setup!$C$6,"",IF(IF(ISNUMBER(Roster!$D247),Setup!$C$22&lt;=Roster!$D247,FALSE),"",IF(OR(IF(Setup!$C$15&lt;=Setup!$C$16,AND(MONTH(D247)&gt;=Setup!$C$15,MONTH(D247)&lt;=Setup!$C$16),OR(MONTH(D247)&gt;=Setup!$C$15,MONTH(D247)&lt;=Setup!$C$16)),IF(Setup!$C$15&lt;=Setup!$C$16,AND(MONTH(WORKDAY(D247,-(Setup!$C$13+Setup!$G$22),Setup!$C$39:$C$50))&gt;=Setup!$C$15,MONTH(WORKDAY(D247,-(Setup!$C$13+Setup!$G$22),Setup!$C$39:$C$50))&lt;=Setup!$C$16),OR(MONTH(WORKDAY(D247,-(Setup!$C$13+Setup!$G$22),Setup!$C$39:$C$50))&gt;=Setup!$C$15,MONTH(WORKDAY(D247,-(Setup!$C$13+Setup!$G$22),Setup!$C$39:$C$50))&lt;=Setup!$C$16))),WORKDAY(D247,-(Setup!$C$13+Setup!$G$22+Setup!$C$14),Setup!$C$39:$C$50),WORKDAY(D247,-(Setup!$C$13+Setup!$G$22),Setup!$C$39:$C$50))+(242*100+3)/10000000)))</f>
        <v/>
      </c>
      <c r="U247" t="str">
        <f>IF(E247="","",IF(E247&lt;Setup!$C$5-Setup!$C$6,"",IF(IF(ISNUMBER(Roster!$D247),Setup!$C$23&lt;=Roster!$D247,FALSE),"",IF(OR(IF(Setup!$C$15&lt;=Setup!$C$16,AND(MONTH(E247)&gt;=Setup!$C$15,MONTH(E247)&lt;=Setup!$C$16),OR(MONTH(E247)&gt;=Setup!$C$15,MONTH(E247)&lt;=Setup!$C$16)),IF(Setup!$C$15&lt;=Setup!$C$16,AND(MONTH(WORKDAY(E247,-(Setup!$C$13+Setup!$G$23),Setup!$C$39:$C$50))&gt;=Setup!$C$15,MONTH(WORKDAY(E247,-(Setup!$C$13+Setup!$G$23),Setup!$C$39:$C$50))&lt;=Setup!$C$16),OR(MONTH(WORKDAY(E247,-(Setup!$C$13+Setup!$G$23),Setup!$C$39:$C$50))&gt;=Setup!$C$15,MONTH(WORKDAY(E247,-(Setup!$C$13+Setup!$G$23),Setup!$C$39:$C$50))&lt;=Setup!$C$16))),WORKDAY(E247,-(Setup!$C$13+Setup!$G$23+Setup!$C$14),Setup!$C$39:$C$50),WORKDAY(E247,-(Setup!$C$13+Setup!$G$23),Setup!$C$39:$C$50))+(242*100+4)/10000000)))</f>
        <v/>
      </c>
      <c r="V247" t="str">
        <f>IF(F247="","",IF(F247&lt;Setup!$C$5-Setup!$C$6,"",IF(IF(ISNUMBER(Roster!$D247),Setup!$C$24&lt;=Roster!$D247,FALSE),"",IF(OR(IF(Setup!$C$15&lt;=Setup!$C$16,AND(MONTH(F247)&gt;=Setup!$C$15,MONTH(F247)&lt;=Setup!$C$16),OR(MONTH(F247)&gt;=Setup!$C$15,MONTH(F247)&lt;=Setup!$C$16)),IF(Setup!$C$15&lt;=Setup!$C$16,AND(MONTH(WORKDAY(F247,-(Setup!$C$13+Setup!$G$24),Setup!$C$39:$C$50))&gt;=Setup!$C$15,MONTH(WORKDAY(F247,-(Setup!$C$13+Setup!$G$24),Setup!$C$39:$C$50))&lt;=Setup!$C$16),OR(MONTH(WORKDAY(F247,-(Setup!$C$13+Setup!$G$24),Setup!$C$39:$C$50))&gt;=Setup!$C$15,MONTH(WORKDAY(F247,-(Setup!$C$13+Setup!$G$24),Setup!$C$39:$C$50))&lt;=Setup!$C$16))),WORKDAY(F247,-(Setup!$C$13+Setup!$G$24+Setup!$C$14),Setup!$C$39:$C$50),WORKDAY(F247,-(Setup!$C$13+Setup!$G$24),Setup!$C$39:$C$50))+(242*100+5)/10000000)))</f>
        <v/>
      </c>
      <c r="W247" t="str">
        <f>IF(G247="","",IF(G247&lt;Setup!$C$5-Setup!$C$6,"",IF(IF(ISNUMBER(Roster!$D247),Setup!$C$25&lt;=Roster!$D247,FALSE),"",IF(OR(IF(Setup!$C$15&lt;=Setup!$C$16,AND(MONTH(G247)&gt;=Setup!$C$15,MONTH(G247)&lt;=Setup!$C$16),OR(MONTH(G247)&gt;=Setup!$C$15,MONTH(G247)&lt;=Setup!$C$16)),IF(Setup!$C$15&lt;=Setup!$C$16,AND(MONTH(WORKDAY(G247,-(Setup!$C$13+Setup!$G$25),Setup!$C$39:$C$50))&gt;=Setup!$C$15,MONTH(WORKDAY(G247,-(Setup!$C$13+Setup!$G$25),Setup!$C$39:$C$50))&lt;=Setup!$C$16),OR(MONTH(WORKDAY(G247,-(Setup!$C$13+Setup!$G$25),Setup!$C$39:$C$50))&gt;=Setup!$C$15,MONTH(WORKDAY(G247,-(Setup!$C$13+Setup!$G$25),Setup!$C$39:$C$50))&lt;=Setup!$C$16))),WORKDAY(G247,-(Setup!$C$13+Setup!$G$25+Setup!$C$14),Setup!$C$39:$C$50),WORKDAY(G247,-(Setup!$C$13+Setup!$G$25),Setup!$C$39:$C$50))+(242*100+6)/10000000)))</f>
        <v/>
      </c>
      <c r="X247" t="str">
        <f>IF(H247="","",IF(H247&lt;Setup!$C$5-Setup!$C$6,"",IF(IF(ISNUMBER(Roster!$D247),Setup!$C$26&lt;=Roster!$D247,FALSE),"",IF(OR(IF(Setup!$C$15&lt;=Setup!$C$16,AND(MONTH(H247)&gt;=Setup!$C$15,MONTH(H247)&lt;=Setup!$C$16),OR(MONTH(H247)&gt;=Setup!$C$15,MONTH(H247)&lt;=Setup!$C$16)),IF(Setup!$C$15&lt;=Setup!$C$16,AND(MONTH(WORKDAY(H247,-(Setup!$C$13+Setup!$G$26),Setup!$C$39:$C$50))&gt;=Setup!$C$15,MONTH(WORKDAY(H247,-(Setup!$C$13+Setup!$G$26),Setup!$C$39:$C$50))&lt;=Setup!$C$16),OR(MONTH(WORKDAY(H247,-(Setup!$C$13+Setup!$G$26),Setup!$C$39:$C$50))&gt;=Setup!$C$15,MONTH(WORKDAY(H247,-(Setup!$C$13+Setup!$G$26),Setup!$C$39:$C$50))&lt;=Setup!$C$16))),WORKDAY(H247,-(Setup!$C$13+Setup!$G$26+Setup!$C$14),Setup!$C$39:$C$50),WORKDAY(H247,-(Setup!$C$13+Setup!$G$26),Setup!$C$39:$C$50))+(242*100+7)/10000000)))</f>
        <v/>
      </c>
      <c r="Y247" t="str">
        <f>IF(I247="","",IF(I247&lt;Setup!$C$5-Setup!$C$6,"",IF(IF(ISNUMBER(Roster!$D247),Setup!$C$27&lt;=Roster!$D247,FALSE),"",IF(OR(IF(Setup!$C$15&lt;=Setup!$C$16,AND(MONTH(I247)&gt;=Setup!$C$15,MONTH(I247)&lt;=Setup!$C$16),OR(MONTH(I247)&gt;=Setup!$C$15,MONTH(I247)&lt;=Setup!$C$16)),IF(Setup!$C$15&lt;=Setup!$C$16,AND(MONTH(WORKDAY(I247,-(Setup!$C$13+Setup!$G$27),Setup!$C$39:$C$50))&gt;=Setup!$C$15,MONTH(WORKDAY(I247,-(Setup!$C$13+Setup!$G$27),Setup!$C$39:$C$50))&lt;=Setup!$C$16),OR(MONTH(WORKDAY(I247,-(Setup!$C$13+Setup!$G$27),Setup!$C$39:$C$50))&gt;=Setup!$C$15,MONTH(WORKDAY(I247,-(Setup!$C$13+Setup!$G$27),Setup!$C$39:$C$50))&lt;=Setup!$C$16))),WORKDAY(I247,-(Setup!$C$13+Setup!$G$27+Setup!$C$14),Setup!$C$39:$C$50),WORKDAY(I247,-(Setup!$C$13+Setup!$G$27),Setup!$C$39:$C$50))+(242*100+8)/10000000)))</f>
        <v/>
      </c>
      <c r="Z247" t="str">
        <f>IF(J247="","",IF(J247&lt;Setup!$C$5-Setup!$C$6,"",IF(IF(ISNUMBER(Roster!$D247),Setup!$C$28&lt;=Roster!$D247,FALSE),"",IF(OR(IF(Setup!$C$15&lt;=Setup!$C$16,AND(MONTH(J247)&gt;=Setup!$C$15,MONTH(J247)&lt;=Setup!$C$16),OR(MONTH(J247)&gt;=Setup!$C$15,MONTH(J247)&lt;=Setup!$C$16)),IF(Setup!$C$15&lt;=Setup!$C$16,AND(MONTH(WORKDAY(J247,-(Setup!$C$13+Setup!$G$28),Setup!$C$39:$C$50))&gt;=Setup!$C$15,MONTH(WORKDAY(J247,-(Setup!$C$13+Setup!$G$28),Setup!$C$39:$C$50))&lt;=Setup!$C$16),OR(MONTH(WORKDAY(J247,-(Setup!$C$13+Setup!$G$28),Setup!$C$39:$C$50))&gt;=Setup!$C$15,MONTH(WORKDAY(J247,-(Setup!$C$13+Setup!$G$28),Setup!$C$39:$C$50))&lt;=Setup!$C$16))),WORKDAY(J247,-(Setup!$C$13+Setup!$G$28+Setup!$C$14),Setup!$C$39:$C$50),WORKDAY(J247,-(Setup!$C$13+Setup!$G$28),Setup!$C$39:$C$50))+(242*100+9)/10000000)))</f>
        <v/>
      </c>
      <c r="AA247" t="str">
        <f>IF(K247="","",IF(K247&lt;Setup!$C$5-Setup!$C$6,"",IF(IF(ISNUMBER(Roster!$D247),Setup!$C$29&lt;=Roster!$D247,FALSE),"",IF(OR(IF(Setup!$C$15&lt;=Setup!$C$16,AND(MONTH(K247)&gt;=Setup!$C$15,MONTH(K247)&lt;=Setup!$C$16),OR(MONTH(K247)&gt;=Setup!$C$15,MONTH(K247)&lt;=Setup!$C$16)),IF(Setup!$C$15&lt;=Setup!$C$16,AND(MONTH(WORKDAY(K247,-(Setup!$C$13+Setup!$G$29),Setup!$C$39:$C$50))&gt;=Setup!$C$15,MONTH(WORKDAY(K247,-(Setup!$C$13+Setup!$G$29),Setup!$C$39:$C$50))&lt;=Setup!$C$16),OR(MONTH(WORKDAY(K247,-(Setup!$C$13+Setup!$G$29),Setup!$C$39:$C$50))&gt;=Setup!$C$15,MONTH(WORKDAY(K247,-(Setup!$C$13+Setup!$G$29),Setup!$C$39:$C$50))&lt;=Setup!$C$16))),WORKDAY(K247,-(Setup!$C$13+Setup!$G$29+Setup!$C$14),Setup!$C$39:$C$50),WORKDAY(K247,-(Setup!$C$13+Setup!$G$29),Setup!$C$39:$C$50))+(242*100+10)/10000000)))</f>
        <v/>
      </c>
      <c r="AB247" t="str">
        <f>IF(L247="","",IF(L247&lt;Setup!$C$5-Setup!$C$6,"",IF(IF(ISNUMBER(Roster!$D247),Setup!$C$30&lt;=Roster!$D247,FALSE),"",IF(OR(IF(Setup!$C$15&lt;=Setup!$C$16,AND(MONTH(L247)&gt;=Setup!$C$15,MONTH(L247)&lt;=Setup!$C$16),OR(MONTH(L247)&gt;=Setup!$C$15,MONTH(L247)&lt;=Setup!$C$16)),IF(Setup!$C$15&lt;=Setup!$C$16,AND(MONTH(WORKDAY(L247,-(Setup!$C$13+Setup!$G$30),Setup!$C$39:$C$50))&gt;=Setup!$C$15,MONTH(WORKDAY(L247,-(Setup!$C$13+Setup!$G$30),Setup!$C$39:$C$50))&lt;=Setup!$C$16),OR(MONTH(WORKDAY(L247,-(Setup!$C$13+Setup!$G$30),Setup!$C$39:$C$50))&gt;=Setup!$C$15,MONTH(WORKDAY(L247,-(Setup!$C$13+Setup!$G$30),Setup!$C$39:$C$50))&lt;=Setup!$C$16))),WORKDAY(L247,-(Setup!$C$13+Setup!$G$30+Setup!$C$14),Setup!$C$39:$C$50),WORKDAY(L247,-(Setup!$C$13+Setup!$G$30),Setup!$C$39:$C$50))+(242*100+11)/10000000)))</f>
        <v/>
      </c>
      <c r="AC247" t="str">
        <f>IF(M247="","",IF(M247&lt;Setup!$C$5-Setup!$C$6,"",IF(IF(ISNUMBER(Roster!$D247),Setup!$C$31&lt;=Roster!$D247,FALSE),"",IF(OR(IF(Setup!$C$15&lt;=Setup!$C$16,AND(MONTH(M247)&gt;=Setup!$C$15,MONTH(M247)&lt;=Setup!$C$16),OR(MONTH(M247)&gt;=Setup!$C$15,MONTH(M247)&lt;=Setup!$C$16)),IF(Setup!$C$15&lt;=Setup!$C$16,AND(MONTH(WORKDAY(M247,-(Setup!$C$13+Setup!$G$31),Setup!$C$39:$C$50))&gt;=Setup!$C$15,MONTH(WORKDAY(M247,-(Setup!$C$13+Setup!$G$31),Setup!$C$39:$C$50))&lt;=Setup!$C$16),OR(MONTH(WORKDAY(M247,-(Setup!$C$13+Setup!$G$31),Setup!$C$39:$C$50))&gt;=Setup!$C$15,MONTH(WORKDAY(M247,-(Setup!$C$13+Setup!$G$31),Setup!$C$39:$C$50))&lt;=Setup!$C$16))),WORKDAY(M247,-(Setup!$C$13+Setup!$G$31+Setup!$C$14),Setup!$C$39:$C$50),WORKDAY(M247,-(Setup!$C$13+Setup!$G$31),Setup!$C$39:$C$50))+(242*100+12)/10000000)))</f>
        <v/>
      </c>
      <c r="AD247" t="str">
        <f>IF(N247="","",IF(N247&lt;Setup!$C$5-Setup!$C$6,"",IF(IF(ISNUMBER(Roster!$D247),Setup!$C$32&lt;=Roster!$D247,FALSE),"",IF(OR(IF(Setup!$C$15&lt;=Setup!$C$16,AND(MONTH(N247)&gt;=Setup!$C$15,MONTH(N247)&lt;=Setup!$C$16),OR(MONTH(N247)&gt;=Setup!$C$15,MONTH(N247)&lt;=Setup!$C$16)),IF(Setup!$C$15&lt;=Setup!$C$16,AND(MONTH(WORKDAY(N247,-(Setup!$C$13+Setup!$G$32),Setup!$C$39:$C$50))&gt;=Setup!$C$15,MONTH(WORKDAY(N247,-(Setup!$C$13+Setup!$G$32),Setup!$C$39:$C$50))&lt;=Setup!$C$16),OR(MONTH(WORKDAY(N247,-(Setup!$C$13+Setup!$G$32),Setup!$C$39:$C$50))&gt;=Setup!$C$15,MONTH(WORKDAY(N247,-(Setup!$C$13+Setup!$G$32),Setup!$C$39:$C$50))&lt;=Setup!$C$16))),WORKDAY(N247,-(Setup!$C$13+Setup!$G$32+Setup!$C$14),Setup!$C$39:$C$50),WORKDAY(N247,-(Setup!$C$13+Setup!$G$32),Setup!$C$39:$C$50))+(242*100+13)/10000000)))</f>
        <v/>
      </c>
      <c r="AE247" t="str">
        <f>IF(O247="","",IF(O247&lt;Setup!$C$5-Setup!$C$6,"",IF(IF(ISNUMBER(Roster!$D247),Setup!$C$33&lt;=Roster!$D247,FALSE),"",IF(OR(IF(Setup!$C$15&lt;=Setup!$C$16,AND(MONTH(O247)&gt;=Setup!$C$15,MONTH(O247)&lt;=Setup!$C$16),OR(MONTH(O247)&gt;=Setup!$C$15,MONTH(O247)&lt;=Setup!$C$16)),IF(Setup!$C$15&lt;=Setup!$C$16,AND(MONTH(WORKDAY(O247,-(Setup!$C$13+Setup!$G$33),Setup!$C$39:$C$50))&gt;=Setup!$C$15,MONTH(WORKDAY(O247,-(Setup!$C$13+Setup!$G$33),Setup!$C$39:$C$50))&lt;=Setup!$C$16),OR(MONTH(WORKDAY(O247,-(Setup!$C$13+Setup!$G$33),Setup!$C$39:$C$50))&gt;=Setup!$C$15,MONTH(WORKDAY(O247,-(Setup!$C$13+Setup!$G$33),Setup!$C$39:$C$50))&lt;=Setup!$C$16))),WORKDAY(O247,-(Setup!$C$13+Setup!$G$33+Setup!$C$14),Setup!$C$39:$C$50),WORKDAY(O247,-(Setup!$C$13+Setup!$G$33),Setup!$C$39:$C$50))+(242*100+14)/10000000)))</f>
        <v/>
      </c>
      <c r="AF247" t="str">
        <f>IF(P247="","",IF(P247&lt;Setup!$C$5-Setup!$C$6,"",IF(IF(ISNUMBER(Roster!$D247),Setup!$C$34&lt;=Roster!$D247,FALSE),"",IF(OR(IF(Setup!$C$15&lt;=Setup!$C$16,AND(MONTH(P247)&gt;=Setup!$C$15,MONTH(P247)&lt;=Setup!$C$16),OR(MONTH(P247)&gt;=Setup!$C$15,MONTH(P247)&lt;=Setup!$C$16)),IF(Setup!$C$15&lt;=Setup!$C$16,AND(MONTH(WORKDAY(P247,-(Setup!$C$13+Setup!$G$34),Setup!$C$39:$C$50))&gt;=Setup!$C$15,MONTH(WORKDAY(P247,-(Setup!$C$13+Setup!$G$34),Setup!$C$39:$C$50))&lt;=Setup!$C$16),OR(MONTH(WORKDAY(P247,-(Setup!$C$13+Setup!$G$34),Setup!$C$39:$C$50))&gt;=Setup!$C$15,MONTH(WORKDAY(P247,-(Setup!$C$13+Setup!$G$34),Setup!$C$39:$C$50))&lt;=Setup!$C$16))),WORKDAY(P247,-(Setup!$C$13+Setup!$G$34+Setup!$C$14),Setup!$C$39:$C$50),WORKDAY(P247,-(Setup!$C$13+Setup!$G$34),Setup!$C$39:$C$50))+(242*100+15)/10000000)))</f>
        <v/>
      </c>
      <c r="AH247" t="str">
        <f t="shared" si="25"/>
        <v/>
      </c>
      <c r="AI247" t="str">
        <f t="shared" si="26"/>
        <v/>
      </c>
      <c r="AK247" t="str">
        <f ca="1">IF(242&gt;$AK$2,"",SMALL($R$6:$AF$505,242))</f>
        <v/>
      </c>
      <c r="AL247" t="str">
        <f t="shared" ca="1" si="27"/>
        <v/>
      </c>
      <c r="AM247" t="str">
        <f t="shared" ca="1" si="28"/>
        <v/>
      </c>
      <c r="AN247" t="str">
        <f t="shared" ca="1" si="29"/>
        <v/>
      </c>
      <c r="AP247" t="str">
        <f>IF(ISNUMBER(Roster!$B247),MAX(1,YEAR(Setup!$C$5)-YEAR(Roster!$B247)+IF(EDATE(Roster!$B247,12*(YEAR(Setup!$C$5)-YEAR(Roster!$B247)))&lt;Setup!$C$5,1,0)),"")</f>
        <v/>
      </c>
      <c r="AQ247" s="32" t="str">
        <f>IF(AP247="","",EDATE(Roster!$B247,12*AP247))</f>
        <v/>
      </c>
      <c r="AR247" t="str">
        <f>IF(AQ247="","",IF(AQ247&lt;DATE(YEAR(Setup!$C$5)+1,MONTH(Setup!$C$5),DAY(Setup!$C$5)),AQ247+242/1000,""))</f>
        <v/>
      </c>
      <c r="AS247" t="str">
        <f t="shared" si="30"/>
        <v/>
      </c>
      <c r="AT247" t="str">
        <f>IF(AS247="","",IF(ISNUMBER(Roster!$D247),Roster!$D247&gt;=AP247,FALSE))</f>
        <v/>
      </c>
      <c r="AU247" t="str">
        <f t="shared" si="31"/>
        <v/>
      </c>
      <c r="AV247" t="str">
        <f ca="1">IF(242&gt;$AV$2,"",SMALL($AR$6:$AR$505,242))</f>
        <v/>
      </c>
      <c r="AW247" t="str">
        <f t="shared" ca="1" si="32"/>
        <v/>
      </c>
    </row>
    <row r="248" spans="2:49" x14ac:dyDescent="0.2">
      <c r="B248" s="32" t="str">
        <f>IF(AND(ISNUMBER(Roster!$B248),Setup!$B$20="Yes",ISNUMBER(Setup!$C$20)),EDATE(Roster!$B248,12*Setup!$C$20),"")</f>
        <v/>
      </c>
      <c r="C248" s="32" t="str">
        <f>IF(AND(ISNUMBER(Roster!$B248),Setup!$B$21="Yes",ISNUMBER(Setup!$C$21)),EDATE(Roster!$B248,12*Setup!$C$21),"")</f>
        <v/>
      </c>
      <c r="D248" s="32" t="str">
        <f>IF(AND(ISNUMBER(Roster!$B248),Setup!$B$22="Yes",ISNUMBER(Setup!$C$22)),EDATE(Roster!$B248,12*Setup!$C$22),"")</f>
        <v/>
      </c>
      <c r="E248" s="32" t="str">
        <f>IF(AND(ISNUMBER(Roster!$B248),Setup!$B$23="Yes",ISNUMBER(Setup!$C$23)),EDATE(Roster!$B248,12*Setup!$C$23),"")</f>
        <v/>
      </c>
      <c r="F248" s="32" t="str">
        <f>IF(AND(ISNUMBER(Roster!$B248),Setup!$B$24="Yes",ISNUMBER(Setup!$C$24)),EDATE(Roster!$B248,12*Setup!$C$24),"")</f>
        <v/>
      </c>
      <c r="G248" s="32" t="str">
        <f>IF(AND(ISNUMBER(Roster!$B248),Setup!$B$25="Yes",ISNUMBER(Setup!$C$25)),EDATE(Roster!$B248,12*Setup!$C$25),"")</f>
        <v/>
      </c>
      <c r="H248" s="32" t="str">
        <f>IF(AND(ISNUMBER(Roster!$B248),Setup!$B$26="Yes",ISNUMBER(Setup!$C$26)),EDATE(Roster!$B248,12*Setup!$C$26),"")</f>
        <v/>
      </c>
      <c r="I248" s="32" t="str">
        <f>IF(AND(ISNUMBER(Roster!$B248),Setup!$B$27="Yes",ISNUMBER(Setup!$C$27)),EDATE(Roster!$B248,12*Setup!$C$27),"")</f>
        <v/>
      </c>
      <c r="J248" s="32" t="str">
        <f>IF(AND(ISNUMBER(Roster!$B248),Setup!$B$28="Yes",ISNUMBER(Setup!$C$28)),EDATE(Roster!$B248,12*Setup!$C$28),"")</f>
        <v/>
      </c>
      <c r="K248" s="32" t="str">
        <f>IF(AND(ISNUMBER(Roster!$B248),Setup!$B$29="Yes",ISNUMBER(Setup!$C$29)),EDATE(Roster!$B248,12*Setup!$C$29),"")</f>
        <v/>
      </c>
      <c r="L248" s="32" t="str">
        <f>IF(AND(ISNUMBER(Roster!$B248),Setup!$B$30="Yes",ISNUMBER(Setup!$C$30)),EDATE(Roster!$B248,12*Setup!$C$30),"")</f>
        <v/>
      </c>
      <c r="M248" s="32" t="str">
        <f>IF(AND(ISNUMBER(Roster!$B248),Setup!$B$31="Yes",ISNUMBER(Setup!$C$31)),EDATE(Roster!$B248,12*Setup!$C$31),"")</f>
        <v/>
      </c>
      <c r="N248" s="32" t="str">
        <f>IF(AND(ISNUMBER(Roster!$B248),Setup!$B$32="Yes",ISNUMBER(Setup!$C$32)),EDATE(Roster!$B248,12*Setup!$C$32),"")</f>
        <v/>
      </c>
      <c r="O248" s="32" t="str">
        <f>IF(AND(ISNUMBER(Roster!$B248),Setup!$B$33="Yes",ISNUMBER(Setup!$C$33)),EDATE(Roster!$B248,12*Setup!$C$33),"")</f>
        <v/>
      </c>
      <c r="P248" s="32" t="str">
        <f>IF(AND(ISNUMBER(Roster!$B248),Setup!$B$34="Yes",ISNUMBER(Setup!$C$34)),EDATE(Roster!$B248,12*Setup!$C$34),"")</f>
        <v/>
      </c>
      <c r="R248" t="str">
        <f>IF(B248="","",IF(B248&lt;Setup!$C$5-Setup!$C$6,"",IF(IF(ISNUMBER(Roster!$D248),Setup!$C$20&lt;=Roster!$D248,FALSE),"",IF(OR(IF(Setup!$C$15&lt;=Setup!$C$16,AND(MONTH(B248)&gt;=Setup!$C$15,MONTH(B248)&lt;=Setup!$C$16),OR(MONTH(B248)&gt;=Setup!$C$15,MONTH(B248)&lt;=Setup!$C$16)),IF(Setup!$C$15&lt;=Setup!$C$16,AND(MONTH(WORKDAY(B248,-(Setup!$C$13+Setup!$G$20),Setup!$C$39:$C$50))&gt;=Setup!$C$15,MONTH(WORKDAY(B248,-(Setup!$C$13+Setup!$G$20),Setup!$C$39:$C$50))&lt;=Setup!$C$16),OR(MONTH(WORKDAY(B248,-(Setup!$C$13+Setup!$G$20),Setup!$C$39:$C$50))&gt;=Setup!$C$15,MONTH(WORKDAY(B248,-(Setup!$C$13+Setup!$G$20),Setup!$C$39:$C$50))&lt;=Setup!$C$16))),WORKDAY(B248,-(Setup!$C$13+Setup!$G$20+Setup!$C$14),Setup!$C$39:$C$50),WORKDAY(B248,-(Setup!$C$13+Setup!$G$20),Setup!$C$39:$C$50))+(243*100+1)/10000000)))</f>
        <v/>
      </c>
      <c r="S248" t="str">
        <f>IF(C248="","",IF(C248&lt;Setup!$C$5-Setup!$C$6,"",IF(IF(ISNUMBER(Roster!$D248),Setup!$C$21&lt;=Roster!$D248,FALSE),"",IF(OR(IF(Setup!$C$15&lt;=Setup!$C$16,AND(MONTH(C248)&gt;=Setup!$C$15,MONTH(C248)&lt;=Setup!$C$16),OR(MONTH(C248)&gt;=Setup!$C$15,MONTH(C248)&lt;=Setup!$C$16)),IF(Setup!$C$15&lt;=Setup!$C$16,AND(MONTH(WORKDAY(C248,-(Setup!$C$13+Setup!$G$21),Setup!$C$39:$C$50))&gt;=Setup!$C$15,MONTH(WORKDAY(C248,-(Setup!$C$13+Setup!$G$21),Setup!$C$39:$C$50))&lt;=Setup!$C$16),OR(MONTH(WORKDAY(C248,-(Setup!$C$13+Setup!$G$21),Setup!$C$39:$C$50))&gt;=Setup!$C$15,MONTH(WORKDAY(C248,-(Setup!$C$13+Setup!$G$21),Setup!$C$39:$C$50))&lt;=Setup!$C$16))),WORKDAY(C248,-(Setup!$C$13+Setup!$G$21+Setup!$C$14),Setup!$C$39:$C$50),WORKDAY(C248,-(Setup!$C$13+Setup!$G$21),Setup!$C$39:$C$50))+(243*100+2)/10000000)))</f>
        <v/>
      </c>
      <c r="T248" t="str">
        <f>IF(D248="","",IF(D248&lt;Setup!$C$5-Setup!$C$6,"",IF(IF(ISNUMBER(Roster!$D248),Setup!$C$22&lt;=Roster!$D248,FALSE),"",IF(OR(IF(Setup!$C$15&lt;=Setup!$C$16,AND(MONTH(D248)&gt;=Setup!$C$15,MONTH(D248)&lt;=Setup!$C$16),OR(MONTH(D248)&gt;=Setup!$C$15,MONTH(D248)&lt;=Setup!$C$16)),IF(Setup!$C$15&lt;=Setup!$C$16,AND(MONTH(WORKDAY(D248,-(Setup!$C$13+Setup!$G$22),Setup!$C$39:$C$50))&gt;=Setup!$C$15,MONTH(WORKDAY(D248,-(Setup!$C$13+Setup!$G$22),Setup!$C$39:$C$50))&lt;=Setup!$C$16),OR(MONTH(WORKDAY(D248,-(Setup!$C$13+Setup!$G$22),Setup!$C$39:$C$50))&gt;=Setup!$C$15,MONTH(WORKDAY(D248,-(Setup!$C$13+Setup!$G$22),Setup!$C$39:$C$50))&lt;=Setup!$C$16))),WORKDAY(D248,-(Setup!$C$13+Setup!$G$22+Setup!$C$14),Setup!$C$39:$C$50),WORKDAY(D248,-(Setup!$C$13+Setup!$G$22),Setup!$C$39:$C$50))+(243*100+3)/10000000)))</f>
        <v/>
      </c>
      <c r="U248" t="str">
        <f>IF(E248="","",IF(E248&lt;Setup!$C$5-Setup!$C$6,"",IF(IF(ISNUMBER(Roster!$D248),Setup!$C$23&lt;=Roster!$D248,FALSE),"",IF(OR(IF(Setup!$C$15&lt;=Setup!$C$16,AND(MONTH(E248)&gt;=Setup!$C$15,MONTH(E248)&lt;=Setup!$C$16),OR(MONTH(E248)&gt;=Setup!$C$15,MONTH(E248)&lt;=Setup!$C$16)),IF(Setup!$C$15&lt;=Setup!$C$16,AND(MONTH(WORKDAY(E248,-(Setup!$C$13+Setup!$G$23),Setup!$C$39:$C$50))&gt;=Setup!$C$15,MONTH(WORKDAY(E248,-(Setup!$C$13+Setup!$G$23),Setup!$C$39:$C$50))&lt;=Setup!$C$16),OR(MONTH(WORKDAY(E248,-(Setup!$C$13+Setup!$G$23),Setup!$C$39:$C$50))&gt;=Setup!$C$15,MONTH(WORKDAY(E248,-(Setup!$C$13+Setup!$G$23),Setup!$C$39:$C$50))&lt;=Setup!$C$16))),WORKDAY(E248,-(Setup!$C$13+Setup!$G$23+Setup!$C$14),Setup!$C$39:$C$50),WORKDAY(E248,-(Setup!$C$13+Setup!$G$23),Setup!$C$39:$C$50))+(243*100+4)/10000000)))</f>
        <v/>
      </c>
      <c r="V248" t="str">
        <f>IF(F248="","",IF(F248&lt;Setup!$C$5-Setup!$C$6,"",IF(IF(ISNUMBER(Roster!$D248),Setup!$C$24&lt;=Roster!$D248,FALSE),"",IF(OR(IF(Setup!$C$15&lt;=Setup!$C$16,AND(MONTH(F248)&gt;=Setup!$C$15,MONTH(F248)&lt;=Setup!$C$16),OR(MONTH(F248)&gt;=Setup!$C$15,MONTH(F248)&lt;=Setup!$C$16)),IF(Setup!$C$15&lt;=Setup!$C$16,AND(MONTH(WORKDAY(F248,-(Setup!$C$13+Setup!$G$24),Setup!$C$39:$C$50))&gt;=Setup!$C$15,MONTH(WORKDAY(F248,-(Setup!$C$13+Setup!$G$24),Setup!$C$39:$C$50))&lt;=Setup!$C$16),OR(MONTH(WORKDAY(F248,-(Setup!$C$13+Setup!$G$24),Setup!$C$39:$C$50))&gt;=Setup!$C$15,MONTH(WORKDAY(F248,-(Setup!$C$13+Setup!$G$24),Setup!$C$39:$C$50))&lt;=Setup!$C$16))),WORKDAY(F248,-(Setup!$C$13+Setup!$G$24+Setup!$C$14),Setup!$C$39:$C$50),WORKDAY(F248,-(Setup!$C$13+Setup!$G$24),Setup!$C$39:$C$50))+(243*100+5)/10000000)))</f>
        <v/>
      </c>
      <c r="W248" t="str">
        <f>IF(G248="","",IF(G248&lt;Setup!$C$5-Setup!$C$6,"",IF(IF(ISNUMBER(Roster!$D248),Setup!$C$25&lt;=Roster!$D248,FALSE),"",IF(OR(IF(Setup!$C$15&lt;=Setup!$C$16,AND(MONTH(G248)&gt;=Setup!$C$15,MONTH(G248)&lt;=Setup!$C$16),OR(MONTH(G248)&gt;=Setup!$C$15,MONTH(G248)&lt;=Setup!$C$16)),IF(Setup!$C$15&lt;=Setup!$C$16,AND(MONTH(WORKDAY(G248,-(Setup!$C$13+Setup!$G$25),Setup!$C$39:$C$50))&gt;=Setup!$C$15,MONTH(WORKDAY(G248,-(Setup!$C$13+Setup!$G$25),Setup!$C$39:$C$50))&lt;=Setup!$C$16),OR(MONTH(WORKDAY(G248,-(Setup!$C$13+Setup!$G$25),Setup!$C$39:$C$50))&gt;=Setup!$C$15,MONTH(WORKDAY(G248,-(Setup!$C$13+Setup!$G$25),Setup!$C$39:$C$50))&lt;=Setup!$C$16))),WORKDAY(G248,-(Setup!$C$13+Setup!$G$25+Setup!$C$14),Setup!$C$39:$C$50),WORKDAY(G248,-(Setup!$C$13+Setup!$G$25),Setup!$C$39:$C$50))+(243*100+6)/10000000)))</f>
        <v/>
      </c>
      <c r="X248" t="str">
        <f>IF(H248="","",IF(H248&lt;Setup!$C$5-Setup!$C$6,"",IF(IF(ISNUMBER(Roster!$D248),Setup!$C$26&lt;=Roster!$D248,FALSE),"",IF(OR(IF(Setup!$C$15&lt;=Setup!$C$16,AND(MONTH(H248)&gt;=Setup!$C$15,MONTH(H248)&lt;=Setup!$C$16),OR(MONTH(H248)&gt;=Setup!$C$15,MONTH(H248)&lt;=Setup!$C$16)),IF(Setup!$C$15&lt;=Setup!$C$16,AND(MONTH(WORKDAY(H248,-(Setup!$C$13+Setup!$G$26),Setup!$C$39:$C$50))&gt;=Setup!$C$15,MONTH(WORKDAY(H248,-(Setup!$C$13+Setup!$G$26),Setup!$C$39:$C$50))&lt;=Setup!$C$16),OR(MONTH(WORKDAY(H248,-(Setup!$C$13+Setup!$G$26),Setup!$C$39:$C$50))&gt;=Setup!$C$15,MONTH(WORKDAY(H248,-(Setup!$C$13+Setup!$G$26),Setup!$C$39:$C$50))&lt;=Setup!$C$16))),WORKDAY(H248,-(Setup!$C$13+Setup!$G$26+Setup!$C$14),Setup!$C$39:$C$50),WORKDAY(H248,-(Setup!$C$13+Setup!$G$26),Setup!$C$39:$C$50))+(243*100+7)/10000000)))</f>
        <v/>
      </c>
      <c r="Y248" t="str">
        <f>IF(I248="","",IF(I248&lt;Setup!$C$5-Setup!$C$6,"",IF(IF(ISNUMBER(Roster!$D248),Setup!$C$27&lt;=Roster!$D248,FALSE),"",IF(OR(IF(Setup!$C$15&lt;=Setup!$C$16,AND(MONTH(I248)&gt;=Setup!$C$15,MONTH(I248)&lt;=Setup!$C$16),OR(MONTH(I248)&gt;=Setup!$C$15,MONTH(I248)&lt;=Setup!$C$16)),IF(Setup!$C$15&lt;=Setup!$C$16,AND(MONTH(WORKDAY(I248,-(Setup!$C$13+Setup!$G$27),Setup!$C$39:$C$50))&gt;=Setup!$C$15,MONTH(WORKDAY(I248,-(Setup!$C$13+Setup!$G$27),Setup!$C$39:$C$50))&lt;=Setup!$C$16),OR(MONTH(WORKDAY(I248,-(Setup!$C$13+Setup!$G$27),Setup!$C$39:$C$50))&gt;=Setup!$C$15,MONTH(WORKDAY(I248,-(Setup!$C$13+Setup!$G$27),Setup!$C$39:$C$50))&lt;=Setup!$C$16))),WORKDAY(I248,-(Setup!$C$13+Setup!$G$27+Setup!$C$14),Setup!$C$39:$C$50),WORKDAY(I248,-(Setup!$C$13+Setup!$G$27),Setup!$C$39:$C$50))+(243*100+8)/10000000)))</f>
        <v/>
      </c>
      <c r="Z248" t="str">
        <f>IF(J248="","",IF(J248&lt;Setup!$C$5-Setup!$C$6,"",IF(IF(ISNUMBER(Roster!$D248),Setup!$C$28&lt;=Roster!$D248,FALSE),"",IF(OR(IF(Setup!$C$15&lt;=Setup!$C$16,AND(MONTH(J248)&gt;=Setup!$C$15,MONTH(J248)&lt;=Setup!$C$16),OR(MONTH(J248)&gt;=Setup!$C$15,MONTH(J248)&lt;=Setup!$C$16)),IF(Setup!$C$15&lt;=Setup!$C$16,AND(MONTH(WORKDAY(J248,-(Setup!$C$13+Setup!$G$28),Setup!$C$39:$C$50))&gt;=Setup!$C$15,MONTH(WORKDAY(J248,-(Setup!$C$13+Setup!$G$28),Setup!$C$39:$C$50))&lt;=Setup!$C$16),OR(MONTH(WORKDAY(J248,-(Setup!$C$13+Setup!$G$28),Setup!$C$39:$C$50))&gt;=Setup!$C$15,MONTH(WORKDAY(J248,-(Setup!$C$13+Setup!$G$28),Setup!$C$39:$C$50))&lt;=Setup!$C$16))),WORKDAY(J248,-(Setup!$C$13+Setup!$G$28+Setup!$C$14),Setup!$C$39:$C$50),WORKDAY(J248,-(Setup!$C$13+Setup!$G$28),Setup!$C$39:$C$50))+(243*100+9)/10000000)))</f>
        <v/>
      </c>
      <c r="AA248" t="str">
        <f>IF(K248="","",IF(K248&lt;Setup!$C$5-Setup!$C$6,"",IF(IF(ISNUMBER(Roster!$D248),Setup!$C$29&lt;=Roster!$D248,FALSE),"",IF(OR(IF(Setup!$C$15&lt;=Setup!$C$16,AND(MONTH(K248)&gt;=Setup!$C$15,MONTH(K248)&lt;=Setup!$C$16),OR(MONTH(K248)&gt;=Setup!$C$15,MONTH(K248)&lt;=Setup!$C$16)),IF(Setup!$C$15&lt;=Setup!$C$16,AND(MONTH(WORKDAY(K248,-(Setup!$C$13+Setup!$G$29),Setup!$C$39:$C$50))&gt;=Setup!$C$15,MONTH(WORKDAY(K248,-(Setup!$C$13+Setup!$G$29),Setup!$C$39:$C$50))&lt;=Setup!$C$16),OR(MONTH(WORKDAY(K248,-(Setup!$C$13+Setup!$G$29),Setup!$C$39:$C$50))&gt;=Setup!$C$15,MONTH(WORKDAY(K248,-(Setup!$C$13+Setup!$G$29),Setup!$C$39:$C$50))&lt;=Setup!$C$16))),WORKDAY(K248,-(Setup!$C$13+Setup!$G$29+Setup!$C$14),Setup!$C$39:$C$50),WORKDAY(K248,-(Setup!$C$13+Setup!$G$29),Setup!$C$39:$C$50))+(243*100+10)/10000000)))</f>
        <v/>
      </c>
      <c r="AB248" t="str">
        <f>IF(L248="","",IF(L248&lt;Setup!$C$5-Setup!$C$6,"",IF(IF(ISNUMBER(Roster!$D248),Setup!$C$30&lt;=Roster!$D248,FALSE),"",IF(OR(IF(Setup!$C$15&lt;=Setup!$C$16,AND(MONTH(L248)&gt;=Setup!$C$15,MONTH(L248)&lt;=Setup!$C$16),OR(MONTH(L248)&gt;=Setup!$C$15,MONTH(L248)&lt;=Setup!$C$16)),IF(Setup!$C$15&lt;=Setup!$C$16,AND(MONTH(WORKDAY(L248,-(Setup!$C$13+Setup!$G$30),Setup!$C$39:$C$50))&gt;=Setup!$C$15,MONTH(WORKDAY(L248,-(Setup!$C$13+Setup!$G$30),Setup!$C$39:$C$50))&lt;=Setup!$C$16),OR(MONTH(WORKDAY(L248,-(Setup!$C$13+Setup!$G$30),Setup!$C$39:$C$50))&gt;=Setup!$C$15,MONTH(WORKDAY(L248,-(Setup!$C$13+Setup!$G$30),Setup!$C$39:$C$50))&lt;=Setup!$C$16))),WORKDAY(L248,-(Setup!$C$13+Setup!$G$30+Setup!$C$14),Setup!$C$39:$C$50),WORKDAY(L248,-(Setup!$C$13+Setup!$G$30),Setup!$C$39:$C$50))+(243*100+11)/10000000)))</f>
        <v/>
      </c>
      <c r="AC248" t="str">
        <f>IF(M248="","",IF(M248&lt;Setup!$C$5-Setup!$C$6,"",IF(IF(ISNUMBER(Roster!$D248),Setup!$C$31&lt;=Roster!$D248,FALSE),"",IF(OR(IF(Setup!$C$15&lt;=Setup!$C$16,AND(MONTH(M248)&gt;=Setup!$C$15,MONTH(M248)&lt;=Setup!$C$16),OR(MONTH(M248)&gt;=Setup!$C$15,MONTH(M248)&lt;=Setup!$C$16)),IF(Setup!$C$15&lt;=Setup!$C$16,AND(MONTH(WORKDAY(M248,-(Setup!$C$13+Setup!$G$31),Setup!$C$39:$C$50))&gt;=Setup!$C$15,MONTH(WORKDAY(M248,-(Setup!$C$13+Setup!$G$31),Setup!$C$39:$C$50))&lt;=Setup!$C$16),OR(MONTH(WORKDAY(M248,-(Setup!$C$13+Setup!$G$31),Setup!$C$39:$C$50))&gt;=Setup!$C$15,MONTH(WORKDAY(M248,-(Setup!$C$13+Setup!$G$31),Setup!$C$39:$C$50))&lt;=Setup!$C$16))),WORKDAY(M248,-(Setup!$C$13+Setup!$G$31+Setup!$C$14),Setup!$C$39:$C$50),WORKDAY(M248,-(Setup!$C$13+Setup!$G$31),Setup!$C$39:$C$50))+(243*100+12)/10000000)))</f>
        <v/>
      </c>
      <c r="AD248" t="str">
        <f>IF(N248="","",IF(N248&lt;Setup!$C$5-Setup!$C$6,"",IF(IF(ISNUMBER(Roster!$D248),Setup!$C$32&lt;=Roster!$D248,FALSE),"",IF(OR(IF(Setup!$C$15&lt;=Setup!$C$16,AND(MONTH(N248)&gt;=Setup!$C$15,MONTH(N248)&lt;=Setup!$C$16),OR(MONTH(N248)&gt;=Setup!$C$15,MONTH(N248)&lt;=Setup!$C$16)),IF(Setup!$C$15&lt;=Setup!$C$16,AND(MONTH(WORKDAY(N248,-(Setup!$C$13+Setup!$G$32),Setup!$C$39:$C$50))&gt;=Setup!$C$15,MONTH(WORKDAY(N248,-(Setup!$C$13+Setup!$G$32),Setup!$C$39:$C$50))&lt;=Setup!$C$16),OR(MONTH(WORKDAY(N248,-(Setup!$C$13+Setup!$G$32),Setup!$C$39:$C$50))&gt;=Setup!$C$15,MONTH(WORKDAY(N248,-(Setup!$C$13+Setup!$G$32),Setup!$C$39:$C$50))&lt;=Setup!$C$16))),WORKDAY(N248,-(Setup!$C$13+Setup!$G$32+Setup!$C$14),Setup!$C$39:$C$50),WORKDAY(N248,-(Setup!$C$13+Setup!$G$32),Setup!$C$39:$C$50))+(243*100+13)/10000000)))</f>
        <v/>
      </c>
      <c r="AE248" t="str">
        <f>IF(O248="","",IF(O248&lt;Setup!$C$5-Setup!$C$6,"",IF(IF(ISNUMBER(Roster!$D248),Setup!$C$33&lt;=Roster!$D248,FALSE),"",IF(OR(IF(Setup!$C$15&lt;=Setup!$C$16,AND(MONTH(O248)&gt;=Setup!$C$15,MONTH(O248)&lt;=Setup!$C$16),OR(MONTH(O248)&gt;=Setup!$C$15,MONTH(O248)&lt;=Setup!$C$16)),IF(Setup!$C$15&lt;=Setup!$C$16,AND(MONTH(WORKDAY(O248,-(Setup!$C$13+Setup!$G$33),Setup!$C$39:$C$50))&gt;=Setup!$C$15,MONTH(WORKDAY(O248,-(Setup!$C$13+Setup!$G$33),Setup!$C$39:$C$50))&lt;=Setup!$C$16),OR(MONTH(WORKDAY(O248,-(Setup!$C$13+Setup!$G$33),Setup!$C$39:$C$50))&gt;=Setup!$C$15,MONTH(WORKDAY(O248,-(Setup!$C$13+Setup!$G$33),Setup!$C$39:$C$50))&lt;=Setup!$C$16))),WORKDAY(O248,-(Setup!$C$13+Setup!$G$33+Setup!$C$14),Setup!$C$39:$C$50),WORKDAY(O248,-(Setup!$C$13+Setup!$G$33),Setup!$C$39:$C$50))+(243*100+14)/10000000)))</f>
        <v/>
      </c>
      <c r="AF248" t="str">
        <f>IF(P248="","",IF(P248&lt;Setup!$C$5-Setup!$C$6,"",IF(IF(ISNUMBER(Roster!$D248),Setup!$C$34&lt;=Roster!$D248,FALSE),"",IF(OR(IF(Setup!$C$15&lt;=Setup!$C$16,AND(MONTH(P248)&gt;=Setup!$C$15,MONTH(P248)&lt;=Setup!$C$16),OR(MONTH(P248)&gt;=Setup!$C$15,MONTH(P248)&lt;=Setup!$C$16)),IF(Setup!$C$15&lt;=Setup!$C$16,AND(MONTH(WORKDAY(P248,-(Setup!$C$13+Setup!$G$34),Setup!$C$39:$C$50))&gt;=Setup!$C$15,MONTH(WORKDAY(P248,-(Setup!$C$13+Setup!$G$34),Setup!$C$39:$C$50))&lt;=Setup!$C$16),OR(MONTH(WORKDAY(P248,-(Setup!$C$13+Setup!$G$34),Setup!$C$39:$C$50))&gt;=Setup!$C$15,MONTH(WORKDAY(P248,-(Setup!$C$13+Setup!$G$34),Setup!$C$39:$C$50))&lt;=Setup!$C$16))),WORKDAY(P248,-(Setup!$C$13+Setup!$G$34+Setup!$C$14),Setup!$C$39:$C$50),WORKDAY(P248,-(Setup!$C$13+Setup!$G$34),Setup!$C$39:$C$50))+(243*100+15)/10000000)))</f>
        <v/>
      </c>
      <c r="AH248" t="str">
        <f t="shared" si="25"/>
        <v/>
      </c>
      <c r="AI248" t="str">
        <f t="shared" si="26"/>
        <v/>
      </c>
      <c r="AK248" t="str">
        <f ca="1">IF(243&gt;$AK$2,"",SMALL($R$6:$AF$505,243))</f>
        <v/>
      </c>
      <c r="AL248" t="str">
        <f t="shared" ca="1" si="27"/>
        <v/>
      </c>
      <c r="AM248" t="str">
        <f t="shared" ca="1" si="28"/>
        <v/>
      </c>
      <c r="AN248" t="str">
        <f t="shared" ca="1" si="29"/>
        <v/>
      </c>
      <c r="AP248" t="str">
        <f>IF(ISNUMBER(Roster!$B248),MAX(1,YEAR(Setup!$C$5)-YEAR(Roster!$B248)+IF(EDATE(Roster!$B248,12*(YEAR(Setup!$C$5)-YEAR(Roster!$B248)))&lt;Setup!$C$5,1,0)),"")</f>
        <v/>
      </c>
      <c r="AQ248" s="32" t="str">
        <f>IF(AP248="","",EDATE(Roster!$B248,12*AP248))</f>
        <v/>
      </c>
      <c r="AR248" t="str">
        <f>IF(AQ248="","",IF(AQ248&lt;DATE(YEAR(Setup!$C$5)+1,MONTH(Setup!$C$5),DAY(Setup!$C$5)),AQ248+243/1000,""))</f>
        <v/>
      </c>
      <c r="AS248" t="str">
        <f t="shared" si="30"/>
        <v/>
      </c>
      <c r="AT248" t="str">
        <f>IF(AS248="","",IF(ISNUMBER(Roster!$D248),Roster!$D248&gt;=AP248,FALSE))</f>
        <v/>
      </c>
      <c r="AU248" t="str">
        <f t="shared" si="31"/>
        <v/>
      </c>
      <c r="AV248" t="str">
        <f ca="1">IF(243&gt;$AV$2,"",SMALL($AR$6:$AR$505,243))</f>
        <v/>
      </c>
      <c r="AW248" t="str">
        <f t="shared" ca="1" si="32"/>
        <v/>
      </c>
    </row>
    <row r="249" spans="2:49" x14ac:dyDescent="0.2">
      <c r="B249" s="32" t="str">
        <f>IF(AND(ISNUMBER(Roster!$B249),Setup!$B$20="Yes",ISNUMBER(Setup!$C$20)),EDATE(Roster!$B249,12*Setup!$C$20),"")</f>
        <v/>
      </c>
      <c r="C249" s="32" t="str">
        <f>IF(AND(ISNUMBER(Roster!$B249),Setup!$B$21="Yes",ISNUMBER(Setup!$C$21)),EDATE(Roster!$B249,12*Setup!$C$21),"")</f>
        <v/>
      </c>
      <c r="D249" s="32" t="str">
        <f>IF(AND(ISNUMBER(Roster!$B249),Setup!$B$22="Yes",ISNUMBER(Setup!$C$22)),EDATE(Roster!$B249,12*Setup!$C$22),"")</f>
        <v/>
      </c>
      <c r="E249" s="32" t="str">
        <f>IF(AND(ISNUMBER(Roster!$B249),Setup!$B$23="Yes",ISNUMBER(Setup!$C$23)),EDATE(Roster!$B249,12*Setup!$C$23),"")</f>
        <v/>
      </c>
      <c r="F249" s="32" t="str">
        <f>IF(AND(ISNUMBER(Roster!$B249),Setup!$B$24="Yes",ISNUMBER(Setup!$C$24)),EDATE(Roster!$B249,12*Setup!$C$24),"")</f>
        <v/>
      </c>
      <c r="G249" s="32" t="str">
        <f>IF(AND(ISNUMBER(Roster!$B249),Setup!$B$25="Yes",ISNUMBER(Setup!$C$25)),EDATE(Roster!$B249,12*Setup!$C$25),"")</f>
        <v/>
      </c>
      <c r="H249" s="32" t="str">
        <f>IF(AND(ISNUMBER(Roster!$B249),Setup!$B$26="Yes",ISNUMBER(Setup!$C$26)),EDATE(Roster!$B249,12*Setup!$C$26),"")</f>
        <v/>
      </c>
      <c r="I249" s="32" t="str">
        <f>IF(AND(ISNUMBER(Roster!$B249),Setup!$B$27="Yes",ISNUMBER(Setup!$C$27)),EDATE(Roster!$B249,12*Setup!$C$27),"")</f>
        <v/>
      </c>
      <c r="J249" s="32" t="str">
        <f>IF(AND(ISNUMBER(Roster!$B249),Setup!$B$28="Yes",ISNUMBER(Setup!$C$28)),EDATE(Roster!$B249,12*Setup!$C$28),"")</f>
        <v/>
      </c>
      <c r="K249" s="32" t="str">
        <f>IF(AND(ISNUMBER(Roster!$B249),Setup!$B$29="Yes",ISNUMBER(Setup!$C$29)),EDATE(Roster!$B249,12*Setup!$C$29),"")</f>
        <v/>
      </c>
      <c r="L249" s="32" t="str">
        <f>IF(AND(ISNUMBER(Roster!$B249),Setup!$B$30="Yes",ISNUMBER(Setup!$C$30)),EDATE(Roster!$B249,12*Setup!$C$30),"")</f>
        <v/>
      </c>
      <c r="M249" s="32" t="str">
        <f>IF(AND(ISNUMBER(Roster!$B249),Setup!$B$31="Yes",ISNUMBER(Setup!$C$31)),EDATE(Roster!$B249,12*Setup!$C$31),"")</f>
        <v/>
      </c>
      <c r="N249" s="32" t="str">
        <f>IF(AND(ISNUMBER(Roster!$B249),Setup!$B$32="Yes",ISNUMBER(Setup!$C$32)),EDATE(Roster!$B249,12*Setup!$C$32),"")</f>
        <v/>
      </c>
      <c r="O249" s="32" t="str">
        <f>IF(AND(ISNUMBER(Roster!$B249),Setup!$B$33="Yes",ISNUMBER(Setup!$C$33)),EDATE(Roster!$B249,12*Setup!$C$33),"")</f>
        <v/>
      </c>
      <c r="P249" s="32" t="str">
        <f>IF(AND(ISNUMBER(Roster!$B249),Setup!$B$34="Yes",ISNUMBER(Setup!$C$34)),EDATE(Roster!$B249,12*Setup!$C$34),"")</f>
        <v/>
      </c>
      <c r="R249" t="str">
        <f>IF(B249="","",IF(B249&lt;Setup!$C$5-Setup!$C$6,"",IF(IF(ISNUMBER(Roster!$D249),Setup!$C$20&lt;=Roster!$D249,FALSE),"",IF(OR(IF(Setup!$C$15&lt;=Setup!$C$16,AND(MONTH(B249)&gt;=Setup!$C$15,MONTH(B249)&lt;=Setup!$C$16),OR(MONTH(B249)&gt;=Setup!$C$15,MONTH(B249)&lt;=Setup!$C$16)),IF(Setup!$C$15&lt;=Setup!$C$16,AND(MONTH(WORKDAY(B249,-(Setup!$C$13+Setup!$G$20),Setup!$C$39:$C$50))&gt;=Setup!$C$15,MONTH(WORKDAY(B249,-(Setup!$C$13+Setup!$G$20),Setup!$C$39:$C$50))&lt;=Setup!$C$16),OR(MONTH(WORKDAY(B249,-(Setup!$C$13+Setup!$G$20),Setup!$C$39:$C$50))&gt;=Setup!$C$15,MONTH(WORKDAY(B249,-(Setup!$C$13+Setup!$G$20),Setup!$C$39:$C$50))&lt;=Setup!$C$16))),WORKDAY(B249,-(Setup!$C$13+Setup!$G$20+Setup!$C$14),Setup!$C$39:$C$50),WORKDAY(B249,-(Setup!$C$13+Setup!$G$20),Setup!$C$39:$C$50))+(244*100+1)/10000000)))</f>
        <v/>
      </c>
      <c r="S249" t="str">
        <f>IF(C249="","",IF(C249&lt;Setup!$C$5-Setup!$C$6,"",IF(IF(ISNUMBER(Roster!$D249),Setup!$C$21&lt;=Roster!$D249,FALSE),"",IF(OR(IF(Setup!$C$15&lt;=Setup!$C$16,AND(MONTH(C249)&gt;=Setup!$C$15,MONTH(C249)&lt;=Setup!$C$16),OR(MONTH(C249)&gt;=Setup!$C$15,MONTH(C249)&lt;=Setup!$C$16)),IF(Setup!$C$15&lt;=Setup!$C$16,AND(MONTH(WORKDAY(C249,-(Setup!$C$13+Setup!$G$21),Setup!$C$39:$C$50))&gt;=Setup!$C$15,MONTH(WORKDAY(C249,-(Setup!$C$13+Setup!$G$21),Setup!$C$39:$C$50))&lt;=Setup!$C$16),OR(MONTH(WORKDAY(C249,-(Setup!$C$13+Setup!$G$21),Setup!$C$39:$C$50))&gt;=Setup!$C$15,MONTH(WORKDAY(C249,-(Setup!$C$13+Setup!$G$21),Setup!$C$39:$C$50))&lt;=Setup!$C$16))),WORKDAY(C249,-(Setup!$C$13+Setup!$G$21+Setup!$C$14),Setup!$C$39:$C$50),WORKDAY(C249,-(Setup!$C$13+Setup!$G$21),Setup!$C$39:$C$50))+(244*100+2)/10000000)))</f>
        <v/>
      </c>
      <c r="T249" t="str">
        <f>IF(D249="","",IF(D249&lt;Setup!$C$5-Setup!$C$6,"",IF(IF(ISNUMBER(Roster!$D249),Setup!$C$22&lt;=Roster!$D249,FALSE),"",IF(OR(IF(Setup!$C$15&lt;=Setup!$C$16,AND(MONTH(D249)&gt;=Setup!$C$15,MONTH(D249)&lt;=Setup!$C$16),OR(MONTH(D249)&gt;=Setup!$C$15,MONTH(D249)&lt;=Setup!$C$16)),IF(Setup!$C$15&lt;=Setup!$C$16,AND(MONTH(WORKDAY(D249,-(Setup!$C$13+Setup!$G$22),Setup!$C$39:$C$50))&gt;=Setup!$C$15,MONTH(WORKDAY(D249,-(Setup!$C$13+Setup!$G$22),Setup!$C$39:$C$50))&lt;=Setup!$C$16),OR(MONTH(WORKDAY(D249,-(Setup!$C$13+Setup!$G$22),Setup!$C$39:$C$50))&gt;=Setup!$C$15,MONTH(WORKDAY(D249,-(Setup!$C$13+Setup!$G$22),Setup!$C$39:$C$50))&lt;=Setup!$C$16))),WORKDAY(D249,-(Setup!$C$13+Setup!$G$22+Setup!$C$14),Setup!$C$39:$C$50),WORKDAY(D249,-(Setup!$C$13+Setup!$G$22),Setup!$C$39:$C$50))+(244*100+3)/10000000)))</f>
        <v/>
      </c>
      <c r="U249" t="str">
        <f>IF(E249="","",IF(E249&lt;Setup!$C$5-Setup!$C$6,"",IF(IF(ISNUMBER(Roster!$D249),Setup!$C$23&lt;=Roster!$D249,FALSE),"",IF(OR(IF(Setup!$C$15&lt;=Setup!$C$16,AND(MONTH(E249)&gt;=Setup!$C$15,MONTH(E249)&lt;=Setup!$C$16),OR(MONTH(E249)&gt;=Setup!$C$15,MONTH(E249)&lt;=Setup!$C$16)),IF(Setup!$C$15&lt;=Setup!$C$16,AND(MONTH(WORKDAY(E249,-(Setup!$C$13+Setup!$G$23),Setup!$C$39:$C$50))&gt;=Setup!$C$15,MONTH(WORKDAY(E249,-(Setup!$C$13+Setup!$G$23),Setup!$C$39:$C$50))&lt;=Setup!$C$16),OR(MONTH(WORKDAY(E249,-(Setup!$C$13+Setup!$G$23),Setup!$C$39:$C$50))&gt;=Setup!$C$15,MONTH(WORKDAY(E249,-(Setup!$C$13+Setup!$G$23),Setup!$C$39:$C$50))&lt;=Setup!$C$16))),WORKDAY(E249,-(Setup!$C$13+Setup!$G$23+Setup!$C$14),Setup!$C$39:$C$50),WORKDAY(E249,-(Setup!$C$13+Setup!$G$23),Setup!$C$39:$C$50))+(244*100+4)/10000000)))</f>
        <v/>
      </c>
      <c r="V249" t="str">
        <f>IF(F249="","",IF(F249&lt;Setup!$C$5-Setup!$C$6,"",IF(IF(ISNUMBER(Roster!$D249),Setup!$C$24&lt;=Roster!$D249,FALSE),"",IF(OR(IF(Setup!$C$15&lt;=Setup!$C$16,AND(MONTH(F249)&gt;=Setup!$C$15,MONTH(F249)&lt;=Setup!$C$16),OR(MONTH(F249)&gt;=Setup!$C$15,MONTH(F249)&lt;=Setup!$C$16)),IF(Setup!$C$15&lt;=Setup!$C$16,AND(MONTH(WORKDAY(F249,-(Setup!$C$13+Setup!$G$24),Setup!$C$39:$C$50))&gt;=Setup!$C$15,MONTH(WORKDAY(F249,-(Setup!$C$13+Setup!$G$24),Setup!$C$39:$C$50))&lt;=Setup!$C$16),OR(MONTH(WORKDAY(F249,-(Setup!$C$13+Setup!$G$24),Setup!$C$39:$C$50))&gt;=Setup!$C$15,MONTH(WORKDAY(F249,-(Setup!$C$13+Setup!$G$24),Setup!$C$39:$C$50))&lt;=Setup!$C$16))),WORKDAY(F249,-(Setup!$C$13+Setup!$G$24+Setup!$C$14),Setup!$C$39:$C$50),WORKDAY(F249,-(Setup!$C$13+Setup!$G$24),Setup!$C$39:$C$50))+(244*100+5)/10000000)))</f>
        <v/>
      </c>
      <c r="W249" t="str">
        <f>IF(G249="","",IF(G249&lt;Setup!$C$5-Setup!$C$6,"",IF(IF(ISNUMBER(Roster!$D249),Setup!$C$25&lt;=Roster!$D249,FALSE),"",IF(OR(IF(Setup!$C$15&lt;=Setup!$C$16,AND(MONTH(G249)&gt;=Setup!$C$15,MONTH(G249)&lt;=Setup!$C$16),OR(MONTH(G249)&gt;=Setup!$C$15,MONTH(G249)&lt;=Setup!$C$16)),IF(Setup!$C$15&lt;=Setup!$C$16,AND(MONTH(WORKDAY(G249,-(Setup!$C$13+Setup!$G$25),Setup!$C$39:$C$50))&gt;=Setup!$C$15,MONTH(WORKDAY(G249,-(Setup!$C$13+Setup!$G$25),Setup!$C$39:$C$50))&lt;=Setup!$C$16),OR(MONTH(WORKDAY(G249,-(Setup!$C$13+Setup!$G$25),Setup!$C$39:$C$50))&gt;=Setup!$C$15,MONTH(WORKDAY(G249,-(Setup!$C$13+Setup!$G$25),Setup!$C$39:$C$50))&lt;=Setup!$C$16))),WORKDAY(G249,-(Setup!$C$13+Setup!$G$25+Setup!$C$14),Setup!$C$39:$C$50),WORKDAY(G249,-(Setup!$C$13+Setup!$G$25),Setup!$C$39:$C$50))+(244*100+6)/10000000)))</f>
        <v/>
      </c>
      <c r="X249" t="str">
        <f>IF(H249="","",IF(H249&lt;Setup!$C$5-Setup!$C$6,"",IF(IF(ISNUMBER(Roster!$D249),Setup!$C$26&lt;=Roster!$D249,FALSE),"",IF(OR(IF(Setup!$C$15&lt;=Setup!$C$16,AND(MONTH(H249)&gt;=Setup!$C$15,MONTH(H249)&lt;=Setup!$C$16),OR(MONTH(H249)&gt;=Setup!$C$15,MONTH(H249)&lt;=Setup!$C$16)),IF(Setup!$C$15&lt;=Setup!$C$16,AND(MONTH(WORKDAY(H249,-(Setup!$C$13+Setup!$G$26),Setup!$C$39:$C$50))&gt;=Setup!$C$15,MONTH(WORKDAY(H249,-(Setup!$C$13+Setup!$G$26),Setup!$C$39:$C$50))&lt;=Setup!$C$16),OR(MONTH(WORKDAY(H249,-(Setup!$C$13+Setup!$G$26),Setup!$C$39:$C$50))&gt;=Setup!$C$15,MONTH(WORKDAY(H249,-(Setup!$C$13+Setup!$G$26),Setup!$C$39:$C$50))&lt;=Setup!$C$16))),WORKDAY(H249,-(Setup!$C$13+Setup!$G$26+Setup!$C$14),Setup!$C$39:$C$50),WORKDAY(H249,-(Setup!$C$13+Setup!$G$26),Setup!$C$39:$C$50))+(244*100+7)/10000000)))</f>
        <v/>
      </c>
      <c r="Y249" t="str">
        <f>IF(I249="","",IF(I249&lt;Setup!$C$5-Setup!$C$6,"",IF(IF(ISNUMBER(Roster!$D249),Setup!$C$27&lt;=Roster!$D249,FALSE),"",IF(OR(IF(Setup!$C$15&lt;=Setup!$C$16,AND(MONTH(I249)&gt;=Setup!$C$15,MONTH(I249)&lt;=Setup!$C$16),OR(MONTH(I249)&gt;=Setup!$C$15,MONTH(I249)&lt;=Setup!$C$16)),IF(Setup!$C$15&lt;=Setup!$C$16,AND(MONTH(WORKDAY(I249,-(Setup!$C$13+Setup!$G$27),Setup!$C$39:$C$50))&gt;=Setup!$C$15,MONTH(WORKDAY(I249,-(Setup!$C$13+Setup!$G$27),Setup!$C$39:$C$50))&lt;=Setup!$C$16),OR(MONTH(WORKDAY(I249,-(Setup!$C$13+Setup!$G$27),Setup!$C$39:$C$50))&gt;=Setup!$C$15,MONTH(WORKDAY(I249,-(Setup!$C$13+Setup!$G$27),Setup!$C$39:$C$50))&lt;=Setup!$C$16))),WORKDAY(I249,-(Setup!$C$13+Setup!$G$27+Setup!$C$14),Setup!$C$39:$C$50),WORKDAY(I249,-(Setup!$C$13+Setup!$G$27),Setup!$C$39:$C$50))+(244*100+8)/10000000)))</f>
        <v/>
      </c>
      <c r="Z249" t="str">
        <f>IF(J249="","",IF(J249&lt;Setup!$C$5-Setup!$C$6,"",IF(IF(ISNUMBER(Roster!$D249),Setup!$C$28&lt;=Roster!$D249,FALSE),"",IF(OR(IF(Setup!$C$15&lt;=Setup!$C$16,AND(MONTH(J249)&gt;=Setup!$C$15,MONTH(J249)&lt;=Setup!$C$16),OR(MONTH(J249)&gt;=Setup!$C$15,MONTH(J249)&lt;=Setup!$C$16)),IF(Setup!$C$15&lt;=Setup!$C$16,AND(MONTH(WORKDAY(J249,-(Setup!$C$13+Setup!$G$28),Setup!$C$39:$C$50))&gt;=Setup!$C$15,MONTH(WORKDAY(J249,-(Setup!$C$13+Setup!$G$28),Setup!$C$39:$C$50))&lt;=Setup!$C$16),OR(MONTH(WORKDAY(J249,-(Setup!$C$13+Setup!$G$28),Setup!$C$39:$C$50))&gt;=Setup!$C$15,MONTH(WORKDAY(J249,-(Setup!$C$13+Setup!$G$28),Setup!$C$39:$C$50))&lt;=Setup!$C$16))),WORKDAY(J249,-(Setup!$C$13+Setup!$G$28+Setup!$C$14),Setup!$C$39:$C$50),WORKDAY(J249,-(Setup!$C$13+Setup!$G$28),Setup!$C$39:$C$50))+(244*100+9)/10000000)))</f>
        <v/>
      </c>
      <c r="AA249" t="str">
        <f>IF(K249="","",IF(K249&lt;Setup!$C$5-Setup!$C$6,"",IF(IF(ISNUMBER(Roster!$D249),Setup!$C$29&lt;=Roster!$D249,FALSE),"",IF(OR(IF(Setup!$C$15&lt;=Setup!$C$16,AND(MONTH(K249)&gt;=Setup!$C$15,MONTH(K249)&lt;=Setup!$C$16),OR(MONTH(K249)&gt;=Setup!$C$15,MONTH(K249)&lt;=Setup!$C$16)),IF(Setup!$C$15&lt;=Setup!$C$16,AND(MONTH(WORKDAY(K249,-(Setup!$C$13+Setup!$G$29),Setup!$C$39:$C$50))&gt;=Setup!$C$15,MONTH(WORKDAY(K249,-(Setup!$C$13+Setup!$G$29),Setup!$C$39:$C$50))&lt;=Setup!$C$16),OR(MONTH(WORKDAY(K249,-(Setup!$C$13+Setup!$G$29),Setup!$C$39:$C$50))&gt;=Setup!$C$15,MONTH(WORKDAY(K249,-(Setup!$C$13+Setup!$G$29),Setup!$C$39:$C$50))&lt;=Setup!$C$16))),WORKDAY(K249,-(Setup!$C$13+Setup!$G$29+Setup!$C$14),Setup!$C$39:$C$50),WORKDAY(K249,-(Setup!$C$13+Setup!$G$29),Setup!$C$39:$C$50))+(244*100+10)/10000000)))</f>
        <v/>
      </c>
      <c r="AB249" t="str">
        <f>IF(L249="","",IF(L249&lt;Setup!$C$5-Setup!$C$6,"",IF(IF(ISNUMBER(Roster!$D249),Setup!$C$30&lt;=Roster!$D249,FALSE),"",IF(OR(IF(Setup!$C$15&lt;=Setup!$C$16,AND(MONTH(L249)&gt;=Setup!$C$15,MONTH(L249)&lt;=Setup!$C$16),OR(MONTH(L249)&gt;=Setup!$C$15,MONTH(L249)&lt;=Setup!$C$16)),IF(Setup!$C$15&lt;=Setup!$C$16,AND(MONTH(WORKDAY(L249,-(Setup!$C$13+Setup!$G$30),Setup!$C$39:$C$50))&gt;=Setup!$C$15,MONTH(WORKDAY(L249,-(Setup!$C$13+Setup!$G$30),Setup!$C$39:$C$50))&lt;=Setup!$C$16),OR(MONTH(WORKDAY(L249,-(Setup!$C$13+Setup!$G$30),Setup!$C$39:$C$50))&gt;=Setup!$C$15,MONTH(WORKDAY(L249,-(Setup!$C$13+Setup!$G$30),Setup!$C$39:$C$50))&lt;=Setup!$C$16))),WORKDAY(L249,-(Setup!$C$13+Setup!$G$30+Setup!$C$14),Setup!$C$39:$C$50),WORKDAY(L249,-(Setup!$C$13+Setup!$G$30),Setup!$C$39:$C$50))+(244*100+11)/10000000)))</f>
        <v/>
      </c>
      <c r="AC249" t="str">
        <f>IF(M249="","",IF(M249&lt;Setup!$C$5-Setup!$C$6,"",IF(IF(ISNUMBER(Roster!$D249),Setup!$C$31&lt;=Roster!$D249,FALSE),"",IF(OR(IF(Setup!$C$15&lt;=Setup!$C$16,AND(MONTH(M249)&gt;=Setup!$C$15,MONTH(M249)&lt;=Setup!$C$16),OR(MONTH(M249)&gt;=Setup!$C$15,MONTH(M249)&lt;=Setup!$C$16)),IF(Setup!$C$15&lt;=Setup!$C$16,AND(MONTH(WORKDAY(M249,-(Setup!$C$13+Setup!$G$31),Setup!$C$39:$C$50))&gt;=Setup!$C$15,MONTH(WORKDAY(M249,-(Setup!$C$13+Setup!$G$31),Setup!$C$39:$C$50))&lt;=Setup!$C$16),OR(MONTH(WORKDAY(M249,-(Setup!$C$13+Setup!$G$31),Setup!$C$39:$C$50))&gt;=Setup!$C$15,MONTH(WORKDAY(M249,-(Setup!$C$13+Setup!$G$31),Setup!$C$39:$C$50))&lt;=Setup!$C$16))),WORKDAY(M249,-(Setup!$C$13+Setup!$G$31+Setup!$C$14),Setup!$C$39:$C$50),WORKDAY(M249,-(Setup!$C$13+Setup!$G$31),Setup!$C$39:$C$50))+(244*100+12)/10000000)))</f>
        <v/>
      </c>
      <c r="AD249" t="str">
        <f>IF(N249="","",IF(N249&lt;Setup!$C$5-Setup!$C$6,"",IF(IF(ISNUMBER(Roster!$D249),Setup!$C$32&lt;=Roster!$D249,FALSE),"",IF(OR(IF(Setup!$C$15&lt;=Setup!$C$16,AND(MONTH(N249)&gt;=Setup!$C$15,MONTH(N249)&lt;=Setup!$C$16),OR(MONTH(N249)&gt;=Setup!$C$15,MONTH(N249)&lt;=Setup!$C$16)),IF(Setup!$C$15&lt;=Setup!$C$16,AND(MONTH(WORKDAY(N249,-(Setup!$C$13+Setup!$G$32),Setup!$C$39:$C$50))&gt;=Setup!$C$15,MONTH(WORKDAY(N249,-(Setup!$C$13+Setup!$G$32),Setup!$C$39:$C$50))&lt;=Setup!$C$16),OR(MONTH(WORKDAY(N249,-(Setup!$C$13+Setup!$G$32),Setup!$C$39:$C$50))&gt;=Setup!$C$15,MONTH(WORKDAY(N249,-(Setup!$C$13+Setup!$G$32),Setup!$C$39:$C$50))&lt;=Setup!$C$16))),WORKDAY(N249,-(Setup!$C$13+Setup!$G$32+Setup!$C$14),Setup!$C$39:$C$50),WORKDAY(N249,-(Setup!$C$13+Setup!$G$32),Setup!$C$39:$C$50))+(244*100+13)/10000000)))</f>
        <v/>
      </c>
      <c r="AE249" t="str">
        <f>IF(O249="","",IF(O249&lt;Setup!$C$5-Setup!$C$6,"",IF(IF(ISNUMBER(Roster!$D249),Setup!$C$33&lt;=Roster!$D249,FALSE),"",IF(OR(IF(Setup!$C$15&lt;=Setup!$C$16,AND(MONTH(O249)&gt;=Setup!$C$15,MONTH(O249)&lt;=Setup!$C$16),OR(MONTH(O249)&gt;=Setup!$C$15,MONTH(O249)&lt;=Setup!$C$16)),IF(Setup!$C$15&lt;=Setup!$C$16,AND(MONTH(WORKDAY(O249,-(Setup!$C$13+Setup!$G$33),Setup!$C$39:$C$50))&gt;=Setup!$C$15,MONTH(WORKDAY(O249,-(Setup!$C$13+Setup!$G$33),Setup!$C$39:$C$50))&lt;=Setup!$C$16),OR(MONTH(WORKDAY(O249,-(Setup!$C$13+Setup!$G$33),Setup!$C$39:$C$50))&gt;=Setup!$C$15,MONTH(WORKDAY(O249,-(Setup!$C$13+Setup!$G$33),Setup!$C$39:$C$50))&lt;=Setup!$C$16))),WORKDAY(O249,-(Setup!$C$13+Setup!$G$33+Setup!$C$14),Setup!$C$39:$C$50),WORKDAY(O249,-(Setup!$C$13+Setup!$G$33),Setup!$C$39:$C$50))+(244*100+14)/10000000)))</f>
        <v/>
      </c>
      <c r="AF249" t="str">
        <f>IF(P249="","",IF(P249&lt;Setup!$C$5-Setup!$C$6,"",IF(IF(ISNUMBER(Roster!$D249),Setup!$C$34&lt;=Roster!$D249,FALSE),"",IF(OR(IF(Setup!$C$15&lt;=Setup!$C$16,AND(MONTH(P249)&gt;=Setup!$C$15,MONTH(P249)&lt;=Setup!$C$16),OR(MONTH(P249)&gt;=Setup!$C$15,MONTH(P249)&lt;=Setup!$C$16)),IF(Setup!$C$15&lt;=Setup!$C$16,AND(MONTH(WORKDAY(P249,-(Setup!$C$13+Setup!$G$34),Setup!$C$39:$C$50))&gt;=Setup!$C$15,MONTH(WORKDAY(P249,-(Setup!$C$13+Setup!$G$34),Setup!$C$39:$C$50))&lt;=Setup!$C$16),OR(MONTH(WORKDAY(P249,-(Setup!$C$13+Setup!$G$34),Setup!$C$39:$C$50))&gt;=Setup!$C$15,MONTH(WORKDAY(P249,-(Setup!$C$13+Setup!$G$34),Setup!$C$39:$C$50))&lt;=Setup!$C$16))),WORKDAY(P249,-(Setup!$C$13+Setup!$G$34+Setup!$C$14),Setup!$C$39:$C$50),WORKDAY(P249,-(Setup!$C$13+Setup!$G$34),Setup!$C$39:$C$50))+(244*100+15)/10000000)))</f>
        <v/>
      </c>
      <c r="AH249" t="str">
        <f t="shared" si="25"/>
        <v/>
      </c>
      <c r="AI249" t="str">
        <f t="shared" si="26"/>
        <v/>
      </c>
      <c r="AK249" t="str">
        <f ca="1">IF(244&gt;$AK$2,"",SMALL($R$6:$AF$505,244))</f>
        <v/>
      </c>
      <c r="AL249" t="str">
        <f t="shared" ca="1" si="27"/>
        <v/>
      </c>
      <c r="AM249" t="str">
        <f t="shared" ca="1" si="28"/>
        <v/>
      </c>
      <c r="AN249" t="str">
        <f t="shared" ca="1" si="29"/>
        <v/>
      </c>
      <c r="AP249" t="str">
        <f>IF(ISNUMBER(Roster!$B249),MAX(1,YEAR(Setup!$C$5)-YEAR(Roster!$B249)+IF(EDATE(Roster!$B249,12*(YEAR(Setup!$C$5)-YEAR(Roster!$B249)))&lt;Setup!$C$5,1,0)),"")</f>
        <v/>
      </c>
      <c r="AQ249" s="32" t="str">
        <f>IF(AP249="","",EDATE(Roster!$B249,12*AP249))</f>
        <v/>
      </c>
      <c r="AR249" t="str">
        <f>IF(AQ249="","",IF(AQ249&lt;DATE(YEAR(Setup!$C$5)+1,MONTH(Setup!$C$5),DAY(Setup!$C$5)),AQ249+244/1000,""))</f>
        <v/>
      </c>
      <c r="AS249" t="str">
        <f t="shared" si="30"/>
        <v/>
      </c>
      <c r="AT249" t="str">
        <f>IF(AS249="","",IF(ISNUMBER(Roster!$D249),Roster!$D249&gt;=AP249,FALSE))</f>
        <v/>
      </c>
      <c r="AU249" t="str">
        <f t="shared" si="31"/>
        <v/>
      </c>
      <c r="AV249" t="str">
        <f ca="1">IF(244&gt;$AV$2,"",SMALL($AR$6:$AR$505,244))</f>
        <v/>
      </c>
      <c r="AW249" t="str">
        <f t="shared" ca="1" si="32"/>
        <v/>
      </c>
    </row>
    <row r="250" spans="2:49" x14ac:dyDescent="0.2">
      <c r="B250" s="32" t="str">
        <f>IF(AND(ISNUMBER(Roster!$B250),Setup!$B$20="Yes",ISNUMBER(Setup!$C$20)),EDATE(Roster!$B250,12*Setup!$C$20),"")</f>
        <v/>
      </c>
      <c r="C250" s="32" t="str">
        <f>IF(AND(ISNUMBER(Roster!$B250),Setup!$B$21="Yes",ISNUMBER(Setup!$C$21)),EDATE(Roster!$B250,12*Setup!$C$21),"")</f>
        <v/>
      </c>
      <c r="D250" s="32" t="str">
        <f>IF(AND(ISNUMBER(Roster!$B250),Setup!$B$22="Yes",ISNUMBER(Setup!$C$22)),EDATE(Roster!$B250,12*Setup!$C$22),"")</f>
        <v/>
      </c>
      <c r="E250" s="32" t="str">
        <f>IF(AND(ISNUMBER(Roster!$B250),Setup!$B$23="Yes",ISNUMBER(Setup!$C$23)),EDATE(Roster!$B250,12*Setup!$C$23),"")</f>
        <v/>
      </c>
      <c r="F250" s="32" t="str">
        <f>IF(AND(ISNUMBER(Roster!$B250),Setup!$B$24="Yes",ISNUMBER(Setup!$C$24)),EDATE(Roster!$B250,12*Setup!$C$24),"")</f>
        <v/>
      </c>
      <c r="G250" s="32" t="str">
        <f>IF(AND(ISNUMBER(Roster!$B250),Setup!$B$25="Yes",ISNUMBER(Setup!$C$25)),EDATE(Roster!$B250,12*Setup!$C$25),"")</f>
        <v/>
      </c>
      <c r="H250" s="32" t="str">
        <f>IF(AND(ISNUMBER(Roster!$B250),Setup!$B$26="Yes",ISNUMBER(Setup!$C$26)),EDATE(Roster!$B250,12*Setup!$C$26),"")</f>
        <v/>
      </c>
      <c r="I250" s="32" t="str">
        <f>IF(AND(ISNUMBER(Roster!$B250),Setup!$B$27="Yes",ISNUMBER(Setup!$C$27)),EDATE(Roster!$B250,12*Setup!$C$27),"")</f>
        <v/>
      </c>
      <c r="J250" s="32" t="str">
        <f>IF(AND(ISNUMBER(Roster!$B250),Setup!$B$28="Yes",ISNUMBER(Setup!$C$28)),EDATE(Roster!$B250,12*Setup!$C$28),"")</f>
        <v/>
      </c>
      <c r="K250" s="32" t="str">
        <f>IF(AND(ISNUMBER(Roster!$B250),Setup!$B$29="Yes",ISNUMBER(Setup!$C$29)),EDATE(Roster!$B250,12*Setup!$C$29),"")</f>
        <v/>
      </c>
      <c r="L250" s="32" t="str">
        <f>IF(AND(ISNUMBER(Roster!$B250),Setup!$B$30="Yes",ISNUMBER(Setup!$C$30)),EDATE(Roster!$B250,12*Setup!$C$30),"")</f>
        <v/>
      </c>
      <c r="M250" s="32" t="str">
        <f>IF(AND(ISNUMBER(Roster!$B250),Setup!$B$31="Yes",ISNUMBER(Setup!$C$31)),EDATE(Roster!$B250,12*Setup!$C$31),"")</f>
        <v/>
      </c>
      <c r="N250" s="32" t="str">
        <f>IF(AND(ISNUMBER(Roster!$B250),Setup!$B$32="Yes",ISNUMBER(Setup!$C$32)),EDATE(Roster!$B250,12*Setup!$C$32),"")</f>
        <v/>
      </c>
      <c r="O250" s="32" t="str">
        <f>IF(AND(ISNUMBER(Roster!$B250),Setup!$B$33="Yes",ISNUMBER(Setup!$C$33)),EDATE(Roster!$B250,12*Setup!$C$33),"")</f>
        <v/>
      </c>
      <c r="P250" s="32" t="str">
        <f>IF(AND(ISNUMBER(Roster!$B250),Setup!$B$34="Yes",ISNUMBER(Setup!$C$34)),EDATE(Roster!$B250,12*Setup!$C$34),"")</f>
        <v/>
      </c>
      <c r="R250" t="str">
        <f>IF(B250="","",IF(B250&lt;Setup!$C$5-Setup!$C$6,"",IF(IF(ISNUMBER(Roster!$D250),Setup!$C$20&lt;=Roster!$D250,FALSE),"",IF(OR(IF(Setup!$C$15&lt;=Setup!$C$16,AND(MONTH(B250)&gt;=Setup!$C$15,MONTH(B250)&lt;=Setup!$C$16),OR(MONTH(B250)&gt;=Setup!$C$15,MONTH(B250)&lt;=Setup!$C$16)),IF(Setup!$C$15&lt;=Setup!$C$16,AND(MONTH(WORKDAY(B250,-(Setup!$C$13+Setup!$G$20),Setup!$C$39:$C$50))&gt;=Setup!$C$15,MONTH(WORKDAY(B250,-(Setup!$C$13+Setup!$G$20),Setup!$C$39:$C$50))&lt;=Setup!$C$16),OR(MONTH(WORKDAY(B250,-(Setup!$C$13+Setup!$G$20),Setup!$C$39:$C$50))&gt;=Setup!$C$15,MONTH(WORKDAY(B250,-(Setup!$C$13+Setup!$G$20),Setup!$C$39:$C$50))&lt;=Setup!$C$16))),WORKDAY(B250,-(Setup!$C$13+Setup!$G$20+Setup!$C$14),Setup!$C$39:$C$50),WORKDAY(B250,-(Setup!$C$13+Setup!$G$20),Setup!$C$39:$C$50))+(245*100+1)/10000000)))</f>
        <v/>
      </c>
      <c r="S250" t="str">
        <f>IF(C250="","",IF(C250&lt;Setup!$C$5-Setup!$C$6,"",IF(IF(ISNUMBER(Roster!$D250),Setup!$C$21&lt;=Roster!$D250,FALSE),"",IF(OR(IF(Setup!$C$15&lt;=Setup!$C$16,AND(MONTH(C250)&gt;=Setup!$C$15,MONTH(C250)&lt;=Setup!$C$16),OR(MONTH(C250)&gt;=Setup!$C$15,MONTH(C250)&lt;=Setup!$C$16)),IF(Setup!$C$15&lt;=Setup!$C$16,AND(MONTH(WORKDAY(C250,-(Setup!$C$13+Setup!$G$21),Setup!$C$39:$C$50))&gt;=Setup!$C$15,MONTH(WORKDAY(C250,-(Setup!$C$13+Setup!$G$21),Setup!$C$39:$C$50))&lt;=Setup!$C$16),OR(MONTH(WORKDAY(C250,-(Setup!$C$13+Setup!$G$21),Setup!$C$39:$C$50))&gt;=Setup!$C$15,MONTH(WORKDAY(C250,-(Setup!$C$13+Setup!$G$21),Setup!$C$39:$C$50))&lt;=Setup!$C$16))),WORKDAY(C250,-(Setup!$C$13+Setup!$G$21+Setup!$C$14),Setup!$C$39:$C$50),WORKDAY(C250,-(Setup!$C$13+Setup!$G$21),Setup!$C$39:$C$50))+(245*100+2)/10000000)))</f>
        <v/>
      </c>
      <c r="T250" t="str">
        <f>IF(D250="","",IF(D250&lt;Setup!$C$5-Setup!$C$6,"",IF(IF(ISNUMBER(Roster!$D250),Setup!$C$22&lt;=Roster!$D250,FALSE),"",IF(OR(IF(Setup!$C$15&lt;=Setup!$C$16,AND(MONTH(D250)&gt;=Setup!$C$15,MONTH(D250)&lt;=Setup!$C$16),OR(MONTH(D250)&gt;=Setup!$C$15,MONTH(D250)&lt;=Setup!$C$16)),IF(Setup!$C$15&lt;=Setup!$C$16,AND(MONTH(WORKDAY(D250,-(Setup!$C$13+Setup!$G$22),Setup!$C$39:$C$50))&gt;=Setup!$C$15,MONTH(WORKDAY(D250,-(Setup!$C$13+Setup!$G$22),Setup!$C$39:$C$50))&lt;=Setup!$C$16),OR(MONTH(WORKDAY(D250,-(Setup!$C$13+Setup!$G$22),Setup!$C$39:$C$50))&gt;=Setup!$C$15,MONTH(WORKDAY(D250,-(Setup!$C$13+Setup!$G$22),Setup!$C$39:$C$50))&lt;=Setup!$C$16))),WORKDAY(D250,-(Setup!$C$13+Setup!$G$22+Setup!$C$14),Setup!$C$39:$C$50),WORKDAY(D250,-(Setup!$C$13+Setup!$G$22),Setup!$C$39:$C$50))+(245*100+3)/10000000)))</f>
        <v/>
      </c>
      <c r="U250" t="str">
        <f>IF(E250="","",IF(E250&lt;Setup!$C$5-Setup!$C$6,"",IF(IF(ISNUMBER(Roster!$D250),Setup!$C$23&lt;=Roster!$D250,FALSE),"",IF(OR(IF(Setup!$C$15&lt;=Setup!$C$16,AND(MONTH(E250)&gt;=Setup!$C$15,MONTH(E250)&lt;=Setup!$C$16),OR(MONTH(E250)&gt;=Setup!$C$15,MONTH(E250)&lt;=Setup!$C$16)),IF(Setup!$C$15&lt;=Setup!$C$16,AND(MONTH(WORKDAY(E250,-(Setup!$C$13+Setup!$G$23),Setup!$C$39:$C$50))&gt;=Setup!$C$15,MONTH(WORKDAY(E250,-(Setup!$C$13+Setup!$G$23),Setup!$C$39:$C$50))&lt;=Setup!$C$16),OR(MONTH(WORKDAY(E250,-(Setup!$C$13+Setup!$G$23),Setup!$C$39:$C$50))&gt;=Setup!$C$15,MONTH(WORKDAY(E250,-(Setup!$C$13+Setup!$G$23),Setup!$C$39:$C$50))&lt;=Setup!$C$16))),WORKDAY(E250,-(Setup!$C$13+Setup!$G$23+Setup!$C$14),Setup!$C$39:$C$50),WORKDAY(E250,-(Setup!$C$13+Setup!$G$23),Setup!$C$39:$C$50))+(245*100+4)/10000000)))</f>
        <v/>
      </c>
      <c r="V250" t="str">
        <f>IF(F250="","",IF(F250&lt;Setup!$C$5-Setup!$C$6,"",IF(IF(ISNUMBER(Roster!$D250),Setup!$C$24&lt;=Roster!$D250,FALSE),"",IF(OR(IF(Setup!$C$15&lt;=Setup!$C$16,AND(MONTH(F250)&gt;=Setup!$C$15,MONTH(F250)&lt;=Setup!$C$16),OR(MONTH(F250)&gt;=Setup!$C$15,MONTH(F250)&lt;=Setup!$C$16)),IF(Setup!$C$15&lt;=Setup!$C$16,AND(MONTH(WORKDAY(F250,-(Setup!$C$13+Setup!$G$24),Setup!$C$39:$C$50))&gt;=Setup!$C$15,MONTH(WORKDAY(F250,-(Setup!$C$13+Setup!$G$24),Setup!$C$39:$C$50))&lt;=Setup!$C$16),OR(MONTH(WORKDAY(F250,-(Setup!$C$13+Setup!$G$24),Setup!$C$39:$C$50))&gt;=Setup!$C$15,MONTH(WORKDAY(F250,-(Setup!$C$13+Setup!$G$24),Setup!$C$39:$C$50))&lt;=Setup!$C$16))),WORKDAY(F250,-(Setup!$C$13+Setup!$G$24+Setup!$C$14),Setup!$C$39:$C$50),WORKDAY(F250,-(Setup!$C$13+Setup!$G$24),Setup!$C$39:$C$50))+(245*100+5)/10000000)))</f>
        <v/>
      </c>
      <c r="W250" t="str">
        <f>IF(G250="","",IF(G250&lt;Setup!$C$5-Setup!$C$6,"",IF(IF(ISNUMBER(Roster!$D250),Setup!$C$25&lt;=Roster!$D250,FALSE),"",IF(OR(IF(Setup!$C$15&lt;=Setup!$C$16,AND(MONTH(G250)&gt;=Setup!$C$15,MONTH(G250)&lt;=Setup!$C$16),OR(MONTH(G250)&gt;=Setup!$C$15,MONTH(G250)&lt;=Setup!$C$16)),IF(Setup!$C$15&lt;=Setup!$C$16,AND(MONTH(WORKDAY(G250,-(Setup!$C$13+Setup!$G$25),Setup!$C$39:$C$50))&gt;=Setup!$C$15,MONTH(WORKDAY(G250,-(Setup!$C$13+Setup!$G$25),Setup!$C$39:$C$50))&lt;=Setup!$C$16),OR(MONTH(WORKDAY(G250,-(Setup!$C$13+Setup!$G$25),Setup!$C$39:$C$50))&gt;=Setup!$C$15,MONTH(WORKDAY(G250,-(Setup!$C$13+Setup!$G$25),Setup!$C$39:$C$50))&lt;=Setup!$C$16))),WORKDAY(G250,-(Setup!$C$13+Setup!$G$25+Setup!$C$14),Setup!$C$39:$C$50),WORKDAY(G250,-(Setup!$C$13+Setup!$G$25),Setup!$C$39:$C$50))+(245*100+6)/10000000)))</f>
        <v/>
      </c>
      <c r="X250" t="str">
        <f>IF(H250="","",IF(H250&lt;Setup!$C$5-Setup!$C$6,"",IF(IF(ISNUMBER(Roster!$D250),Setup!$C$26&lt;=Roster!$D250,FALSE),"",IF(OR(IF(Setup!$C$15&lt;=Setup!$C$16,AND(MONTH(H250)&gt;=Setup!$C$15,MONTH(H250)&lt;=Setup!$C$16),OR(MONTH(H250)&gt;=Setup!$C$15,MONTH(H250)&lt;=Setup!$C$16)),IF(Setup!$C$15&lt;=Setup!$C$16,AND(MONTH(WORKDAY(H250,-(Setup!$C$13+Setup!$G$26),Setup!$C$39:$C$50))&gt;=Setup!$C$15,MONTH(WORKDAY(H250,-(Setup!$C$13+Setup!$G$26),Setup!$C$39:$C$50))&lt;=Setup!$C$16),OR(MONTH(WORKDAY(H250,-(Setup!$C$13+Setup!$G$26),Setup!$C$39:$C$50))&gt;=Setup!$C$15,MONTH(WORKDAY(H250,-(Setup!$C$13+Setup!$G$26),Setup!$C$39:$C$50))&lt;=Setup!$C$16))),WORKDAY(H250,-(Setup!$C$13+Setup!$G$26+Setup!$C$14),Setup!$C$39:$C$50),WORKDAY(H250,-(Setup!$C$13+Setup!$G$26),Setup!$C$39:$C$50))+(245*100+7)/10000000)))</f>
        <v/>
      </c>
      <c r="Y250" t="str">
        <f>IF(I250="","",IF(I250&lt;Setup!$C$5-Setup!$C$6,"",IF(IF(ISNUMBER(Roster!$D250),Setup!$C$27&lt;=Roster!$D250,FALSE),"",IF(OR(IF(Setup!$C$15&lt;=Setup!$C$16,AND(MONTH(I250)&gt;=Setup!$C$15,MONTH(I250)&lt;=Setup!$C$16),OR(MONTH(I250)&gt;=Setup!$C$15,MONTH(I250)&lt;=Setup!$C$16)),IF(Setup!$C$15&lt;=Setup!$C$16,AND(MONTH(WORKDAY(I250,-(Setup!$C$13+Setup!$G$27),Setup!$C$39:$C$50))&gt;=Setup!$C$15,MONTH(WORKDAY(I250,-(Setup!$C$13+Setup!$G$27),Setup!$C$39:$C$50))&lt;=Setup!$C$16),OR(MONTH(WORKDAY(I250,-(Setup!$C$13+Setup!$G$27),Setup!$C$39:$C$50))&gt;=Setup!$C$15,MONTH(WORKDAY(I250,-(Setup!$C$13+Setup!$G$27),Setup!$C$39:$C$50))&lt;=Setup!$C$16))),WORKDAY(I250,-(Setup!$C$13+Setup!$G$27+Setup!$C$14),Setup!$C$39:$C$50),WORKDAY(I250,-(Setup!$C$13+Setup!$G$27),Setup!$C$39:$C$50))+(245*100+8)/10000000)))</f>
        <v/>
      </c>
      <c r="Z250" t="str">
        <f>IF(J250="","",IF(J250&lt;Setup!$C$5-Setup!$C$6,"",IF(IF(ISNUMBER(Roster!$D250),Setup!$C$28&lt;=Roster!$D250,FALSE),"",IF(OR(IF(Setup!$C$15&lt;=Setup!$C$16,AND(MONTH(J250)&gt;=Setup!$C$15,MONTH(J250)&lt;=Setup!$C$16),OR(MONTH(J250)&gt;=Setup!$C$15,MONTH(J250)&lt;=Setup!$C$16)),IF(Setup!$C$15&lt;=Setup!$C$16,AND(MONTH(WORKDAY(J250,-(Setup!$C$13+Setup!$G$28),Setup!$C$39:$C$50))&gt;=Setup!$C$15,MONTH(WORKDAY(J250,-(Setup!$C$13+Setup!$G$28),Setup!$C$39:$C$50))&lt;=Setup!$C$16),OR(MONTH(WORKDAY(J250,-(Setup!$C$13+Setup!$G$28),Setup!$C$39:$C$50))&gt;=Setup!$C$15,MONTH(WORKDAY(J250,-(Setup!$C$13+Setup!$G$28),Setup!$C$39:$C$50))&lt;=Setup!$C$16))),WORKDAY(J250,-(Setup!$C$13+Setup!$G$28+Setup!$C$14),Setup!$C$39:$C$50),WORKDAY(J250,-(Setup!$C$13+Setup!$G$28),Setup!$C$39:$C$50))+(245*100+9)/10000000)))</f>
        <v/>
      </c>
      <c r="AA250" t="str">
        <f>IF(K250="","",IF(K250&lt;Setup!$C$5-Setup!$C$6,"",IF(IF(ISNUMBER(Roster!$D250),Setup!$C$29&lt;=Roster!$D250,FALSE),"",IF(OR(IF(Setup!$C$15&lt;=Setup!$C$16,AND(MONTH(K250)&gt;=Setup!$C$15,MONTH(K250)&lt;=Setup!$C$16),OR(MONTH(K250)&gt;=Setup!$C$15,MONTH(K250)&lt;=Setup!$C$16)),IF(Setup!$C$15&lt;=Setup!$C$16,AND(MONTH(WORKDAY(K250,-(Setup!$C$13+Setup!$G$29),Setup!$C$39:$C$50))&gt;=Setup!$C$15,MONTH(WORKDAY(K250,-(Setup!$C$13+Setup!$G$29),Setup!$C$39:$C$50))&lt;=Setup!$C$16),OR(MONTH(WORKDAY(K250,-(Setup!$C$13+Setup!$G$29),Setup!$C$39:$C$50))&gt;=Setup!$C$15,MONTH(WORKDAY(K250,-(Setup!$C$13+Setup!$G$29),Setup!$C$39:$C$50))&lt;=Setup!$C$16))),WORKDAY(K250,-(Setup!$C$13+Setup!$G$29+Setup!$C$14),Setup!$C$39:$C$50),WORKDAY(K250,-(Setup!$C$13+Setup!$G$29),Setup!$C$39:$C$50))+(245*100+10)/10000000)))</f>
        <v/>
      </c>
      <c r="AB250" t="str">
        <f>IF(L250="","",IF(L250&lt;Setup!$C$5-Setup!$C$6,"",IF(IF(ISNUMBER(Roster!$D250),Setup!$C$30&lt;=Roster!$D250,FALSE),"",IF(OR(IF(Setup!$C$15&lt;=Setup!$C$16,AND(MONTH(L250)&gt;=Setup!$C$15,MONTH(L250)&lt;=Setup!$C$16),OR(MONTH(L250)&gt;=Setup!$C$15,MONTH(L250)&lt;=Setup!$C$16)),IF(Setup!$C$15&lt;=Setup!$C$16,AND(MONTH(WORKDAY(L250,-(Setup!$C$13+Setup!$G$30),Setup!$C$39:$C$50))&gt;=Setup!$C$15,MONTH(WORKDAY(L250,-(Setup!$C$13+Setup!$G$30),Setup!$C$39:$C$50))&lt;=Setup!$C$16),OR(MONTH(WORKDAY(L250,-(Setup!$C$13+Setup!$G$30),Setup!$C$39:$C$50))&gt;=Setup!$C$15,MONTH(WORKDAY(L250,-(Setup!$C$13+Setup!$G$30),Setup!$C$39:$C$50))&lt;=Setup!$C$16))),WORKDAY(L250,-(Setup!$C$13+Setup!$G$30+Setup!$C$14),Setup!$C$39:$C$50),WORKDAY(L250,-(Setup!$C$13+Setup!$G$30),Setup!$C$39:$C$50))+(245*100+11)/10000000)))</f>
        <v/>
      </c>
      <c r="AC250" t="str">
        <f>IF(M250="","",IF(M250&lt;Setup!$C$5-Setup!$C$6,"",IF(IF(ISNUMBER(Roster!$D250),Setup!$C$31&lt;=Roster!$D250,FALSE),"",IF(OR(IF(Setup!$C$15&lt;=Setup!$C$16,AND(MONTH(M250)&gt;=Setup!$C$15,MONTH(M250)&lt;=Setup!$C$16),OR(MONTH(M250)&gt;=Setup!$C$15,MONTH(M250)&lt;=Setup!$C$16)),IF(Setup!$C$15&lt;=Setup!$C$16,AND(MONTH(WORKDAY(M250,-(Setup!$C$13+Setup!$G$31),Setup!$C$39:$C$50))&gt;=Setup!$C$15,MONTH(WORKDAY(M250,-(Setup!$C$13+Setup!$G$31),Setup!$C$39:$C$50))&lt;=Setup!$C$16),OR(MONTH(WORKDAY(M250,-(Setup!$C$13+Setup!$G$31),Setup!$C$39:$C$50))&gt;=Setup!$C$15,MONTH(WORKDAY(M250,-(Setup!$C$13+Setup!$G$31),Setup!$C$39:$C$50))&lt;=Setup!$C$16))),WORKDAY(M250,-(Setup!$C$13+Setup!$G$31+Setup!$C$14),Setup!$C$39:$C$50),WORKDAY(M250,-(Setup!$C$13+Setup!$G$31),Setup!$C$39:$C$50))+(245*100+12)/10000000)))</f>
        <v/>
      </c>
      <c r="AD250" t="str">
        <f>IF(N250="","",IF(N250&lt;Setup!$C$5-Setup!$C$6,"",IF(IF(ISNUMBER(Roster!$D250),Setup!$C$32&lt;=Roster!$D250,FALSE),"",IF(OR(IF(Setup!$C$15&lt;=Setup!$C$16,AND(MONTH(N250)&gt;=Setup!$C$15,MONTH(N250)&lt;=Setup!$C$16),OR(MONTH(N250)&gt;=Setup!$C$15,MONTH(N250)&lt;=Setup!$C$16)),IF(Setup!$C$15&lt;=Setup!$C$16,AND(MONTH(WORKDAY(N250,-(Setup!$C$13+Setup!$G$32),Setup!$C$39:$C$50))&gt;=Setup!$C$15,MONTH(WORKDAY(N250,-(Setup!$C$13+Setup!$G$32),Setup!$C$39:$C$50))&lt;=Setup!$C$16),OR(MONTH(WORKDAY(N250,-(Setup!$C$13+Setup!$G$32),Setup!$C$39:$C$50))&gt;=Setup!$C$15,MONTH(WORKDAY(N250,-(Setup!$C$13+Setup!$G$32),Setup!$C$39:$C$50))&lt;=Setup!$C$16))),WORKDAY(N250,-(Setup!$C$13+Setup!$G$32+Setup!$C$14),Setup!$C$39:$C$50),WORKDAY(N250,-(Setup!$C$13+Setup!$G$32),Setup!$C$39:$C$50))+(245*100+13)/10000000)))</f>
        <v/>
      </c>
      <c r="AE250" t="str">
        <f>IF(O250="","",IF(O250&lt;Setup!$C$5-Setup!$C$6,"",IF(IF(ISNUMBER(Roster!$D250),Setup!$C$33&lt;=Roster!$D250,FALSE),"",IF(OR(IF(Setup!$C$15&lt;=Setup!$C$16,AND(MONTH(O250)&gt;=Setup!$C$15,MONTH(O250)&lt;=Setup!$C$16),OR(MONTH(O250)&gt;=Setup!$C$15,MONTH(O250)&lt;=Setup!$C$16)),IF(Setup!$C$15&lt;=Setup!$C$16,AND(MONTH(WORKDAY(O250,-(Setup!$C$13+Setup!$G$33),Setup!$C$39:$C$50))&gt;=Setup!$C$15,MONTH(WORKDAY(O250,-(Setup!$C$13+Setup!$G$33),Setup!$C$39:$C$50))&lt;=Setup!$C$16),OR(MONTH(WORKDAY(O250,-(Setup!$C$13+Setup!$G$33),Setup!$C$39:$C$50))&gt;=Setup!$C$15,MONTH(WORKDAY(O250,-(Setup!$C$13+Setup!$G$33),Setup!$C$39:$C$50))&lt;=Setup!$C$16))),WORKDAY(O250,-(Setup!$C$13+Setup!$G$33+Setup!$C$14),Setup!$C$39:$C$50),WORKDAY(O250,-(Setup!$C$13+Setup!$G$33),Setup!$C$39:$C$50))+(245*100+14)/10000000)))</f>
        <v/>
      </c>
      <c r="AF250" t="str">
        <f>IF(P250="","",IF(P250&lt;Setup!$C$5-Setup!$C$6,"",IF(IF(ISNUMBER(Roster!$D250),Setup!$C$34&lt;=Roster!$D250,FALSE),"",IF(OR(IF(Setup!$C$15&lt;=Setup!$C$16,AND(MONTH(P250)&gt;=Setup!$C$15,MONTH(P250)&lt;=Setup!$C$16),OR(MONTH(P250)&gt;=Setup!$C$15,MONTH(P250)&lt;=Setup!$C$16)),IF(Setup!$C$15&lt;=Setup!$C$16,AND(MONTH(WORKDAY(P250,-(Setup!$C$13+Setup!$G$34),Setup!$C$39:$C$50))&gt;=Setup!$C$15,MONTH(WORKDAY(P250,-(Setup!$C$13+Setup!$G$34),Setup!$C$39:$C$50))&lt;=Setup!$C$16),OR(MONTH(WORKDAY(P250,-(Setup!$C$13+Setup!$G$34),Setup!$C$39:$C$50))&gt;=Setup!$C$15,MONTH(WORKDAY(P250,-(Setup!$C$13+Setup!$G$34),Setup!$C$39:$C$50))&lt;=Setup!$C$16))),WORKDAY(P250,-(Setup!$C$13+Setup!$G$34+Setup!$C$14),Setup!$C$39:$C$50),WORKDAY(P250,-(Setup!$C$13+Setup!$G$34),Setup!$C$39:$C$50))+(245*100+15)/10000000)))</f>
        <v/>
      </c>
      <c r="AH250" t="str">
        <f t="shared" si="25"/>
        <v/>
      </c>
      <c r="AI250" t="str">
        <f t="shared" si="26"/>
        <v/>
      </c>
      <c r="AK250" t="str">
        <f ca="1">IF(245&gt;$AK$2,"",SMALL($R$6:$AF$505,245))</f>
        <v/>
      </c>
      <c r="AL250" t="str">
        <f t="shared" ca="1" si="27"/>
        <v/>
      </c>
      <c r="AM250" t="str">
        <f t="shared" ca="1" si="28"/>
        <v/>
      </c>
      <c r="AN250" t="str">
        <f t="shared" ca="1" si="29"/>
        <v/>
      </c>
      <c r="AP250" t="str">
        <f>IF(ISNUMBER(Roster!$B250),MAX(1,YEAR(Setup!$C$5)-YEAR(Roster!$B250)+IF(EDATE(Roster!$B250,12*(YEAR(Setup!$C$5)-YEAR(Roster!$B250)))&lt;Setup!$C$5,1,0)),"")</f>
        <v/>
      </c>
      <c r="AQ250" s="32" t="str">
        <f>IF(AP250="","",EDATE(Roster!$B250,12*AP250))</f>
        <v/>
      </c>
      <c r="AR250" t="str">
        <f>IF(AQ250="","",IF(AQ250&lt;DATE(YEAR(Setup!$C$5)+1,MONTH(Setup!$C$5),DAY(Setup!$C$5)),AQ250+245/1000,""))</f>
        <v/>
      </c>
      <c r="AS250" t="str">
        <f t="shared" si="30"/>
        <v/>
      </c>
      <c r="AT250" t="str">
        <f>IF(AS250="","",IF(ISNUMBER(Roster!$D250),Roster!$D250&gt;=AP250,FALSE))</f>
        <v/>
      </c>
      <c r="AU250" t="str">
        <f t="shared" si="31"/>
        <v/>
      </c>
      <c r="AV250" t="str">
        <f ca="1">IF(245&gt;$AV$2,"",SMALL($AR$6:$AR$505,245))</f>
        <v/>
      </c>
      <c r="AW250" t="str">
        <f t="shared" ca="1" si="32"/>
        <v/>
      </c>
    </row>
    <row r="251" spans="2:49" x14ac:dyDescent="0.2">
      <c r="B251" s="32" t="str">
        <f>IF(AND(ISNUMBER(Roster!$B251),Setup!$B$20="Yes",ISNUMBER(Setup!$C$20)),EDATE(Roster!$B251,12*Setup!$C$20),"")</f>
        <v/>
      </c>
      <c r="C251" s="32" t="str">
        <f>IF(AND(ISNUMBER(Roster!$B251),Setup!$B$21="Yes",ISNUMBER(Setup!$C$21)),EDATE(Roster!$B251,12*Setup!$C$21),"")</f>
        <v/>
      </c>
      <c r="D251" s="32" t="str">
        <f>IF(AND(ISNUMBER(Roster!$B251),Setup!$B$22="Yes",ISNUMBER(Setup!$C$22)),EDATE(Roster!$B251,12*Setup!$C$22),"")</f>
        <v/>
      </c>
      <c r="E251" s="32" t="str">
        <f>IF(AND(ISNUMBER(Roster!$B251),Setup!$B$23="Yes",ISNUMBER(Setup!$C$23)),EDATE(Roster!$B251,12*Setup!$C$23),"")</f>
        <v/>
      </c>
      <c r="F251" s="32" t="str">
        <f>IF(AND(ISNUMBER(Roster!$B251),Setup!$B$24="Yes",ISNUMBER(Setup!$C$24)),EDATE(Roster!$B251,12*Setup!$C$24),"")</f>
        <v/>
      </c>
      <c r="G251" s="32" t="str">
        <f>IF(AND(ISNUMBER(Roster!$B251),Setup!$B$25="Yes",ISNUMBER(Setup!$C$25)),EDATE(Roster!$B251,12*Setup!$C$25),"")</f>
        <v/>
      </c>
      <c r="H251" s="32" t="str">
        <f>IF(AND(ISNUMBER(Roster!$B251),Setup!$B$26="Yes",ISNUMBER(Setup!$C$26)),EDATE(Roster!$B251,12*Setup!$C$26),"")</f>
        <v/>
      </c>
      <c r="I251" s="32" t="str">
        <f>IF(AND(ISNUMBER(Roster!$B251),Setup!$B$27="Yes",ISNUMBER(Setup!$C$27)),EDATE(Roster!$B251,12*Setup!$C$27),"")</f>
        <v/>
      </c>
      <c r="J251" s="32" t="str">
        <f>IF(AND(ISNUMBER(Roster!$B251),Setup!$B$28="Yes",ISNUMBER(Setup!$C$28)),EDATE(Roster!$B251,12*Setup!$C$28),"")</f>
        <v/>
      </c>
      <c r="K251" s="32" t="str">
        <f>IF(AND(ISNUMBER(Roster!$B251),Setup!$B$29="Yes",ISNUMBER(Setup!$C$29)),EDATE(Roster!$B251,12*Setup!$C$29),"")</f>
        <v/>
      </c>
      <c r="L251" s="32" t="str">
        <f>IF(AND(ISNUMBER(Roster!$B251),Setup!$B$30="Yes",ISNUMBER(Setup!$C$30)),EDATE(Roster!$B251,12*Setup!$C$30),"")</f>
        <v/>
      </c>
      <c r="M251" s="32" t="str">
        <f>IF(AND(ISNUMBER(Roster!$B251),Setup!$B$31="Yes",ISNUMBER(Setup!$C$31)),EDATE(Roster!$B251,12*Setup!$C$31),"")</f>
        <v/>
      </c>
      <c r="N251" s="32" t="str">
        <f>IF(AND(ISNUMBER(Roster!$B251),Setup!$B$32="Yes",ISNUMBER(Setup!$C$32)),EDATE(Roster!$B251,12*Setup!$C$32),"")</f>
        <v/>
      </c>
      <c r="O251" s="32" t="str">
        <f>IF(AND(ISNUMBER(Roster!$B251),Setup!$B$33="Yes",ISNUMBER(Setup!$C$33)),EDATE(Roster!$B251,12*Setup!$C$33),"")</f>
        <v/>
      </c>
      <c r="P251" s="32" t="str">
        <f>IF(AND(ISNUMBER(Roster!$B251),Setup!$B$34="Yes",ISNUMBER(Setup!$C$34)),EDATE(Roster!$B251,12*Setup!$C$34),"")</f>
        <v/>
      </c>
      <c r="R251" t="str">
        <f>IF(B251="","",IF(B251&lt;Setup!$C$5-Setup!$C$6,"",IF(IF(ISNUMBER(Roster!$D251),Setup!$C$20&lt;=Roster!$D251,FALSE),"",IF(OR(IF(Setup!$C$15&lt;=Setup!$C$16,AND(MONTH(B251)&gt;=Setup!$C$15,MONTH(B251)&lt;=Setup!$C$16),OR(MONTH(B251)&gt;=Setup!$C$15,MONTH(B251)&lt;=Setup!$C$16)),IF(Setup!$C$15&lt;=Setup!$C$16,AND(MONTH(WORKDAY(B251,-(Setup!$C$13+Setup!$G$20),Setup!$C$39:$C$50))&gt;=Setup!$C$15,MONTH(WORKDAY(B251,-(Setup!$C$13+Setup!$G$20),Setup!$C$39:$C$50))&lt;=Setup!$C$16),OR(MONTH(WORKDAY(B251,-(Setup!$C$13+Setup!$G$20),Setup!$C$39:$C$50))&gt;=Setup!$C$15,MONTH(WORKDAY(B251,-(Setup!$C$13+Setup!$G$20),Setup!$C$39:$C$50))&lt;=Setup!$C$16))),WORKDAY(B251,-(Setup!$C$13+Setup!$G$20+Setup!$C$14),Setup!$C$39:$C$50),WORKDAY(B251,-(Setup!$C$13+Setup!$G$20),Setup!$C$39:$C$50))+(246*100+1)/10000000)))</f>
        <v/>
      </c>
      <c r="S251" t="str">
        <f>IF(C251="","",IF(C251&lt;Setup!$C$5-Setup!$C$6,"",IF(IF(ISNUMBER(Roster!$D251),Setup!$C$21&lt;=Roster!$D251,FALSE),"",IF(OR(IF(Setup!$C$15&lt;=Setup!$C$16,AND(MONTH(C251)&gt;=Setup!$C$15,MONTH(C251)&lt;=Setup!$C$16),OR(MONTH(C251)&gt;=Setup!$C$15,MONTH(C251)&lt;=Setup!$C$16)),IF(Setup!$C$15&lt;=Setup!$C$16,AND(MONTH(WORKDAY(C251,-(Setup!$C$13+Setup!$G$21),Setup!$C$39:$C$50))&gt;=Setup!$C$15,MONTH(WORKDAY(C251,-(Setup!$C$13+Setup!$G$21),Setup!$C$39:$C$50))&lt;=Setup!$C$16),OR(MONTH(WORKDAY(C251,-(Setup!$C$13+Setup!$G$21),Setup!$C$39:$C$50))&gt;=Setup!$C$15,MONTH(WORKDAY(C251,-(Setup!$C$13+Setup!$G$21),Setup!$C$39:$C$50))&lt;=Setup!$C$16))),WORKDAY(C251,-(Setup!$C$13+Setup!$G$21+Setup!$C$14),Setup!$C$39:$C$50),WORKDAY(C251,-(Setup!$C$13+Setup!$G$21),Setup!$C$39:$C$50))+(246*100+2)/10000000)))</f>
        <v/>
      </c>
      <c r="T251" t="str">
        <f>IF(D251="","",IF(D251&lt;Setup!$C$5-Setup!$C$6,"",IF(IF(ISNUMBER(Roster!$D251),Setup!$C$22&lt;=Roster!$D251,FALSE),"",IF(OR(IF(Setup!$C$15&lt;=Setup!$C$16,AND(MONTH(D251)&gt;=Setup!$C$15,MONTH(D251)&lt;=Setup!$C$16),OR(MONTH(D251)&gt;=Setup!$C$15,MONTH(D251)&lt;=Setup!$C$16)),IF(Setup!$C$15&lt;=Setup!$C$16,AND(MONTH(WORKDAY(D251,-(Setup!$C$13+Setup!$G$22),Setup!$C$39:$C$50))&gt;=Setup!$C$15,MONTH(WORKDAY(D251,-(Setup!$C$13+Setup!$G$22),Setup!$C$39:$C$50))&lt;=Setup!$C$16),OR(MONTH(WORKDAY(D251,-(Setup!$C$13+Setup!$G$22),Setup!$C$39:$C$50))&gt;=Setup!$C$15,MONTH(WORKDAY(D251,-(Setup!$C$13+Setup!$G$22),Setup!$C$39:$C$50))&lt;=Setup!$C$16))),WORKDAY(D251,-(Setup!$C$13+Setup!$G$22+Setup!$C$14),Setup!$C$39:$C$50),WORKDAY(D251,-(Setup!$C$13+Setup!$G$22),Setup!$C$39:$C$50))+(246*100+3)/10000000)))</f>
        <v/>
      </c>
      <c r="U251" t="str">
        <f>IF(E251="","",IF(E251&lt;Setup!$C$5-Setup!$C$6,"",IF(IF(ISNUMBER(Roster!$D251),Setup!$C$23&lt;=Roster!$D251,FALSE),"",IF(OR(IF(Setup!$C$15&lt;=Setup!$C$16,AND(MONTH(E251)&gt;=Setup!$C$15,MONTH(E251)&lt;=Setup!$C$16),OR(MONTH(E251)&gt;=Setup!$C$15,MONTH(E251)&lt;=Setup!$C$16)),IF(Setup!$C$15&lt;=Setup!$C$16,AND(MONTH(WORKDAY(E251,-(Setup!$C$13+Setup!$G$23),Setup!$C$39:$C$50))&gt;=Setup!$C$15,MONTH(WORKDAY(E251,-(Setup!$C$13+Setup!$G$23),Setup!$C$39:$C$50))&lt;=Setup!$C$16),OR(MONTH(WORKDAY(E251,-(Setup!$C$13+Setup!$G$23),Setup!$C$39:$C$50))&gt;=Setup!$C$15,MONTH(WORKDAY(E251,-(Setup!$C$13+Setup!$G$23),Setup!$C$39:$C$50))&lt;=Setup!$C$16))),WORKDAY(E251,-(Setup!$C$13+Setup!$G$23+Setup!$C$14),Setup!$C$39:$C$50),WORKDAY(E251,-(Setup!$C$13+Setup!$G$23),Setup!$C$39:$C$50))+(246*100+4)/10000000)))</f>
        <v/>
      </c>
      <c r="V251" t="str">
        <f>IF(F251="","",IF(F251&lt;Setup!$C$5-Setup!$C$6,"",IF(IF(ISNUMBER(Roster!$D251),Setup!$C$24&lt;=Roster!$D251,FALSE),"",IF(OR(IF(Setup!$C$15&lt;=Setup!$C$16,AND(MONTH(F251)&gt;=Setup!$C$15,MONTH(F251)&lt;=Setup!$C$16),OR(MONTH(F251)&gt;=Setup!$C$15,MONTH(F251)&lt;=Setup!$C$16)),IF(Setup!$C$15&lt;=Setup!$C$16,AND(MONTH(WORKDAY(F251,-(Setup!$C$13+Setup!$G$24),Setup!$C$39:$C$50))&gt;=Setup!$C$15,MONTH(WORKDAY(F251,-(Setup!$C$13+Setup!$G$24),Setup!$C$39:$C$50))&lt;=Setup!$C$16),OR(MONTH(WORKDAY(F251,-(Setup!$C$13+Setup!$G$24),Setup!$C$39:$C$50))&gt;=Setup!$C$15,MONTH(WORKDAY(F251,-(Setup!$C$13+Setup!$G$24),Setup!$C$39:$C$50))&lt;=Setup!$C$16))),WORKDAY(F251,-(Setup!$C$13+Setup!$G$24+Setup!$C$14),Setup!$C$39:$C$50),WORKDAY(F251,-(Setup!$C$13+Setup!$G$24),Setup!$C$39:$C$50))+(246*100+5)/10000000)))</f>
        <v/>
      </c>
      <c r="W251" t="str">
        <f>IF(G251="","",IF(G251&lt;Setup!$C$5-Setup!$C$6,"",IF(IF(ISNUMBER(Roster!$D251),Setup!$C$25&lt;=Roster!$D251,FALSE),"",IF(OR(IF(Setup!$C$15&lt;=Setup!$C$16,AND(MONTH(G251)&gt;=Setup!$C$15,MONTH(G251)&lt;=Setup!$C$16),OR(MONTH(G251)&gt;=Setup!$C$15,MONTH(G251)&lt;=Setup!$C$16)),IF(Setup!$C$15&lt;=Setup!$C$16,AND(MONTH(WORKDAY(G251,-(Setup!$C$13+Setup!$G$25),Setup!$C$39:$C$50))&gt;=Setup!$C$15,MONTH(WORKDAY(G251,-(Setup!$C$13+Setup!$G$25),Setup!$C$39:$C$50))&lt;=Setup!$C$16),OR(MONTH(WORKDAY(G251,-(Setup!$C$13+Setup!$G$25),Setup!$C$39:$C$50))&gt;=Setup!$C$15,MONTH(WORKDAY(G251,-(Setup!$C$13+Setup!$G$25),Setup!$C$39:$C$50))&lt;=Setup!$C$16))),WORKDAY(G251,-(Setup!$C$13+Setup!$G$25+Setup!$C$14),Setup!$C$39:$C$50),WORKDAY(G251,-(Setup!$C$13+Setup!$G$25),Setup!$C$39:$C$50))+(246*100+6)/10000000)))</f>
        <v/>
      </c>
      <c r="X251" t="str">
        <f>IF(H251="","",IF(H251&lt;Setup!$C$5-Setup!$C$6,"",IF(IF(ISNUMBER(Roster!$D251),Setup!$C$26&lt;=Roster!$D251,FALSE),"",IF(OR(IF(Setup!$C$15&lt;=Setup!$C$16,AND(MONTH(H251)&gt;=Setup!$C$15,MONTH(H251)&lt;=Setup!$C$16),OR(MONTH(H251)&gt;=Setup!$C$15,MONTH(H251)&lt;=Setup!$C$16)),IF(Setup!$C$15&lt;=Setup!$C$16,AND(MONTH(WORKDAY(H251,-(Setup!$C$13+Setup!$G$26),Setup!$C$39:$C$50))&gt;=Setup!$C$15,MONTH(WORKDAY(H251,-(Setup!$C$13+Setup!$G$26),Setup!$C$39:$C$50))&lt;=Setup!$C$16),OR(MONTH(WORKDAY(H251,-(Setup!$C$13+Setup!$G$26),Setup!$C$39:$C$50))&gt;=Setup!$C$15,MONTH(WORKDAY(H251,-(Setup!$C$13+Setup!$G$26),Setup!$C$39:$C$50))&lt;=Setup!$C$16))),WORKDAY(H251,-(Setup!$C$13+Setup!$G$26+Setup!$C$14),Setup!$C$39:$C$50),WORKDAY(H251,-(Setup!$C$13+Setup!$G$26),Setup!$C$39:$C$50))+(246*100+7)/10000000)))</f>
        <v/>
      </c>
      <c r="Y251" t="str">
        <f>IF(I251="","",IF(I251&lt;Setup!$C$5-Setup!$C$6,"",IF(IF(ISNUMBER(Roster!$D251),Setup!$C$27&lt;=Roster!$D251,FALSE),"",IF(OR(IF(Setup!$C$15&lt;=Setup!$C$16,AND(MONTH(I251)&gt;=Setup!$C$15,MONTH(I251)&lt;=Setup!$C$16),OR(MONTH(I251)&gt;=Setup!$C$15,MONTH(I251)&lt;=Setup!$C$16)),IF(Setup!$C$15&lt;=Setup!$C$16,AND(MONTH(WORKDAY(I251,-(Setup!$C$13+Setup!$G$27),Setup!$C$39:$C$50))&gt;=Setup!$C$15,MONTH(WORKDAY(I251,-(Setup!$C$13+Setup!$G$27),Setup!$C$39:$C$50))&lt;=Setup!$C$16),OR(MONTH(WORKDAY(I251,-(Setup!$C$13+Setup!$G$27),Setup!$C$39:$C$50))&gt;=Setup!$C$15,MONTH(WORKDAY(I251,-(Setup!$C$13+Setup!$G$27),Setup!$C$39:$C$50))&lt;=Setup!$C$16))),WORKDAY(I251,-(Setup!$C$13+Setup!$G$27+Setup!$C$14),Setup!$C$39:$C$50),WORKDAY(I251,-(Setup!$C$13+Setup!$G$27),Setup!$C$39:$C$50))+(246*100+8)/10000000)))</f>
        <v/>
      </c>
      <c r="Z251" t="str">
        <f>IF(J251="","",IF(J251&lt;Setup!$C$5-Setup!$C$6,"",IF(IF(ISNUMBER(Roster!$D251),Setup!$C$28&lt;=Roster!$D251,FALSE),"",IF(OR(IF(Setup!$C$15&lt;=Setup!$C$16,AND(MONTH(J251)&gt;=Setup!$C$15,MONTH(J251)&lt;=Setup!$C$16),OR(MONTH(J251)&gt;=Setup!$C$15,MONTH(J251)&lt;=Setup!$C$16)),IF(Setup!$C$15&lt;=Setup!$C$16,AND(MONTH(WORKDAY(J251,-(Setup!$C$13+Setup!$G$28),Setup!$C$39:$C$50))&gt;=Setup!$C$15,MONTH(WORKDAY(J251,-(Setup!$C$13+Setup!$G$28),Setup!$C$39:$C$50))&lt;=Setup!$C$16),OR(MONTH(WORKDAY(J251,-(Setup!$C$13+Setup!$G$28),Setup!$C$39:$C$50))&gt;=Setup!$C$15,MONTH(WORKDAY(J251,-(Setup!$C$13+Setup!$G$28),Setup!$C$39:$C$50))&lt;=Setup!$C$16))),WORKDAY(J251,-(Setup!$C$13+Setup!$G$28+Setup!$C$14),Setup!$C$39:$C$50),WORKDAY(J251,-(Setup!$C$13+Setup!$G$28),Setup!$C$39:$C$50))+(246*100+9)/10000000)))</f>
        <v/>
      </c>
      <c r="AA251" t="str">
        <f>IF(K251="","",IF(K251&lt;Setup!$C$5-Setup!$C$6,"",IF(IF(ISNUMBER(Roster!$D251),Setup!$C$29&lt;=Roster!$D251,FALSE),"",IF(OR(IF(Setup!$C$15&lt;=Setup!$C$16,AND(MONTH(K251)&gt;=Setup!$C$15,MONTH(K251)&lt;=Setup!$C$16),OR(MONTH(K251)&gt;=Setup!$C$15,MONTH(K251)&lt;=Setup!$C$16)),IF(Setup!$C$15&lt;=Setup!$C$16,AND(MONTH(WORKDAY(K251,-(Setup!$C$13+Setup!$G$29),Setup!$C$39:$C$50))&gt;=Setup!$C$15,MONTH(WORKDAY(K251,-(Setup!$C$13+Setup!$G$29),Setup!$C$39:$C$50))&lt;=Setup!$C$16),OR(MONTH(WORKDAY(K251,-(Setup!$C$13+Setup!$G$29),Setup!$C$39:$C$50))&gt;=Setup!$C$15,MONTH(WORKDAY(K251,-(Setup!$C$13+Setup!$G$29),Setup!$C$39:$C$50))&lt;=Setup!$C$16))),WORKDAY(K251,-(Setup!$C$13+Setup!$G$29+Setup!$C$14),Setup!$C$39:$C$50),WORKDAY(K251,-(Setup!$C$13+Setup!$G$29),Setup!$C$39:$C$50))+(246*100+10)/10000000)))</f>
        <v/>
      </c>
      <c r="AB251" t="str">
        <f>IF(L251="","",IF(L251&lt;Setup!$C$5-Setup!$C$6,"",IF(IF(ISNUMBER(Roster!$D251),Setup!$C$30&lt;=Roster!$D251,FALSE),"",IF(OR(IF(Setup!$C$15&lt;=Setup!$C$16,AND(MONTH(L251)&gt;=Setup!$C$15,MONTH(L251)&lt;=Setup!$C$16),OR(MONTH(L251)&gt;=Setup!$C$15,MONTH(L251)&lt;=Setup!$C$16)),IF(Setup!$C$15&lt;=Setup!$C$16,AND(MONTH(WORKDAY(L251,-(Setup!$C$13+Setup!$G$30),Setup!$C$39:$C$50))&gt;=Setup!$C$15,MONTH(WORKDAY(L251,-(Setup!$C$13+Setup!$G$30),Setup!$C$39:$C$50))&lt;=Setup!$C$16),OR(MONTH(WORKDAY(L251,-(Setup!$C$13+Setup!$G$30),Setup!$C$39:$C$50))&gt;=Setup!$C$15,MONTH(WORKDAY(L251,-(Setup!$C$13+Setup!$G$30),Setup!$C$39:$C$50))&lt;=Setup!$C$16))),WORKDAY(L251,-(Setup!$C$13+Setup!$G$30+Setup!$C$14),Setup!$C$39:$C$50),WORKDAY(L251,-(Setup!$C$13+Setup!$G$30),Setup!$C$39:$C$50))+(246*100+11)/10000000)))</f>
        <v/>
      </c>
      <c r="AC251" t="str">
        <f>IF(M251="","",IF(M251&lt;Setup!$C$5-Setup!$C$6,"",IF(IF(ISNUMBER(Roster!$D251),Setup!$C$31&lt;=Roster!$D251,FALSE),"",IF(OR(IF(Setup!$C$15&lt;=Setup!$C$16,AND(MONTH(M251)&gt;=Setup!$C$15,MONTH(M251)&lt;=Setup!$C$16),OR(MONTH(M251)&gt;=Setup!$C$15,MONTH(M251)&lt;=Setup!$C$16)),IF(Setup!$C$15&lt;=Setup!$C$16,AND(MONTH(WORKDAY(M251,-(Setup!$C$13+Setup!$G$31),Setup!$C$39:$C$50))&gt;=Setup!$C$15,MONTH(WORKDAY(M251,-(Setup!$C$13+Setup!$G$31),Setup!$C$39:$C$50))&lt;=Setup!$C$16),OR(MONTH(WORKDAY(M251,-(Setup!$C$13+Setup!$G$31),Setup!$C$39:$C$50))&gt;=Setup!$C$15,MONTH(WORKDAY(M251,-(Setup!$C$13+Setup!$G$31),Setup!$C$39:$C$50))&lt;=Setup!$C$16))),WORKDAY(M251,-(Setup!$C$13+Setup!$G$31+Setup!$C$14),Setup!$C$39:$C$50),WORKDAY(M251,-(Setup!$C$13+Setup!$G$31),Setup!$C$39:$C$50))+(246*100+12)/10000000)))</f>
        <v/>
      </c>
      <c r="AD251" t="str">
        <f>IF(N251="","",IF(N251&lt;Setup!$C$5-Setup!$C$6,"",IF(IF(ISNUMBER(Roster!$D251),Setup!$C$32&lt;=Roster!$D251,FALSE),"",IF(OR(IF(Setup!$C$15&lt;=Setup!$C$16,AND(MONTH(N251)&gt;=Setup!$C$15,MONTH(N251)&lt;=Setup!$C$16),OR(MONTH(N251)&gt;=Setup!$C$15,MONTH(N251)&lt;=Setup!$C$16)),IF(Setup!$C$15&lt;=Setup!$C$16,AND(MONTH(WORKDAY(N251,-(Setup!$C$13+Setup!$G$32),Setup!$C$39:$C$50))&gt;=Setup!$C$15,MONTH(WORKDAY(N251,-(Setup!$C$13+Setup!$G$32),Setup!$C$39:$C$50))&lt;=Setup!$C$16),OR(MONTH(WORKDAY(N251,-(Setup!$C$13+Setup!$G$32),Setup!$C$39:$C$50))&gt;=Setup!$C$15,MONTH(WORKDAY(N251,-(Setup!$C$13+Setup!$G$32),Setup!$C$39:$C$50))&lt;=Setup!$C$16))),WORKDAY(N251,-(Setup!$C$13+Setup!$G$32+Setup!$C$14),Setup!$C$39:$C$50),WORKDAY(N251,-(Setup!$C$13+Setup!$G$32),Setup!$C$39:$C$50))+(246*100+13)/10000000)))</f>
        <v/>
      </c>
      <c r="AE251" t="str">
        <f>IF(O251="","",IF(O251&lt;Setup!$C$5-Setup!$C$6,"",IF(IF(ISNUMBER(Roster!$D251),Setup!$C$33&lt;=Roster!$D251,FALSE),"",IF(OR(IF(Setup!$C$15&lt;=Setup!$C$16,AND(MONTH(O251)&gt;=Setup!$C$15,MONTH(O251)&lt;=Setup!$C$16),OR(MONTH(O251)&gt;=Setup!$C$15,MONTH(O251)&lt;=Setup!$C$16)),IF(Setup!$C$15&lt;=Setup!$C$16,AND(MONTH(WORKDAY(O251,-(Setup!$C$13+Setup!$G$33),Setup!$C$39:$C$50))&gt;=Setup!$C$15,MONTH(WORKDAY(O251,-(Setup!$C$13+Setup!$G$33),Setup!$C$39:$C$50))&lt;=Setup!$C$16),OR(MONTH(WORKDAY(O251,-(Setup!$C$13+Setup!$G$33),Setup!$C$39:$C$50))&gt;=Setup!$C$15,MONTH(WORKDAY(O251,-(Setup!$C$13+Setup!$G$33),Setup!$C$39:$C$50))&lt;=Setup!$C$16))),WORKDAY(O251,-(Setup!$C$13+Setup!$G$33+Setup!$C$14),Setup!$C$39:$C$50),WORKDAY(O251,-(Setup!$C$13+Setup!$G$33),Setup!$C$39:$C$50))+(246*100+14)/10000000)))</f>
        <v/>
      </c>
      <c r="AF251" t="str">
        <f>IF(P251="","",IF(P251&lt;Setup!$C$5-Setup!$C$6,"",IF(IF(ISNUMBER(Roster!$D251),Setup!$C$34&lt;=Roster!$D251,FALSE),"",IF(OR(IF(Setup!$C$15&lt;=Setup!$C$16,AND(MONTH(P251)&gt;=Setup!$C$15,MONTH(P251)&lt;=Setup!$C$16),OR(MONTH(P251)&gt;=Setup!$C$15,MONTH(P251)&lt;=Setup!$C$16)),IF(Setup!$C$15&lt;=Setup!$C$16,AND(MONTH(WORKDAY(P251,-(Setup!$C$13+Setup!$G$34),Setup!$C$39:$C$50))&gt;=Setup!$C$15,MONTH(WORKDAY(P251,-(Setup!$C$13+Setup!$G$34),Setup!$C$39:$C$50))&lt;=Setup!$C$16),OR(MONTH(WORKDAY(P251,-(Setup!$C$13+Setup!$G$34),Setup!$C$39:$C$50))&gt;=Setup!$C$15,MONTH(WORKDAY(P251,-(Setup!$C$13+Setup!$G$34),Setup!$C$39:$C$50))&lt;=Setup!$C$16))),WORKDAY(P251,-(Setup!$C$13+Setup!$G$34+Setup!$C$14),Setup!$C$39:$C$50),WORKDAY(P251,-(Setup!$C$13+Setup!$G$34),Setup!$C$39:$C$50))+(246*100+15)/10000000)))</f>
        <v/>
      </c>
      <c r="AH251" t="str">
        <f t="shared" si="25"/>
        <v/>
      </c>
      <c r="AI251" t="str">
        <f t="shared" si="26"/>
        <v/>
      </c>
      <c r="AK251" t="str">
        <f ca="1">IF(246&gt;$AK$2,"",SMALL($R$6:$AF$505,246))</f>
        <v/>
      </c>
      <c r="AL251" t="str">
        <f t="shared" ca="1" si="27"/>
        <v/>
      </c>
      <c r="AM251" t="str">
        <f t="shared" ca="1" si="28"/>
        <v/>
      </c>
      <c r="AN251" t="str">
        <f t="shared" ca="1" si="29"/>
        <v/>
      </c>
      <c r="AP251" t="str">
        <f>IF(ISNUMBER(Roster!$B251),MAX(1,YEAR(Setup!$C$5)-YEAR(Roster!$B251)+IF(EDATE(Roster!$B251,12*(YEAR(Setup!$C$5)-YEAR(Roster!$B251)))&lt;Setup!$C$5,1,0)),"")</f>
        <v/>
      </c>
      <c r="AQ251" s="32" t="str">
        <f>IF(AP251="","",EDATE(Roster!$B251,12*AP251))</f>
        <v/>
      </c>
      <c r="AR251" t="str">
        <f>IF(AQ251="","",IF(AQ251&lt;DATE(YEAR(Setup!$C$5)+1,MONTH(Setup!$C$5),DAY(Setup!$C$5)),AQ251+246/1000,""))</f>
        <v/>
      </c>
      <c r="AS251" t="str">
        <f t="shared" si="30"/>
        <v/>
      </c>
      <c r="AT251" t="str">
        <f>IF(AS251="","",IF(ISNUMBER(Roster!$D251),Roster!$D251&gt;=AP251,FALSE))</f>
        <v/>
      </c>
      <c r="AU251" t="str">
        <f t="shared" si="31"/>
        <v/>
      </c>
      <c r="AV251" t="str">
        <f ca="1">IF(246&gt;$AV$2,"",SMALL($AR$6:$AR$505,246))</f>
        <v/>
      </c>
      <c r="AW251" t="str">
        <f t="shared" ca="1" si="32"/>
        <v/>
      </c>
    </row>
    <row r="252" spans="2:49" x14ac:dyDescent="0.2">
      <c r="B252" s="32" t="str">
        <f>IF(AND(ISNUMBER(Roster!$B252),Setup!$B$20="Yes",ISNUMBER(Setup!$C$20)),EDATE(Roster!$B252,12*Setup!$C$20),"")</f>
        <v/>
      </c>
      <c r="C252" s="32" t="str">
        <f>IF(AND(ISNUMBER(Roster!$B252),Setup!$B$21="Yes",ISNUMBER(Setup!$C$21)),EDATE(Roster!$B252,12*Setup!$C$21),"")</f>
        <v/>
      </c>
      <c r="D252" s="32" t="str">
        <f>IF(AND(ISNUMBER(Roster!$B252),Setup!$B$22="Yes",ISNUMBER(Setup!$C$22)),EDATE(Roster!$B252,12*Setup!$C$22),"")</f>
        <v/>
      </c>
      <c r="E252" s="32" t="str">
        <f>IF(AND(ISNUMBER(Roster!$B252),Setup!$B$23="Yes",ISNUMBER(Setup!$C$23)),EDATE(Roster!$B252,12*Setup!$C$23),"")</f>
        <v/>
      </c>
      <c r="F252" s="32" t="str">
        <f>IF(AND(ISNUMBER(Roster!$B252),Setup!$B$24="Yes",ISNUMBER(Setup!$C$24)),EDATE(Roster!$B252,12*Setup!$C$24),"")</f>
        <v/>
      </c>
      <c r="G252" s="32" t="str">
        <f>IF(AND(ISNUMBER(Roster!$B252),Setup!$B$25="Yes",ISNUMBER(Setup!$C$25)),EDATE(Roster!$B252,12*Setup!$C$25),"")</f>
        <v/>
      </c>
      <c r="H252" s="32" t="str">
        <f>IF(AND(ISNUMBER(Roster!$B252),Setup!$B$26="Yes",ISNUMBER(Setup!$C$26)),EDATE(Roster!$B252,12*Setup!$C$26),"")</f>
        <v/>
      </c>
      <c r="I252" s="32" t="str">
        <f>IF(AND(ISNUMBER(Roster!$B252),Setup!$B$27="Yes",ISNUMBER(Setup!$C$27)),EDATE(Roster!$B252,12*Setup!$C$27),"")</f>
        <v/>
      </c>
      <c r="J252" s="32" t="str">
        <f>IF(AND(ISNUMBER(Roster!$B252),Setup!$B$28="Yes",ISNUMBER(Setup!$C$28)),EDATE(Roster!$B252,12*Setup!$C$28),"")</f>
        <v/>
      </c>
      <c r="K252" s="32" t="str">
        <f>IF(AND(ISNUMBER(Roster!$B252),Setup!$B$29="Yes",ISNUMBER(Setup!$C$29)),EDATE(Roster!$B252,12*Setup!$C$29),"")</f>
        <v/>
      </c>
      <c r="L252" s="32" t="str">
        <f>IF(AND(ISNUMBER(Roster!$B252),Setup!$B$30="Yes",ISNUMBER(Setup!$C$30)),EDATE(Roster!$B252,12*Setup!$C$30),"")</f>
        <v/>
      </c>
      <c r="M252" s="32" t="str">
        <f>IF(AND(ISNUMBER(Roster!$B252),Setup!$B$31="Yes",ISNUMBER(Setup!$C$31)),EDATE(Roster!$B252,12*Setup!$C$31),"")</f>
        <v/>
      </c>
      <c r="N252" s="32" t="str">
        <f>IF(AND(ISNUMBER(Roster!$B252),Setup!$B$32="Yes",ISNUMBER(Setup!$C$32)),EDATE(Roster!$B252,12*Setup!$C$32),"")</f>
        <v/>
      </c>
      <c r="O252" s="32" t="str">
        <f>IF(AND(ISNUMBER(Roster!$B252),Setup!$B$33="Yes",ISNUMBER(Setup!$C$33)),EDATE(Roster!$B252,12*Setup!$C$33),"")</f>
        <v/>
      </c>
      <c r="P252" s="32" t="str">
        <f>IF(AND(ISNUMBER(Roster!$B252),Setup!$B$34="Yes",ISNUMBER(Setup!$C$34)),EDATE(Roster!$B252,12*Setup!$C$34),"")</f>
        <v/>
      </c>
      <c r="R252" t="str">
        <f>IF(B252="","",IF(B252&lt;Setup!$C$5-Setup!$C$6,"",IF(IF(ISNUMBER(Roster!$D252),Setup!$C$20&lt;=Roster!$D252,FALSE),"",IF(OR(IF(Setup!$C$15&lt;=Setup!$C$16,AND(MONTH(B252)&gt;=Setup!$C$15,MONTH(B252)&lt;=Setup!$C$16),OR(MONTH(B252)&gt;=Setup!$C$15,MONTH(B252)&lt;=Setup!$C$16)),IF(Setup!$C$15&lt;=Setup!$C$16,AND(MONTH(WORKDAY(B252,-(Setup!$C$13+Setup!$G$20),Setup!$C$39:$C$50))&gt;=Setup!$C$15,MONTH(WORKDAY(B252,-(Setup!$C$13+Setup!$G$20),Setup!$C$39:$C$50))&lt;=Setup!$C$16),OR(MONTH(WORKDAY(B252,-(Setup!$C$13+Setup!$G$20),Setup!$C$39:$C$50))&gt;=Setup!$C$15,MONTH(WORKDAY(B252,-(Setup!$C$13+Setup!$G$20),Setup!$C$39:$C$50))&lt;=Setup!$C$16))),WORKDAY(B252,-(Setup!$C$13+Setup!$G$20+Setup!$C$14),Setup!$C$39:$C$50),WORKDAY(B252,-(Setup!$C$13+Setup!$G$20),Setup!$C$39:$C$50))+(247*100+1)/10000000)))</f>
        <v/>
      </c>
      <c r="S252" t="str">
        <f>IF(C252="","",IF(C252&lt;Setup!$C$5-Setup!$C$6,"",IF(IF(ISNUMBER(Roster!$D252),Setup!$C$21&lt;=Roster!$D252,FALSE),"",IF(OR(IF(Setup!$C$15&lt;=Setup!$C$16,AND(MONTH(C252)&gt;=Setup!$C$15,MONTH(C252)&lt;=Setup!$C$16),OR(MONTH(C252)&gt;=Setup!$C$15,MONTH(C252)&lt;=Setup!$C$16)),IF(Setup!$C$15&lt;=Setup!$C$16,AND(MONTH(WORKDAY(C252,-(Setup!$C$13+Setup!$G$21),Setup!$C$39:$C$50))&gt;=Setup!$C$15,MONTH(WORKDAY(C252,-(Setup!$C$13+Setup!$G$21),Setup!$C$39:$C$50))&lt;=Setup!$C$16),OR(MONTH(WORKDAY(C252,-(Setup!$C$13+Setup!$G$21),Setup!$C$39:$C$50))&gt;=Setup!$C$15,MONTH(WORKDAY(C252,-(Setup!$C$13+Setup!$G$21),Setup!$C$39:$C$50))&lt;=Setup!$C$16))),WORKDAY(C252,-(Setup!$C$13+Setup!$G$21+Setup!$C$14),Setup!$C$39:$C$50),WORKDAY(C252,-(Setup!$C$13+Setup!$G$21),Setup!$C$39:$C$50))+(247*100+2)/10000000)))</f>
        <v/>
      </c>
      <c r="T252" t="str">
        <f>IF(D252="","",IF(D252&lt;Setup!$C$5-Setup!$C$6,"",IF(IF(ISNUMBER(Roster!$D252),Setup!$C$22&lt;=Roster!$D252,FALSE),"",IF(OR(IF(Setup!$C$15&lt;=Setup!$C$16,AND(MONTH(D252)&gt;=Setup!$C$15,MONTH(D252)&lt;=Setup!$C$16),OR(MONTH(D252)&gt;=Setup!$C$15,MONTH(D252)&lt;=Setup!$C$16)),IF(Setup!$C$15&lt;=Setup!$C$16,AND(MONTH(WORKDAY(D252,-(Setup!$C$13+Setup!$G$22),Setup!$C$39:$C$50))&gt;=Setup!$C$15,MONTH(WORKDAY(D252,-(Setup!$C$13+Setup!$G$22),Setup!$C$39:$C$50))&lt;=Setup!$C$16),OR(MONTH(WORKDAY(D252,-(Setup!$C$13+Setup!$G$22),Setup!$C$39:$C$50))&gt;=Setup!$C$15,MONTH(WORKDAY(D252,-(Setup!$C$13+Setup!$G$22),Setup!$C$39:$C$50))&lt;=Setup!$C$16))),WORKDAY(D252,-(Setup!$C$13+Setup!$G$22+Setup!$C$14),Setup!$C$39:$C$50),WORKDAY(D252,-(Setup!$C$13+Setup!$G$22),Setup!$C$39:$C$50))+(247*100+3)/10000000)))</f>
        <v/>
      </c>
      <c r="U252" t="str">
        <f>IF(E252="","",IF(E252&lt;Setup!$C$5-Setup!$C$6,"",IF(IF(ISNUMBER(Roster!$D252),Setup!$C$23&lt;=Roster!$D252,FALSE),"",IF(OR(IF(Setup!$C$15&lt;=Setup!$C$16,AND(MONTH(E252)&gt;=Setup!$C$15,MONTH(E252)&lt;=Setup!$C$16),OR(MONTH(E252)&gt;=Setup!$C$15,MONTH(E252)&lt;=Setup!$C$16)),IF(Setup!$C$15&lt;=Setup!$C$16,AND(MONTH(WORKDAY(E252,-(Setup!$C$13+Setup!$G$23),Setup!$C$39:$C$50))&gt;=Setup!$C$15,MONTH(WORKDAY(E252,-(Setup!$C$13+Setup!$G$23),Setup!$C$39:$C$50))&lt;=Setup!$C$16),OR(MONTH(WORKDAY(E252,-(Setup!$C$13+Setup!$G$23),Setup!$C$39:$C$50))&gt;=Setup!$C$15,MONTH(WORKDAY(E252,-(Setup!$C$13+Setup!$G$23),Setup!$C$39:$C$50))&lt;=Setup!$C$16))),WORKDAY(E252,-(Setup!$C$13+Setup!$G$23+Setup!$C$14),Setup!$C$39:$C$50),WORKDAY(E252,-(Setup!$C$13+Setup!$G$23),Setup!$C$39:$C$50))+(247*100+4)/10000000)))</f>
        <v/>
      </c>
      <c r="V252" t="str">
        <f>IF(F252="","",IF(F252&lt;Setup!$C$5-Setup!$C$6,"",IF(IF(ISNUMBER(Roster!$D252),Setup!$C$24&lt;=Roster!$D252,FALSE),"",IF(OR(IF(Setup!$C$15&lt;=Setup!$C$16,AND(MONTH(F252)&gt;=Setup!$C$15,MONTH(F252)&lt;=Setup!$C$16),OR(MONTH(F252)&gt;=Setup!$C$15,MONTH(F252)&lt;=Setup!$C$16)),IF(Setup!$C$15&lt;=Setup!$C$16,AND(MONTH(WORKDAY(F252,-(Setup!$C$13+Setup!$G$24),Setup!$C$39:$C$50))&gt;=Setup!$C$15,MONTH(WORKDAY(F252,-(Setup!$C$13+Setup!$G$24),Setup!$C$39:$C$50))&lt;=Setup!$C$16),OR(MONTH(WORKDAY(F252,-(Setup!$C$13+Setup!$G$24),Setup!$C$39:$C$50))&gt;=Setup!$C$15,MONTH(WORKDAY(F252,-(Setup!$C$13+Setup!$G$24),Setup!$C$39:$C$50))&lt;=Setup!$C$16))),WORKDAY(F252,-(Setup!$C$13+Setup!$G$24+Setup!$C$14),Setup!$C$39:$C$50),WORKDAY(F252,-(Setup!$C$13+Setup!$G$24),Setup!$C$39:$C$50))+(247*100+5)/10000000)))</f>
        <v/>
      </c>
      <c r="W252" t="str">
        <f>IF(G252="","",IF(G252&lt;Setup!$C$5-Setup!$C$6,"",IF(IF(ISNUMBER(Roster!$D252),Setup!$C$25&lt;=Roster!$D252,FALSE),"",IF(OR(IF(Setup!$C$15&lt;=Setup!$C$16,AND(MONTH(G252)&gt;=Setup!$C$15,MONTH(G252)&lt;=Setup!$C$16),OR(MONTH(G252)&gt;=Setup!$C$15,MONTH(G252)&lt;=Setup!$C$16)),IF(Setup!$C$15&lt;=Setup!$C$16,AND(MONTH(WORKDAY(G252,-(Setup!$C$13+Setup!$G$25),Setup!$C$39:$C$50))&gt;=Setup!$C$15,MONTH(WORKDAY(G252,-(Setup!$C$13+Setup!$G$25),Setup!$C$39:$C$50))&lt;=Setup!$C$16),OR(MONTH(WORKDAY(G252,-(Setup!$C$13+Setup!$G$25),Setup!$C$39:$C$50))&gt;=Setup!$C$15,MONTH(WORKDAY(G252,-(Setup!$C$13+Setup!$G$25),Setup!$C$39:$C$50))&lt;=Setup!$C$16))),WORKDAY(G252,-(Setup!$C$13+Setup!$G$25+Setup!$C$14),Setup!$C$39:$C$50),WORKDAY(G252,-(Setup!$C$13+Setup!$G$25),Setup!$C$39:$C$50))+(247*100+6)/10000000)))</f>
        <v/>
      </c>
      <c r="X252" t="str">
        <f>IF(H252="","",IF(H252&lt;Setup!$C$5-Setup!$C$6,"",IF(IF(ISNUMBER(Roster!$D252),Setup!$C$26&lt;=Roster!$D252,FALSE),"",IF(OR(IF(Setup!$C$15&lt;=Setup!$C$16,AND(MONTH(H252)&gt;=Setup!$C$15,MONTH(H252)&lt;=Setup!$C$16),OR(MONTH(H252)&gt;=Setup!$C$15,MONTH(H252)&lt;=Setup!$C$16)),IF(Setup!$C$15&lt;=Setup!$C$16,AND(MONTH(WORKDAY(H252,-(Setup!$C$13+Setup!$G$26),Setup!$C$39:$C$50))&gt;=Setup!$C$15,MONTH(WORKDAY(H252,-(Setup!$C$13+Setup!$G$26),Setup!$C$39:$C$50))&lt;=Setup!$C$16),OR(MONTH(WORKDAY(H252,-(Setup!$C$13+Setup!$G$26),Setup!$C$39:$C$50))&gt;=Setup!$C$15,MONTH(WORKDAY(H252,-(Setup!$C$13+Setup!$G$26),Setup!$C$39:$C$50))&lt;=Setup!$C$16))),WORKDAY(H252,-(Setup!$C$13+Setup!$G$26+Setup!$C$14),Setup!$C$39:$C$50),WORKDAY(H252,-(Setup!$C$13+Setup!$G$26),Setup!$C$39:$C$50))+(247*100+7)/10000000)))</f>
        <v/>
      </c>
      <c r="Y252" t="str">
        <f>IF(I252="","",IF(I252&lt;Setup!$C$5-Setup!$C$6,"",IF(IF(ISNUMBER(Roster!$D252),Setup!$C$27&lt;=Roster!$D252,FALSE),"",IF(OR(IF(Setup!$C$15&lt;=Setup!$C$16,AND(MONTH(I252)&gt;=Setup!$C$15,MONTH(I252)&lt;=Setup!$C$16),OR(MONTH(I252)&gt;=Setup!$C$15,MONTH(I252)&lt;=Setup!$C$16)),IF(Setup!$C$15&lt;=Setup!$C$16,AND(MONTH(WORKDAY(I252,-(Setup!$C$13+Setup!$G$27),Setup!$C$39:$C$50))&gt;=Setup!$C$15,MONTH(WORKDAY(I252,-(Setup!$C$13+Setup!$G$27),Setup!$C$39:$C$50))&lt;=Setup!$C$16),OR(MONTH(WORKDAY(I252,-(Setup!$C$13+Setup!$G$27),Setup!$C$39:$C$50))&gt;=Setup!$C$15,MONTH(WORKDAY(I252,-(Setup!$C$13+Setup!$G$27),Setup!$C$39:$C$50))&lt;=Setup!$C$16))),WORKDAY(I252,-(Setup!$C$13+Setup!$G$27+Setup!$C$14),Setup!$C$39:$C$50),WORKDAY(I252,-(Setup!$C$13+Setup!$G$27),Setup!$C$39:$C$50))+(247*100+8)/10000000)))</f>
        <v/>
      </c>
      <c r="Z252" t="str">
        <f>IF(J252="","",IF(J252&lt;Setup!$C$5-Setup!$C$6,"",IF(IF(ISNUMBER(Roster!$D252),Setup!$C$28&lt;=Roster!$D252,FALSE),"",IF(OR(IF(Setup!$C$15&lt;=Setup!$C$16,AND(MONTH(J252)&gt;=Setup!$C$15,MONTH(J252)&lt;=Setup!$C$16),OR(MONTH(J252)&gt;=Setup!$C$15,MONTH(J252)&lt;=Setup!$C$16)),IF(Setup!$C$15&lt;=Setup!$C$16,AND(MONTH(WORKDAY(J252,-(Setup!$C$13+Setup!$G$28),Setup!$C$39:$C$50))&gt;=Setup!$C$15,MONTH(WORKDAY(J252,-(Setup!$C$13+Setup!$G$28),Setup!$C$39:$C$50))&lt;=Setup!$C$16),OR(MONTH(WORKDAY(J252,-(Setup!$C$13+Setup!$G$28),Setup!$C$39:$C$50))&gt;=Setup!$C$15,MONTH(WORKDAY(J252,-(Setup!$C$13+Setup!$G$28),Setup!$C$39:$C$50))&lt;=Setup!$C$16))),WORKDAY(J252,-(Setup!$C$13+Setup!$G$28+Setup!$C$14),Setup!$C$39:$C$50),WORKDAY(J252,-(Setup!$C$13+Setup!$G$28),Setup!$C$39:$C$50))+(247*100+9)/10000000)))</f>
        <v/>
      </c>
      <c r="AA252" t="str">
        <f>IF(K252="","",IF(K252&lt;Setup!$C$5-Setup!$C$6,"",IF(IF(ISNUMBER(Roster!$D252),Setup!$C$29&lt;=Roster!$D252,FALSE),"",IF(OR(IF(Setup!$C$15&lt;=Setup!$C$16,AND(MONTH(K252)&gt;=Setup!$C$15,MONTH(K252)&lt;=Setup!$C$16),OR(MONTH(K252)&gt;=Setup!$C$15,MONTH(K252)&lt;=Setup!$C$16)),IF(Setup!$C$15&lt;=Setup!$C$16,AND(MONTH(WORKDAY(K252,-(Setup!$C$13+Setup!$G$29),Setup!$C$39:$C$50))&gt;=Setup!$C$15,MONTH(WORKDAY(K252,-(Setup!$C$13+Setup!$G$29),Setup!$C$39:$C$50))&lt;=Setup!$C$16),OR(MONTH(WORKDAY(K252,-(Setup!$C$13+Setup!$G$29),Setup!$C$39:$C$50))&gt;=Setup!$C$15,MONTH(WORKDAY(K252,-(Setup!$C$13+Setup!$G$29),Setup!$C$39:$C$50))&lt;=Setup!$C$16))),WORKDAY(K252,-(Setup!$C$13+Setup!$G$29+Setup!$C$14),Setup!$C$39:$C$50),WORKDAY(K252,-(Setup!$C$13+Setup!$G$29),Setup!$C$39:$C$50))+(247*100+10)/10000000)))</f>
        <v/>
      </c>
      <c r="AB252" t="str">
        <f>IF(L252="","",IF(L252&lt;Setup!$C$5-Setup!$C$6,"",IF(IF(ISNUMBER(Roster!$D252),Setup!$C$30&lt;=Roster!$D252,FALSE),"",IF(OR(IF(Setup!$C$15&lt;=Setup!$C$16,AND(MONTH(L252)&gt;=Setup!$C$15,MONTH(L252)&lt;=Setup!$C$16),OR(MONTH(L252)&gt;=Setup!$C$15,MONTH(L252)&lt;=Setup!$C$16)),IF(Setup!$C$15&lt;=Setup!$C$16,AND(MONTH(WORKDAY(L252,-(Setup!$C$13+Setup!$G$30),Setup!$C$39:$C$50))&gt;=Setup!$C$15,MONTH(WORKDAY(L252,-(Setup!$C$13+Setup!$G$30),Setup!$C$39:$C$50))&lt;=Setup!$C$16),OR(MONTH(WORKDAY(L252,-(Setup!$C$13+Setup!$G$30),Setup!$C$39:$C$50))&gt;=Setup!$C$15,MONTH(WORKDAY(L252,-(Setup!$C$13+Setup!$G$30),Setup!$C$39:$C$50))&lt;=Setup!$C$16))),WORKDAY(L252,-(Setup!$C$13+Setup!$G$30+Setup!$C$14),Setup!$C$39:$C$50),WORKDAY(L252,-(Setup!$C$13+Setup!$G$30),Setup!$C$39:$C$50))+(247*100+11)/10000000)))</f>
        <v/>
      </c>
      <c r="AC252" t="str">
        <f>IF(M252="","",IF(M252&lt;Setup!$C$5-Setup!$C$6,"",IF(IF(ISNUMBER(Roster!$D252),Setup!$C$31&lt;=Roster!$D252,FALSE),"",IF(OR(IF(Setup!$C$15&lt;=Setup!$C$16,AND(MONTH(M252)&gt;=Setup!$C$15,MONTH(M252)&lt;=Setup!$C$16),OR(MONTH(M252)&gt;=Setup!$C$15,MONTH(M252)&lt;=Setup!$C$16)),IF(Setup!$C$15&lt;=Setup!$C$16,AND(MONTH(WORKDAY(M252,-(Setup!$C$13+Setup!$G$31),Setup!$C$39:$C$50))&gt;=Setup!$C$15,MONTH(WORKDAY(M252,-(Setup!$C$13+Setup!$G$31),Setup!$C$39:$C$50))&lt;=Setup!$C$16),OR(MONTH(WORKDAY(M252,-(Setup!$C$13+Setup!$G$31),Setup!$C$39:$C$50))&gt;=Setup!$C$15,MONTH(WORKDAY(M252,-(Setup!$C$13+Setup!$G$31),Setup!$C$39:$C$50))&lt;=Setup!$C$16))),WORKDAY(M252,-(Setup!$C$13+Setup!$G$31+Setup!$C$14),Setup!$C$39:$C$50),WORKDAY(M252,-(Setup!$C$13+Setup!$G$31),Setup!$C$39:$C$50))+(247*100+12)/10000000)))</f>
        <v/>
      </c>
      <c r="AD252" t="str">
        <f>IF(N252="","",IF(N252&lt;Setup!$C$5-Setup!$C$6,"",IF(IF(ISNUMBER(Roster!$D252),Setup!$C$32&lt;=Roster!$D252,FALSE),"",IF(OR(IF(Setup!$C$15&lt;=Setup!$C$16,AND(MONTH(N252)&gt;=Setup!$C$15,MONTH(N252)&lt;=Setup!$C$16),OR(MONTH(N252)&gt;=Setup!$C$15,MONTH(N252)&lt;=Setup!$C$16)),IF(Setup!$C$15&lt;=Setup!$C$16,AND(MONTH(WORKDAY(N252,-(Setup!$C$13+Setup!$G$32),Setup!$C$39:$C$50))&gt;=Setup!$C$15,MONTH(WORKDAY(N252,-(Setup!$C$13+Setup!$G$32),Setup!$C$39:$C$50))&lt;=Setup!$C$16),OR(MONTH(WORKDAY(N252,-(Setup!$C$13+Setup!$G$32),Setup!$C$39:$C$50))&gt;=Setup!$C$15,MONTH(WORKDAY(N252,-(Setup!$C$13+Setup!$G$32),Setup!$C$39:$C$50))&lt;=Setup!$C$16))),WORKDAY(N252,-(Setup!$C$13+Setup!$G$32+Setup!$C$14),Setup!$C$39:$C$50),WORKDAY(N252,-(Setup!$C$13+Setup!$G$32),Setup!$C$39:$C$50))+(247*100+13)/10000000)))</f>
        <v/>
      </c>
      <c r="AE252" t="str">
        <f>IF(O252="","",IF(O252&lt;Setup!$C$5-Setup!$C$6,"",IF(IF(ISNUMBER(Roster!$D252),Setup!$C$33&lt;=Roster!$D252,FALSE),"",IF(OR(IF(Setup!$C$15&lt;=Setup!$C$16,AND(MONTH(O252)&gt;=Setup!$C$15,MONTH(O252)&lt;=Setup!$C$16),OR(MONTH(O252)&gt;=Setup!$C$15,MONTH(O252)&lt;=Setup!$C$16)),IF(Setup!$C$15&lt;=Setup!$C$16,AND(MONTH(WORKDAY(O252,-(Setup!$C$13+Setup!$G$33),Setup!$C$39:$C$50))&gt;=Setup!$C$15,MONTH(WORKDAY(O252,-(Setup!$C$13+Setup!$G$33),Setup!$C$39:$C$50))&lt;=Setup!$C$16),OR(MONTH(WORKDAY(O252,-(Setup!$C$13+Setup!$G$33),Setup!$C$39:$C$50))&gt;=Setup!$C$15,MONTH(WORKDAY(O252,-(Setup!$C$13+Setup!$G$33),Setup!$C$39:$C$50))&lt;=Setup!$C$16))),WORKDAY(O252,-(Setup!$C$13+Setup!$G$33+Setup!$C$14),Setup!$C$39:$C$50),WORKDAY(O252,-(Setup!$C$13+Setup!$G$33),Setup!$C$39:$C$50))+(247*100+14)/10000000)))</f>
        <v/>
      </c>
      <c r="AF252" t="str">
        <f>IF(P252="","",IF(P252&lt;Setup!$C$5-Setup!$C$6,"",IF(IF(ISNUMBER(Roster!$D252),Setup!$C$34&lt;=Roster!$D252,FALSE),"",IF(OR(IF(Setup!$C$15&lt;=Setup!$C$16,AND(MONTH(P252)&gt;=Setup!$C$15,MONTH(P252)&lt;=Setup!$C$16),OR(MONTH(P252)&gt;=Setup!$C$15,MONTH(P252)&lt;=Setup!$C$16)),IF(Setup!$C$15&lt;=Setup!$C$16,AND(MONTH(WORKDAY(P252,-(Setup!$C$13+Setup!$G$34),Setup!$C$39:$C$50))&gt;=Setup!$C$15,MONTH(WORKDAY(P252,-(Setup!$C$13+Setup!$G$34),Setup!$C$39:$C$50))&lt;=Setup!$C$16),OR(MONTH(WORKDAY(P252,-(Setup!$C$13+Setup!$G$34),Setup!$C$39:$C$50))&gt;=Setup!$C$15,MONTH(WORKDAY(P252,-(Setup!$C$13+Setup!$G$34),Setup!$C$39:$C$50))&lt;=Setup!$C$16))),WORKDAY(P252,-(Setup!$C$13+Setup!$G$34+Setup!$C$14),Setup!$C$39:$C$50),WORKDAY(P252,-(Setup!$C$13+Setup!$G$34),Setup!$C$39:$C$50))+(247*100+15)/10000000)))</f>
        <v/>
      </c>
      <c r="AH252" t="str">
        <f t="shared" si="25"/>
        <v/>
      </c>
      <c r="AI252" t="str">
        <f t="shared" si="26"/>
        <v/>
      </c>
      <c r="AK252" t="str">
        <f ca="1">IF(247&gt;$AK$2,"",SMALL($R$6:$AF$505,247))</f>
        <v/>
      </c>
      <c r="AL252" t="str">
        <f t="shared" ca="1" si="27"/>
        <v/>
      </c>
      <c r="AM252" t="str">
        <f t="shared" ca="1" si="28"/>
        <v/>
      </c>
      <c r="AN252" t="str">
        <f t="shared" ca="1" si="29"/>
        <v/>
      </c>
      <c r="AP252" t="str">
        <f>IF(ISNUMBER(Roster!$B252),MAX(1,YEAR(Setup!$C$5)-YEAR(Roster!$B252)+IF(EDATE(Roster!$B252,12*(YEAR(Setup!$C$5)-YEAR(Roster!$B252)))&lt;Setup!$C$5,1,0)),"")</f>
        <v/>
      </c>
      <c r="AQ252" s="32" t="str">
        <f>IF(AP252="","",EDATE(Roster!$B252,12*AP252))</f>
        <v/>
      </c>
      <c r="AR252" t="str">
        <f>IF(AQ252="","",IF(AQ252&lt;DATE(YEAR(Setup!$C$5)+1,MONTH(Setup!$C$5),DAY(Setup!$C$5)),AQ252+247/1000,""))</f>
        <v/>
      </c>
      <c r="AS252" t="str">
        <f t="shared" si="30"/>
        <v/>
      </c>
      <c r="AT252" t="str">
        <f>IF(AS252="","",IF(ISNUMBER(Roster!$D252),Roster!$D252&gt;=AP252,FALSE))</f>
        <v/>
      </c>
      <c r="AU252" t="str">
        <f t="shared" si="31"/>
        <v/>
      </c>
      <c r="AV252" t="str">
        <f ca="1">IF(247&gt;$AV$2,"",SMALL($AR$6:$AR$505,247))</f>
        <v/>
      </c>
      <c r="AW252" t="str">
        <f t="shared" ca="1" si="32"/>
        <v/>
      </c>
    </row>
    <row r="253" spans="2:49" x14ac:dyDescent="0.2">
      <c r="B253" s="32" t="str">
        <f>IF(AND(ISNUMBER(Roster!$B253),Setup!$B$20="Yes",ISNUMBER(Setup!$C$20)),EDATE(Roster!$B253,12*Setup!$C$20),"")</f>
        <v/>
      </c>
      <c r="C253" s="32" t="str">
        <f>IF(AND(ISNUMBER(Roster!$B253),Setup!$B$21="Yes",ISNUMBER(Setup!$C$21)),EDATE(Roster!$B253,12*Setup!$C$21),"")</f>
        <v/>
      </c>
      <c r="D253" s="32" t="str">
        <f>IF(AND(ISNUMBER(Roster!$B253),Setup!$B$22="Yes",ISNUMBER(Setup!$C$22)),EDATE(Roster!$B253,12*Setup!$C$22),"")</f>
        <v/>
      </c>
      <c r="E253" s="32" t="str">
        <f>IF(AND(ISNUMBER(Roster!$B253),Setup!$B$23="Yes",ISNUMBER(Setup!$C$23)),EDATE(Roster!$B253,12*Setup!$C$23),"")</f>
        <v/>
      </c>
      <c r="F253" s="32" t="str">
        <f>IF(AND(ISNUMBER(Roster!$B253),Setup!$B$24="Yes",ISNUMBER(Setup!$C$24)),EDATE(Roster!$B253,12*Setup!$C$24),"")</f>
        <v/>
      </c>
      <c r="G253" s="32" t="str">
        <f>IF(AND(ISNUMBER(Roster!$B253),Setup!$B$25="Yes",ISNUMBER(Setup!$C$25)),EDATE(Roster!$B253,12*Setup!$C$25),"")</f>
        <v/>
      </c>
      <c r="H253" s="32" t="str">
        <f>IF(AND(ISNUMBER(Roster!$B253),Setup!$B$26="Yes",ISNUMBER(Setup!$C$26)),EDATE(Roster!$B253,12*Setup!$C$26),"")</f>
        <v/>
      </c>
      <c r="I253" s="32" t="str">
        <f>IF(AND(ISNUMBER(Roster!$B253),Setup!$B$27="Yes",ISNUMBER(Setup!$C$27)),EDATE(Roster!$B253,12*Setup!$C$27),"")</f>
        <v/>
      </c>
      <c r="J253" s="32" t="str">
        <f>IF(AND(ISNUMBER(Roster!$B253),Setup!$B$28="Yes",ISNUMBER(Setup!$C$28)),EDATE(Roster!$B253,12*Setup!$C$28),"")</f>
        <v/>
      </c>
      <c r="K253" s="32" t="str">
        <f>IF(AND(ISNUMBER(Roster!$B253),Setup!$B$29="Yes",ISNUMBER(Setup!$C$29)),EDATE(Roster!$B253,12*Setup!$C$29),"")</f>
        <v/>
      </c>
      <c r="L253" s="32" t="str">
        <f>IF(AND(ISNUMBER(Roster!$B253),Setup!$B$30="Yes",ISNUMBER(Setup!$C$30)),EDATE(Roster!$B253,12*Setup!$C$30),"")</f>
        <v/>
      </c>
      <c r="M253" s="32" t="str">
        <f>IF(AND(ISNUMBER(Roster!$B253),Setup!$B$31="Yes",ISNUMBER(Setup!$C$31)),EDATE(Roster!$B253,12*Setup!$C$31),"")</f>
        <v/>
      </c>
      <c r="N253" s="32" t="str">
        <f>IF(AND(ISNUMBER(Roster!$B253),Setup!$B$32="Yes",ISNUMBER(Setup!$C$32)),EDATE(Roster!$B253,12*Setup!$C$32),"")</f>
        <v/>
      </c>
      <c r="O253" s="32" t="str">
        <f>IF(AND(ISNUMBER(Roster!$B253),Setup!$B$33="Yes",ISNUMBER(Setup!$C$33)),EDATE(Roster!$B253,12*Setup!$C$33),"")</f>
        <v/>
      </c>
      <c r="P253" s="32" t="str">
        <f>IF(AND(ISNUMBER(Roster!$B253),Setup!$B$34="Yes",ISNUMBER(Setup!$C$34)),EDATE(Roster!$B253,12*Setup!$C$34),"")</f>
        <v/>
      </c>
      <c r="R253" t="str">
        <f>IF(B253="","",IF(B253&lt;Setup!$C$5-Setup!$C$6,"",IF(IF(ISNUMBER(Roster!$D253),Setup!$C$20&lt;=Roster!$D253,FALSE),"",IF(OR(IF(Setup!$C$15&lt;=Setup!$C$16,AND(MONTH(B253)&gt;=Setup!$C$15,MONTH(B253)&lt;=Setup!$C$16),OR(MONTH(B253)&gt;=Setup!$C$15,MONTH(B253)&lt;=Setup!$C$16)),IF(Setup!$C$15&lt;=Setup!$C$16,AND(MONTH(WORKDAY(B253,-(Setup!$C$13+Setup!$G$20),Setup!$C$39:$C$50))&gt;=Setup!$C$15,MONTH(WORKDAY(B253,-(Setup!$C$13+Setup!$G$20),Setup!$C$39:$C$50))&lt;=Setup!$C$16),OR(MONTH(WORKDAY(B253,-(Setup!$C$13+Setup!$G$20),Setup!$C$39:$C$50))&gt;=Setup!$C$15,MONTH(WORKDAY(B253,-(Setup!$C$13+Setup!$G$20),Setup!$C$39:$C$50))&lt;=Setup!$C$16))),WORKDAY(B253,-(Setup!$C$13+Setup!$G$20+Setup!$C$14),Setup!$C$39:$C$50),WORKDAY(B253,-(Setup!$C$13+Setup!$G$20),Setup!$C$39:$C$50))+(248*100+1)/10000000)))</f>
        <v/>
      </c>
      <c r="S253" t="str">
        <f>IF(C253="","",IF(C253&lt;Setup!$C$5-Setup!$C$6,"",IF(IF(ISNUMBER(Roster!$D253),Setup!$C$21&lt;=Roster!$D253,FALSE),"",IF(OR(IF(Setup!$C$15&lt;=Setup!$C$16,AND(MONTH(C253)&gt;=Setup!$C$15,MONTH(C253)&lt;=Setup!$C$16),OR(MONTH(C253)&gt;=Setup!$C$15,MONTH(C253)&lt;=Setup!$C$16)),IF(Setup!$C$15&lt;=Setup!$C$16,AND(MONTH(WORKDAY(C253,-(Setup!$C$13+Setup!$G$21),Setup!$C$39:$C$50))&gt;=Setup!$C$15,MONTH(WORKDAY(C253,-(Setup!$C$13+Setup!$G$21),Setup!$C$39:$C$50))&lt;=Setup!$C$16),OR(MONTH(WORKDAY(C253,-(Setup!$C$13+Setup!$G$21),Setup!$C$39:$C$50))&gt;=Setup!$C$15,MONTH(WORKDAY(C253,-(Setup!$C$13+Setup!$G$21),Setup!$C$39:$C$50))&lt;=Setup!$C$16))),WORKDAY(C253,-(Setup!$C$13+Setup!$G$21+Setup!$C$14),Setup!$C$39:$C$50),WORKDAY(C253,-(Setup!$C$13+Setup!$G$21),Setup!$C$39:$C$50))+(248*100+2)/10000000)))</f>
        <v/>
      </c>
      <c r="T253" t="str">
        <f>IF(D253="","",IF(D253&lt;Setup!$C$5-Setup!$C$6,"",IF(IF(ISNUMBER(Roster!$D253),Setup!$C$22&lt;=Roster!$D253,FALSE),"",IF(OR(IF(Setup!$C$15&lt;=Setup!$C$16,AND(MONTH(D253)&gt;=Setup!$C$15,MONTH(D253)&lt;=Setup!$C$16),OR(MONTH(D253)&gt;=Setup!$C$15,MONTH(D253)&lt;=Setup!$C$16)),IF(Setup!$C$15&lt;=Setup!$C$16,AND(MONTH(WORKDAY(D253,-(Setup!$C$13+Setup!$G$22),Setup!$C$39:$C$50))&gt;=Setup!$C$15,MONTH(WORKDAY(D253,-(Setup!$C$13+Setup!$G$22),Setup!$C$39:$C$50))&lt;=Setup!$C$16),OR(MONTH(WORKDAY(D253,-(Setup!$C$13+Setup!$G$22),Setup!$C$39:$C$50))&gt;=Setup!$C$15,MONTH(WORKDAY(D253,-(Setup!$C$13+Setup!$G$22),Setup!$C$39:$C$50))&lt;=Setup!$C$16))),WORKDAY(D253,-(Setup!$C$13+Setup!$G$22+Setup!$C$14),Setup!$C$39:$C$50),WORKDAY(D253,-(Setup!$C$13+Setup!$G$22),Setup!$C$39:$C$50))+(248*100+3)/10000000)))</f>
        <v/>
      </c>
      <c r="U253" t="str">
        <f>IF(E253="","",IF(E253&lt;Setup!$C$5-Setup!$C$6,"",IF(IF(ISNUMBER(Roster!$D253),Setup!$C$23&lt;=Roster!$D253,FALSE),"",IF(OR(IF(Setup!$C$15&lt;=Setup!$C$16,AND(MONTH(E253)&gt;=Setup!$C$15,MONTH(E253)&lt;=Setup!$C$16),OR(MONTH(E253)&gt;=Setup!$C$15,MONTH(E253)&lt;=Setup!$C$16)),IF(Setup!$C$15&lt;=Setup!$C$16,AND(MONTH(WORKDAY(E253,-(Setup!$C$13+Setup!$G$23),Setup!$C$39:$C$50))&gt;=Setup!$C$15,MONTH(WORKDAY(E253,-(Setup!$C$13+Setup!$G$23),Setup!$C$39:$C$50))&lt;=Setup!$C$16),OR(MONTH(WORKDAY(E253,-(Setup!$C$13+Setup!$G$23),Setup!$C$39:$C$50))&gt;=Setup!$C$15,MONTH(WORKDAY(E253,-(Setup!$C$13+Setup!$G$23),Setup!$C$39:$C$50))&lt;=Setup!$C$16))),WORKDAY(E253,-(Setup!$C$13+Setup!$G$23+Setup!$C$14),Setup!$C$39:$C$50),WORKDAY(E253,-(Setup!$C$13+Setup!$G$23),Setup!$C$39:$C$50))+(248*100+4)/10000000)))</f>
        <v/>
      </c>
      <c r="V253" t="str">
        <f>IF(F253="","",IF(F253&lt;Setup!$C$5-Setup!$C$6,"",IF(IF(ISNUMBER(Roster!$D253),Setup!$C$24&lt;=Roster!$D253,FALSE),"",IF(OR(IF(Setup!$C$15&lt;=Setup!$C$16,AND(MONTH(F253)&gt;=Setup!$C$15,MONTH(F253)&lt;=Setup!$C$16),OR(MONTH(F253)&gt;=Setup!$C$15,MONTH(F253)&lt;=Setup!$C$16)),IF(Setup!$C$15&lt;=Setup!$C$16,AND(MONTH(WORKDAY(F253,-(Setup!$C$13+Setup!$G$24),Setup!$C$39:$C$50))&gt;=Setup!$C$15,MONTH(WORKDAY(F253,-(Setup!$C$13+Setup!$G$24),Setup!$C$39:$C$50))&lt;=Setup!$C$16),OR(MONTH(WORKDAY(F253,-(Setup!$C$13+Setup!$G$24),Setup!$C$39:$C$50))&gt;=Setup!$C$15,MONTH(WORKDAY(F253,-(Setup!$C$13+Setup!$G$24),Setup!$C$39:$C$50))&lt;=Setup!$C$16))),WORKDAY(F253,-(Setup!$C$13+Setup!$G$24+Setup!$C$14),Setup!$C$39:$C$50),WORKDAY(F253,-(Setup!$C$13+Setup!$G$24),Setup!$C$39:$C$50))+(248*100+5)/10000000)))</f>
        <v/>
      </c>
      <c r="W253" t="str">
        <f>IF(G253="","",IF(G253&lt;Setup!$C$5-Setup!$C$6,"",IF(IF(ISNUMBER(Roster!$D253),Setup!$C$25&lt;=Roster!$D253,FALSE),"",IF(OR(IF(Setup!$C$15&lt;=Setup!$C$16,AND(MONTH(G253)&gt;=Setup!$C$15,MONTH(G253)&lt;=Setup!$C$16),OR(MONTH(G253)&gt;=Setup!$C$15,MONTH(G253)&lt;=Setup!$C$16)),IF(Setup!$C$15&lt;=Setup!$C$16,AND(MONTH(WORKDAY(G253,-(Setup!$C$13+Setup!$G$25),Setup!$C$39:$C$50))&gt;=Setup!$C$15,MONTH(WORKDAY(G253,-(Setup!$C$13+Setup!$G$25),Setup!$C$39:$C$50))&lt;=Setup!$C$16),OR(MONTH(WORKDAY(G253,-(Setup!$C$13+Setup!$G$25),Setup!$C$39:$C$50))&gt;=Setup!$C$15,MONTH(WORKDAY(G253,-(Setup!$C$13+Setup!$G$25),Setup!$C$39:$C$50))&lt;=Setup!$C$16))),WORKDAY(G253,-(Setup!$C$13+Setup!$G$25+Setup!$C$14),Setup!$C$39:$C$50),WORKDAY(G253,-(Setup!$C$13+Setup!$G$25),Setup!$C$39:$C$50))+(248*100+6)/10000000)))</f>
        <v/>
      </c>
      <c r="X253" t="str">
        <f>IF(H253="","",IF(H253&lt;Setup!$C$5-Setup!$C$6,"",IF(IF(ISNUMBER(Roster!$D253),Setup!$C$26&lt;=Roster!$D253,FALSE),"",IF(OR(IF(Setup!$C$15&lt;=Setup!$C$16,AND(MONTH(H253)&gt;=Setup!$C$15,MONTH(H253)&lt;=Setup!$C$16),OR(MONTH(H253)&gt;=Setup!$C$15,MONTH(H253)&lt;=Setup!$C$16)),IF(Setup!$C$15&lt;=Setup!$C$16,AND(MONTH(WORKDAY(H253,-(Setup!$C$13+Setup!$G$26),Setup!$C$39:$C$50))&gt;=Setup!$C$15,MONTH(WORKDAY(H253,-(Setup!$C$13+Setup!$G$26),Setup!$C$39:$C$50))&lt;=Setup!$C$16),OR(MONTH(WORKDAY(H253,-(Setup!$C$13+Setup!$G$26),Setup!$C$39:$C$50))&gt;=Setup!$C$15,MONTH(WORKDAY(H253,-(Setup!$C$13+Setup!$G$26),Setup!$C$39:$C$50))&lt;=Setup!$C$16))),WORKDAY(H253,-(Setup!$C$13+Setup!$G$26+Setup!$C$14),Setup!$C$39:$C$50),WORKDAY(H253,-(Setup!$C$13+Setup!$G$26),Setup!$C$39:$C$50))+(248*100+7)/10000000)))</f>
        <v/>
      </c>
      <c r="Y253" t="str">
        <f>IF(I253="","",IF(I253&lt;Setup!$C$5-Setup!$C$6,"",IF(IF(ISNUMBER(Roster!$D253),Setup!$C$27&lt;=Roster!$D253,FALSE),"",IF(OR(IF(Setup!$C$15&lt;=Setup!$C$16,AND(MONTH(I253)&gt;=Setup!$C$15,MONTH(I253)&lt;=Setup!$C$16),OR(MONTH(I253)&gt;=Setup!$C$15,MONTH(I253)&lt;=Setup!$C$16)),IF(Setup!$C$15&lt;=Setup!$C$16,AND(MONTH(WORKDAY(I253,-(Setup!$C$13+Setup!$G$27),Setup!$C$39:$C$50))&gt;=Setup!$C$15,MONTH(WORKDAY(I253,-(Setup!$C$13+Setup!$G$27),Setup!$C$39:$C$50))&lt;=Setup!$C$16),OR(MONTH(WORKDAY(I253,-(Setup!$C$13+Setup!$G$27),Setup!$C$39:$C$50))&gt;=Setup!$C$15,MONTH(WORKDAY(I253,-(Setup!$C$13+Setup!$G$27),Setup!$C$39:$C$50))&lt;=Setup!$C$16))),WORKDAY(I253,-(Setup!$C$13+Setup!$G$27+Setup!$C$14),Setup!$C$39:$C$50),WORKDAY(I253,-(Setup!$C$13+Setup!$G$27),Setup!$C$39:$C$50))+(248*100+8)/10000000)))</f>
        <v/>
      </c>
      <c r="Z253" t="str">
        <f>IF(J253="","",IF(J253&lt;Setup!$C$5-Setup!$C$6,"",IF(IF(ISNUMBER(Roster!$D253),Setup!$C$28&lt;=Roster!$D253,FALSE),"",IF(OR(IF(Setup!$C$15&lt;=Setup!$C$16,AND(MONTH(J253)&gt;=Setup!$C$15,MONTH(J253)&lt;=Setup!$C$16),OR(MONTH(J253)&gt;=Setup!$C$15,MONTH(J253)&lt;=Setup!$C$16)),IF(Setup!$C$15&lt;=Setup!$C$16,AND(MONTH(WORKDAY(J253,-(Setup!$C$13+Setup!$G$28),Setup!$C$39:$C$50))&gt;=Setup!$C$15,MONTH(WORKDAY(J253,-(Setup!$C$13+Setup!$G$28),Setup!$C$39:$C$50))&lt;=Setup!$C$16),OR(MONTH(WORKDAY(J253,-(Setup!$C$13+Setup!$G$28),Setup!$C$39:$C$50))&gt;=Setup!$C$15,MONTH(WORKDAY(J253,-(Setup!$C$13+Setup!$G$28),Setup!$C$39:$C$50))&lt;=Setup!$C$16))),WORKDAY(J253,-(Setup!$C$13+Setup!$G$28+Setup!$C$14),Setup!$C$39:$C$50),WORKDAY(J253,-(Setup!$C$13+Setup!$G$28),Setup!$C$39:$C$50))+(248*100+9)/10000000)))</f>
        <v/>
      </c>
      <c r="AA253" t="str">
        <f>IF(K253="","",IF(K253&lt;Setup!$C$5-Setup!$C$6,"",IF(IF(ISNUMBER(Roster!$D253),Setup!$C$29&lt;=Roster!$D253,FALSE),"",IF(OR(IF(Setup!$C$15&lt;=Setup!$C$16,AND(MONTH(K253)&gt;=Setup!$C$15,MONTH(K253)&lt;=Setup!$C$16),OR(MONTH(K253)&gt;=Setup!$C$15,MONTH(K253)&lt;=Setup!$C$16)),IF(Setup!$C$15&lt;=Setup!$C$16,AND(MONTH(WORKDAY(K253,-(Setup!$C$13+Setup!$G$29),Setup!$C$39:$C$50))&gt;=Setup!$C$15,MONTH(WORKDAY(K253,-(Setup!$C$13+Setup!$G$29),Setup!$C$39:$C$50))&lt;=Setup!$C$16),OR(MONTH(WORKDAY(K253,-(Setup!$C$13+Setup!$G$29),Setup!$C$39:$C$50))&gt;=Setup!$C$15,MONTH(WORKDAY(K253,-(Setup!$C$13+Setup!$G$29),Setup!$C$39:$C$50))&lt;=Setup!$C$16))),WORKDAY(K253,-(Setup!$C$13+Setup!$G$29+Setup!$C$14),Setup!$C$39:$C$50),WORKDAY(K253,-(Setup!$C$13+Setup!$G$29),Setup!$C$39:$C$50))+(248*100+10)/10000000)))</f>
        <v/>
      </c>
      <c r="AB253" t="str">
        <f>IF(L253="","",IF(L253&lt;Setup!$C$5-Setup!$C$6,"",IF(IF(ISNUMBER(Roster!$D253),Setup!$C$30&lt;=Roster!$D253,FALSE),"",IF(OR(IF(Setup!$C$15&lt;=Setup!$C$16,AND(MONTH(L253)&gt;=Setup!$C$15,MONTH(L253)&lt;=Setup!$C$16),OR(MONTH(L253)&gt;=Setup!$C$15,MONTH(L253)&lt;=Setup!$C$16)),IF(Setup!$C$15&lt;=Setup!$C$16,AND(MONTH(WORKDAY(L253,-(Setup!$C$13+Setup!$G$30),Setup!$C$39:$C$50))&gt;=Setup!$C$15,MONTH(WORKDAY(L253,-(Setup!$C$13+Setup!$G$30),Setup!$C$39:$C$50))&lt;=Setup!$C$16),OR(MONTH(WORKDAY(L253,-(Setup!$C$13+Setup!$G$30),Setup!$C$39:$C$50))&gt;=Setup!$C$15,MONTH(WORKDAY(L253,-(Setup!$C$13+Setup!$G$30),Setup!$C$39:$C$50))&lt;=Setup!$C$16))),WORKDAY(L253,-(Setup!$C$13+Setup!$G$30+Setup!$C$14),Setup!$C$39:$C$50),WORKDAY(L253,-(Setup!$C$13+Setup!$G$30),Setup!$C$39:$C$50))+(248*100+11)/10000000)))</f>
        <v/>
      </c>
      <c r="AC253" t="str">
        <f>IF(M253="","",IF(M253&lt;Setup!$C$5-Setup!$C$6,"",IF(IF(ISNUMBER(Roster!$D253),Setup!$C$31&lt;=Roster!$D253,FALSE),"",IF(OR(IF(Setup!$C$15&lt;=Setup!$C$16,AND(MONTH(M253)&gt;=Setup!$C$15,MONTH(M253)&lt;=Setup!$C$16),OR(MONTH(M253)&gt;=Setup!$C$15,MONTH(M253)&lt;=Setup!$C$16)),IF(Setup!$C$15&lt;=Setup!$C$16,AND(MONTH(WORKDAY(M253,-(Setup!$C$13+Setup!$G$31),Setup!$C$39:$C$50))&gt;=Setup!$C$15,MONTH(WORKDAY(M253,-(Setup!$C$13+Setup!$G$31),Setup!$C$39:$C$50))&lt;=Setup!$C$16),OR(MONTH(WORKDAY(M253,-(Setup!$C$13+Setup!$G$31),Setup!$C$39:$C$50))&gt;=Setup!$C$15,MONTH(WORKDAY(M253,-(Setup!$C$13+Setup!$G$31),Setup!$C$39:$C$50))&lt;=Setup!$C$16))),WORKDAY(M253,-(Setup!$C$13+Setup!$G$31+Setup!$C$14),Setup!$C$39:$C$50),WORKDAY(M253,-(Setup!$C$13+Setup!$G$31),Setup!$C$39:$C$50))+(248*100+12)/10000000)))</f>
        <v/>
      </c>
      <c r="AD253" t="str">
        <f>IF(N253="","",IF(N253&lt;Setup!$C$5-Setup!$C$6,"",IF(IF(ISNUMBER(Roster!$D253),Setup!$C$32&lt;=Roster!$D253,FALSE),"",IF(OR(IF(Setup!$C$15&lt;=Setup!$C$16,AND(MONTH(N253)&gt;=Setup!$C$15,MONTH(N253)&lt;=Setup!$C$16),OR(MONTH(N253)&gt;=Setup!$C$15,MONTH(N253)&lt;=Setup!$C$16)),IF(Setup!$C$15&lt;=Setup!$C$16,AND(MONTH(WORKDAY(N253,-(Setup!$C$13+Setup!$G$32),Setup!$C$39:$C$50))&gt;=Setup!$C$15,MONTH(WORKDAY(N253,-(Setup!$C$13+Setup!$G$32),Setup!$C$39:$C$50))&lt;=Setup!$C$16),OR(MONTH(WORKDAY(N253,-(Setup!$C$13+Setup!$G$32),Setup!$C$39:$C$50))&gt;=Setup!$C$15,MONTH(WORKDAY(N253,-(Setup!$C$13+Setup!$G$32),Setup!$C$39:$C$50))&lt;=Setup!$C$16))),WORKDAY(N253,-(Setup!$C$13+Setup!$G$32+Setup!$C$14),Setup!$C$39:$C$50),WORKDAY(N253,-(Setup!$C$13+Setup!$G$32),Setup!$C$39:$C$50))+(248*100+13)/10000000)))</f>
        <v/>
      </c>
      <c r="AE253" t="str">
        <f>IF(O253="","",IF(O253&lt;Setup!$C$5-Setup!$C$6,"",IF(IF(ISNUMBER(Roster!$D253),Setup!$C$33&lt;=Roster!$D253,FALSE),"",IF(OR(IF(Setup!$C$15&lt;=Setup!$C$16,AND(MONTH(O253)&gt;=Setup!$C$15,MONTH(O253)&lt;=Setup!$C$16),OR(MONTH(O253)&gt;=Setup!$C$15,MONTH(O253)&lt;=Setup!$C$16)),IF(Setup!$C$15&lt;=Setup!$C$16,AND(MONTH(WORKDAY(O253,-(Setup!$C$13+Setup!$G$33),Setup!$C$39:$C$50))&gt;=Setup!$C$15,MONTH(WORKDAY(O253,-(Setup!$C$13+Setup!$G$33),Setup!$C$39:$C$50))&lt;=Setup!$C$16),OR(MONTH(WORKDAY(O253,-(Setup!$C$13+Setup!$G$33),Setup!$C$39:$C$50))&gt;=Setup!$C$15,MONTH(WORKDAY(O253,-(Setup!$C$13+Setup!$G$33),Setup!$C$39:$C$50))&lt;=Setup!$C$16))),WORKDAY(O253,-(Setup!$C$13+Setup!$G$33+Setup!$C$14),Setup!$C$39:$C$50),WORKDAY(O253,-(Setup!$C$13+Setup!$G$33),Setup!$C$39:$C$50))+(248*100+14)/10000000)))</f>
        <v/>
      </c>
      <c r="AF253" t="str">
        <f>IF(P253="","",IF(P253&lt;Setup!$C$5-Setup!$C$6,"",IF(IF(ISNUMBER(Roster!$D253),Setup!$C$34&lt;=Roster!$D253,FALSE),"",IF(OR(IF(Setup!$C$15&lt;=Setup!$C$16,AND(MONTH(P253)&gt;=Setup!$C$15,MONTH(P253)&lt;=Setup!$C$16),OR(MONTH(P253)&gt;=Setup!$C$15,MONTH(P253)&lt;=Setup!$C$16)),IF(Setup!$C$15&lt;=Setup!$C$16,AND(MONTH(WORKDAY(P253,-(Setup!$C$13+Setup!$G$34),Setup!$C$39:$C$50))&gt;=Setup!$C$15,MONTH(WORKDAY(P253,-(Setup!$C$13+Setup!$G$34),Setup!$C$39:$C$50))&lt;=Setup!$C$16),OR(MONTH(WORKDAY(P253,-(Setup!$C$13+Setup!$G$34),Setup!$C$39:$C$50))&gt;=Setup!$C$15,MONTH(WORKDAY(P253,-(Setup!$C$13+Setup!$G$34),Setup!$C$39:$C$50))&lt;=Setup!$C$16))),WORKDAY(P253,-(Setup!$C$13+Setup!$G$34+Setup!$C$14),Setup!$C$39:$C$50),WORKDAY(P253,-(Setup!$C$13+Setup!$G$34),Setup!$C$39:$C$50))+(248*100+15)/10000000)))</f>
        <v/>
      </c>
      <c r="AH253" t="str">
        <f t="shared" si="25"/>
        <v/>
      </c>
      <c r="AI253" t="str">
        <f t="shared" si="26"/>
        <v/>
      </c>
      <c r="AK253" t="str">
        <f ca="1">IF(248&gt;$AK$2,"",SMALL($R$6:$AF$505,248))</f>
        <v/>
      </c>
      <c r="AL253" t="str">
        <f t="shared" ca="1" si="27"/>
        <v/>
      </c>
      <c r="AM253" t="str">
        <f t="shared" ca="1" si="28"/>
        <v/>
      </c>
      <c r="AN253" t="str">
        <f t="shared" ca="1" si="29"/>
        <v/>
      </c>
      <c r="AP253" t="str">
        <f>IF(ISNUMBER(Roster!$B253),MAX(1,YEAR(Setup!$C$5)-YEAR(Roster!$B253)+IF(EDATE(Roster!$B253,12*(YEAR(Setup!$C$5)-YEAR(Roster!$B253)))&lt;Setup!$C$5,1,0)),"")</f>
        <v/>
      </c>
      <c r="AQ253" s="32" t="str">
        <f>IF(AP253="","",EDATE(Roster!$B253,12*AP253))</f>
        <v/>
      </c>
      <c r="AR253" t="str">
        <f>IF(AQ253="","",IF(AQ253&lt;DATE(YEAR(Setup!$C$5)+1,MONTH(Setup!$C$5),DAY(Setup!$C$5)),AQ253+248/1000,""))</f>
        <v/>
      </c>
      <c r="AS253" t="str">
        <f t="shared" si="30"/>
        <v/>
      </c>
      <c r="AT253" t="str">
        <f>IF(AS253="","",IF(ISNUMBER(Roster!$D253),Roster!$D253&gt;=AP253,FALSE))</f>
        <v/>
      </c>
      <c r="AU253" t="str">
        <f t="shared" si="31"/>
        <v/>
      </c>
      <c r="AV253" t="str">
        <f ca="1">IF(248&gt;$AV$2,"",SMALL($AR$6:$AR$505,248))</f>
        <v/>
      </c>
      <c r="AW253" t="str">
        <f t="shared" ca="1" si="32"/>
        <v/>
      </c>
    </row>
    <row r="254" spans="2:49" x14ac:dyDescent="0.2">
      <c r="B254" s="32" t="str">
        <f>IF(AND(ISNUMBER(Roster!$B254),Setup!$B$20="Yes",ISNUMBER(Setup!$C$20)),EDATE(Roster!$B254,12*Setup!$C$20),"")</f>
        <v/>
      </c>
      <c r="C254" s="32" t="str">
        <f>IF(AND(ISNUMBER(Roster!$B254),Setup!$B$21="Yes",ISNUMBER(Setup!$C$21)),EDATE(Roster!$B254,12*Setup!$C$21),"")</f>
        <v/>
      </c>
      <c r="D254" s="32" t="str">
        <f>IF(AND(ISNUMBER(Roster!$B254),Setup!$B$22="Yes",ISNUMBER(Setup!$C$22)),EDATE(Roster!$B254,12*Setup!$C$22),"")</f>
        <v/>
      </c>
      <c r="E254" s="32" t="str">
        <f>IF(AND(ISNUMBER(Roster!$B254),Setup!$B$23="Yes",ISNUMBER(Setup!$C$23)),EDATE(Roster!$B254,12*Setup!$C$23),"")</f>
        <v/>
      </c>
      <c r="F254" s="32" t="str">
        <f>IF(AND(ISNUMBER(Roster!$B254),Setup!$B$24="Yes",ISNUMBER(Setup!$C$24)),EDATE(Roster!$B254,12*Setup!$C$24),"")</f>
        <v/>
      </c>
      <c r="G254" s="32" t="str">
        <f>IF(AND(ISNUMBER(Roster!$B254),Setup!$B$25="Yes",ISNUMBER(Setup!$C$25)),EDATE(Roster!$B254,12*Setup!$C$25),"")</f>
        <v/>
      </c>
      <c r="H254" s="32" t="str">
        <f>IF(AND(ISNUMBER(Roster!$B254),Setup!$B$26="Yes",ISNUMBER(Setup!$C$26)),EDATE(Roster!$B254,12*Setup!$C$26),"")</f>
        <v/>
      </c>
      <c r="I254" s="32" t="str">
        <f>IF(AND(ISNUMBER(Roster!$B254),Setup!$B$27="Yes",ISNUMBER(Setup!$C$27)),EDATE(Roster!$B254,12*Setup!$C$27),"")</f>
        <v/>
      </c>
      <c r="J254" s="32" t="str">
        <f>IF(AND(ISNUMBER(Roster!$B254),Setup!$B$28="Yes",ISNUMBER(Setup!$C$28)),EDATE(Roster!$B254,12*Setup!$C$28),"")</f>
        <v/>
      </c>
      <c r="K254" s="32" t="str">
        <f>IF(AND(ISNUMBER(Roster!$B254),Setup!$B$29="Yes",ISNUMBER(Setup!$C$29)),EDATE(Roster!$B254,12*Setup!$C$29),"")</f>
        <v/>
      </c>
      <c r="L254" s="32" t="str">
        <f>IF(AND(ISNUMBER(Roster!$B254),Setup!$B$30="Yes",ISNUMBER(Setup!$C$30)),EDATE(Roster!$B254,12*Setup!$C$30),"")</f>
        <v/>
      </c>
      <c r="M254" s="32" t="str">
        <f>IF(AND(ISNUMBER(Roster!$B254),Setup!$B$31="Yes",ISNUMBER(Setup!$C$31)),EDATE(Roster!$B254,12*Setup!$C$31),"")</f>
        <v/>
      </c>
      <c r="N254" s="32" t="str">
        <f>IF(AND(ISNUMBER(Roster!$B254),Setup!$B$32="Yes",ISNUMBER(Setup!$C$32)),EDATE(Roster!$B254,12*Setup!$C$32),"")</f>
        <v/>
      </c>
      <c r="O254" s="32" t="str">
        <f>IF(AND(ISNUMBER(Roster!$B254),Setup!$B$33="Yes",ISNUMBER(Setup!$C$33)),EDATE(Roster!$B254,12*Setup!$C$33),"")</f>
        <v/>
      </c>
      <c r="P254" s="32" t="str">
        <f>IF(AND(ISNUMBER(Roster!$B254),Setup!$B$34="Yes",ISNUMBER(Setup!$C$34)),EDATE(Roster!$B254,12*Setup!$C$34),"")</f>
        <v/>
      </c>
      <c r="R254" t="str">
        <f>IF(B254="","",IF(B254&lt;Setup!$C$5-Setup!$C$6,"",IF(IF(ISNUMBER(Roster!$D254),Setup!$C$20&lt;=Roster!$D254,FALSE),"",IF(OR(IF(Setup!$C$15&lt;=Setup!$C$16,AND(MONTH(B254)&gt;=Setup!$C$15,MONTH(B254)&lt;=Setup!$C$16),OR(MONTH(B254)&gt;=Setup!$C$15,MONTH(B254)&lt;=Setup!$C$16)),IF(Setup!$C$15&lt;=Setup!$C$16,AND(MONTH(WORKDAY(B254,-(Setup!$C$13+Setup!$G$20),Setup!$C$39:$C$50))&gt;=Setup!$C$15,MONTH(WORKDAY(B254,-(Setup!$C$13+Setup!$G$20),Setup!$C$39:$C$50))&lt;=Setup!$C$16),OR(MONTH(WORKDAY(B254,-(Setup!$C$13+Setup!$G$20),Setup!$C$39:$C$50))&gt;=Setup!$C$15,MONTH(WORKDAY(B254,-(Setup!$C$13+Setup!$G$20),Setup!$C$39:$C$50))&lt;=Setup!$C$16))),WORKDAY(B254,-(Setup!$C$13+Setup!$G$20+Setup!$C$14),Setup!$C$39:$C$50),WORKDAY(B254,-(Setup!$C$13+Setup!$G$20),Setup!$C$39:$C$50))+(249*100+1)/10000000)))</f>
        <v/>
      </c>
      <c r="S254" t="str">
        <f>IF(C254="","",IF(C254&lt;Setup!$C$5-Setup!$C$6,"",IF(IF(ISNUMBER(Roster!$D254),Setup!$C$21&lt;=Roster!$D254,FALSE),"",IF(OR(IF(Setup!$C$15&lt;=Setup!$C$16,AND(MONTH(C254)&gt;=Setup!$C$15,MONTH(C254)&lt;=Setup!$C$16),OR(MONTH(C254)&gt;=Setup!$C$15,MONTH(C254)&lt;=Setup!$C$16)),IF(Setup!$C$15&lt;=Setup!$C$16,AND(MONTH(WORKDAY(C254,-(Setup!$C$13+Setup!$G$21),Setup!$C$39:$C$50))&gt;=Setup!$C$15,MONTH(WORKDAY(C254,-(Setup!$C$13+Setup!$G$21),Setup!$C$39:$C$50))&lt;=Setup!$C$16),OR(MONTH(WORKDAY(C254,-(Setup!$C$13+Setup!$G$21),Setup!$C$39:$C$50))&gt;=Setup!$C$15,MONTH(WORKDAY(C254,-(Setup!$C$13+Setup!$G$21),Setup!$C$39:$C$50))&lt;=Setup!$C$16))),WORKDAY(C254,-(Setup!$C$13+Setup!$G$21+Setup!$C$14),Setup!$C$39:$C$50),WORKDAY(C254,-(Setup!$C$13+Setup!$G$21),Setup!$C$39:$C$50))+(249*100+2)/10000000)))</f>
        <v/>
      </c>
      <c r="T254" t="str">
        <f>IF(D254="","",IF(D254&lt;Setup!$C$5-Setup!$C$6,"",IF(IF(ISNUMBER(Roster!$D254),Setup!$C$22&lt;=Roster!$D254,FALSE),"",IF(OR(IF(Setup!$C$15&lt;=Setup!$C$16,AND(MONTH(D254)&gt;=Setup!$C$15,MONTH(D254)&lt;=Setup!$C$16),OR(MONTH(D254)&gt;=Setup!$C$15,MONTH(D254)&lt;=Setup!$C$16)),IF(Setup!$C$15&lt;=Setup!$C$16,AND(MONTH(WORKDAY(D254,-(Setup!$C$13+Setup!$G$22),Setup!$C$39:$C$50))&gt;=Setup!$C$15,MONTH(WORKDAY(D254,-(Setup!$C$13+Setup!$G$22),Setup!$C$39:$C$50))&lt;=Setup!$C$16),OR(MONTH(WORKDAY(D254,-(Setup!$C$13+Setup!$G$22),Setup!$C$39:$C$50))&gt;=Setup!$C$15,MONTH(WORKDAY(D254,-(Setup!$C$13+Setup!$G$22),Setup!$C$39:$C$50))&lt;=Setup!$C$16))),WORKDAY(D254,-(Setup!$C$13+Setup!$G$22+Setup!$C$14),Setup!$C$39:$C$50),WORKDAY(D254,-(Setup!$C$13+Setup!$G$22),Setup!$C$39:$C$50))+(249*100+3)/10000000)))</f>
        <v/>
      </c>
      <c r="U254" t="str">
        <f>IF(E254="","",IF(E254&lt;Setup!$C$5-Setup!$C$6,"",IF(IF(ISNUMBER(Roster!$D254),Setup!$C$23&lt;=Roster!$D254,FALSE),"",IF(OR(IF(Setup!$C$15&lt;=Setup!$C$16,AND(MONTH(E254)&gt;=Setup!$C$15,MONTH(E254)&lt;=Setup!$C$16),OR(MONTH(E254)&gt;=Setup!$C$15,MONTH(E254)&lt;=Setup!$C$16)),IF(Setup!$C$15&lt;=Setup!$C$16,AND(MONTH(WORKDAY(E254,-(Setup!$C$13+Setup!$G$23),Setup!$C$39:$C$50))&gt;=Setup!$C$15,MONTH(WORKDAY(E254,-(Setup!$C$13+Setup!$G$23),Setup!$C$39:$C$50))&lt;=Setup!$C$16),OR(MONTH(WORKDAY(E254,-(Setup!$C$13+Setup!$G$23),Setup!$C$39:$C$50))&gt;=Setup!$C$15,MONTH(WORKDAY(E254,-(Setup!$C$13+Setup!$G$23),Setup!$C$39:$C$50))&lt;=Setup!$C$16))),WORKDAY(E254,-(Setup!$C$13+Setup!$G$23+Setup!$C$14),Setup!$C$39:$C$50),WORKDAY(E254,-(Setup!$C$13+Setup!$G$23),Setup!$C$39:$C$50))+(249*100+4)/10000000)))</f>
        <v/>
      </c>
      <c r="V254" t="str">
        <f>IF(F254="","",IF(F254&lt;Setup!$C$5-Setup!$C$6,"",IF(IF(ISNUMBER(Roster!$D254),Setup!$C$24&lt;=Roster!$D254,FALSE),"",IF(OR(IF(Setup!$C$15&lt;=Setup!$C$16,AND(MONTH(F254)&gt;=Setup!$C$15,MONTH(F254)&lt;=Setup!$C$16),OR(MONTH(F254)&gt;=Setup!$C$15,MONTH(F254)&lt;=Setup!$C$16)),IF(Setup!$C$15&lt;=Setup!$C$16,AND(MONTH(WORKDAY(F254,-(Setup!$C$13+Setup!$G$24),Setup!$C$39:$C$50))&gt;=Setup!$C$15,MONTH(WORKDAY(F254,-(Setup!$C$13+Setup!$G$24),Setup!$C$39:$C$50))&lt;=Setup!$C$16),OR(MONTH(WORKDAY(F254,-(Setup!$C$13+Setup!$G$24),Setup!$C$39:$C$50))&gt;=Setup!$C$15,MONTH(WORKDAY(F254,-(Setup!$C$13+Setup!$G$24),Setup!$C$39:$C$50))&lt;=Setup!$C$16))),WORKDAY(F254,-(Setup!$C$13+Setup!$G$24+Setup!$C$14),Setup!$C$39:$C$50),WORKDAY(F254,-(Setup!$C$13+Setup!$G$24),Setup!$C$39:$C$50))+(249*100+5)/10000000)))</f>
        <v/>
      </c>
      <c r="W254" t="str">
        <f>IF(G254="","",IF(G254&lt;Setup!$C$5-Setup!$C$6,"",IF(IF(ISNUMBER(Roster!$D254),Setup!$C$25&lt;=Roster!$D254,FALSE),"",IF(OR(IF(Setup!$C$15&lt;=Setup!$C$16,AND(MONTH(G254)&gt;=Setup!$C$15,MONTH(G254)&lt;=Setup!$C$16),OR(MONTH(G254)&gt;=Setup!$C$15,MONTH(G254)&lt;=Setup!$C$16)),IF(Setup!$C$15&lt;=Setup!$C$16,AND(MONTH(WORKDAY(G254,-(Setup!$C$13+Setup!$G$25),Setup!$C$39:$C$50))&gt;=Setup!$C$15,MONTH(WORKDAY(G254,-(Setup!$C$13+Setup!$G$25),Setup!$C$39:$C$50))&lt;=Setup!$C$16),OR(MONTH(WORKDAY(G254,-(Setup!$C$13+Setup!$G$25),Setup!$C$39:$C$50))&gt;=Setup!$C$15,MONTH(WORKDAY(G254,-(Setup!$C$13+Setup!$G$25),Setup!$C$39:$C$50))&lt;=Setup!$C$16))),WORKDAY(G254,-(Setup!$C$13+Setup!$G$25+Setup!$C$14),Setup!$C$39:$C$50),WORKDAY(G254,-(Setup!$C$13+Setup!$G$25),Setup!$C$39:$C$50))+(249*100+6)/10000000)))</f>
        <v/>
      </c>
      <c r="X254" t="str">
        <f>IF(H254="","",IF(H254&lt;Setup!$C$5-Setup!$C$6,"",IF(IF(ISNUMBER(Roster!$D254),Setup!$C$26&lt;=Roster!$D254,FALSE),"",IF(OR(IF(Setup!$C$15&lt;=Setup!$C$16,AND(MONTH(H254)&gt;=Setup!$C$15,MONTH(H254)&lt;=Setup!$C$16),OR(MONTH(H254)&gt;=Setup!$C$15,MONTH(H254)&lt;=Setup!$C$16)),IF(Setup!$C$15&lt;=Setup!$C$16,AND(MONTH(WORKDAY(H254,-(Setup!$C$13+Setup!$G$26),Setup!$C$39:$C$50))&gt;=Setup!$C$15,MONTH(WORKDAY(H254,-(Setup!$C$13+Setup!$G$26),Setup!$C$39:$C$50))&lt;=Setup!$C$16),OR(MONTH(WORKDAY(H254,-(Setup!$C$13+Setup!$G$26),Setup!$C$39:$C$50))&gt;=Setup!$C$15,MONTH(WORKDAY(H254,-(Setup!$C$13+Setup!$G$26),Setup!$C$39:$C$50))&lt;=Setup!$C$16))),WORKDAY(H254,-(Setup!$C$13+Setup!$G$26+Setup!$C$14),Setup!$C$39:$C$50),WORKDAY(H254,-(Setup!$C$13+Setup!$G$26),Setup!$C$39:$C$50))+(249*100+7)/10000000)))</f>
        <v/>
      </c>
      <c r="Y254" t="str">
        <f>IF(I254="","",IF(I254&lt;Setup!$C$5-Setup!$C$6,"",IF(IF(ISNUMBER(Roster!$D254),Setup!$C$27&lt;=Roster!$D254,FALSE),"",IF(OR(IF(Setup!$C$15&lt;=Setup!$C$16,AND(MONTH(I254)&gt;=Setup!$C$15,MONTH(I254)&lt;=Setup!$C$16),OR(MONTH(I254)&gt;=Setup!$C$15,MONTH(I254)&lt;=Setup!$C$16)),IF(Setup!$C$15&lt;=Setup!$C$16,AND(MONTH(WORKDAY(I254,-(Setup!$C$13+Setup!$G$27),Setup!$C$39:$C$50))&gt;=Setup!$C$15,MONTH(WORKDAY(I254,-(Setup!$C$13+Setup!$G$27),Setup!$C$39:$C$50))&lt;=Setup!$C$16),OR(MONTH(WORKDAY(I254,-(Setup!$C$13+Setup!$G$27),Setup!$C$39:$C$50))&gt;=Setup!$C$15,MONTH(WORKDAY(I254,-(Setup!$C$13+Setup!$G$27),Setup!$C$39:$C$50))&lt;=Setup!$C$16))),WORKDAY(I254,-(Setup!$C$13+Setup!$G$27+Setup!$C$14),Setup!$C$39:$C$50),WORKDAY(I254,-(Setup!$C$13+Setup!$G$27),Setup!$C$39:$C$50))+(249*100+8)/10000000)))</f>
        <v/>
      </c>
      <c r="Z254" t="str">
        <f>IF(J254="","",IF(J254&lt;Setup!$C$5-Setup!$C$6,"",IF(IF(ISNUMBER(Roster!$D254),Setup!$C$28&lt;=Roster!$D254,FALSE),"",IF(OR(IF(Setup!$C$15&lt;=Setup!$C$16,AND(MONTH(J254)&gt;=Setup!$C$15,MONTH(J254)&lt;=Setup!$C$16),OR(MONTH(J254)&gt;=Setup!$C$15,MONTH(J254)&lt;=Setup!$C$16)),IF(Setup!$C$15&lt;=Setup!$C$16,AND(MONTH(WORKDAY(J254,-(Setup!$C$13+Setup!$G$28),Setup!$C$39:$C$50))&gt;=Setup!$C$15,MONTH(WORKDAY(J254,-(Setup!$C$13+Setup!$G$28),Setup!$C$39:$C$50))&lt;=Setup!$C$16),OR(MONTH(WORKDAY(J254,-(Setup!$C$13+Setup!$G$28),Setup!$C$39:$C$50))&gt;=Setup!$C$15,MONTH(WORKDAY(J254,-(Setup!$C$13+Setup!$G$28),Setup!$C$39:$C$50))&lt;=Setup!$C$16))),WORKDAY(J254,-(Setup!$C$13+Setup!$G$28+Setup!$C$14),Setup!$C$39:$C$50),WORKDAY(J254,-(Setup!$C$13+Setup!$G$28),Setup!$C$39:$C$50))+(249*100+9)/10000000)))</f>
        <v/>
      </c>
      <c r="AA254" t="str">
        <f>IF(K254="","",IF(K254&lt;Setup!$C$5-Setup!$C$6,"",IF(IF(ISNUMBER(Roster!$D254),Setup!$C$29&lt;=Roster!$D254,FALSE),"",IF(OR(IF(Setup!$C$15&lt;=Setup!$C$16,AND(MONTH(K254)&gt;=Setup!$C$15,MONTH(K254)&lt;=Setup!$C$16),OR(MONTH(K254)&gt;=Setup!$C$15,MONTH(K254)&lt;=Setup!$C$16)),IF(Setup!$C$15&lt;=Setup!$C$16,AND(MONTH(WORKDAY(K254,-(Setup!$C$13+Setup!$G$29),Setup!$C$39:$C$50))&gt;=Setup!$C$15,MONTH(WORKDAY(K254,-(Setup!$C$13+Setup!$G$29),Setup!$C$39:$C$50))&lt;=Setup!$C$16),OR(MONTH(WORKDAY(K254,-(Setup!$C$13+Setup!$G$29),Setup!$C$39:$C$50))&gt;=Setup!$C$15,MONTH(WORKDAY(K254,-(Setup!$C$13+Setup!$G$29),Setup!$C$39:$C$50))&lt;=Setup!$C$16))),WORKDAY(K254,-(Setup!$C$13+Setup!$G$29+Setup!$C$14),Setup!$C$39:$C$50),WORKDAY(K254,-(Setup!$C$13+Setup!$G$29),Setup!$C$39:$C$50))+(249*100+10)/10000000)))</f>
        <v/>
      </c>
      <c r="AB254" t="str">
        <f>IF(L254="","",IF(L254&lt;Setup!$C$5-Setup!$C$6,"",IF(IF(ISNUMBER(Roster!$D254),Setup!$C$30&lt;=Roster!$D254,FALSE),"",IF(OR(IF(Setup!$C$15&lt;=Setup!$C$16,AND(MONTH(L254)&gt;=Setup!$C$15,MONTH(L254)&lt;=Setup!$C$16),OR(MONTH(L254)&gt;=Setup!$C$15,MONTH(L254)&lt;=Setup!$C$16)),IF(Setup!$C$15&lt;=Setup!$C$16,AND(MONTH(WORKDAY(L254,-(Setup!$C$13+Setup!$G$30),Setup!$C$39:$C$50))&gt;=Setup!$C$15,MONTH(WORKDAY(L254,-(Setup!$C$13+Setup!$G$30),Setup!$C$39:$C$50))&lt;=Setup!$C$16),OR(MONTH(WORKDAY(L254,-(Setup!$C$13+Setup!$G$30),Setup!$C$39:$C$50))&gt;=Setup!$C$15,MONTH(WORKDAY(L254,-(Setup!$C$13+Setup!$G$30),Setup!$C$39:$C$50))&lt;=Setup!$C$16))),WORKDAY(L254,-(Setup!$C$13+Setup!$G$30+Setup!$C$14),Setup!$C$39:$C$50),WORKDAY(L254,-(Setup!$C$13+Setup!$G$30),Setup!$C$39:$C$50))+(249*100+11)/10000000)))</f>
        <v/>
      </c>
      <c r="AC254" t="str">
        <f>IF(M254="","",IF(M254&lt;Setup!$C$5-Setup!$C$6,"",IF(IF(ISNUMBER(Roster!$D254),Setup!$C$31&lt;=Roster!$D254,FALSE),"",IF(OR(IF(Setup!$C$15&lt;=Setup!$C$16,AND(MONTH(M254)&gt;=Setup!$C$15,MONTH(M254)&lt;=Setup!$C$16),OR(MONTH(M254)&gt;=Setup!$C$15,MONTH(M254)&lt;=Setup!$C$16)),IF(Setup!$C$15&lt;=Setup!$C$16,AND(MONTH(WORKDAY(M254,-(Setup!$C$13+Setup!$G$31),Setup!$C$39:$C$50))&gt;=Setup!$C$15,MONTH(WORKDAY(M254,-(Setup!$C$13+Setup!$G$31),Setup!$C$39:$C$50))&lt;=Setup!$C$16),OR(MONTH(WORKDAY(M254,-(Setup!$C$13+Setup!$G$31),Setup!$C$39:$C$50))&gt;=Setup!$C$15,MONTH(WORKDAY(M254,-(Setup!$C$13+Setup!$G$31),Setup!$C$39:$C$50))&lt;=Setup!$C$16))),WORKDAY(M254,-(Setup!$C$13+Setup!$G$31+Setup!$C$14),Setup!$C$39:$C$50),WORKDAY(M254,-(Setup!$C$13+Setup!$G$31),Setup!$C$39:$C$50))+(249*100+12)/10000000)))</f>
        <v/>
      </c>
      <c r="AD254" t="str">
        <f>IF(N254="","",IF(N254&lt;Setup!$C$5-Setup!$C$6,"",IF(IF(ISNUMBER(Roster!$D254),Setup!$C$32&lt;=Roster!$D254,FALSE),"",IF(OR(IF(Setup!$C$15&lt;=Setup!$C$16,AND(MONTH(N254)&gt;=Setup!$C$15,MONTH(N254)&lt;=Setup!$C$16),OR(MONTH(N254)&gt;=Setup!$C$15,MONTH(N254)&lt;=Setup!$C$16)),IF(Setup!$C$15&lt;=Setup!$C$16,AND(MONTH(WORKDAY(N254,-(Setup!$C$13+Setup!$G$32),Setup!$C$39:$C$50))&gt;=Setup!$C$15,MONTH(WORKDAY(N254,-(Setup!$C$13+Setup!$G$32),Setup!$C$39:$C$50))&lt;=Setup!$C$16),OR(MONTH(WORKDAY(N254,-(Setup!$C$13+Setup!$G$32),Setup!$C$39:$C$50))&gt;=Setup!$C$15,MONTH(WORKDAY(N254,-(Setup!$C$13+Setup!$G$32),Setup!$C$39:$C$50))&lt;=Setup!$C$16))),WORKDAY(N254,-(Setup!$C$13+Setup!$G$32+Setup!$C$14),Setup!$C$39:$C$50),WORKDAY(N254,-(Setup!$C$13+Setup!$G$32),Setup!$C$39:$C$50))+(249*100+13)/10000000)))</f>
        <v/>
      </c>
      <c r="AE254" t="str">
        <f>IF(O254="","",IF(O254&lt;Setup!$C$5-Setup!$C$6,"",IF(IF(ISNUMBER(Roster!$D254),Setup!$C$33&lt;=Roster!$D254,FALSE),"",IF(OR(IF(Setup!$C$15&lt;=Setup!$C$16,AND(MONTH(O254)&gt;=Setup!$C$15,MONTH(O254)&lt;=Setup!$C$16),OR(MONTH(O254)&gt;=Setup!$C$15,MONTH(O254)&lt;=Setup!$C$16)),IF(Setup!$C$15&lt;=Setup!$C$16,AND(MONTH(WORKDAY(O254,-(Setup!$C$13+Setup!$G$33),Setup!$C$39:$C$50))&gt;=Setup!$C$15,MONTH(WORKDAY(O254,-(Setup!$C$13+Setup!$G$33),Setup!$C$39:$C$50))&lt;=Setup!$C$16),OR(MONTH(WORKDAY(O254,-(Setup!$C$13+Setup!$G$33),Setup!$C$39:$C$50))&gt;=Setup!$C$15,MONTH(WORKDAY(O254,-(Setup!$C$13+Setup!$G$33),Setup!$C$39:$C$50))&lt;=Setup!$C$16))),WORKDAY(O254,-(Setup!$C$13+Setup!$G$33+Setup!$C$14),Setup!$C$39:$C$50),WORKDAY(O254,-(Setup!$C$13+Setup!$G$33),Setup!$C$39:$C$50))+(249*100+14)/10000000)))</f>
        <v/>
      </c>
      <c r="AF254" t="str">
        <f>IF(P254="","",IF(P254&lt;Setup!$C$5-Setup!$C$6,"",IF(IF(ISNUMBER(Roster!$D254),Setup!$C$34&lt;=Roster!$D254,FALSE),"",IF(OR(IF(Setup!$C$15&lt;=Setup!$C$16,AND(MONTH(P254)&gt;=Setup!$C$15,MONTH(P254)&lt;=Setup!$C$16),OR(MONTH(P254)&gt;=Setup!$C$15,MONTH(P254)&lt;=Setup!$C$16)),IF(Setup!$C$15&lt;=Setup!$C$16,AND(MONTH(WORKDAY(P254,-(Setup!$C$13+Setup!$G$34),Setup!$C$39:$C$50))&gt;=Setup!$C$15,MONTH(WORKDAY(P254,-(Setup!$C$13+Setup!$G$34),Setup!$C$39:$C$50))&lt;=Setup!$C$16),OR(MONTH(WORKDAY(P254,-(Setup!$C$13+Setup!$G$34),Setup!$C$39:$C$50))&gt;=Setup!$C$15,MONTH(WORKDAY(P254,-(Setup!$C$13+Setup!$G$34),Setup!$C$39:$C$50))&lt;=Setup!$C$16))),WORKDAY(P254,-(Setup!$C$13+Setup!$G$34+Setup!$C$14),Setup!$C$39:$C$50),WORKDAY(P254,-(Setup!$C$13+Setup!$G$34),Setup!$C$39:$C$50))+(249*100+15)/10000000)))</f>
        <v/>
      </c>
      <c r="AH254" t="str">
        <f t="shared" si="25"/>
        <v/>
      </c>
      <c r="AI254" t="str">
        <f t="shared" si="26"/>
        <v/>
      </c>
      <c r="AK254" t="str">
        <f ca="1">IF(249&gt;$AK$2,"",SMALL($R$6:$AF$505,249))</f>
        <v/>
      </c>
      <c r="AL254" t="str">
        <f t="shared" ca="1" si="27"/>
        <v/>
      </c>
      <c r="AM254" t="str">
        <f t="shared" ca="1" si="28"/>
        <v/>
      </c>
      <c r="AN254" t="str">
        <f t="shared" ca="1" si="29"/>
        <v/>
      </c>
      <c r="AP254" t="str">
        <f>IF(ISNUMBER(Roster!$B254),MAX(1,YEAR(Setup!$C$5)-YEAR(Roster!$B254)+IF(EDATE(Roster!$B254,12*(YEAR(Setup!$C$5)-YEAR(Roster!$B254)))&lt;Setup!$C$5,1,0)),"")</f>
        <v/>
      </c>
      <c r="AQ254" s="32" t="str">
        <f>IF(AP254="","",EDATE(Roster!$B254,12*AP254))</f>
        <v/>
      </c>
      <c r="AR254" t="str">
        <f>IF(AQ254="","",IF(AQ254&lt;DATE(YEAR(Setup!$C$5)+1,MONTH(Setup!$C$5),DAY(Setup!$C$5)),AQ254+249/1000,""))</f>
        <v/>
      </c>
      <c r="AS254" t="str">
        <f t="shared" si="30"/>
        <v/>
      </c>
      <c r="AT254" t="str">
        <f>IF(AS254="","",IF(ISNUMBER(Roster!$D254),Roster!$D254&gt;=AP254,FALSE))</f>
        <v/>
      </c>
      <c r="AU254" t="str">
        <f t="shared" si="31"/>
        <v/>
      </c>
      <c r="AV254" t="str">
        <f ca="1">IF(249&gt;$AV$2,"",SMALL($AR$6:$AR$505,249))</f>
        <v/>
      </c>
      <c r="AW254" t="str">
        <f t="shared" ca="1" si="32"/>
        <v/>
      </c>
    </row>
    <row r="255" spans="2:49" x14ac:dyDescent="0.2">
      <c r="B255" s="32" t="str">
        <f>IF(AND(ISNUMBER(Roster!$B255),Setup!$B$20="Yes",ISNUMBER(Setup!$C$20)),EDATE(Roster!$B255,12*Setup!$C$20),"")</f>
        <v/>
      </c>
      <c r="C255" s="32" t="str">
        <f>IF(AND(ISNUMBER(Roster!$B255),Setup!$B$21="Yes",ISNUMBER(Setup!$C$21)),EDATE(Roster!$B255,12*Setup!$C$21),"")</f>
        <v/>
      </c>
      <c r="D255" s="32" t="str">
        <f>IF(AND(ISNUMBER(Roster!$B255),Setup!$B$22="Yes",ISNUMBER(Setup!$C$22)),EDATE(Roster!$B255,12*Setup!$C$22),"")</f>
        <v/>
      </c>
      <c r="E255" s="32" t="str">
        <f>IF(AND(ISNUMBER(Roster!$B255),Setup!$B$23="Yes",ISNUMBER(Setup!$C$23)),EDATE(Roster!$B255,12*Setup!$C$23),"")</f>
        <v/>
      </c>
      <c r="F255" s="32" t="str">
        <f>IF(AND(ISNUMBER(Roster!$B255),Setup!$B$24="Yes",ISNUMBER(Setup!$C$24)),EDATE(Roster!$B255,12*Setup!$C$24),"")</f>
        <v/>
      </c>
      <c r="G255" s="32" t="str">
        <f>IF(AND(ISNUMBER(Roster!$B255),Setup!$B$25="Yes",ISNUMBER(Setup!$C$25)),EDATE(Roster!$B255,12*Setup!$C$25),"")</f>
        <v/>
      </c>
      <c r="H255" s="32" t="str">
        <f>IF(AND(ISNUMBER(Roster!$B255),Setup!$B$26="Yes",ISNUMBER(Setup!$C$26)),EDATE(Roster!$B255,12*Setup!$C$26),"")</f>
        <v/>
      </c>
      <c r="I255" s="32" t="str">
        <f>IF(AND(ISNUMBER(Roster!$B255),Setup!$B$27="Yes",ISNUMBER(Setup!$C$27)),EDATE(Roster!$B255,12*Setup!$C$27),"")</f>
        <v/>
      </c>
      <c r="J255" s="32" t="str">
        <f>IF(AND(ISNUMBER(Roster!$B255),Setup!$B$28="Yes",ISNUMBER(Setup!$C$28)),EDATE(Roster!$B255,12*Setup!$C$28),"")</f>
        <v/>
      </c>
      <c r="K255" s="32" t="str">
        <f>IF(AND(ISNUMBER(Roster!$B255),Setup!$B$29="Yes",ISNUMBER(Setup!$C$29)),EDATE(Roster!$B255,12*Setup!$C$29),"")</f>
        <v/>
      </c>
      <c r="L255" s="32" t="str">
        <f>IF(AND(ISNUMBER(Roster!$B255),Setup!$B$30="Yes",ISNUMBER(Setup!$C$30)),EDATE(Roster!$B255,12*Setup!$C$30),"")</f>
        <v/>
      </c>
      <c r="M255" s="32" t="str">
        <f>IF(AND(ISNUMBER(Roster!$B255),Setup!$B$31="Yes",ISNUMBER(Setup!$C$31)),EDATE(Roster!$B255,12*Setup!$C$31),"")</f>
        <v/>
      </c>
      <c r="N255" s="32" t="str">
        <f>IF(AND(ISNUMBER(Roster!$B255),Setup!$B$32="Yes",ISNUMBER(Setup!$C$32)),EDATE(Roster!$B255,12*Setup!$C$32),"")</f>
        <v/>
      </c>
      <c r="O255" s="32" t="str">
        <f>IF(AND(ISNUMBER(Roster!$B255),Setup!$B$33="Yes",ISNUMBER(Setup!$C$33)),EDATE(Roster!$B255,12*Setup!$C$33),"")</f>
        <v/>
      </c>
      <c r="P255" s="32" t="str">
        <f>IF(AND(ISNUMBER(Roster!$B255),Setup!$B$34="Yes",ISNUMBER(Setup!$C$34)),EDATE(Roster!$B255,12*Setup!$C$34),"")</f>
        <v/>
      </c>
      <c r="R255" t="str">
        <f>IF(B255="","",IF(B255&lt;Setup!$C$5-Setup!$C$6,"",IF(IF(ISNUMBER(Roster!$D255),Setup!$C$20&lt;=Roster!$D255,FALSE),"",IF(OR(IF(Setup!$C$15&lt;=Setup!$C$16,AND(MONTH(B255)&gt;=Setup!$C$15,MONTH(B255)&lt;=Setup!$C$16),OR(MONTH(B255)&gt;=Setup!$C$15,MONTH(B255)&lt;=Setup!$C$16)),IF(Setup!$C$15&lt;=Setup!$C$16,AND(MONTH(WORKDAY(B255,-(Setup!$C$13+Setup!$G$20),Setup!$C$39:$C$50))&gt;=Setup!$C$15,MONTH(WORKDAY(B255,-(Setup!$C$13+Setup!$G$20),Setup!$C$39:$C$50))&lt;=Setup!$C$16),OR(MONTH(WORKDAY(B255,-(Setup!$C$13+Setup!$G$20),Setup!$C$39:$C$50))&gt;=Setup!$C$15,MONTH(WORKDAY(B255,-(Setup!$C$13+Setup!$G$20),Setup!$C$39:$C$50))&lt;=Setup!$C$16))),WORKDAY(B255,-(Setup!$C$13+Setup!$G$20+Setup!$C$14),Setup!$C$39:$C$50),WORKDAY(B255,-(Setup!$C$13+Setup!$G$20),Setup!$C$39:$C$50))+(250*100+1)/10000000)))</f>
        <v/>
      </c>
      <c r="S255" t="str">
        <f>IF(C255="","",IF(C255&lt;Setup!$C$5-Setup!$C$6,"",IF(IF(ISNUMBER(Roster!$D255),Setup!$C$21&lt;=Roster!$D255,FALSE),"",IF(OR(IF(Setup!$C$15&lt;=Setup!$C$16,AND(MONTH(C255)&gt;=Setup!$C$15,MONTH(C255)&lt;=Setup!$C$16),OR(MONTH(C255)&gt;=Setup!$C$15,MONTH(C255)&lt;=Setup!$C$16)),IF(Setup!$C$15&lt;=Setup!$C$16,AND(MONTH(WORKDAY(C255,-(Setup!$C$13+Setup!$G$21),Setup!$C$39:$C$50))&gt;=Setup!$C$15,MONTH(WORKDAY(C255,-(Setup!$C$13+Setup!$G$21),Setup!$C$39:$C$50))&lt;=Setup!$C$16),OR(MONTH(WORKDAY(C255,-(Setup!$C$13+Setup!$G$21),Setup!$C$39:$C$50))&gt;=Setup!$C$15,MONTH(WORKDAY(C255,-(Setup!$C$13+Setup!$G$21),Setup!$C$39:$C$50))&lt;=Setup!$C$16))),WORKDAY(C255,-(Setup!$C$13+Setup!$G$21+Setup!$C$14),Setup!$C$39:$C$50),WORKDAY(C255,-(Setup!$C$13+Setup!$G$21),Setup!$C$39:$C$50))+(250*100+2)/10000000)))</f>
        <v/>
      </c>
      <c r="T255" t="str">
        <f>IF(D255="","",IF(D255&lt;Setup!$C$5-Setup!$C$6,"",IF(IF(ISNUMBER(Roster!$D255),Setup!$C$22&lt;=Roster!$D255,FALSE),"",IF(OR(IF(Setup!$C$15&lt;=Setup!$C$16,AND(MONTH(D255)&gt;=Setup!$C$15,MONTH(D255)&lt;=Setup!$C$16),OR(MONTH(D255)&gt;=Setup!$C$15,MONTH(D255)&lt;=Setup!$C$16)),IF(Setup!$C$15&lt;=Setup!$C$16,AND(MONTH(WORKDAY(D255,-(Setup!$C$13+Setup!$G$22),Setup!$C$39:$C$50))&gt;=Setup!$C$15,MONTH(WORKDAY(D255,-(Setup!$C$13+Setup!$G$22),Setup!$C$39:$C$50))&lt;=Setup!$C$16),OR(MONTH(WORKDAY(D255,-(Setup!$C$13+Setup!$G$22),Setup!$C$39:$C$50))&gt;=Setup!$C$15,MONTH(WORKDAY(D255,-(Setup!$C$13+Setup!$G$22),Setup!$C$39:$C$50))&lt;=Setup!$C$16))),WORKDAY(D255,-(Setup!$C$13+Setup!$G$22+Setup!$C$14),Setup!$C$39:$C$50),WORKDAY(D255,-(Setup!$C$13+Setup!$G$22),Setup!$C$39:$C$50))+(250*100+3)/10000000)))</f>
        <v/>
      </c>
      <c r="U255" t="str">
        <f>IF(E255="","",IF(E255&lt;Setup!$C$5-Setup!$C$6,"",IF(IF(ISNUMBER(Roster!$D255),Setup!$C$23&lt;=Roster!$D255,FALSE),"",IF(OR(IF(Setup!$C$15&lt;=Setup!$C$16,AND(MONTH(E255)&gt;=Setup!$C$15,MONTH(E255)&lt;=Setup!$C$16),OR(MONTH(E255)&gt;=Setup!$C$15,MONTH(E255)&lt;=Setup!$C$16)),IF(Setup!$C$15&lt;=Setup!$C$16,AND(MONTH(WORKDAY(E255,-(Setup!$C$13+Setup!$G$23),Setup!$C$39:$C$50))&gt;=Setup!$C$15,MONTH(WORKDAY(E255,-(Setup!$C$13+Setup!$G$23),Setup!$C$39:$C$50))&lt;=Setup!$C$16),OR(MONTH(WORKDAY(E255,-(Setup!$C$13+Setup!$G$23),Setup!$C$39:$C$50))&gt;=Setup!$C$15,MONTH(WORKDAY(E255,-(Setup!$C$13+Setup!$G$23),Setup!$C$39:$C$50))&lt;=Setup!$C$16))),WORKDAY(E255,-(Setup!$C$13+Setup!$G$23+Setup!$C$14),Setup!$C$39:$C$50),WORKDAY(E255,-(Setup!$C$13+Setup!$G$23),Setup!$C$39:$C$50))+(250*100+4)/10000000)))</f>
        <v/>
      </c>
      <c r="V255" t="str">
        <f>IF(F255="","",IF(F255&lt;Setup!$C$5-Setup!$C$6,"",IF(IF(ISNUMBER(Roster!$D255),Setup!$C$24&lt;=Roster!$D255,FALSE),"",IF(OR(IF(Setup!$C$15&lt;=Setup!$C$16,AND(MONTH(F255)&gt;=Setup!$C$15,MONTH(F255)&lt;=Setup!$C$16),OR(MONTH(F255)&gt;=Setup!$C$15,MONTH(F255)&lt;=Setup!$C$16)),IF(Setup!$C$15&lt;=Setup!$C$16,AND(MONTH(WORKDAY(F255,-(Setup!$C$13+Setup!$G$24),Setup!$C$39:$C$50))&gt;=Setup!$C$15,MONTH(WORKDAY(F255,-(Setup!$C$13+Setup!$G$24),Setup!$C$39:$C$50))&lt;=Setup!$C$16),OR(MONTH(WORKDAY(F255,-(Setup!$C$13+Setup!$G$24),Setup!$C$39:$C$50))&gt;=Setup!$C$15,MONTH(WORKDAY(F255,-(Setup!$C$13+Setup!$G$24),Setup!$C$39:$C$50))&lt;=Setup!$C$16))),WORKDAY(F255,-(Setup!$C$13+Setup!$G$24+Setup!$C$14),Setup!$C$39:$C$50),WORKDAY(F255,-(Setup!$C$13+Setup!$G$24),Setup!$C$39:$C$50))+(250*100+5)/10000000)))</f>
        <v/>
      </c>
      <c r="W255" t="str">
        <f>IF(G255="","",IF(G255&lt;Setup!$C$5-Setup!$C$6,"",IF(IF(ISNUMBER(Roster!$D255),Setup!$C$25&lt;=Roster!$D255,FALSE),"",IF(OR(IF(Setup!$C$15&lt;=Setup!$C$16,AND(MONTH(G255)&gt;=Setup!$C$15,MONTH(G255)&lt;=Setup!$C$16),OR(MONTH(G255)&gt;=Setup!$C$15,MONTH(G255)&lt;=Setup!$C$16)),IF(Setup!$C$15&lt;=Setup!$C$16,AND(MONTH(WORKDAY(G255,-(Setup!$C$13+Setup!$G$25),Setup!$C$39:$C$50))&gt;=Setup!$C$15,MONTH(WORKDAY(G255,-(Setup!$C$13+Setup!$G$25),Setup!$C$39:$C$50))&lt;=Setup!$C$16),OR(MONTH(WORKDAY(G255,-(Setup!$C$13+Setup!$G$25),Setup!$C$39:$C$50))&gt;=Setup!$C$15,MONTH(WORKDAY(G255,-(Setup!$C$13+Setup!$G$25),Setup!$C$39:$C$50))&lt;=Setup!$C$16))),WORKDAY(G255,-(Setup!$C$13+Setup!$G$25+Setup!$C$14),Setup!$C$39:$C$50),WORKDAY(G255,-(Setup!$C$13+Setup!$G$25),Setup!$C$39:$C$50))+(250*100+6)/10000000)))</f>
        <v/>
      </c>
      <c r="X255" t="str">
        <f>IF(H255="","",IF(H255&lt;Setup!$C$5-Setup!$C$6,"",IF(IF(ISNUMBER(Roster!$D255),Setup!$C$26&lt;=Roster!$D255,FALSE),"",IF(OR(IF(Setup!$C$15&lt;=Setup!$C$16,AND(MONTH(H255)&gt;=Setup!$C$15,MONTH(H255)&lt;=Setup!$C$16),OR(MONTH(H255)&gt;=Setup!$C$15,MONTH(H255)&lt;=Setup!$C$16)),IF(Setup!$C$15&lt;=Setup!$C$16,AND(MONTH(WORKDAY(H255,-(Setup!$C$13+Setup!$G$26),Setup!$C$39:$C$50))&gt;=Setup!$C$15,MONTH(WORKDAY(H255,-(Setup!$C$13+Setup!$G$26),Setup!$C$39:$C$50))&lt;=Setup!$C$16),OR(MONTH(WORKDAY(H255,-(Setup!$C$13+Setup!$G$26),Setup!$C$39:$C$50))&gt;=Setup!$C$15,MONTH(WORKDAY(H255,-(Setup!$C$13+Setup!$G$26),Setup!$C$39:$C$50))&lt;=Setup!$C$16))),WORKDAY(H255,-(Setup!$C$13+Setup!$G$26+Setup!$C$14),Setup!$C$39:$C$50),WORKDAY(H255,-(Setup!$C$13+Setup!$G$26),Setup!$C$39:$C$50))+(250*100+7)/10000000)))</f>
        <v/>
      </c>
      <c r="Y255" t="str">
        <f>IF(I255="","",IF(I255&lt;Setup!$C$5-Setup!$C$6,"",IF(IF(ISNUMBER(Roster!$D255),Setup!$C$27&lt;=Roster!$D255,FALSE),"",IF(OR(IF(Setup!$C$15&lt;=Setup!$C$16,AND(MONTH(I255)&gt;=Setup!$C$15,MONTH(I255)&lt;=Setup!$C$16),OR(MONTH(I255)&gt;=Setup!$C$15,MONTH(I255)&lt;=Setup!$C$16)),IF(Setup!$C$15&lt;=Setup!$C$16,AND(MONTH(WORKDAY(I255,-(Setup!$C$13+Setup!$G$27),Setup!$C$39:$C$50))&gt;=Setup!$C$15,MONTH(WORKDAY(I255,-(Setup!$C$13+Setup!$G$27),Setup!$C$39:$C$50))&lt;=Setup!$C$16),OR(MONTH(WORKDAY(I255,-(Setup!$C$13+Setup!$G$27),Setup!$C$39:$C$50))&gt;=Setup!$C$15,MONTH(WORKDAY(I255,-(Setup!$C$13+Setup!$G$27),Setup!$C$39:$C$50))&lt;=Setup!$C$16))),WORKDAY(I255,-(Setup!$C$13+Setup!$G$27+Setup!$C$14),Setup!$C$39:$C$50),WORKDAY(I255,-(Setup!$C$13+Setup!$G$27),Setup!$C$39:$C$50))+(250*100+8)/10000000)))</f>
        <v/>
      </c>
      <c r="Z255" t="str">
        <f>IF(J255="","",IF(J255&lt;Setup!$C$5-Setup!$C$6,"",IF(IF(ISNUMBER(Roster!$D255),Setup!$C$28&lt;=Roster!$D255,FALSE),"",IF(OR(IF(Setup!$C$15&lt;=Setup!$C$16,AND(MONTH(J255)&gt;=Setup!$C$15,MONTH(J255)&lt;=Setup!$C$16),OR(MONTH(J255)&gt;=Setup!$C$15,MONTH(J255)&lt;=Setup!$C$16)),IF(Setup!$C$15&lt;=Setup!$C$16,AND(MONTH(WORKDAY(J255,-(Setup!$C$13+Setup!$G$28),Setup!$C$39:$C$50))&gt;=Setup!$C$15,MONTH(WORKDAY(J255,-(Setup!$C$13+Setup!$G$28),Setup!$C$39:$C$50))&lt;=Setup!$C$16),OR(MONTH(WORKDAY(J255,-(Setup!$C$13+Setup!$G$28),Setup!$C$39:$C$50))&gt;=Setup!$C$15,MONTH(WORKDAY(J255,-(Setup!$C$13+Setup!$G$28),Setup!$C$39:$C$50))&lt;=Setup!$C$16))),WORKDAY(J255,-(Setup!$C$13+Setup!$G$28+Setup!$C$14),Setup!$C$39:$C$50),WORKDAY(J255,-(Setup!$C$13+Setup!$G$28),Setup!$C$39:$C$50))+(250*100+9)/10000000)))</f>
        <v/>
      </c>
      <c r="AA255" t="str">
        <f>IF(K255="","",IF(K255&lt;Setup!$C$5-Setup!$C$6,"",IF(IF(ISNUMBER(Roster!$D255),Setup!$C$29&lt;=Roster!$D255,FALSE),"",IF(OR(IF(Setup!$C$15&lt;=Setup!$C$16,AND(MONTH(K255)&gt;=Setup!$C$15,MONTH(K255)&lt;=Setup!$C$16),OR(MONTH(K255)&gt;=Setup!$C$15,MONTH(K255)&lt;=Setup!$C$16)),IF(Setup!$C$15&lt;=Setup!$C$16,AND(MONTH(WORKDAY(K255,-(Setup!$C$13+Setup!$G$29),Setup!$C$39:$C$50))&gt;=Setup!$C$15,MONTH(WORKDAY(K255,-(Setup!$C$13+Setup!$G$29),Setup!$C$39:$C$50))&lt;=Setup!$C$16),OR(MONTH(WORKDAY(K255,-(Setup!$C$13+Setup!$G$29),Setup!$C$39:$C$50))&gt;=Setup!$C$15,MONTH(WORKDAY(K255,-(Setup!$C$13+Setup!$G$29),Setup!$C$39:$C$50))&lt;=Setup!$C$16))),WORKDAY(K255,-(Setup!$C$13+Setup!$G$29+Setup!$C$14),Setup!$C$39:$C$50),WORKDAY(K255,-(Setup!$C$13+Setup!$G$29),Setup!$C$39:$C$50))+(250*100+10)/10000000)))</f>
        <v/>
      </c>
      <c r="AB255" t="str">
        <f>IF(L255="","",IF(L255&lt;Setup!$C$5-Setup!$C$6,"",IF(IF(ISNUMBER(Roster!$D255),Setup!$C$30&lt;=Roster!$D255,FALSE),"",IF(OR(IF(Setup!$C$15&lt;=Setup!$C$16,AND(MONTH(L255)&gt;=Setup!$C$15,MONTH(L255)&lt;=Setup!$C$16),OR(MONTH(L255)&gt;=Setup!$C$15,MONTH(L255)&lt;=Setup!$C$16)),IF(Setup!$C$15&lt;=Setup!$C$16,AND(MONTH(WORKDAY(L255,-(Setup!$C$13+Setup!$G$30),Setup!$C$39:$C$50))&gt;=Setup!$C$15,MONTH(WORKDAY(L255,-(Setup!$C$13+Setup!$G$30),Setup!$C$39:$C$50))&lt;=Setup!$C$16),OR(MONTH(WORKDAY(L255,-(Setup!$C$13+Setup!$G$30),Setup!$C$39:$C$50))&gt;=Setup!$C$15,MONTH(WORKDAY(L255,-(Setup!$C$13+Setup!$G$30),Setup!$C$39:$C$50))&lt;=Setup!$C$16))),WORKDAY(L255,-(Setup!$C$13+Setup!$G$30+Setup!$C$14),Setup!$C$39:$C$50),WORKDAY(L255,-(Setup!$C$13+Setup!$G$30),Setup!$C$39:$C$50))+(250*100+11)/10000000)))</f>
        <v/>
      </c>
      <c r="AC255" t="str">
        <f>IF(M255="","",IF(M255&lt;Setup!$C$5-Setup!$C$6,"",IF(IF(ISNUMBER(Roster!$D255),Setup!$C$31&lt;=Roster!$D255,FALSE),"",IF(OR(IF(Setup!$C$15&lt;=Setup!$C$16,AND(MONTH(M255)&gt;=Setup!$C$15,MONTH(M255)&lt;=Setup!$C$16),OR(MONTH(M255)&gt;=Setup!$C$15,MONTH(M255)&lt;=Setup!$C$16)),IF(Setup!$C$15&lt;=Setup!$C$16,AND(MONTH(WORKDAY(M255,-(Setup!$C$13+Setup!$G$31),Setup!$C$39:$C$50))&gt;=Setup!$C$15,MONTH(WORKDAY(M255,-(Setup!$C$13+Setup!$G$31),Setup!$C$39:$C$50))&lt;=Setup!$C$16),OR(MONTH(WORKDAY(M255,-(Setup!$C$13+Setup!$G$31),Setup!$C$39:$C$50))&gt;=Setup!$C$15,MONTH(WORKDAY(M255,-(Setup!$C$13+Setup!$G$31),Setup!$C$39:$C$50))&lt;=Setup!$C$16))),WORKDAY(M255,-(Setup!$C$13+Setup!$G$31+Setup!$C$14),Setup!$C$39:$C$50),WORKDAY(M255,-(Setup!$C$13+Setup!$G$31),Setup!$C$39:$C$50))+(250*100+12)/10000000)))</f>
        <v/>
      </c>
      <c r="AD255" t="str">
        <f>IF(N255="","",IF(N255&lt;Setup!$C$5-Setup!$C$6,"",IF(IF(ISNUMBER(Roster!$D255),Setup!$C$32&lt;=Roster!$D255,FALSE),"",IF(OR(IF(Setup!$C$15&lt;=Setup!$C$16,AND(MONTH(N255)&gt;=Setup!$C$15,MONTH(N255)&lt;=Setup!$C$16),OR(MONTH(N255)&gt;=Setup!$C$15,MONTH(N255)&lt;=Setup!$C$16)),IF(Setup!$C$15&lt;=Setup!$C$16,AND(MONTH(WORKDAY(N255,-(Setup!$C$13+Setup!$G$32),Setup!$C$39:$C$50))&gt;=Setup!$C$15,MONTH(WORKDAY(N255,-(Setup!$C$13+Setup!$G$32),Setup!$C$39:$C$50))&lt;=Setup!$C$16),OR(MONTH(WORKDAY(N255,-(Setup!$C$13+Setup!$G$32),Setup!$C$39:$C$50))&gt;=Setup!$C$15,MONTH(WORKDAY(N255,-(Setup!$C$13+Setup!$G$32),Setup!$C$39:$C$50))&lt;=Setup!$C$16))),WORKDAY(N255,-(Setup!$C$13+Setup!$G$32+Setup!$C$14),Setup!$C$39:$C$50),WORKDAY(N255,-(Setup!$C$13+Setup!$G$32),Setup!$C$39:$C$50))+(250*100+13)/10000000)))</f>
        <v/>
      </c>
      <c r="AE255" t="str">
        <f>IF(O255="","",IF(O255&lt;Setup!$C$5-Setup!$C$6,"",IF(IF(ISNUMBER(Roster!$D255),Setup!$C$33&lt;=Roster!$D255,FALSE),"",IF(OR(IF(Setup!$C$15&lt;=Setup!$C$16,AND(MONTH(O255)&gt;=Setup!$C$15,MONTH(O255)&lt;=Setup!$C$16),OR(MONTH(O255)&gt;=Setup!$C$15,MONTH(O255)&lt;=Setup!$C$16)),IF(Setup!$C$15&lt;=Setup!$C$16,AND(MONTH(WORKDAY(O255,-(Setup!$C$13+Setup!$G$33),Setup!$C$39:$C$50))&gt;=Setup!$C$15,MONTH(WORKDAY(O255,-(Setup!$C$13+Setup!$G$33),Setup!$C$39:$C$50))&lt;=Setup!$C$16),OR(MONTH(WORKDAY(O255,-(Setup!$C$13+Setup!$G$33),Setup!$C$39:$C$50))&gt;=Setup!$C$15,MONTH(WORKDAY(O255,-(Setup!$C$13+Setup!$G$33),Setup!$C$39:$C$50))&lt;=Setup!$C$16))),WORKDAY(O255,-(Setup!$C$13+Setup!$G$33+Setup!$C$14),Setup!$C$39:$C$50),WORKDAY(O255,-(Setup!$C$13+Setup!$G$33),Setup!$C$39:$C$50))+(250*100+14)/10000000)))</f>
        <v/>
      </c>
      <c r="AF255" t="str">
        <f>IF(P255="","",IF(P255&lt;Setup!$C$5-Setup!$C$6,"",IF(IF(ISNUMBER(Roster!$D255),Setup!$C$34&lt;=Roster!$D255,FALSE),"",IF(OR(IF(Setup!$C$15&lt;=Setup!$C$16,AND(MONTH(P255)&gt;=Setup!$C$15,MONTH(P255)&lt;=Setup!$C$16),OR(MONTH(P255)&gt;=Setup!$C$15,MONTH(P255)&lt;=Setup!$C$16)),IF(Setup!$C$15&lt;=Setup!$C$16,AND(MONTH(WORKDAY(P255,-(Setup!$C$13+Setup!$G$34),Setup!$C$39:$C$50))&gt;=Setup!$C$15,MONTH(WORKDAY(P255,-(Setup!$C$13+Setup!$G$34),Setup!$C$39:$C$50))&lt;=Setup!$C$16),OR(MONTH(WORKDAY(P255,-(Setup!$C$13+Setup!$G$34),Setup!$C$39:$C$50))&gt;=Setup!$C$15,MONTH(WORKDAY(P255,-(Setup!$C$13+Setup!$G$34),Setup!$C$39:$C$50))&lt;=Setup!$C$16))),WORKDAY(P255,-(Setup!$C$13+Setup!$G$34+Setup!$C$14),Setup!$C$39:$C$50),WORKDAY(P255,-(Setup!$C$13+Setup!$G$34),Setup!$C$39:$C$50))+(250*100+15)/10000000)))</f>
        <v/>
      </c>
      <c r="AH255" t="str">
        <f t="shared" si="25"/>
        <v/>
      </c>
      <c r="AI255" t="str">
        <f t="shared" si="26"/>
        <v/>
      </c>
      <c r="AK255" t="str">
        <f ca="1">IF(250&gt;$AK$2,"",SMALL($R$6:$AF$505,250))</f>
        <v/>
      </c>
      <c r="AL255" t="str">
        <f t="shared" ca="1" si="27"/>
        <v/>
      </c>
      <c r="AM255" t="str">
        <f t="shared" ca="1" si="28"/>
        <v/>
      </c>
      <c r="AN255" t="str">
        <f t="shared" ca="1" si="29"/>
        <v/>
      </c>
      <c r="AP255" t="str">
        <f>IF(ISNUMBER(Roster!$B255),MAX(1,YEAR(Setup!$C$5)-YEAR(Roster!$B255)+IF(EDATE(Roster!$B255,12*(YEAR(Setup!$C$5)-YEAR(Roster!$B255)))&lt;Setup!$C$5,1,0)),"")</f>
        <v/>
      </c>
      <c r="AQ255" s="32" t="str">
        <f>IF(AP255="","",EDATE(Roster!$B255,12*AP255))</f>
        <v/>
      </c>
      <c r="AR255" t="str">
        <f>IF(AQ255="","",IF(AQ255&lt;DATE(YEAR(Setup!$C$5)+1,MONTH(Setup!$C$5),DAY(Setup!$C$5)),AQ255+250/1000,""))</f>
        <v/>
      </c>
      <c r="AS255" t="str">
        <f t="shared" si="30"/>
        <v/>
      </c>
      <c r="AT255" t="str">
        <f>IF(AS255="","",IF(ISNUMBER(Roster!$D255),Roster!$D255&gt;=AP255,FALSE))</f>
        <v/>
      </c>
      <c r="AU255" t="str">
        <f t="shared" si="31"/>
        <v/>
      </c>
      <c r="AV255" t="str">
        <f ca="1">IF(250&gt;$AV$2,"",SMALL($AR$6:$AR$505,250))</f>
        <v/>
      </c>
      <c r="AW255" t="str">
        <f t="shared" ca="1" si="32"/>
        <v/>
      </c>
    </row>
    <row r="256" spans="2:49" x14ac:dyDescent="0.2">
      <c r="B256" s="32" t="str">
        <f>IF(AND(ISNUMBER(Roster!$B256),Setup!$B$20="Yes",ISNUMBER(Setup!$C$20)),EDATE(Roster!$B256,12*Setup!$C$20),"")</f>
        <v/>
      </c>
      <c r="C256" s="32" t="str">
        <f>IF(AND(ISNUMBER(Roster!$B256),Setup!$B$21="Yes",ISNUMBER(Setup!$C$21)),EDATE(Roster!$B256,12*Setup!$C$21),"")</f>
        <v/>
      </c>
      <c r="D256" s="32" t="str">
        <f>IF(AND(ISNUMBER(Roster!$B256),Setup!$B$22="Yes",ISNUMBER(Setup!$C$22)),EDATE(Roster!$B256,12*Setup!$C$22),"")</f>
        <v/>
      </c>
      <c r="E256" s="32" t="str">
        <f>IF(AND(ISNUMBER(Roster!$B256),Setup!$B$23="Yes",ISNUMBER(Setup!$C$23)),EDATE(Roster!$B256,12*Setup!$C$23),"")</f>
        <v/>
      </c>
      <c r="F256" s="32" t="str">
        <f>IF(AND(ISNUMBER(Roster!$B256),Setup!$B$24="Yes",ISNUMBER(Setup!$C$24)),EDATE(Roster!$B256,12*Setup!$C$24),"")</f>
        <v/>
      </c>
      <c r="G256" s="32" t="str">
        <f>IF(AND(ISNUMBER(Roster!$B256),Setup!$B$25="Yes",ISNUMBER(Setup!$C$25)),EDATE(Roster!$B256,12*Setup!$C$25),"")</f>
        <v/>
      </c>
      <c r="H256" s="32" t="str">
        <f>IF(AND(ISNUMBER(Roster!$B256),Setup!$B$26="Yes",ISNUMBER(Setup!$C$26)),EDATE(Roster!$B256,12*Setup!$C$26),"")</f>
        <v/>
      </c>
      <c r="I256" s="32" t="str">
        <f>IF(AND(ISNUMBER(Roster!$B256),Setup!$B$27="Yes",ISNUMBER(Setup!$C$27)),EDATE(Roster!$B256,12*Setup!$C$27),"")</f>
        <v/>
      </c>
      <c r="J256" s="32" t="str">
        <f>IF(AND(ISNUMBER(Roster!$B256),Setup!$B$28="Yes",ISNUMBER(Setup!$C$28)),EDATE(Roster!$B256,12*Setup!$C$28),"")</f>
        <v/>
      </c>
      <c r="K256" s="32" t="str">
        <f>IF(AND(ISNUMBER(Roster!$B256),Setup!$B$29="Yes",ISNUMBER(Setup!$C$29)),EDATE(Roster!$B256,12*Setup!$C$29),"")</f>
        <v/>
      </c>
      <c r="L256" s="32" t="str">
        <f>IF(AND(ISNUMBER(Roster!$B256),Setup!$B$30="Yes",ISNUMBER(Setup!$C$30)),EDATE(Roster!$B256,12*Setup!$C$30),"")</f>
        <v/>
      </c>
      <c r="M256" s="32" t="str">
        <f>IF(AND(ISNUMBER(Roster!$B256),Setup!$B$31="Yes",ISNUMBER(Setup!$C$31)),EDATE(Roster!$B256,12*Setup!$C$31),"")</f>
        <v/>
      </c>
      <c r="N256" s="32" t="str">
        <f>IF(AND(ISNUMBER(Roster!$B256),Setup!$B$32="Yes",ISNUMBER(Setup!$C$32)),EDATE(Roster!$B256,12*Setup!$C$32),"")</f>
        <v/>
      </c>
      <c r="O256" s="32" t="str">
        <f>IF(AND(ISNUMBER(Roster!$B256),Setup!$B$33="Yes",ISNUMBER(Setup!$C$33)),EDATE(Roster!$B256,12*Setup!$C$33),"")</f>
        <v/>
      </c>
      <c r="P256" s="32" t="str">
        <f>IF(AND(ISNUMBER(Roster!$B256),Setup!$B$34="Yes",ISNUMBER(Setup!$C$34)),EDATE(Roster!$B256,12*Setup!$C$34),"")</f>
        <v/>
      </c>
      <c r="R256" t="str">
        <f>IF(B256="","",IF(B256&lt;Setup!$C$5-Setup!$C$6,"",IF(IF(ISNUMBER(Roster!$D256),Setup!$C$20&lt;=Roster!$D256,FALSE),"",IF(OR(IF(Setup!$C$15&lt;=Setup!$C$16,AND(MONTH(B256)&gt;=Setup!$C$15,MONTH(B256)&lt;=Setup!$C$16),OR(MONTH(B256)&gt;=Setup!$C$15,MONTH(B256)&lt;=Setup!$C$16)),IF(Setup!$C$15&lt;=Setup!$C$16,AND(MONTH(WORKDAY(B256,-(Setup!$C$13+Setup!$G$20),Setup!$C$39:$C$50))&gt;=Setup!$C$15,MONTH(WORKDAY(B256,-(Setup!$C$13+Setup!$G$20),Setup!$C$39:$C$50))&lt;=Setup!$C$16),OR(MONTH(WORKDAY(B256,-(Setup!$C$13+Setup!$G$20),Setup!$C$39:$C$50))&gt;=Setup!$C$15,MONTH(WORKDAY(B256,-(Setup!$C$13+Setup!$G$20),Setup!$C$39:$C$50))&lt;=Setup!$C$16))),WORKDAY(B256,-(Setup!$C$13+Setup!$G$20+Setup!$C$14),Setup!$C$39:$C$50),WORKDAY(B256,-(Setup!$C$13+Setup!$G$20),Setup!$C$39:$C$50))+(251*100+1)/10000000)))</f>
        <v/>
      </c>
      <c r="S256" t="str">
        <f>IF(C256="","",IF(C256&lt;Setup!$C$5-Setup!$C$6,"",IF(IF(ISNUMBER(Roster!$D256),Setup!$C$21&lt;=Roster!$D256,FALSE),"",IF(OR(IF(Setup!$C$15&lt;=Setup!$C$16,AND(MONTH(C256)&gt;=Setup!$C$15,MONTH(C256)&lt;=Setup!$C$16),OR(MONTH(C256)&gt;=Setup!$C$15,MONTH(C256)&lt;=Setup!$C$16)),IF(Setup!$C$15&lt;=Setup!$C$16,AND(MONTH(WORKDAY(C256,-(Setup!$C$13+Setup!$G$21),Setup!$C$39:$C$50))&gt;=Setup!$C$15,MONTH(WORKDAY(C256,-(Setup!$C$13+Setup!$G$21),Setup!$C$39:$C$50))&lt;=Setup!$C$16),OR(MONTH(WORKDAY(C256,-(Setup!$C$13+Setup!$G$21),Setup!$C$39:$C$50))&gt;=Setup!$C$15,MONTH(WORKDAY(C256,-(Setup!$C$13+Setup!$G$21),Setup!$C$39:$C$50))&lt;=Setup!$C$16))),WORKDAY(C256,-(Setup!$C$13+Setup!$G$21+Setup!$C$14),Setup!$C$39:$C$50),WORKDAY(C256,-(Setup!$C$13+Setup!$G$21),Setup!$C$39:$C$50))+(251*100+2)/10000000)))</f>
        <v/>
      </c>
      <c r="T256" t="str">
        <f>IF(D256="","",IF(D256&lt;Setup!$C$5-Setup!$C$6,"",IF(IF(ISNUMBER(Roster!$D256),Setup!$C$22&lt;=Roster!$D256,FALSE),"",IF(OR(IF(Setup!$C$15&lt;=Setup!$C$16,AND(MONTH(D256)&gt;=Setup!$C$15,MONTH(D256)&lt;=Setup!$C$16),OR(MONTH(D256)&gt;=Setup!$C$15,MONTH(D256)&lt;=Setup!$C$16)),IF(Setup!$C$15&lt;=Setup!$C$16,AND(MONTH(WORKDAY(D256,-(Setup!$C$13+Setup!$G$22),Setup!$C$39:$C$50))&gt;=Setup!$C$15,MONTH(WORKDAY(D256,-(Setup!$C$13+Setup!$G$22),Setup!$C$39:$C$50))&lt;=Setup!$C$16),OR(MONTH(WORKDAY(D256,-(Setup!$C$13+Setup!$G$22),Setup!$C$39:$C$50))&gt;=Setup!$C$15,MONTH(WORKDAY(D256,-(Setup!$C$13+Setup!$G$22),Setup!$C$39:$C$50))&lt;=Setup!$C$16))),WORKDAY(D256,-(Setup!$C$13+Setup!$G$22+Setup!$C$14),Setup!$C$39:$C$50),WORKDAY(D256,-(Setup!$C$13+Setup!$G$22),Setup!$C$39:$C$50))+(251*100+3)/10000000)))</f>
        <v/>
      </c>
      <c r="U256" t="str">
        <f>IF(E256="","",IF(E256&lt;Setup!$C$5-Setup!$C$6,"",IF(IF(ISNUMBER(Roster!$D256),Setup!$C$23&lt;=Roster!$D256,FALSE),"",IF(OR(IF(Setup!$C$15&lt;=Setup!$C$16,AND(MONTH(E256)&gt;=Setup!$C$15,MONTH(E256)&lt;=Setup!$C$16),OR(MONTH(E256)&gt;=Setup!$C$15,MONTH(E256)&lt;=Setup!$C$16)),IF(Setup!$C$15&lt;=Setup!$C$16,AND(MONTH(WORKDAY(E256,-(Setup!$C$13+Setup!$G$23),Setup!$C$39:$C$50))&gt;=Setup!$C$15,MONTH(WORKDAY(E256,-(Setup!$C$13+Setup!$G$23),Setup!$C$39:$C$50))&lt;=Setup!$C$16),OR(MONTH(WORKDAY(E256,-(Setup!$C$13+Setup!$G$23),Setup!$C$39:$C$50))&gt;=Setup!$C$15,MONTH(WORKDAY(E256,-(Setup!$C$13+Setup!$G$23),Setup!$C$39:$C$50))&lt;=Setup!$C$16))),WORKDAY(E256,-(Setup!$C$13+Setup!$G$23+Setup!$C$14),Setup!$C$39:$C$50),WORKDAY(E256,-(Setup!$C$13+Setup!$G$23),Setup!$C$39:$C$50))+(251*100+4)/10000000)))</f>
        <v/>
      </c>
      <c r="V256" t="str">
        <f>IF(F256="","",IF(F256&lt;Setup!$C$5-Setup!$C$6,"",IF(IF(ISNUMBER(Roster!$D256),Setup!$C$24&lt;=Roster!$D256,FALSE),"",IF(OR(IF(Setup!$C$15&lt;=Setup!$C$16,AND(MONTH(F256)&gt;=Setup!$C$15,MONTH(F256)&lt;=Setup!$C$16),OR(MONTH(F256)&gt;=Setup!$C$15,MONTH(F256)&lt;=Setup!$C$16)),IF(Setup!$C$15&lt;=Setup!$C$16,AND(MONTH(WORKDAY(F256,-(Setup!$C$13+Setup!$G$24),Setup!$C$39:$C$50))&gt;=Setup!$C$15,MONTH(WORKDAY(F256,-(Setup!$C$13+Setup!$G$24),Setup!$C$39:$C$50))&lt;=Setup!$C$16),OR(MONTH(WORKDAY(F256,-(Setup!$C$13+Setup!$G$24),Setup!$C$39:$C$50))&gt;=Setup!$C$15,MONTH(WORKDAY(F256,-(Setup!$C$13+Setup!$G$24),Setup!$C$39:$C$50))&lt;=Setup!$C$16))),WORKDAY(F256,-(Setup!$C$13+Setup!$G$24+Setup!$C$14),Setup!$C$39:$C$50),WORKDAY(F256,-(Setup!$C$13+Setup!$G$24),Setup!$C$39:$C$50))+(251*100+5)/10000000)))</f>
        <v/>
      </c>
      <c r="W256" t="str">
        <f>IF(G256="","",IF(G256&lt;Setup!$C$5-Setup!$C$6,"",IF(IF(ISNUMBER(Roster!$D256),Setup!$C$25&lt;=Roster!$D256,FALSE),"",IF(OR(IF(Setup!$C$15&lt;=Setup!$C$16,AND(MONTH(G256)&gt;=Setup!$C$15,MONTH(G256)&lt;=Setup!$C$16),OR(MONTH(G256)&gt;=Setup!$C$15,MONTH(G256)&lt;=Setup!$C$16)),IF(Setup!$C$15&lt;=Setup!$C$16,AND(MONTH(WORKDAY(G256,-(Setup!$C$13+Setup!$G$25),Setup!$C$39:$C$50))&gt;=Setup!$C$15,MONTH(WORKDAY(G256,-(Setup!$C$13+Setup!$G$25),Setup!$C$39:$C$50))&lt;=Setup!$C$16),OR(MONTH(WORKDAY(G256,-(Setup!$C$13+Setup!$G$25),Setup!$C$39:$C$50))&gt;=Setup!$C$15,MONTH(WORKDAY(G256,-(Setup!$C$13+Setup!$G$25),Setup!$C$39:$C$50))&lt;=Setup!$C$16))),WORKDAY(G256,-(Setup!$C$13+Setup!$G$25+Setup!$C$14),Setup!$C$39:$C$50),WORKDAY(G256,-(Setup!$C$13+Setup!$G$25),Setup!$C$39:$C$50))+(251*100+6)/10000000)))</f>
        <v/>
      </c>
      <c r="X256" t="str">
        <f>IF(H256="","",IF(H256&lt;Setup!$C$5-Setup!$C$6,"",IF(IF(ISNUMBER(Roster!$D256),Setup!$C$26&lt;=Roster!$D256,FALSE),"",IF(OR(IF(Setup!$C$15&lt;=Setup!$C$16,AND(MONTH(H256)&gt;=Setup!$C$15,MONTH(H256)&lt;=Setup!$C$16),OR(MONTH(H256)&gt;=Setup!$C$15,MONTH(H256)&lt;=Setup!$C$16)),IF(Setup!$C$15&lt;=Setup!$C$16,AND(MONTH(WORKDAY(H256,-(Setup!$C$13+Setup!$G$26),Setup!$C$39:$C$50))&gt;=Setup!$C$15,MONTH(WORKDAY(H256,-(Setup!$C$13+Setup!$G$26),Setup!$C$39:$C$50))&lt;=Setup!$C$16),OR(MONTH(WORKDAY(H256,-(Setup!$C$13+Setup!$G$26),Setup!$C$39:$C$50))&gt;=Setup!$C$15,MONTH(WORKDAY(H256,-(Setup!$C$13+Setup!$G$26),Setup!$C$39:$C$50))&lt;=Setup!$C$16))),WORKDAY(H256,-(Setup!$C$13+Setup!$G$26+Setup!$C$14),Setup!$C$39:$C$50),WORKDAY(H256,-(Setup!$C$13+Setup!$G$26),Setup!$C$39:$C$50))+(251*100+7)/10000000)))</f>
        <v/>
      </c>
      <c r="Y256" t="str">
        <f>IF(I256="","",IF(I256&lt;Setup!$C$5-Setup!$C$6,"",IF(IF(ISNUMBER(Roster!$D256),Setup!$C$27&lt;=Roster!$D256,FALSE),"",IF(OR(IF(Setup!$C$15&lt;=Setup!$C$16,AND(MONTH(I256)&gt;=Setup!$C$15,MONTH(I256)&lt;=Setup!$C$16),OR(MONTH(I256)&gt;=Setup!$C$15,MONTH(I256)&lt;=Setup!$C$16)),IF(Setup!$C$15&lt;=Setup!$C$16,AND(MONTH(WORKDAY(I256,-(Setup!$C$13+Setup!$G$27),Setup!$C$39:$C$50))&gt;=Setup!$C$15,MONTH(WORKDAY(I256,-(Setup!$C$13+Setup!$G$27),Setup!$C$39:$C$50))&lt;=Setup!$C$16),OR(MONTH(WORKDAY(I256,-(Setup!$C$13+Setup!$G$27),Setup!$C$39:$C$50))&gt;=Setup!$C$15,MONTH(WORKDAY(I256,-(Setup!$C$13+Setup!$G$27),Setup!$C$39:$C$50))&lt;=Setup!$C$16))),WORKDAY(I256,-(Setup!$C$13+Setup!$G$27+Setup!$C$14),Setup!$C$39:$C$50),WORKDAY(I256,-(Setup!$C$13+Setup!$G$27),Setup!$C$39:$C$50))+(251*100+8)/10000000)))</f>
        <v/>
      </c>
      <c r="Z256" t="str">
        <f>IF(J256="","",IF(J256&lt;Setup!$C$5-Setup!$C$6,"",IF(IF(ISNUMBER(Roster!$D256),Setup!$C$28&lt;=Roster!$D256,FALSE),"",IF(OR(IF(Setup!$C$15&lt;=Setup!$C$16,AND(MONTH(J256)&gt;=Setup!$C$15,MONTH(J256)&lt;=Setup!$C$16),OR(MONTH(J256)&gt;=Setup!$C$15,MONTH(J256)&lt;=Setup!$C$16)),IF(Setup!$C$15&lt;=Setup!$C$16,AND(MONTH(WORKDAY(J256,-(Setup!$C$13+Setup!$G$28),Setup!$C$39:$C$50))&gt;=Setup!$C$15,MONTH(WORKDAY(J256,-(Setup!$C$13+Setup!$G$28),Setup!$C$39:$C$50))&lt;=Setup!$C$16),OR(MONTH(WORKDAY(J256,-(Setup!$C$13+Setup!$G$28),Setup!$C$39:$C$50))&gt;=Setup!$C$15,MONTH(WORKDAY(J256,-(Setup!$C$13+Setup!$G$28),Setup!$C$39:$C$50))&lt;=Setup!$C$16))),WORKDAY(J256,-(Setup!$C$13+Setup!$G$28+Setup!$C$14),Setup!$C$39:$C$50),WORKDAY(J256,-(Setup!$C$13+Setup!$G$28),Setup!$C$39:$C$50))+(251*100+9)/10000000)))</f>
        <v/>
      </c>
      <c r="AA256" t="str">
        <f>IF(K256="","",IF(K256&lt;Setup!$C$5-Setup!$C$6,"",IF(IF(ISNUMBER(Roster!$D256),Setup!$C$29&lt;=Roster!$D256,FALSE),"",IF(OR(IF(Setup!$C$15&lt;=Setup!$C$16,AND(MONTH(K256)&gt;=Setup!$C$15,MONTH(K256)&lt;=Setup!$C$16),OR(MONTH(K256)&gt;=Setup!$C$15,MONTH(K256)&lt;=Setup!$C$16)),IF(Setup!$C$15&lt;=Setup!$C$16,AND(MONTH(WORKDAY(K256,-(Setup!$C$13+Setup!$G$29),Setup!$C$39:$C$50))&gt;=Setup!$C$15,MONTH(WORKDAY(K256,-(Setup!$C$13+Setup!$G$29),Setup!$C$39:$C$50))&lt;=Setup!$C$16),OR(MONTH(WORKDAY(K256,-(Setup!$C$13+Setup!$G$29),Setup!$C$39:$C$50))&gt;=Setup!$C$15,MONTH(WORKDAY(K256,-(Setup!$C$13+Setup!$G$29),Setup!$C$39:$C$50))&lt;=Setup!$C$16))),WORKDAY(K256,-(Setup!$C$13+Setup!$G$29+Setup!$C$14),Setup!$C$39:$C$50),WORKDAY(K256,-(Setup!$C$13+Setup!$G$29),Setup!$C$39:$C$50))+(251*100+10)/10000000)))</f>
        <v/>
      </c>
      <c r="AB256" t="str">
        <f>IF(L256="","",IF(L256&lt;Setup!$C$5-Setup!$C$6,"",IF(IF(ISNUMBER(Roster!$D256),Setup!$C$30&lt;=Roster!$D256,FALSE),"",IF(OR(IF(Setup!$C$15&lt;=Setup!$C$16,AND(MONTH(L256)&gt;=Setup!$C$15,MONTH(L256)&lt;=Setup!$C$16),OR(MONTH(L256)&gt;=Setup!$C$15,MONTH(L256)&lt;=Setup!$C$16)),IF(Setup!$C$15&lt;=Setup!$C$16,AND(MONTH(WORKDAY(L256,-(Setup!$C$13+Setup!$G$30),Setup!$C$39:$C$50))&gt;=Setup!$C$15,MONTH(WORKDAY(L256,-(Setup!$C$13+Setup!$G$30),Setup!$C$39:$C$50))&lt;=Setup!$C$16),OR(MONTH(WORKDAY(L256,-(Setup!$C$13+Setup!$G$30),Setup!$C$39:$C$50))&gt;=Setup!$C$15,MONTH(WORKDAY(L256,-(Setup!$C$13+Setup!$G$30),Setup!$C$39:$C$50))&lt;=Setup!$C$16))),WORKDAY(L256,-(Setup!$C$13+Setup!$G$30+Setup!$C$14),Setup!$C$39:$C$50),WORKDAY(L256,-(Setup!$C$13+Setup!$G$30),Setup!$C$39:$C$50))+(251*100+11)/10000000)))</f>
        <v/>
      </c>
      <c r="AC256" t="str">
        <f>IF(M256="","",IF(M256&lt;Setup!$C$5-Setup!$C$6,"",IF(IF(ISNUMBER(Roster!$D256),Setup!$C$31&lt;=Roster!$D256,FALSE),"",IF(OR(IF(Setup!$C$15&lt;=Setup!$C$16,AND(MONTH(M256)&gt;=Setup!$C$15,MONTH(M256)&lt;=Setup!$C$16),OR(MONTH(M256)&gt;=Setup!$C$15,MONTH(M256)&lt;=Setup!$C$16)),IF(Setup!$C$15&lt;=Setup!$C$16,AND(MONTH(WORKDAY(M256,-(Setup!$C$13+Setup!$G$31),Setup!$C$39:$C$50))&gt;=Setup!$C$15,MONTH(WORKDAY(M256,-(Setup!$C$13+Setup!$G$31),Setup!$C$39:$C$50))&lt;=Setup!$C$16),OR(MONTH(WORKDAY(M256,-(Setup!$C$13+Setup!$G$31),Setup!$C$39:$C$50))&gt;=Setup!$C$15,MONTH(WORKDAY(M256,-(Setup!$C$13+Setup!$G$31),Setup!$C$39:$C$50))&lt;=Setup!$C$16))),WORKDAY(M256,-(Setup!$C$13+Setup!$G$31+Setup!$C$14),Setup!$C$39:$C$50),WORKDAY(M256,-(Setup!$C$13+Setup!$G$31),Setup!$C$39:$C$50))+(251*100+12)/10000000)))</f>
        <v/>
      </c>
      <c r="AD256" t="str">
        <f>IF(N256="","",IF(N256&lt;Setup!$C$5-Setup!$C$6,"",IF(IF(ISNUMBER(Roster!$D256),Setup!$C$32&lt;=Roster!$D256,FALSE),"",IF(OR(IF(Setup!$C$15&lt;=Setup!$C$16,AND(MONTH(N256)&gt;=Setup!$C$15,MONTH(N256)&lt;=Setup!$C$16),OR(MONTH(N256)&gt;=Setup!$C$15,MONTH(N256)&lt;=Setup!$C$16)),IF(Setup!$C$15&lt;=Setup!$C$16,AND(MONTH(WORKDAY(N256,-(Setup!$C$13+Setup!$G$32),Setup!$C$39:$C$50))&gt;=Setup!$C$15,MONTH(WORKDAY(N256,-(Setup!$C$13+Setup!$G$32),Setup!$C$39:$C$50))&lt;=Setup!$C$16),OR(MONTH(WORKDAY(N256,-(Setup!$C$13+Setup!$G$32),Setup!$C$39:$C$50))&gt;=Setup!$C$15,MONTH(WORKDAY(N256,-(Setup!$C$13+Setup!$G$32),Setup!$C$39:$C$50))&lt;=Setup!$C$16))),WORKDAY(N256,-(Setup!$C$13+Setup!$G$32+Setup!$C$14),Setup!$C$39:$C$50),WORKDAY(N256,-(Setup!$C$13+Setup!$G$32),Setup!$C$39:$C$50))+(251*100+13)/10000000)))</f>
        <v/>
      </c>
      <c r="AE256" t="str">
        <f>IF(O256="","",IF(O256&lt;Setup!$C$5-Setup!$C$6,"",IF(IF(ISNUMBER(Roster!$D256),Setup!$C$33&lt;=Roster!$D256,FALSE),"",IF(OR(IF(Setup!$C$15&lt;=Setup!$C$16,AND(MONTH(O256)&gt;=Setup!$C$15,MONTH(O256)&lt;=Setup!$C$16),OR(MONTH(O256)&gt;=Setup!$C$15,MONTH(O256)&lt;=Setup!$C$16)),IF(Setup!$C$15&lt;=Setup!$C$16,AND(MONTH(WORKDAY(O256,-(Setup!$C$13+Setup!$G$33),Setup!$C$39:$C$50))&gt;=Setup!$C$15,MONTH(WORKDAY(O256,-(Setup!$C$13+Setup!$G$33),Setup!$C$39:$C$50))&lt;=Setup!$C$16),OR(MONTH(WORKDAY(O256,-(Setup!$C$13+Setup!$G$33),Setup!$C$39:$C$50))&gt;=Setup!$C$15,MONTH(WORKDAY(O256,-(Setup!$C$13+Setup!$G$33),Setup!$C$39:$C$50))&lt;=Setup!$C$16))),WORKDAY(O256,-(Setup!$C$13+Setup!$G$33+Setup!$C$14),Setup!$C$39:$C$50),WORKDAY(O256,-(Setup!$C$13+Setup!$G$33),Setup!$C$39:$C$50))+(251*100+14)/10000000)))</f>
        <v/>
      </c>
      <c r="AF256" t="str">
        <f>IF(P256="","",IF(P256&lt;Setup!$C$5-Setup!$C$6,"",IF(IF(ISNUMBER(Roster!$D256),Setup!$C$34&lt;=Roster!$D256,FALSE),"",IF(OR(IF(Setup!$C$15&lt;=Setup!$C$16,AND(MONTH(P256)&gt;=Setup!$C$15,MONTH(P256)&lt;=Setup!$C$16),OR(MONTH(P256)&gt;=Setup!$C$15,MONTH(P256)&lt;=Setup!$C$16)),IF(Setup!$C$15&lt;=Setup!$C$16,AND(MONTH(WORKDAY(P256,-(Setup!$C$13+Setup!$G$34),Setup!$C$39:$C$50))&gt;=Setup!$C$15,MONTH(WORKDAY(P256,-(Setup!$C$13+Setup!$G$34),Setup!$C$39:$C$50))&lt;=Setup!$C$16),OR(MONTH(WORKDAY(P256,-(Setup!$C$13+Setup!$G$34),Setup!$C$39:$C$50))&gt;=Setup!$C$15,MONTH(WORKDAY(P256,-(Setup!$C$13+Setup!$G$34),Setup!$C$39:$C$50))&lt;=Setup!$C$16))),WORKDAY(P256,-(Setup!$C$13+Setup!$G$34+Setup!$C$14),Setup!$C$39:$C$50),WORKDAY(P256,-(Setup!$C$13+Setup!$G$34),Setup!$C$39:$C$50))+(251*100+15)/10000000)))</f>
        <v/>
      </c>
      <c r="AH256" t="str">
        <f t="shared" si="25"/>
        <v/>
      </c>
      <c r="AI256" t="str">
        <f t="shared" si="26"/>
        <v/>
      </c>
      <c r="AK256" t="str">
        <f ca="1">IF(251&gt;$AK$2,"",SMALL($R$6:$AF$505,251))</f>
        <v/>
      </c>
      <c r="AL256" t="str">
        <f t="shared" ca="1" si="27"/>
        <v/>
      </c>
      <c r="AM256" t="str">
        <f t="shared" ca="1" si="28"/>
        <v/>
      </c>
      <c r="AN256" t="str">
        <f t="shared" ca="1" si="29"/>
        <v/>
      </c>
      <c r="AP256" t="str">
        <f>IF(ISNUMBER(Roster!$B256),MAX(1,YEAR(Setup!$C$5)-YEAR(Roster!$B256)+IF(EDATE(Roster!$B256,12*(YEAR(Setup!$C$5)-YEAR(Roster!$B256)))&lt;Setup!$C$5,1,0)),"")</f>
        <v/>
      </c>
      <c r="AQ256" s="32" t="str">
        <f>IF(AP256="","",EDATE(Roster!$B256,12*AP256))</f>
        <v/>
      </c>
      <c r="AR256" t="str">
        <f>IF(AQ256="","",IF(AQ256&lt;DATE(YEAR(Setup!$C$5)+1,MONTH(Setup!$C$5),DAY(Setup!$C$5)),AQ256+251/1000,""))</f>
        <v/>
      </c>
      <c r="AS256" t="str">
        <f t="shared" si="30"/>
        <v/>
      </c>
      <c r="AT256" t="str">
        <f>IF(AS256="","",IF(ISNUMBER(Roster!$D256),Roster!$D256&gt;=AP256,FALSE))</f>
        <v/>
      </c>
      <c r="AU256" t="str">
        <f t="shared" si="31"/>
        <v/>
      </c>
      <c r="AV256" t="str">
        <f ca="1">IF(251&gt;$AV$2,"",SMALL($AR$6:$AR$505,251))</f>
        <v/>
      </c>
      <c r="AW256" t="str">
        <f t="shared" ca="1" si="32"/>
        <v/>
      </c>
    </row>
    <row r="257" spans="2:49" x14ac:dyDescent="0.2">
      <c r="B257" s="32" t="str">
        <f>IF(AND(ISNUMBER(Roster!$B257),Setup!$B$20="Yes",ISNUMBER(Setup!$C$20)),EDATE(Roster!$B257,12*Setup!$C$20),"")</f>
        <v/>
      </c>
      <c r="C257" s="32" t="str">
        <f>IF(AND(ISNUMBER(Roster!$B257),Setup!$B$21="Yes",ISNUMBER(Setup!$C$21)),EDATE(Roster!$B257,12*Setup!$C$21),"")</f>
        <v/>
      </c>
      <c r="D257" s="32" t="str">
        <f>IF(AND(ISNUMBER(Roster!$B257),Setup!$B$22="Yes",ISNUMBER(Setup!$C$22)),EDATE(Roster!$B257,12*Setup!$C$22),"")</f>
        <v/>
      </c>
      <c r="E257" s="32" t="str">
        <f>IF(AND(ISNUMBER(Roster!$B257),Setup!$B$23="Yes",ISNUMBER(Setup!$C$23)),EDATE(Roster!$B257,12*Setup!$C$23),"")</f>
        <v/>
      </c>
      <c r="F257" s="32" t="str">
        <f>IF(AND(ISNUMBER(Roster!$B257),Setup!$B$24="Yes",ISNUMBER(Setup!$C$24)),EDATE(Roster!$B257,12*Setup!$C$24),"")</f>
        <v/>
      </c>
      <c r="G257" s="32" t="str">
        <f>IF(AND(ISNUMBER(Roster!$B257),Setup!$B$25="Yes",ISNUMBER(Setup!$C$25)),EDATE(Roster!$B257,12*Setup!$C$25),"")</f>
        <v/>
      </c>
      <c r="H257" s="32" t="str">
        <f>IF(AND(ISNUMBER(Roster!$B257),Setup!$B$26="Yes",ISNUMBER(Setup!$C$26)),EDATE(Roster!$B257,12*Setup!$C$26),"")</f>
        <v/>
      </c>
      <c r="I257" s="32" t="str">
        <f>IF(AND(ISNUMBER(Roster!$B257),Setup!$B$27="Yes",ISNUMBER(Setup!$C$27)),EDATE(Roster!$B257,12*Setup!$C$27),"")</f>
        <v/>
      </c>
      <c r="J257" s="32" t="str">
        <f>IF(AND(ISNUMBER(Roster!$B257),Setup!$B$28="Yes",ISNUMBER(Setup!$C$28)),EDATE(Roster!$B257,12*Setup!$C$28),"")</f>
        <v/>
      </c>
      <c r="K257" s="32" t="str">
        <f>IF(AND(ISNUMBER(Roster!$B257),Setup!$B$29="Yes",ISNUMBER(Setup!$C$29)),EDATE(Roster!$B257,12*Setup!$C$29),"")</f>
        <v/>
      </c>
      <c r="L257" s="32" t="str">
        <f>IF(AND(ISNUMBER(Roster!$B257),Setup!$B$30="Yes",ISNUMBER(Setup!$C$30)),EDATE(Roster!$B257,12*Setup!$C$30),"")</f>
        <v/>
      </c>
      <c r="M257" s="32" t="str">
        <f>IF(AND(ISNUMBER(Roster!$B257),Setup!$B$31="Yes",ISNUMBER(Setup!$C$31)),EDATE(Roster!$B257,12*Setup!$C$31),"")</f>
        <v/>
      </c>
      <c r="N257" s="32" t="str">
        <f>IF(AND(ISNUMBER(Roster!$B257),Setup!$B$32="Yes",ISNUMBER(Setup!$C$32)),EDATE(Roster!$B257,12*Setup!$C$32),"")</f>
        <v/>
      </c>
      <c r="O257" s="32" t="str">
        <f>IF(AND(ISNUMBER(Roster!$B257),Setup!$B$33="Yes",ISNUMBER(Setup!$C$33)),EDATE(Roster!$B257,12*Setup!$C$33),"")</f>
        <v/>
      </c>
      <c r="P257" s="32" t="str">
        <f>IF(AND(ISNUMBER(Roster!$B257),Setup!$B$34="Yes",ISNUMBER(Setup!$C$34)),EDATE(Roster!$B257,12*Setup!$C$34),"")</f>
        <v/>
      </c>
      <c r="R257" t="str">
        <f>IF(B257="","",IF(B257&lt;Setup!$C$5-Setup!$C$6,"",IF(IF(ISNUMBER(Roster!$D257),Setup!$C$20&lt;=Roster!$D257,FALSE),"",IF(OR(IF(Setup!$C$15&lt;=Setup!$C$16,AND(MONTH(B257)&gt;=Setup!$C$15,MONTH(B257)&lt;=Setup!$C$16),OR(MONTH(B257)&gt;=Setup!$C$15,MONTH(B257)&lt;=Setup!$C$16)),IF(Setup!$C$15&lt;=Setup!$C$16,AND(MONTH(WORKDAY(B257,-(Setup!$C$13+Setup!$G$20),Setup!$C$39:$C$50))&gt;=Setup!$C$15,MONTH(WORKDAY(B257,-(Setup!$C$13+Setup!$G$20),Setup!$C$39:$C$50))&lt;=Setup!$C$16),OR(MONTH(WORKDAY(B257,-(Setup!$C$13+Setup!$G$20),Setup!$C$39:$C$50))&gt;=Setup!$C$15,MONTH(WORKDAY(B257,-(Setup!$C$13+Setup!$G$20),Setup!$C$39:$C$50))&lt;=Setup!$C$16))),WORKDAY(B257,-(Setup!$C$13+Setup!$G$20+Setup!$C$14),Setup!$C$39:$C$50),WORKDAY(B257,-(Setup!$C$13+Setup!$G$20),Setup!$C$39:$C$50))+(252*100+1)/10000000)))</f>
        <v/>
      </c>
      <c r="S257" t="str">
        <f>IF(C257="","",IF(C257&lt;Setup!$C$5-Setup!$C$6,"",IF(IF(ISNUMBER(Roster!$D257),Setup!$C$21&lt;=Roster!$D257,FALSE),"",IF(OR(IF(Setup!$C$15&lt;=Setup!$C$16,AND(MONTH(C257)&gt;=Setup!$C$15,MONTH(C257)&lt;=Setup!$C$16),OR(MONTH(C257)&gt;=Setup!$C$15,MONTH(C257)&lt;=Setup!$C$16)),IF(Setup!$C$15&lt;=Setup!$C$16,AND(MONTH(WORKDAY(C257,-(Setup!$C$13+Setup!$G$21),Setup!$C$39:$C$50))&gt;=Setup!$C$15,MONTH(WORKDAY(C257,-(Setup!$C$13+Setup!$G$21),Setup!$C$39:$C$50))&lt;=Setup!$C$16),OR(MONTH(WORKDAY(C257,-(Setup!$C$13+Setup!$G$21),Setup!$C$39:$C$50))&gt;=Setup!$C$15,MONTH(WORKDAY(C257,-(Setup!$C$13+Setup!$G$21),Setup!$C$39:$C$50))&lt;=Setup!$C$16))),WORKDAY(C257,-(Setup!$C$13+Setup!$G$21+Setup!$C$14),Setup!$C$39:$C$50),WORKDAY(C257,-(Setup!$C$13+Setup!$G$21),Setup!$C$39:$C$50))+(252*100+2)/10000000)))</f>
        <v/>
      </c>
      <c r="T257" t="str">
        <f>IF(D257="","",IF(D257&lt;Setup!$C$5-Setup!$C$6,"",IF(IF(ISNUMBER(Roster!$D257),Setup!$C$22&lt;=Roster!$D257,FALSE),"",IF(OR(IF(Setup!$C$15&lt;=Setup!$C$16,AND(MONTH(D257)&gt;=Setup!$C$15,MONTH(D257)&lt;=Setup!$C$16),OR(MONTH(D257)&gt;=Setup!$C$15,MONTH(D257)&lt;=Setup!$C$16)),IF(Setup!$C$15&lt;=Setup!$C$16,AND(MONTH(WORKDAY(D257,-(Setup!$C$13+Setup!$G$22),Setup!$C$39:$C$50))&gt;=Setup!$C$15,MONTH(WORKDAY(D257,-(Setup!$C$13+Setup!$G$22),Setup!$C$39:$C$50))&lt;=Setup!$C$16),OR(MONTH(WORKDAY(D257,-(Setup!$C$13+Setup!$G$22),Setup!$C$39:$C$50))&gt;=Setup!$C$15,MONTH(WORKDAY(D257,-(Setup!$C$13+Setup!$G$22),Setup!$C$39:$C$50))&lt;=Setup!$C$16))),WORKDAY(D257,-(Setup!$C$13+Setup!$G$22+Setup!$C$14),Setup!$C$39:$C$50),WORKDAY(D257,-(Setup!$C$13+Setup!$G$22),Setup!$C$39:$C$50))+(252*100+3)/10000000)))</f>
        <v/>
      </c>
      <c r="U257" t="str">
        <f>IF(E257="","",IF(E257&lt;Setup!$C$5-Setup!$C$6,"",IF(IF(ISNUMBER(Roster!$D257),Setup!$C$23&lt;=Roster!$D257,FALSE),"",IF(OR(IF(Setup!$C$15&lt;=Setup!$C$16,AND(MONTH(E257)&gt;=Setup!$C$15,MONTH(E257)&lt;=Setup!$C$16),OR(MONTH(E257)&gt;=Setup!$C$15,MONTH(E257)&lt;=Setup!$C$16)),IF(Setup!$C$15&lt;=Setup!$C$16,AND(MONTH(WORKDAY(E257,-(Setup!$C$13+Setup!$G$23),Setup!$C$39:$C$50))&gt;=Setup!$C$15,MONTH(WORKDAY(E257,-(Setup!$C$13+Setup!$G$23),Setup!$C$39:$C$50))&lt;=Setup!$C$16),OR(MONTH(WORKDAY(E257,-(Setup!$C$13+Setup!$G$23),Setup!$C$39:$C$50))&gt;=Setup!$C$15,MONTH(WORKDAY(E257,-(Setup!$C$13+Setup!$G$23),Setup!$C$39:$C$50))&lt;=Setup!$C$16))),WORKDAY(E257,-(Setup!$C$13+Setup!$G$23+Setup!$C$14),Setup!$C$39:$C$50),WORKDAY(E257,-(Setup!$C$13+Setup!$G$23),Setup!$C$39:$C$50))+(252*100+4)/10000000)))</f>
        <v/>
      </c>
      <c r="V257" t="str">
        <f>IF(F257="","",IF(F257&lt;Setup!$C$5-Setup!$C$6,"",IF(IF(ISNUMBER(Roster!$D257),Setup!$C$24&lt;=Roster!$D257,FALSE),"",IF(OR(IF(Setup!$C$15&lt;=Setup!$C$16,AND(MONTH(F257)&gt;=Setup!$C$15,MONTH(F257)&lt;=Setup!$C$16),OR(MONTH(F257)&gt;=Setup!$C$15,MONTH(F257)&lt;=Setup!$C$16)),IF(Setup!$C$15&lt;=Setup!$C$16,AND(MONTH(WORKDAY(F257,-(Setup!$C$13+Setup!$G$24),Setup!$C$39:$C$50))&gt;=Setup!$C$15,MONTH(WORKDAY(F257,-(Setup!$C$13+Setup!$G$24),Setup!$C$39:$C$50))&lt;=Setup!$C$16),OR(MONTH(WORKDAY(F257,-(Setup!$C$13+Setup!$G$24),Setup!$C$39:$C$50))&gt;=Setup!$C$15,MONTH(WORKDAY(F257,-(Setup!$C$13+Setup!$G$24),Setup!$C$39:$C$50))&lt;=Setup!$C$16))),WORKDAY(F257,-(Setup!$C$13+Setup!$G$24+Setup!$C$14),Setup!$C$39:$C$50),WORKDAY(F257,-(Setup!$C$13+Setup!$G$24),Setup!$C$39:$C$50))+(252*100+5)/10000000)))</f>
        <v/>
      </c>
      <c r="W257" t="str">
        <f>IF(G257="","",IF(G257&lt;Setup!$C$5-Setup!$C$6,"",IF(IF(ISNUMBER(Roster!$D257),Setup!$C$25&lt;=Roster!$D257,FALSE),"",IF(OR(IF(Setup!$C$15&lt;=Setup!$C$16,AND(MONTH(G257)&gt;=Setup!$C$15,MONTH(G257)&lt;=Setup!$C$16),OR(MONTH(G257)&gt;=Setup!$C$15,MONTH(G257)&lt;=Setup!$C$16)),IF(Setup!$C$15&lt;=Setup!$C$16,AND(MONTH(WORKDAY(G257,-(Setup!$C$13+Setup!$G$25),Setup!$C$39:$C$50))&gt;=Setup!$C$15,MONTH(WORKDAY(G257,-(Setup!$C$13+Setup!$G$25),Setup!$C$39:$C$50))&lt;=Setup!$C$16),OR(MONTH(WORKDAY(G257,-(Setup!$C$13+Setup!$G$25),Setup!$C$39:$C$50))&gt;=Setup!$C$15,MONTH(WORKDAY(G257,-(Setup!$C$13+Setup!$G$25),Setup!$C$39:$C$50))&lt;=Setup!$C$16))),WORKDAY(G257,-(Setup!$C$13+Setup!$G$25+Setup!$C$14),Setup!$C$39:$C$50),WORKDAY(G257,-(Setup!$C$13+Setup!$G$25),Setup!$C$39:$C$50))+(252*100+6)/10000000)))</f>
        <v/>
      </c>
      <c r="X257" t="str">
        <f>IF(H257="","",IF(H257&lt;Setup!$C$5-Setup!$C$6,"",IF(IF(ISNUMBER(Roster!$D257),Setup!$C$26&lt;=Roster!$D257,FALSE),"",IF(OR(IF(Setup!$C$15&lt;=Setup!$C$16,AND(MONTH(H257)&gt;=Setup!$C$15,MONTH(H257)&lt;=Setup!$C$16),OR(MONTH(H257)&gt;=Setup!$C$15,MONTH(H257)&lt;=Setup!$C$16)),IF(Setup!$C$15&lt;=Setup!$C$16,AND(MONTH(WORKDAY(H257,-(Setup!$C$13+Setup!$G$26),Setup!$C$39:$C$50))&gt;=Setup!$C$15,MONTH(WORKDAY(H257,-(Setup!$C$13+Setup!$G$26),Setup!$C$39:$C$50))&lt;=Setup!$C$16),OR(MONTH(WORKDAY(H257,-(Setup!$C$13+Setup!$G$26),Setup!$C$39:$C$50))&gt;=Setup!$C$15,MONTH(WORKDAY(H257,-(Setup!$C$13+Setup!$G$26),Setup!$C$39:$C$50))&lt;=Setup!$C$16))),WORKDAY(H257,-(Setup!$C$13+Setup!$G$26+Setup!$C$14),Setup!$C$39:$C$50),WORKDAY(H257,-(Setup!$C$13+Setup!$G$26),Setup!$C$39:$C$50))+(252*100+7)/10000000)))</f>
        <v/>
      </c>
      <c r="Y257" t="str">
        <f>IF(I257="","",IF(I257&lt;Setup!$C$5-Setup!$C$6,"",IF(IF(ISNUMBER(Roster!$D257),Setup!$C$27&lt;=Roster!$D257,FALSE),"",IF(OR(IF(Setup!$C$15&lt;=Setup!$C$16,AND(MONTH(I257)&gt;=Setup!$C$15,MONTH(I257)&lt;=Setup!$C$16),OR(MONTH(I257)&gt;=Setup!$C$15,MONTH(I257)&lt;=Setup!$C$16)),IF(Setup!$C$15&lt;=Setup!$C$16,AND(MONTH(WORKDAY(I257,-(Setup!$C$13+Setup!$G$27),Setup!$C$39:$C$50))&gt;=Setup!$C$15,MONTH(WORKDAY(I257,-(Setup!$C$13+Setup!$G$27),Setup!$C$39:$C$50))&lt;=Setup!$C$16),OR(MONTH(WORKDAY(I257,-(Setup!$C$13+Setup!$G$27),Setup!$C$39:$C$50))&gt;=Setup!$C$15,MONTH(WORKDAY(I257,-(Setup!$C$13+Setup!$G$27),Setup!$C$39:$C$50))&lt;=Setup!$C$16))),WORKDAY(I257,-(Setup!$C$13+Setup!$G$27+Setup!$C$14),Setup!$C$39:$C$50),WORKDAY(I257,-(Setup!$C$13+Setup!$G$27),Setup!$C$39:$C$50))+(252*100+8)/10000000)))</f>
        <v/>
      </c>
      <c r="Z257" t="str">
        <f>IF(J257="","",IF(J257&lt;Setup!$C$5-Setup!$C$6,"",IF(IF(ISNUMBER(Roster!$D257),Setup!$C$28&lt;=Roster!$D257,FALSE),"",IF(OR(IF(Setup!$C$15&lt;=Setup!$C$16,AND(MONTH(J257)&gt;=Setup!$C$15,MONTH(J257)&lt;=Setup!$C$16),OR(MONTH(J257)&gt;=Setup!$C$15,MONTH(J257)&lt;=Setup!$C$16)),IF(Setup!$C$15&lt;=Setup!$C$16,AND(MONTH(WORKDAY(J257,-(Setup!$C$13+Setup!$G$28),Setup!$C$39:$C$50))&gt;=Setup!$C$15,MONTH(WORKDAY(J257,-(Setup!$C$13+Setup!$G$28),Setup!$C$39:$C$50))&lt;=Setup!$C$16),OR(MONTH(WORKDAY(J257,-(Setup!$C$13+Setup!$G$28),Setup!$C$39:$C$50))&gt;=Setup!$C$15,MONTH(WORKDAY(J257,-(Setup!$C$13+Setup!$G$28),Setup!$C$39:$C$50))&lt;=Setup!$C$16))),WORKDAY(J257,-(Setup!$C$13+Setup!$G$28+Setup!$C$14),Setup!$C$39:$C$50),WORKDAY(J257,-(Setup!$C$13+Setup!$G$28),Setup!$C$39:$C$50))+(252*100+9)/10000000)))</f>
        <v/>
      </c>
      <c r="AA257" t="str">
        <f>IF(K257="","",IF(K257&lt;Setup!$C$5-Setup!$C$6,"",IF(IF(ISNUMBER(Roster!$D257),Setup!$C$29&lt;=Roster!$D257,FALSE),"",IF(OR(IF(Setup!$C$15&lt;=Setup!$C$16,AND(MONTH(K257)&gt;=Setup!$C$15,MONTH(K257)&lt;=Setup!$C$16),OR(MONTH(K257)&gt;=Setup!$C$15,MONTH(K257)&lt;=Setup!$C$16)),IF(Setup!$C$15&lt;=Setup!$C$16,AND(MONTH(WORKDAY(K257,-(Setup!$C$13+Setup!$G$29),Setup!$C$39:$C$50))&gt;=Setup!$C$15,MONTH(WORKDAY(K257,-(Setup!$C$13+Setup!$G$29),Setup!$C$39:$C$50))&lt;=Setup!$C$16),OR(MONTH(WORKDAY(K257,-(Setup!$C$13+Setup!$G$29),Setup!$C$39:$C$50))&gt;=Setup!$C$15,MONTH(WORKDAY(K257,-(Setup!$C$13+Setup!$G$29),Setup!$C$39:$C$50))&lt;=Setup!$C$16))),WORKDAY(K257,-(Setup!$C$13+Setup!$G$29+Setup!$C$14),Setup!$C$39:$C$50),WORKDAY(K257,-(Setup!$C$13+Setup!$G$29),Setup!$C$39:$C$50))+(252*100+10)/10000000)))</f>
        <v/>
      </c>
      <c r="AB257" t="str">
        <f>IF(L257="","",IF(L257&lt;Setup!$C$5-Setup!$C$6,"",IF(IF(ISNUMBER(Roster!$D257),Setup!$C$30&lt;=Roster!$D257,FALSE),"",IF(OR(IF(Setup!$C$15&lt;=Setup!$C$16,AND(MONTH(L257)&gt;=Setup!$C$15,MONTH(L257)&lt;=Setup!$C$16),OR(MONTH(L257)&gt;=Setup!$C$15,MONTH(L257)&lt;=Setup!$C$16)),IF(Setup!$C$15&lt;=Setup!$C$16,AND(MONTH(WORKDAY(L257,-(Setup!$C$13+Setup!$G$30),Setup!$C$39:$C$50))&gt;=Setup!$C$15,MONTH(WORKDAY(L257,-(Setup!$C$13+Setup!$G$30),Setup!$C$39:$C$50))&lt;=Setup!$C$16),OR(MONTH(WORKDAY(L257,-(Setup!$C$13+Setup!$G$30),Setup!$C$39:$C$50))&gt;=Setup!$C$15,MONTH(WORKDAY(L257,-(Setup!$C$13+Setup!$G$30),Setup!$C$39:$C$50))&lt;=Setup!$C$16))),WORKDAY(L257,-(Setup!$C$13+Setup!$G$30+Setup!$C$14),Setup!$C$39:$C$50),WORKDAY(L257,-(Setup!$C$13+Setup!$G$30),Setup!$C$39:$C$50))+(252*100+11)/10000000)))</f>
        <v/>
      </c>
      <c r="AC257" t="str">
        <f>IF(M257="","",IF(M257&lt;Setup!$C$5-Setup!$C$6,"",IF(IF(ISNUMBER(Roster!$D257),Setup!$C$31&lt;=Roster!$D257,FALSE),"",IF(OR(IF(Setup!$C$15&lt;=Setup!$C$16,AND(MONTH(M257)&gt;=Setup!$C$15,MONTH(M257)&lt;=Setup!$C$16),OR(MONTH(M257)&gt;=Setup!$C$15,MONTH(M257)&lt;=Setup!$C$16)),IF(Setup!$C$15&lt;=Setup!$C$16,AND(MONTH(WORKDAY(M257,-(Setup!$C$13+Setup!$G$31),Setup!$C$39:$C$50))&gt;=Setup!$C$15,MONTH(WORKDAY(M257,-(Setup!$C$13+Setup!$G$31),Setup!$C$39:$C$50))&lt;=Setup!$C$16),OR(MONTH(WORKDAY(M257,-(Setup!$C$13+Setup!$G$31),Setup!$C$39:$C$50))&gt;=Setup!$C$15,MONTH(WORKDAY(M257,-(Setup!$C$13+Setup!$G$31),Setup!$C$39:$C$50))&lt;=Setup!$C$16))),WORKDAY(M257,-(Setup!$C$13+Setup!$G$31+Setup!$C$14),Setup!$C$39:$C$50),WORKDAY(M257,-(Setup!$C$13+Setup!$G$31),Setup!$C$39:$C$50))+(252*100+12)/10000000)))</f>
        <v/>
      </c>
      <c r="AD257" t="str">
        <f>IF(N257="","",IF(N257&lt;Setup!$C$5-Setup!$C$6,"",IF(IF(ISNUMBER(Roster!$D257),Setup!$C$32&lt;=Roster!$D257,FALSE),"",IF(OR(IF(Setup!$C$15&lt;=Setup!$C$16,AND(MONTH(N257)&gt;=Setup!$C$15,MONTH(N257)&lt;=Setup!$C$16),OR(MONTH(N257)&gt;=Setup!$C$15,MONTH(N257)&lt;=Setup!$C$16)),IF(Setup!$C$15&lt;=Setup!$C$16,AND(MONTH(WORKDAY(N257,-(Setup!$C$13+Setup!$G$32),Setup!$C$39:$C$50))&gt;=Setup!$C$15,MONTH(WORKDAY(N257,-(Setup!$C$13+Setup!$G$32),Setup!$C$39:$C$50))&lt;=Setup!$C$16),OR(MONTH(WORKDAY(N257,-(Setup!$C$13+Setup!$G$32),Setup!$C$39:$C$50))&gt;=Setup!$C$15,MONTH(WORKDAY(N257,-(Setup!$C$13+Setup!$G$32),Setup!$C$39:$C$50))&lt;=Setup!$C$16))),WORKDAY(N257,-(Setup!$C$13+Setup!$G$32+Setup!$C$14),Setup!$C$39:$C$50),WORKDAY(N257,-(Setup!$C$13+Setup!$G$32),Setup!$C$39:$C$50))+(252*100+13)/10000000)))</f>
        <v/>
      </c>
      <c r="AE257" t="str">
        <f>IF(O257="","",IF(O257&lt;Setup!$C$5-Setup!$C$6,"",IF(IF(ISNUMBER(Roster!$D257),Setup!$C$33&lt;=Roster!$D257,FALSE),"",IF(OR(IF(Setup!$C$15&lt;=Setup!$C$16,AND(MONTH(O257)&gt;=Setup!$C$15,MONTH(O257)&lt;=Setup!$C$16),OR(MONTH(O257)&gt;=Setup!$C$15,MONTH(O257)&lt;=Setup!$C$16)),IF(Setup!$C$15&lt;=Setup!$C$16,AND(MONTH(WORKDAY(O257,-(Setup!$C$13+Setup!$G$33),Setup!$C$39:$C$50))&gt;=Setup!$C$15,MONTH(WORKDAY(O257,-(Setup!$C$13+Setup!$G$33),Setup!$C$39:$C$50))&lt;=Setup!$C$16),OR(MONTH(WORKDAY(O257,-(Setup!$C$13+Setup!$G$33),Setup!$C$39:$C$50))&gt;=Setup!$C$15,MONTH(WORKDAY(O257,-(Setup!$C$13+Setup!$G$33),Setup!$C$39:$C$50))&lt;=Setup!$C$16))),WORKDAY(O257,-(Setup!$C$13+Setup!$G$33+Setup!$C$14),Setup!$C$39:$C$50),WORKDAY(O257,-(Setup!$C$13+Setup!$G$33),Setup!$C$39:$C$50))+(252*100+14)/10000000)))</f>
        <v/>
      </c>
      <c r="AF257" t="str">
        <f>IF(P257="","",IF(P257&lt;Setup!$C$5-Setup!$C$6,"",IF(IF(ISNUMBER(Roster!$D257),Setup!$C$34&lt;=Roster!$D257,FALSE),"",IF(OR(IF(Setup!$C$15&lt;=Setup!$C$16,AND(MONTH(P257)&gt;=Setup!$C$15,MONTH(P257)&lt;=Setup!$C$16),OR(MONTH(P257)&gt;=Setup!$C$15,MONTH(P257)&lt;=Setup!$C$16)),IF(Setup!$C$15&lt;=Setup!$C$16,AND(MONTH(WORKDAY(P257,-(Setup!$C$13+Setup!$G$34),Setup!$C$39:$C$50))&gt;=Setup!$C$15,MONTH(WORKDAY(P257,-(Setup!$C$13+Setup!$G$34),Setup!$C$39:$C$50))&lt;=Setup!$C$16),OR(MONTH(WORKDAY(P257,-(Setup!$C$13+Setup!$G$34),Setup!$C$39:$C$50))&gt;=Setup!$C$15,MONTH(WORKDAY(P257,-(Setup!$C$13+Setup!$G$34),Setup!$C$39:$C$50))&lt;=Setup!$C$16))),WORKDAY(P257,-(Setup!$C$13+Setup!$G$34+Setup!$C$14),Setup!$C$39:$C$50),WORKDAY(P257,-(Setup!$C$13+Setup!$G$34),Setup!$C$39:$C$50))+(252*100+15)/10000000)))</f>
        <v/>
      </c>
      <c r="AH257" t="str">
        <f t="shared" si="25"/>
        <v/>
      </c>
      <c r="AI257" t="str">
        <f t="shared" si="26"/>
        <v/>
      </c>
      <c r="AK257" t="str">
        <f ca="1">IF(252&gt;$AK$2,"",SMALL($R$6:$AF$505,252))</f>
        <v/>
      </c>
      <c r="AL257" t="str">
        <f t="shared" ca="1" si="27"/>
        <v/>
      </c>
      <c r="AM257" t="str">
        <f t="shared" ca="1" si="28"/>
        <v/>
      </c>
      <c r="AN257" t="str">
        <f t="shared" ca="1" si="29"/>
        <v/>
      </c>
      <c r="AP257" t="str">
        <f>IF(ISNUMBER(Roster!$B257),MAX(1,YEAR(Setup!$C$5)-YEAR(Roster!$B257)+IF(EDATE(Roster!$B257,12*(YEAR(Setup!$C$5)-YEAR(Roster!$B257)))&lt;Setup!$C$5,1,0)),"")</f>
        <v/>
      </c>
      <c r="AQ257" s="32" t="str">
        <f>IF(AP257="","",EDATE(Roster!$B257,12*AP257))</f>
        <v/>
      </c>
      <c r="AR257" t="str">
        <f>IF(AQ257="","",IF(AQ257&lt;DATE(YEAR(Setup!$C$5)+1,MONTH(Setup!$C$5),DAY(Setup!$C$5)),AQ257+252/1000,""))</f>
        <v/>
      </c>
      <c r="AS257" t="str">
        <f t="shared" si="30"/>
        <v/>
      </c>
      <c r="AT257" t="str">
        <f>IF(AS257="","",IF(ISNUMBER(Roster!$D257),Roster!$D257&gt;=AP257,FALSE))</f>
        <v/>
      </c>
      <c r="AU257" t="str">
        <f t="shared" si="31"/>
        <v/>
      </c>
      <c r="AV257" t="str">
        <f ca="1">IF(252&gt;$AV$2,"",SMALL($AR$6:$AR$505,252))</f>
        <v/>
      </c>
      <c r="AW257" t="str">
        <f t="shared" ca="1" si="32"/>
        <v/>
      </c>
    </row>
    <row r="258" spans="2:49" x14ac:dyDescent="0.2">
      <c r="B258" s="32" t="str">
        <f>IF(AND(ISNUMBER(Roster!$B258),Setup!$B$20="Yes",ISNUMBER(Setup!$C$20)),EDATE(Roster!$B258,12*Setup!$C$20),"")</f>
        <v/>
      </c>
      <c r="C258" s="32" t="str">
        <f>IF(AND(ISNUMBER(Roster!$B258),Setup!$B$21="Yes",ISNUMBER(Setup!$C$21)),EDATE(Roster!$B258,12*Setup!$C$21),"")</f>
        <v/>
      </c>
      <c r="D258" s="32" t="str">
        <f>IF(AND(ISNUMBER(Roster!$B258),Setup!$B$22="Yes",ISNUMBER(Setup!$C$22)),EDATE(Roster!$B258,12*Setup!$C$22),"")</f>
        <v/>
      </c>
      <c r="E258" s="32" t="str">
        <f>IF(AND(ISNUMBER(Roster!$B258),Setup!$B$23="Yes",ISNUMBER(Setup!$C$23)),EDATE(Roster!$B258,12*Setup!$C$23),"")</f>
        <v/>
      </c>
      <c r="F258" s="32" t="str">
        <f>IF(AND(ISNUMBER(Roster!$B258),Setup!$B$24="Yes",ISNUMBER(Setup!$C$24)),EDATE(Roster!$B258,12*Setup!$C$24),"")</f>
        <v/>
      </c>
      <c r="G258" s="32" t="str">
        <f>IF(AND(ISNUMBER(Roster!$B258),Setup!$B$25="Yes",ISNUMBER(Setup!$C$25)),EDATE(Roster!$B258,12*Setup!$C$25),"")</f>
        <v/>
      </c>
      <c r="H258" s="32" t="str">
        <f>IF(AND(ISNUMBER(Roster!$B258),Setup!$B$26="Yes",ISNUMBER(Setup!$C$26)),EDATE(Roster!$B258,12*Setup!$C$26),"")</f>
        <v/>
      </c>
      <c r="I258" s="32" t="str">
        <f>IF(AND(ISNUMBER(Roster!$B258),Setup!$B$27="Yes",ISNUMBER(Setup!$C$27)),EDATE(Roster!$B258,12*Setup!$C$27),"")</f>
        <v/>
      </c>
      <c r="J258" s="32" t="str">
        <f>IF(AND(ISNUMBER(Roster!$B258),Setup!$B$28="Yes",ISNUMBER(Setup!$C$28)),EDATE(Roster!$B258,12*Setup!$C$28),"")</f>
        <v/>
      </c>
      <c r="K258" s="32" t="str">
        <f>IF(AND(ISNUMBER(Roster!$B258),Setup!$B$29="Yes",ISNUMBER(Setup!$C$29)),EDATE(Roster!$B258,12*Setup!$C$29),"")</f>
        <v/>
      </c>
      <c r="L258" s="32" t="str">
        <f>IF(AND(ISNUMBER(Roster!$B258),Setup!$B$30="Yes",ISNUMBER(Setup!$C$30)),EDATE(Roster!$B258,12*Setup!$C$30),"")</f>
        <v/>
      </c>
      <c r="M258" s="32" t="str">
        <f>IF(AND(ISNUMBER(Roster!$B258),Setup!$B$31="Yes",ISNUMBER(Setup!$C$31)),EDATE(Roster!$B258,12*Setup!$C$31),"")</f>
        <v/>
      </c>
      <c r="N258" s="32" t="str">
        <f>IF(AND(ISNUMBER(Roster!$B258),Setup!$B$32="Yes",ISNUMBER(Setup!$C$32)),EDATE(Roster!$B258,12*Setup!$C$32),"")</f>
        <v/>
      </c>
      <c r="O258" s="32" t="str">
        <f>IF(AND(ISNUMBER(Roster!$B258),Setup!$B$33="Yes",ISNUMBER(Setup!$C$33)),EDATE(Roster!$B258,12*Setup!$C$33),"")</f>
        <v/>
      </c>
      <c r="P258" s="32" t="str">
        <f>IF(AND(ISNUMBER(Roster!$B258),Setup!$B$34="Yes",ISNUMBER(Setup!$C$34)),EDATE(Roster!$B258,12*Setup!$C$34),"")</f>
        <v/>
      </c>
      <c r="R258" t="str">
        <f>IF(B258="","",IF(B258&lt;Setup!$C$5-Setup!$C$6,"",IF(IF(ISNUMBER(Roster!$D258),Setup!$C$20&lt;=Roster!$D258,FALSE),"",IF(OR(IF(Setup!$C$15&lt;=Setup!$C$16,AND(MONTH(B258)&gt;=Setup!$C$15,MONTH(B258)&lt;=Setup!$C$16),OR(MONTH(B258)&gt;=Setup!$C$15,MONTH(B258)&lt;=Setup!$C$16)),IF(Setup!$C$15&lt;=Setup!$C$16,AND(MONTH(WORKDAY(B258,-(Setup!$C$13+Setup!$G$20),Setup!$C$39:$C$50))&gt;=Setup!$C$15,MONTH(WORKDAY(B258,-(Setup!$C$13+Setup!$G$20),Setup!$C$39:$C$50))&lt;=Setup!$C$16),OR(MONTH(WORKDAY(B258,-(Setup!$C$13+Setup!$G$20),Setup!$C$39:$C$50))&gt;=Setup!$C$15,MONTH(WORKDAY(B258,-(Setup!$C$13+Setup!$G$20),Setup!$C$39:$C$50))&lt;=Setup!$C$16))),WORKDAY(B258,-(Setup!$C$13+Setup!$G$20+Setup!$C$14),Setup!$C$39:$C$50),WORKDAY(B258,-(Setup!$C$13+Setup!$G$20),Setup!$C$39:$C$50))+(253*100+1)/10000000)))</f>
        <v/>
      </c>
      <c r="S258" t="str">
        <f>IF(C258="","",IF(C258&lt;Setup!$C$5-Setup!$C$6,"",IF(IF(ISNUMBER(Roster!$D258),Setup!$C$21&lt;=Roster!$D258,FALSE),"",IF(OR(IF(Setup!$C$15&lt;=Setup!$C$16,AND(MONTH(C258)&gt;=Setup!$C$15,MONTH(C258)&lt;=Setup!$C$16),OR(MONTH(C258)&gt;=Setup!$C$15,MONTH(C258)&lt;=Setup!$C$16)),IF(Setup!$C$15&lt;=Setup!$C$16,AND(MONTH(WORKDAY(C258,-(Setup!$C$13+Setup!$G$21),Setup!$C$39:$C$50))&gt;=Setup!$C$15,MONTH(WORKDAY(C258,-(Setup!$C$13+Setup!$G$21),Setup!$C$39:$C$50))&lt;=Setup!$C$16),OR(MONTH(WORKDAY(C258,-(Setup!$C$13+Setup!$G$21),Setup!$C$39:$C$50))&gt;=Setup!$C$15,MONTH(WORKDAY(C258,-(Setup!$C$13+Setup!$G$21),Setup!$C$39:$C$50))&lt;=Setup!$C$16))),WORKDAY(C258,-(Setup!$C$13+Setup!$G$21+Setup!$C$14),Setup!$C$39:$C$50),WORKDAY(C258,-(Setup!$C$13+Setup!$G$21),Setup!$C$39:$C$50))+(253*100+2)/10000000)))</f>
        <v/>
      </c>
      <c r="T258" t="str">
        <f>IF(D258="","",IF(D258&lt;Setup!$C$5-Setup!$C$6,"",IF(IF(ISNUMBER(Roster!$D258),Setup!$C$22&lt;=Roster!$D258,FALSE),"",IF(OR(IF(Setup!$C$15&lt;=Setup!$C$16,AND(MONTH(D258)&gt;=Setup!$C$15,MONTH(D258)&lt;=Setup!$C$16),OR(MONTH(D258)&gt;=Setup!$C$15,MONTH(D258)&lt;=Setup!$C$16)),IF(Setup!$C$15&lt;=Setup!$C$16,AND(MONTH(WORKDAY(D258,-(Setup!$C$13+Setup!$G$22),Setup!$C$39:$C$50))&gt;=Setup!$C$15,MONTH(WORKDAY(D258,-(Setup!$C$13+Setup!$G$22),Setup!$C$39:$C$50))&lt;=Setup!$C$16),OR(MONTH(WORKDAY(D258,-(Setup!$C$13+Setup!$G$22),Setup!$C$39:$C$50))&gt;=Setup!$C$15,MONTH(WORKDAY(D258,-(Setup!$C$13+Setup!$G$22),Setup!$C$39:$C$50))&lt;=Setup!$C$16))),WORKDAY(D258,-(Setup!$C$13+Setup!$G$22+Setup!$C$14),Setup!$C$39:$C$50),WORKDAY(D258,-(Setup!$C$13+Setup!$G$22),Setup!$C$39:$C$50))+(253*100+3)/10000000)))</f>
        <v/>
      </c>
      <c r="U258" t="str">
        <f>IF(E258="","",IF(E258&lt;Setup!$C$5-Setup!$C$6,"",IF(IF(ISNUMBER(Roster!$D258),Setup!$C$23&lt;=Roster!$D258,FALSE),"",IF(OR(IF(Setup!$C$15&lt;=Setup!$C$16,AND(MONTH(E258)&gt;=Setup!$C$15,MONTH(E258)&lt;=Setup!$C$16),OR(MONTH(E258)&gt;=Setup!$C$15,MONTH(E258)&lt;=Setup!$C$16)),IF(Setup!$C$15&lt;=Setup!$C$16,AND(MONTH(WORKDAY(E258,-(Setup!$C$13+Setup!$G$23),Setup!$C$39:$C$50))&gt;=Setup!$C$15,MONTH(WORKDAY(E258,-(Setup!$C$13+Setup!$G$23),Setup!$C$39:$C$50))&lt;=Setup!$C$16),OR(MONTH(WORKDAY(E258,-(Setup!$C$13+Setup!$G$23),Setup!$C$39:$C$50))&gt;=Setup!$C$15,MONTH(WORKDAY(E258,-(Setup!$C$13+Setup!$G$23),Setup!$C$39:$C$50))&lt;=Setup!$C$16))),WORKDAY(E258,-(Setup!$C$13+Setup!$G$23+Setup!$C$14),Setup!$C$39:$C$50),WORKDAY(E258,-(Setup!$C$13+Setup!$G$23),Setup!$C$39:$C$50))+(253*100+4)/10000000)))</f>
        <v/>
      </c>
      <c r="V258" t="str">
        <f>IF(F258="","",IF(F258&lt;Setup!$C$5-Setup!$C$6,"",IF(IF(ISNUMBER(Roster!$D258),Setup!$C$24&lt;=Roster!$D258,FALSE),"",IF(OR(IF(Setup!$C$15&lt;=Setup!$C$16,AND(MONTH(F258)&gt;=Setup!$C$15,MONTH(F258)&lt;=Setup!$C$16),OR(MONTH(F258)&gt;=Setup!$C$15,MONTH(F258)&lt;=Setup!$C$16)),IF(Setup!$C$15&lt;=Setup!$C$16,AND(MONTH(WORKDAY(F258,-(Setup!$C$13+Setup!$G$24),Setup!$C$39:$C$50))&gt;=Setup!$C$15,MONTH(WORKDAY(F258,-(Setup!$C$13+Setup!$G$24),Setup!$C$39:$C$50))&lt;=Setup!$C$16),OR(MONTH(WORKDAY(F258,-(Setup!$C$13+Setup!$G$24),Setup!$C$39:$C$50))&gt;=Setup!$C$15,MONTH(WORKDAY(F258,-(Setup!$C$13+Setup!$G$24),Setup!$C$39:$C$50))&lt;=Setup!$C$16))),WORKDAY(F258,-(Setup!$C$13+Setup!$G$24+Setup!$C$14),Setup!$C$39:$C$50),WORKDAY(F258,-(Setup!$C$13+Setup!$G$24),Setup!$C$39:$C$50))+(253*100+5)/10000000)))</f>
        <v/>
      </c>
      <c r="W258" t="str">
        <f>IF(G258="","",IF(G258&lt;Setup!$C$5-Setup!$C$6,"",IF(IF(ISNUMBER(Roster!$D258),Setup!$C$25&lt;=Roster!$D258,FALSE),"",IF(OR(IF(Setup!$C$15&lt;=Setup!$C$16,AND(MONTH(G258)&gt;=Setup!$C$15,MONTH(G258)&lt;=Setup!$C$16),OR(MONTH(G258)&gt;=Setup!$C$15,MONTH(G258)&lt;=Setup!$C$16)),IF(Setup!$C$15&lt;=Setup!$C$16,AND(MONTH(WORKDAY(G258,-(Setup!$C$13+Setup!$G$25),Setup!$C$39:$C$50))&gt;=Setup!$C$15,MONTH(WORKDAY(G258,-(Setup!$C$13+Setup!$G$25),Setup!$C$39:$C$50))&lt;=Setup!$C$16),OR(MONTH(WORKDAY(G258,-(Setup!$C$13+Setup!$G$25),Setup!$C$39:$C$50))&gt;=Setup!$C$15,MONTH(WORKDAY(G258,-(Setup!$C$13+Setup!$G$25),Setup!$C$39:$C$50))&lt;=Setup!$C$16))),WORKDAY(G258,-(Setup!$C$13+Setup!$G$25+Setup!$C$14),Setup!$C$39:$C$50),WORKDAY(G258,-(Setup!$C$13+Setup!$G$25),Setup!$C$39:$C$50))+(253*100+6)/10000000)))</f>
        <v/>
      </c>
      <c r="X258" t="str">
        <f>IF(H258="","",IF(H258&lt;Setup!$C$5-Setup!$C$6,"",IF(IF(ISNUMBER(Roster!$D258),Setup!$C$26&lt;=Roster!$D258,FALSE),"",IF(OR(IF(Setup!$C$15&lt;=Setup!$C$16,AND(MONTH(H258)&gt;=Setup!$C$15,MONTH(H258)&lt;=Setup!$C$16),OR(MONTH(H258)&gt;=Setup!$C$15,MONTH(H258)&lt;=Setup!$C$16)),IF(Setup!$C$15&lt;=Setup!$C$16,AND(MONTH(WORKDAY(H258,-(Setup!$C$13+Setup!$G$26),Setup!$C$39:$C$50))&gt;=Setup!$C$15,MONTH(WORKDAY(H258,-(Setup!$C$13+Setup!$G$26),Setup!$C$39:$C$50))&lt;=Setup!$C$16),OR(MONTH(WORKDAY(H258,-(Setup!$C$13+Setup!$G$26),Setup!$C$39:$C$50))&gt;=Setup!$C$15,MONTH(WORKDAY(H258,-(Setup!$C$13+Setup!$G$26),Setup!$C$39:$C$50))&lt;=Setup!$C$16))),WORKDAY(H258,-(Setup!$C$13+Setup!$G$26+Setup!$C$14),Setup!$C$39:$C$50),WORKDAY(H258,-(Setup!$C$13+Setup!$G$26),Setup!$C$39:$C$50))+(253*100+7)/10000000)))</f>
        <v/>
      </c>
      <c r="Y258" t="str">
        <f>IF(I258="","",IF(I258&lt;Setup!$C$5-Setup!$C$6,"",IF(IF(ISNUMBER(Roster!$D258),Setup!$C$27&lt;=Roster!$D258,FALSE),"",IF(OR(IF(Setup!$C$15&lt;=Setup!$C$16,AND(MONTH(I258)&gt;=Setup!$C$15,MONTH(I258)&lt;=Setup!$C$16),OR(MONTH(I258)&gt;=Setup!$C$15,MONTH(I258)&lt;=Setup!$C$16)),IF(Setup!$C$15&lt;=Setup!$C$16,AND(MONTH(WORKDAY(I258,-(Setup!$C$13+Setup!$G$27),Setup!$C$39:$C$50))&gt;=Setup!$C$15,MONTH(WORKDAY(I258,-(Setup!$C$13+Setup!$G$27),Setup!$C$39:$C$50))&lt;=Setup!$C$16),OR(MONTH(WORKDAY(I258,-(Setup!$C$13+Setup!$G$27),Setup!$C$39:$C$50))&gt;=Setup!$C$15,MONTH(WORKDAY(I258,-(Setup!$C$13+Setup!$G$27),Setup!$C$39:$C$50))&lt;=Setup!$C$16))),WORKDAY(I258,-(Setup!$C$13+Setup!$G$27+Setup!$C$14),Setup!$C$39:$C$50),WORKDAY(I258,-(Setup!$C$13+Setup!$G$27),Setup!$C$39:$C$50))+(253*100+8)/10000000)))</f>
        <v/>
      </c>
      <c r="Z258" t="str">
        <f>IF(J258="","",IF(J258&lt;Setup!$C$5-Setup!$C$6,"",IF(IF(ISNUMBER(Roster!$D258),Setup!$C$28&lt;=Roster!$D258,FALSE),"",IF(OR(IF(Setup!$C$15&lt;=Setup!$C$16,AND(MONTH(J258)&gt;=Setup!$C$15,MONTH(J258)&lt;=Setup!$C$16),OR(MONTH(J258)&gt;=Setup!$C$15,MONTH(J258)&lt;=Setup!$C$16)),IF(Setup!$C$15&lt;=Setup!$C$16,AND(MONTH(WORKDAY(J258,-(Setup!$C$13+Setup!$G$28),Setup!$C$39:$C$50))&gt;=Setup!$C$15,MONTH(WORKDAY(J258,-(Setup!$C$13+Setup!$G$28),Setup!$C$39:$C$50))&lt;=Setup!$C$16),OR(MONTH(WORKDAY(J258,-(Setup!$C$13+Setup!$G$28),Setup!$C$39:$C$50))&gt;=Setup!$C$15,MONTH(WORKDAY(J258,-(Setup!$C$13+Setup!$G$28),Setup!$C$39:$C$50))&lt;=Setup!$C$16))),WORKDAY(J258,-(Setup!$C$13+Setup!$G$28+Setup!$C$14),Setup!$C$39:$C$50),WORKDAY(J258,-(Setup!$C$13+Setup!$G$28),Setup!$C$39:$C$50))+(253*100+9)/10000000)))</f>
        <v/>
      </c>
      <c r="AA258" t="str">
        <f>IF(K258="","",IF(K258&lt;Setup!$C$5-Setup!$C$6,"",IF(IF(ISNUMBER(Roster!$D258),Setup!$C$29&lt;=Roster!$D258,FALSE),"",IF(OR(IF(Setup!$C$15&lt;=Setup!$C$16,AND(MONTH(K258)&gt;=Setup!$C$15,MONTH(K258)&lt;=Setup!$C$16),OR(MONTH(K258)&gt;=Setup!$C$15,MONTH(K258)&lt;=Setup!$C$16)),IF(Setup!$C$15&lt;=Setup!$C$16,AND(MONTH(WORKDAY(K258,-(Setup!$C$13+Setup!$G$29),Setup!$C$39:$C$50))&gt;=Setup!$C$15,MONTH(WORKDAY(K258,-(Setup!$C$13+Setup!$G$29),Setup!$C$39:$C$50))&lt;=Setup!$C$16),OR(MONTH(WORKDAY(K258,-(Setup!$C$13+Setup!$G$29),Setup!$C$39:$C$50))&gt;=Setup!$C$15,MONTH(WORKDAY(K258,-(Setup!$C$13+Setup!$G$29),Setup!$C$39:$C$50))&lt;=Setup!$C$16))),WORKDAY(K258,-(Setup!$C$13+Setup!$G$29+Setup!$C$14),Setup!$C$39:$C$50),WORKDAY(K258,-(Setup!$C$13+Setup!$G$29),Setup!$C$39:$C$50))+(253*100+10)/10000000)))</f>
        <v/>
      </c>
      <c r="AB258" t="str">
        <f>IF(L258="","",IF(L258&lt;Setup!$C$5-Setup!$C$6,"",IF(IF(ISNUMBER(Roster!$D258),Setup!$C$30&lt;=Roster!$D258,FALSE),"",IF(OR(IF(Setup!$C$15&lt;=Setup!$C$16,AND(MONTH(L258)&gt;=Setup!$C$15,MONTH(L258)&lt;=Setup!$C$16),OR(MONTH(L258)&gt;=Setup!$C$15,MONTH(L258)&lt;=Setup!$C$16)),IF(Setup!$C$15&lt;=Setup!$C$16,AND(MONTH(WORKDAY(L258,-(Setup!$C$13+Setup!$G$30),Setup!$C$39:$C$50))&gt;=Setup!$C$15,MONTH(WORKDAY(L258,-(Setup!$C$13+Setup!$G$30),Setup!$C$39:$C$50))&lt;=Setup!$C$16),OR(MONTH(WORKDAY(L258,-(Setup!$C$13+Setup!$G$30),Setup!$C$39:$C$50))&gt;=Setup!$C$15,MONTH(WORKDAY(L258,-(Setup!$C$13+Setup!$G$30),Setup!$C$39:$C$50))&lt;=Setup!$C$16))),WORKDAY(L258,-(Setup!$C$13+Setup!$G$30+Setup!$C$14),Setup!$C$39:$C$50),WORKDAY(L258,-(Setup!$C$13+Setup!$G$30),Setup!$C$39:$C$50))+(253*100+11)/10000000)))</f>
        <v/>
      </c>
      <c r="AC258" t="str">
        <f>IF(M258="","",IF(M258&lt;Setup!$C$5-Setup!$C$6,"",IF(IF(ISNUMBER(Roster!$D258),Setup!$C$31&lt;=Roster!$D258,FALSE),"",IF(OR(IF(Setup!$C$15&lt;=Setup!$C$16,AND(MONTH(M258)&gt;=Setup!$C$15,MONTH(M258)&lt;=Setup!$C$16),OR(MONTH(M258)&gt;=Setup!$C$15,MONTH(M258)&lt;=Setup!$C$16)),IF(Setup!$C$15&lt;=Setup!$C$16,AND(MONTH(WORKDAY(M258,-(Setup!$C$13+Setup!$G$31),Setup!$C$39:$C$50))&gt;=Setup!$C$15,MONTH(WORKDAY(M258,-(Setup!$C$13+Setup!$G$31),Setup!$C$39:$C$50))&lt;=Setup!$C$16),OR(MONTH(WORKDAY(M258,-(Setup!$C$13+Setup!$G$31),Setup!$C$39:$C$50))&gt;=Setup!$C$15,MONTH(WORKDAY(M258,-(Setup!$C$13+Setup!$G$31),Setup!$C$39:$C$50))&lt;=Setup!$C$16))),WORKDAY(M258,-(Setup!$C$13+Setup!$G$31+Setup!$C$14),Setup!$C$39:$C$50),WORKDAY(M258,-(Setup!$C$13+Setup!$G$31),Setup!$C$39:$C$50))+(253*100+12)/10000000)))</f>
        <v/>
      </c>
      <c r="AD258" t="str">
        <f>IF(N258="","",IF(N258&lt;Setup!$C$5-Setup!$C$6,"",IF(IF(ISNUMBER(Roster!$D258),Setup!$C$32&lt;=Roster!$D258,FALSE),"",IF(OR(IF(Setup!$C$15&lt;=Setup!$C$16,AND(MONTH(N258)&gt;=Setup!$C$15,MONTH(N258)&lt;=Setup!$C$16),OR(MONTH(N258)&gt;=Setup!$C$15,MONTH(N258)&lt;=Setup!$C$16)),IF(Setup!$C$15&lt;=Setup!$C$16,AND(MONTH(WORKDAY(N258,-(Setup!$C$13+Setup!$G$32),Setup!$C$39:$C$50))&gt;=Setup!$C$15,MONTH(WORKDAY(N258,-(Setup!$C$13+Setup!$G$32),Setup!$C$39:$C$50))&lt;=Setup!$C$16),OR(MONTH(WORKDAY(N258,-(Setup!$C$13+Setup!$G$32),Setup!$C$39:$C$50))&gt;=Setup!$C$15,MONTH(WORKDAY(N258,-(Setup!$C$13+Setup!$G$32),Setup!$C$39:$C$50))&lt;=Setup!$C$16))),WORKDAY(N258,-(Setup!$C$13+Setup!$G$32+Setup!$C$14),Setup!$C$39:$C$50),WORKDAY(N258,-(Setup!$C$13+Setup!$G$32),Setup!$C$39:$C$50))+(253*100+13)/10000000)))</f>
        <v/>
      </c>
      <c r="AE258" t="str">
        <f>IF(O258="","",IF(O258&lt;Setup!$C$5-Setup!$C$6,"",IF(IF(ISNUMBER(Roster!$D258),Setup!$C$33&lt;=Roster!$D258,FALSE),"",IF(OR(IF(Setup!$C$15&lt;=Setup!$C$16,AND(MONTH(O258)&gt;=Setup!$C$15,MONTH(O258)&lt;=Setup!$C$16),OR(MONTH(O258)&gt;=Setup!$C$15,MONTH(O258)&lt;=Setup!$C$16)),IF(Setup!$C$15&lt;=Setup!$C$16,AND(MONTH(WORKDAY(O258,-(Setup!$C$13+Setup!$G$33),Setup!$C$39:$C$50))&gt;=Setup!$C$15,MONTH(WORKDAY(O258,-(Setup!$C$13+Setup!$G$33),Setup!$C$39:$C$50))&lt;=Setup!$C$16),OR(MONTH(WORKDAY(O258,-(Setup!$C$13+Setup!$G$33),Setup!$C$39:$C$50))&gt;=Setup!$C$15,MONTH(WORKDAY(O258,-(Setup!$C$13+Setup!$G$33),Setup!$C$39:$C$50))&lt;=Setup!$C$16))),WORKDAY(O258,-(Setup!$C$13+Setup!$G$33+Setup!$C$14),Setup!$C$39:$C$50),WORKDAY(O258,-(Setup!$C$13+Setup!$G$33),Setup!$C$39:$C$50))+(253*100+14)/10000000)))</f>
        <v/>
      </c>
      <c r="AF258" t="str">
        <f>IF(P258="","",IF(P258&lt;Setup!$C$5-Setup!$C$6,"",IF(IF(ISNUMBER(Roster!$D258),Setup!$C$34&lt;=Roster!$D258,FALSE),"",IF(OR(IF(Setup!$C$15&lt;=Setup!$C$16,AND(MONTH(P258)&gt;=Setup!$C$15,MONTH(P258)&lt;=Setup!$C$16),OR(MONTH(P258)&gt;=Setup!$C$15,MONTH(P258)&lt;=Setup!$C$16)),IF(Setup!$C$15&lt;=Setup!$C$16,AND(MONTH(WORKDAY(P258,-(Setup!$C$13+Setup!$G$34),Setup!$C$39:$C$50))&gt;=Setup!$C$15,MONTH(WORKDAY(P258,-(Setup!$C$13+Setup!$G$34),Setup!$C$39:$C$50))&lt;=Setup!$C$16),OR(MONTH(WORKDAY(P258,-(Setup!$C$13+Setup!$G$34),Setup!$C$39:$C$50))&gt;=Setup!$C$15,MONTH(WORKDAY(P258,-(Setup!$C$13+Setup!$G$34),Setup!$C$39:$C$50))&lt;=Setup!$C$16))),WORKDAY(P258,-(Setup!$C$13+Setup!$G$34+Setup!$C$14),Setup!$C$39:$C$50),WORKDAY(P258,-(Setup!$C$13+Setup!$G$34),Setup!$C$39:$C$50))+(253*100+15)/10000000)))</f>
        <v/>
      </c>
      <c r="AH258" t="str">
        <f t="shared" si="25"/>
        <v/>
      </c>
      <c r="AI258" t="str">
        <f t="shared" si="26"/>
        <v/>
      </c>
      <c r="AK258" t="str">
        <f ca="1">IF(253&gt;$AK$2,"",SMALL($R$6:$AF$505,253))</f>
        <v/>
      </c>
      <c r="AL258" t="str">
        <f t="shared" ca="1" si="27"/>
        <v/>
      </c>
      <c r="AM258" t="str">
        <f t="shared" ca="1" si="28"/>
        <v/>
      </c>
      <c r="AN258" t="str">
        <f t="shared" ca="1" si="29"/>
        <v/>
      </c>
      <c r="AP258" t="str">
        <f>IF(ISNUMBER(Roster!$B258),MAX(1,YEAR(Setup!$C$5)-YEAR(Roster!$B258)+IF(EDATE(Roster!$B258,12*(YEAR(Setup!$C$5)-YEAR(Roster!$B258)))&lt;Setup!$C$5,1,0)),"")</f>
        <v/>
      </c>
      <c r="AQ258" s="32" t="str">
        <f>IF(AP258="","",EDATE(Roster!$B258,12*AP258))</f>
        <v/>
      </c>
      <c r="AR258" t="str">
        <f>IF(AQ258="","",IF(AQ258&lt;DATE(YEAR(Setup!$C$5)+1,MONTH(Setup!$C$5),DAY(Setup!$C$5)),AQ258+253/1000,""))</f>
        <v/>
      </c>
      <c r="AS258" t="str">
        <f t="shared" si="30"/>
        <v/>
      </c>
      <c r="AT258" t="str">
        <f>IF(AS258="","",IF(ISNUMBER(Roster!$D258),Roster!$D258&gt;=AP258,FALSE))</f>
        <v/>
      </c>
      <c r="AU258" t="str">
        <f t="shared" si="31"/>
        <v/>
      </c>
      <c r="AV258" t="str">
        <f ca="1">IF(253&gt;$AV$2,"",SMALL($AR$6:$AR$505,253))</f>
        <v/>
      </c>
      <c r="AW258" t="str">
        <f t="shared" ca="1" si="32"/>
        <v/>
      </c>
    </row>
    <row r="259" spans="2:49" x14ac:dyDescent="0.2">
      <c r="B259" s="32" t="str">
        <f>IF(AND(ISNUMBER(Roster!$B259),Setup!$B$20="Yes",ISNUMBER(Setup!$C$20)),EDATE(Roster!$B259,12*Setup!$C$20),"")</f>
        <v/>
      </c>
      <c r="C259" s="32" t="str">
        <f>IF(AND(ISNUMBER(Roster!$B259),Setup!$B$21="Yes",ISNUMBER(Setup!$C$21)),EDATE(Roster!$B259,12*Setup!$C$21),"")</f>
        <v/>
      </c>
      <c r="D259" s="32" t="str">
        <f>IF(AND(ISNUMBER(Roster!$B259),Setup!$B$22="Yes",ISNUMBER(Setup!$C$22)),EDATE(Roster!$B259,12*Setup!$C$22),"")</f>
        <v/>
      </c>
      <c r="E259" s="32" t="str">
        <f>IF(AND(ISNUMBER(Roster!$B259),Setup!$B$23="Yes",ISNUMBER(Setup!$C$23)),EDATE(Roster!$B259,12*Setup!$C$23),"")</f>
        <v/>
      </c>
      <c r="F259" s="32" t="str">
        <f>IF(AND(ISNUMBER(Roster!$B259),Setup!$B$24="Yes",ISNUMBER(Setup!$C$24)),EDATE(Roster!$B259,12*Setup!$C$24),"")</f>
        <v/>
      </c>
      <c r="G259" s="32" t="str">
        <f>IF(AND(ISNUMBER(Roster!$B259),Setup!$B$25="Yes",ISNUMBER(Setup!$C$25)),EDATE(Roster!$B259,12*Setup!$C$25),"")</f>
        <v/>
      </c>
      <c r="H259" s="32" t="str">
        <f>IF(AND(ISNUMBER(Roster!$B259),Setup!$B$26="Yes",ISNUMBER(Setup!$C$26)),EDATE(Roster!$B259,12*Setup!$C$26),"")</f>
        <v/>
      </c>
      <c r="I259" s="32" t="str">
        <f>IF(AND(ISNUMBER(Roster!$B259),Setup!$B$27="Yes",ISNUMBER(Setup!$C$27)),EDATE(Roster!$B259,12*Setup!$C$27),"")</f>
        <v/>
      </c>
      <c r="J259" s="32" t="str">
        <f>IF(AND(ISNUMBER(Roster!$B259),Setup!$B$28="Yes",ISNUMBER(Setup!$C$28)),EDATE(Roster!$B259,12*Setup!$C$28),"")</f>
        <v/>
      </c>
      <c r="K259" s="32" t="str">
        <f>IF(AND(ISNUMBER(Roster!$B259),Setup!$B$29="Yes",ISNUMBER(Setup!$C$29)),EDATE(Roster!$B259,12*Setup!$C$29),"")</f>
        <v/>
      </c>
      <c r="L259" s="32" t="str">
        <f>IF(AND(ISNUMBER(Roster!$B259),Setup!$B$30="Yes",ISNUMBER(Setup!$C$30)),EDATE(Roster!$B259,12*Setup!$C$30),"")</f>
        <v/>
      </c>
      <c r="M259" s="32" t="str">
        <f>IF(AND(ISNUMBER(Roster!$B259),Setup!$B$31="Yes",ISNUMBER(Setup!$C$31)),EDATE(Roster!$B259,12*Setup!$C$31),"")</f>
        <v/>
      </c>
      <c r="N259" s="32" t="str">
        <f>IF(AND(ISNUMBER(Roster!$B259),Setup!$B$32="Yes",ISNUMBER(Setup!$C$32)),EDATE(Roster!$B259,12*Setup!$C$32),"")</f>
        <v/>
      </c>
      <c r="O259" s="32" t="str">
        <f>IF(AND(ISNUMBER(Roster!$B259),Setup!$B$33="Yes",ISNUMBER(Setup!$C$33)),EDATE(Roster!$B259,12*Setup!$C$33),"")</f>
        <v/>
      </c>
      <c r="P259" s="32" t="str">
        <f>IF(AND(ISNUMBER(Roster!$B259),Setup!$B$34="Yes",ISNUMBER(Setup!$C$34)),EDATE(Roster!$B259,12*Setup!$C$34),"")</f>
        <v/>
      </c>
      <c r="R259" t="str">
        <f>IF(B259="","",IF(B259&lt;Setup!$C$5-Setup!$C$6,"",IF(IF(ISNUMBER(Roster!$D259),Setup!$C$20&lt;=Roster!$D259,FALSE),"",IF(OR(IF(Setup!$C$15&lt;=Setup!$C$16,AND(MONTH(B259)&gt;=Setup!$C$15,MONTH(B259)&lt;=Setup!$C$16),OR(MONTH(B259)&gt;=Setup!$C$15,MONTH(B259)&lt;=Setup!$C$16)),IF(Setup!$C$15&lt;=Setup!$C$16,AND(MONTH(WORKDAY(B259,-(Setup!$C$13+Setup!$G$20),Setup!$C$39:$C$50))&gt;=Setup!$C$15,MONTH(WORKDAY(B259,-(Setup!$C$13+Setup!$G$20),Setup!$C$39:$C$50))&lt;=Setup!$C$16),OR(MONTH(WORKDAY(B259,-(Setup!$C$13+Setup!$G$20),Setup!$C$39:$C$50))&gt;=Setup!$C$15,MONTH(WORKDAY(B259,-(Setup!$C$13+Setup!$G$20),Setup!$C$39:$C$50))&lt;=Setup!$C$16))),WORKDAY(B259,-(Setup!$C$13+Setup!$G$20+Setup!$C$14),Setup!$C$39:$C$50),WORKDAY(B259,-(Setup!$C$13+Setup!$G$20),Setup!$C$39:$C$50))+(254*100+1)/10000000)))</f>
        <v/>
      </c>
      <c r="S259" t="str">
        <f>IF(C259="","",IF(C259&lt;Setup!$C$5-Setup!$C$6,"",IF(IF(ISNUMBER(Roster!$D259),Setup!$C$21&lt;=Roster!$D259,FALSE),"",IF(OR(IF(Setup!$C$15&lt;=Setup!$C$16,AND(MONTH(C259)&gt;=Setup!$C$15,MONTH(C259)&lt;=Setup!$C$16),OR(MONTH(C259)&gt;=Setup!$C$15,MONTH(C259)&lt;=Setup!$C$16)),IF(Setup!$C$15&lt;=Setup!$C$16,AND(MONTH(WORKDAY(C259,-(Setup!$C$13+Setup!$G$21),Setup!$C$39:$C$50))&gt;=Setup!$C$15,MONTH(WORKDAY(C259,-(Setup!$C$13+Setup!$G$21),Setup!$C$39:$C$50))&lt;=Setup!$C$16),OR(MONTH(WORKDAY(C259,-(Setup!$C$13+Setup!$G$21),Setup!$C$39:$C$50))&gt;=Setup!$C$15,MONTH(WORKDAY(C259,-(Setup!$C$13+Setup!$G$21),Setup!$C$39:$C$50))&lt;=Setup!$C$16))),WORKDAY(C259,-(Setup!$C$13+Setup!$G$21+Setup!$C$14),Setup!$C$39:$C$50),WORKDAY(C259,-(Setup!$C$13+Setup!$G$21),Setup!$C$39:$C$50))+(254*100+2)/10000000)))</f>
        <v/>
      </c>
      <c r="T259" t="str">
        <f>IF(D259="","",IF(D259&lt;Setup!$C$5-Setup!$C$6,"",IF(IF(ISNUMBER(Roster!$D259),Setup!$C$22&lt;=Roster!$D259,FALSE),"",IF(OR(IF(Setup!$C$15&lt;=Setup!$C$16,AND(MONTH(D259)&gt;=Setup!$C$15,MONTH(D259)&lt;=Setup!$C$16),OR(MONTH(D259)&gt;=Setup!$C$15,MONTH(D259)&lt;=Setup!$C$16)),IF(Setup!$C$15&lt;=Setup!$C$16,AND(MONTH(WORKDAY(D259,-(Setup!$C$13+Setup!$G$22),Setup!$C$39:$C$50))&gt;=Setup!$C$15,MONTH(WORKDAY(D259,-(Setup!$C$13+Setup!$G$22),Setup!$C$39:$C$50))&lt;=Setup!$C$16),OR(MONTH(WORKDAY(D259,-(Setup!$C$13+Setup!$G$22),Setup!$C$39:$C$50))&gt;=Setup!$C$15,MONTH(WORKDAY(D259,-(Setup!$C$13+Setup!$G$22),Setup!$C$39:$C$50))&lt;=Setup!$C$16))),WORKDAY(D259,-(Setup!$C$13+Setup!$G$22+Setup!$C$14),Setup!$C$39:$C$50),WORKDAY(D259,-(Setup!$C$13+Setup!$G$22),Setup!$C$39:$C$50))+(254*100+3)/10000000)))</f>
        <v/>
      </c>
      <c r="U259" t="str">
        <f>IF(E259="","",IF(E259&lt;Setup!$C$5-Setup!$C$6,"",IF(IF(ISNUMBER(Roster!$D259),Setup!$C$23&lt;=Roster!$D259,FALSE),"",IF(OR(IF(Setup!$C$15&lt;=Setup!$C$16,AND(MONTH(E259)&gt;=Setup!$C$15,MONTH(E259)&lt;=Setup!$C$16),OR(MONTH(E259)&gt;=Setup!$C$15,MONTH(E259)&lt;=Setup!$C$16)),IF(Setup!$C$15&lt;=Setup!$C$16,AND(MONTH(WORKDAY(E259,-(Setup!$C$13+Setup!$G$23),Setup!$C$39:$C$50))&gt;=Setup!$C$15,MONTH(WORKDAY(E259,-(Setup!$C$13+Setup!$G$23),Setup!$C$39:$C$50))&lt;=Setup!$C$16),OR(MONTH(WORKDAY(E259,-(Setup!$C$13+Setup!$G$23),Setup!$C$39:$C$50))&gt;=Setup!$C$15,MONTH(WORKDAY(E259,-(Setup!$C$13+Setup!$G$23),Setup!$C$39:$C$50))&lt;=Setup!$C$16))),WORKDAY(E259,-(Setup!$C$13+Setup!$G$23+Setup!$C$14),Setup!$C$39:$C$50),WORKDAY(E259,-(Setup!$C$13+Setup!$G$23),Setup!$C$39:$C$50))+(254*100+4)/10000000)))</f>
        <v/>
      </c>
      <c r="V259" t="str">
        <f>IF(F259="","",IF(F259&lt;Setup!$C$5-Setup!$C$6,"",IF(IF(ISNUMBER(Roster!$D259),Setup!$C$24&lt;=Roster!$D259,FALSE),"",IF(OR(IF(Setup!$C$15&lt;=Setup!$C$16,AND(MONTH(F259)&gt;=Setup!$C$15,MONTH(F259)&lt;=Setup!$C$16),OR(MONTH(F259)&gt;=Setup!$C$15,MONTH(F259)&lt;=Setup!$C$16)),IF(Setup!$C$15&lt;=Setup!$C$16,AND(MONTH(WORKDAY(F259,-(Setup!$C$13+Setup!$G$24),Setup!$C$39:$C$50))&gt;=Setup!$C$15,MONTH(WORKDAY(F259,-(Setup!$C$13+Setup!$G$24),Setup!$C$39:$C$50))&lt;=Setup!$C$16),OR(MONTH(WORKDAY(F259,-(Setup!$C$13+Setup!$G$24),Setup!$C$39:$C$50))&gt;=Setup!$C$15,MONTH(WORKDAY(F259,-(Setup!$C$13+Setup!$G$24),Setup!$C$39:$C$50))&lt;=Setup!$C$16))),WORKDAY(F259,-(Setup!$C$13+Setup!$G$24+Setup!$C$14),Setup!$C$39:$C$50),WORKDAY(F259,-(Setup!$C$13+Setup!$G$24),Setup!$C$39:$C$50))+(254*100+5)/10000000)))</f>
        <v/>
      </c>
      <c r="W259" t="str">
        <f>IF(G259="","",IF(G259&lt;Setup!$C$5-Setup!$C$6,"",IF(IF(ISNUMBER(Roster!$D259),Setup!$C$25&lt;=Roster!$D259,FALSE),"",IF(OR(IF(Setup!$C$15&lt;=Setup!$C$16,AND(MONTH(G259)&gt;=Setup!$C$15,MONTH(G259)&lt;=Setup!$C$16),OR(MONTH(G259)&gt;=Setup!$C$15,MONTH(G259)&lt;=Setup!$C$16)),IF(Setup!$C$15&lt;=Setup!$C$16,AND(MONTH(WORKDAY(G259,-(Setup!$C$13+Setup!$G$25),Setup!$C$39:$C$50))&gt;=Setup!$C$15,MONTH(WORKDAY(G259,-(Setup!$C$13+Setup!$G$25),Setup!$C$39:$C$50))&lt;=Setup!$C$16),OR(MONTH(WORKDAY(G259,-(Setup!$C$13+Setup!$G$25),Setup!$C$39:$C$50))&gt;=Setup!$C$15,MONTH(WORKDAY(G259,-(Setup!$C$13+Setup!$G$25),Setup!$C$39:$C$50))&lt;=Setup!$C$16))),WORKDAY(G259,-(Setup!$C$13+Setup!$G$25+Setup!$C$14),Setup!$C$39:$C$50),WORKDAY(G259,-(Setup!$C$13+Setup!$G$25),Setup!$C$39:$C$50))+(254*100+6)/10000000)))</f>
        <v/>
      </c>
      <c r="X259" t="str">
        <f>IF(H259="","",IF(H259&lt;Setup!$C$5-Setup!$C$6,"",IF(IF(ISNUMBER(Roster!$D259),Setup!$C$26&lt;=Roster!$D259,FALSE),"",IF(OR(IF(Setup!$C$15&lt;=Setup!$C$16,AND(MONTH(H259)&gt;=Setup!$C$15,MONTH(H259)&lt;=Setup!$C$16),OR(MONTH(H259)&gt;=Setup!$C$15,MONTH(H259)&lt;=Setup!$C$16)),IF(Setup!$C$15&lt;=Setup!$C$16,AND(MONTH(WORKDAY(H259,-(Setup!$C$13+Setup!$G$26),Setup!$C$39:$C$50))&gt;=Setup!$C$15,MONTH(WORKDAY(H259,-(Setup!$C$13+Setup!$G$26),Setup!$C$39:$C$50))&lt;=Setup!$C$16),OR(MONTH(WORKDAY(H259,-(Setup!$C$13+Setup!$G$26),Setup!$C$39:$C$50))&gt;=Setup!$C$15,MONTH(WORKDAY(H259,-(Setup!$C$13+Setup!$G$26),Setup!$C$39:$C$50))&lt;=Setup!$C$16))),WORKDAY(H259,-(Setup!$C$13+Setup!$G$26+Setup!$C$14),Setup!$C$39:$C$50),WORKDAY(H259,-(Setup!$C$13+Setup!$G$26),Setup!$C$39:$C$50))+(254*100+7)/10000000)))</f>
        <v/>
      </c>
      <c r="Y259" t="str">
        <f>IF(I259="","",IF(I259&lt;Setup!$C$5-Setup!$C$6,"",IF(IF(ISNUMBER(Roster!$D259),Setup!$C$27&lt;=Roster!$D259,FALSE),"",IF(OR(IF(Setup!$C$15&lt;=Setup!$C$16,AND(MONTH(I259)&gt;=Setup!$C$15,MONTH(I259)&lt;=Setup!$C$16),OR(MONTH(I259)&gt;=Setup!$C$15,MONTH(I259)&lt;=Setup!$C$16)),IF(Setup!$C$15&lt;=Setup!$C$16,AND(MONTH(WORKDAY(I259,-(Setup!$C$13+Setup!$G$27),Setup!$C$39:$C$50))&gt;=Setup!$C$15,MONTH(WORKDAY(I259,-(Setup!$C$13+Setup!$G$27),Setup!$C$39:$C$50))&lt;=Setup!$C$16),OR(MONTH(WORKDAY(I259,-(Setup!$C$13+Setup!$G$27),Setup!$C$39:$C$50))&gt;=Setup!$C$15,MONTH(WORKDAY(I259,-(Setup!$C$13+Setup!$G$27),Setup!$C$39:$C$50))&lt;=Setup!$C$16))),WORKDAY(I259,-(Setup!$C$13+Setup!$G$27+Setup!$C$14),Setup!$C$39:$C$50),WORKDAY(I259,-(Setup!$C$13+Setup!$G$27),Setup!$C$39:$C$50))+(254*100+8)/10000000)))</f>
        <v/>
      </c>
      <c r="Z259" t="str">
        <f>IF(J259="","",IF(J259&lt;Setup!$C$5-Setup!$C$6,"",IF(IF(ISNUMBER(Roster!$D259),Setup!$C$28&lt;=Roster!$D259,FALSE),"",IF(OR(IF(Setup!$C$15&lt;=Setup!$C$16,AND(MONTH(J259)&gt;=Setup!$C$15,MONTH(J259)&lt;=Setup!$C$16),OR(MONTH(J259)&gt;=Setup!$C$15,MONTH(J259)&lt;=Setup!$C$16)),IF(Setup!$C$15&lt;=Setup!$C$16,AND(MONTH(WORKDAY(J259,-(Setup!$C$13+Setup!$G$28),Setup!$C$39:$C$50))&gt;=Setup!$C$15,MONTH(WORKDAY(J259,-(Setup!$C$13+Setup!$G$28),Setup!$C$39:$C$50))&lt;=Setup!$C$16),OR(MONTH(WORKDAY(J259,-(Setup!$C$13+Setup!$G$28),Setup!$C$39:$C$50))&gt;=Setup!$C$15,MONTH(WORKDAY(J259,-(Setup!$C$13+Setup!$G$28),Setup!$C$39:$C$50))&lt;=Setup!$C$16))),WORKDAY(J259,-(Setup!$C$13+Setup!$G$28+Setup!$C$14),Setup!$C$39:$C$50),WORKDAY(J259,-(Setup!$C$13+Setup!$G$28),Setup!$C$39:$C$50))+(254*100+9)/10000000)))</f>
        <v/>
      </c>
      <c r="AA259" t="str">
        <f>IF(K259="","",IF(K259&lt;Setup!$C$5-Setup!$C$6,"",IF(IF(ISNUMBER(Roster!$D259),Setup!$C$29&lt;=Roster!$D259,FALSE),"",IF(OR(IF(Setup!$C$15&lt;=Setup!$C$16,AND(MONTH(K259)&gt;=Setup!$C$15,MONTH(K259)&lt;=Setup!$C$16),OR(MONTH(K259)&gt;=Setup!$C$15,MONTH(K259)&lt;=Setup!$C$16)),IF(Setup!$C$15&lt;=Setup!$C$16,AND(MONTH(WORKDAY(K259,-(Setup!$C$13+Setup!$G$29),Setup!$C$39:$C$50))&gt;=Setup!$C$15,MONTH(WORKDAY(K259,-(Setup!$C$13+Setup!$G$29),Setup!$C$39:$C$50))&lt;=Setup!$C$16),OR(MONTH(WORKDAY(K259,-(Setup!$C$13+Setup!$G$29),Setup!$C$39:$C$50))&gt;=Setup!$C$15,MONTH(WORKDAY(K259,-(Setup!$C$13+Setup!$G$29),Setup!$C$39:$C$50))&lt;=Setup!$C$16))),WORKDAY(K259,-(Setup!$C$13+Setup!$G$29+Setup!$C$14),Setup!$C$39:$C$50),WORKDAY(K259,-(Setup!$C$13+Setup!$G$29),Setup!$C$39:$C$50))+(254*100+10)/10000000)))</f>
        <v/>
      </c>
      <c r="AB259" t="str">
        <f>IF(L259="","",IF(L259&lt;Setup!$C$5-Setup!$C$6,"",IF(IF(ISNUMBER(Roster!$D259),Setup!$C$30&lt;=Roster!$D259,FALSE),"",IF(OR(IF(Setup!$C$15&lt;=Setup!$C$16,AND(MONTH(L259)&gt;=Setup!$C$15,MONTH(L259)&lt;=Setup!$C$16),OR(MONTH(L259)&gt;=Setup!$C$15,MONTH(L259)&lt;=Setup!$C$16)),IF(Setup!$C$15&lt;=Setup!$C$16,AND(MONTH(WORKDAY(L259,-(Setup!$C$13+Setup!$G$30),Setup!$C$39:$C$50))&gt;=Setup!$C$15,MONTH(WORKDAY(L259,-(Setup!$C$13+Setup!$G$30),Setup!$C$39:$C$50))&lt;=Setup!$C$16),OR(MONTH(WORKDAY(L259,-(Setup!$C$13+Setup!$G$30),Setup!$C$39:$C$50))&gt;=Setup!$C$15,MONTH(WORKDAY(L259,-(Setup!$C$13+Setup!$G$30),Setup!$C$39:$C$50))&lt;=Setup!$C$16))),WORKDAY(L259,-(Setup!$C$13+Setup!$G$30+Setup!$C$14),Setup!$C$39:$C$50),WORKDAY(L259,-(Setup!$C$13+Setup!$G$30),Setup!$C$39:$C$50))+(254*100+11)/10000000)))</f>
        <v/>
      </c>
      <c r="AC259" t="str">
        <f>IF(M259="","",IF(M259&lt;Setup!$C$5-Setup!$C$6,"",IF(IF(ISNUMBER(Roster!$D259),Setup!$C$31&lt;=Roster!$D259,FALSE),"",IF(OR(IF(Setup!$C$15&lt;=Setup!$C$16,AND(MONTH(M259)&gt;=Setup!$C$15,MONTH(M259)&lt;=Setup!$C$16),OR(MONTH(M259)&gt;=Setup!$C$15,MONTH(M259)&lt;=Setup!$C$16)),IF(Setup!$C$15&lt;=Setup!$C$16,AND(MONTH(WORKDAY(M259,-(Setup!$C$13+Setup!$G$31),Setup!$C$39:$C$50))&gt;=Setup!$C$15,MONTH(WORKDAY(M259,-(Setup!$C$13+Setup!$G$31),Setup!$C$39:$C$50))&lt;=Setup!$C$16),OR(MONTH(WORKDAY(M259,-(Setup!$C$13+Setup!$G$31),Setup!$C$39:$C$50))&gt;=Setup!$C$15,MONTH(WORKDAY(M259,-(Setup!$C$13+Setup!$G$31),Setup!$C$39:$C$50))&lt;=Setup!$C$16))),WORKDAY(M259,-(Setup!$C$13+Setup!$G$31+Setup!$C$14),Setup!$C$39:$C$50),WORKDAY(M259,-(Setup!$C$13+Setup!$G$31),Setup!$C$39:$C$50))+(254*100+12)/10000000)))</f>
        <v/>
      </c>
      <c r="AD259" t="str">
        <f>IF(N259="","",IF(N259&lt;Setup!$C$5-Setup!$C$6,"",IF(IF(ISNUMBER(Roster!$D259),Setup!$C$32&lt;=Roster!$D259,FALSE),"",IF(OR(IF(Setup!$C$15&lt;=Setup!$C$16,AND(MONTH(N259)&gt;=Setup!$C$15,MONTH(N259)&lt;=Setup!$C$16),OR(MONTH(N259)&gt;=Setup!$C$15,MONTH(N259)&lt;=Setup!$C$16)),IF(Setup!$C$15&lt;=Setup!$C$16,AND(MONTH(WORKDAY(N259,-(Setup!$C$13+Setup!$G$32),Setup!$C$39:$C$50))&gt;=Setup!$C$15,MONTH(WORKDAY(N259,-(Setup!$C$13+Setup!$G$32),Setup!$C$39:$C$50))&lt;=Setup!$C$16),OR(MONTH(WORKDAY(N259,-(Setup!$C$13+Setup!$G$32),Setup!$C$39:$C$50))&gt;=Setup!$C$15,MONTH(WORKDAY(N259,-(Setup!$C$13+Setup!$G$32),Setup!$C$39:$C$50))&lt;=Setup!$C$16))),WORKDAY(N259,-(Setup!$C$13+Setup!$G$32+Setup!$C$14),Setup!$C$39:$C$50),WORKDAY(N259,-(Setup!$C$13+Setup!$G$32),Setup!$C$39:$C$50))+(254*100+13)/10000000)))</f>
        <v/>
      </c>
      <c r="AE259" t="str">
        <f>IF(O259="","",IF(O259&lt;Setup!$C$5-Setup!$C$6,"",IF(IF(ISNUMBER(Roster!$D259),Setup!$C$33&lt;=Roster!$D259,FALSE),"",IF(OR(IF(Setup!$C$15&lt;=Setup!$C$16,AND(MONTH(O259)&gt;=Setup!$C$15,MONTH(O259)&lt;=Setup!$C$16),OR(MONTH(O259)&gt;=Setup!$C$15,MONTH(O259)&lt;=Setup!$C$16)),IF(Setup!$C$15&lt;=Setup!$C$16,AND(MONTH(WORKDAY(O259,-(Setup!$C$13+Setup!$G$33),Setup!$C$39:$C$50))&gt;=Setup!$C$15,MONTH(WORKDAY(O259,-(Setup!$C$13+Setup!$G$33),Setup!$C$39:$C$50))&lt;=Setup!$C$16),OR(MONTH(WORKDAY(O259,-(Setup!$C$13+Setup!$G$33),Setup!$C$39:$C$50))&gt;=Setup!$C$15,MONTH(WORKDAY(O259,-(Setup!$C$13+Setup!$G$33),Setup!$C$39:$C$50))&lt;=Setup!$C$16))),WORKDAY(O259,-(Setup!$C$13+Setup!$G$33+Setup!$C$14),Setup!$C$39:$C$50),WORKDAY(O259,-(Setup!$C$13+Setup!$G$33),Setup!$C$39:$C$50))+(254*100+14)/10000000)))</f>
        <v/>
      </c>
      <c r="AF259" t="str">
        <f>IF(P259="","",IF(P259&lt;Setup!$C$5-Setup!$C$6,"",IF(IF(ISNUMBER(Roster!$D259),Setup!$C$34&lt;=Roster!$D259,FALSE),"",IF(OR(IF(Setup!$C$15&lt;=Setup!$C$16,AND(MONTH(P259)&gt;=Setup!$C$15,MONTH(P259)&lt;=Setup!$C$16),OR(MONTH(P259)&gt;=Setup!$C$15,MONTH(P259)&lt;=Setup!$C$16)),IF(Setup!$C$15&lt;=Setup!$C$16,AND(MONTH(WORKDAY(P259,-(Setup!$C$13+Setup!$G$34),Setup!$C$39:$C$50))&gt;=Setup!$C$15,MONTH(WORKDAY(P259,-(Setup!$C$13+Setup!$G$34),Setup!$C$39:$C$50))&lt;=Setup!$C$16),OR(MONTH(WORKDAY(P259,-(Setup!$C$13+Setup!$G$34),Setup!$C$39:$C$50))&gt;=Setup!$C$15,MONTH(WORKDAY(P259,-(Setup!$C$13+Setup!$G$34),Setup!$C$39:$C$50))&lt;=Setup!$C$16))),WORKDAY(P259,-(Setup!$C$13+Setup!$G$34+Setup!$C$14),Setup!$C$39:$C$50),WORKDAY(P259,-(Setup!$C$13+Setup!$G$34),Setup!$C$39:$C$50))+(254*100+15)/10000000)))</f>
        <v/>
      </c>
      <c r="AH259" t="str">
        <f t="shared" si="25"/>
        <v/>
      </c>
      <c r="AI259" t="str">
        <f t="shared" si="26"/>
        <v/>
      </c>
      <c r="AK259" t="str">
        <f ca="1">IF(254&gt;$AK$2,"",SMALL($R$6:$AF$505,254))</f>
        <v/>
      </c>
      <c r="AL259" t="str">
        <f t="shared" ca="1" si="27"/>
        <v/>
      </c>
      <c r="AM259" t="str">
        <f t="shared" ca="1" si="28"/>
        <v/>
      </c>
      <c r="AN259" t="str">
        <f t="shared" ca="1" si="29"/>
        <v/>
      </c>
      <c r="AP259" t="str">
        <f>IF(ISNUMBER(Roster!$B259),MAX(1,YEAR(Setup!$C$5)-YEAR(Roster!$B259)+IF(EDATE(Roster!$B259,12*(YEAR(Setup!$C$5)-YEAR(Roster!$B259)))&lt;Setup!$C$5,1,0)),"")</f>
        <v/>
      </c>
      <c r="AQ259" s="32" t="str">
        <f>IF(AP259="","",EDATE(Roster!$B259,12*AP259))</f>
        <v/>
      </c>
      <c r="AR259" t="str">
        <f>IF(AQ259="","",IF(AQ259&lt;DATE(YEAR(Setup!$C$5)+1,MONTH(Setup!$C$5),DAY(Setup!$C$5)),AQ259+254/1000,""))</f>
        <v/>
      </c>
      <c r="AS259" t="str">
        <f t="shared" si="30"/>
        <v/>
      </c>
      <c r="AT259" t="str">
        <f>IF(AS259="","",IF(ISNUMBER(Roster!$D259),Roster!$D259&gt;=AP259,FALSE))</f>
        <v/>
      </c>
      <c r="AU259" t="str">
        <f t="shared" si="31"/>
        <v/>
      </c>
      <c r="AV259" t="str">
        <f ca="1">IF(254&gt;$AV$2,"",SMALL($AR$6:$AR$505,254))</f>
        <v/>
      </c>
      <c r="AW259" t="str">
        <f t="shared" ca="1" si="32"/>
        <v/>
      </c>
    </row>
    <row r="260" spans="2:49" x14ac:dyDescent="0.2">
      <c r="B260" s="32" t="str">
        <f>IF(AND(ISNUMBER(Roster!$B260),Setup!$B$20="Yes",ISNUMBER(Setup!$C$20)),EDATE(Roster!$B260,12*Setup!$C$20),"")</f>
        <v/>
      </c>
      <c r="C260" s="32" t="str">
        <f>IF(AND(ISNUMBER(Roster!$B260),Setup!$B$21="Yes",ISNUMBER(Setup!$C$21)),EDATE(Roster!$B260,12*Setup!$C$21),"")</f>
        <v/>
      </c>
      <c r="D260" s="32" t="str">
        <f>IF(AND(ISNUMBER(Roster!$B260),Setup!$B$22="Yes",ISNUMBER(Setup!$C$22)),EDATE(Roster!$B260,12*Setup!$C$22),"")</f>
        <v/>
      </c>
      <c r="E260" s="32" t="str">
        <f>IF(AND(ISNUMBER(Roster!$B260),Setup!$B$23="Yes",ISNUMBER(Setup!$C$23)),EDATE(Roster!$B260,12*Setup!$C$23),"")</f>
        <v/>
      </c>
      <c r="F260" s="32" t="str">
        <f>IF(AND(ISNUMBER(Roster!$B260),Setup!$B$24="Yes",ISNUMBER(Setup!$C$24)),EDATE(Roster!$B260,12*Setup!$C$24),"")</f>
        <v/>
      </c>
      <c r="G260" s="32" t="str">
        <f>IF(AND(ISNUMBER(Roster!$B260),Setup!$B$25="Yes",ISNUMBER(Setup!$C$25)),EDATE(Roster!$B260,12*Setup!$C$25),"")</f>
        <v/>
      </c>
      <c r="H260" s="32" t="str">
        <f>IF(AND(ISNUMBER(Roster!$B260),Setup!$B$26="Yes",ISNUMBER(Setup!$C$26)),EDATE(Roster!$B260,12*Setup!$C$26),"")</f>
        <v/>
      </c>
      <c r="I260" s="32" t="str">
        <f>IF(AND(ISNUMBER(Roster!$B260),Setup!$B$27="Yes",ISNUMBER(Setup!$C$27)),EDATE(Roster!$B260,12*Setup!$C$27),"")</f>
        <v/>
      </c>
      <c r="J260" s="32" t="str">
        <f>IF(AND(ISNUMBER(Roster!$B260),Setup!$B$28="Yes",ISNUMBER(Setup!$C$28)),EDATE(Roster!$B260,12*Setup!$C$28),"")</f>
        <v/>
      </c>
      <c r="K260" s="32" t="str">
        <f>IF(AND(ISNUMBER(Roster!$B260),Setup!$B$29="Yes",ISNUMBER(Setup!$C$29)),EDATE(Roster!$B260,12*Setup!$C$29),"")</f>
        <v/>
      </c>
      <c r="L260" s="32" t="str">
        <f>IF(AND(ISNUMBER(Roster!$B260),Setup!$B$30="Yes",ISNUMBER(Setup!$C$30)),EDATE(Roster!$B260,12*Setup!$C$30),"")</f>
        <v/>
      </c>
      <c r="M260" s="32" t="str">
        <f>IF(AND(ISNUMBER(Roster!$B260),Setup!$B$31="Yes",ISNUMBER(Setup!$C$31)),EDATE(Roster!$B260,12*Setup!$C$31),"")</f>
        <v/>
      </c>
      <c r="N260" s="32" t="str">
        <f>IF(AND(ISNUMBER(Roster!$B260),Setup!$B$32="Yes",ISNUMBER(Setup!$C$32)),EDATE(Roster!$B260,12*Setup!$C$32),"")</f>
        <v/>
      </c>
      <c r="O260" s="32" t="str">
        <f>IF(AND(ISNUMBER(Roster!$B260),Setup!$B$33="Yes",ISNUMBER(Setup!$C$33)),EDATE(Roster!$B260,12*Setup!$C$33),"")</f>
        <v/>
      </c>
      <c r="P260" s="32" t="str">
        <f>IF(AND(ISNUMBER(Roster!$B260),Setup!$B$34="Yes",ISNUMBER(Setup!$C$34)),EDATE(Roster!$B260,12*Setup!$C$34),"")</f>
        <v/>
      </c>
      <c r="R260" t="str">
        <f>IF(B260="","",IF(B260&lt;Setup!$C$5-Setup!$C$6,"",IF(IF(ISNUMBER(Roster!$D260),Setup!$C$20&lt;=Roster!$D260,FALSE),"",IF(OR(IF(Setup!$C$15&lt;=Setup!$C$16,AND(MONTH(B260)&gt;=Setup!$C$15,MONTH(B260)&lt;=Setup!$C$16),OR(MONTH(B260)&gt;=Setup!$C$15,MONTH(B260)&lt;=Setup!$C$16)),IF(Setup!$C$15&lt;=Setup!$C$16,AND(MONTH(WORKDAY(B260,-(Setup!$C$13+Setup!$G$20),Setup!$C$39:$C$50))&gt;=Setup!$C$15,MONTH(WORKDAY(B260,-(Setup!$C$13+Setup!$G$20),Setup!$C$39:$C$50))&lt;=Setup!$C$16),OR(MONTH(WORKDAY(B260,-(Setup!$C$13+Setup!$G$20),Setup!$C$39:$C$50))&gt;=Setup!$C$15,MONTH(WORKDAY(B260,-(Setup!$C$13+Setup!$G$20),Setup!$C$39:$C$50))&lt;=Setup!$C$16))),WORKDAY(B260,-(Setup!$C$13+Setup!$G$20+Setup!$C$14),Setup!$C$39:$C$50),WORKDAY(B260,-(Setup!$C$13+Setup!$G$20),Setup!$C$39:$C$50))+(255*100+1)/10000000)))</f>
        <v/>
      </c>
      <c r="S260" t="str">
        <f>IF(C260="","",IF(C260&lt;Setup!$C$5-Setup!$C$6,"",IF(IF(ISNUMBER(Roster!$D260),Setup!$C$21&lt;=Roster!$D260,FALSE),"",IF(OR(IF(Setup!$C$15&lt;=Setup!$C$16,AND(MONTH(C260)&gt;=Setup!$C$15,MONTH(C260)&lt;=Setup!$C$16),OR(MONTH(C260)&gt;=Setup!$C$15,MONTH(C260)&lt;=Setup!$C$16)),IF(Setup!$C$15&lt;=Setup!$C$16,AND(MONTH(WORKDAY(C260,-(Setup!$C$13+Setup!$G$21),Setup!$C$39:$C$50))&gt;=Setup!$C$15,MONTH(WORKDAY(C260,-(Setup!$C$13+Setup!$G$21),Setup!$C$39:$C$50))&lt;=Setup!$C$16),OR(MONTH(WORKDAY(C260,-(Setup!$C$13+Setup!$G$21),Setup!$C$39:$C$50))&gt;=Setup!$C$15,MONTH(WORKDAY(C260,-(Setup!$C$13+Setup!$G$21),Setup!$C$39:$C$50))&lt;=Setup!$C$16))),WORKDAY(C260,-(Setup!$C$13+Setup!$G$21+Setup!$C$14),Setup!$C$39:$C$50),WORKDAY(C260,-(Setup!$C$13+Setup!$G$21),Setup!$C$39:$C$50))+(255*100+2)/10000000)))</f>
        <v/>
      </c>
      <c r="T260" t="str">
        <f>IF(D260="","",IF(D260&lt;Setup!$C$5-Setup!$C$6,"",IF(IF(ISNUMBER(Roster!$D260),Setup!$C$22&lt;=Roster!$D260,FALSE),"",IF(OR(IF(Setup!$C$15&lt;=Setup!$C$16,AND(MONTH(D260)&gt;=Setup!$C$15,MONTH(D260)&lt;=Setup!$C$16),OR(MONTH(D260)&gt;=Setup!$C$15,MONTH(D260)&lt;=Setup!$C$16)),IF(Setup!$C$15&lt;=Setup!$C$16,AND(MONTH(WORKDAY(D260,-(Setup!$C$13+Setup!$G$22),Setup!$C$39:$C$50))&gt;=Setup!$C$15,MONTH(WORKDAY(D260,-(Setup!$C$13+Setup!$G$22),Setup!$C$39:$C$50))&lt;=Setup!$C$16),OR(MONTH(WORKDAY(D260,-(Setup!$C$13+Setup!$G$22),Setup!$C$39:$C$50))&gt;=Setup!$C$15,MONTH(WORKDAY(D260,-(Setup!$C$13+Setup!$G$22),Setup!$C$39:$C$50))&lt;=Setup!$C$16))),WORKDAY(D260,-(Setup!$C$13+Setup!$G$22+Setup!$C$14),Setup!$C$39:$C$50),WORKDAY(D260,-(Setup!$C$13+Setup!$G$22),Setup!$C$39:$C$50))+(255*100+3)/10000000)))</f>
        <v/>
      </c>
      <c r="U260" t="str">
        <f>IF(E260="","",IF(E260&lt;Setup!$C$5-Setup!$C$6,"",IF(IF(ISNUMBER(Roster!$D260),Setup!$C$23&lt;=Roster!$D260,FALSE),"",IF(OR(IF(Setup!$C$15&lt;=Setup!$C$16,AND(MONTH(E260)&gt;=Setup!$C$15,MONTH(E260)&lt;=Setup!$C$16),OR(MONTH(E260)&gt;=Setup!$C$15,MONTH(E260)&lt;=Setup!$C$16)),IF(Setup!$C$15&lt;=Setup!$C$16,AND(MONTH(WORKDAY(E260,-(Setup!$C$13+Setup!$G$23),Setup!$C$39:$C$50))&gt;=Setup!$C$15,MONTH(WORKDAY(E260,-(Setup!$C$13+Setup!$G$23),Setup!$C$39:$C$50))&lt;=Setup!$C$16),OR(MONTH(WORKDAY(E260,-(Setup!$C$13+Setup!$G$23),Setup!$C$39:$C$50))&gt;=Setup!$C$15,MONTH(WORKDAY(E260,-(Setup!$C$13+Setup!$G$23),Setup!$C$39:$C$50))&lt;=Setup!$C$16))),WORKDAY(E260,-(Setup!$C$13+Setup!$G$23+Setup!$C$14),Setup!$C$39:$C$50),WORKDAY(E260,-(Setup!$C$13+Setup!$G$23),Setup!$C$39:$C$50))+(255*100+4)/10000000)))</f>
        <v/>
      </c>
      <c r="V260" t="str">
        <f>IF(F260="","",IF(F260&lt;Setup!$C$5-Setup!$C$6,"",IF(IF(ISNUMBER(Roster!$D260),Setup!$C$24&lt;=Roster!$D260,FALSE),"",IF(OR(IF(Setup!$C$15&lt;=Setup!$C$16,AND(MONTH(F260)&gt;=Setup!$C$15,MONTH(F260)&lt;=Setup!$C$16),OR(MONTH(F260)&gt;=Setup!$C$15,MONTH(F260)&lt;=Setup!$C$16)),IF(Setup!$C$15&lt;=Setup!$C$16,AND(MONTH(WORKDAY(F260,-(Setup!$C$13+Setup!$G$24),Setup!$C$39:$C$50))&gt;=Setup!$C$15,MONTH(WORKDAY(F260,-(Setup!$C$13+Setup!$G$24),Setup!$C$39:$C$50))&lt;=Setup!$C$16),OR(MONTH(WORKDAY(F260,-(Setup!$C$13+Setup!$G$24),Setup!$C$39:$C$50))&gt;=Setup!$C$15,MONTH(WORKDAY(F260,-(Setup!$C$13+Setup!$G$24),Setup!$C$39:$C$50))&lt;=Setup!$C$16))),WORKDAY(F260,-(Setup!$C$13+Setup!$G$24+Setup!$C$14),Setup!$C$39:$C$50),WORKDAY(F260,-(Setup!$C$13+Setup!$G$24),Setup!$C$39:$C$50))+(255*100+5)/10000000)))</f>
        <v/>
      </c>
      <c r="W260" t="str">
        <f>IF(G260="","",IF(G260&lt;Setup!$C$5-Setup!$C$6,"",IF(IF(ISNUMBER(Roster!$D260),Setup!$C$25&lt;=Roster!$D260,FALSE),"",IF(OR(IF(Setup!$C$15&lt;=Setup!$C$16,AND(MONTH(G260)&gt;=Setup!$C$15,MONTH(G260)&lt;=Setup!$C$16),OR(MONTH(G260)&gt;=Setup!$C$15,MONTH(G260)&lt;=Setup!$C$16)),IF(Setup!$C$15&lt;=Setup!$C$16,AND(MONTH(WORKDAY(G260,-(Setup!$C$13+Setup!$G$25),Setup!$C$39:$C$50))&gt;=Setup!$C$15,MONTH(WORKDAY(G260,-(Setup!$C$13+Setup!$G$25),Setup!$C$39:$C$50))&lt;=Setup!$C$16),OR(MONTH(WORKDAY(G260,-(Setup!$C$13+Setup!$G$25),Setup!$C$39:$C$50))&gt;=Setup!$C$15,MONTH(WORKDAY(G260,-(Setup!$C$13+Setup!$G$25),Setup!$C$39:$C$50))&lt;=Setup!$C$16))),WORKDAY(G260,-(Setup!$C$13+Setup!$G$25+Setup!$C$14),Setup!$C$39:$C$50),WORKDAY(G260,-(Setup!$C$13+Setup!$G$25),Setup!$C$39:$C$50))+(255*100+6)/10000000)))</f>
        <v/>
      </c>
      <c r="X260" t="str">
        <f>IF(H260="","",IF(H260&lt;Setup!$C$5-Setup!$C$6,"",IF(IF(ISNUMBER(Roster!$D260),Setup!$C$26&lt;=Roster!$D260,FALSE),"",IF(OR(IF(Setup!$C$15&lt;=Setup!$C$16,AND(MONTH(H260)&gt;=Setup!$C$15,MONTH(H260)&lt;=Setup!$C$16),OR(MONTH(H260)&gt;=Setup!$C$15,MONTH(H260)&lt;=Setup!$C$16)),IF(Setup!$C$15&lt;=Setup!$C$16,AND(MONTH(WORKDAY(H260,-(Setup!$C$13+Setup!$G$26),Setup!$C$39:$C$50))&gt;=Setup!$C$15,MONTH(WORKDAY(H260,-(Setup!$C$13+Setup!$G$26),Setup!$C$39:$C$50))&lt;=Setup!$C$16),OR(MONTH(WORKDAY(H260,-(Setup!$C$13+Setup!$G$26),Setup!$C$39:$C$50))&gt;=Setup!$C$15,MONTH(WORKDAY(H260,-(Setup!$C$13+Setup!$G$26),Setup!$C$39:$C$50))&lt;=Setup!$C$16))),WORKDAY(H260,-(Setup!$C$13+Setup!$G$26+Setup!$C$14),Setup!$C$39:$C$50),WORKDAY(H260,-(Setup!$C$13+Setup!$G$26),Setup!$C$39:$C$50))+(255*100+7)/10000000)))</f>
        <v/>
      </c>
      <c r="Y260" t="str">
        <f>IF(I260="","",IF(I260&lt;Setup!$C$5-Setup!$C$6,"",IF(IF(ISNUMBER(Roster!$D260),Setup!$C$27&lt;=Roster!$D260,FALSE),"",IF(OR(IF(Setup!$C$15&lt;=Setup!$C$16,AND(MONTH(I260)&gt;=Setup!$C$15,MONTH(I260)&lt;=Setup!$C$16),OR(MONTH(I260)&gt;=Setup!$C$15,MONTH(I260)&lt;=Setup!$C$16)),IF(Setup!$C$15&lt;=Setup!$C$16,AND(MONTH(WORKDAY(I260,-(Setup!$C$13+Setup!$G$27),Setup!$C$39:$C$50))&gt;=Setup!$C$15,MONTH(WORKDAY(I260,-(Setup!$C$13+Setup!$G$27),Setup!$C$39:$C$50))&lt;=Setup!$C$16),OR(MONTH(WORKDAY(I260,-(Setup!$C$13+Setup!$G$27),Setup!$C$39:$C$50))&gt;=Setup!$C$15,MONTH(WORKDAY(I260,-(Setup!$C$13+Setup!$G$27),Setup!$C$39:$C$50))&lt;=Setup!$C$16))),WORKDAY(I260,-(Setup!$C$13+Setup!$G$27+Setup!$C$14),Setup!$C$39:$C$50),WORKDAY(I260,-(Setup!$C$13+Setup!$G$27),Setup!$C$39:$C$50))+(255*100+8)/10000000)))</f>
        <v/>
      </c>
      <c r="Z260" t="str">
        <f>IF(J260="","",IF(J260&lt;Setup!$C$5-Setup!$C$6,"",IF(IF(ISNUMBER(Roster!$D260),Setup!$C$28&lt;=Roster!$D260,FALSE),"",IF(OR(IF(Setup!$C$15&lt;=Setup!$C$16,AND(MONTH(J260)&gt;=Setup!$C$15,MONTH(J260)&lt;=Setup!$C$16),OR(MONTH(J260)&gt;=Setup!$C$15,MONTH(J260)&lt;=Setup!$C$16)),IF(Setup!$C$15&lt;=Setup!$C$16,AND(MONTH(WORKDAY(J260,-(Setup!$C$13+Setup!$G$28),Setup!$C$39:$C$50))&gt;=Setup!$C$15,MONTH(WORKDAY(J260,-(Setup!$C$13+Setup!$G$28),Setup!$C$39:$C$50))&lt;=Setup!$C$16),OR(MONTH(WORKDAY(J260,-(Setup!$C$13+Setup!$G$28),Setup!$C$39:$C$50))&gt;=Setup!$C$15,MONTH(WORKDAY(J260,-(Setup!$C$13+Setup!$G$28),Setup!$C$39:$C$50))&lt;=Setup!$C$16))),WORKDAY(J260,-(Setup!$C$13+Setup!$G$28+Setup!$C$14),Setup!$C$39:$C$50),WORKDAY(J260,-(Setup!$C$13+Setup!$G$28),Setup!$C$39:$C$50))+(255*100+9)/10000000)))</f>
        <v/>
      </c>
      <c r="AA260" t="str">
        <f>IF(K260="","",IF(K260&lt;Setup!$C$5-Setup!$C$6,"",IF(IF(ISNUMBER(Roster!$D260),Setup!$C$29&lt;=Roster!$D260,FALSE),"",IF(OR(IF(Setup!$C$15&lt;=Setup!$C$16,AND(MONTH(K260)&gt;=Setup!$C$15,MONTH(K260)&lt;=Setup!$C$16),OR(MONTH(K260)&gt;=Setup!$C$15,MONTH(K260)&lt;=Setup!$C$16)),IF(Setup!$C$15&lt;=Setup!$C$16,AND(MONTH(WORKDAY(K260,-(Setup!$C$13+Setup!$G$29),Setup!$C$39:$C$50))&gt;=Setup!$C$15,MONTH(WORKDAY(K260,-(Setup!$C$13+Setup!$G$29),Setup!$C$39:$C$50))&lt;=Setup!$C$16),OR(MONTH(WORKDAY(K260,-(Setup!$C$13+Setup!$G$29),Setup!$C$39:$C$50))&gt;=Setup!$C$15,MONTH(WORKDAY(K260,-(Setup!$C$13+Setup!$G$29),Setup!$C$39:$C$50))&lt;=Setup!$C$16))),WORKDAY(K260,-(Setup!$C$13+Setup!$G$29+Setup!$C$14),Setup!$C$39:$C$50),WORKDAY(K260,-(Setup!$C$13+Setup!$G$29),Setup!$C$39:$C$50))+(255*100+10)/10000000)))</f>
        <v/>
      </c>
      <c r="AB260" t="str">
        <f>IF(L260="","",IF(L260&lt;Setup!$C$5-Setup!$C$6,"",IF(IF(ISNUMBER(Roster!$D260),Setup!$C$30&lt;=Roster!$D260,FALSE),"",IF(OR(IF(Setup!$C$15&lt;=Setup!$C$16,AND(MONTH(L260)&gt;=Setup!$C$15,MONTH(L260)&lt;=Setup!$C$16),OR(MONTH(L260)&gt;=Setup!$C$15,MONTH(L260)&lt;=Setup!$C$16)),IF(Setup!$C$15&lt;=Setup!$C$16,AND(MONTH(WORKDAY(L260,-(Setup!$C$13+Setup!$G$30),Setup!$C$39:$C$50))&gt;=Setup!$C$15,MONTH(WORKDAY(L260,-(Setup!$C$13+Setup!$G$30),Setup!$C$39:$C$50))&lt;=Setup!$C$16),OR(MONTH(WORKDAY(L260,-(Setup!$C$13+Setup!$G$30),Setup!$C$39:$C$50))&gt;=Setup!$C$15,MONTH(WORKDAY(L260,-(Setup!$C$13+Setup!$G$30),Setup!$C$39:$C$50))&lt;=Setup!$C$16))),WORKDAY(L260,-(Setup!$C$13+Setup!$G$30+Setup!$C$14),Setup!$C$39:$C$50),WORKDAY(L260,-(Setup!$C$13+Setup!$G$30),Setup!$C$39:$C$50))+(255*100+11)/10000000)))</f>
        <v/>
      </c>
      <c r="AC260" t="str">
        <f>IF(M260="","",IF(M260&lt;Setup!$C$5-Setup!$C$6,"",IF(IF(ISNUMBER(Roster!$D260),Setup!$C$31&lt;=Roster!$D260,FALSE),"",IF(OR(IF(Setup!$C$15&lt;=Setup!$C$16,AND(MONTH(M260)&gt;=Setup!$C$15,MONTH(M260)&lt;=Setup!$C$16),OR(MONTH(M260)&gt;=Setup!$C$15,MONTH(M260)&lt;=Setup!$C$16)),IF(Setup!$C$15&lt;=Setup!$C$16,AND(MONTH(WORKDAY(M260,-(Setup!$C$13+Setup!$G$31),Setup!$C$39:$C$50))&gt;=Setup!$C$15,MONTH(WORKDAY(M260,-(Setup!$C$13+Setup!$G$31),Setup!$C$39:$C$50))&lt;=Setup!$C$16),OR(MONTH(WORKDAY(M260,-(Setup!$C$13+Setup!$G$31),Setup!$C$39:$C$50))&gt;=Setup!$C$15,MONTH(WORKDAY(M260,-(Setup!$C$13+Setup!$G$31),Setup!$C$39:$C$50))&lt;=Setup!$C$16))),WORKDAY(M260,-(Setup!$C$13+Setup!$G$31+Setup!$C$14),Setup!$C$39:$C$50),WORKDAY(M260,-(Setup!$C$13+Setup!$G$31),Setup!$C$39:$C$50))+(255*100+12)/10000000)))</f>
        <v/>
      </c>
      <c r="AD260" t="str">
        <f>IF(N260="","",IF(N260&lt;Setup!$C$5-Setup!$C$6,"",IF(IF(ISNUMBER(Roster!$D260),Setup!$C$32&lt;=Roster!$D260,FALSE),"",IF(OR(IF(Setup!$C$15&lt;=Setup!$C$16,AND(MONTH(N260)&gt;=Setup!$C$15,MONTH(N260)&lt;=Setup!$C$16),OR(MONTH(N260)&gt;=Setup!$C$15,MONTH(N260)&lt;=Setup!$C$16)),IF(Setup!$C$15&lt;=Setup!$C$16,AND(MONTH(WORKDAY(N260,-(Setup!$C$13+Setup!$G$32),Setup!$C$39:$C$50))&gt;=Setup!$C$15,MONTH(WORKDAY(N260,-(Setup!$C$13+Setup!$G$32),Setup!$C$39:$C$50))&lt;=Setup!$C$16),OR(MONTH(WORKDAY(N260,-(Setup!$C$13+Setup!$G$32),Setup!$C$39:$C$50))&gt;=Setup!$C$15,MONTH(WORKDAY(N260,-(Setup!$C$13+Setup!$G$32),Setup!$C$39:$C$50))&lt;=Setup!$C$16))),WORKDAY(N260,-(Setup!$C$13+Setup!$G$32+Setup!$C$14),Setup!$C$39:$C$50),WORKDAY(N260,-(Setup!$C$13+Setup!$G$32),Setup!$C$39:$C$50))+(255*100+13)/10000000)))</f>
        <v/>
      </c>
      <c r="AE260" t="str">
        <f>IF(O260="","",IF(O260&lt;Setup!$C$5-Setup!$C$6,"",IF(IF(ISNUMBER(Roster!$D260),Setup!$C$33&lt;=Roster!$D260,FALSE),"",IF(OR(IF(Setup!$C$15&lt;=Setup!$C$16,AND(MONTH(O260)&gt;=Setup!$C$15,MONTH(O260)&lt;=Setup!$C$16),OR(MONTH(O260)&gt;=Setup!$C$15,MONTH(O260)&lt;=Setup!$C$16)),IF(Setup!$C$15&lt;=Setup!$C$16,AND(MONTH(WORKDAY(O260,-(Setup!$C$13+Setup!$G$33),Setup!$C$39:$C$50))&gt;=Setup!$C$15,MONTH(WORKDAY(O260,-(Setup!$C$13+Setup!$G$33),Setup!$C$39:$C$50))&lt;=Setup!$C$16),OR(MONTH(WORKDAY(O260,-(Setup!$C$13+Setup!$G$33),Setup!$C$39:$C$50))&gt;=Setup!$C$15,MONTH(WORKDAY(O260,-(Setup!$C$13+Setup!$G$33),Setup!$C$39:$C$50))&lt;=Setup!$C$16))),WORKDAY(O260,-(Setup!$C$13+Setup!$G$33+Setup!$C$14),Setup!$C$39:$C$50),WORKDAY(O260,-(Setup!$C$13+Setup!$G$33),Setup!$C$39:$C$50))+(255*100+14)/10000000)))</f>
        <v/>
      </c>
      <c r="AF260" t="str">
        <f>IF(P260="","",IF(P260&lt;Setup!$C$5-Setup!$C$6,"",IF(IF(ISNUMBER(Roster!$D260),Setup!$C$34&lt;=Roster!$D260,FALSE),"",IF(OR(IF(Setup!$C$15&lt;=Setup!$C$16,AND(MONTH(P260)&gt;=Setup!$C$15,MONTH(P260)&lt;=Setup!$C$16),OR(MONTH(P260)&gt;=Setup!$C$15,MONTH(P260)&lt;=Setup!$C$16)),IF(Setup!$C$15&lt;=Setup!$C$16,AND(MONTH(WORKDAY(P260,-(Setup!$C$13+Setup!$G$34),Setup!$C$39:$C$50))&gt;=Setup!$C$15,MONTH(WORKDAY(P260,-(Setup!$C$13+Setup!$G$34),Setup!$C$39:$C$50))&lt;=Setup!$C$16),OR(MONTH(WORKDAY(P260,-(Setup!$C$13+Setup!$G$34),Setup!$C$39:$C$50))&gt;=Setup!$C$15,MONTH(WORKDAY(P260,-(Setup!$C$13+Setup!$G$34),Setup!$C$39:$C$50))&lt;=Setup!$C$16))),WORKDAY(P260,-(Setup!$C$13+Setup!$G$34+Setup!$C$14),Setup!$C$39:$C$50),WORKDAY(P260,-(Setup!$C$13+Setup!$G$34),Setup!$C$39:$C$50))+(255*100+15)/10000000)))</f>
        <v/>
      </c>
      <c r="AH260" t="str">
        <f t="shared" si="25"/>
        <v/>
      </c>
      <c r="AI260" t="str">
        <f t="shared" si="26"/>
        <v/>
      </c>
      <c r="AK260" t="str">
        <f ca="1">IF(255&gt;$AK$2,"",SMALL($R$6:$AF$505,255))</f>
        <v/>
      </c>
      <c r="AL260" t="str">
        <f t="shared" ca="1" si="27"/>
        <v/>
      </c>
      <c r="AM260" t="str">
        <f t="shared" ca="1" si="28"/>
        <v/>
      </c>
      <c r="AN260" t="str">
        <f t="shared" ca="1" si="29"/>
        <v/>
      </c>
      <c r="AP260" t="str">
        <f>IF(ISNUMBER(Roster!$B260),MAX(1,YEAR(Setup!$C$5)-YEAR(Roster!$B260)+IF(EDATE(Roster!$B260,12*(YEAR(Setup!$C$5)-YEAR(Roster!$B260)))&lt;Setup!$C$5,1,0)),"")</f>
        <v/>
      </c>
      <c r="AQ260" s="32" t="str">
        <f>IF(AP260="","",EDATE(Roster!$B260,12*AP260))</f>
        <v/>
      </c>
      <c r="AR260" t="str">
        <f>IF(AQ260="","",IF(AQ260&lt;DATE(YEAR(Setup!$C$5)+1,MONTH(Setup!$C$5),DAY(Setup!$C$5)),AQ260+255/1000,""))</f>
        <v/>
      </c>
      <c r="AS260" t="str">
        <f t="shared" si="30"/>
        <v/>
      </c>
      <c r="AT260" t="str">
        <f>IF(AS260="","",IF(ISNUMBER(Roster!$D260),Roster!$D260&gt;=AP260,FALSE))</f>
        <v/>
      </c>
      <c r="AU260" t="str">
        <f t="shared" si="31"/>
        <v/>
      </c>
      <c r="AV260" t="str">
        <f ca="1">IF(255&gt;$AV$2,"",SMALL($AR$6:$AR$505,255))</f>
        <v/>
      </c>
      <c r="AW260" t="str">
        <f t="shared" ca="1" si="32"/>
        <v/>
      </c>
    </row>
    <row r="261" spans="2:49" x14ac:dyDescent="0.2">
      <c r="B261" s="32" t="str">
        <f>IF(AND(ISNUMBER(Roster!$B261),Setup!$B$20="Yes",ISNUMBER(Setup!$C$20)),EDATE(Roster!$B261,12*Setup!$C$20),"")</f>
        <v/>
      </c>
      <c r="C261" s="32" t="str">
        <f>IF(AND(ISNUMBER(Roster!$B261),Setup!$B$21="Yes",ISNUMBER(Setup!$C$21)),EDATE(Roster!$B261,12*Setup!$C$21),"")</f>
        <v/>
      </c>
      <c r="D261" s="32" t="str">
        <f>IF(AND(ISNUMBER(Roster!$B261),Setup!$B$22="Yes",ISNUMBER(Setup!$C$22)),EDATE(Roster!$B261,12*Setup!$C$22),"")</f>
        <v/>
      </c>
      <c r="E261" s="32" t="str">
        <f>IF(AND(ISNUMBER(Roster!$B261),Setup!$B$23="Yes",ISNUMBER(Setup!$C$23)),EDATE(Roster!$B261,12*Setup!$C$23),"")</f>
        <v/>
      </c>
      <c r="F261" s="32" t="str">
        <f>IF(AND(ISNUMBER(Roster!$B261),Setup!$B$24="Yes",ISNUMBER(Setup!$C$24)),EDATE(Roster!$B261,12*Setup!$C$24),"")</f>
        <v/>
      </c>
      <c r="G261" s="32" t="str">
        <f>IF(AND(ISNUMBER(Roster!$B261),Setup!$B$25="Yes",ISNUMBER(Setup!$C$25)),EDATE(Roster!$B261,12*Setup!$C$25),"")</f>
        <v/>
      </c>
      <c r="H261" s="32" t="str">
        <f>IF(AND(ISNUMBER(Roster!$B261),Setup!$B$26="Yes",ISNUMBER(Setup!$C$26)),EDATE(Roster!$B261,12*Setup!$C$26),"")</f>
        <v/>
      </c>
      <c r="I261" s="32" t="str">
        <f>IF(AND(ISNUMBER(Roster!$B261),Setup!$B$27="Yes",ISNUMBER(Setup!$C$27)),EDATE(Roster!$B261,12*Setup!$C$27),"")</f>
        <v/>
      </c>
      <c r="J261" s="32" t="str">
        <f>IF(AND(ISNUMBER(Roster!$B261),Setup!$B$28="Yes",ISNUMBER(Setup!$C$28)),EDATE(Roster!$B261,12*Setup!$C$28),"")</f>
        <v/>
      </c>
      <c r="K261" s="32" t="str">
        <f>IF(AND(ISNUMBER(Roster!$B261),Setup!$B$29="Yes",ISNUMBER(Setup!$C$29)),EDATE(Roster!$B261,12*Setup!$C$29),"")</f>
        <v/>
      </c>
      <c r="L261" s="32" t="str">
        <f>IF(AND(ISNUMBER(Roster!$B261),Setup!$B$30="Yes",ISNUMBER(Setup!$C$30)),EDATE(Roster!$B261,12*Setup!$C$30),"")</f>
        <v/>
      </c>
      <c r="M261" s="32" t="str">
        <f>IF(AND(ISNUMBER(Roster!$B261),Setup!$B$31="Yes",ISNUMBER(Setup!$C$31)),EDATE(Roster!$B261,12*Setup!$C$31),"")</f>
        <v/>
      </c>
      <c r="N261" s="32" t="str">
        <f>IF(AND(ISNUMBER(Roster!$B261),Setup!$B$32="Yes",ISNUMBER(Setup!$C$32)),EDATE(Roster!$B261,12*Setup!$C$32),"")</f>
        <v/>
      </c>
      <c r="O261" s="32" t="str">
        <f>IF(AND(ISNUMBER(Roster!$B261),Setup!$B$33="Yes",ISNUMBER(Setup!$C$33)),EDATE(Roster!$B261,12*Setup!$C$33),"")</f>
        <v/>
      </c>
      <c r="P261" s="32" t="str">
        <f>IF(AND(ISNUMBER(Roster!$B261),Setup!$B$34="Yes",ISNUMBER(Setup!$C$34)),EDATE(Roster!$B261,12*Setup!$C$34),"")</f>
        <v/>
      </c>
      <c r="R261" t="str">
        <f>IF(B261="","",IF(B261&lt;Setup!$C$5-Setup!$C$6,"",IF(IF(ISNUMBER(Roster!$D261),Setup!$C$20&lt;=Roster!$D261,FALSE),"",IF(OR(IF(Setup!$C$15&lt;=Setup!$C$16,AND(MONTH(B261)&gt;=Setup!$C$15,MONTH(B261)&lt;=Setup!$C$16),OR(MONTH(B261)&gt;=Setup!$C$15,MONTH(B261)&lt;=Setup!$C$16)),IF(Setup!$C$15&lt;=Setup!$C$16,AND(MONTH(WORKDAY(B261,-(Setup!$C$13+Setup!$G$20),Setup!$C$39:$C$50))&gt;=Setup!$C$15,MONTH(WORKDAY(B261,-(Setup!$C$13+Setup!$G$20),Setup!$C$39:$C$50))&lt;=Setup!$C$16),OR(MONTH(WORKDAY(B261,-(Setup!$C$13+Setup!$G$20),Setup!$C$39:$C$50))&gt;=Setup!$C$15,MONTH(WORKDAY(B261,-(Setup!$C$13+Setup!$G$20),Setup!$C$39:$C$50))&lt;=Setup!$C$16))),WORKDAY(B261,-(Setup!$C$13+Setup!$G$20+Setup!$C$14),Setup!$C$39:$C$50),WORKDAY(B261,-(Setup!$C$13+Setup!$G$20),Setup!$C$39:$C$50))+(256*100+1)/10000000)))</f>
        <v/>
      </c>
      <c r="S261" t="str">
        <f>IF(C261="","",IF(C261&lt;Setup!$C$5-Setup!$C$6,"",IF(IF(ISNUMBER(Roster!$D261),Setup!$C$21&lt;=Roster!$D261,FALSE),"",IF(OR(IF(Setup!$C$15&lt;=Setup!$C$16,AND(MONTH(C261)&gt;=Setup!$C$15,MONTH(C261)&lt;=Setup!$C$16),OR(MONTH(C261)&gt;=Setup!$C$15,MONTH(C261)&lt;=Setup!$C$16)),IF(Setup!$C$15&lt;=Setup!$C$16,AND(MONTH(WORKDAY(C261,-(Setup!$C$13+Setup!$G$21),Setup!$C$39:$C$50))&gt;=Setup!$C$15,MONTH(WORKDAY(C261,-(Setup!$C$13+Setup!$G$21),Setup!$C$39:$C$50))&lt;=Setup!$C$16),OR(MONTH(WORKDAY(C261,-(Setup!$C$13+Setup!$G$21),Setup!$C$39:$C$50))&gt;=Setup!$C$15,MONTH(WORKDAY(C261,-(Setup!$C$13+Setup!$G$21),Setup!$C$39:$C$50))&lt;=Setup!$C$16))),WORKDAY(C261,-(Setup!$C$13+Setup!$G$21+Setup!$C$14),Setup!$C$39:$C$50),WORKDAY(C261,-(Setup!$C$13+Setup!$G$21),Setup!$C$39:$C$50))+(256*100+2)/10000000)))</f>
        <v/>
      </c>
      <c r="T261" t="str">
        <f>IF(D261="","",IF(D261&lt;Setup!$C$5-Setup!$C$6,"",IF(IF(ISNUMBER(Roster!$D261),Setup!$C$22&lt;=Roster!$D261,FALSE),"",IF(OR(IF(Setup!$C$15&lt;=Setup!$C$16,AND(MONTH(D261)&gt;=Setup!$C$15,MONTH(D261)&lt;=Setup!$C$16),OR(MONTH(D261)&gt;=Setup!$C$15,MONTH(D261)&lt;=Setup!$C$16)),IF(Setup!$C$15&lt;=Setup!$C$16,AND(MONTH(WORKDAY(D261,-(Setup!$C$13+Setup!$G$22),Setup!$C$39:$C$50))&gt;=Setup!$C$15,MONTH(WORKDAY(D261,-(Setup!$C$13+Setup!$G$22),Setup!$C$39:$C$50))&lt;=Setup!$C$16),OR(MONTH(WORKDAY(D261,-(Setup!$C$13+Setup!$G$22),Setup!$C$39:$C$50))&gt;=Setup!$C$15,MONTH(WORKDAY(D261,-(Setup!$C$13+Setup!$G$22),Setup!$C$39:$C$50))&lt;=Setup!$C$16))),WORKDAY(D261,-(Setup!$C$13+Setup!$G$22+Setup!$C$14),Setup!$C$39:$C$50),WORKDAY(D261,-(Setup!$C$13+Setup!$G$22),Setup!$C$39:$C$50))+(256*100+3)/10000000)))</f>
        <v/>
      </c>
      <c r="U261" t="str">
        <f>IF(E261="","",IF(E261&lt;Setup!$C$5-Setup!$C$6,"",IF(IF(ISNUMBER(Roster!$D261),Setup!$C$23&lt;=Roster!$D261,FALSE),"",IF(OR(IF(Setup!$C$15&lt;=Setup!$C$16,AND(MONTH(E261)&gt;=Setup!$C$15,MONTH(E261)&lt;=Setup!$C$16),OR(MONTH(E261)&gt;=Setup!$C$15,MONTH(E261)&lt;=Setup!$C$16)),IF(Setup!$C$15&lt;=Setup!$C$16,AND(MONTH(WORKDAY(E261,-(Setup!$C$13+Setup!$G$23),Setup!$C$39:$C$50))&gt;=Setup!$C$15,MONTH(WORKDAY(E261,-(Setup!$C$13+Setup!$G$23),Setup!$C$39:$C$50))&lt;=Setup!$C$16),OR(MONTH(WORKDAY(E261,-(Setup!$C$13+Setup!$G$23),Setup!$C$39:$C$50))&gt;=Setup!$C$15,MONTH(WORKDAY(E261,-(Setup!$C$13+Setup!$G$23),Setup!$C$39:$C$50))&lt;=Setup!$C$16))),WORKDAY(E261,-(Setup!$C$13+Setup!$G$23+Setup!$C$14),Setup!$C$39:$C$50),WORKDAY(E261,-(Setup!$C$13+Setup!$G$23),Setup!$C$39:$C$50))+(256*100+4)/10000000)))</f>
        <v/>
      </c>
      <c r="V261" t="str">
        <f>IF(F261="","",IF(F261&lt;Setup!$C$5-Setup!$C$6,"",IF(IF(ISNUMBER(Roster!$D261),Setup!$C$24&lt;=Roster!$D261,FALSE),"",IF(OR(IF(Setup!$C$15&lt;=Setup!$C$16,AND(MONTH(F261)&gt;=Setup!$C$15,MONTH(F261)&lt;=Setup!$C$16),OR(MONTH(F261)&gt;=Setup!$C$15,MONTH(F261)&lt;=Setup!$C$16)),IF(Setup!$C$15&lt;=Setup!$C$16,AND(MONTH(WORKDAY(F261,-(Setup!$C$13+Setup!$G$24),Setup!$C$39:$C$50))&gt;=Setup!$C$15,MONTH(WORKDAY(F261,-(Setup!$C$13+Setup!$G$24),Setup!$C$39:$C$50))&lt;=Setup!$C$16),OR(MONTH(WORKDAY(F261,-(Setup!$C$13+Setup!$G$24),Setup!$C$39:$C$50))&gt;=Setup!$C$15,MONTH(WORKDAY(F261,-(Setup!$C$13+Setup!$G$24),Setup!$C$39:$C$50))&lt;=Setup!$C$16))),WORKDAY(F261,-(Setup!$C$13+Setup!$G$24+Setup!$C$14),Setup!$C$39:$C$50),WORKDAY(F261,-(Setup!$C$13+Setup!$G$24),Setup!$C$39:$C$50))+(256*100+5)/10000000)))</f>
        <v/>
      </c>
      <c r="W261" t="str">
        <f>IF(G261="","",IF(G261&lt;Setup!$C$5-Setup!$C$6,"",IF(IF(ISNUMBER(Roster!$D261),Setup!$C$25&lt;=Roster!$D261,FALSE),"",IF(OR(IF(Setup!$C$15&lt;=Setup!$C$16,AND(MONTH(G261)&gt;=Setup!$C$15,MONTH(G261)&lt;=Setup!$C$16),OR(MONTH(G261)&gt;=Setup!$C$15,MONTH(G261)&lt;=Setup!$C$16)),IF(Setup!$C$15&lt;=Setup!$C$16,AND(MONTH(WORKDAY(G261,-(Setup!$C$13+Setup!$G$25),Setup!$C$39:$C$50))&gt;=Setup!$C$15,MONTH(WORKDAY(G261,-(Setup!$C$13+Setup!$G$25),Setup!$C$39:$C$50))&lt;=Setup!$C$16),OR(MONTH(WORKDAY(G261,-(Setup!$C$13+Setup!$G$25),Setup!$C$39:$C$50))&gt;=Setup!$C$15,MONTH(WORKDAY(G261,-(Setup!$C$13+Setup!$G$25),Setup!$C$39:$C$50))&lt;=Setup!$C$16))),WORKDAY(G261,-(Setup!$C$13+Setup!$G$25+Setup!$C$14),Setup!$C$39:$C$50),WORKDAY(G261,-(Setup!$C$13+Setup!$G$25),Setup!$C$39:$C$50))+(256*100+6)/10000000)))</f>
        <v/>
      </c>
      <c r="X261" t="str">
        <f>IF(H261="","",IF(H261&lt;Setup!$C$5-Setup!$C$6,"",IF(IF(ISNUMBER(Roster!$D261),Setup!$C$26&lt;=Roster!$D261,FALSE),"",IF(OR(IF(Setup!$C$15&lt;=Setup!$C$16,AND(MONTH(H261)&gt;=Setup!$C$15,MONTH(H261)&lt;=Setup!$C$16),OR(MONTH(H261)&gt;=Setup!$C$15,MONTH(H261)&lt;=Setup!$C$16)),IF(Setup!$C$15&lt;=Setup!$C$16,AND(MONTH(WORKDAY(H261,-(Setup!$C$13+Setup!$G$26),Setup!$C$39:$C$50))&gt;=Setup!$C$15,MONTH(WORKDAY(H261,-(Setup!$C$13+Setup!$G$26),Setup!$C$39:$C$50))&lt;=Setup!$C$16),OR(MONTH(WORKDAY(H261,-(Setup!$C$13+Setup!$G$26),Setup!$C$39:$C$50))&gt;=Setup!$C$15,MONTH(WORKDAY(H261,-(Setup!$C$13+Setup!$G$26),Setup!$C$39:$C$50))&lt;=Setup!$C$16))),WORKDAY(H261,-(Setup!$C$13+Setup!$G$26+Setup!$C$14),Setup!$C$39:$C$50),WORKDAY(H261,-(Setup!$C$13+Setup!$G$26),Setup!$C$39:$C$50))+(256*100+7)/10000000)))</f>
        <v/>
      </c>
      <c r="Y261" t="str">
        <f>IF(I261="","",IF(I261&lt;Setup!$C$5-Setup!$C$6,"",IF(IF(ISNUMBER(Roster!$D261),Setup!$C$27&lt;=Roster!$D261,FALSE),"",IF(OR(IF(Setup!$C$15&lt;=Setup!$C$16,AND(MONTH(I261)&gt;=Setup!$C$15,MONTH(I261)&lt;=Setup!$C$16),OR(MONTH(I261)&gt;=Setup!$C$15,MONTH(I261)&lt;=Setup!$C$16)),IF(Setup!$C$15&lt;=Setup!$C$16,AND(MONTH(WORKDAY(I261,-(Setup!$C$13+Setup!$G$27),Setup!$C$39:$C$50))&gt;=Setup!$C$15,MONTH(WORKDAY(I261,-(Setup!$C$13+Setup!$G$27),Setup!$C$39:$C$50))&lt;=Setup!$C$16),OR(MONTH(WORKDAY(I261,-(Setup!$C$13+Setup!$G$27),Setup!$C$39:$C$50))&gt;=Setup!$C$15,MONTH(WORKDAY(I261,-(Setup!$C$13+Setup!$G$27),Setup!$C$39:$C$50))&lt;=Setup!$C$16))),WORKDAY(I261,-(Setup!$C$13+Setup!$G$27+Setup!$C$14),Setup!$C$39:$C$50),WORKDAY(I261,-(Setup!$C$13+Setup!$G$27),Setup!$C$39:$C$50))+(256*100+8)/10000000)))</f>
        <v/>
      </c>
      <c r="Z261" t="str">
        <f>IF(J261="","",IF(J261&lt;Setup!$C$5-Setup!$C$6,"",IF(IF(ISNUMBER(Roster!$D261),Setup!$C$28&lt;=Roster!$D261,FALSE),"",IF(OR(IF(Setup!$C$15&lt;=Setup!$C$16,AND(MONTH(J261)&gt;=Setup!$C$15,MONTH(J261)&lt;=Setup!$C$16),OR(MONTH(J261)&gt;=Setup!$C$15,MONTH(J261)&lt;=Setup!$C$16)),IF(Setup!$C$15&lt;=Setup!$C$16,AND(MONTH(WORKDAY(J261,-(Setup!$C$13+Setup!$G$28),Setup!$C$39:$C$50))&gt;=Setup!$C$15,MONTH(WORKDAY(J261,-(Setup!$C$13+Setup!$G$28),Setup!$C$39:$C$50))&lt;=Setup!$C$16),OR(MONTH(WORKDAY(J261,-(Setup!$C$13+Setup!$G$28),Setup!$C$39:$C$50))&gt;=Setup!$C$15,MONTH(WORKDAY(J261,-(Setup!$C$13+Setup!$G$28),Setup!$C$39:$C$50))&lt;=Setup!$C$16))),WORKDAY(J261,-(Setup!$C$13+Setup!$G$28+Setup!$C$14),Setup!$C$39:$C$50),WORKDAY(J261,-(Setup!$C$13+Setup!$G$28),Setup!$C$39:$C$50))+(256*100+9)/10000000)))</f>
        <v/>
      </c>
      <c r="AA261" t="str">
        <f>IF(K261="","",IF(K261&lt;Setup!$C$5-Setup!$C$6,"",IF(IF(ISNUMBER(Roster!$D261),Setup!$C$29&lt;=Roster!$D261,FALSE),"",IF(OR(IF(Setup!$C$15&lt;=Setup!$C$16,AND(MONTH(K261)&gt;=Setup!$C$15,MONTH(K261)&lt;=Setup!$C$16),OR(MONTH(K261)&gt;=Setup!$C$15,MONTH(K261)&lt;=Setup!$C$16)),IF(Setup!$C$15&lt;=Setup!$C$16,AND(MONTH(WORKDAY(K261,-(Setup!$C$13+Setup!$G$29),Setup!$C$39:$C$50))&gt;=Setup!$C$15,MONTH(WORKDAY(K261,-(Setup!$C$13+Setup!$G$29),Setup!$C$39:$C$50))&lt;=Setup!$C$16),OR(MONTH(WORKDAY(K261,-(Setup!$C$13+Setup!$G$29),Setup!$C$39:$C$50))&gt;=Setup!$C$15,MONTH(WORKDAY(K261,-(Setup!$C$13+Setup!$G$29),Setup!$C$39:$C$50))&lt;=Setup!$C$16))),WORKDAY(K261,-(Setup!$C$13+Setup!$G$29+Setup!$C$14),Setup!$C$39:$C$50),WORKDAY(K261,-(Setup!$C$13+Setup!$G$29),Setup!$C$39:$C$50))+(256*100+10)/10000000)))</f>
        <v/>
      </c>
      <c r="AB261" t="str">
        <f>IF(L261="","",IF(L261&lt;Setup!$C$5-Setup!$C$6,"",IF(IF(ISNUMBER(Roster!$D261),Setup!$C$30&lt;=Roster!$D261,FALSE),"",IF(OR(IF(Setup!$C$15&lt;=Setup!$C$16,AND(MONTH(L261)&gt;=Setup!$C$15,MONTH(L261)&lt;=Setup!$C$16),OR(MONTH(L261)&gt;=Setup!$C$15,MONTH(L261)&lt;=Setup!$C$16)),IF(Setup!$C$15&lt;=Setup!$C$16,AND(MONTH(WORKDAY(L261,-(Setup!$C$13+Setup!$G$30),Setup!$C$39:$C$50))&gt;=Setup!$C$15,MONTH(WORKDAY(L261,-(Setup!$C$13+Setup!$G$30),Setup!$C$39:$C$50))&lt;=Setup!$C$16),OR(MONTH(WORKDAY(L261,-(Setup!$C$13+Setup!$G$30),Setup!$C$39:$C$50))&gt;=Setup!$C$15,MONTH(WORKDAY(L261,-(Setup!$C$13+Setup!$G$30),Setup!$C$39:$C$50))&lt;=Setup!$C$16))),WORKDAY(L261,-(Setup!$C$13+Setup!$G$30+Setup!$C$14),Setup!$C$39:$C$50),WORKDAY(L261,-(Setup!$C$13+Setup!$G$30),Setup!$C$39:$C$50))+(256*100+11)/10000000)))</f>
        <v/>
      </c>
      <c r="AC261" t="str">
        <f>IF(M261="","",IF(M261&lt;Setup!$C$5-Setup!$C$6,"",IF(IF(ISNUMBER(Roster!$D261),Setup!$C$31&lt;=Roster!$D261,FALSE),"",IF(OR(IF(Setup!$C$15&lt;=Setup!$C$16,AND(MONTH(M261)&gt;=Setup!$C$15,MONTH(M261)&lt;=Setup!$C$16),OR(MONTH(M261)&gt;=Setup!$C$15,MONTH(M261)&lt;=Setup!$C$16)),IF(Setup!$C$15&lt;=Setup!$C$16,AND(MONTH(WORKDAY(M261,-(Setup!$C$13+Setup!$G$31),Setup!$C$39:$C$50))&gt;=Setup!$C$15,MONTH(WORKDAY(M261,-(Setup!$C$13+Setup!$G$31),Setup!$C$39:$C$50))&lt;=Setup!$C$16),OR(MONTH(WORKDAY(M261,-(Setup!$C$13+Setup!$G$31),Setup!$C$39:$C$50))&gt;=Setup!$C$15,MONTH(WORKDAY(M261,-(Setup!$C$13+Setup!$G$31),Setup!$C$39:$C$50))&lt;=Setup!$C$16))),WORKDAY(M261,-(Setup!$C$13+Setup!$G$31+Setup!$C$14),Setup!$C$39:$C$50),WORKDAY(M261,-(Setup!$C$13+Setup!$G$31),Setup!$C$39:$C$50))+(256*100+12)/10000000)))</f>
        <v/>
      </c>
      <c r="AD261" t="str">
        <f>IF(N261="","",IF(N261&lt;Setup!$C$5-Setup!$C$6,"",IF(IF(ISNUMBER(Roster!$D261),Setup!$C$32&lt;=Roster!$D261,FALSE),"",IF(OR(IF(Setup!$C$15&lt;=Setup!$C$16,AND(MONTH(N261)&gt;=Setup!$C$15,MONTH(N261)&lt;=Setup!$C$16),OR(MONTH(N261)&gt;=Setup!$C$15,MONTH(N261)&lt;=Setup!$C$16)),IF(Setup!$C$15&lt;=Setup!$C$16,AND(MONTH(WORKDAY(N261,-(Setup!$C$13+Setup!$G$32),Setup!$C$39:$C$50))&gt;=Setup!$C$15,MONTH(WORKDAY(N261,-(Setup!$C$13+Setup!$G$32),Setup!$C$39:$C$50))&lt;=Setup!$C$16),OR(MONTH(WORKDAY(N261,-(Setup!$C$13+Setup!$G$32),Setup!$C$39:$C$50))&gt;=Setup!$C$15,MONTH(WORKDAY(N261,-(Setup!$C$13+Setup!$G$32),Setup!$C$39:$C$50))&lt;=Setup!$C$16))),WORKDAY(N261,-(Setup!$C$13+Setup!$G$32+Setup!$C$14),Setup!$C$39:$C$50),WORKDAY(N261,-(Setup!$C$13+Setup!$G$32),Setup!$C$39:$C$50))+(256*100+13)/10000000)))</f>
        <v/>
      </c>
      <c r="AE261" t="str">
        <f>IF(O261="","",IF(O261&lt;Setup!$C$5-Setup!$C$6,"",IF(IF(ISNUMBER(Roster!$D261),Setup!$C$33&lt;=Roster!$D261,FALSE),"",IF(OR(IF(Setup!$C$15&lt;=Setup!$C$16,AND(MONTH(O261)&gt;=Setup!$C$15,MONTH(O261)&lt;=Setup!$C$16),OR(MONTH(O261)&gt;=Setup!$C$15,MONTH(O261)&lt;=Setup!$C$16)),IF(Setup!$C$15&lt;=Setup!$C$16,AND(MONTH(WORKDAY(O261,-(Setup!$C$13+Setup!$G$33),Setup!$C$39:$C$50))&gt;=Setup!$C$15,MONTH(WORKDAY(O261,-(Setup!$C$13+Setup!$G$33),Setup!$C$39:$C$50))&lt;=Setup!$C$16),OR(MONTH(WORKDAY(O261,-(Setup!$C$13+Setup!$G$33),Setup!$C$39:$C$50))&gt;=Setup!$C$15,MONTH(WORKDAY(O261,-(Setup!$C$13+Setup!$G$33),Setup!$C$39:$C$50))&lt;=Setup!$C$16))),WORKDAY(O261,-(Setup!$C$13+Setup!$G$33+Setup!$C$14),Setup!$C$39:$C$50),WORKDAY(O261,-(Setup!$C$13+Setup!$G$33),Setup!$C$39:$C$50))+(256*100+14)/10000000)))</f>
        <v/>
      </c>
      <c r="AF261" t="str">
        <f>IF(P261="","",IF(P261&lt;Setup!$C$5-Setup!$C$6,"",IF(IF(ISNUMBER(Roster!$D261),Setup!$C$34&lt;=Roster!$D261,FALSE),"",IF(OR(IF(Setup!$C$15&lt;=Setup!$C$16,AND(MONTH(P261)&gt;=Setup!$C$15,MONTH(P261)&lt;=Setup!$C$16),OR(MONTH(P261)&gt;=Setup!$C$15,MONTH(P261)&lt;=Setup!$C$16)),IF(Setup!$C$15&lt;=Setup!$C$16,AND(MONTH(WORKDAY(P261,-(Setup!$C$13+Setup!$G$34),Setup!$C$39:$C$50))&gt;=Setup!$C$15,MONTH(WORKDAY(P261,-(Setup!$C$13+Setup!$G$34),Setup!$C$39:$C$50))&lt;=Setup!$C$16),OR(MONTH(WORKDAY(P261,-(Setup!$C$13+Setup!$G$34),Setup!$C$39:$C$50))&gt;=Setup!$C$15,MONTH(WORKDAY(P261,-(Setup!$C$13+Setup!$G$34),Setup!$C$39:$C$50))&lt;=Setup!$C$16))),WORKDAY(P261,-(Setup!$C$13+Setup!$G$34+Setup!$C$14),Setup!$C$39:$C$50),WORKDAY(P261,-(Setup!$C$13+Setup!$G$34),Setup!$C$39:$C$50))+(256*100+15)/10000000)))</f>
        <v/>
      </c>
      <c r="AH261" t="str">
        <f t="shared" si="25"/>
        <v/>
      </c>
      <c r="AI261" t="str">
        <f t="shared" si="26"/>
        <v/>
      </c>
      <c r="AK261" t="str">
        <f ca="1">IF(256&gt;$AK$2,"",SMALL($R$6:$AF$505,256))</f>
        <v/>
      </c>
      <c r="AL261" t="str">
        <f t="shared" ca="1" si="27"/>
        <v/>
      </c>
      <c r="AM261" t="str">
        <f t="shared" ca="1" si="28"/>
        <v/>
      </c>
      <c r="AN261" t="str">
        <f t="shared" ca="1" si="29"/>
        <v/>
      </c>
      <c r="AP261" t="str">
        <f>IF(ISNUMBER(Roster!$B261),MAX(1,YEAR(Setup!$C$5)-YEAR(Roster!$B261)+IF(EDATE(Roster!$B261,12*(YEAR(Setup!$C$5)-YEAR(Roster!$B261)))&lt;Setup!$C$5,1,0)),"")</f>
        <v/>
      </c>
      <c r="AQ261" s="32" t="str">
        <f>IF(AP261="","",EDATE(Roster!$B261,12*AP261))</f>
        <v/>
      </c>
      <c r="AR261" t="str">
        <f>IF(AQ261="","",IF(AQ261&lt;DATE(YEAR(Setup!$C$5)+1,MONTH(Setup!$C$5),DAY(Setup!$C$5)),AQ261+256/1000,""))</f>
        <v/>
      </c>
      <c r="AS261" t="str">
        <f t="shared" si="30"/>
        <v/>
      </c>
      <c r="AT261" t="str">
        <f>IF(AS261="","",IF(ISNUMBER(Roster!$D261),Roster!$D261&gt;=AP261,FALSE))</f>
        <v/>
      </c>
      <c r="AU261" t="str">
        <f t="shared" si="31"/>
        <v/>
      </c>
      <c r="AV261" t="str">
        <f ca="1">IF(256&gt;$AV$2,"",SMALL($AR$6:$AR$505,256))</f>
        <v/>
      </c>
      <c r="AW261" t="str">
        <f t="shared" ca="1" si="32"/>
        <v/>
      </c>
    </row>
    <row r="262" spans="2:49" x14ac:dyDescent="0.2">
      <c r="B262" s="32" t="str">
        <f>IF(AND(ISNUMBER(Roster!$B262),Setup!$B$20="Yes",ISNUMBER(Setup!$C$20)),EDATE(Roster!$B262,12*Setup!$C$20),"")</f>
        <v/>
      </c>
      <c r="C262" s="32" t="str">
        <f>IF(AND(ISNUMBER(Roster!$B262),Setup!$B$21="Yes",ISNUMBER(Setup!$C$21)),EDATE(Roster!$B262,12*Setup!$C$21),"")</f>
        <v/>
      </c>
      <c r="D262" s="32" t="str">
        <f>IF(AND(ISNUMBER(Roster!$B262),Setup!$B$22="Yes",ISNUMBER(Setup!$C$22)),EDATE(Roster!$B262,12*Setup!$C$22),"")</f>
        <v/>
      </c>
      <c r="E262" s="32" t="str">
        <f>IF(AND(ISNUMBER(Roster!$B262),Setup!$B$23="Yes",ISNUMBER(Setup!$C$23)),EDATE(Roster!$B262,12*Setup!$C$23),"")</f>
        <v/>
      </c>
      <c r="F262" s="32" t="str">
        <f>IF(AND(ISNUMBER(Roster!$B262),Setup!$B$24="Yes",ISNUMBER(Setup!$C$24)),EDATE(Roster!$B262,12*Setup!$C$24),"")</f>
        <v/>
      </c>
      <c r="G262" s="32" t="str">
        <f>IF(AND(ISNUMBER(Roster!$B262),Setup!$B$25="Yes",ISNUMBER(Setup!$C$25)),EDATE(Roster!$B262,12*Setup!$C$25),"")</f>
        <v/>
      </c>
      <c r="H262" s="32" t="str">
        <f>IF(AND(ISNUMBER(Roster!$B262),Setup!$B$26="Yes",ISNUMBER(Setup!$C$26)),EDATE(Roster!$B262,12*Setup!$C$26),"")</f>
        <v/>
      </c>
      <c r="I262" s="32" t="str">
        <f>IF(AND(ISNUMBER(Roster!$B262),Setup!$B$27="Yes",ISNUMBER(Setup!$C$27)),EDATE(Roster!$B262,12*Setup!$C$27),"")</f>
        <v/>
      </c>
      <c r="J262" s="32" t="str">
        <f>IF(AND(ISNUMBER(Roster!$B262),Setup!$B$28="Yes",ISNUMBER(Setup!$C$28)),EDATE(Roster!$B262,12*Setup!$C$28),"")</f>
        <v/>
      </c>
      <c r="K262" s="32" t="str">
        <f>IF(AND(ISNUMBER(Roster!$B262),Setup!$B$29="Yes",ISNUMBER(Setup!$C$29)),EDATE(Roster!$B262,12*Setup!$C$29),"")</f>
        <v/>
      </c>
      <c r="L262" s="32" t="str">
        <f>IF(AND(ISNUMBER(Roster!$B262),Setup!$B$30="Yes",ISNUMBER(Setup!$C$30)),EDATE(Roster!$B262,12*Setup!$C$30),"")</f>
        <v/>
      </c>
      <c r="M262" s="32" t="str">
        <f>IF(AND(ISNUMBER(Roster!$B262),Setup!$B$31="Yes",ISNUMBER(Setup!$C$31)),EDATE(Roster!$B262,12*Setup!$C$31),"")</f>
        <v/>
      </c>
      <c r="N262" s="32" t="str">
        <f>IF(AND(ISNUMBER(Roster!$B262),Setup!$B$32="Yes",ISNUMBER(Setup!$C$32)),EDATE(Roster!$B262,12*Setup!$C$32),"")</f>
        <v/>
      </c>
      <c r="O262" s="32" t="str">
        <f>IF(AND(ISNUMBER(Roster!$B262),Setup!$B$33="Yes",ISNUMBER(Setup!$C$33)),EDATE(Roster!$B262,12*Setup!$C$33),"")</f>
        <v/>
      </c>
      <c r="P262" s="32" t="str">
        <f>IF(AND(ISNUMBER(Roster!$B262),Setup!$B$34="Yes",ISNUMBER(Setup!$C$34)),EDATE(Roster!$B262,12*Setup!$C$34),"")</f>
        <v/>
      </c>
      <c r="R262" t="str">
        <f>IF(B262="","",IF(B262&lt;Setup!$C$5-Setup!$C$6,"",IF(IF(ISNUMBER(Roster!$D262),Setup!$C$20&lt;=Roster!$D262,FALSE),"",IF(OR(IF(Setup!$C$15&lt;=Setup!$C$16,AND(MONTH(B262)&gt;=Setup!$C$15,MONTH(B262)&lt;=Setup!$C$16),OR(MONTH(B262)&gt;=Setup!$C$15,MONTH(B262)&lt;=Setup!$C$16)),IF(Setup!$C$15&lt;=Setup!$C$16,AND(MONTH(WORKDAY(B262,-(Setup!$C$13+Setup!$G$20),Setup!$C$39:$C$50))&gt;=Setup!$C$15,MONTH(WORKDAY(B262,-(Setup!$C$13+Setup!$G$20),Setup!$C$39:$C$50))&lt;=Setup!$C$16),OR(MONTH(WORKDAY(B262,-(Setup!$C$13+Setup!$G$20),Setup!$C$39:$C$50))&gt;=Setup!$C$15,MONTH(WORKDAY(B262,-(Setup!$C$13+Setup!$G$20),Setup!$C$39:$C$50))&lt;=Setup!$C$16))),WORKDAY(B262,-(Setup!$C$13+Setup!$G$20+Setup!$C$14),Setup!$C$39:$C$50),WORKDAY(B262,-(Setup!$C$13+Setup!$G$20),Setup!$C$39:$C$50))+(257*100+1)/10000000)))</f>
        <v/>
      </c>
      <c r="S262" t="str">
        <f>IF(C262="","",IF(C262&lt;Setup!$C$5-Setup!$C$6,"",IF(IF(ISNUMBER(Roster!$D262),Setup!$C$21&lt;=Roster!$D262,FALSE),"",IF(OR(IF(Setup!$C$15&lt;=Setup!$C$16,AND(MONTH(C262)&gt;=Setup!$C$15,MONTH(C262)&lt;=Setup!$C$16),OR(MONTH(C262)&gt;=Setup!$C$15,MONTH(C262)&lt;=Setup!$C$16)),IF(Setup!$C$15&lt;=Setup!$C$16,AND(MONTH(WORKDAY(C262,-(Setup!$C$13+Setup!$G$21),Setup!$C$39:$C$50))&gt;=Setup!$C$15,MONTH(WORKDAY(C262,-(Setup!$C$13+Setup!$G$21),Setup!$C$39:$C$50))&lt;=Setup!$C$16),OR(MONTH(WORKDAY(C262,-(Setup!$C$13+Setup!$G$21),Setup!$C$39:$C$50))&gt;=Setup!$C$15,MONTH(WORKDAY(C262,-(Setup!$C$13+Setup!$G$21),Setup!$C$39:$C$50))&lt;=Setup!$C$16))),WORKDAY(C262,-(Setup!$C$13+Setup!$G$21+Setup!$C$14),Setup!$C$39:$C$50),WORKDAY(C262,-(Setup!$C$13+Setup!$G$21),Setup!$C$39:$C$50))+(257*100+2)/10000000)))</f>
        <v/>
      </c>
      <c r="T262" t="str">
        <f>IF(D262="","",IF(D262&lt;Setup!$C$5-Setup!$C$6,"",IF(IF(ISNUMBER(Roster!$D262),Setup!$C$22&lt;=Roster!$D262,FALSE),"",IF(OR(IF(Setup!$C$15&lt;=Setup!$C$16,AND(MONTH(D262)&gt;=Setup!$C$15,MONTH(D262)&lt;=Setup!$C$16),OR(MONTH(D262)&gt;=Setup!$C$15,MONTH(D262)&lt;=Setup!$C$16)),IF(Setup!$C$15&lt;=Setup!$C$16,AND(MONTH(WORKDAY(D262,-(Setup!$C$13+Setup!$G$22),Setup!$C$39:$C$50))&gt;=Setup!$C$15,MONTH(WORKDAY(D262,-(Setup!$C$13+Setup!$G$22),Setup!$C$39:$C$50))&lt;=Setup!$C$16),OR(MONTH(WORKDAY(D262,-(Setup!$C$13+Setup!$G$22),Setup!$C$39:$C$50))&gt;=Setup!$C$15,MONTH(WORKDAY(D262,-(Setup!$C$13+Setup!$G$22),Setup!$C$39:$C$50))&lt;=Setup!$C$16))),WORKDAY(D262,-(Setup!$C$13+Setup!$G$22+Setup!$C$14),Setup!$C$39:$C$50),WORKDAY(D262,-(Setup!$C$13+Setup!$G$22),Setup!$C$39:$C$50))+(257*100+3)/10000000)))</f>
        <v/>
      </c>
      <c r="U262" t="str">
        <f>IF(E262="","",IF(E262&lt;Setup!$C$5-Setup!$C$6,"",IF(IF(ISNUMBER(Roster!$D262),Setup!$C$23&lt;=Roster!$D262,FALSE),"",IF(OR(IF(Setup!$C$15&lt;=Setup!$C$16,AND(MONTH(E262)&gt;=Setup!$C$15,MONTH(E262)&lt;=Setup!$C$16),OR(MONTH(E262)&gt;=Setup!$C$15,MONTH(E262)&lt;=Setup!$C$16)),IF(Setup!$C$15&lt;=Setup!$C$16,AND(MONTH(WORKDAY(E262,-(Setup!$C$13+Setup!$G$23),Setup!$C$39:$C$50))&gt;=Setup!$C$15,MONTH(WORKDAY(E262,-(Setup!$C$13+Setup!$G$23),Setup!$C$39:$C$50))&lt;=Setup!$C$16),OR(MONTH(WORKDAY(E262,-(Setup!$C$13+Setup!$G$23),Setup!$C$39:$C$50))&gt;=Setup!$C$15,MONTH(WORKDAY(E262,-(Setup!$C$13+Setup!$G$23),Setup!$C$39:$C$50))&lt;=Setup!$C$16))),WORKDAY(E262,-(Setup!$C$13+Setup!$G$23+Setup!$C$14),Setup!$C$39:$C$50),WORKDAY(E262,-(Setup!$C$13+Setup!$G$23),Setup!$C$39:$C$50))+(257*100+4)/10000000)))</f>
        <v/>
      </c>
      <c r="V262" t="str">
        <f>IF(F262="","",IF(F262&lt;Setup!$C$5-Setup!$C$6,"",IF(IF(ISNUMBER(Roster!$D262),Setup!$C$24&lt;=Roster!$D262,FALSE),"",IF(OR(IF(Setup!$C$15&lt;=Setup!$C$16,AND(MONTH(F262)&gt;=Setup!$C$15,MONTH(F262)&lt;=Setup!$C$16),OR(MONTH(F262)&gt;=Setup!$C$15,MONTH(F262)&lt;=Setup!$C$16)),IF(Setup!$C$15&lt;=Setup!$C$16,AND(MONTH(WORKDAY(F262,-(Setup!$C$13+Setup!$G$24),Setup!$C$39:$C$50))&gt;=Setup!$C$15,MONTH(WORKDAY(F262,-(Setup!$C$13+Setup!$G$24),Setup!$C$39:$C$50))&lt;=Setup!$C$16),OR(MONTH(WORKDAY(F262,-(Setup!$C$13+Setup!$G$24),Setup!$C$39:$C$50))&gt;=Setup!$C$15,MONTH(WORKDAY(F262,-(Setup!$C$13+Setup!$G$24),Setup!$C$39:$C$50))&lt;=Setup!$C$16))),WORKDAY(F262,-(Setup!$C$13+Setup!$G$24+Setup!$C$14),Setup!$C$39:$C$50),WORKDAY(F262,-(Setup!$C$13+Setup!$G$24),Setup!$C$39:$C$50))+(257*100+5)/10000000)))</f>
        <v/>
      </c>
      <c r="W262" t="str">
        <f>IF(G262="","",IF(G262&lt;Setup!$C$5-Setup!$C$6,"",IF(IF(ISNUMBER(Roster!$D262),Setup!$C$25&lt;=Roster!$D262,FALSE),"",IF(OR(IF(Setup!$C$15&lt;=Setup!$C$16,AND(MONTH(G262)&gt;=Setup!$C$15,MONTH(G262)&lt;=Setup!$C$16),OR(MONTH(G262)&gt;=Setup!$C$15,MONTH(G262)&lt;=Setup!$C$16)),IF(Setup!$C$15&lt;=Setup!$C$16,AND(MONTH(WORKDAY(G262,-(Setup!$C$13+Setup!$G$25),Setup!$C$39:$C$50))&gt;=Setup!$C$15,MONTH(WORKDAY(G262,-(Setup!$C$13+Setup!$G$25),Setup!$C$39:$C$50))&lt;=Setup!$C$16),OR(MONTH(WORKDAY(G262,-(Setup!$C$13+Setup!$G$25),Setup!$C$39:$C$50))&gt;=Setup!$C$15,MONTH(WORKDAY(G262,-(Setup!$C$13+Setup!$G$25),Setup!$C$39:$C$50))&lt;=Setup!$C$16))),WORKDAY(G262,-(Setup!$C$13+Setup!$G$25+Setup!$C$14),Setup!$C$39:$C$50),WORKDAY(G262,-(Setup!$C$13+Setup!$G$25),Setup!$C$39:$C$50))+(257*100+6)/10000000)))</f>
        <v/>
      </c>
      <c r="X262" t="str">
        <f>IF(H262="","",IF(H262&lt;Setup!$C$5-Setup!$C$6,"",IF(IF(ISNUMBER(Roster!$D262),Setup!$C$26&lt;=Roster!$D262,FALSE),"",IF(OR(IF(Setup!$C$15&lt;=Setup!$C$16,AND(MONTH(H262)&gt;=Setup!$C$15,MONTH(H262)&lt;=Setup!$C$16),OR(MONTH(H262)&gt;=Setup!$C$15,MONTH(H262)&lt;=Setup!$C$16)),IF(Setup!$C$15&lt;=Setup!$C$16,AND(MONTH(WORKDAY(H262,-(Setup!$C$13+Setup!$G$26),Setup!$C$39:$C$50))&gt;=Setup!$C$15,MONTH(WORKDAY(H262,-(Setup!$C$13+Setup!$G$26),Setup!$C$39:$C$50))&lt;=Setup!$C$16),OR(MONTH(WORKDAY(H262,-(Setup!$C$13+Setup!$G$26),Setup!$C$39:$C$50))&gt;=Setup!$C$15,MONTH(WORKDAY(H262,-(Setup!$C$13+Setup!$G$26),Setup!$C$39:$C$50))&lt;=Setup!$C$16))),WORKDAY(H262,-(Setup!$C$13+Setup!$G$26+Setup!$C$14),Setup!$C$39:$C$50),WORKDAY(H262,-(Setup!$C$13+Setup!$G$26),Setup!$C$39:$C$50))+(257*100+7)/10000000)))</f>
        <v/>
      </c>
      <c r="Y262" t="str">
        <f>IF(I262="","",IF(I262&lt;Setup!$C$5-Setup!$C$6,"",IF(IF(ISNUMBER(Roster!$D262),Setup!$C$27&lt;=Roster!$D262,FALSE),"",IF(OR(IF(Setup!$C$15&lt;=Setup!$C$16,AND(MONTH(I262)&gt;=Setup!$C$15,MONTH(I262)&lt;=Setup!$C$16),OR(MONTH(I262)&gt;=Setup!$C$15,MONTH(I262)&lt;=Setup!$C$16)),IF(Setup!$C$15&lt;=Setup!$C$16,AND(MONTH(WORKDAY(I262,-(Setup!$C$13+Setup!$G$27),Setup!$C$39:$C$50))&gt;=Setup!$C$15,MONTH(WORKDAY(I262,-(Setup!$C$13+Setup!$G$27),Setup!$C$39:$C$50))&lt;=Setup!$C$16),OR(MONTH(WORKDAY(I262,-(Setup!$C$13+Setup!$G$27),Setup!$C$39:$C$50))&gt;=Setup!$C$15,MONTH(WORKDAY(I262,-(Setup!$C$13+Setup!$G$27),Setup!$C$39:$C$50))&lt;=Setup!$C$16))),WORKDAY(I262,-(Setup!$C$13+Setup!$G$27+Setup!$C$14),Setup!$C$39:$C$50),WORKDAY(I262,-(Setup!$C$13+Setup!$G$27),Setup!$C$39:$C$50))+(257*100+8)/10000000)))</f>
        <v/>
      </c>
      <c r="Z262" t="str">
        <f>IF(J262="","",IF(J262&lt;Setup!$C$5-Setup!$C$6,"",IF(IF(ISNUMBER(Roster!$D262),Setup!$C$28&lt;=Roster!$D262,FALSE),"",IF(OR(IF(Setup!$C$15&lt;=Setup!$C$16,AND(MONTH(J262)&gt;=Setup!$C$15,MONTH(J262)&lt;=Setup!$C$16),OR(MONTH(J262)&gt;=Setup!$C$15,MONTH(J262)&lt;=Setup!$C$16)),IF(Setup!$C$15&lt;=Setup!$C$16,AND(MONTH(WORKDAY(J262,-(Setup!$C$13+Setup!$G$28),Setup!$C$39:$C$50))&gt;=Setup!$C$15,MONTH(WORKDAY(J262,-(Setup!$C$13+Setup!$G$28),Setup!$C$39:$C$50))&lt;=Setup!$C$16),OR(MONTH(WORKDAY(J262,-(Setup!$C$13+Setup!$G$28),Setup!$C$39:$C$50))&gt;=Setup!$C$15,MONTH(WORKDAY(J262,-(Setup!$C$13+Setup!$G$28),Setup!$C$39:$C$50))&lt;=Setup!$C$16))),WORKDAY(J262,-(Setup!$C$13+Setup!$G$28+Setup!$C$14),Setup!$C$39:$C$50),WORKDAY(J262,-(Setup!$C$13+Setup!$G$28),Setup!$C$39:$C$50))+(257*100+9)/10000000)))</f>
        <v/>
      </c>
      <c r="AA262" t="str">
        <f>IF(K262="","",IF(K262&lt;Setup!$C$5-Setup!$C$6,"",IF(IF(ISNUMBER(Roster!$D262),Setup!$C$29&lt;=Roster!$D262,FALSE),"",IF(OR(IF(Setup!$C$15&lt;=Setup!$C$16,AND(MONTH(K262)&gt;=Setup!$C$15,MONTH(K262)&lt;=Setup!$C$16),OR(MONTH(K262)&gt;=Setup!$C$15,MONTH(K262)&lt;=Setup!$C$16)),IF(Setup!$C$15&lt;=Setup!$C$16,AND(MONTH(WORKDAY(K262,-(Setup!$C$13+Setup!$G$29),Setup!$C$39:$C$50))&gt;=Setup!$C$15,MONTH(WORKDAY(K262,-(Setup!$C$13+Setup!$G$29),Setup!$C$39:$C$50))&lt;=Setup!$C$16),OR(MONTH(WORKDAY(K262,-(Setup!$C$13+Setup!$G$29),Setup!$C$39:$C$50))&gt;=Setup!$C$15,MONTH(WORKDAY(K262,-(Setup!$C$13+Setup!$G$29),Setup!$C$39:$C$50))&lt;=Setup!$C$16))),WORKDAY(K262,-(Setup!$C$13+Setup!$G$29+Setup!$C$14),Setup!$C$39:$C$50),WORKDAY(K262,-(Setup!$C$13+Setup!$G$29),Setup!$C$39:$C$50))+(257*100+10)/10000000)))</f>
        <v/>
      </c>
      <c r="AB262" t="str">
        <f>IF(L262="","",IF(L262&lt;Setup!$C$5-Setup!$C$6,"",IF(IF(ISNUMBER(Roster!$D262),Setup!$C$30&lt;=Roster!$D262,FALSE),"",IF(OR(IF(Setup!$C$15&lt;=Setup!$C$16,AND(MONTH(L262)&gt;=Setup!$C$15,MONTH(L262)&lt;=Setup!$C$16),OR(MONTH(L262)&gt;=Setup!$C$15,MONTH(L262)&lt;=Setup!$C$16)),IF(Setup!$C$15&lt;=Setup!$C$16,AND(MONTH(WORKDAY(L262,-(Setup!$C$13+Setup!$G$30),Setup!$C$39:$C$50))&gt;=Setup!$C$15,MONTH(WORKDAY(L262,-(Setup!$C$13+Setup!$G$30),Setup!$C$39:$C$50))&lt;=Setup!$C$16),OR(MONTH(WORKDAY(L262,-(Setup!$C$13+Setup!$G$30),Setup!$C$39:$C$50))&gt;=Setup!$C$15,MONTH(WORKDAY(L262,-(Setup!$C$13+Setup!$G$30),Setup!$C$39:$C$50))&lt;=Setup!$C$16))),WORKDAY(L262,-(Setup!$C$13+Setup!$G$30+Setup!$C$14),Setup!$C$39:$C$50),WORKDAY(L262,-(Setup!$C$13+Setup!$G$30),Setup!$C$39:$C$50))+(257*100+11)/10000000)))</f>
        <v/>
      </c>
      <c r="AC262" t="str">
        <f>IF(M262="","",IF(M262&lt;Setup!$C$5-Setup!$C$6,"",IF(IF(ISNUMBER(Roster!$D262),Setup!$C$31&lt;=Roster!$D262,FALSE),"",IF(OR(IF(Setup!$C$15&lt;=Setup!$C$16,AND(MONTH(M262)&gt;=Setup!$C$15,MONTH(M262)&lt;=Setup!$C$16),OR(MONTH(M262)&gt;=Setup!$C$15,MONTH(M262)&lt;=Setup!$C$16)),IF(Setup!$C$15&lt;=Setup!$C$16,AND(MONTH(WORKDAY(M262,-(Setup!$C$13+Setup!$G$31),Setup!$C$39:$C$50))&gt;=Setup!$C$15,MONTH(WORKDAY(M262,-(Setup!$C$13+Setup!$G$31),Setup!$C$39:$C$50))&lt;=Setup!$C$16),OR(MONTH(WORKDAY(M262,-(Setup!$C$13+Setup!$G$31),Setup!$C$39:$C$50))&gt;=Setup!$C$15,MONTH(WORKDAY(M262,-(Setup!$C$13+Setup!$G$31),Setup!$C$39:$C$50))&lt;=Setup!$C$16))),WORKDAY(M262,-(Setup!$C$13+Setup!$G$31+Setup!$C$14),Setup!$C$39:$C$50),WORKDAY(M262,-(Setup!$C$13+Setup!$G$31),Setup!$C$39:$C$50))+(257*100+12)/10000000)))</f>
        <v/>
      </c>
      <c r="AD262" t="str">
        <f>IF(N262="","",IF(N262&lt;Setup!$C$5-Setup!$C$6,"",IF(IF(ISNUMBER(Roster!$D262),Setup!$C$32&lt;=Roster!$D262,FALSE),"",IF(OR(IF(Setup!$C$15&lt;=Setup!$C$16,AND(MONTH(N262)&gt;=Setup!$C$15,MONTH(N262)&lt;=Setup!$C$16),OR(MONTH(N262)&gt;=Setup!$C$15,MONTH(N262)&lt;=Setup!$C$16)),IF(Setup!$C$15&lt;=Setup!$C$16,AND(MONTH(WORKDAY(N262,-(Setup!$C$13+Setup!$G$32),Setup!$C$39:$C$50))&gt;=Setup!$C$15,MONTH(WORKDAY(N262,-(Setup!$C$13+Setup!$G$32),Setup!$C$39:$C$50))&lt;=Setup!$C$16),OR(MONTH(WORKDAY(N262,-(Setup!$C$13+Setup!$G$32),Setup!$C$39:$C$50))&gt;=Setup!$C$15,MONTH(WORKDAY(N262,-(Setup!$C$13+Setup!$G$32),Setup!$C$39:$C$50))&lt;=Setup!$C$16))),WORKDAY(N262,-(Setup!$C$13+Setup!$G$32+Setup!$C$14),Setup!$C$39:$C$50),WORKDAY(N262,-(Setup!$C$13+Setup!$G$32),Setup!$C$39:$C$50))+(257*100+13)/10000000)))</f>
        <v/>
      </c>
      <c r="AE262" t="str">
        <f>IF(O262="","",IF(O262&lt;Setup!$C$5-Setup!$C$6,"",IF(IF(ISNUMBER(Roster!$D262),Setup!$C$33&lt;=Roster!$D262,FALSE),"",IF(OR(IF(Setup!$C$15&lt;=Setup!$C$16,AND(MONTH(O262)&gt;=Setup!$C$15,MONTH(O262)&lt;=Setup!$C$16),OR(MONTH(O262)&gt;=Setup!$C$15,MONTH(O262)&lt;=Setup!$C$16)),IF(Setup!$C$15&lt;=Setup!$C$16,AND(MONTH(WORKDAY(O262,-(Setup!$C$13+Setup!$G$33),Setup!$C$39:$C$50))&gt;=Setup!$C$15,MONTH(WORKDAY(O262,-(Setup!$C$13+Setup!$G$33),Setup!$C$39:$C$50))&lt;=Setup!$C$16),OR(MONTH(WORKDAY(O262,-(Setup!$C$13+Setup!$G$33),Setup!$C$39:$C$50))&gt;=Setup!$C$15,MONTH(WORKDAY(O262,-(Setup!$C$13+Setup!$G$33),Setup!$C$39:$C$50))&lt;=Setup!$C$16))),WORKDAY(O262,-(Setup!$C$13+Setup!$G$33+Setup!$C$14),Setup!$C$39:$C$50),WORKDAY(O262,-(Setup!$C$13+Setup!$G$33),Setup!$C$39:$C$50))+(257*100+14)/10000000)))</f>
        <v/>
      </c>
      <c r="AF262" t="str">
        <f>IF(P262="","",IF(P262&lt;Setup!$C$5-Setup!$C$6,"",IF(IF(ISNUMBER(Roster!$D262),Setup!$C$34&lt;=Roster!$D262,FALSE),"",IF(OR(IF(Setup!$C$15&lt;=Setup!$C$16,AND(MONTH(P262)&gt;=Setup!$C$15,MONTH(P262)&lt;=Setup!$C$16),OR(MONTH(P262)&gt;=Setup!$C$15,MONTH(P262)&lt;=Setup!$C$16)),IF(Setup!$C$15&lt;=Setup!$C$16,AND(MONTH(WORKDAY(P262,-(Setup!$C$13+Setup!$G$34),Setup!$C$39:$C$50))&gt;=Setup!$C$15,MONTH(WORKDAY(P262,-(Setup!$C$13+Setup!$G$34),Setup!$C$39:$C$50))&lt;=Setup!$C$16),OR(MONTH(WORKDAY(P262,-(Setup!$C$13+Setup!$G$34),Setup!$C$39:$C$50))&gt;=Setup!$C$15,MONTH(WORKDAY(P262,-(Setup!$C$13+Setup!$G$34),Setup!$C$39:$C$50))&lt;=Setup!$C$16))),WORKDAY(P262,-(Setup!$C$13+Setup!$G$34+Setup!$C$14),Setup!$C$39:$C$50),WORKDAY(P262,-(Setup!$C$13+Setup!$G$34),Setup!$C$39:$C$50))+(257*100+15)/10000000)))</f>
        <v/>
      </c>
      <c r="AH262" t="str">
        <f t="shared" ref="AH262:AH325" si="33">IF(COUNT(R262:AF262)=0,"",MIN(R262:AF262))</f>
        <v/>
      </c>
      <c r="AI262" t="str">
        <f t="shared" ref="AI262:AI325" si="34">IF(AH262="","",MOD(ROUND((AH262-INT(AH262))*10000000,0),100))</f>
        <v/>
      </c>
      <c r="AK262" t="str">
        <f ca="1">IF(257&gt;$AK$2,"",SMALL($R$6:$AF$505,257))</f>
        <v/>
      </c>
      <c r="AL262" t="str">
        <f t="shared" ref="AL262:AL325" ca="1" si="35">IF(AK262="","",ROUND((AK262-INT(AK262))*10000000,0))</f>
        <v/>
      </c>
      <c r="AM262" t="str">
        <f t="shared" ref="AM262:AM325" ca="1" si="36">IF(AL262="","",INT(AL262/100))</f>
        <v/>
      </c>
      <c r="AN262" t="str">
        <f t="shared" ref="AN262:AN305" ca="1" si="37">IF(AL262="","",MOD(AL262,100))</f>
        <v/>
      </c>
      <c r="AP262" t="str">
        <f>IF(ISNUMBER(Roster!$B262),MAX(1,YEAR(Setup!$C$5)-YEAR(Roster!$B262)+IF(EDATE(Roster!$B262,12*(YEAR(Setup!$C$5)-YEAR(Roster!$B262)))&lt;Setup!$C$5,1,0)),"")</f>
        <v/>
      </c>
      <c r="AQ262" s="32" t="str">
        <f>IF(AP262="","",EDATE(Roster!$B262,12*AP262))</f>
        <v/>
      </c>
      <c r="AR262" t="str">
        <f>IF(AQ262="","",IF(AQ262&lt;DATE(YEAR(Setup!$C$5)+1,MONTH(Setup!$C$5),DAY(Setup!$C$5)),AQ262+257/1000,""))</f>
        <v/>
      </c>
      <c r="AS262" t="str">
        <f t="shared" ref="AS262:AS325" si="38">IF(AR262="","",IFERROR(MATCH(AP262,$AY$20:$AY$34,0),""))</f>
        <v/>
      </c>
      <c r="AT262" t="str">
        <f>IF(AS262="","",IF(ISNUMBER(Roster!$D262),Roster!$D262&gt;=AP262,FALSE))</f>
        <v/>
      </c>
      <c r="AU262" t="str">
        <f t="shared" ref="AU262:AU325" si="39">IF(AS262="","",IF(AT262,"",INT(INDEX($R262:$AF262,1,AS262))))</f>
        <v/>
      </c>
      <c r="AV262" t="str">
        <f ca="1">IF(257&gt;$AV$2,"",SMALL($AR$6:$AR$505,257))</f>
        <v/>
      </c>
      <c r="AW262" t="str">
        <f t="shared" ref="AW262:AW325" ca="1" si="40">IF(AV262="","",ROUND((AV262-INT(AV262))*1000,0))</f>
        <v/>
      </c>
    </row>
    <row r="263" spans="2:49" x14ac:dyDescent="0.2">
      <c r="B263" s="32" t="str">
        <f>IF(AND(ISNUMBER(Roster!$B263),Setup!$B$20="Yes",ISNUMBER(Setup!$C$20)),EDATE(Roster!$B263,12*Setup!$C$20),"")</f>
        <v/>
      </c>
      <c r="C263" s="32" t="str">
        <f>IF(AND(ISNUMBER(Roster!$B263),Setup!$B$21="Yes",ISNUMBER(Setup!$C$21)),EDATE(Roster!$B263,12*Setup!$C$21),"")</f>
        <v/>
      </c>
      <c r="D263" s="32" t="str">
        <f>IF(AND(ISNUMBER(Roster!$B263),Setup!$B$22="Yes",ISNUMBER(Setup!$C$22)),EDATE(Roster!$B263,12*Setup!$C$22),"")</f>
        <v/>
      </c>
      <c r="E263" s="32" t="str">
        <f>IF(AND(ISNUMBER(Roster!$B263),Setup!$B$23="Yes",ISNUMBER(Setup!$C$23)),EDATE(Roster!$B263,12*Setup!$C$23),"")</f>
        <v/>
      </c>
      <c r="F263" s="32" t="str">
        <f>IF(AND(ISNUMBER(Roster!$B263),Setup!$B$24="Yes",ISNUMBER(Setup!$C$24)),EDATE(Roster!$B263,12*Setup!$C$24),"")</f>
        <v/>
      </c>
      <c r="G263" s="32" t="str">
        <f>IF(AND(ISNUMBER(Roster!$B263),Setup!$B$25="Yes",ISNUMBER(Setup!$C$25)),EDATE(Roster!$B263,12*Setup!$C$25),"")</f>
        <v/>
      </c>
      <c r="H263" s="32" t="str">
        <f>IF(AND(ISNUMBER(Roster!$B263),Setup!$B$26="Yes",ISNUMBER(Setup!$C$26)),EDATE(Roster!$B263,12*Setup!$C$26),"")</f>
        <v/>
      </c>
      <c r="I263" s="32" t="str">
        <f>IF(AND(ISNUMBER(Roster!$B263),Setup!$B$27="Yes",ISNUMBER(Setup!$C$27)),EDATE(Roster!$B263,12*Setup!$C$27),"")</f>
        <v/>
      </c>
      <c r="J263" s="32" t="str">
        <f>IF(AND(ISNUMBER(Roster!$B263),Setup!$B$28="Yes",ISNUMBER(Setup!$C$28)),EDATE(Roster!$B263,12*Setup!$C$28),"")</f>
        <v/>
      </c>
      <c r="K263" s="32" t="str">
        <f>IF(AND(ISNUMBER(Roster!$B263),Setup!$B$29="Yes",ISNUMBER(Setup!$C$29)),EDATE(Roster!$B263,12*Setup!$C$29),"")</f>
        <v/>
      </c>
      <c r="L263" s="32" t="str">
        <f>IF(AND(ISNUMBER(Roster!$B263),Setup!$B$30="Yes",ISNUMBER(Setup!$C$30)),EDATE(Roster!$B263,12*Setup!$C$30),"")</f>
        <v/>
      </c>
      <c r="M263" s="32" t="str">
        <f>IF(AND(ISNUMBER(Roster!$B263),Setup!$B$31="Yes",ISNUMBER(Setup!$C$31)),EDATE(Roster!$B263,12*Setup!$C$31),"")</f>
        <v/>
      </c>
      <c r="N263" s="32" t="str">
        <f>IF(AND(ISNUMBER(Roster!$B263),Setup!$B$32="Yes",ISNUMBER(Setup!$C$32)),EDATE(Roster!$B263,12*Setup!$C$32),"")</f>
        <v/>
      </c>
      <c r="O263" s="32" t="str">
        <f>IF(AND(ISNUMBER(Roster!$B263),Setup!$B$33="Yes",ISNUMBER(Setup!$C$33)),EDATE(Roster!$B263,12*Setup!$C$33),"")</f>
        <v/>
      </c>
      <c r="P263" s="32" t="str">
        <f>IF(AND(ISNUMBER(Roster!$B263),Setup!$B$34="Yes",ISNUMBER(Setup!$C$34)),EDATE(Roster!$B263,12*Setup!$C$34),"")</f>
        <v/>
      </c>
      <c r="R263" t="str">
        <f>IF(B263="","",IF(B263&lt;Setup!$C$5-Setup!$C$6,"",IF(IF(ISNUMBER(Roster!$D263),Setup!$C$20&lt;=Roster!$D263,FALSE),"",IF(OR(IF(Setup!$C$15&lt;=Setup!$C$16,AND(MONTH(B263)&gt;=Setup!$C$15,MONTH(B263)&lt;=Setup!$C$16),OR(MONTH(B263)&gt;=Setup!$C$15,MONTH(B263)&lt;=Setup!$C$16)),IF(Setup!$C$15&lt;=Setup!$C$16,AND(MONTH(WORKDAY(B263,-(Setup!$C$13+Setup!$G$20),Setup!$C$39:$C$50))&gt;=Setup!$C$15,MONTH(WORKDAY(B263,-(Setup!$C$13+Setup!$G$20),Setup!$C$39:$C$50))&lt;=Setup!$C$16),OR(MONTH(WORKDAY(B263,-(Setup!$C$13+Setup!$G$20),Setup!$C$39:$C$50))&gt;=Setup!$C$15,MONTH(WORKDAY(B263,-(Setup!$C$13+Setup!$G$20),Setup!$C$39:$C$50))&lt;=Setup!$C$16))),WORKDAY(B263,-(Setup!$C$13+Setup!$G$20+Setup!$C$14),Setup!$C$39:$C$50),WORKDAY(B263,-(Setup!$C$13+Setup!$G$20),Setup!$C$39:$C$50))+(258*100+1)/10000000)))</f>
        <v/>
      </c>
      <c r="S263" t="str">
        <f>IF(C263="","",IF(C263&lt;Setup!$C$5-Setup!$C$6,"",IF(IF(ISNUMBER(Roster!$D263),Setup!$C$21&lt;=Roster!$D263,FALSE),"",IF(OR(IF(Setup!$C$15&lt;=Setup!$C$16,AND(MONTH(C263)&gt;=Setup!$C$15,MONTH(C263)&lt;=Setup!$C$16),OR(MONTH(C263)&gt;=Setup!$C$15,MONTH(C263)&lt;=Setup!$C$16)),IF(Setup!$C$15&lt;=Setup!$C$16,AND(MONTH(WORKDAY(C263,-(Setup!$C$13+Setup!$G$21),Setup!$C$39:$C$50))&gt;=Setup!$C$15,MONTH(WORKDAY(C263,-(Setup!$C$13+Setup!$G$21),Setup!$C$39:$C$50))&lt;=Setup!$C$16),OR(MONTH(WORKDAY(C263,-(Setup!$C$13+Setup!$G$21),Setup!$C$39:$C$50))&gt;=Setup!$C$15,MONTH(WORKDAY(C263,-(Setup!$C$13+Setup!$G$21),Setup!$C$39:$C$50))&lt;=Setup!$C$16))),WORKDAY(C263,-(Setup!$C$13+Setup!$G$21+Setup!$C$14),Setup!$C$39:$C$50),WORKDAY(C263,-(Setup!$C$13+Setup!$G$21),Setup!$C$39:$C$50))+(258*100+2)/10000000)))</f>
        <v/>
      </c>
      <c r="T263" t="str">
        <f>IF(D263="","",IF(D263&lt;Setup!$C$5-Setup!$C$6,"",IF(IF(ISNUMBER(Roster!$D263),Setup!$C$22&lt;=Roster!$D263,FALSE),"",IF(OR(IF(Setup!$C$15&lt;=Setup!$C$16,AND(MONTH(D263)&gt;=Setup!$C$15,MONTH(D263)&lt;=Setup!$C$16),OR(MONTH(D263)&gt;=Setup!$C$15,MONTH(D263)&lt;=Setup!$C$16)),IF(Setup!$C$15&lt;=Setup!$C$16,AND(MONTH(WORKDAY(D263,-(Setup!$C$13+Setup!$G$22),Setup!$C$39:$C$50))&gt;=Setup!$C$15,MONTH(WORKDAY(D263,-(Setup!$C$13+Setup!$G$22),Setup!$C$39:$C$50))&lt;=Setup!$C$16),OR(MONTH(WORKDAY(D263,-(Setup!$C$13+Setup!$G$22),Setup!$C$39:$C$50))&gt;=Setup!$C$15,MONTH(WORKDAY(D263,-(Setup!$C$13+Setup!$G$22),Setup!$C$39:$C$50))&lt;=Setup!$C$16))),WORKDAY(D263,-(Setup!$C$13+Setup!$G$22+Setup!$C$14),Setup!$C$39:$C$50),WORKDAY(D263,-(Setup!$C$13+Setup!$G$22),Setup!$C$39:$C$50))+(258*100+3)/10000000)))</f>
        <v/>
      </c>
      <c r="U263" t="str">
        <f>IF(E263="","",IF(E263&lt;Setup!$C$5-Setup!$C$6,"",IF(IF(ISNUMBER(Roster!$D263),Setup!$C$23&lt;=Roster!$D263,FALSE),"",IF(OR(IF(Setup!$C$15&lt;=Setup!$C$16,AND(MONTH(E263)&gt;=Setup!$C$15,MONTH(E263)&lt;=Setup!$C$16),OR(MONTH(E263)&gt;=Setup!$C$15,MONTH(E263)&lt;=Setup!$C$16)),IF(Setup!$C$15&lt;=Setup!$C$16,AND(MONTH(WORKDAY(E263,-(Setup!$C$13+Setup!$G$23),Setup!$C$39:$C$50))&gt;=Setup!$C$15,MONTH(WORKDAY(E263,-(Setup!$C$13+Setup!$G$23),Setup!$C$39:$C$50))&lt;=Setup!$C$16),OR(MONTH(WORKDAY(E263,-(Setup!$C$13+Setup!$G$23),Setup!$C$39:$C$50))&gt;=Setup!$C$15,MONTH(WORKDAY(E263,-(Setup!$C$13+Setup!$G$23),Setup!$C$39:$C$50))&lt;=Setup!$C$16))),WORKDAY(E263,-(Setup!$C$13+Setup!$G$23+Setup!$C$14),Setup!$C$39:$C$50),WORKDAY(E263,-(Setup!$C$13+Setup!$G$23),Setup!$C$39:$C$50))+(258*100+4)/10000000)))</f>
        <v/>
      </c>
      <c r="V263" t="str">
        <f>IF(F263="","",IF(F263&lt;Setup!$C$5-Setup!$C$6,"",IF(IF(ISNUMBER(Roster!$D263),Setup!$C$24&lt;=Roster!$D263,FALSE),"",IF(OR(IF(Setup!$C$15&lt;=Setup!$C$16,AND(MONTH(F263)&gt;=Setup!$C$15,MONTH(F263)&lt;=Setup!$C$16),OR(MONTH(F263)&gt;=Setup!$C$15,MONTH(F263)&lt;=Setup!$C$16)),IF(Setup!$C$15&lt;=Setup!$C$16,AND(MONTH(WORKDAY(F263,-(Setup!$C$13+Setup!$G$24),Setup!$C$39:$C$50))&gt;=Setup!$C$15,MONTH(WORKDAY(F263,-(Setup!$C$13+Setup!$G$24),Setup!$C$39:$C$50))&lt;=Setup!$C$16),OR(MONTH(WORKDAY(F263,-(Setup!$C$13+Setup!$G$24),Setup!$C$39:$C$50))&gt;=Setup!$C$15,MONTH(WORKDAY(F263,-(Setup!$C$13+Setup!$G$24),Setup!$C$39:$C$50))&lt;=Setup!$C$16))),WORKDAY(F263,-(Setup!$C$13+Setup!$G$24+Setup!$C$14),Setup!$C$39:$C$50),WORKDAY(F263,-(Setup!$C$13+Setup!$G$24),Setup!$C$39:$C$50))+(258*100+5)/10000000)))</f>
        <v/>
      </c>
      <c r="W263" t="str">
        <f>IF(G263="","",IF(G263&lt;Setup!$C$5-Setup!$C$6,"",IF(IF(ISNUMBER(Roster!$D263),Setup!$C$25&lt;=Roster!$D263,FALSE),"",IF(OR(IF(Setup!$C$15&lt;=Setup!$C$16,AND(MONTH(G263)&gt;=Setup!$C$15,MONTH(G263)&lt;=Setup!$C$16),OR(MONTH(G263)&gt;=Setup!$C$15,MONTH(G263)&lt;=Setup!$C$16)),IF(Setup!$C$15&lt;=Setup!$C$16,AND(MONTH(WORKDAY(G263,-(Setup!$C$13+Setup!$G$25),Setup!$C$39:$C$50))&gt;=Setup!$C$15,MONTH(WORKDAY(G263,-(Setup!$C$13+Setup!$G$25),Setup!$C$39:$C$50))&lt;=Setup!$C$16),OR(MONTH(WORKDAY(G263,-(Setup!$C$13+Setup!$G$25),Setup!$C$39:$C$50))&gt;=Setup!$C$15,MONTH(WORKDAY(G263,-(Setup!$C$13+Setup!$G$25),Setup!$C$39:$C$50))&lt;=Setup!$C$16))),WORKDAY(G263,-(Setup!$C$13+Setup!$G$25+Setup!$C$14),Setup!$C$39:$C$50),WORKDAY(G263,-(Setup!$C$13+Setup!$G$25),Setup!$C$39:$C$50))+(258*100+6)/10000000)))</f>
        <v/>
      </c>
      <c r="X263" t="str">
        <f>IF(H263="","",IF(H263&lt;Setup!$C$5-Setup!$C$6,"",IF(IF(ISNUMBER(Roster!$D263),Setup!$C$26&lt;=Roster!$D263,FALSE),"",IF(OR(IF(Setup!$C$15&lt;=Setup!$C$16,AND(MONTH(H263)&gt;=Setup!$C$15,MONTH(H263)&lt;=Setup!$C$16),OR(MONTH(H263)&gt;=Setup!$C$15,MONTH(H263)&lt;=Setup!$C$16)),IF(Setup!$C$15&lt;=Setup!$C$16,AND(MONTH(WORKDAY(H263,-(Setup!$C$13+Setup!$G$26),Setup!$C$39:$C$50))&gt;=Setup!$C$15,MONTH(WORKDAY(H263,-(Setup!$C$13+Setup!$G$26),Setup!$C$39:$C$50))&lt;=Setup!$C$16),OR(MONTH(WORKDAY(H263,-(Setup!$C$13+Setup!$G$26),Setup!$C$39:$C$50))&gt;=Setup!$C$15,MONTH(WORKDAY(H263,-(Setup!$C$13+Setup!$G$26),Setup!$C$39:$C$50))&lt;=Setup!$C$16))),WORKDAY(H263,-(Setup!$C$13+Setup!$G$26+Setup!$C$14),Setup!$C$39:$C$50),WORKDAY(H263,-(Setup!$C$13+Setup!$G$26),Setup!$C$39:$C$50))+(258*100+7)/10000000)))</f>
        <v/>
      </c>
      <c r="Y263" t="str">
        <f>IF(I263="","",IF(I263&lt;Setup!$C$5-Setup!$C$6,"",IF(IF(ISNUMBER(Roster!$D263),Setup!$C$27&lt;=Roster!$D263,FALSE),"",IF(OR(IF(Setup!$C$15&lt;=Setup!$C$16,AND(MONTH(I263)&gt;=Setup!$C$15,MONTH(I263)&lt;=Setup!$C$16),OR(MONTH(I263)&gt;=Setup!$C$15,MONTH(I263)&lt;=Setup!$C$16)),IF(Setup!$C$15&lt;=Setup!$C$16,AND(MONTH(WORKDAY(I263,-(Setup!$C$13+Setup!$G$27),Setup!$C$39:$C$50))&gt;=Setup!$C$15,MONTH(WORKDAY(I263,-(Setup!$C$13+Setup!$G$27),Setup!$C$39:$C$50))&lt;=Setup!$C$16),OR(MONTH(WORKDAY(I263,-(Setup!$C$13+Setup!$G$27),Setup!$C$39:$C$50))&gt;=Setup!$C$15,MONTH(WORKDAY(I263,-(Setup!$C$13+Setup!$G$27),Setup!$C$39:$C$50))&lt;=Setup!$C$16))),WORKDAY(I263,-(Setup!$C$13+Setup!$G$27+Setup!$C$14),Setup!$C$39:$C$50),WORKDAY(I263,-(Setup!$C$13+Setup!$G$27),Setup!$C$39:$C$50))+(258*100+8)/10000000)))</f>
        <v/>
      </c>
      <c r="Z263" t="str">
        <f>IF(J263="","",IF(J263&lt;Setup!$C$5-Setup!$C$6,"",IF(IF(ISNUMBER(Roster!$D263),Setup!$C$28&lt;=Roster!$D263,FALSE),"",IF(OR(IF(Setup!$C$15&lt;=Setup!$C$16,AND(MONTH(J263)&gt;=Setup!$C$15,MONTH(J263)&lt;=Setup!$C$16),OR(MONTH(J263)&gt;=Setup!$C$15,MONTH(J263)&lt;=Setup!$C$16)),IF(Setup!$C$15&lt;=Setup!$C$16,AND(MONTH(WORKDAY(J263,-(Setup!$C$13+Setup!$G$28),Setup!$C$39:$C$50))&gt;=Setup!$C$15,MONTH(WORKDAY(J263,-(Setup!$C$13+Setup!$G$28),Setup!$C$39:$C$50))&lt;=Setup!$C$16),OR(MONTH(WORKDAY(J263,-(Setup!$C$13+Setup!$G$28),Setup!$C$39:$C$50))&gt;=Setup!$C$15,MONTH(WORKDAY(J263,-(Setup!$C$13+Setup!$G$28),Setup!$C$39:$C$50))&lt;=Setup!$C$16))),WORKDAY(J263,-(Setup!$C$13+Setup!$G$28+Setup!$C$14),Setup!$C$39:$C$50),WORKDAY(J263,-(Setup!$C$13+Setup!$G$28),Setup!$C$39:$C$50))+(258*100+9)/10000000)))</f>
        <v/>
      </c>
      <c r="AA263" t="str">
        <f>IF(K263="","",IF(K263&lt;Setup!$C$5-Setup!$C$6,"",IF(IF(ISNUMBER(Roster!$D263),Setup!$C$29&lt;=Roster!$D263,FALSE),"",IF(OR(IF(Setup!$C$15&lt;=Setup!$C$16,AND(MONTH(K263)&gt;=Setup!$C$15,MONTH(K263)&lt;=Setup!$C$16),OR(MONTH(K263)&gt;=Setup!$C$15,MONTH(K263)&lt;=Setup!$C$16)),IF(Setup!$C$15&lt;=Setup!$C$16,AND(MONTH(WORKDAY(K263,-(Setup!$C$13+Setup!$G$29),Setup!$C$39:$C$50))&gt;=Setup!$C$15,MONTH(WORKDAY(K263,-(Setup!$C$13+Setup!$G$29),Setup!$C$39:$C$50))&lt;=Setup!$C$16),OR(MONTH(WORKDAY(K263,-(Setup!$C$13+Setup!$G$29),Setup!$C$39:$C$50))&gt;=Setup!$C$15,MONTH(WORKDAY(K263,-(Setup!$C$13+Setup!$G$29),Setup!$C$39:$C$50))&lt;=Setup!$C$16))),WORKDAY(K263,-(Setup!$C$13+Setup!$G$29+Setup!$C$14),Setup!$C$39:$C$50),WORKDAY(K263,-(Setup!$C$13+Setup!$G$29),Setup!$C$39:$C$50))+(258*100+10)/10000000)))</f>
        <v/>
      </c>
      <c r="AB263" t="str">
        <f>IF(L263="","",IF(L263&lt;Setup!$C$5-Setup!$C$6,"",IF(IF(ISNUMBER(Roster!$D263),Setup!$C$30&lt;=Roster!$D263,FALSE),"",IF(OR(IF(Setup!$C$15&lt;=Setup!$C$16,AND(MONTH(L263)&gt;=Setup!$C$15,MONTH(L263)&lt;=Setup!$C$16),OR(MONTH(L263)&gt;=Setup!$C$15,MONTH(L263)&lt;=Setup!$C$16)),IF(Setup!$C$15&lt;=Setup!$C$16,AND(MONTH(WORKDAY(L263,-(Setup!$C$13+Setup!$G$30),Setup!$C$39:$C$50))&gt;=Setup!$C$15,MONTH(WORKDAY(L263,-(Setup!$C$13+Setup!$G$30),Setup!$C$39:$C$50))&lt;=Setup!$C$16),OR(MONTH(WORKDAY(L263,-(Setup!$C$13+Setup!$G$30),Setup!$C$39:$C$50))&gt;=Setup!$C$15,MONTH(WORKDAY(L263,-(Setup!$C$13+Setup!$G$30),Setup!$C$39:$C$50))&lt;=Setup!$C$16))),WORKDAY(L263,-(Setup!$C$13+Setup!$G$30+Setup!$C$14),Setup!$C$39:$C$50),WORKDAY(L263,-(Setup!$C$13+Setup!$G$30),Setup!$C$39:$C$50))+(258*100+11)/10000000)))</f>
        <v/>
      </c>
      <c r="AC263" t="str">
        <f>IF(M263="","",IF(M263&lt;Setup!$C$5-Setup!$C$6,"",IF(IF(ISNUMBER(Roster!$D263),Setup!$C$31&lt;=Roster!$D263,FALSE),"",IF(OR(IF(Setup!$C$15&lt;=Setup!$C$16,AND(MONTH(M263)&gt;=Setup!$C$15,MONTH(M263)&lt;=Setup!$C$16),OR(MONTH(M263)&gt;=Setup!$C$15,MONTH(M263)&lt;=Setup!$C$16)),IF(Setup!$C$15&lt;=Setup!$C$16,AND(MONTH(WORKDAY(M263,-(Setup!$C$13+Setup!$G$31),Setup!$C$39:$C$50))&gt;=Setup!$C$15,MONTH(WORKDAY(M263,-(Setup!$C$13+Setup!$G$31),Setup!$C$39:$C$50))&lt;=Setup!$C$16),OR(MONTH(WORKDAY(M263,-(Setup!$C$13+Setup!$G$31),Setup!$C$39:$C$50))&gt;=Setup!$C$15,MONTH(WORKDAY(M263,-(Setup!$C$13+Setup!$G$31),Setup!$C$39:$C$50))&lt;=Setup!$C$16))),WORKDAY(M263,-(Setup!$C$13+Setup!$G$31+Setup!$C$14),Setup!$C$39:$C$50),WORKDAY(M263,-(Setup!$C$13+Setup!$G$31),Setup!$C$39:$C$50))+(258*100+12)/10000000)))</f>
        <v/>
      </c>
      <c r="AD263" t="str">
        <f>IF(N263="","",IF(N263&lt;Setup!$C$5-Setup!$C$6,"",IF(IF(ISNUMBER(Roster!$D263),Setup!$C$32&lt;=Roster!$D263,FALSE),"",IF(OR(IF(Setup!$C$15&lt;=Setup!$C$16,AND(MONTH(N263)&gt;=Setup!$C$15,MONTH(N263)&lt;=Setup!$C$16),OR(MONTH(N263)&gt;=Setup!$C$15,MONTH(N263)&lt;=Setup!$C$16)),IF(Setup!$C$15&lt;=Setup!$C$16,AND(MONTH(WORKDAY(N263,-(Setup!$C$13+Setup!$G$32),Setup!$C$39:$C$50))&gt;=Setup!$C$15,MONTH(WORKDAY(N263,-(Setup!$C$13+Setup!$G$32),Setup!$C$39:$C$50))&lt;=Setup!$C$16),OR(MONTH(WORKDAY(N263,-(Setup!$C$13+Setup!$G$32),Setup!$C$39:$C$50))&gt;=Setup!$C$15,MONTH(WORKDAY(N263,-(Setup!$C$13+Setup!$G$32),Setup!$C$39:$C$50))&lt;=Setup!$C$16))),WORKDAY(N263,-(Setup!$C$13+Setup!$G$32+Setup!$C$14),Setup!$C$39:$C$50),WORKDAY(N263,-(Setup!$C$13+Setup!$G$32),Setup!$C$39:$C$50))+(258*100+13)/10000000)))</f>
        <v/>
      </c>
      <c r="AE263" t="str">
        <f>IF(O263="","",IF(O263&lt;Setup!$C$5-Setup!$C$6,"",IF(IF(ISNUMBER(Roster!$D263),Setup!$C$33&lt;=Roster!$D263,FALSE),"",IF(OR(IF(Setup!$C$15&lt;=Setup!$C$16,AND(MONTH(O263)&gt;=Setup!$C$15,MONTH(O263)&lt;=Setup!$C$16),OR(MONTH(O263)&gt;=Setup!$C$15,MONTH(O263)&lt;=Setup!$C$16)),IF(Setup!$C$15&lt;=Setup!$C$16,AND(MONTH(WORKDAY(O263,-(Setup!$C$13+Setup!$G$33),Setup!$C$39:$C$50))&gt;=Setup!$C$15,MONTH(WORKDAY(O263,-(Setup!$C$13+Setup!$G$33),Setup!$C$39:$C$50))&lt;=Setup!$C$16),OR(MONTH(WORKDAY(O263,-(Setup!$C$13+Setup!$G$33),Setup!$C$39:$C$50))&gt;=Setup!$C$15,MONTH(WORKDAY(O263,-(Setup!$C$13+Setup!$G$33),Setup!$C$39:$C$50))&lt;=Setup!$C$16))),WORKDAY(O263,-(Setup!$C$13+Setup!$G$33+Setup!$C$14),Setup!$C$39:$C$50),WORKDAY(O263,-(Setup!$C$13+Setup!$G$33),Setup!$C$39:$C$50))+(258*100+14)/10000000)))</f>
        <v/>
      </c>
      <c r="AF263" t="str">
        <f>IF(P263="","",IF(P263&lt;Setup!$C$5-Setup!$C$6,"",IF(IF(ISNUMBER(Roster!$D263),Setup!$C$34&lt;=Roster!$D263,FALSE),"",IF(OR(IF(Setup!$C$15&lt;=Setup!$C$16,AND(MONTH(P263)&gt;=Setup!$C$15,MONTH(P263)&lt;=Setup!$C$16),OR(MONTH(P263)&gt;=Setup!$C$15,MONTH(P263)&lt;=Setup!$C$16)),IF(Setup!$C$15&lt;=Setup!$C$16,AND(MONTH(WORKDAY(P263,-(Setup!$C$13+Setup!$G$34),Setup!$C$39:$C$50))&gt;=Setup!$C$15,MONTH(WORKDAY(P263,-(Setup!$C$13+Setup!$G$34),Setup!$C$39:$C$50))&lt;=Setup!$C$16),OR(MONTH(WORKDAY(P263,-(Setup!$C$13+Setup!$G$34),Setup!$C$39:$C$50))&gt;=Setup!$C$15,MONTH(WORKDAY(P263,-(Setup!$C$13+Setup!$G$34),Setup!$C$39:$C$50))&lt;=Setup!$C$16))),WORKDAY(P263,-(Setup!$C$13+Setup!$G$34+Setup!$C$14),Setup!$C$39:$C$50),WORKDAY(P263,-(Setup!$C$13+Setup!$G$34),Setup!$C$39:$C$50))+(258*100+15)/10000000)))</f>
        <v/>
      </c>
      <c r="AH263" t="str">
        <f t="shared" si="33"/>
        <v/>
      </c>
      <c r="AI263" t="str">
        <f t="shared" si="34"/>
        <v/>
      </c>
      <c r="AK263" t="str">
        <f ca="1">IF(258&gt;$AK$2,"",SMALL($R$6:$AF$505,258))</f>
        <v/>
      </c>
      <c r="AL263" t="str">
        <f t="shared" ca="1" si="35"/>
        <v/>
      </c>
      <c r="AM263" t="str">
        <f t="shared" ca="1" si="36"/>
        <v/>
      </c>
      <c r="AN263" t="str">
        <f t="shared" ca="1" si="37"/>
        <v/>
      </c>
      <c r="AP263" t="str">
        <f>IF(ISNUMBER(Roster!$B263),MAX(1,YEAR(Setup!$C$5)-YEAR(Roster!$B263)+IF(EDATE(Roster!$B263,12*(YEAR(Setup!$C$5)-YEAR(Roster!$B263)))&lt;Setup!$C$5,1,0)),"")</f>
        <v/>
      </c>
      <c r="AQ263" s="32" t="str">
        <f>IF(AP263="","",EDATE(Roster!$B263,12*AP263))</f>
        <v/>
      </c>
      <c r="AR263" t="str">
        <f>IF(AQ263="","",IF(AQ263&lt;DATE(YEAR(Setup!$C$5)+1,MONTH(Setup!$C$5),DAY(Setup!$C$5)),AQ263+258/1000,""))</f>
        <v/>
      </c>
      <c r="AS263" t="str">
        <f t="shared" si="38"/>
        <v/>
      </c>
      <c r="AT263" t="str">
        <f>IF(AS263="","",IF(ISNUMBER(Roster!$D263),Roster!$D263&gt;=AP263,FALSE))</f>
        <v/>
      </c>
      <c r="AU263" t="str">
        <f t="shared" si="39"/>
        <v/>
      </c>
      <c r="AV263" t="str">
        <f ca="1">IF(258&gt;$AV$2,"",SMALL($AR$6:$AR$505,258))</f>
        <v/>
      </c>
      <c r="AW263" t="str">
        <f t="shared" ca="1" si="40"/>
        <v/>
      </c>
    </row>
    <row r="264" spans="2:49" x14ac:dyDescent="0.2">
      <c r="B264" s="32" t="str">
        <f>IF(AND(ISNUMBER(Roster!$B264),Setup!$B$20="Yes",ISNUMBER(Setup!$C$20)),EDATE(Roster!$B264,12*Setup!$C$20),"")</f>
        <v/>
      </c>
      <c r="C264" s="32" t="str">
        <f>IF(AND(ISNUMBER(Roster!$B264),Setup!$B$21="Yes",ISNUMBER(Setup!$C$21)),EDATE(Roster!$B264,12*Setup!$C$21),"")</f>
        <v/>
      </c>
      <c r="D264" s="32" t="str">
        <f>IF(AND(ISNUMBER(Roster!$B264),Setup!$B$22="Yes",ISNUMBER(Setup!$C$22)),EDATE(Roster!$B264,12*Setup!$C$22),"")</f>
        <v/>
      </c>
      <c r="E264" s="32" t="str">
        <f>IF(AND(ISNUMBER(Roster!$B264),Setup!$B$23="Yes",ISNUMBER(Setup!$C$23)),EDATE(Roster!$B264,12*Setup!$C$23),"")</f>
        <v/>
      </c>
      <c r="F264" s="32" t="str">
        <f>IF(AND(ISNUMBER(Roster!$B264),Setup!$B$24="Yes",ISNUMBER(Setup!$C$24)),EDATE(Roster!$B264,12*Setup!$C$24),"")</f>
        <v/>
      </c>
      <c r="G264" s="32" t="str">
        <f>IF(AND(ISNUMBER(Roster!$B264),Setup!$B$25="Yes",ISNUMBER(Setup!$C$25)),EDATE(Roster!$B264,12*Setup!$C$25),"")</f>
        <v/>
      </c>
      <c r="H264" s="32" t="str">
        <f>IF(AND(ISNUMBER(Roster!$B264),Setup!$B$26="Yes",ISNUMBER(Setup!$C$26)),EDATE(Roster!$B264,12*Setup!$C$26),"")</f>
        <v/>
      </c>
      <c r="I264" s="32" t="str">
        <f>IF(AND(ISNUMBER(Roster!$B264),Setup!$B$27="Yes",ISNUMBER(Setup!$C$27)),EDATE(Roster!$B264,12*Setup!$C$27),"")</f>
        <v/>
      </c>
      <c r="J264" s="32" t="str">
        <f>IF(AND(ISNUMBER(Roster!$B264),Setup!$B$28="Yes",ISNUMBER(Setup!$C$28)),EDATE(Roster!$B264,12*Setup!$C$28),"")</f>
        <v/>
      </c>
      <c r="K264" s="32" t="str">
        <f>IF(AND(ISNUMBER(Roster!$B264),Setup!$B$29="Yes",ISNUMBER(Setup!$C$29)),EDATE(Roster!$B264,12*Setup!$C$29),"")</f>
        <v/>
      </c>
      <c r="L264" s="32" t="str">
        <f>IF(AND(ISNUMBER(Roster!$B264),Setup!$B$30="Yes",ISNUMBER(Setup!$C$30)),EDATE(Roster!$B264,12*Setup!$C$30),"")</f>
        <v/>
      </c>
      <c r="M264" s="32" t="str">
        <f>IF(AND(ISNUMBER(Roster!$B264),Setup!$B$31="Yes",ISNUMBER(Setup!$C$31)),EDATE(Roster!$B264,12*Setup!$C$31),"")</f>
        <v/>
      </c>
      <c r="N264" s="32" t="str">
        <f>IF(AND(ISNUMBER(Roster!$B264),Setup!$B$32="Yes",ISNUMBER(Setup!$C$32)),EDATE(Roster!$B264,12*Setup!$C$32),"")</f>
        <v/>
      </c>
      <c r="O264" s="32" t="str">
        <f>IF(AND(ISNUMBER(Roster!$B264),Setup!$B$33="Yes",ISNUMBER(Setup!$C$33)),EDATE(Roster!$B264,12*Setup!$C$33),"")</f>
        <v/>
      </c>
      <c r="P264" s="32" t="str">
        <f>IF(AND(ISNUMBER(Roster!$B264),Setup!$B$34="Yes",ISNUMBER(Setup!$C$34)),EDATE(Roster!$B264,12*Setup!$C$34),"")</f>
        <v/>
      </c>
      <c r="R264" t="str">
        <f>IF(B264="","",IF(B264&lt;Setup!$C$5-Setup!$C$6,"",IF(IF(ISNUMBER(Roster!$D264),Setup!$C$20&lt;=Roster!$D264,FALSE),"",IF(OR(IF(Setup!$C$15&lt;=Setup!$C$16,AND(MONTH(B264)&gt;=Setup!$C$15,MONTH(B264)&lt;=Setup!$C$16),OR(MONTH(B264)&gt;=Setup!$C$15,MONTH(B264)&lt;=Setup!$C$16)),IF(Setup!$C$15&lt;=Setup!$C$16,AND(MONTH(WORKDAY(B264,-(Setup!$C$13+Setup!$G$20),Setup!$C$39:$C$50))&gt;=Setup!$C$15,MONTH(WORKDAY(B264,-(Setup!$C$13+Setup!$G$20),Setup!$C$39:$C$50))&lt;=Setup!$C$16),OR(MONTH(WORKDAY(B264,-(Setup!$C$13+Setup!$G$20),Setup!$C$39:$C$50))&gt;=Setup!$C$15,MONTH(WORKDAY(B264,-(Setup!$C$13+Setup!$G$20),Setup!$C$39:$C$50))&lt;=Setup!$C$16))),WORKDAY(B264,-(Setup!$C$13+Setup!$G$20+Setup!$C$14),Setup!$C$39:$C$50),WORKDAY(B264,-(Setup!$C$13+Setup!$G$20),Setup!$C$39:$C$50))+(259*100+1)/10000000)))</f>
        <v/>
      </c>
      <c r="S264" t="str">
        <f>IF(C264="","",IF(C264&lt;Setup!$C$5-Setup!$C$6,"",IF(IF(ISNUMBER(Roster!$D264),Setup!$C$21&lt;=Roster!$D264,FALSE),"",IF(OR(IF(Setup!$C$15&lt;=Setup!$C$16,AND(MONTH(C264)&gt;=Setup!$C$15,MONTH(C264)&lt;=Setup!$C$16),OR(MONTH(C264)&gt;=Setup!$C$15,MONTH(C264)&lt;=Setup!$C$16)),IF(Setup!$C$15&lt;=Setup!$C$16,AND(MONTH(WORKDAY(C264,-(Setup!$C$13+Setup!$G$21),Setup!$C$39:$C$50))&gt;=Setup!$C$15,MONTH(WORKDAY(C264,-(Setup!$C$13+Setup!$G$21),Setup!$C$39:$C$50))&lt;=Setup!$C$16),OR(MONTH(WORKDAY(C264,-(Setup!$C$13+Setup!$G$21),Setup!$C$39:$C$50))&gt;=Setup!$C$15,MONTH(WORKDAY(C264,-(Setup!$C$13+Setup!$G$21),Setup!$C$39:$C$50))&lt;=Setup!$C$16))),WORKDAY(C264,-(Setup!$C$13+Setup!$G$21+Setup!$C$14),Setup!$C$39:$C$50),WORKDAY(C264,-(Setup!$C$13+Setup!$G$21),Setup!$C$39:$C$50))+(259*100+2)/10000000)))</f>
        <v/>
      </c>
      <c r="T264" t="str">
        <f>IF(D264="","",IF(D264&lt;Setup!$C$5-Setup!$C$6,"",IF(IF(ISNUMBER(Roster!$D264),Setup!$C$22&lt;=Roster!$D264,FALSE),"",IF(OR(IF(Setup!$C$15&lt;=Setup!$C$16,AND(MONTH(D264)&gt;=Setup!$C$15,MONTH(D264)&lt;=Setup!$C$16),OR(MONTH(D264)&gt;=Setup!$C$15,MONTH(D264)&lt;=Setup!$C$16)),IF(Setup!$C$15&lt;=Setup!$C$16,AND(MONTH(WORKDAY(D264,-(Setup!$C$13+Setup!$G$22),Setup!$C$39:$C$50))&gt;=Setup!$C$15,MONTH(WORKDAY(D264,-(Setup!$C$13+Setup!$G$22),Setup!$C$39:$C$50))&lt;=Setup!$C$16),OR(MONTH(WORKDAY(D264,-(Setup!$C$13+Setup!$G$22),Setup!$C$39:$C$50))&gt;=Setup!$C$15,MONTH(WORKDAY(D264,-(Setup!$C$13+Setup!$G$22),Setup!$C$39:$C$50))&lt;=Setup!$C$16))),WORKDAY(D264,-(Setup!$C$13+Setup!$G$22+Setup!$C$14),Setup!$C$39:$C$50),WORKDAY(D264,-(Setup!$C$13+Setup!$G$22),Setup!$C$39:$C$50))+(259*100+3)/10000000)))</f>
        <v/>
      </c>
      <c r="U264" t="str">
        <f>IF(E264="","",IF(E264&lt;Setup!$C$5-Setup!$C$6,"",IF(IF(ISNUMBER(Roster!$D264),Setup!$C$23&lt;=Roster!$D264,FALSE),"",IF(OR(IF(Setup!$C$15&lt;=Setup!$C$16,AND(MONTH(E264)&gt;=Setup!$C$15,MONTH(E264)&lt;=Setup!$C$16),OR(MONTH(E264)&gt;=Setup!$C$15,MONTH(E264)&lt;=Setup!$C$16)),IF(Setup!$C$15&lt;=Setup!$C$16,AND(MONTH(WORKDAY(E264,-(Setup!$C$13+Setup!$G$23),Setup!$C$39:$C$50))&gt;=Setup!$C$15,MONTH(WORKDAY(E264,-(Setup!$C$13+Setup!$G$23),Setup!$C$39:$C$50))&lt;=Setup!$C$16),OR(MONTH(WORKDAY(E264,-(Setup!$C$13+Setup!$G$23),Setup!$C$39:$C$50))&gt;=Setup!$C$15,MONTH(WORKDAY(E264,-(Setup!$C$13+Setup!$G$23),Setup!$C$39:$C$50))&lt;=Setup!$C$16))),WORKDAY(E264,-(Setup!$C$13+Setup!$G$23+Setup!$C$14),Setup!$C$39:$C$50),WORKDAY(E264,-(Setup!$C$13+Setup!$G$23),Setup!$C$39:$C$50))+(259*100+4)/10000000)))</f>
        <v/>
      </c>
      <c r="V264" t="str">
        <f>IF(F264="","",IF(F264&lt;Setup!$C$5-Setup!$C$6,"",IF(IF(ISNUMBER(Roster!$D264),Setup!$C$24&lt;=Roster!$D264,FALSE),"",IF(OR(IF(Setup!$C$15&lt;=Setup!$C$16,AND(MONTH(F264)&gt;=Setup!$C$15,MONTH(F264)&lt;=Setup!$C$16),OR(MONTH(F264)&gt;=Setup!$C$15,MONTH(F264)&lt;=Setup!$C$16)),IF(Setup!$C$15&lt;=Setup!$C$16,AND(MONTH(WORKDAY(F264,-(Setup!$C$13+Setup!$G$24),Setup!$C$39:$C$50))&gt;=Setup!$C$15,MONTH(WORKDAY(F264,-(Setup!$C$13+Setup!$G$24),Setup!$C$39:$C$50))&lt;=Setup!$C$16),OR(MONTH(WORKDAY(F264,-(Setup!$C$13+Setup!$G$24),Setup!$C$39:$C$50))&gt;=Setup!$C$15,MONTH(WORKDAY(F264,-(Setup!$C$13+Setup!$G$24),Setup!$C$39:$C$50))&lt;=Setup!$C$16))),WORKDAY(F264,-(Setup!$C$13+Setup!$G$24+Setup!$C$14),Setup!$C$39:$C$50),WORKDAY(F264,-(Setup!$C$13+Setup!$G$24),Setup!$C$39:$C$50))+(259*100+5)/10000000)))</f>
        <v/>
      </c>
      <c r="W264" t="str">
        <f>IF(G264="","",IF(G264&lt;Setup!$C$5-Setup!$C$6,"",IF(IF(ISNUMBER(Roster!$D264),Setup!$C$25&lt;=Roster!$D264,FALSE),"",IF(OR(IF(Setup!$C$15&lt;=Setup!$C$16,AND(MONTH(G264)&gt;=Setup!$C$15,MONTH(G264)&lt;=Setup!$C$16),OR(MONTH(G264)&gt;=Setup!$C$15,MONTH(G264)&lt;=Setup!$C$16)),IF(Setup!$C$15&lt;=Setup!$C$16,AND(MONTH(WORKDAY(G264,-(Setup!$C$13+Setup!$G$25),Setup!$C$39:$C$50))&gt;=Setup!$C$15,MONTH(WORKDAY(G264,-(Setup!$C$13+Setup!$G$25),Setup!$C$39:$C$50))&lt;=Setup!$C$16),OR(MONTH(WORKDAY(G264,-(Setup!$C$13+Setup!$G$25),Setup!$C$39:$C$50))&gt;=Setup!$C$15,MONTH(WORKDAY(G264,-(Setup!$C$13+Setup!$G$25),Setup!$C$39:$C$50))&lt;=Setup!$C$16))),WORKDAY(G264,-(Setup!$C$13+Setup!$G$25+Setup!$C$14),Setup!$C$39:$C$50),WORKDAY(G264,-(Setup!$C$13+Setup!$G$25),Setup!$C$39:$C$50))+(259*100+6)/10000000)))</f>
        <v/>
      </c>
      <c r="X264" t="str">
        <f>IF(H264="","",IF(H264&lt;Setup!$C$5-Setup!$C$6,"",IF(IF(ISNUMBER(Roster!$D264),Setup!$C$26&lt;=Roster!$D264,FALSE),"",IF(OR(IF(Setup!$C$15&lt;=Setup!$C$16,AND(MONTH(H264)&gt;=Setup!$C$15,MONTH(H264)&lt;=Setup!$C$16),OR(MONTH(H264)&gt;=Setup!$C$15,MONTH(H264)&lt;=Setup!$C$16)),IF(Setup!$C$15&lt;=Setup!$C$16,AND(MONTH(WORKDAY(H264,-(Setup!$C$13+Setup!$G$26),Setup!$C$39:$C$50))&gt;=Setup!$C$15,MONTH(WORKDAY(H264,-(Setup!$C$13+Setup!$G$26),Setup!$C$39:$C$50))&lt;=Setup!$C$16),OR(MONTH(WORKDAY(H264,-(Setup!$C$13+Setup!$G$26),Setup!$C$39:$C$50))&gt;=Setup!$C$15,MONTH(WORKDAY(H264,-(Setup!$C$13+Setup!$G$26),Setup!$C$39:$C$50))&lt;=Setup!$C$16))),WORKDAY(H264,-(Setup!$C$13+Setup!$G$26+Setup!$C$14),Setup!$C$39:$C$50),WORKDAY(H264,-(Setup!$C$13+Setup!$G$26),Setup!$C$39:$C$50))+(259*100+7)/10000000)))</f>
        <v/>
      </c>
      <c r="Y264" t="str">
        <f>IF(I264="","",IF(I264&lt;Setup!$C$5-Setup!$C$6,"",IF(IF(ISNUMBER(Roster!$D264),Setup!$C$27&lt;=Roster!$D264,FALSE),"",IF(OR(IF(Setup!$C$15&lt;=Setup!$C$16,AND(MONTH(I264)&gt;=Setup!$C$15,MONTH(I264)&lt;=Setup!$C$16),OR(MONTH(I264)&gt;=Setup!$C$15,MONTH(I264)&lt;=Setup!$C$16)),IF(Setup!$C$15&lt;=Setup!$C$16,AND(MONTH(WORKDAY(I264,-(Setup!$C$13+Setup!$G$27),Setup!$C$39:$C$50))&gt;=Setup!$C$15,MONTH(WORKDAY(I264,-(Setup!$C$13+Setup!$G$27),Setup!$C$39:$C$50))&lt;=Setup!$C$16),OR(MONTH(WORKDAY(I264,-(Setup!$C$13+Setup!$G$27),Setup!$C$39:$C$50))&gt;=Setup!$C$15,MONTH(WORKDAY(I264,-(Setup!$C$13+Setup!$G$27),Setup!$C$39:$C$50))&lt;=Setup!$C$16))),WORKDAY(I264,-(Setup!$C$13+Setup!$G$27+Setup!$C$14),Setup!$C$39:$C$50),WORKDAY(I264,-(Setup!$C$13+Setup!$G$27),Setup!$C$39:$C$50))+(259*100+8)/10000000)))</f>
        <v/>
      </c>
      <c r="Z264" t="str">
        <f>IF(J264="","",IF(J264&lt;Setup!$C$5-Setup!$C$6,"",IF(IF(ISNUMBER(Roster!$D264),Setup!$C$28&lt;=Roster!$D264,FALSE),"",IF(OR(IF(Setup!$C$15&lt;=Setup!$C$16,AND(MONTH(J264)&gt;=Setup!$C$15,MONTH(J264)&lt;=Setup!$C$16),OR(MONTH(J264)&gt;=Setup!$C$15,MONTH(J264)&lt;=Setup!$C$16)),IF(Setup!$C$15&lt;=Setup!$C$16,AND(MONTH(WORKDAY(J264,-(Setup!$C$13+Setup!$G$28),Setup!$C$39:$C$50))&gt;=Setup!$C$15,MONTH(WORKDAY(J264,-(Setup!$C$13+Setup!$G$28),Setup!$C$39:$C$50))&lt;=Setup!$C$16),OR(MONTH(WORKDAY(J264,-(Setup!$C$13+Setup!$G$28),Setup!$C$39:$C$50))&gt;=Setup!$C$15,MONTH(WORKDAY(J264,-(Setup!$C$13+Setup!$G$28),Setup!$C$39:$C$50))&lt;=Setup!$C$16))),WORKDAY(J264,-(Setup!$C$13+Setup!$G$28+Setup!$C$14),Setup!$C$39:$C$50),WORKDAY(J264,-(Setup!$C$13+Setup!$G$28),Setup!$C$39:$C$50))+(259*100+9)/10000000)))</f>
        <v/>
      </c>
      <c r="AA264" t="str">
        <f>IF(K264="","",IF(K264&lt;Setup!$C$5-Setup!$C$6,"",IF(IF(ISNUMBER(Roster!$D264),Setup!$C$29&lt;=Roster!$D264,FALSE),"",IF(OR(IF(Setup!$C$15&lt;=Setup!$C$16,AND(MONTH(K264)&gt;=Setup!$C$15,MONTH(K264)&lt;=Setup!$C$16),OR(MONTH(K264)&gt;=Setup!$C$15,MONTH(K264)&lt;=Setup!$C$16)),IF(Setup!$C$15&lt;=Setup!$C$16,AND(MONTH(WORKDAY(K264,-(Setup!$C$13+Setup!$G$29),Setup!$C$39:$C$50))&gt;=Setup!$C$15,MONTH(WORKDAY(K264,-(Setup!$C$13+Setup!$G$29),Setup!$C$39:$C$50))&lt;=Setup!$C$16),OR(MONTH(WORKDAY(K264,-(Setup!$C$13+Setup!$G$29),Setup!$C$39:$C$50))&gt;=Setup!$C$15,MONTH(WORKDAY(K264,-(Setup!$C$13+Setup!$G$29),Setup!$C$39:$C$50))&lt;=Setup!$C$16))),WORKDAY(K264,-(Setup!$C$13+Setup!$G$29+Setup!$C$14),Setup!$C$39:$C$50),WORKDAY(K264,-(Setup!$C$13+Setup!$G$29),Setup!$C$39:$C$50))+(259*100+10)/10000000)))</f>
        <v/>
      </c>
      <c r="AB264" t="str">
        <f>IF(L264="","",IF(L264&lt;Setup!$C$5-Setup!$C$6,"",IF(IF(ISNUMBER(Roster!$D264),Setup!$C$30&lt;=Roster!$D264,FALSE),"",IF(OR(IF(Setup!$C$15&lt;=Setup!$C$16,AND(MONTH(L264)&gt;=Setup!$C$15,MONTH(L264)&lt;=Setup!$C$16),OR(MONTH(L264)&gt;=Setup!$C$15,MONTH(L264)&lt;=Setup!$C$16)),IF(Setup!$C$15&lt;=Setup!$C$16,AND(MONTH(WORKDAY(L264,-(Setup!$C$13+Setup!$G$30),Setup!$C$39:$C$50))&gt;=Setup!$C$15,MONTH(WORKDAY(L264,-(Setup!$C$13+Setup!$G$30),Setup!$C$39:$C$50))&lt;=Setup!$C$16),OR(MONTH(WORKDAY(L264,-(Setup!$C$13+Setup!$G$30),Setup!$C$39:$C$50))&gt;=Setup!$C$15,MONTH(WORKDAY(L264,-(Setup!$C$13+Setup!$G$30),Setup!$C$39:$C$50))&lt;=Setup!$C$16))),WORKDAY(L264,-(Setup!$C$13+Setup!$G$30+Setup!$C$14),Setup!$C$39:$C$50),WORKDAY(L264,-(Setup!$C$13+Setup!$G$30),Setup!$C$39:$C$50))+(259*100+11)/10000000)))</f>
        <v/>
      </c>
      <c r="AC264" t="str">
        <f>IF(M264="","",IF(M264&lt;Setup!$C$5-Setup!$C$6,"",IF(IF(ISNUMBER(Roster!$D264),Setup!$C$31&lt;=Roster!$D264,FALSE),"",IF(OR(IF(Setup!$C$15&lt;=Setup!$C$16,AND(MONTH(M264)&gt;=Setup!$C$15,MONTH(M264)&lt;=Setup!$C$16),OR(MONTH(M264)&gt;=Setup!$C$15,MONTH(M264)&lt;=Setup!$C$16)),IF(Setup!$C$15&lt;=Setup!$C$16,AND(MONTH(WORKDAY(M264,-(Setup!$C$13+Setup!$G$31),Setup!$C$39:$C$50))&gt;=Setup!$C$15,MONTH(WORKDAY(M264,-(Setup!$C$13+Setup!$G$31),Setup!$C$39:$C$50))&lt;=Setup!$C$16),OR(MONTH(WORKDAY(M264,-(Setup!$C$13+Setup!$G$31),Setup!$C$39:$C$50))&gt;=Setup!$C$15,MONTH(WORKDAY(M264,-(Setup!$C$13+Setup!$G$31),Setup!$C$39:$C$50))&lt;=Setup!$C$16))),WORKDAY(M264,-(Setup!$C$13+Setup!$G$31+Setup!$C$14),Setup!$C$39:$C$50),WORKDAY(M264,-(Setup!$C$13+Setup!$G$31),Setup!$C$39:$C$50))+(259*100+12)/10000000)))</f>
        <v/>
      </c>
      <c r="AD264" t="str">
        <f>IF(N264="","",IF(N264&lt;Setup!$C$5-Setup!$C$6,"",IF(IF(ISNUMBER(Roster!$D264),Setup!$C$32&lt;=Roster!$D264,FALSE),"",IF(OR(IF(Setup!$C$15&lt;=Setup!$C$16,AND(MONTH(N264)&gt;=Setup!$C$15,MONTH(N264)&lt;=Setup!$C$16),OR(MONTH(N264)&gt;=Setup!$C$15,MONTH(N264)&lt;=Setup!$C$16)),IF(Setup!$C$15&lt;=Setup!$C$16,AND(MONTH(WORKDAY(N264,-(Setup!$C$13+Setup!$G$32),Setup!$C$39:$C$50))&gt;=Setup!$C$15,MONTH(WORKDAY(N264,-(Setup!$C$13+Setup!$G$32),Setup!$C$39:$C$50))&lt;=Setup!$C$16),OR(MONTH(WORKDAY(N264,-(Setup!$C$13+Setup!$G$32),Setup!$C$39:$C$50))&gt;=Setup!$C$15,MONTH(WORKDAY(N264,-(Setup!$C$13+Setup!$G$32),Setup!$C$39:$C$50))&lt;=Setup!$C$16))),WORKDAY(N264,-(Setup!$C$13+Setup!$G$32+Setup!$C$14),Setup!$C$39:$C$50),WORKDAY(N264,-(Setup!$C$13+Setup!$G$32),Setup!$C$39:$C$50))+(259*100+13)/10000000)))</f>
        <v/>
      </c>
      <c r="AE264" t="str">
        <f>IF(O264="","",IF(O264&lt;Setup!$C$5-Setup!$C$6,"",IF(IF(ISNUMBER(Roster!$D264),Setup!$C$33&lt;=Roster!$D264,FALSE),"",IF(OR(IF(Setup!$C$15&lt;=Setup!$C$16,AND(MONTH(O264)&gt;=Setup!$C$15,MONTH(O264)&lt;=Setup!$C$16),OR(MONTH(O264)&gt;=Setup!$C$15,MONTH(O264)&lt;=Setup!$C$16)),IF(Setup!$C$15&lt;=Setup!$C$16,AND(MONTH(WORKDAY(O264,-(Setup!$C$13+Setup!$G$33),Setup!$C$39:$C$50))&gt;=Setup!$C$15,MONTH(WORKDAY(O264,-(Setup!$C$13+Setup!$G$33),Setup!$C$39:$C$50))&lt;=Setup!$C$16),OR(MONTH(WORKDAY(O264,-(Setup!$C$13+Setup!$G$33),Setup!$C$39:$C$50))&gt;=Setup!$C$15,MONTH(WORKDAY(O264,-(Setup!$C$13+Setup!$G$33),Setup!$C$39:$C$50))&lt;=Setup!$C$16))),WORKDAY(O264,-(Setup!$C$13+Setup!$G$33+Setup!$C$14),Setup!$C$39:$C$50),WORKDAY(O264,-(Setup!$C$13+Setup!$G$33),Setup!$C$39:$C$50))+(259*100+14)/10000000)))</f>
        <v/>
      </c>
      <c r="AF264" t="str">
        <f>IF(P264="","",IF(P264&lt;Setup!$C$5-Setup!$C$6,"",IF(IF(ISNUMBER(Roster!$D264),Setup!$C$34&lt;=Roster!$D264,FALSE),"",IF(OR(IF(Setup!$C$15&lt;=Setup!$C$16,AND(MONTH(P264)&gt;=Setup!$C$15,MONTH(P264)&lt;=Setup!$C$16),OR(MONTH(P264)&gt;=Setup!$C$15,MONTH(P264)&lt;=Setup!$C$16)),IF(Setup!$C$15&lt;=Setup!$C$16,AND(MONTH(WORKDAY(P264,-(Setup!$C$13+Setup!$G$34),Setup!$C$39:$C$50))&gt;=Setup!$C$15,MONTH(WORKDAY(P264,-(Setup!$C$13+Setup!$G$34),Setup!$C$39:$C$50))&lt;=Setup!$C$16),OR(MONTH(WORKDAY(P264,-(Setup!$C$13+Setup!$G$34),Setup!$C$39:$C$50))&gt;=Setup!$C$15,MONTH(WORKDAY(P264,-(Setup!$C$13+Setup!$G$34),Setup!$C$39:$C$50))&lt;=Setup!$C$16))),WORKDAY(P264,-(Setup!$C$13+Setup!$G$34+Setup!$C$14),Setup!$C$39:$C$50),WORKDAY(P264,-(Setup!$C$13+Setup!$G$34),Setup!$C$39:$C$50))+(259*100+15)/10000000)))</f>
        <v/>
      </c>
      <c r="AH264" t="str">
        <f t="shared" si="33"/>
        <v/>
      </c>
      <c r="AI264" t="str">
        <f t="shared" si="34"/>
        <v/>
      </c>
      <c r="AK264" t="str">
        <f ca="1">IF(259&gt;$AK$2,"",SMALL($R$6:$AF$505,259))</f>
        <v/>
      </c>
      <c r="AL264" t="str">
        <f t="shared" ca="1" si="35"/>
        <v/>
      </c>
      <c r="AM264" t="str">
        <f t="shared" ca="1" si="36"/>
        <v/>
      </c>
      <c r="AN264" t="str">
        <f t="shared" ca="1" si="37"/>
        <v/>
      </c>
      <c r="AP264" t="str">
        <f>IF(ISNUMBER(Roster!$B264),MAX(1,YEAR(Setup!$C$5)-YEAR(Roster!$B264)+IF(EDATE(Roster!$B264,12*(YEAR(Setup!$C$5)-YEAR(Roster!$B264)))&lt;Setup!$C$5,1,0)),"")</f>
        <v/>
      </c>
      <c r="AQ264" s="32" t="str">
        <f>IF(AP264="","",EDATE(Roster!$B264,12*AP264))</f>
        <v/>
      </c>
      <c r="AR264" t="str">
        <f>IF(AQ264="","",IF(AQ264&lt;DATE(YEAR(Setup!$C$5)+1,MONTH(Setup!$C$5),DAY(Setup!$C$5)),AQ264+259/1000,""))</f>
        <v/>
      </c>
      <c r="AS264" t="str">
        <f t="shared" si="38"/>
        <v/>
      </c>
      <c r="AT264" t="str">
        <f>IF(AS264="","",IF(ISNUMBER(Roster!$D264),Roster!$D264&gt;=AP264,FALSE))</f>
        <v/>
      </c>
      <c r="AU264" t="str">
        <f t="shared" si="39"/>
        <v/>
      </c>
      <c r="AV264" t="str">
        <f ca="1">IF(259&gt;$AV$2,"",SMALL($AR$6:$AR$505,259))</f>
        <v/>
      </c>
      <c r="AW264" t="str">
        <f t="shared" ca="1" si="40"/>
        <v/>
      </c>
    </row>
    <row r="265" spans="2:49" x14ac:dyDescent="0.2">
      <c r="B265" s="32" t="str">
        <f>IF(AND(ISNUMBER(Roster!$B265),Setup!$B$20="Yes",ISNUMBER(Setup!$C$20)),EDATE(Roster!$B265,12*Setup!$C$20),"")</f>
        <v/>
      </c>
      <c r="C265" s="32" t="str">
        <f>IF(AND(ISNUMBER(Roster!$B265),Setup!$B$21="Yes",ISNUMBER(Setup!$C$21)),EDATE(Roster!$B265,12*Setup!$C$21),"")</f>
        <v/>
      </c>
      <c r="D265" s="32" t="str">
        <f>IF(AND(ISNUMBER(Roster!$B265),Setup!$B$22="Yes",ISNUMBER(Setup!$C$22)),EDATE(Roster!$B265,12*Setup!$C$22),"")</f>
        <v/>
      </c>
      <c r="E265" s="32" t="str">
        <f>IF(AND(ISNUMBER(Roster!$B265),Setup!$B$23="Yes",ISNUMBER(Setup!$C$23)),EDATE(Roster!$B265,12*Setup!$C$23),"")</f>
        <v/>
      </c>
      <c r="F265" s="32" t="str">
        <f>IF(AND(ISNUMBER(Roster!$B265),Setup!$B$24="Yes",ISNUMBER(Setup!$C$24)),EDATE(Roster!$B265,12*Setup!$C$24),"")</f>
        <v/>
      </c>
      <c r="G265" s="32" t="str">
        <f>IF(AND(ISNUMBER(Roster!$B265),Setup!$B$25="Yes",ISNUMBER(Setup!$C$25)),EDATE(Roster!$B265,12*Setup!$C$25),"")</f>
        <v/>
      </c>
      <c r="H265" s="32" t="str">
        <f>IF(AND(ISNUMBER(Roster!$B265),Setup!$B$26="Yes",ISNUMBER(Setup!$C$26)),EDATE(Roster!$B265,12*Setup!$C$26),"")</f>
        <v/>
      </c>
      <c r="I265" s="32" t="str">
        <f>IF(AND(ISNUMBER(Roster!$B265),Setup!$B$27="Yes",ISNUMBER(Setup!$C$27)),EDATE(Roster!$B265,12*Setup!$C$27),"")</f>
        <v/>
      </c>
      <c r="J265" s="32" t="str">
        <f>IF(AND(ISNUMBER(Roster!$B265),Setup!$B$28="Yes",ISNUMBER(Setup!$C$28)),EDATE(Roster!$B265,12*Setup!$C$28),"")</f>
        <v/>
      </c>
      <c r="K265" s="32" t="str">
        <f>IF(AND(ISNUMBER(Roster!$B265),Setup!$B$29="Yes",ISNUMBER(Setup!$C$29)),EDATE(Roster!$B265,12*Setup!$C$29),"")</f>
        <v/>
      </c>
      <c r="L265" s="32" t="str">
        <f>IF(AND(ISNUMBER(Roster!$B265),Setup!$B$30="Yes",ISNUMBER(Setup!$C$30)),EDATE(Roster!$B265,12*Setup!$C$30),"")</f>
        <v/>
      </c>
      <c r="M265" s="32" t="str">
        <f>IF(AND(ISNUMBER(Roster!$B265),Setup!$B$31="Yes",ISNUMBER(Setup!$C$31)),EDATE(Roster!$B265,12*Setup!$C$31),"")</f>
        <v/>
      </c>
      <c r="N265" s="32" t="str">
        <f>IF(AND(ISNUMBER(Roster!$B265),Setup!$B$32="Yes",ISNUMBER(Setup!$C$32)),EDATE(Roster!$B265,12*Setup!$C$32),"")</f>
        <v/>
      </c>
      <c r="O265" s="32" t="str">
        <f>IF(AND(ISNUMBER(Roster!$B265),Setup!$B$33="Yes",ISNUMBER(Setup!$C$33)),EDATE(Roster!$B265,12*Setup!$C$33),"")</f>
        <v/>
      </c>
      <c r="P265" s="32" t="str">
        <f>IF(AND(ISNUMBER(Roster!$B265),Setup!$B$34="Yes",ISNUMBER(Setup!$C$34)),EDATE(Roster!$B265,12*Setup!$C$34),"")</f>
        <v/>
      </c>
      <c r="R265" t="str">
        <f>IF(B265="","",IF(B265&lt;Setup!$C$5-Setup!$C$6,"",IF(IF(ISNUMBER(Roster!$D265),Setup!$C$20&lt;=Roster!$D265,FALSE),"",IF(OR(IF(Setup!$C$15&lt;=Setup!$C$16,AND(MONTH(B265)&gt;=Setup!$C$15,MONTH(B265)&lt;=Setup!$C$16),OR(MONTH(B265)&gt;=Setup!$C$15,MONTH(B265)&lt;=Setup!$C$16)),IF(Setup!$C$15&lt;=Setup!$C$16,AND(MONTH(WORKDAY(B265,-(Setup!$C$13+Setup!$G$20),Setup!$C$39:$C$50))&gt;=Setup!$C$15,MONTH(WORKDAY(B265,-(Setup!$C$13+Setup!$G$20),Setup!$C$39:$C$50))&lt;=Setup!$C$16),OR(MONTH(WORKDAY(B265,-(Setup!$C$13+Setup!$G$20),Setup!$C$39:$C$50))&gt;=Setup!$C$15,MONTH(WORKDAY(B265,-(Setup!$C$13+Setup!$G$20),Setup!$C$39:$C$50))&lt;=Setup!$C$16))),WORKDAY(B265,-(Setup!$C$13+Setup!$G$20+Setup!$C$14),Setup!$C$39:$C$50),WORKDAY(B265,-(Setup!$C$13+Setup!$G$20),Setup!$C$39:$C$50))+(260*100+1)/10000000)))</f>
        <v/>
      </c>
      <c r="S265" t="str">
        <f>IF(C265="","",IF(C265&lt;Setup!$C$5-Setup!$C$6,"",IF(IF(ISNUMBER(Roster!$D265),Setup!$C$21&lt;=Roster!$D265,FALSE),"",IF(OR(IF(Setup!$C$15&lt;=Setup!$C$16,AND(MONTH(C265)&gt;=Setup!$C$15,MONTH(C265)&lt;=Setup!$C$16),OR(MONTH(C265)&gt;=Setup!$C$15,MONTH(C265)&lt;=Setup!$C$16)),IF(Setup!$C$15&lt;=Setup!$C$16,AND(MONTH(WORKDAY(C265,-(Setup!$C$13+Setup!$G$21),Setup!$C$39:$C$50))&gt;=Setup!$C$15,MONTH(WORKDAY(C265,-(Setup!$C$13+Setup!$G$21),Setup!$C$39:$C$50))&lt;=Setup!$C$16),OR(MONTH(WORKDAY(C265,-(Setup!$C$13+Setup!$G$21),Setup!$C$39:$C$50))&gt;=Setup!$C$15,MONTH(WORKDAY(C265,-(Setup!$C$13+Setup!$G$21),Setup!$C$39:$C$50))&lt;=Setup!$C$16))),WORKDAY(C265,-(Setup!$C$13+Setup!$G$21+Setup!$C$14),Setup!$C$39:$C$50),WORKDAY(C265,-(Setup!$C$13+Setup!$G$21),Setup!$C$39:$C$50))+(260*100+2)/10000000)))</f>
        <v/>
      </c>
      <c r="T265" t="str">
        <f>IF(D265="","",IF(D265&lt;Setup!$C$5-Setup!$C$6,"",IF(IF(ISNUMBER(Roster!$D265),Setup!$C$22&lt;=Roster!$D265,FALSE),"",IF(OR(IF(Setup!$C$15&lt;=Setup!$C$16,AND(MONTH(D265)&gt;=Setup!$C$15,MONTH(D265)&lt;=Setup!$C$16),OR(MONTH(D265)&gt;=Setup!$C$15,MONTH(D265)&lt;=Setup!$C$16)),IF(Setup!$C$15&lt;=Setup!$C$16,AND(MONTH(WORKDAY(D265,-(Setup!$C$13+Setup!$G$22),Setup!$C$39:$C$50))&gt;=Setup!$C$15,MONTH(WORKDAY(D265,-(Setup!$C$13+Setup!$G$22),Setup!$C$39:$C$50))&lt;=Setup!$C$16),OR(MONTH(WORKDAY(D265,-(Setup!$C$13+Setup!$G$22),Setup!$C$39:$C$50))&gt;=Setup!$C$15,MONTH(WORKDAY(D265,-(Setup!$C$13+Setup!$G$22),Setup!$C$39:$C$50))&lt;=Setup!$C$16))),WORKDAY(D265,-(Setup!$C$13+Setup!$G$22+Setup!$C$14),Setup!$C$39:$C$50),WORKDAY(D265,-(Setup!$C$13+Setup!$G$22),Setup!$C$39:$C$50))+(260*100+3)/10000000)))</f>
        <v/>
      </c>
      <c r="U265" t="str">
        <f>IF(E265="","",IF(E265&lt;Setup!$C$5-Setup!$C$6,"",IF(IF(ISNUMBER(Roster!$D265),Setup!$C$23&lt;=Roster!$D265,FALSE),"",IF(OR(IF(Setup!$C$15&lt;=Setup!$C$16,AND(MONTH(E265)&gt;=Setup!$C$15,MONTH(E265)&lt;=Setup!$C$16),OR(MONTH(E265)&gt;=Setup!$C$15,MONTH(E265)&lt;=Setup!$C$16)),IF(Setup!$C$15&lt;=Setup!$C$16,AND(MONTH(WORKDAY(E265,-(Setup!$C$13+Setup!$G$23),Setup!$C$39:$C$50))&gt;=Setup!$C$15,MONTH(WORKDAY(E265,-(Setup!$C$13+Setup!$G$23),Setup!$C$39:$C$50))&lt;=Setup!$C$16),OR(MONTH(WORKDAY(E265,-(Setup!$C$13+Setup!$G$23),Setup!$C$39:$C$50))&gt;=Setup!$C$15,MONTH(WORKDAY(E265,-(Setup!$C$13+Setup!$G$23),Setup!$C$39:$C$50))&lt;=Setup!$C$16))),WORKDAY(E265,-(Setup!$C$13+Setup!$G$23+Setup!$C$14),Setup!$C$39:$C$50),WORKDAY(E265,-(Setup!$C$13+Setup!$G$23),Setup!$C$39:$C$50))+(260*100+4)/10000000)))</f>
        <v/>
      </c>
      <c r="V265" t="str">
        <f>IF(F265="","",IF(F265&lt;Setup!$C$5-Setup!$C$6,"",IF(IF(ISNUMBER(Roster!$D265),Setup!$C$24&lt;=Roster!$D265,FALSE),"",IF(OR(IF(Setup!$C$15&lt;=Setup!$C$16,AND(MONTH(F265)&gt;=Setup!$C$15,MONTH(F265)&lt;=Setup!$C$16),OR(MONTH(F265)&gt;=Setup!$C$15,MONTH(F265)&lt;=Setup!$C$16)),IF(Setup!$C$15&lt;=Setup!$C$16,AND(MONTH(WORKDAY(F265,-(Setup!$C$13+Setup!$G$24),Setup!$C$39:$C$50))&gt;=Setup!$C$15,MONTH(WORKDAY(F265,-(Setup!$C$13+Setup!$G$24),Setup!$C$39:$C$50))&lt;=Setup!$C$16),OR(MONTH(WORKDAY(F265,-(Setup!$C$13+Setup!$G$24),Setup!$C$39:$C$50))&gt;=Setup!$C$15,MONTH(WORKDAY(F265,-(Setup!$C$13+Setup!$G$24),Setup!$C$39:$C$50))&lt;=Setup!$C$16))),WORKDAY(F265,-(Setup!$C$13+Setup!$G$24+Setup!$C$14),Setup!$C$39:$C$50),WORKDAY(F265,-(Setup!$C$13+Setup!$G$24),Setup!$C$39:$C$50))+(260*100+5)/10000000)))</f>
        <v/>
      </c>
      <c r="W265" t="str">
        <f>IF(G265="","",IF(G265&lt;Setup!$C$5-Setup!$C$6,"",IF(IF(ISNUMBER(Roster!$D265),Setup!$C$25&lt;=Roster!$D265,FALSE),"",IF(OR(IF(Setup!$C$15&lt;=Setup!$C$16,AND(MONTH(G265)&gt;=Setup!$C$15,MONTH(G265)&lt;=Setup!$C$16),OR(MONTH(G265)&gt;=Setup!$C$15,MONTH(G265)&lt;=Setup!$C$16)),IF(Setup!$C$15&lt;=Setup!$C$16,AND(MONTH(WORKDAY(G265,-(Setup!$C$13+Setup!$G$25),Setup!$C$39:$C$50))&gt;=Setup!$C$15,MONTH(WORKDAY(G265,-(Setup!$C$13+Setup!$G$25),Setup!$C$39:$C$50))&lt;=Setup!$C$16),OR(MONTH(WORKDAY(G265,-(Setup!$C$13+Setup!$G$25),Setup!$C$39:$C$50))&gt;=Setup!$C$15,MONTH(WORKDAY(G265,-(Setup!$C$13+Setup!$G$25),Setup!$C$39:$C$50))&lt;=Setup!$C$16))),WORKDAY(G265,-(Setup!$C$13+Setup!$G$25+Setup!$C$14),Setup!$C$39:$C$50),WORKDAY(G265,-(Setup!$C$13+Setup!$G$25),Setup!$C$39:$C$50))+(260*100+6)/10000000)))</f>
        <v/>
      </c>
      <c r="X265" t="str">
        <f>IF(H265="","",IF(H265&lt;Setup!$C$5-Setup!$C$6,"",IF(IF(ISNUMBER(Roster!$D265),Setup!$C$26&lt;=Roster!$D265,FALSE),"",IF(OR(IF(Setup!$C$15&lt;=Setup!$C$16,AND(MONTH(H265)&gt;=Setup!$C$15,MONTH(H265)&lt;=Setup!$C$16),OR(MONTH(H265)&gt;=Setup!$C$15,MONTH(H265)&lt;=Setup!$C$16)),IF(Setup!$C$15&lt;=Setup!$C$16,AND(MONTH(WORKDAY(H265,-(Setup!$C$13+Setup!$G$26),Setup!$C$39:$C$50))&gt;=Setup!$C$15,MONTH(WORKDAY(H265,-(Setup!$C$13+Setup!$G$26),Setup!$C$39:$C$50))&lt;=Setup!$C$16),OR(MONTH(WORKDAY(H265,-(Setup!$C$13+Setup!$G$26),Setup!$C$39:$C$50))&gt;=Setup!$C$15,MONTH(WORKDAY(H265,-(Setup!$C$13+Setup!$G$26),Setup!$C$39:$C$50))&lt;=Setup!$C$16))),WORKDAY(H265,-(Setup!$C$13+Setup!$G$26+Setup!$C$14),Setup!$C$39:$C$50),WORKDAY(H265,-(Setup!$C$13+Setup!$G$26),Setup!$C$39:$C$50))+(260*100+7)/10000000)))</f>
        <v/>
      </c>
      <c r="Y265" t="str">
        <f>IF(I265="","",IF(I265&lt;Setup!$C$5-Setup!$C$6,"",IF(IF(ISNUMBER(Roster!$D265),Setup!$C$27&lt;=Roster!$D265,FALSE),"",IF(OR(IF(Setup!$C$15&lt;=Setup!$C$16,AND(MONTH(I265)&gt;=Setup!$C$15,MONTH(I265)&lt;=Setup!$C$16),OR(MONTH(I265)&gt;=Setup!$C$15,MONTH(I265)&lt;=Setup!$C$16)),IF(Setup!$C$15&lt;=Setup!$C$16,AND(MONTH(WORKDAY(I265,-(Setup!$C$13+Setup!$G$27),Setup!$C$39:$C$50))&gt;=Setup!$C$15,MONTH(WORKDAY(I265,-(Setup!$C$13+Setup!$G$27),Setup!$C$39:$C$50))&lt;=Setup!$C$16),OR(MONTH(WORKDAY(I265,-(Setup!$C$13+Setup!$G$27),Setup!$C$39:$C$50))&gt;=Setup!$C$15,MONTH(WORKDAY(I265,-(Setup!$C$13+Setup!$G$27),Setup!$C$39:$C$50))&lt;=Setup!$C$16))),WORKDAY(I265,-(Setup!$C$13+Setup!$G$27+Setup!$C$14),Setup!$C$39:$C$50),WORKDAY(I265,-(Setup!$C$13+Setup!$G$27),Setup!$C$39:$C$50))+(260*100+8)/10000000)))</f>
        <v/>
      </c>
      <c r="Z265" t="str">
        <f>IF(J265="","",IF(J265&lt;Setup!$C$5-Setup!$C$6,"",IF(IF(ISNUMBER(Roster!$D265),Setup!$C$28&lt;=Roster!$D265,FALSE),"",IF(OR(IF(Setup!$C$15&lt;=Setup!$C$16,AND(MONTH(J265)&gt;=Setup!$C$15,MONTH(J265)&lt;=Setup!$C$16),OR(MONTH(J265)&gt;=Setup!$C$15,MONTH(J265)&lt;=Setup!$C$16)),IF(Setup!$C$15&lt;=Setup!$C$16,AND(MONTH(WORKDAY(J265,-(Setup!$C$13+Setup!$G$28),Setup!$C$39:$C$50))&gt;=Setup!$C$15,MONTH(WORKDAY(J265,-(Setup!$C$13+Setup!$G$28),Setup!$C$39:$C$50))&lt;=Setup!$C$16),OR(MONTH(WORKDAY(J265,-(Setup!$C$13+Setup!$G$28),Setup!$C$39:$C$50))&gt;=Setup!$C$15,MONTH(WORKDAY(J265,-(Setup!$C$13+Setup!$G$28),Setup!$C$39:$C$50))&lt;=Setup!$C$16))),WORKDAY(J265,-(Setup!$C$13+Setup!$G$28+Setup!$C$14),Setup!$C$39:$C$50),WORKDAY(J265,-(Setup!$C$13+Setup!$G$28),Setup!$C$39:$C$50))+(260*100+9)/10000000)))</f>
        <v/>
      </c>
      <c r="AA265" t="str">
        <f>IF(K265="","",IF(K265&lt;Setup!$C$5-Setup!$C$6,"",IF(IF(ISNUMBER(Roster!$D265),Setup!$C$29&lt;=Roster!$D265,FALSE),"",IF(OR(IF(Setup!$C$15&lt;=Setup!$C$16,AND(MONTH(K265)&gt;=Setup!$C$15,MONTH(K265)&lt;=Setup!$C$16),OR(MONTH(K265)&gt;=Setup!$C$15,MONTH(K265)&lt;=Setup!$C$16)),IF(Setup!$C$15&lt;=Setup!$C$16,AND(MONTH(WORKDAY(K265,-(Setup!$C$13+Setup!$G$29),Setup!$C$39:$C$50))&gt;=Setup!$C$15,MONTH(WORKDAY(K265,-(Setup!$C$13+Setup!$G$29),Setup!$C$39:$C$50))&lt;=Setup!$C$16),OR(MONTH(WORKDAY(K265,-(Setup!$C$13+Setup!$G$29),Setup!$C$39:$C$50))&gt;=Setup!$C$15,MONTH(WORKDAY(K265,-(Setup!$C$13+Setup!$G$29),Setup!$C$39:$C$50))&lt;=Setup!$C$16))),WORKDAY(K265,-(Setup!$C$13+Setup!$G$29+Setup!$C$14),Setup!$C$39:$C$50),WORKDAY(K265,-(Setup!$C$13+Setup!$G$29),Setup!$C$39:$C$50))+(260*100+10)/10000000)))</f>
        <v/>
      </c>
      <c r="AB265" t="str">
        <f>IF(L265="","",IF(L265&lt;Setup!$C$5-Setup!$C$6,"",IF(IF(ISNUMBER(Roster!$D265),Setup!$C$30&lt;=Roster!$D265,FALSE),"",IF(OR(IF(Setup!$C$15&lt;=Setup!$C$16,AND(MONTH(L265)&gt;=Setup!$C$15,MONTH(L265)&lt;=Setup!$C$16),OR(MONTH(L265)&gt;=Setup!$C$15,MONTH(L265)&lt;=Setup!$C$16)),IF(Setup!$C$15&lt;=Setup!$C$16,AND(MONTH(WORKDAY(L265,-(Setup!$C$13+Setup!$G$30),Setup!$C$39:$C$50))&gt;=Setup!$C$15,MONTH(WORKDAY(L265,-(Setup!$C$13+Setup!$G$30),Setup!$C$39:$C$50))&lt;=Setup!$C$16),OR(MONTH(WORKDAY(L265,-(Setup!$C$13+Setup!$G$30),Setup!$C$39:$C$50))&gt;=Setup!$C$15,MONTH(WORKDAY(L265,-(Setup!$C$13+Setup!$G$30),Setup!$C$39:$C$50))&lt;=Setup!$C$16))),WORKDAY(L265,-(Setup!$C$13+Setup!$G$30+Setup!$C$14),Setup!$C$39:$C$50),WORKDAY(L265,-(Setup!$C$13+Setup!$G$30),Setup!$C$39:$C$50))+(260*100+11)/10000000)))</f>
        <v/>
      </c>
      <c r="AC265" t="str">
        <f>IF(M265="","",IF(M265&lt;Setup!$C$5-Setup!$C$6,"",IF(IF(ISNUMBER(Roster!$D265),Setup!$C$31&lt;=Roster!$D265,FALSE),"",IF(OR(IF(Setup!$C$15&lt;=Setup!$C$16,AND(MONTH(M265)&gt;=Setup!$C$15,MONTH(M265)&lt;=Setup!$C$16),OR(MONTH(M265)&gt;=Setup!$C$15,MONTH(M265)&lt;=Setup!$C$16)),IF(Setup!$C$15&lt;=Setup!$C$16,AND(MONTH(WORKDAY(M265,-(Setup!$C$13+Setup!$G$31),Setup!$C$39:$C$50))&gt;=Setup!$C$15,MONTH(WORKDAY(M265,-(Setup!$C$13+Setup!$G$31),Setup!$C$39:$C$50))&lt;=Setup!$C$16),OR(MONTH(WORKDAY(M265,-(Setup!$C$13+Setup!$G$31),Setup!$C$39:$C$50))&gt;=Setup!$C$15,MONTH(WORKDAY(M265,-(Setup!$C$13+Setup!$G$31),Setup!$C$39:$C$50))&lt;=Setup!$C$16))),WORKDAY(M265,-(Setup!$C$13+Setup!$G$31+Setup!$C$14),Setup!$C$39:$C$50),WORKDAY(M265,-(Setup!$C$13+Setup!$G$31),Setup!$C$39:$C$50))+(260*100+12)/10000000)))</f>
        <v/>
      </c>
      <c r="AD265" t="str">
        <f>IF(N265="","",IF(N265&lt;Setup!$C$5-Setup!$C$6,"",IF(IF(ISNUMBER(Roster!$D265),Setup!$C$32&lt;=Roster!$D265,FALSE),"",IF(OR(IF(Setup!$C$15&lt;=Setup!$C$16,AND(MONTH(N265)&gt;=Setup!$C$15,MONTH(N265)&lt;=Setup!$C$16),OR(MONTH(N265)&gt;=Setup!$C$15,MONTH(N265)&lt;=Setup!$C$16)),IF(Setup!$C$15&lt;=Setup!$C$16,AND(MONTH(WORKDAY(N265,-(Setup!$C$13+Setup!$G$32),Setup!$C$39:$C$50))&gt;=Setup!$C$15,MONTH(WORKDAY(N265,-(Setup!$C$13+Setup!$G$32),Setup!$C$39:$C$50))&lt;=Setup!$C$16),OR(MONTH(WORKDAY(N265,-(Setup!$C$13+Setup!$G$32),Setup!$C$39:$C$50))&gt;=Setup!$C$15,MONTH(WORKDAY(N265,-(Setup!$C$13+Setup!$G$32),Setup!$C$39:$C$50))&lt;=Setup!$C$16))),WORKDAY(N265,-(Setup!$C$13+Setup!$G$32+Setup!$C$14),Setup!$C$39:$C$50),WORKDAY(N265,-(Setup!$C$13+Setup!$G$32),Setup!$C$39:$C$50))+(260*100+13)/10000000)))</f>
        <v/>
      </c>
      <c r="AE265" t="str">
        <f>IF(O265="","",IF(O265&lt;Setup!$C$5-Setup!$C$6,"",IF(IF(ISNUMBER(Roster!$D265),Setup!$C$33&lt;=Roster!$D265,FALSE),"",IF(OR(IF(Setup!$C$15&lt;=Setup!$C$16,AND(MONTH(O265)&gt;=Setup!$C$15,MONTH(O265)&lt;=Setup!$C$16),OR(MONTH(O265)&gt;=Setup!$C$15,MONTH(O265)&lt;=Setup!$C$16)),IF(Setup!$C$15&lt;=Setup!$C$16,AND(MONTH(WORKDAY(O265,-(Setup!$C$13+Setup!$G$33),Setup!$C$39:$C$50))&gt;=Setup!$C$15,MONTH(WORKDAY(O265,-(Setup!$C$13+Setup!$G$33),Setup!$C$39:$C$50))&lt;=Setup!$C$16),OR(MONTH(WORKDAY(O265,-(Setup!$C$13+Setup!$G$33),Setup!$C$39:$C$50))&gt;=Setup!$C$15,MONTH(WORKDAY(O265,-(Setup!$C$13+Setup!$G$33),Setup!$C$39:$C$50))&lt;=Setup!$C$16))),WORKDAY(O265,-(Setup!$C$13+Setup!$G$33+Setup!$C$14),Setup!$C$39:$C$50),WORKDAY(O265,-(Setup!$C$13+Setup!$G$33),Setup!$C$39:$C$50))+(260*100+14)/10000000)))</f>
        <v/>
      </c>
      <c r="AF265" t="str">
        <f>IF(P265="","",IF(P265&lt;Setup!$C$5-Setup!$C$6,"",IF(IF(ISNUMBER(Roster!$D265),Setup!$C$34&lt;=Roster!$D265,FALSE),"",IF(OR(IF(Setup!$C$15&lt;=Setup!$C$16,AND(MONTH(P265)&gt;=Setup!$C$15,MONTH(P265)&lt;=Setup!$C$16),OR(MONTH(P265)&gt;=Setup!$C$15,MONTH(P265)&lt;=Setup!$C$16)),IF(Setup!$C$15&lt;=Setup!$C$16,AND(MONTH(WORKDAY(P265,-(Setup!$C$13+Setup!$G$34),Setup!$C$39:$C$50))&gt;=Setup!$C$15,MONTH(WORKDAY(P265,-(Setup!$C$13+Setup!$G$34),Setup!$C$39:$C$50))&lt;=Setup!$C$16),OR(MONTH(WORKDAY(P265,-(Setup!$C$13+Setup!$G$34),Setup!$C$39:$C$50))&gt;=Setup!$C$15,MONTH(WORKDAY(P265,-(Setup!$C$13+Setup!$G$34),Setup!$C$39:$C$50))&lt;=Setup!$C$16))),WORKDAY(P265,-(Setup!$C$13+Setup!$G$34+Setup!$C$14),Setup!$C$39:$C$50),WORKDAY(P265,-(Setup!$C$13+Setup!$G$34),Setup!$C$39:$C$50))+(260*100+15)/10000000)))</f>
        <v/>
      </c>
      <c r="AH265" t="str">
        <f t="shared" si="33"/>
        <v/>
      </c>
      <c r="AI265" t="str">
        <f t="shared" si="34"/>
        <v/>
      </c>
      <c r="AK265" t="str">
        <f ca="1">IF(260&gt;$AK$2,"",SMALL($R$6:$AF$505,260))</f>
        <v/>
      </c>
      <c r="AL265" t="str">
        <f t="shared" ca="1" si="35"/>
        <v/>
      </c>
      <c r="AM265" t="str">
        <f t="shared" ca="1" si="36"/>
        <v/>
      </c>
      <c r="AN265" t="str">
        <f t="shared" ca="1" si="37"/>
        <v/>
      </c>
      <c r="AP265" t="str">
        <f>IF(ISNUMBER(Roster!$B265),MAX(1,YEAR(Setup!$C$5)-YEAR(Roster!$B265)+IF(EDATE(Roster!$B265,12*(YEAR(Setup!$C$5)-YEAR(Roster!$B265)))&lt;Setup!$C$5,1,0)),"")</f>
        <v/>
      </c>
      <c r="AQ265" s="32" t="str">
        <f>IF(AP265="","",EDATE(Roster!$B265,12*AP265))</f>
        <v/>
      </c>
      <c r="AR265" t="str">
        <f>IF(AQ265="","",IF(AQ265&lt;DATE(YEAR(Setup!$C$5)+1,MONTH(Setup!$C$5),DAY(Setup!$C$5)),AQ265+260/1000,""))</f>
        <v/>
      </c>
      <c r="AS265" t="str">
        <f t="shared" si="38"/>
        <v/>
      </c>
      <c r="AT265" t="str">
        <f>IF(AS265="","",IF(ISNUMBER(Roster!$D265),Roster!$D265&gt;=AP265,FALSE))</f>
        <v/>
      </c>
      <c r="AU265" t="str">
        <f t="shared" si="39"/>
        <v/>
      </c>
      <c r="AV265" t="str">
        <f ca="1">IF(260&gt;$AV$2,"",SMALL($AR$6:$AR$505,260))</f>
        <v/>
      </c>
      <c r="AW265" t="str">
        <f t="shared" ca="1" si="40"/>
        <v/>
      </c>
    </row>
    <row r="266" spans="2:49" x14ac:dyDescent="0.2">
      <c r="B266" s="32" t="str">
        <f>IF(AND(ISNUMBER(Roster!$B266),Setup!$B$20="Yes",ISNUMBER(Setup!$C$20)),EDATE(Roster!$B266,12*Setup!$C$20),"")</f>
        <v/>
      </c>
      <c r="C266" s="32" t="str">
        <f>IF(AND(ISNUMBER(Roster!$B266),Setup!$B$21="Yes",ISNUMBER(Setup!$C$21)),EDATE(Roster!$B266,12*Setup!$C$21),"")</f>
        <v/>
      </c>
      <c r="D266" s="32" t="str">
        <f>IF(AND(ISNUMBER(Roster!$B266),Setup!$B$22="Yes",ISNUMBER(Setup!$C$22)),EDATE(Roster!$B266,12*Setup!$C$22),"")</f>
        <v/>
      </c>
      <c r="E266" s="32" t="str">
        <f>IF(AND(ISNUMBER(Roster!$B266),Setup!$B$23="Yes",ISNUMBER(Setup!$C$23)),EDATE(Roster!$B266,12*Setup!$C$23),"")</f>
        <v/>
      </c>
      <c r="F266" s="32" t="str">
        <f>IF(AND(ISNUMBER(Roster!$B266),Setup!$B$24="Yes",ISNUMBER(Setup!$C$24)),EDATE(Roster!$B266,12*Setup!$C$24),"")</f>
        <v/>
      </c>
      <c r="G266" s="32" t="str">
        <f>IF(AND(ISNUMBER(Roster!$B266),Setup!$B$25="Yes",ISNUMBER(Setup!$C$25)),EDATE(Roster!$B266,12*Setup!$C$25),"")</f>
        <v/>
      </c>
      <c r="H266" s="32" t="str">
        <f>IF(AND(ISNUMBER(Roster!$B266),Setup!$B$26="Yes",ISNUMBER(Setup!$C$26)),EDATE(Roster!$B266,12*Setup!$C$26),"")</f>
        <v/>
      </c>
      <c r="I266" s="32" t="str">
        <f>IF(AND(ISNUMBER(Roster!$B266),Setup!$B$27="Yes",ISNUMBER(Setup!$C$27)),EDATE(Roster!$B266,12*Setup!$C$27),"")</f>
        <v/>
      </c>
      <c r="J266" s="32" t="str">
        <f>IF(AND(ISNUMBER(Roster!$B266),Setup!$B$28="Yes",ISNUMBER(Setup!$C$28)),EDATE(Roster!$B266,12*Setup!$C$28),"")</f>
        <v/>
      </c>
      <c r="K266" s="32" t="str">
        <f>IF(AND(ISNUMBER(Roster!$B266),Setup!$B$29="Yes",ISNUMBER(Setup!$C$29)),EDATE(Roster!$B266,12*Setup!$C$29),"")</f>
        <v/>
      </c>
      <c r="L266" s="32" t="str">
        <f>IF(AND(ISNUMBER(Roster!$B266),Setup!$B$30="Yes",ISNUMBER(Setup!$C$30)),EDATE(Roster!$B266,12*Setup!$C$30),"")</f>
        <v/>
      </c>
      <c r="M266" s="32" t="str">
        <f>IF(AND(ISNUMBER(Roster!$B266),Setup!$B$31="Yes",ISNUMBER(Setup!$C$31)),EDATE(Roster!$B266,12*Setup!$C$31),"")</f>
        <v/>
      </c>
      <c r="N266" s="32" t="str">
        <f>IF(AND(ISNUMBER(Roster!$B266),Setup!$B$32="Yes",ISNUMBER(Setup!$C$32)),EDATE(Roster!$B266,12*Setup!$C$32),"")</f>
        <v/>
      </c>
      <c r="O266" s="32" t="str">
        <f>IF(AND(ISNUMBER(Roster!$B266),Setup!$B$33="Yes",ISNUMBER(Setup!$C$33)),EDATE(Roster!$B266,12*Setup!$C$33),"")</f>
        <v/>
      </c>
      <c r="P266" s="32" t="str">
        <f>IF(AND(ISNUMBER(Roster!$B266),Setup!$B$34="Yes",ISNUMBER(Setup!$C$34)),EDATE(Roster!$B266,12*Setup!$C$34),"")</f>
        <v/>
      </c>
      <c r="R266" t="str">
        <f>IF(B266="","",IF(B266&lt;Setup!$C$5-Setup!$C$6,"",IF(IF(ISNUMBER(Roster!$D266),Setup!$C$20&lt;=Roster!$D266,FALSE),"",IF(OR(IF(Setup!$C$15&lt;=Setup!$C$16,AND(MONTH(B266)&gt;=Setup!$C$15,MONTH(B266)&lt;=Setup!$C$16),OR(MONTH(B266)&gt;=Setup!$C$15,MONTH(B266)&lt;=Setup!$C$16)),IF(Setup!$C$15&lt;=Setup!$C$16,AND(MONTH(WORKDAY(B266,-(Setup!$C$13+Setup!$G$20),Setup!$C$39:$C$50))&gt;=Setup!$C$15,MONTH(WORKDAY(B266,-(Setup!$C$13+Setup!$G$20),Setup!$C$39:$C$50))&lt;=Setup!$C$16),OR(MONTH(WORKDAY(B266,-(Setup!$C$13+Setup!$G$20),Setup!$C$39:$C$50))&gt;=Setup!$C$15,MONTH(WORKDAY(B266,-(Setup!$C$13+Setup!$G$20),Setup!$C$39:$C$50))&lt;=Setup!$C$16))),WORKDAY(B266,-(Setup!$C$13+Setup!$G$20+Setup!$C$14),Setup!$C$39:$C$50),WORKDAY(B266,-(Setup!$C$13+Setup!$G$20),Setup!$C$39:$C$50))+(261*100+1)/10000000)))</f>
        <v/>
      </c>
      <c r="S266" t="str">
        <f>IF(C266="","",IF(C266&lt;Setup!$C$5-Setup!$C$6,"",IF(IF(ISNUMBER(Roster!$D266),Setup!$C$21&lt;=Roster!$D266,FALSE),"",IF(OR(IF(Setup!$C$15&lt;=Setup!$C$16,AND(MONTH(C266)&gt;=Setup!$C$15,MONTH(C266)&lt;=Setup!$C$16),OR(MONTH(C266)&gt;=Setup!$C$15,MONTH(C266)&lt;=Setup!$C$16)),IF(Setup!$C$15&lt;=Setup!$C$16,AND(MONTH(WORKDAY(C266,-(Setup!$C$13+Setup!$G$21),Setup!$C$39:$C$50))&gt;=Setup!$C$15,MONTH(WORKDAY(C266,-(Setup!$C$13+Setup!$G$21),Setup!$C$39:$C$50))&lt;=Setup!$C$16),OR(MONTH(WORKDAY(C266,-(Setup!$C$13+Setup!$G$21),Setup!$C$39:$C$50))&gt;=Setup!$C$15,MONTH(WORKDAY(C266,-(Setup!$C$13+Setup!$G$21),Setup!$C$39:$C$50))&lt;=Setup!$C$16))),WORKDAY(C266,-(Setup!$C$13+Setup!$G$21+Setup!$C$14),Setup!$C$39:$C$50),WORKDAY(C266,-(Setup!$C$13+Setup!$G$21),Setup!$C$39:$C$50))+(261*100+2)/10000000)))</f>
        <v/>
      </c>
      <c r="T266" t="str">
        <f>IF(D266="","",IF(D266&lt;Setup!$C$5-Setup!$C$6,"",IF(IF(ISNUMBER(Roster!$D266),Setup!$C$22&lt;=Roster!$D266,FALSE),"",IF(OR(IF(Setup!$C$15&lt;=Setup!$C$16,AND(MONTH(D266)&gt;=Setup!$C$15,MONTH(D266)&lt;=Setup!$C$16),OR(MONTH(D266)&gt;=Setup!$C$15,MONTH(D266)&lt;=Setup!$C$16)),IF(Setup!$C$15&lt;=Setup!$C$16,AND(MONTH(WORKDAY(D266,-(Setup!$C$13+Setup!$G$22),Setup!$C$39:$C$50))&gt;=Setup!$C$15,MONTH(WORKDAY(D266,-(Setup!$C$13+Setup!$G$22),Setup!$C$39:$C$50))&lt;=Setup!$C$16),OR(MONTH(WORKDAY(D266,-(Setup!$C$13+Setup!$G$22),Setup!$C$39:$C$50))&gt;=Setup!$C$15,MONTH(WORKDAY(D266,-(Setup!$C$13+Setup!$G$22),Setup!$C$39:$C$50))&lt;=Setup!$C$16))),WORKDAY(D266,-(Setup!$C$13+Setup!$G$22+Setup!$C$14),Setup!$C$39:$C$50),WORKDAY(D266,-(Setup!$C$13+Setup!$G$22),Setup!$C$39:$C$50))+(261*100+3)/10000000)))</f>
        <v/>
      </c>
      <c r="U266" t="str">
        <f>IF(E266="","",IF(E266&lt;Setup!$C$5-Setup!$C$6,"",IF(IF(ISNUMBER(Roster!$D266),Setup!$C$23&lt;=Roster!$D266,FALSE),"",IF(OR(IF(Setup!$C$15&lt;=Setup!$C$16,AND(MONTH(E266)&gt;=Setup!$C$15,MONTH(E266)&lt;=Setup!$C$16),OR(MONTH(E266)&gt;=Setup!$C$15,MONTH(E266)&lt;=Setup!$C$16)),IF(Setup!$C$15&lt;=Setup!$C$16,AND(MONTH(WORKDAY(E266,-(Setup!$C$13+Setup!$G$23),Setup!$C$39:$C$50))&gt;=Setup!$C$15,MONTH(WORKDAY(E266,-(Setup!$C$13+Setup!$G$23),Setup!$C$39:$C$50))&lt;=Setup!$C$16),OR(MONTH(WORKDAY(E266,-(Setup!$C$13+Setup!$G$23),Setup!$C$39:$C$50))&gt;=Setup!$C$15,MONTH(WORKDAY(E266,-(Setup!$C$13+Setup!$G$23),Setup!$C$39:$C$50))&lt;=Setup!$C$16))),WORKDAY(E266,-(Setup!$C$13+Setup!$G$23+Setup!$C$14),Setup!$C$39:$C$50),WORKDAY(E266,-(Setup!$C$13+Setup!$G$23),Setup!$C$39:$C$50))+(261*100+4)/10000000)))</f>
        <v/>
      </c>
      <c r="V266" t="str">
        <f>IF(F266="","",IF(F266&lt;Setup!$C$5-Setup!$C$6,"",IF(IF(ISNUMBER(Roster!$D266),Setup!$C$24&lt;=Roster!$D266,FALSE),"",IF(OR(IF(Setup!$C$15&lt;=Setup!$C$16,AND(MONTH(F266)&gt;=Setup!$C$15,MONTH(F266)&lt;=Setup!$C$16),OR(MONTH(F266)&gt;=Setup!$C$15,MONTH(F266)&lt;=Setup!$C$16)),IF(Setup!$C$15&lt;=Setup!$C$16,AND(MONTH(WORKDAY(F266,-(Setup!$C$13+Setup!$G$24),Setup!$C$39:$C$50))&gt;=Setup!$C$15,MONTH(WORKDAY(F266,-(Setup!$C$13+Setup!$G$24),Setup!$C$39:$C$50))&lt;=Setup!$C$16),OR(MONTH(WORKDAY(F266,-(Setup!$C$13+Setup!$G$24),Setup!$C$39:$C$50))&gt;=Setup!$C$15,MONTH(WORKDAY(F266,-(Setup!$C$13+Setup!$G$24),Setup!$C$39:$C$50))&lt;=Setup!$C$16))),WORKDAY(F266,-(Setup!$C$13+Setup!$G$24+Setup!$C$14),Setup!$C$39:$C$50),WORKDAY(F266,-(Setup!$C$13+Setup!$G$24),Setup!$C$39:$C$50))+(261*100+5)/10000000)))</f>
        <v/>
      </c>
      <c r="W266" t="str">
        <f>IF(G266="","",IF(G266&lt;Setup!$C$5-Setup!$C$6,"",IF(IF(ISNUMBER(Roster!$D266),Setup!$C$25&lt;=Roster!$D266,FALSE),"",IF(OR(IF(Setup!$C$15&lt;=Setup!$C$16,AND(MONTH(G266)&gt;=Setup!$C$15,MONTH(G266)&lt;=Setup!$C$16),OR(MONTH(G266)&gt;=Setup!$C$15,MONTH(G266)&lt;=Setup!$C$16)),IF(Setup!$C$15&lt;=Setup!$C$16,AND(MONTH(WORKDAY(G266,-(Setup!$C$13+Setup!$G$25),Setup!$C$39:$C$50))&gt;=Setup!$C$15,MONTH(WORKDAY(G266,-(Setup!$C$13+Setup!$G$25),Setup!$C$39:$C$50))&lt;=Setup!$C$16),OR(MONTH(WORKDAY(G266,-(Setup!$C$13+Setup!$G$25),Setup!$C$39:$C$50))&gt;=Setup!$C$15,MONTH(WORKDAY(G266,-(Setup!$C$13+Setup!$G$25),Setup!$C$39:$C$50))&lt;=Setup!$C$16))),WORKDAY(G266,-(Setup!$C$13+Setup!$G$25+Setup!$C$14),Setup!$C$39:$C$50),WORKDAY(G266,-(Setup!$C$13+Setup!$G$25),Setup!$C$39:$C$50))+(261*100+6)/10000000)))</f>
        <v/>
      </c>
      <c r="X266" t="str">
        <f>IF(H266="","",IF(H266&lt;Setup!$C$5-Setup!$C$6,"",IF(IF(ISNUMBER(Roster!$D266),Setup!$C$26&lt;=Roster!$D266,FALSE),"",IF(OR(IF(Setup!$C$15&lt;=Setup!$C$16,AND(MONTH(H266)&gt;=Setup!$C$15,MONTH(H266)&lt;=Setup!$C$16),OR(MONTH(H266)&gt;=Setup!$C$15,MONTH(H266)&lt;=Setup!$C$16)),IF(Setup!$C$15&lt;=Setup!$C$16,AND(MONTH(WORKDAY(H266,-(Setup!$C$13+Setup!$G$26),Setup!$C$39:$C$50))&gt;=Setup!$C$15,MONTH(WORKDAY(H266,-(Setup!$C$13+Setup!$G$26),Setup!$C$39:$C$50))&lt;=Setup!$C$16),OR(MONTH(WORKDAY(H266,-(Setup!$C$13+Setup!$G$26),Setup!$C$39:$C$50))&gt;=Setup!$C$15,MONTH(WORKDAY(H266,-(Setup!$C$13+Setup!$G$26),Setup!$C$39:$C$50))&lt;=Setup!$C$16))),WORKDAY(H266,-(Setup!$C$13+Setup!$G$26+Setup!$C$14),Setup!$C$39:$C$50),WORKDAY(H266,-(Setup!$C$13+Setup!$G$26),Setup!$C$39:$C$50))+(261*100+7)/10000000)))</f>
        <v/>
      </c>
      <c r="Y266" t="str">
        <f>IF(I266="","",IF(I266&lt;Setup!$C$5-Setup!$C$6,"",IF(IF(ISNUMBER(Roster!$D266),Setup!$C$27&lt;=Roster!$D266,FALSE),"",IF(OR(IF(Setup!$C$15&lt;=Setup!$C$16,AND(MONTH(I266)&gt;=Setup!$C$15,MONTH(I266)&lt;=Setup!$C$16),OR(MONTH(I266)&gt;=Setup!$C$15,MONTH(I266)&lt;=Setup!$C$16)),IF(Setup!$C$15&lt;=Setup!$C$16,AND(MONTH(WORKDAY(I266,-(Setup!$C$13+Setup!$G$27),Setup!$C$39:$C$50))&gt;=Setup!$C$15,MONTH(WORKDAY(I266,-(Setup!$C$13+Setup!$G$27),Setup!$C$39:$C$50))&lt;=Setup!$C$16),OR(MONTH(WORKDAY(I266,-(Setup!$C$13+Setup!$G$27),Setup!$C$39:$C$50))&gt;=Setup!$C$15,MONTH(WORKDAY(I266,-(Setup!$C$13+Setup!$G$27),Setup!$C$39:$C$50))&lt;=Setup!$C$16))),WORKDAY(I266,-(Setup!$C$13+Setup!$G$27+Setup!$C$14),Setup!$C$39:$C$50),WORKDAY(I266,-(Setup!$C$13+Setup!$G$27),Setup!$C$39:$C$50))+(261*100+8)/10000000)))</f>
        <v/>
      </c>
      <c r="Z266" t="str">
        <f>IF(J266="","",IF(J266&lt;Setup!$C$5-Setup!$C$6,"",IF(IF(ISNUMBER(Roster!$D266),Setup!$C$28&lt;=Roster!$D266,FALSE),"",IF(OR(IF(Setup!$C$15&lt;=Setup!$C$16,AND(MONTH(J266)&gt;=Setup!$C$15,MONTH(J266)&lt;=Setup!$C$16),OR(MONTH(J266)&gt;=Setup!$C$15,MONTH(J266)&lt;=Setup!$C$16)),IF(Setup!$C$15&lt;=Setup!$C$16,AND(MONTH(WORKDAY(J266,-(Setup!$C$13+Setup!$G$28),Setup!$C$39:$C$50))&gt;=Setup!$C$15,MONTH(WORKDAY(J266,-(Setup!$C$13+Setup!$G$28),Setup!$C$39:$C$50))&lt;=Setup!$C$16),OR(MONTH(WORKDAY(J266,-(Setup!$C$13+Setup!$G$28),Setup!$C$39:$C$50))&gt;=Setup!$C$15,MONTH(WORKDAY(J266,-(Setup!$C$13+Setup!$G$28),Setup!$C$39:$C$50))&lt;=Setup!$C$16))),WORKDAY(J266,-(Setup!$C$13+Setup!$G$28+Setup!$C$14),Setup!$C$39:$C$50),WORKDAY(J266,-(Setup!$C$13+Setup!$G$28),Setup!$C$39:$C$50))+(261*100+9)/10000000)))</f>
        <v/>
      </c>
      <c r="AA266" t="str">
        <f>IF(K266="","",IF(K266&lt;Setup!$C$5-Setup!$C$6,"",IF(IF(ISNUMBER(Roster!$D266),Setup!$C$29&lt;=Roster!$D266,FALSE),"",IF(OR(IF(Setup!$C$15&lt;=Setup!$C$16,AND(MONTH(K266)&gt;=Setup!$C$15,MONTH(K266)&lt;=Setup!$C$16),OR(MONTH(K266)&gt;=Setup!$C$15,MONTH(K266)&lt;=Setup!$C$16)),IF(Setup!$C$15&lt;=Setup!$C$16,AND(MONTH(WORKDAY(K266,-(Setup!$C$13+Setup!$G$29),Setup!$C$39:$C$50))&gt;=Setup!$C$15,MONTH(WORKDAY(K266,-(Setup!$C$13+Setup!$G$29),Setup!$C$39:$C$50))&lt;=Setup!$C$16),OR(MONTH(WORKDAY(K266,-(Setup!$C$13+Setup!$G$29),Setup!$C$39:$C$50))&gt;=Setup!$C$15,MONTH(WORKDAY(K266,-(Setup!$C$13+Setup!$G$29),Setup!$C$39:$C$50))&lt;=Setup!$C$16))),WORKDAY(K266,-(Setup!$C$13+Setup!$G$29+Setup!$C$14),Setup!$C$39:$C$50),WORKDAY(K266,-(Setup!$C$13+Setup!$G$29),Setup!$C$39:$C$50))+(261*100+10)/10000000)))</f>
        <v/>
      </c>
      <c r="AB266" t="str">
        <f>IF(L266="","",IF(L266&lt;Setup!$C$5-Setup!$C$6,"",IF(IF(ISNUMBER(Roster!$D266),Setup!$C$30&lt;=Roster!$D266,FALSE),"",IF(OR(IF(Setup!$C$15&lt;=Setup!$C$16,AND(MONTH(L266)&gt;=Setup!$C$15,MONTH(L266)&lt;=Setup!$C$16),OR(MONTH(L266)&gt;=Setup!$C$15,MONTH(L266)&lt;=Setup!$C$16)),IF(Setup!$C$15&lt;=Setup!$C$16,AND(MONTH(WORKDAY(L266,-(Setup!$C$13+Setup!$G$30),Setup!$C$39:$C$50))&gt;=Setup!$C$15,MONTH(WORKDAY(L266,-(Setup!$C$13+Setup!$G$30),Setup!$C$39:$C$50))&lt;=Setup!$C$16),OR(MONTH(WORKDAY(L266,-(Setup!$C$13+Setup!$G$30),Setup!$C$39:$C$50))&gt;=Setup!$C$15,MONTH(WORKDAY(L266,-(Setup!$C$13+Setup!$G$30),Setup!$C$39:$C$50))&lt;=Setup!$C$16))),WORKDAY(L266,-(Setup!$C$13+Setup!$G$30+Setup!$C$14),Setup!$C$39:$C$50),WORKDAY(L266,-(Setup!$C$13+Setup!$G$30),Setup!$C$39:$C$50))+(261*100+11)/10000000)))</f>
        <v/>
      </c>
      <c r="AC266" t="str">
        <f>IF(M266="","",IF(M266&lt;Setup!$C$5-Setup!$C$6,"",IF(IF(ISNUMBER(Roster!$D266),Setup!$C$31&lt;=Roster!$D266,FALSE),"",IF(OR(IF(Setup!$C$15&lt;=Setup!$C$16,AND(MONTH(M266)&gt;=Setup!$C$15,MONTH(M266)&lt;=Setup!$C$16),OR(MONTH(M266)&gt;=Setup!$C$15,MONTH(M266)&lt;=Setup!$C$16)),IF(Setup!$C$15&lt;=Setup!$C$16,AND(MONTH(WORKDAY(M266,-(Setup!$C$13+Setup!$G$31),Setup!$C$39:$C$50))&gt;=Setup!$C$15,MONTH(WORKDAY(M266,-(Setup!$C$13+Setup!$G$31),Setup!$C$39:$C$50))&lt;=Setup!$C$16),OR(MONTH(WORKDAY(M266,-(Setup!$C$13+Setup!$G$31),Setup!$C$39:$C$50))&gt;=Setup!$C$15,MONTH(WORKDAY(M266,-(Setup!$C$13+Setup!$G$31),Setup!$C$39:$C$50))&lt;=Setup!$C$16))),WORKDAY(M266,-(Setup!$C$13+Setup!$G$31+Setup!$C$14),Setup!$C$39:$C$50),WORKDAY(M266,-(Setup!$C$13+Setup!$G$31),Setup!$C$39:$C$50))+(261*100+12)/10000000)))</f>
        <v/>
      </c>
      <c r="AD266" t="str">
        <f>IF(N266="","",IF(N266&lt;Setup!$C$5-Setup!$C$6,"",IF(IF(ISNUMBER(Roster!$D266),Setup!$C$32&lt;=Roster!$D266,FALSE),"",IF(OR(IF(Setup!$C$15&lt;=Setup!$C$16,AND(MONTH(N266)&gt;=Setup!$C$15,MONTH(N266)&lt;=Setup!$C$16),OR(MONTH(N266)&gt;=Setup!$C$15,MONTH(N266)&lt;=Setup!$C$16)),IF(Setup!$C$15&lt;=Setup!$C$16,AND(MONTH(WORKDAY(N266,-(Setup!$C$13+Setup!$G$32),Setup!$C$39:$C$50))&gt;=Setup!$C$15,MONTH(WORKDAY(N266,-(Setup!$C$13+Setup!$G$32),Setup!$C$39:$C$50))&lt;=Setup!$C$16),OR(MONTH(WORKDAY(N266,-(Setup!$C$13+Setup!$G$32),Setup!$C$39:$C$50))&gt;=Setup!$C$15,MONTH(WORKDAY(N266,-(Setup!$C$13+Setup!$G$32),Setup!$C$39:$C$50))&lt;=Setup!$C$16))),WORKDAY(N266,-(Setup!$C$13+Setup!$G$32+Setup!$C$14),Setup!$C$39:$C$50),WORKDAY(N266,-(Setup!$C$13+Setup!$G$32),Setup!$C$39:$C$50))+(261*100+13)/10000000)))</f>
        <v/>
      </c>
      <c r="AE266" t="str">
        <f>IF(O266="","",IF(O266&lt;Setup!$C$5-Setup!$C$6,"",IF(IF(ISNUMBER(Roster!$D266),Setup!$C$33&lt;=Roster!$D266,FALSE),"",IF(OR(IF(Setup!$C$15&lt;=Setup!$C$16,AND(MONTH(O266)&gt;=Setup!$C$15,MONTH(O266)&lt;=Setup!$C$16),OR(MONTH(O266)&gt;=Setup!$C$15,MONTH(O266)&lt;=Setup!$C$16)),IF(Setup!$C$15&lt;=Setup!$C$16,AND(MONTH(WORKDAY(O266,-(Setup!$C$13+Setup!$G$33),Setup!$C$39:$C$50))&gt;=Setup!$C$15,MONTH(WORKDAY(O266,-(Setup!$C$13+Setup!$G$33),Setup!$C$39:$C$50))&lt;=Setup!$C$16),OR(MONTH(WORKDAY(O266,-(Setup!$C$13+Setup!$G$33),Setup!$C$39:$C$50))&gt;=Setup!$C$15,MONTH(WORKDAY(O266,-(Setup!$C$13+Setup!$G$33),Setup!$C$39:$C$50))&lt;=Setup!$C$16))),WORKDAY(O266,-(Setup!$C$13+Setup!$G$33+Setup!$C$14),Setup!$C$39:$C$50),WORKDAY(O266,-(Setup!$C$13+Setup!$G$33),Setup!$C$39:$C$50))+(261*100+14)/10000000)))</f>
        <v/>
      </c>
      <c r="AF266" t="str">
        <f>IF(P266="","",IF(P266&lt;Setup!$C$5-Setup!$C$6,"",IF(IF(ISNUMBER(Roster!$D266),Setup!$C$34&lt;=Roster!$D266,FALSE),"",IF(OR(IF(Setup!$C$15&lt;=Setup!$C$16,AND(MONTH(P266)&gt;=Setup!$C$15,MONTH(P266)&lt;=Setup!$C$16),OR(MONTH(P266)&gt;=Setup!$C$15,MONTH(P266)&lt;=Setup!$C$16)),IF(Setup!$C$15&lt;=Setup!$C$16,AND(MONTH(WORKDAY(P266,-(Setup!$C$13+Setup!$G$34),Setup!$C$39:$C$50))&gt;=Setup!$C$15,MONTH(WORKDAY(P266,-(Setup!$C$13+Setup!$G$34),Setup!$C$39:$C$50))&lt;=Setup!$C$16),OR(MONTH(WORKDAY(P266,-(Setup!$C$13+Setup!$G$34),Setup!$C$39:$C$50))&gt;=Setup!$C$15,MONTH(WORKDAY(P266,-(Setup!$C$13+Setup!$G$34),Setup!$C$39:$C$50))&lt;=Setup!$C$16))),WORKDAY(P266,-(Setup!$C$13+Setup!$G$34+Setup!$C$14),Setup!$C$39:$C$50),WORKDAY(P266,-(Setup!$C$13+Setup!$G$34),Setup!$C$39:$C$50))+(261*100+15)/10000000)))</f>
        <v/>
      </c>
      <c r="AH266" t="str">
        <f t="shared" si="33"/>
        <v/>
      </c>
      <c r="AI266" t="str">
        <f t="shared" si="34"/>
        <v/>
      </c>
      <c r="AK266" t="str">
        <f ca="1">IF(261&gt;$AK$2,"",SMALL($R$6:$AF$505,261))</f>
        <v/>
      </c>
      <c r="AL266" t="str">
        <f t="shared" ca="1" si="35"/>
        <v/>
      </c>
      <c r="AM266" t="str">
        <f t="shared" ca="1" si="36"/>
        <v/>
      </c>
      <c r="AN266" t="str">
        <f t="shared" ca="1" si="37"/>
        <v/>
      </c>
      <c r="AP266" t="str">
        <f>IF(ISNUMBER(Roster!$B266),MAX(1,YEAR(Setup!$C$5)-YEAR(Roster!$B266)+IF(EDATE(Roster!$B266,12*(YEAR(Setup!$C$5)-YEAR(Roster!$B266)))&lt;Setup!$C$5,1,0)),"")</f>
        <v/>
      </c>
      <c r="AQ266" s="32" t="str">
        <f>IF(AP266="","",EDATE(Roster!$B266,12*AP266))</f>
        <v/>
      </c>
      <c r="AR266" t="str">
        <f>IF(AQ266="","",IF(AQ266&lt;DATE(YEAR(Setup!$C$5)+1,MONTH(Setup!$C$5),DAY(Setup!$C$5)),AQ266+261/1000,""))</f>
        <v/>
      </c>
      <c r="AS266" t="str">
        <f t="shared" si="38"/>
        <v/>
      </c>
      <c r="AT266" t="str">
        <f>IF(AS266="","",IF(ISNUMBER(Roster!$D266),Roster!$D266&gt;=AP266,FALSE))</f>
        <v/>
      </c>
      <c r="AU266" t="str">
        <f t="shared" si="39"/>
        <v/>
      </c>
      <c r="AV266" t="str">
        <f ca="1">IF(261&gt;$AV$2,"",SMALL($AR$6:$AR$505,261))</f>
        <v/>
      </c>
      <c r="AW266" t="str">
        <f t="shared" ca="1" si="40"/>
        <v/>
      </c>
    </row>
    <row r="267" spans="2:49" x14ac:dyDescent="0.2">
      <c r="B267" s="32" t="str">
        <f>IF(AND(ISNUMBER(Roster!$B267),Setup!$B$20="Yes",ISNUMBER(Setup!$C$20)),EDATE(Roster!$B267,12*Setup!$C$20),"")</f>
        <v/>
      </c>
      <c r="C267" s="32" t="str">
        <f>IF(AND(ISNUMBER(Roster!$B267),Setup!$B$21="Yes",ISNUMBER(Setup!$C$21)),EDATE(Roster!$B267,12*Setup!$C$21),"")</f>
        <v/>
      </c>
      <c r="D267" s="32" t="str">
        <f>IF(AND(ISNUMBER(Roster!$B267),Setup!$B$22="Yes",ISNUMBER(Setup!$C$22)),EDATE(Roster!$B267,12*Setup!$C$22),"")</f>
        <v/>
      </c>
      <c r="E267" s="32" t="str">
        <f>IF(AND(ISNUMBER(Roster!$B267),Setup!$B$23="Yes",ISNUMBER(Setup!$C$23)),EDATE(Roster!$B267,12*Setup!$C$23),"")</f>
        <v/>
      </c>
      <c r="F267" s="32" t="str">
        <f>IF(AND(ISNUMBER(Roster!$B267),Setup!$B$24="Yes",ISNUMBER(Setup!$C$24)),EDATE(Roster!$B267,12*Setup!$C$24),"")</f>
        <v/>
      </c>
      <c r="G267" s="32" t="str">
        <f>IF(AND(ISNUMBER(Roster!$B267),Setup!$B$25="Yes",ISNUMBER(Setup!$C$25)),EDATE(Roster!$B267,12*Setup!$C$25),"")</f>
        <v/>
      </c>
      <c r="H267" s="32" t="str">
        <f>IF(AND(ISNUMBER(Roster!$B267),Setup!$B$26="Yes",ISNUMBER(Setup!$C$26)),EDATE(Roster!$B267,12*Setup!$C$26),"")</f>
        <v/>
      </c>
      <c r="I267" s="32" t="str">
        <f>IF(AND(ISNUMBER(Roster!$B267),Setup!$B$27="Yes",ISNUMBER(Setup!$C$27)),EDATE(Roster!$B267,12*Setup!$C$27),"")</f>
        <v/>
      </c>
      <c r="J267" s="32" t="str">
        <f>IF(AND(ISNUMBER(Roster!$B267),Setup!$B$28="Yes",ISNUMBER(Setup!$C$28)),EDATE(Roster!$B267,12*Setup!$C$28),"")</f>
        <v/>
      </c>
      <c r="K267" s="32" t="str">
        <f>IF(AND(ISNUMBER(Roster!$B267),Setup!$B$29="Yes",ISNUMBER(Setup!$C$29)),EDATE(Roster!$B267,12*Setup!$C$29),"")</f>
        <v/>
      </c>
      <c r="L267" s="32" t="str">
        <f>IF(AND(ISNUMBER(Roster!$B267),Setup!$B$30="Yes",ISNUMBER(Setup!$C$30)),EDATE(Roster!$B267,12*Setup!$C$30),"")</f>
        <v/>
      </c>
      <c r="M267" s="32" t="str">
        <f>IF(AND(ISNUMBER(Roster!$B267),Setup!$B$31="Yes",ISNUMBER(Setup!$C$31)),EDATE(Roster!$B267,12*Setup!$C$31),"")</f>
        <v/>
      </c>
      <c r="N267" s="32" t="str">
        <f>IF(AND(ISNUMBER(Roster!$B267),Setup!$B$32="Yes",ISNUMBER(Setup!$C$32)),EDATE(Roster!$B267,12*Setup!$C$32),"")</f>
        <v/>
      </c>
      <c r="O267" s="32" t="str">
        <f>IF(AND(ISNUMBER(Roster!$B267),Setup!$B$33="Yes",ISNUMBER(Setup!$C$33)),EDATE(Roster!$B267,12*Setup!$C$33),"")</f>
        <v/>
      </c>
      <c r="P267" s="32" t="str">
        <f>IF(AND(ISNUMBER(Roster!$B267),Setup!$B$34="Yes",ISNUMBER(Setup!$C$34)),EDATE(Roster!$B267,12*Setup!$C$34),"")</f>
        <v/>
      </c>
      <c r="R267" t="str">
        <f>IF(B267="","",IF(B267&lt;Setup!$C$5-Setup!$C$6,"",IF(IF(ISNUMBER(Roster!$D267),Setup!$C$20&lt;=Roster!$D267,FALSE),"",IF(OR(IF(Setup!$C$15&lt;=Setup!$C$16,AND(MONTH(B267)&gt;=Setup!$C$15,MONTH(B267)&lt;=Setup!$C$16),OR(MONTH(B267)&gt;=Setup!$C$15,MONTH(B267)&lt;=Setup!$C$16)),IF(Setup!$C$15&lt;=Setup!$C$16,AND(MONTH(WORKDAY(B267,-(Setup!$C$13+Setup!$G$20),Setup!$C$39:$C$50))&gt;=Setup!$C$15,MONTH(WORKDAY(B267,-(Setup!$C$13+Setup!$G$20),Setup!$C$39:$C$50))&lt;=Setup!$C$16),OR(MONTH(WORKDAY(B267,-(Setup!$C$13+Setup!$G$20),Setup!$C$39:$C$50))&gt;=Setup!$C$15,MONTH(WORKDAY(B267,-(Setup!$C$13+Setup!$G$20),Setup!$C$39:$C$50))&lt;=Setup!$C$16))),WORKDAY(B267,-(Setup!$C$13+Setup!$G$20+Setup!$C$14),Setup!$C$39:$C$50),WORKDAY(B267,-(Setup!$C$13+Setup!$G$20),Setup!$C$39:$C$50))+(262*100+1)/10000000)))</f>
        <v/>
      </c>
      <c r="S267" t="str">
        <f>IF(C267="","",IF(C267&lt;Setup!$C$5-Setup!$C$6,"",IF(IF(ISNUMBER(Roster!$D267),Setup!$C$21&lt;=Roster!$D267,FALSE),"",IF(OR(IF(Setup!$C$15&lt;=Setup!$C$16,AND(MONTH(C267)&gt;=Setup!$C$15,MONTH(C267)&lt;=Setup!$C$16),OR(MONTH(C267)&gt;=Setup!$C$15,MONTH(C267)&lt;=Setup!$C$16)),IF(Setup!$C$15&lt;=Setup!$C$16,AND(MONTH(WORKDAY(C267,-(Setup!$C$13+Setup!$G$21),Setup!$C$39:$C$50))&gt;=Setup!$C$15,MONTH(WORKDAY(C267,-(Setup!$C$13+Setup!$G$21),Setup!$C$39:$C$50))&lt;=Setup!$C$16),OR(MONTH(WORKDAY(C267,-(Setup!$C$13+Setup!$G$21),Setup!$C$39:$C$50))&gt;=Setup!$C$15,MONTH(WORKDAY(C267,-(Setup!$C$13+Setup!$G$21),Setup!$C$39:$C$50))&lt;=Setup!$C$16))),WORKDAY(C267,-(Setup!$C$13+Setup!$G$21+Setup!$C$14),Setup!$C$39:$C$50),WORKDAY(C267,-(Setup!$C$13+Setup!$G$21),Setup!$C$39:$C$50))+(262*100+2)/10000000)))</f>
        <v/>
      </c>
      <c r="T267" t="str">
        <f>IF(D267="","",IF(D267&lt;Setup!$C$5-Setup!$C$6,"",IF(IF(ISNUMBER(Roster!$D267),Setup!$C$22&lt;=Roster!$D267,FALSE),"",IF(OR(IF(Setup!$C$15&lt;=Setup!$C$16,AND(MONTH(D267)&gt;=Setup!$C$15,MONTH(D267)&lt;=Setup!$C$16),OR(MONTH(D267)&gt;=Setup!$C$15,MONTH(D267)&lt;=Setup!$C$16)),IF(Setup!$C$15&lt;=Setup!$C$16,AND(MONTH(WORKDAY(D267,-(Setup!$C$13+Setup!$G$22),Setup!$C$39:$C$50))&gt;=Setup!$C$15,MONTH(WORKDAY(D267,-(Setup!$C$13+Setup!$G$22),Setup!$C$39:$C$50))&lt;=Setup!$C$16),OR(MONTH(WORKDAY(D267,-(Setup!$C$13+Setup!$G$22),Setup!$C$39:$C$50))&gt;=Setup!$C$15,MONTH(WORKDAY(D267,-(Setup!$C$13+Setup!$G$22),Setup!$C$39:$C$50))&lt;=Setup!$C$16))),WORKDAY(D267,-(Setup!$C$13+Setup!$G$22+Setup!$C$14),Setup!$C$39:$C$50),WORKDAY(D267,-(Setup!$C$13+Setup!$G$22),Setup!$C$39:$C$50))+(262*100+3)/10000000)))</f>
        <v/>
      </c>
      <c r="U267" t="str">
        <f>IF(E267="","",IF(E267&lt;Setup!$C$5-Setup!$C$6,"",IF(IF(ISNUMBER(Roster!$D267),Setup!$C$23&lt;=Roster!$D267,FALSE),"",IF(OR(IF(Setup!$C$15&lt;=Setup!$C$16,AND(MONTH(E267)&gt;=Setup!$C$15,MONTH(E267)&lt;=Setup!$C$16),OR(MONTH(E267)&gt;=Setup!$C$15,MONTH(E267)&lt;=Setup!$C$16)),IF(Setup!$C$15&lt;=Setup!$C$16,AND(MONTH(WORKDAY(E267,-(Setup!$C$13+Setup!$G$23),Setup!$C$39:$C$50))&gt;=Setup!$C$15,MONTH(WORKDAY(E267,-(Setup!$C$13+Setup!$G$23),Setup!$C$39:$C$50))&lt;=Setup!$C$16),OR(MONTH(WORKDAY(E267,-(Setup!$C$13+Setup!$G$23),Setup!$C$39:$C$50))&gt;=Setup!$C$15,MONTH(WORKDAY(E267,-(Setup!$C$13+Setup!$G$23),Setup!$C$39:$C$50))&lt;=Setup!$C$16))),WORKDAY(E267,-(Setup!$C$13+Setup!$G$23+Setup!$C$14),Setup!$C$39:$C$50),WORKDAY(E267,-(Setup!$C$13+Setup!$G$23),Setup!$C$39:$C$50))+(262*100+4)/10000000)))</f>
        <v/>
      </c>
      <c r="V267" t="str">
        <f>IF(F267="","",IF(F267&lt;Setup!$C$5-Setup!$C$6,"",IF(IF(ISNUMBER(Roster!$D267),Setup!$C$24&lt;=Roster!$D267,FALSE),"",IF(OR(IF(Setup!$C$15&lt;=Setup!$C$16,AND(MONTH(F267)&gt;=Setup!$C$15,MONTH(F267)&lt;=Setup!$C$16),OR(MONTH(F267)&gt;=Setup!$C$15,MONTH(F267)&lt;=Setup!$C$16)),IF(Setup!$C$15&lt;=Setup!$C$16,AND(MONTH(WORKDAY(F267,-(Setup!$C$13+Setup!$G$24),Setup!$C$39:$C$50))&gt;=Setup!$C$15,MONTH(WORKDAY(F267,-(Setup!$C$13+Setup!$G$24),Setup!$C$39:$C$50))&lt;=Setup!$C$16),OR(MONTH(WORKDAY(F267,-(Setup!$C$13+Setup!$G$24),Setup!$C$39:$C$50))&gt;=Setup!$C$15,MONTH(WORKDAY(F267,-(Setup!$C$13+Setup!$G$24),Setup!$C$39:$C$50))&lt;=Setup!$C$16))),WORKDAY(F267,-(Setup!$C$13+Setup!$G$24+Setup!$C$14),Setup!$C$39:$C$50),WORKDAY(F267,-(Setup!$C$13+Setup!$G$24),Setup!$C$39:$C$50))+(262*100+5)/10000000)))</f>
        <v/>
      </c>
      <c r="W267" t="str">
        <f>IF(G267="","",IF(G267&lt;Setup!$C$5-Setup!$C$6,"",IF(IF(ISNUMBER(Roster!$D267),Setup!$C$25&lt;=Roster!$D267,FALSE),"",IF(OR(IF(Setup!$C$15&lt;=Setup!$C$16,AND(MONTH(G267)&gt;=Setup!$C$15,MONTH(G267)&lt;=Setup!$C$16),OR(MONTH(G267)&gt;=Setup!$C$15,MONTH(G267)&lt;=Setup!$C$16)),IF(Setup!$C$15&lt;=Setup!$C$16,AND(MONTH(WORKDAY(G267,-(Setup!$C$13+Setup!$G$25),Setup!$C$39:$C$50))&gt;=Setup!$C$15,MONTH(WORKDAY(G267,-(Setup!$C$13+Setup!$G$25),Setup!$C$39:$C$50))&lt;=Setup!$C$16),OR(MONTH(WORKDAY(G267,-(Setup!$C$13+Setup!$G$25),Setup!$C$39:$C$50))&gt;=Setup!$C$15,MONTH(WORKDAY(G267,-(Setup!$C$13+Setup!$G$25),Setup!$C$39:$C$50))&lt;=Setup!$C$16))),WORKDAY(G267,-(Setup!$C$13+Setup!$G$25+Setup!$C$14),Setup!$C$39:$C$50),WORKDAY(G267,-(Setup!$C$13+Setup!$G$25),Setup!$C$39:$C$50))+(262*100+6)/10000000)))</f>
        <v/>
      </c>
      <c r="X267" t="str">
        <f>IF(H267="","",IF(H267&lt;Setup!$C$5-Setup!$C$6,"",IF(IF(ISNUMBER(Roster!$D267),Setup!$C$26&lt;=Roster!$D267,FALSE),"",IF(OR(IF(Setup!$C$15&lt;=Setup!$C$16,AND(MONTH(H267)&gt;=Setup!$C$15,MONTH(H267)&lt;=Setup!$C$16),OR(MONTH(H267)&gt;=Setup!$C$15,MONTH(H267)&lt;=Setup!$C$16)),IF(Setup!$C$15&lt;=Setup!$C$16,AND(MONTH(WORKDAY(H267,-(Setup!$C$13+Setup!$G$26),Setup!$C$39:$C$50))&gt;=Setup!$C$15,MONTH(WORKDAY(H267,-(Setup!$C$13+Setup!$G$26),Setup!$C$39:$C$50))&lt;=Setup!$C$16),OR(MONTH(WORKDAY(H267,-(Setup!$C$13+Setup!$G$26),Setup!$C$39:$C$50))&gt;=Setup!$C$15,MONTH(WORKDAY(H267,-(Setup!$C$13+Setup!$G$26),Setup!$C$39:$C$50))&lt;=Setup!$C$16))),WORKDAY(H267,-(Setup!$C$13+Setup!$G$26+Setup!$C$14),Setup!$C$39:$C$50),WORKDAY(H267,-(Setup!$C$13+Setup!$G$26),Setup!$C$39:$C$50))+(262*100+7)/10000000)))</f>
        <v/>
      </c>
      <c r="Y267" t="str">
        <f>IF(I267="","",IF(I267&lt;Setup!$C$5-Setup!$C$6,"",IF(IF(ISNUMBER(Roster!$D267),Setup!$C$27&lt;=Roster!$D267,FALSE),"",IF(OR(IF(Setup!$C$15&lt;=Setup!$C$16,AND(MONTH(I267)&gt;=Setup!$C$15,MONTH(I267)&lt;=Setup!$C$16),OR(MONTH(I267)&gt;=Setup!$C$15,MONTH(I267)&lt;=Setup!$C$16)),IF(Setup!$C$15&lt;=Setup!$C$16,AND(MONTH(WORKDAY(I267,-(Setup!$C$13+Setup!$G$27),Setup!$C$39:$C$50))&gt;=Setup!$C$15,MONTH(WORKDAY(I267,-(Setup!$C$13+Setup!$G$27),Setup!$C$39:$C$50))&lt;=Setup!$C$16),OR(MONTH(WORKDAY(I267,-(Setup!$C$13+Setup!$G$27),Setup!$C$39:$C$50))&gt;=Setup!$C$15,MONTH(WORKDAY(I267,-(Setup!$C$13+Setup!$G$27),Setup!$C$39:$C$50))&lt;=Setup!$C$16))),WORKDAY(I267,-(Setup!$C$13+Setup!$G$27+Setup!$C$14),Setup!$C$39:$C$50),WORKDAY(I267,-(Setup!$C$13+Setup!$G$27),Setup!$C$39:$C$50))+(262*100+8)/10000000)))</f>
        <v/>
      </c>
      <c r="Z267" t="str">
        <f>IF(J267="","",IF(J267&lt;Setup!$C$5-Setup!$C$6,"",IF(IF(ISNUMBER(Roster!$D267),Setup!$C$28&lt;=Roster!$D267,FALSE),"",IF(OR(IF(Setup!$C$15&lt;=Setup!$C$16,AND(MONTH(J267)&gt;=Setup!$C$15,MONTH(J267)&lt;=Setup!$C$16),OR(MONTH(J267)&gt;=Setup!$C$15,MONTH(J267)&lt;=Setup!$C$16)),IF(Setup!$C$15&lt;=Setup!$C$16,AND(MONTH(WORKDAY(J267,-(Setup!$C$13+Setup!$G$28),Setup!$C$39:$C$50))&gt;=Setup!$C$15,MONTH(WORKDAY(J267,-(Setup!$C$13+Setup!$G$28),Setup!$C$39:$C$50))&lt;=Setup!$C$16),OR(MONTH(WORKDAY(J267,-(Setup!$C$13+Setup!$G$28),Setup!$C$39:$C$50))&gt;=Setup!$C$15,MONTH(WORKDAY(J267,-(Setup!$C$13+Setup!$G$28),Setup!$C$39:$C$50))&lt;=Setup!$C$16))),WORKDAY(J267,-(Setup!$C$13+Setup!$G$28+Setup!$C$14),Setup!$C$39:$C$50),WORKDAY(J267,-(Setup!$C$13+Setup!$G$28),Setup!$C$39:$C$50))+(262*100+9)/10000000)))</f>
        <v/>
      </c>
      <c r="AA267" t="str">
        <f>IF(K267="","",IF(K267&lt;Setup!$C$5-Setup!$C$6,"",IF(IF(ISNUMBER(Roster!$D267),Setup!$C$29&lt;=Roster!$D267,FALSE),"",IF(OR(IF(Setup!$C$15&lt;=Setup!$C$16,AND(MONTH(K267)&gt;=Setup!$C$15,MONTH(K267)&lt;=Setup!$C$16),OR(MONTH(K267)&gt;=Setup!$C$15,MONTH(K267)&lt;=Setup!$C$16)),IF(Setup!$C$15&lt;=Setup!$C$16,AND(MONTH(WORKDAY(K267,-(Setup!$C$13+Setup!$G$29),Setup!$C$39:$C$50))&gt;=Setup!$C$15,MONTH(WORKDAY(K267,-(Setup!$C$13+Setup!$G$29),Setup!$C$39:$C$50))&lt;=Setup!$C$16),OR(MONTH(WORKDAY(K267,-(Setup!$C$13+Setup!$G$29),Setup!$C$39:$C$50))&gt;=Setup!$C$15,MONTH(WORKDAY(K267,-(Setup!$C$13+Setup!$G$29),Setup!$C$39:$C$50))&lt;=Setup!$C$16))),WORKDAY(K267,-(Setup!$C$13+Setup!$G$29+Setup!$C$14),Setup!$C$39:$C$50),WORKDAY(K267,-(Setup!$C$13+Setup!$G$29),Setup!$C$39:$C$50))+(262*100+10)/10000000)))</f>
        <v/>
      </c>
      <c r="AB267" t="str">
        <f>IF(L267="","",IF(L267&lt;Setup!$C$5-Setup!$C$6,"",IF(IF(ISNUMBER(Roster!$D267),Setup!$C$30&lt;=Roster!$D267,FALSE),"",IF(OR(IF(Setup!$C$15&lt;=Setup!$C$16,AND(MONTH(L267)&gt;=Setup!$C$15,MONTH(L267)&lt;=Setup!$C$16),OR(MONTH(L267)&gt;=Setup!$C$15,MONTH(L267)&lt;=Setup!$C$16)),IF(Setup!$C$15&lt;=Setup!$C$16,AND(MONTH(WORKDAY(L267,-(Setup!$C$13+Setup!$G$30),Setup!$C$39:$C$50))&gt;=Setup!$C$15,MONTH(WORKDAY(L267,-(Setup!$C$13+Setup!$G$30),Setup!$C$39:$C$50))&lt;=Setup!$C$16),OR(MONTH(WORKDAY(L267,-(Setup!$C$13+Setup!$G$30),Setup!$C$39:$C$50))&gt;=Setup!$C$15,MONTH(WORKDAY(L267,-(Setup!$C$13+Setup!$G$30),Setup!$C$39:$C$50))&lt;=Setup!$C$16))),WORKDAY(L267,-(Setup!$C$13+Setup!$G$30+Setup!$C$14),Setup!$C$39:$C$50),WORKDAY(L267,-(Setup!$C$13+Setup!$G$30),Setup!$C$39:$C$50))+(262*100+11)/10000000)))</f>
        <v/>
      </c>
      <c r="AC267" t="str">
        <f>IF(M267="","",IF(M267&lt;Setup!$C$5-Setup!$C$6,"",IF(IF(ISNUMBER(Roster!$D267),Setup!$C$31&lt;=Roster!$D267,FALSE),"",IF(OR(IF(Setup!$C$15&lt;=Setup!$C$16,AND(MONTH(M267)&gt;=Setup!$C$15,MONTH(M267)&lt;=Setup!$C$16),OR(MONTH(M267)&gt;=Setup!$C$15,MONTH(M267)&lt;=Setup!$C$16)),IF(Setup!$C$15&lt;=Setup!$C$16,AND(MONTH(WORKDAY(M267,-(Setup!$C$13+Setup!$G$31),Setup!$C$39:$C$50))&gt;=Setup!$C$15,MONTH(WORKDAY(M267,-(Setup!$C$13+Setup!$G$31),Setup!$C$39:$C$50))&lt;=Setup!$C$16),OR(MONTH(WORKDAY(M267,-(Setup!$C$13+Setup!$G$31),Setup!$C$39:$C$50))&gt;=Setup!$C$15,MONTH(WORKDAY(M267,-(Setup!$C$13+Setup!$G$31),Setup!$C$39:$C$50))&lt;=Setup!$C$16))),WORKDAY(M267,-(Setup!$C$13+Setup!$G$31+Setup!$C$14),Setup!$C$39:$C$50),WORKDAY(M267,-(Setup!$C$13+Setup!$G$31),Setup!$C$39:$C$50))+(262*100+12)/10000000)))</f>
        <v/>
      </c>
      <c r="AD267" t="str">
        <f>IF(N267="","",IF(N267&lt;Setup!$C$5-Setup!$C$6,"",IF(IF(ISNUMBER(Roster!$D267),Setup!$C$32&lt;=Roster!$D267,FALSE),"",IF(OR(IF(Setup!$C$15&lt;=Setup!$C$16,AND(MONTH(N267)&gt;=Setup!$C$15,MONTH(N267)&lt;=Setup!$C$16),OR(MONTH(N267)&gt;=Setup!$C$15,MONTH(N267)&lt;=Setup!$C$16)),IF(Setup!$C$15&lt;=Setup!$C$16,AND(MONTH(WORKDAY(N267,-(Setup!$C$13+Setup!$G$32),Setup!$C$39:$C$50))&gt;=Setup!$C$15,MONTH(WORKDAY(N267,-(Setup!$C$13+Setup!$G$32),Setup!$C$39:$C$50))&lt;=Setup!$C$16),OR(MONTH(WORKDAY(N267,-(Setup!$C$13+Setup!$G$32),Setup!$C$39:$C$50))&gt;=Setup!$C$15,MONTH(WORKDAY(N267,-(Setup!$C$13+Setup!$G$32),Setup!$C$39:$C$50))&lt;=Setup!$C$16))),WORKDAY(N267,-(Setup!$C$13+Setup!$G$32+Setup!$C$14),Setup!$C$39:$C$50),WORKDAY(N267,-(Setup!$C$13+Setup!$G$32),Setup!$C$39:$C$50))+(262*100+13)/10000000)))</f>
        <v/>
      </c>
      <c r="AE267" t="str">
        <f>IF(O267="","",IF(O267&lt;Setup!$C$5-Setup!$C$6,"",IF(IF(ISNUMBER(Roster!$D267),Setup!$C$33&lt;=Roster!$D267,FALSE),"",IF(OR(IF(Setup!$C$15&lt;=Setup!$C$16,AND(MONTH(O267)&gt;=Setup!$C$15,MONTH(O267)&lt;=Setup!$C$16),OR(MONTH(O267)&gt;=Setup!$C$15,MONTH(O267)&lt;=Setup!$C$16)),IF(Setup!$C$15&lt;=Setup!$C$16,AND(MONTH(WORKDAY(O267,-(Setup!$C$13+Setup!$G$33),Setup!$C$39:$C$50))&gt;=Setup!$C$15,MONTH(WORKDAY(O267,-(Setup!$C$13+Setup!$G$33),Setup!$C$39:$C$50))&lt;=Setup!$C$16),OR(MONTH(WORKDAY(O267,-(Setup!$C$13+Setup!$G$33),Setup!$C$39:$C$50))&gt;=Setup!$C$15,MONTH(WORKDAY(O267,-(Setup!$C$13+Setup!$G$33),Setup!$C$39:$C$50))&lt;=Setup!$C$16))),WORKDAY(O267,-(Setup!$C$13+Setup!$G$33+Setup!$C$14),Setup!$C$39:$C$50),WORKDAY(O267,-(Setup!$C$13+Setup!$G$33),Setup!$C$39:$C$50))+(262*100+14)/10000000)))</f>
        <v/>
      </c>
      <c r="AF267" t="str">
        <f>IF(P267="","",IF(P267&lt;Setup!$C$5-Setup!$C$6,"",IF(IF(ISNUMBER(Roster!$D267),Setup!$C$34&lt;=Roster!$D267,FALSE),"",IF(OR(IF(Setup!$C$15&lt;=Setup!$C$16,AND(MONTH(P267)&gt;=Setup!$C$15,MONTH(P267)&lt;=Setup!$C$16),OR(MONTH(P267)&gt;=Setup!$C$15,MONTH(P267)&lt;=Setup!$C$16)),IF(Setup!$C$15&lt;=Setup!$C$16,AND(MONTH(WORKDAY(P267,-(Setup!$C$13+Setup!$G$34),Setup!$C$39:$C$50))&gt;=Setup!$C$15,MONTH(WORKDAY(P267,-(Setup!$C$13+Setup!$G$34),Setup!$C$39:$C$50))&lt;=Setup!$C$16),OR(MONTH(WORKDAY(P267,-(Setup!$C$13+Setup!$G$34),Setup!$C$39:$C$50))&gt;=Setup!$C$15,MONTH(WORKDAY(P267,-(Setup!$C$13+Setup!$G$34),Setup!$C$39:$C$50))&lt;=Setup!$C$16))),WORKDAY(P267,-(Setup!$C$13+Setup!$G$34+Setup!$C$14),Setup!$C$39:$C$50),WORKDAY(P267,-(Setup!$C$13+Setup!$G$34),Setup!$C$39:$C$50))+(262*100+15)/10000000)))</f>
        <v/>
      </c>
      <c r="AH267" t="str">
        <f t="shared" si="33"/>
        <v/>
      </c>
      <c r="AI267" t="str">
        <f t="shared" si="34"/>
        <v/>
      </c>
      <c r="AK267" t="str">
        <f ca="1">IF(262&gt;$AK$2,"",SMALL($R$6:$AF$505,262))</f>
        <v/>
      </c>
      <c r="AL267" t="str">
        <f t="shared" ca="1" si="35"/>
        <v/>
      </c>
      <c r="AM267" t="str">
        <f t="shared" ca="1" si="36"/>
        <v/>
      </c>
      <c r="AN267" t="str">
        <f t="shared" ca="1" si="37"/>
        <v/>
      </c>
      <c r="AP267" t="str">
        <f>IF(ISNUMBER(Roster!$B267),MAX(1,YEAR(Setup!$C$5)-YEAR(Roster!$B267)+IF(EDATE(Roster!$B267,12*(YEAR(Setup!$C$5)-YEAR(Roster!$B267)))&lt;Setup!$C$5,1,0)),"")</f>
        <v/>
      </c>
      <c r="AQ267" s="32" t="str">
        <f>IF(AP267="","",EDATE(Roster!$B267,12*AP267))</f>
        <v/>
      </c>
      <c r="AR267" t="str">
        <f>IF(AQ267="","",IF(AQ267&lt;DATE(YEAR(Setup!$C$5)+1,MONTH(Setup!$C$5),DAY(Setup!$C$5)),AQ267+262/1000,""))</f>
        <v/>
      </c>
      <c r="AS267" t="str">
        <f t="shared" si="38"/>
        <v/>
      </c>
      <c r="AT267" t="str">
        <f>IF(AS267="","",IF(ISNUMBER(Roster!$D267),Roster!$D267&gt;=AP267,FALSE))</f>
        <v/>
      </c>
      <c r="AU267" t="str">
        <f t="shared" si="39"/>
        <v/>
      </c>
      <c r="AV267" t="str">
        <f ca="1">IF(262&gt;$AV$2,"",SMALL($AR$6:$AR$505,262))</f>
        <v/>
      </c>
      <c r="AW267" t="str">
        <f t="shared" ca="1" si="40"/>
        <v/>
      </c>
    </row>
    <row r="268" spans="2:49" x14ac:dyDescent="0.2">
      <c r="B268" s="32" t="str">
        <f>IF(AND(ISNUMBER(Roster!$B268),Setup!$B$20="Yes",ISNUMBER(Setup!$C$20)),EDATE(Roster!$B268,12*Setup!$C$20),"")</f>
        <v/>
      </c>
      <c r="C268" s="32" t="str">
        <f>IF(AND(ISNUMBER(Roster!$B268),Setup!$B$21="Yes",ISNUMBER(Setup!$C$21)),EDATE(Roster!$B268,12*Setup!$C$21),"")</f>
        <v/>
      </c>
      <c r="D268" s="32" t="str">
        <f>IF(AND(ISNUMBER(Roster!$B268),Setup!$B$22="Yes",ISNUMBER(Setup!$C$22)),EDATE(Roster!$B268,12*Setup!$C$22),"")</f>
        <v/>
      </c>
      <c r="E268" s="32" t="str">
        <f>IF(AND(ISNUMBER(Roster!$B268),Setup!$B$23="Yes",ISNUMBER(Setup!$C$23)),EDATE(Roster!$B268,12*Setup!$C$23),"")</f>
        <v/>
      </c>
      <c r="F268" s="32" t="str">
        <f>IF(AND(ISNUMBER(Roster!$B268),Setup!$B$24="Yes",ISNUMBER(Setup!$C$24)),EDATE(Roster!$B268,12*Setup!$C$24),"")</f>
        <v/>
      </c>
      <c r="G268" s="32" t="str">
        <f>IF(AND(ISNUMBER(Roster!$B268),Setup!$B$25="Yes",ISNUMBER(Setup!$C$25)),EDATE(Roster!$B268,12*Setup!$C$25),"")</f>
        <v/>
      </c>
      <c r="H268" s="32" t="str">
        <f>IF(AND(ISNUMBER(Roster!$B268),Setup!$B$26="Yes",ISNUMBER(Setup!$C$26)),EDATE(Roster!$B268,12*Setup!$C$26),"")</f>
        <v/>
      </c>
      <c r="I268" s="32" t="str">
        <f>IF(AND(ISNUMBER(Roster!$B268),Setup!$B$27="Yes",ISNUMBER(Setup!$C$27)),EDATE(Roster!$B268,12*Setup!$C$27),"")</f>
        <v/>
      </c>
      <c r="J268" s="32" t="str">
        <f>IF(AND(ISNUMBER(Roster!$B268),Setup!$B$28="Yes",ISNUMBER(Setup!$C$28)),EDATE(Roster!$B268,12*Setup!$C$28),"")</f>
        <v/>
      </c>
      <c r="K268" s="32" t="str">
        <f>IF(AND(ISNUMBER(Roster!$B268),Setup!$B$29="Yes",ISNUMBER(Setup!$C$29)),EDATE(Roster!$B268,12*Setup!$C$29),"")</f>
        <v/>
      </c>
      <c r="L268" s="32" t="str">
        <f>IF(AND(ISNUMBER(Roster!$B268),Setup!$B$30="Yes",ISNUMBER(Setup!$C$30)),EDATE(Roster!$B268,12*Setup!$C$30),"")</f>
        <v/>
      </c>
      <c r="M268" s="32" t="str">
        <f>IF(AND(ISNUMBER(Roster!$B268),Setup!$B$31="Yes",ISNUMBER(Setup!$C$31)),EDATE(Roster!$B268,12*Setup!$C$31),"")</f>
        <v/>
      </c>
      <c r="N268" s="32" t="str">
        <f>IF(AND(ISNUMBER(Roster!$B268),Setup!$B$32="Yes",ISNUMBER(Setup!$C$32)),EDATE(Roster!$B268,12*Setup!$C$32),"")</f>
        <v/>
      </c>
      <c r="O268" s="32" t="str">
        <f>IF(AND(ISNUMBER(Roster!$B268),Setup!$B$33="Yes",ISNUMBER(Setup!$C$33)),EDATE(Roster!$B268,12*Setup!$C$33),"")</f>
        <v/>
      </c>
      <c r="P268" s="32" t="str">
        <f>IF(AND(ISNUMBER(Roster!$B268),Setup!$B$34="Yes",ISNUMBER(Setup!$C$34)),EDATE(Roster!$B268,12*Setup!$C$34),"")</f>
        <v/>
      </c>
      <c r="R268" t="str">
        <f>IF(B268="","",IF(B268&lt;Setup!$C$5-Setup!$C$6,"",IF(IF(ISNUMBER(Roster!$D268),Setup!$C$20&lt;=Roster!$D268,FALSE),"",IF(OR(IF(Setup!$C$15&lt;=Setup!$C$16,AND(MONTH(B268)&gt;=Setup!$C$15,MONTH(B268)&lt;=Setup!$C$16),OR(MONTH(B268)&gt;=Setup!$C$15,MONTH(B268)&lt;=Setup!$C$16)),IF(Setup!$C$15&lt;=Setup!$C$16,AND(MONTH(WORKDAY(B268,-(Setup!$C$13+Setup!$G$20),Setup!$C$39:$C$50))&gt;=Setup!$C$15,MONTH(WORKDAY(B268,-(Setup!$C$13+Setup!$G$20),Setup!$C$39:$C$50))&lt;=Setup!$C$16),OR(MONTH(WORKDAY(B268,-(Setup!$C$13+Setup!$G$20),Setup!$C$39:$C$50))&gt;=Setup!$C$15,MONTH(WORKDAY(B268,-(Setup!$C$13+Setup!$G$20),Setup!$C$39:$C$50))&lt;=Setup!$C$16))),WORKDAY(B268,-(Setup!$C$13+Setup!$G$20+Setup!$C$14),Setup!$C$39:$C$50),WORKDAY(B268,-(Setup!$C$13+Setup!$G$20),Setup!$C$39:$C$50))+(263*100+1)/10000000)))</f>
        <v/>
      </c>
      <c r="S268" t="str">
        <f>IF(C268="","",IF(C268&lt;Setup!$C$5-Setup!$C$6,"",IF(IF(ISNUMBER(Roster!$D268),Setup!$C$21&lt;=Roster!$D268,FALSE),"",IF(OR(IF(Setup!$C$15&lt;=Setup!$C$16,AND(MONTH(C268)&gt;=Setup!$C$15,MONTH(C268)&lt;=Setup!$C$16),OR(MONTH(C268)&gt;=Setup!$C$15,MONTH(C268)&lt;=Setup!$C$16)),IF(Setup!$C$15&lt;=Setup!$C$16,AND(MONTH(WORKDAY(C268,-(Setup!$C$13+Setup!$G$21),Setup!$C$39:$C$50))&gt;=Setup!$C$15,MONTH(WORKDAY(C268,-(Setup!$C$13+Setup!$G$21),Setup!$C$39:$C$50))&lt;=Setup!$C$16),OR(MONTH(WORKDAY(C268,-(Setup!$C$13+Setup!$G$21),Setup!$C$39:$C$50))&gt;=Setup!$C$15,MONTH(WORKDAY(C268,-(Setup!$C$13+Setup!$G$21),Setup!$C$39:$C$50))&lt;=Setup!$C$16))),WORKDAY(C268,-(Setup!$C$13+Setup!$G$21+Setup!$C$14),Setup!$C$39:$C$50),WORKDAY(C268,-(Setup!$C$13+Setup!$G$21),Setup!$C$39:$C$50))+(263*100+2)/10000000)))</f>
        <v/>
      </c>
      <c r="T268" t="str">
        <f>IF(D268="","",IF(D268&lt;Setup!$C$5-Setup!$C$6,"",IF(IF(ISNUMBER(Roster!$D268),Setup!$C$22&lt;=Roster!$D268,FALSE),"",IF(OR(IF(Setup!$C$15&lt;=Setup!$C$16,AND(MONTH(D268)&gt;=Setup!$C$15,MONTH(D268)&lt;=Setup!$C$16),OR(MONTH(D268)&gt;=Setup!$C$15,MONTH(D268)&lt;=Setup!$C$16)),IF(Setup!$C$15&lt;=Setup!$C$16,AND(MONTH(WORKDAY(D268,-(Setup!$C$13+Setup!$G$22),Setup!$C$39:$C$50))&gt;=Setup!$C$15,MONTH(WORKDAY(D268,-(Setup!$C$13+Setup!$G$22),Setup!$C$39:$C$50))&lt;=Setup!$C$16),OR(MONTH(WORKDAY(D268,-(Setup!$C$13+Setup!$G$22),Setup!$C$39:$C$50))&gt;=Setup!$C$15,MONTH(WORKDAY(D268,-(Setup!$C$13+Setup!$G$22),Setup!$C$39:$C$50))&lt;=Setup!$C$16))),WORKDAY(D268,-(Setup!$C$13+Setup!$G$22+Setup!$C$14),Setup!$C$39:$C$50),WORKDAY(D268,-(Setup!$C$13+Setup!$G$22),Setup!$C$39:$C$50))+(263*100+3)/10000000)))</f>
        <v/>
      </c>
      <c r="U268" t="str">
        <f>IF(E268="","",IF(E268&lt;Setup!$C$5-Setup!$C$6,"",IF(IF(ISNUMBER(Roster!$D268),Setup!$C$23&lt;=Roster!$D268,FALSE),"",IF(OR(IF(Setup!$C$15&lt;=Setup!$C$16,AND(MONTH(E268)&gt;=Setup!$C$15,MONTH(E268)&lt;=Setup!$C$16),OR(MONTH(E268)&gt;=Setup!$C$15,MONTH(E268)&lt;=Setup!$C$16)),IF(Setup!$C$15&lt;=Setup!$C$16,AND(MONTH(WORKDAY(E268,-(Setup!$C$13+Setup!$G$23),Setup!$C$39:$C$50))&gt;=Setup!$C$15,MONTH(WORKDAY(E268,-(Setup!$C$13+Setup!$G$23),Setup!$C$39:$C$50))&lt;=Setup!$C$16),OR(MONTH(WORKDAY(E268,-(Setup!$C$13+Setup!$G$23),Setup!$C$39:$C$50))&gt;=Setup!$C$15,MONTH(WORKDAY(E268,-(Setup!$C$13+Setup!$G$23),Setup!$C$39:$C$50))&lt;=Setup!$C$16))),WORKDAY(E268,-(Setup!$C$13+Setup!$G$23+Setup!$C$14),Setup!$C$39:$C$50),WORKDAY(E268,-(Setup!$C$13+Setup!$G$23),Setup!$C$39:$C$50))+(263*100+4)/10000000)))</f>
        <v/>
      </c>
      <c r="V268" t="str">
        <f>IF(F268="","",IF(F268&lt;Setup!$C$5-Setup!$C$6,"",IF(IF(ISNUMBER(Roster!$D268),Setup!$C$24&lt;=Roster!$D268,FALSE),"",IF(OR(IF(Setup!$C$15&lt;=Setup!$C$16,AND(MONTH(F268)&gt;=Setup!$C$15,MONTH(F268)&lt;=Setup!$C$16),OR(MONTH(F268)&gt;=Setup!$C$15,MONTH(F268)&lt;=Setup!$C$16)),IF(Setup!$C$15&lt;=Setup!$C$16,AND(MONTH(WORKDAY(F268,-(Setup!$C$13+Setup!$G$24),Setup!$C$39:$C$50))&gt;=Setup!$C$15,MONTH(WORKDAY(F268,-(Setup!$C$13+Setup!$G$24),Setup!$C$39:$C$50))&lt;=Setup!$C$16),OR(MONTH(WORKDAY(F268,-(Setup!$C$13+Setup!$G$24),Setup!$C$39:$C$50))&gt;=Setup!$C$15,MONTH(WORKDAY(F268,-(Setup!$C$13+Setup!$G$24),Setup!$C$39:$C$50))&lt;=Setup!$C$16))),WORKDAY(F268,-(Setup!$C$13+Setup!$G$24+Setup!$C$14),Setup!$C$39:$C$50),WORKDAY(F268,-(Setup!$C$13+Setup!$G$24),Setup!$C$39:$C$50))+(263*100+5)/10000000)))</f>
        <v/>
      </c>
      <c r="W268" t="str">
        <f>IF(G268="","",IF(G268&lt;Setup!$C$5-Setup!$C$6,"",IF(IF(ISNUMBER(Roster!$D268),Setup!$C$25&lt;=Roster!$D268,FALSE),"",IF(OR(IF(Setup!$C$15&lt;=Setup!$C$16,AND(MONTH(G268)&gt;=Setup!$C$15,MONTH(G268)&lt;=Setup!$C$16),OR(MONTH(G268)&gt;=Setup!$C$15,MONTH(G268)&lt;=Setup!$C$16)),IF(Setup!$C$15&lt;=Setup!$C$16,AND(MONTH(WORKDAY(G268,-(Setup!$C$13+Setup!$G$25),Setup!$C$39:$C$50))&gt;=Setup!$C$15,MONTH(WORKDAY(G268,-(Setup!$C$13+Setup!$G$25),Setup!$C$39:$C$50))&lt;=Setup!$C$16),OR(MONTH(WORKDAY(G268,-(Setup!$C$13+Setup!$G$25),Setup!$C$39:$C$50))&gt;=Setup!$C$15,MONTH(WORKDAY(G268,-(Setup!$C$13+Setup!$G$25),Setup!$C$39:$C$50))&lt;=Setup!$C$16))),WORKDAY(G268,-(Setup!$C$13+Setup!$G$25+Setup!$C$14),Setup!$C$39:$C$50),WORKDAY(G268,-(Setup!$C$13+Setup!$G$25),Setup!$C$39:$C$50))+(263*100+6)/10000000)))</f>
        <v/>
      </c>
      <c r="X268" t="str">
        <f>IF(H268="","",IF(H268&lt;Setup!$C$5-Setup!$C$6,"",IF(IF(ISNUMBER(Roster!$D268),Setup!$C$26&lt;=Roster!$D268,FALSE),"",IF(OR(IF(Setup!$C$15&lt;=Setup!$C$16,AND(MONTH(H268)&gt;=Setup!$C$15,MONTH(H268)&lt;=Setup!$C$16),OR(MONTH(H268)&gt;=Setup!$C$15,MONTH(H268)&lt;=Setup!$C$16)),IF(Setup!$C$15&lt;=Setup!$C$16,AND(MONTH(WORKDAY(H268,-(Setup!$C$13+Setup!$G$26),Setup!$C$39:$C$50))&gt;=Setup!$C$15,MONTH(WORKDAY(H268,-(Setup!$C$13+Setup!$G$26),Setup!$C$39:$C$50))&lt;=Setup!$C$16),OR(MONTH(WORKDAY(H268,-(Setup!$C$13+Setup!$G$26),Setup!$C$39:$C$50))&gt;=Setup!$C$15,MONTH(WORKDAY(H268,-(Setup!$C$13+Setup!$G$26),Setup!$C$39:$C$50))&lt;=Setup!$C$16))),WORKDAY(H268,-(Setup!$C$13+Setup!$G$26+Setup!$C$14),Setup!$C$39:$C$50),WORKDAY(H268,-(Setup!$C$13+Setup!$G$26),Setup!$C$39:$C$50))+(263*100+7)/10000000)))</f>
        <v/>
      </c>
      <c r="Y268" t="str">
        <f>IF(I268="","",IF(I268&lt;Setup!$C$5-Setup!$C$6,"",IF(IF(ISNUMBER(Roster!$D268),Setup!$C$27&lt;=Roster!$D268,FALSE),"",IF(OR(IF(Setup!$C$15&lt;=Setup!$C$16,AND(MONTH(I268)&gt;=Setup!$C$15,MONTH(I268)&lt;=Setup!$C$16),OR(MONTH(I268)&gt;=Setup!$C$15,MONTH(I268)&lt;=Setup!$C$16)),IF(Setup!$C$15&lt;=Setup!$C$16,AND(MONTH(WORKDAY(I268,-(Setup!$C$13+Setup!$G$27),Setup!$C$39:$C$50))&gt;=Setup!$C$15,MONTH(WORKDAY(I268,-(Setup!$C$13+Setup!$G$27),Setup!$C$39:$C$50))&lt;=Setup!$C$16),OR(MONTH(WORKDAY(I268,-(Setup!$C$13+Setup!$G$27),Setup!$C$39:$C$50))&gt;=Setup!$C$15,MONTH(WORKDAY(I268,-(Setup!$C$13+Setup!$G$27),Setup!$C$39:$C$50))&lt;=Setup!$C$16))),WORKDAY(I268,-(Setup!$C$13+Setup!$G$27+Setup!$C$14),Setup!$C$39:$C$50),WORKDAY(I268,-(Setup!$C$13+Setup!$G$27),Setup!$C$39:$C$50))+(263*100+8)/10000000)))</f>
        <v/>
      </c>
      <c r="Z268" t="str">
        <f>IF(J268="","",IF(J268&lt;Setup!$C$5-Setup!$C$6,"",IF(IF(ISNUMBER(Roster!$D268),Setup!$C$28&lt;=Roster!$D268,FALSE),"",IF(OR(IF(Setup!$C$15&lt;=Setup!$C$16,AND(MONTH(J268)&gt;=Setup!$C$15,MONTH(J268)&lt;=Setup!$C$16),OR(MONTH(J268)&gt;=Setup!$C$15,MONTH(J268)&lt;=Setup!$C$16)),IF(Setup!$C$15&lt;=Setup!$C$16,AND(MONTH(WORKDAY(J268,-(Setup!$C$13+Setup!$G$28),Setup!$C$39:$C$50))&gt;=Setup!$C$15,MONTH(WORKDAY(J268,-(Setup!$C$13+Setup!$G$28),Setup!$C$39:$C$50))&lt;=Setup!$C$16),OR(MONTH(WORKDAY(J268,-(Setup!$C$13+Setup!$G$28),Setup!$C$39:$C$50))&gt;=Setup!$C$15,MONTH(WORKDAY(J268,-(Setup!$C$13+Setup!$G$28),Setup!$C$39:$C$50))&lt;=Setup!$C$16))),WORKDAY(J268,-(Setup!$C$13+Setup!$G$28+Setup!$C$14),Setup!$C$39:$C$50),WORKDAY(J268,-(Setup!$C$13+Setup!$G$28),Setup!$C$39:$C$50))+(263*100+9)/10000000)))</f>
        <v/>
      </c>
      <c r="AA268" t="str">
        <f>IF(K268="","",IF(K268&lt;Setup!$C$5-Setup!$C$6,"",IF(IF(ISNUMBER(Roster!$D268),Setup!$C$29&lt;=Roster!$D268,FALSE),"",IF(OR(IF(Setup!$C$15&lt;=Setup!$C$16,AND(MONTH(K268)&gt;=Setup!$C$15,MONTH(K268)&lt;=Setup!$C$16),OR(MONTH(K268)&gt;=Setup!$C$15,MONTH(K268)&lt;=Setup!$C$16)),IF(Setup!$C$15&lt;=Setup!$C$16,AND(MONTH(WORKDAY(K268,-(Setup!$C$13+Setup!$G$29),Setup!$C$39:$C$50))&gt;=Setup!$C$15,MONTH(WORKDAY(K268,-(Setup!$C$13+Setup!$G$29),Setup!$C$39:$C$50))&lt;=Setup!$C$16),OR(MONTH(WORKDAY(K268,-(Setup!$C$13+Setup!$G$29),Setup!$C$39:$C$50))&gt;=Setup!$C$15,MONTH(WORKDAY(K268,-(Setup!$C$13+Setup!$G$29),Setup!$C$39:$C$50))&lt;=Setup!$C$16))),WORKDAY(K268,-(Setup!$C$13+Setup!$G$29+Setup!$C$14),Setup!$C$39:$C$50),WORKDAY(K268,-(Setup!$C$13+Setup!$G$29),Setup!$C$39:$C$50))+(263*100+10)/10000000)))</f>
        <v/>
      </c>
      <c r="AB268" t="str">
        <f>IF(L268="","",IF(L268&lt;Setup!$C$5-Setup!$C$6,"",IF(IF(ISNUMBER(Roster!$D268),Setup!$C$30&lt;=Roster!$D268,FALSE),"",IF(OR(IF(Setup!$C$15&lt;=Setup!$C$16,AND(MONTH(L268)&gt;=Setup!$C$15,MONTH(L268)&lt;=Setup!$C$16),OR(MONTH(L268)&gt;=Setup!$C$15,MONTH(L268)&lt;=Setup!$C$16)),IF(Setup!$C$15&lt;=Setup!$C$16,AND(MONTH(WORKDAY(L268,-(Setup!$C$13+Setup!$G$30),Setup!$C$39:$C$50))&gt;=Setup!$C$15,MONTH(WORKDAY(L268,-(Setup!$C$13+Setup!$G$30),Setup!$C$39:$C$50))&lt;=Setup!$C$16),OR(MONTH(WORKDAY(L268,-(Setup!$C$13+Setup!$G$30),Setup!$C$39:$C$50))&gt;=Setup!$C$15,MONTH(WORKDAY(L268,-(Setup!$C$13+Setup!$G$30),Setup!$C$39:$C$50))&lt;=Setup!$C$16))),WORKDAY(L268,-(Setup!$C$13+Setup!$G$30+Setup!$C$14),Setup!$C$39:$C$50),WORKDAY(L268,-(Setup!$C$13+Setup!$G$30),Setup!$C$39:$C$50))+(263*100+11)/10000000)))</f>
        <v/>
      </c>
      <c r="AC268" t="str">
        <f>IF(M268="","",IF(M268&lt;Setup!$C$5-Setup!$C$6,"",IF(IF(ISNUMBER(Roster!$D268),Setup!$C$31&lt;=Roster!$D268,FALSE),"",IF(OR(IF(Setup!$C$15&lt;=Setup!$C$16,AND(MONTH(M268)&gt;=Setup!$C$15,MONTH(M268)&lt;=Setup!$C$16),OR(MONTH(M268)&gt;=Setup!$C$15,MONTH(M268)&lt;=Setup!$C$16)),IF(Setup!$C$15&lt;=Setup!$C$16,AND(MONTH(WORKDAY(M268,-(Setup!$C$13+Setup!$G$31),Setup!$C$39:$C$50))&gt;=Setup!$C$15,MONTH(WORKDAY(M268,-(Setup!$C$13+Setup!$G$31),Setup!$C$39:$C$50))&lt;=Setup!$C$16),OR(MONTH(WORKDAY(M268,-(Setup!$C$13+Setup!$G$31),Setup!$C$39:$C$50))&gt;=Setup!$C$15,MONTH(WORKDAY(M268,-(Setup!$C$13+Setup!$G$31),Setup!$C$39:$C$50))&lt;=Setup!$C$16))),WORKDAY(M268,-(Setup!$C$13+Setup!$G$31+Setup!$C$14),Setup!$C$39:$C$50),WORKDAY(M268,-(Setup!$C$13+Setup!$G$31),Setup!$C$39:$C$50))+(263*100+12)/10000000)))</f>
        <v/>
      </c>
      <c r="AD268" t="str">
        <f>IF(N268="","",IF(N268&lt;Setup!$C$5-Setup!$C$6,"",IF(IF(ISNUMBER(Roster!$D268),Setup!$C$32&lt;=Roster!$D268,FALSE),"",IF(OR(IF(Setup!$C$15&lt;=Setup!$C$16,AND(MONTH(N268)&gt;=Setup!$C$15,MONTH(N268)&lt;=Setup!$C$16),OR(MONTH(N268)&gt;=Setup!$C$15,MONTH(N268)&lt;=Setup!$C$16)),IF(Setup!$C$15&lt;=Setup!$C$16,AND(MONTH(WORKDAY(N268,-(Setup!$C$13+Setup!$G$32),Setup!$C$39:$C$50))&gt;=Setup!$C$15,MONTH(WORKDAY(N268,-(Setup!$C$13+Setup!$G$32),Setup!$C$39:$C$50))&lt;=Setup!$C$16),OR(MONTH(WORKDAY(N268,-(Setup!$C$13+Setup!$G$32),Setup!$C$39:$C$50))&gt;=Setup!$C$15,MONTH(WORKDAY(N268,-(Setup!$C$13+Setup!$G$32),Setup!$C$39:$C$50))&lt;=Setup!$C$16))),WORKDAY(N268,-(Setup!$C$13+Setup!$G$32+Setup!$C$14),Setup!$C$39:$C$50),WORKDAY(N268,-(Setup!$C$13+Setup!$G$32),Setup!$C$39:$C$50))+(263*100+13)/10000000)))</f>
        <v/>
      </c>
      <c r="AE268" t="str">
        <f>IF(O268="","",IF(O268&lt;Setup!$C$5-Setup!$C$6,"",IF(IF(ISNUMBER(Roster!$D268),Setup!$C$33&lt;=Roster!$D268,FALSE),"",IF(OR(IF(Setup!$C$15&lt;=Setup!$C$16,AND(MONTH(O268)&gt;=Setup!$C$15,MONTH(O268)&lt;=Setup!$C$16),OR(MONTH(O268)&gt;=Setup!$C$15,MONTH(O268)&lt;=Setup!$C$16)),IF(Setup!$C$15&lt;=Setup!$C$16,AND(MONTH(WORKDAY(O268,-(Setup!$C$13+Setup!$G$33),Setup!$C$39:$C$50))&gt;=Setup!$C$15,MONTH(WORKDAY(O268,-(Setup!$C$13+Setup!$G$33),Setup!$C$39:$C$50))&lt;=Setup!$C$16),OR(MONTH(WORKDAY(O268,-(Setup!$C$13+Setup!$G$33),Setup!$C$39:$C$50))&gt;=Setup!$C$15,MONTH(WORKDAY(O268,-(Setup!$C$13+Setup!$G$33),Setup!$C$39:$C$50))&lt;=Setup!$C$16))),WORKDAY(O268,-(Setup!$C$13+Setup!$G$33+Setup!$C$14),Setup!$C$39:$C$50),WORKDAY(O268,-(Setup!$C$13+Setup!$G$33),Setup!$C$39:$C$50))+(263*100+14)/10000000)))</f>
        <v/>
      </c>
      <c r="AF268" t="str">
        <f>IF(P268="","",IF(P268&lt;Setup!$C$5-Setup!$C$6,"",IF(IF(ISNUMBER(Roster!$D268),Setup!$C$34&lt;=Roster!$D268,FALSE),"",IF(OR(IF(Setup!$C$15&lt;=Setup!$C$16,AND(MONTH(P268)&gt;=Setup!$C$15,MONTH(P268)&lt;=Setup!$C$16),OR(MONTH(P268)&gt;=Setup!$C$15,MONTH(P268)&lt;=Setup!$C$16)),IF(Setup!$C$15&lt;=Setup!$C$16,AND(MONTH(WORKDAY(P268,-(Setup!$C$13+Setup!$G$34),Setup!$C$39:$C$50))&gt;=Setup!$C$15,MONTH(WORKDAY(P268,-(Setup!$C$13+Setup!$G$34),Setup!$C$39:$C$50))&lt;=Setup!$C$16),OR(MONTH(WORKDAY(P268,-(Setup!$C$13+Setup!$G$34),Setup!$C$39:$C$50))&gt;=Setup!$C$15,MONTH(WORKDAY(P268,-(Setup!$C$13+Setup!$G$34),Setup!$C$39:$C$50))&lt;=Setup!$C$16))),WORKDAY(P268,-(Setup!$C$13+Setup!$G$34+Setup!$C$14),Setup!$C$39:$C$50),WORKDAY(P268,-(Setup!$C$13+Setup!$G$34),Setup!$C$39:$C$50))+(263*100+15)/10000000)))</f>
        <v/>
      </c>
      <c r="AH268" t="str">
        <f t="shared" si="33"/>
        <v/>
      </c>
      <c r="AI268" t="str">
        <f t="shared" si="34"/>
        <v/>
      </c>
      <c r="AK268" t="str">
        <f ca="1">IF(263&gt;$AK$2,"",SMALL($R$6:$AF$505,263))</f>
        <v/>
      </c>
      <c r="AL268" t="str">
        <f t="shared" ca="1" si="35"/>
        <v/>
      </c>
      <c r="AM268" t="str">
        <f t="shared" ca="1" si="36"/>
        <v/>
      </c>
      <c r="AN268" t="str">
        <f t="shared" ca="1" si="37"/>
        <v/>
      </c>
      <c r="AP268" t="str">
        <f>IF(ISNUMBER(Roster!$B268),MAX(1,YEAR(Setup!$C$5)-YEAR(Roster!$B268)+IF(EDATE(Roster!$B268,12*(YEAR(Setup!$C$5)-YEAR(Roster!$B268)))&lt;Setup!$C$5,1,0)),"")</f>
        <v/>
      </c>
      <c r="AQ268" s="32" t="str">
        <f>IF(AP268="","",EDATE(Roster!$B268,12*AP268))</f>
        <v/>
      </c>
      <c r="AR268" t="str">
        <f>IF(AQ268="","",IF(AQ268&lt;DATE(YEAR(Setup!$C$5)+1,MONTH(Setup!$C$5),DAY(Setup!$C$5)),AQ268+263/1000,""))</f>
        <v/>
      </c>
      <c r="AS268" t="str">
        <f t="shared" si="38"/>
        <v/>
      </c>
      <c r="AT268" t="str">
        <f>IF(AS268="","",IF(ISNUMBER(Roster!$D268),Roster!$D268&gt;=AP268,FALSE))</f>
        <v/>
      </c>
      <c r="AU268" t="str">
        <f t="shared" si="39"/>
        <v/>
      </c>
      <c r="AV268" t="str">
        <f ca="1">IF(263&gt;$AV$2,"",SMALL($AR$6:$AR$505,263))</f>
        <v/>
      </c>
      <c r="AW268" t="str">
        <f t="shared" ca="1" si="40"/>
        <v/>
      </c>
    </row>
    <row r="269" spans="2:49" x14ac:dyDescent="0.2">
      <c r="B269" s="32" t="str">
        <f>IF(AND(ISNUMBER(Roster!$B269),Setup!$B$20="Yes",ISNUMBER(Setup!$C$20)),EDATE(Roster!$B269,12*Setup!$C$20),"")</f>
        <v/>
      </c>
      <c r="C269" s="32" t="str">
        <f>IF(AND(ISNUMBER(Roster!$B269),Setup!$B$21="Yes",ISNUMBER(Setup!$C$21)),EDATE(Roster!$B269,12*Setup!$C$21),"")</f>
        <v/>
      </c>
      <c r="D269" s="32" t="str">
        <f>IF(AND(ISNUMBER(Roster!$B269),Setup!$B$22="Yes",ISNUMBER(Setup!$C$22)),EDATE(Roster!$B269,12*Setup!$C$22),"")</f>
        <v/>
      </c>
      <c r="E269" s="32" t="str">
        <f>IF(AND(ISNUMBER(Roster!$B269),Setup!$B$23="Yes",ISNUMBER(Setup!$C$23)),EDATE(Roster!$B269,12*Setup!$C$23),"")</f>
        <v/>
      </c>
      <c r="F269" s="32" t="str">
        <f>IF(AND(ISNUMBER(Roster!$B269),Setup!$B$24="Yes",ISNUMBER(Setup!$C$24)),EDATE(Roster!$B269,12*Setup!$C$24),"")</f>
        <v/>
      </c>
      <c r="G269" s="32" t="str">
        <f>IF(AND(ISNUMBER(Roster!$B269),Setup!$B$25="Yes",ISNUMBER(Setup!$C$25)),EDATE(Roster!$B269,12*Setup!$C$25),"")</f>
        <v/>
      </c>
      <c r="H269" s="32" t="str">
        <f>IF(AND(ISNUMBER(Roster!$B269),Setup!$B$26="Yes",ISNUMBER(Setup!$C$26)),EDATE(Roster!$B269,12*Setup!$C$26),"")</f>
        <v/>
      </c>
      <c r="I269" s="32" t="str">
        <f>IF(AND(ISNUMBER(Roster!$B269),Setup!$B$27="Yes",ISNUMBER(Setup!$C$27)),EDATE(Roster!$B269,12*Setup!$C$27),"")</f>
        <v/>
      </c>
      <c r="J269" s="32" t="str">
        <f>IF(AND(ISNUMBER(Roster!$B269),Setup!$B$28="Yes",ISNUMBER(Setup!$C$28)),EDATE(Roster!$B269,12*Setup!$C$28),"")</f>
        <v/>
      </c>
      <c r="K269" s="32" t="str">
        <f>IF(AND(ISNUMBER(Roster!$B269),Setup!$B$29="Yes",ISNUMBER(Setup!$C$29)),EDATE(Roster!$B269,12*Setup!$C$29),"")</f>
        <v/>
      </c>
      <c r="L269" s="32" t="str">
        <f>IF(AND(ISNUMBER(Roster!$B269),Setup!$B$30="Yes",ISNUMBER(Setup!$C$30)),EDATE(Roster!$B269,12*Setup!$C$30),"")</f>
        <v/>
      </c>
      <c r="M269" s="32" t="str">
        <f>IF(AND(ISNUMBER(Roster!$B269),Setup!$B$31="Yes",ISNUMBER(Setup!$C$31)),EDATE(Roster!$B269,12*Setup!$C$31),"")</f>
        <v/>
      </c>
      <c r="N269" s="32" t="str">
        <f>IF(AND(ISNUMBER(Roster!$B269),Setup!$B$32="Yes",ISNUMBER(Setup!$C$32)),EDATE(Roster!$B269,12*Setup!$C$32),"")</f>
        <v/>
      </c>
      <c r="O269" s="32" t="str">
        <f>IF(AND(ISNUMBER(Roster!$B269),Setup!$B$33="Yes",ISNUMBER(Setup!$C$33)),EDATE(Roster!$B269,12*Setup!$C$33),"")</f>
        <v/>
      </c>
      <c r="P269" s="32" t="str">
        <f>IF(AND(ISNUMBER(Roster!$B269),Setup!$B$34="Yes",ISNUMBER(Setup!$C$34)),EDATE(Roster!$B269,12*Setup!$C$34),"")</f>
        <v/>
      </c>
      <c r="R269" t="str">
        <f>IF(B269="","",IF(B269&lt;Setup!$C$5-Setup!$C$6,"",IF(IF(ISNUMBER(Roster!$D269),Setup!$C$20&lt;=Roster!$D269,FALSE),"",IF(OR(IF(Setup!$C$15&lt;=Setup!$C$16,AND(MONTH(B269)&gt;=Setup!$C$15,MONTH(B269)&lt;=Setup!$C$16),OR(MONTH(B269)&gt;=Setup!$C$15,MONTH(B269)&lt;=Setup!$C$16)),IF(Setup!$C$15&lt;=Setup!$C$16,AND(MONTH(WORKDAY(B269,-(Setup!$C$13+Setup!$G$20),Setup!$C$39:$C$50))&gt;=Setup!$C$15,MONTH(WORKDAY(B269,-(Setup!$C$13+Setup!$G$20),Setup!$C$39:$C$50))&lt;=Setup!$C$16),OR(MONTH(WORKDAY(B269,-(Setup!$C$13+Setup!$G$20),Setup!$C$39:$C$50))&gt;=Setup!$C$15,MONTH(WORKDAY(B269,-(Setup!$C$13+Setup!$G$20),Setup!$C$39:$C$50))&lt;=Setup!$C$16))),WORKDAY(B269,-(Setup!$C$13+Setup!$G$20+Setup!$C$14),Setup!$C$39:$C$50),WORKDAY(B269,-(Setup!$C$13+Setup!$G$20),Setup!$C$39:$C$50))+(264*100+1)/10000000)))</f>
        <v/>
      </c>
      <c r="S269" t="str">
        <f>IF(C269="","",IF(C269&lt;Setup!$C$5-Setup!$C$6,"",IF(IF(ISNUMBER(Roster!$D269),Setup!$C$21&lt;=Roster!$D269,FALSE),"",IF(OR(IF(Setup!$C$15&lt;=Setup!$C$16,AND(MONTH(C269)&gt;=Setup!$C$15,MONTH(C269)&lt;=Setup!$C$16),OR(MONTH(C269)&gt;=Setup!$C$15,MONTH(C269)&lt;=Setup!$C$16)),IF(Setup!$C$15&lt;=Setup!$C$16,AND(MONTH(WORKDAY(C269,-(Setup!$C$13+Setup!$G$21),Setup!$C$39:$C$50))&gt;=Setup!$C$15,MONTH(WORKDAY(C269,-(Setup!$C$13+Setup!$G$21),Setup!$C$39:$C$50))&lt;=Setup!$C$16),OR(MONTH(WORKDAY(C269,-(Setup!$C$13+Setup!$G$21),Setup!$C$39:$C$50))&gt;=Setup!$C$15,MONTH(WORKDAY(C269,-(Setup!$C$13+Setup!$G$21),Setup!$C$39:$C$50))&lt;=Setup!$C$16))),WORKDAY(C269,-(Setup!$C$13+Setup!$G$21+Setup!$C$14),Setup!$C$39:$C$50),WORKDAY(C269,-(Setup!$C$13+Setup!$G$21),Setup!$C$39:$C$50))+(264*100+2)/10000000)))</f>
        <v/>
      </c>
      <c r="T269" t="str">
        <f>IF(D269="","",IF(D269&lt;Setup!$C$5-Setup!$C$6,"",IF(IF(ISNUMBER(Roster!$D269),Setup!$C$22&lt;=Roster!$D269,FALSE),"",IF(OR(IF(Setup!$C$15&lt;=Setup!$C$16,AND(MONTH(D269)&gt;=Setup!$C$15,MONTH(D269)&lt;=Setup!$C$16),OR(MONTH(D269)&gt;=Setup!$C$15,MONTH(D269)&lt;=Setup!$C$16)),IF(Setup!$C$15&lt;=Setup!$C$16,AND(MONTH(WORKDAY(D269,-(Setup!$C$13+Setup!$G$22),Setup!$C$39:$C$50))&gt;=Setup!$C$15,MONTH(WORKDAY(D269,-(Setup!$C$13+Setup!$G$22),Setup!$C$39:$C$50))&lt;=Setup!$C$16),OR(MONTH(WORKDAY(D269,-(Setup!$C$13+Setup!$G$22),Setup!$C$39:$C$50))&gt;=Setup!$C$15,MONTH(WORKDAY(D269,-(Setup!$C$13+Setup!$G$22),Setup!$C$39:$C$50))&lt;=Setup!$C$16))),WORKDAY(D269,-(Setup!$C$13+Setup!$G$22+Setup!$C$14),Setup!$C$39:$C$50),WORKDAY(D269,-(Setup!$C$13+Setup!$G$22),Setup!$C$39:$C$50))+(264*100+3)/10000000)))</f>
        <v/>
      </c>
      <c r="U269" t="str">
        <f>IF(E269="","",IF(E269&lt;Setup!$C$5-Setup!$C$6,"",IF(IF(ISNUMBER(Roster!$D269),Setup!$C$23&lt;=Roster!$D269,FALSE),"",IF(OR(IF(Setup!$C$15&lt;=Setup!$C$16,AND(MONTH(E269)&gt;=Setup!$C$15,MONTH(E269)&lt;=Setup!$C$16),OR(MONTH(E269)&gt;=Setup!$C$15,MONTH(E269)&lt;=Setup!$C$16)),IF(Setup!$C$15&lt;=Setup!$C$16,AND(MONTH(WORKDAY(E269,-(Setup!$C$13+Setup!$G$23),Setup!$C$39:$C$50))&gt;=Setup!$C$15,MONTH(WORKDAY(E269,-(Setup!$C$13+Setup!$G$23),Setup!$C$39:$C$50))&lt;=Setup!$C$16),OR(MONTH(WORKDAY(E269,-(Setup!$C$13+Setup!$G$23),Setup!$C$39:$C$50))&gt;=Setup!$C$15,MONTH(WORKDAY(E269,-(Setup!$C$13+Setup!$G$23),Setup!$C$39:$C$50))&lt;=Setup!$C$16))),WORKDAY(E269,-(Setup!$C$13+Setup!$G$23+Setup!$C$14),Setup!$C$39:$C$50),WORKDAY(E269,-(Setup!$C$13+Setup!$G$23),Setup!$C$39:$C$50))+(264*100+4)/10000000)))</f>
        <v/>
      </c>
      <c r="V269" t="str">
        <f>IF(F269="","",IF(F269&lt;Setup!$C$5-Setup!$C$6,"",IF(IF(ISNUMBER(Roster!$D269),Setup!$C$24&lt;=Roster!$D269,FALSE),"",IF(OR(IF(Setup!$C$15&lt;=Setup!$C$16,AND(MONTH(F269)&gt;=Setup!$C$15,MONTH(F269)&lt;=Setup!$C$16),OR(MONTH(F269)&gt;=Setup!$C$15,MONTH(F269)&lt;=Setup!$C$16)),IF(Setup!$C$15&lt;=Setup!$C$16,AND(MONTH(WORKDAY(F269,-(Setup!$C$13+Setup!$G$24),Setup!$C$39:$C$50))&gt;=Setup!$C$15,MONTH(WORKDAY(F269,-(Setup!$C$13+Setup!$G$24),Setup!$C$39:$C$50))&lt;=Setup!$C$16),OR(MONTH(WORKDAY(F269,-(Setup!$C$13+Setup!$G$24),Setup!$C$39:$C$50))&gt;=Setup!$C$15,MONTH(WORKDAY(F269,-(Setup!$C$13+Setup!$G$24),Setup!$C$39:$C$50))&lt;=Setup!$C$16))),WORKDAY(F269,-(Setup!$C$13+Setup!$G$24+Setup!$C$14),Setup!$C$39:$C$50),WORKDAY(F269,-(Setup!$C$13+Setup!$G$24),Setup!$C$39:$C$50))+(264*100+5)/10000000)))</f>
        <v/>
      </c>
      <c r="W269" t="str">
        <f>IF(G269="","",IF(G269&lt;Setup!$C$5-Setup!$C$6,"",IF(IF(ISNUMBER(Roster!$D269),Setup!$C$25&lt;=Roster!$D269,FALSE),"",IF(OR(IF(Setup!$C$15&lt;=Setup!$C$16,AND(MONTH(G269)&gt;=Setup!$C$15,MONTH(G269)&lt;=Setup!$C$16),OR(MONTH(G269)&gt;=Setup!$C$15,MONTH(G269)&lt;=Setup!$C$16)),IF(Setup!$C$15&lt;=Setup!$C$16,AND(MONTH(WORKDAY(G269,-(Setup!$C$13+Setup!$G$25),Setup!$C$39:$C$50))&gt;=Setup!$C$15,MONTH(WORKDAY(G269,-(Setup!$C$13+Setup!$G$25),Setup!$C$39:$C$50))&lt;=Setup!$C$16),OR(MONTH(WORKDAY(G269,-(Setup!$C$13+Setup!$G$25),Setup!$C$39:$C$50))&gt;=Setup!$C$15,MONTH(WORKDAY(G269,-(Setup!$C$13+Setup!$G$25),Setup!$C$39:$C$50))&lt;=Setup!$C$16))),WORKDAY(G269,-(Setup!$C$13+Setup!$G$25+Setup!$C$14),Setup!$C$39:$C$50),WORKDAY(G269,-(Setup!$C$13+Setup!$G$25),Setup!$C$39:$C$50))+(264*100+6)/10000000)))</f>
        <v/>
      </c>
      <c r="X269" t="str">
        <f>IF(H269="","",IF(H269&lt;Setup!$C$5-Setup!$C$6,"",IF(IF(ISNUMBER(Roster!$D269),Setup!$C$26&lt;=Roster!$D269,FALSE),"",IF(OR(IF(Setup!$C$15&lt;=Setup!$C$16,AND(MONTH(H269)&gt;=Setup!$C$15,MONTH(H269)&lt;=Setup!$C$16),OR(MONTH(H269)&gt;=Setup!$C$15,MONTH(H269)&lt;=Setup!$C$16)),IF(Setup!$C$15&lt;=Setup!$C$16,AND(MONTH(WORKDAY(H269,-(Setup!$C$13+Setup!$G$26),Setup!$C$39:$C$50))&gt;=Setup!$C$15,MONTH(WORKDAY(H269,-(Setup!$C$13+Setup!$G$26),Setup!$C$39:$C$50))&lt;=Setup!$C$16),OR(MONTH(WORKDAY(H269,-(Setup!$C$13+Setup!$G$26),Setup!$C$39:$C$50))&gt;=Setup!$C$15,MONTH(WORKDAY(H269,-(Setup!$C$13+Setup!$G$26),Setup!$C$39:$C$50))&lt;=Setup!$C$16))),WORKDAY(H269,-(Setup!$C$13+Setup!$G$26+Setup!$C$14),Setup!$C$39:$C$50),WORKDAY(H269,-(Setup!$C$13+Setup!$G$26),Setup!$C$39:$C$50))+(264*100+7)/10000000)))</f>
        <v/>
      </c>
      <c r="Y269" t="str">
        <f>IF(I269="","",IF(I269&lt;Setup!$C$5-Setup!$C$6,"",IF(IF(ISNUMBER(Roster!$D269),Setup!$C$27&lt;=Roster!$D269,FALSE),"",IF(OR(IF(Setup!$C$15&lt;=Setup!$C$16,AND(MONTH(I269)&gt;=Setup!$C$15,MONTH(I269)&lt;=Setup!$C$16),OR(MONTH(I269)&gt;=Setup!$C$15,MONTH(I269)&lt;=Setup!$C$16)),IF(Setup!$C$15&lt;=Setup!$C$16,AND(MONTH(WORKDAY(I269,-(Setup!$C$13+Setup!$G$27),Setup!$C$39:$C$50))&gt;=Setup!$C$15,MONTH(WORKDAY(I269,-(Setup!$C$13+Setup!$G$27),Setup!$C$39:$C$50))&lt;=Setup!$C$16),OR(MONTH(WORKDAY(I269,-(Setup!$C$13+Setup!$G$27),Setup!$C$39:$C$50))&gt;=Setup!$C$15,MONTH(WORKDAY(I269,-(Setup!$C$13+Setup!$G$27),Setup!$C$39:$C$50))&lt;=Setup!$C$16))),WORKDAY(I269,-(Setup!$C$13+Setup!$G$27+Setup!$C$14),Setup!$C$39:$C$50),WORKDAY(I269,-(Setup!$C$13+Setup!$G$27),Setup!$C$39:$C$50))+(264*100+8)/10000000)))</f>
        <v/>
      </c>
      <c r="Z269" t="str">
        <f>IF(J269="","",IF(J269&lt;Setup!$C$5-Setup!$C$6,"",IF(IF(ISNUMBER(Roster!$D269),Setup!$C$28&lt;=Roster!$D269,FALSE),"",IF(OR(IF(Setup!$C$15&lt;=Setup!$C$16,AND(MONTH(J269)&gt;=Setup!$C$15,MONTH(J269)&lt;=Setup!$C$16),OR(MONTH(J269)&gt;=Setup!$C$15,MONTH(J269)&lt;=Setup!$C$16)),IF(Setup!$C$15&lt;=Setup!$C$16,AND(MONTH(WORKDAY(J269,-(Setup!$C$13+Setup!$G$28),Setup!$C$39:$C$50))&gt;=Setup!$C$15,MONTH(WORKDAY(J269,-(Setup!$C$13+Setup!$G$28),Setup!$C$39:$C$50))&lt;=Setup!$C$16),OR(MONTH(WORKDAY(J269,-(Setup!$C$13+Setup!$G$28),Setup!$C$39:$C$50))&gt;=Setup!$C$15,MONTH(WORKDAY(J269,-(Setup!$C$13+Setup!$G$28),Setup!$C$39:$C$50))&lt;=Setup!$C$16))),WORKDAY(J269,-(Setup!$C$13+Setup!$G$28+Setup!$C$14),Setup!$C$39:$C$50),WORKDAY(J269,-(Setup!$C$13+Setup!$G$28),Setup!$C$39:$C$50))+(264*100+9)/10000000)))</f>
        <v/>
      </c>
      <c r="AA269" t="str">
        <f>IF(K269="","",IF(K269&lt;Setup!$C$5-Setup!$C$6,"",IF(IF(ISNUMBER(Roster!$D269),Setup!$C$29&lt;=Roster!$D269,FALSE),"",IF(OR(IF(Setup!$C$15&lt;=Setup!$C$16,AND(MONTH(K269)&gt;=Setup!$C$15,MONTH(K269)&lt;=Setup!$C$16),OR(MONTH(K269)&gt;=Setup!$C$15,MONTH(K269)&lt;=Setup!$C$16)),IF(Setup!$C$15&lt;=Setup!$C$16,AND(MONTH(WORKDAY(K269,-(Setup!$C$13+Setup!$G$29),Setup!$C$39:$C$50))&gt;=Setup!$C$15,MONTH(WORKDAY(K269,-(Setup!$C$13+Setup!$G$29),Setup!$C$39:$C$50))&lt;=Setup!$C$16),OR(MONTH(WORKDAY(K269,-(Setup!$C$13+Setup!$G$29),Setup!$C$39:$C$50))&gt;=Setup!$C$15,MONTH(WORKDAY(K269,-(Setup!$C$13+Setup!$G$29),Setup!$C$39:$C$50))&lt;=Setup!$C$16))),WORKDAY(K269,-(Setup!$C$13+Setup!$G$29+Setup!$C$14),Setup!$C$39:$C$50),WORKDAY(K269,-(Setup!$C$13+Setup!$G$29),Setup!$C$39:$C$50))+(264*100+10)/10000000)))</f>
        <v/>
      </c>
      <c r="AB269" t="str">
        <f>IF(L269="","",IF(L269&lt;Setup!$C$5-Setup!$C$6,"",IF(IF(ISNUMBER(Roster!$D269),Setup!$C$30&lt;=Roster!$D269,FALSE),"",IF(OR(IF(Setup!$C$15&lt;=Setup!$C$16,AND(MONTH(L269)&gt;=Setup!$C$15,MONTH(L269)&lt;=Setup!$C$16),OR(MONTH(L269)&gt;=Setup!$C$15,MONTH(L269)&lt;=Setup!$C$16)),IF(Setup!$C$15&lt;=Setup!$C$16,AND(MONTH(WORKDAY(L269,-(Setup!$C$13+Setup!$G$30),Setup!$C$39:$C$50))&gt;=Setup!$C$15,MONTH(WORKDAY(L269,-(Setup!$C$13+Setup!$G$30),Setup!$C$39:$C$50))&lt;=Setup!$C$16),OR(MONTH(WORKDAY(L269,-(Setup!$C$13+Setup!$G$30),Setup!$C$39:$C$50))&gt;=Setup!$C$15,MONTH(WORKDAY(L269,-(Setup!$C$13+Setup!$G$30),Setup!$C$39:$C$50))&lt;=Setup!$C$16))),WORKDAY(L269,-(Setup!$C$13+Setup!$G$30+Setup!$C$14),Setup!$C$39:$C$50),WORKDAY(L269,-(Setup!$C$13+Setup!$G$30),Setup!$C$39:$C$50))+(264*100+11)/10000000)))</f>
        <v/>
      </c>
      <c r="AC269" t="str">
        <f>IF(M269="","",IF(M269&lt;Setup!$C$5-Setup!$C$6,"",IF(IF(ISNUMBER(Roster!$D269),Setup!$C$31&lt;=Roster!$D269,FALSE),"",IF(OR(IF(Setup!$C$15&lt;=Setup!$C$16,AND(MONTH(M269)&gt;=Setup!$C$15,MONTH(M269)&lt;=Setup!$C$16),OR(MONTH(M269)&gt;=Setup!$C$15,MONTH(M269)&lt;=Setup!$C$16)),IF(Setup!$C$15&lt;=Setup!$C$16,AND(MONTH(WORKDAY(M269,-(Setup!$C$13+Setup!$G$31),Setup!$C$39:$C$50))&gt;=Setup!$C$15,MONTH(WORKDAY(M269,-(Setup!$C$13+Setup!$G$31),Setup!$C$39:$C$50))&lt;=Setup!$C$16),OR(MONTH(WORKDAY(M269,-(Setup!$C$13+Setup!$G$31),Setup!$C$39:$C$50))&gt;=Setup!$C$15,MONTH(WORKDAY(M269,-(Setup!$C$13+Setup!$G$31),Setup!$C$39:$C$50))&lt;=Setup!$C$16))),WORKDAY(M269,-(Setup!$C$13+Setup!$G$31+Setup!$C$14),Setup!$C$39:$C$50),WORKDAY(M269,-(Setup!$C$13+Setup!$G$31),Setup!$C$39:$C$50))+(264*100+12)/10000000)))</f>
        <v/>
      </c>
      <c r="AD269" t="str">
        <f>IF(N269="","",IF(N269&lt;Setup!$C$5-Setup!$C$6,"",IF(IF(ISNUMBER(Roster!$D269),Setup!$C$32&lt;=Roster!$D269,FALSE),"",IF(OR(IF(Setup!$C$15&lt;=Setup!$C$16,AND(MONTH(N269)&gt;=Setup!$C$15,MONTH(N269)&lt;=Setup!$C$16),OR(MONTH(N269)&gt;=Setup!$C$15,MONTH(N269)&lt;=Setup!$C$16)),IF(Setup!$C$15&lt;=Setup!$C$16,AND(MONTH(WORKDAY(N269,-(Setup!$C$13+Setup!$G$32),Setup!$C$39:$C$50))&gt;=Setup!$C$15,MONTH(WORKDAY(N269,-(Setup!$C$13+Setup!$G$32),Setup!$C$39:$C$50))&lt;=Setup!$C$16),OR(MONTH(WORKDAY(N269,-(Setup!$C$13+Setup!$G$32),Setup!$C$39:$C$50))&gt;=Setup!$C$15,MONTH(WORKDAY(N269,-(Setup!$C$13+Setup!$G$32),Setup!$C$39:$C$50))&lt;=Setup!$C$16))),WORKDAY(N269,-(Setup!$C$13+Setup!$G$32+Setup!$C$14),Setup!$C$39:$C$50),WORKDAY(N269,-(Setup!$C$13+Setup!$G$32),Setup!$C$39:$C$50))+(264*100+13)/10000000)))</f>
        <v/>
      </c>
      <c r="AE269" t="str">
        <f>IF(O269="","",IF(O269&lt;Setup!$C$5-Setup!$C$6,"",IF(IF(ISNUMBER(Roster!$D269),Setup!$C$33&lt;=Roster!$D269,FALSE),"",IF(OR(IF(Setup!$C$15&lt;=Setup!$C$16,AND(MONTH(O269)&gt;=Setup!$C$15,MONTH(O269)&lt;=Setup!$C$16),OR(MONTH(O269)&gt;=Setup!$C$15,MONTH(O269)&lt;=Setup!$C$16)),IF(Setup!$C$15&lt;=Setup!$C$16,AND(MONTH(WORKDAY(O269,-(Setup!$C$13+Setup!$G$33),Setup!$C$39:$C$50))&gt;=Setup!$C$15,MONTH(WORKDAY(O269,-(Setup!$C$13+Setup!$G$33),Setup!$C$39:$C$50))&lt;=Setup!$C$16),OR(MONTH(WORKDAY(O269,-(Setup!$C$13+Setup!$G$33),Setup!$C$39:$C$50))&gt;=Setup!$C$15,MONTH(WORKDAY(O269,-(Setup!$C$13+Setup!$G$33),Setup!$C$39:$C$50))&lt;=Setup!$C$16))),WORKDAY(O269,-(Setup!$C$13+Setup!$G$33+Setup!$C$14),Setup!$C$39:$C$50),WORKDAY(O269,-(Setup!$C$13+Setup!$G$33),Setup!$C$39:$C$50))+(264*100+14)/10000000)))</f>
        <v/>
      </c>
      <c r="AF269" t="str">
        <f>IF(P269="","",IF(P269&lt;Setup!$C$5-Setup!$C$6,"",IF(IF(ISNUMBER(Roster!$D269),Setup!$C$34&lt;=Roster!$D269,FALSE),"",IF(OR(IF(Setup!$C$15&lt;=Setup!$C$16,AND(MONTH(P269)&gt;=Setup!$C$15,MONTH(P269)&lt;=Setup!$C$16),OR(MONTH(P269)&gt;=Setup!$C$15,MONTH(P269)&lt;=Setup!$C$16)),IF(Setup!$C$15&lt;=Setup!$C$16,AND(MONTH(WORKDAY(P269,-(Setup!$C$13+Setup!$G$34),Setup!$C$39:$C$50))&gt;=Setup!$C$15,MONTH(WORKDAY(P269,-(Setup!$C$13+Setup!$G$34),Setup!$C$39:$C$50))&lt;=Setup!$C$16),OR(MONTH(WORKDAY(P269,-(Setup!$C$13+Setup!$G$34),Setup!$C$39:$C$50))&gt;=Setup!$C$15,MONTH(WORKDAY(P269,-(Setup!$C$13+Setup!$G$34),Setup!$C$39:$C$50))&lt;=Setup!$C$16))),WORKDAY(P269,-(Setup!$C$13+Setup!$G$34+Setup!$C$14),Setup!$C$39:$C$50),WORKDAY(P269,-(Setup!$C$13+Setup!$G$34),Setup!$C$39:$C$50))+(264*100+15)/10000000)))</f>
        <v/>
      </c>
      <c r="AH269" t="str">
        <f t="shared" si="33"/>
        <v/>
      </c>
      <c r="AI269" t="str">
        <f t="shared" si="34"/>
        <v/>
      </c>
      <c r="AK269" t="str">
        <f ca="1">IF(264&gt;$AK$2,"",SMALL($R$6:$AF$505,264))</f>
        <v/>
      </c>
      <c r="AL269" t="str">
        <f t="shared" ca="1" si="35"/>
        <v/>
      </c>
      <c r="AM269" t="str">
        <f t="shared" ca="1" si="36"/>
        <v/>
      </c>
      <c r="AN269" t="str">
        <f t="shared" ca="1" si="37"/>
        <v/>
      </c>
      <c r="AP269" t="str">
        <f>IF(ISNUMBER(Roster!$B269),MAX(1,YEAR(Setup!$C$5)-YEAR(Roster!$B269)+IF(EDATE(Roster!$B269,12*(YEAR(Setup!$C$5)-YEAR(Roster!$B269)))&lt;Setup!$C$5,1,0)),"")</f>
        <v/>
      </c>
      <c r="AQ269" s="32" t="str">
        <f>IF(AP269="","",EDATE(Roster!$B269,12*AP269))</f>
        <v/>
      </c>
      <c r="AR269" t="str">
        <f>IF(AQ269="","",IF(AQ269&lt;DATE(YEAR(Setup!$C$5)+1,MONTH(Setup!$C$5),DAY(Setup!$C$5)),AQ269+264/1000,""))</f>
        <v/>
      </c>
      <c r="AS269" t="str">
        <f t="shared" si="38"/>
        <v/>
      </c>
      <c r="AT269" t="str">
        <f>IF(AS269="","",IF(ISNUMBER(Roster!$D269),Roster!$D269&gt;=AP269,FALSE))</f>
        <v/>
      </c>
      <c r="AU269" t="str">
        <f t="shared" si="39"/>
        <v/>
      </c>
      <c r="AV269" t="str">
        <f ca="1">IF(264&gt;$AV$2,"",SMALL($AR$6:$AR$505,264))</f>
        <v/>
      </c>
      <c r="AW269" t="str">
        <f t="shared" ca="1" si="40"/>
        <v/>
      </c>
    </row>
    <row r="270" spans="2:49" x14ac:dyDescent="0.2">
      <c r="B270" s="32" t="str">
        <f>IF(AND(ISNUMBER(Roster!$B270),Setup!$B$20="Yes",ISNUMBER(Setup!$C$20)),EDATE(Roster!$B270,12*Setup!$C$20),"")</f>
        <v/>
      </c>
      <c r="C270" s="32" t="str">
        <f>IF(AND(ISNUMBER(Roster!$B270),Setup!$B$21="Yes",ISNUMBER(Setup!$C$21)),EDATE(Roster!$B270,12*Setup!$C$21),"")</f>
        <v/>
      </c>
      <c r="D270" s="32" t="str">
        <f>IF(AND(ISNUMBER(Roster!$B270),Setup!$B$22="Yes",ISNUMBER(Setup!$C$22)),EDATE(Roster!$B270,12*Setup!$C$22),"")</f>
        <v/>
      </c>
      <c r="E270" s="32" t="str">
        <f>IF(AND(ISNUMBER(Roster!$B270),Setup!$B$23="Yes",ISNUMBER(Setup!$C$23)),EDATE(Roster!$B270,12*Setup!$C$23),"")</f>
        <v/>
      </c>
      <c r="F270" s="32" t="str">
        <f>IF(AND(ISNUMBER(Roster!$B270),Setup!$B$24="Yes",ISNUMBER(Setup!$C$24)),EDATE(Roster!$B270,12*Setup!$C$24),"")</f>
        <v/>
      </c>
      <c r="G270" s="32" t="str">
        <f>IF(AND(ISNUMBER(Roster!$B270),Setup!$B$25="Yes",ISNUMBER(Setup!$C$25)),EDATE(Roster!$B270,12*Setup!$C$25),"")</f>
        <v/>
      </c>
      <c r="H270" s="32" t="str">
        <f>IF(AND(ISNUMBER(Roster!$B270),Setup!$B$26="Yes",ISNUMBER(Setup!$C$26)),EDATE(Roster!$B270,12*Setup!$C$26),"")</f>
        <v/>
      </c>
      <c r="I270" s="32" t="str">
        <f>IF(AND(ISNUMBER(Roster!$B270),Setup!$B$27="Yes",ISNUMBER(Setup!$C$27)),EDATE(Roster!$B270,12*Setup!$C$27),"")</f>
        <v/>
      </c>
      <c r="J270" s="32" t="str">
        <f>IF(AND(ISNUMBER(Roster!$B270),Setup!$B$28="Yes",ISNUMBER(Setup!$C$28)),EDATE(Roster!$B270,12*Setup!$C$28),"")</f>
        <v/>
      </c>
      <c r="K270" s="32" t="str">
        <f>IF(AND(ISNUMBER(Roster!$B270),Setup!$B$29="Yes",ISNUMBER(Setup!$C$29)),EDATE(Roster!$B270,12*Setup!$C$29),"")</f>
        <v/>
      </c>
      <c r="L270" s="32" t="str">
        <f>IF(AND(ISNUMBER(Roster!$B270),Setup!$B$30="Yes",ISNUMBER(Setup!$C$30)),EDATE(Roster!$B270,12*Setup!$C$30),"")</f>
        <v/>
      </c>
      <c r="M270" s="32" t="str">
        <f>IF(AND(ISNUMBER(Roster!$B270),Setup!$B$31="Yes",ISNUMBER(Setup!$C$31)),EDATE(Roster!$B270,12*Setup!$C$31),"")</f>
        <v/>
      </c>
      <c r="N270" s="32" t="str">
        <f>IF(AND(ISNUMBER(Roster!$B270),Setup!$B$32="Yes",ISNUMBER(Setup!$C$32)),EDATE(Roster!$B270,12*Setup!$C$32),"")</f>
        <v/>
      </c>
      <c r="O270" s="32" t="str">
        <f>IF(AND(ISNUMBER(Roster!$B270),Setup!$B$33="Yes",ISNUMBER(Setup!$C$33)),EDATE(Roster!$B270,12*Setup!$C$33),"")</f>
        <v/>
      </c>
      <c r="P270" s="32" t="str">
        <f>IF(AND(ISNUMBER(Roster!$B270),Setup!$B$34="Yes",ISNUMBER(Setup!$C$34)),EDATE(Roster!$B270,12*Setup!$C$34),"")</f>
        <v/>
      </c>
      <c r="R270" t="str">
        <f>IF(B270="","",IF(B270&lt;Setup!$C$5-Setup!$C$6,"",IF(IF(ISNUMBER(Roster!$D270),Setup!$C$20&lt;=Roster!$D270,FALSE),"",IF(OR(IF(Setup!$C$15&lt;=Setup!$C$16,AND(MONTH(B270)&gt;=Setup!$C$15,MONTH(B270)&lt;=Setup!$C$16),OR(MONTH(B270)&gt;=Setup!$C$15,MONTH(B270)&lt;=Setup!$C$16)),IF(Setup!$C$15&lt;=Setup!$C$16,AND(MONTH(WORKDAY(B270,-(Setup!$C$13+Setup!$G$20),Setup!$C$39:$C$50))&gt;=Setup!$C$15,MONTH(WORKDAY(B270,-(Setup!$C$13+Setup!$G$20),Setup!$C$39:$C$50))&lt;=Setup!$C$16),OR(MONTH(WORKDAY(B270,-(Setup!$C$13+Setup!$G$20),Setup!$C$39:$C$50))&gt;=Setup!$C$15,MONTH(WORKDAY(B270,-(Setup!$C$13+Setup!$G$20),Setup!$C$39:$C$50))&lt;=Setup!$C$16))),WORKDAY(B270,-(Setup!$C$13+Setup!$G$20+Setup!$C$14),Setup!$C$39:$C$50),WORKDAY(B270,-(Setup!$C$13+Setup!$G$20),Setup!$C$39:$C$50))+(265*100+1)/10000000)))</f>
        <v/>
      </c>
      <c r="S270" t="str">
        <f>IF(C270="","",IF(C270&lt;Setup!$C$5-Setup!$C$6,"",IF(IF(ISNUMBER(Roster!$D270),Setup!$C$21&lt;=Roster!$D270,FALSE),"",IF(OR(IF(Setup!$C$15&lt;=Setup!$C$16,AND(MONTH(C270)&gt;=Setup!$C$15,MONTH(C270)&lt;=Setup!$C$16),OR(MONTH(C270)&gt;=Setup!$C$15,MONTH(C270)&lt;=Setup!$C$16)),IF(Setup!$C$15&lt;=Setup!$C$16,AND(MONTH(WORKDAY(C270,-(Setup!$C$13+Setup!$G$21),Setup!$C$39:$C$50))&gt;=Setup!$C$15,MONTH(WORKDAY(C270,-(Setup!$C$13+Setup!$G$21),Setup!$C$39:$C$50))&lt;=Setup!$C$16),OR(MONTH(WORKDAY(C270,-(Setup!$C$13+Setup!$G$21),Setup!$C$39:$C$50))&gt;=Setup!$C$15,MONTH(WORKDAY(C270,-(Setup!$C$13+Setup!$G$21),Setup!$C$39:$C$50))&lt;=Setup!$C$16))),WORKDAY(C270,-(Setup!$C$13+Setup!$G$21+Setup!$C$14),Setup!$C$39:$C$50),WORKDAY(C270,-(Setup!$C$13+Setup!$G$21),Setup!$C$39:$C$50))+(265*100+2)/10000000)))</f>
        <v/>
      </c>
      <c r="T270" t="str">
        <f>IF(D270="","",IF(D270&lt;Setup!$C$5-Setup!$C$6,"",IF(IF(ISNUMBER(Roster!$D270),Setup!$C$22&lt;=Roster!$D270,FALSE),"",IF(OR(IF(Setup!$C$15&lt;=Setup!$C$16,AND(MONTH(D270)&gt;=Setup!$C$15,MONTH(D270)&lt;=Setup!$C$16),OR(MONTH(D270)&gt;=Setup!$C$15,MONTH(D270)&lt;=Setup!$C$16)),IF(Setup!$C$15&lt;=Setup!$C$16,AND(MONTH(WORKDAY(D270,-(Setup!$C$13+Setup!$G$22),Setup!$C$39:$C$50))&gt;=Setup!$C$15,MONTH(WORKDAY(D270,-(Setup!$C$13+Setup!$G$22),Setup!$C$39:$C$50))&lt;=Setup!$C$16),OR(MONTH(WORKDAY(D270,-(Setup!$C$13+Setup!$G$22),Setup!$C$39:$C$50))&gt;=Setup!$C$15,MONTH(WORKDAY(D270,-(Setup!$C$13+Setup!$G$22),Setup!$C$39:$C$50))&lt;=Setup!$C$16))),WORKDAY(D270,-(Setup!$C$13+Setup!$G$22+Setup!$C$14),Setup!$C$39:$C$50),WORKDAY(D270,-(Setup!$C$13+Setup!$G$22),Setup!$C$39:$C$50))+(265*100+3)/10000000)))</f>
        <v/>
      </c>
      <c r="U270" t="str">
        <f>IF(E270="","",IF(E270&lt;Setup!$C$5-Setup!$C$6,"",IF(IF(ISNUMBER(Roster!$D270),Setup!$C$23&lt;=Roster!$D270,FALSE),"",IF(OR(IF(Setup!$C$15&lt;=Setup!$C$16,AND(MONTH(E270)&gt;=Setup!$C$15,MONTH(E270)&lt;=Setup!$C$16),OR(MONTH(E270)&gt;=Setup!$C$15,MONTH(E270)&lt;=Setup!$C$16)),IF(Setup!$C$15&lt;=Setup!$C$16,AND(MONTH(WORKDAY(E270,-(Setup!$C$13+Setup!$G$23),Setup!$C$39:$C$50))&gt;=Setup!$C$15,MONTH(WORKDAY(E270,-(Setup!$C$13+Setup!$G$23),Setup!$C$39:$C$50))&lt;=Setup!$C$16),OR(MONTH(WORKDAY(E270,-(Setup!$C$13+Setup!$G$23),Setup!$C$39:$C$50))&gt;=Setup!$C$15,MONTH(WORKDAY(E270,-(Setup!$C$13+Setup!$G$23),Setup!$C$39:$C$50))&lt;=Setup!$C$16))),WORKDAY(E270,-(Setup!$C$13+Setup!$G$23+Setup!$C$14),Setup!$C$39:$C$50),WORKDAY(E270,-(Setup!$C$13+Setup!$G$23),Setup!$C$39:$C$50))+(265*100+4)/10000000)))</f>
        <v/>
      </c>
      <c r="V270" t="str">
        <f>IF(F270="","",IF(F270&lt;Setup!$C$5-Setup!$C$6,"",IF(IF(ISNUMBER(Roster!$D270),Setup!$C$24&lt;=Roster!$D270,FALSE),"",IF(OR(IF(Setup!$C$15&lt;=Setup!$C$16,AND(MONTH(F270)&gt;=Setup!$C$15,MONTH(F270)&lt;=Setup!$C$16),OR(MONTH(F270)&gt;=Setup!$C$15,MONTH(F270)&lt;=Setup!$C$16)),IF(Setup!$C$15&lt;=Setup!$C$16,AND(MONTH(WORKDAY(F270,-(Setup!$C$13+Setup!$G$24),Setup!$C$39:$C$50))&gt;=Setup!$C$15,MONTH(WORKDAY(F270,-(Setup!$C$13+Setup!$G$24),Setup!$C$39:$C$50))&lt;=Setup!$C$16),OR(MONTH(WORKDAY(F270,-(Setup!$C$13+Setup!$G$24),Setup!$C$39:$C$50))&gt;=Setup!$C$15,MONTH(WORKDAY(F270,-(Setup!$C$13+Setup!$G$24),Setup!$C$39:$C$50))&lt;=Setup!$C$16))),WORKDAY(F270,-(Setup!$C$13+Setup!$G$24+Setup!$C$14),Setup!$C$39:$C$50),WORKDAY(F270,-(Setup!$C$13+Setup!$G$24),Setup!$C$39:$C$50))+(265*100+5)/10000000)))</f>
        <v/>
      </c>
      <c r="W270" t="str">
        <f>IF(G270="","",IF(G270&lt;Setup!$C$5-Setup!$C$6,"",IF(IF(ISNUMBER(Roster!$D270),Setup!$C$25&lt;=Roster!$D270,FALSE),"",IF(OR(IF(Setup!$C$15&lt;=Setup!$C$16,AND(MONTH(G270)&gt;=Setup!$C$15,MONTH(G270)&lt;=Setup!$C$16),OR(MONTH(G270)&gt;=Setup!$C$15,MONTH(G270)&lt;=Setup!$C$16)),IF(Setup!$C$15&lt;=Setup!$C$16,AND(MONTH(WORKDAY(G270,-(Setup!$C$13+Setup!$G$25),Setup!$C$39:$C$50))&gt;=Setup!$C$15,MONTH(WORKDAY(G270,-(Setup!$C$13+Setup!$G$25),Setup!$C$39:$C$50))&lt;=Setup!$C$16),OR(MONTH(WORKDAY(G270,-(Setup!$C$13+Setup!$G$25),Setup!$C$39:$C$50))&gt;=Setup!$C$15,MONTH(WORKDAY(G270,-(Setup!$C$13+Setup!$G$25),Setup!$C$39:$C$50))&lt;=Setup!$C$16))),WORKDAY(G270,-(Setup!$C$13+Setup!$G$25+Setup!$C$14),Setup!$C$39:$C$50),WORKDAY(G270,-(Setup!$C$13+Setup!$G$25),Setup!$C$39:$C$50))+(265*100+6)/10000000)))</f>
        <v/>
      </c>
      <c r="X270" t="str">
        <f>IF(H270="","",IF(H270&lt;Setup!$C$5-Setup!$C$6,"",IF(IF(ISNUMBER(Roster!$D270),Setup!$C$26&lt;=Roster!$D270,FALSE),"",IF(OR(IF(Setup!$C$15&lt;=Setup!$C$16,AND(MONTH(H270)&gt;=Setup!$C$15,MONTH(H270)&lt;=Setup!$C$16),OR(MONTH(H270)&gt;=Setup!$C$15,MONTH(H270)&lt;=Setup!$C$16)),IF(Setup!$C$15&lt;=Setup!$C$16,AND(MONTH(WORKDAY(H270,-(Setup!$C$13+Setup!$G$26),Setup!$C$39:$C$50))&gt;=Setup!$C$15,MONTH(WORKDAY(H270,-(Setup!$C$13+Setup!$G$26),Setup!$C$39:$C$50))&lt;=Setup!$C$16),OR(MONTH(WORKDAY(H270,-(Setup!$C$13+Setup!$G$26),Setup!$C$39:$C$50))&gt;=Setup!$C$15,MONTH(WORKDAY(H270,-(Setup!$C$13+Setup!$G$26),Setup!$C$39:$C$50))&lt;=Setup!$C$16))),WORKDAY(H270,-(Setup!$C$13+Setup!$G$26+Setup!$C$14),Setup!$C$39:$C$50),WORKDAY(H270,-(Setup!$C$13+Setup!$G$26),Setup!$C$39:$C$50))+(265*100+7)/10000000)))</f>
        <v/>
      </c>
      <c r="Y270" t="str">
        <f>IF(I270="","",IF(I270&lt;Setup!$C$5-Setup!$C$6,"",IF(IF(ISNUMBER(Roster!$D270),Setup!$C$27&lt;=Roster!$D270,FALSE),"",IF(OR(IF(Setup!$C$15&lt;=Setup!$C$16,AND(MONTH(I270)&gt;=Setup!$C$15,MONTH(I270)&lt;=Setup!$C$16),OR(MONTH(I270)&gt;=Setup!$C$15,MONTH(I270)&lt;=Setup!$C$16)),IF(Setup!$C$15&lt;=Setup!$C$16,AND(MONTH(WORKDAY(I270,-(Setup!$C$13+Setup!$G$27),Setup!$C$39:$C$50))&gt;=Setup!$C$15,MONTH(WORKDAY(I270,-(Setup!$C$13+Setup!$G$27),Setup!$C$39:$C$50))&lt;=Setup!$C$16),OR(MONTH(WORKDAY(I270,-(Setup!$C$13+Setup!$G$27),Setup!$C$39:$C$50))&gt;=Setup!$C$15,MONTH(WORKDAY(I270,-(Setup!$C$13+Setup!$G$27),Setup!$C$39:$C$50))&lt;=Setup!$C$16))),WORKDAY(I270,-(Setup!$C$13+Setup!$G$27+Setup!$C$14),Setup!$C$39:$C$50),WORKDAY(I270,-(Setup!$C$13+Setup!$G$27),Setup!$C$39:$C$50))+(265*100+8)/10000000)))</f>
        <v/>
      </c>
      <c r="Z270" t="str">
        <f>IF(J270="","",IF(J270&lt;Setup!$C$5-Setup!$C$6,"",IF(IF(ISNUMBER(Roster!$D270),Setup!$C$28&lt;=Roster!$D270,FALSE),"",IF(OR(IF(Setup!$C$15&lt;=Setup!$C$16,AND(MONTH(J270)&gt;=Setup!$C$15,MONTH(J270)&lt;=Setup!$C$16),OR(MONTH(J270)&gt;=Setup!$C$15,MONTH(J270)&lt;=Setup!$C$16)),IF(Setup!$C$15&lt;=Setup!$C$16,AND(MONTH(WORKDAY(J270,-(Setup!$C$13+Setup!$G$28),Setup!$C$39:$C$50))&gt;=Setup!$C$15,MONTH(WORKDAY(J270,-(Setup!$C$13+Setup!$G$28),Setup!$C$39:$C$50))&lt;=Setup!$C$16),OR(MONTH(WORKDAY(J270,-(Setup!$C$13+Setup!$G$28),Setup!$C$39:$C$50))&gt;=Setup!$C$15,MONTH(WORKDAY(J270,-(Setup!$C$13+Setup!$G$28),Setup!$C$39:$C$50))&lt;=Setup!$C$16))),WORKDAY(J270,-(Setup!$C$13+Setup!$G$28+Setup!$C$14),Setup!$C$39:$C$50),WORKDAY(J270,-(Setup!$C$13+Setup!$G$28),Setup!$C$39:$C$50))+(265*100+9)/10000000)))</f>
        <v/>
      </c>
      <c r="AA270" t="str">
        <f>IF(K270="","",IF(K270&lt;Setup!$C$5-Setup!$C$6,"",IF(IF(ISNUMBER(Roster!$D270),Setup!$C$29&lt;=Roster!$D270,FALSE),"",IF(OR(IF(Setup!$C$15&lt;=Setup!$C$16,AND(MONTH(K270)&gt;=Setup!$C$15,MONTH(K270)&lt;=Setup!$C$16),OR(MONTH(K270)&gt;=Setup!$C$15,MONTH(K270)&lt;=Setup!$C$16)),IF(Setup!$C$15&lt;=Setup!$C$16,AND(MONTH(WORKDAY(K270,-(Setup!$C$13+Setup!$G$29),Setup!$C$39:$C$50))&gt;=Setup!$C$15,MONTH(WORKDAY(K270,-(Setup!$C$13+Setup!$G$29),Setup!$C$39:$C$50))&lt;=Setup!$C$16),OR(MONTH(WORKDAY(K270,-(Setup!$C$13+Setup!$G$29),Setup!$C$39:$C$50))&gt;=Setup!$C$15,MONTH(WORKDAY(K270,-(Setup!$C$13+Setup!$G$29),Setup!$C$39:$C$50))&lt;=Setup!$C$16))),WORKDAY(K270,-(Setup!$C$13+Setup!$G$29+Setup!$C$14),Setup!$C$39:$C$50),WORKDAY(K270,-(Setup!$C$13+Setup!$G$29),Setup!$C$39:$C$50))+(265*100+10)/10000000)))</f>
        <v/>
      </c>
      <c r="AB270" t="str">
        <f>IF(L270="","",IF(L270&lt;Setup!$C$5-Setup!$C$6,"",IF(IF(ISNUMBER(Roster!$D270),Setup!$C$30&lt;=Roster!$D270,FALSE),"",IF(OR(IF(Setup!$C$15&lt;=Setup!$C$16,AND(MONTH(L270)&gt;=Setup!$C$15,MONTH(L270)&lt;=Setup!$C$16),OR(MONTH(L270)&gt;=Setup!$C$15,MONTH(L270)&lt;=Setup!$C$16)),IF(Setup!$C$15&lt;=Setup!$C$16,AND(MONTH(WORKDAY(L270,-(Setup!$C$13+Setup!$G$30),Setup!$C$39:$C$50))&gt;=Setup!$C$15,MONTH(WORKDAY(L270,-(Setup!$C$13+Setup!$G$30),Setup!$C$39:$C$50))&lt;=Setup!$C$16),OR(MONTH(WORKDAY(L270,-(Setup!$C$13+Setup!$G$30),Setup!$C$39:$C$50))&gt;=Setup!$C$15,MONTH(WORKDAY(L270,-(Setup!$C$13+Setup!$G$30),Setup!$C$39:$C$50))&lt;=Setup!$C$16))),WORKDAY(L270,-(Setup!$C$13+Setup!$G$30+Setup!$C$14),Setup!$C$39:$C$50),WORKDAY(L270,-(Setup!$C$13+Setup!$G$30),Setup!$C$39:$C$50))+(265*100+11)/10000000)))</f>
        <v/>
      </c>
      <c r="AC270" t="str">
        <f>IF(M270="","",IF(M270&lt;Setup!$C$5-Setup!$C$6,"",IF(IF(ISNUMBER(Roster!$D270),Setup!$C$31&lt;=Roster!$D270,FALSE),"",IF(OR(IF(Setup!$C$15&lt;=Setup!$C$16,AND(MONTH(M270)&gt;=Setup!$C$15,MONTH(M270)&lt;=Setup!$C$16),OR(MONTH(M270)&gt;=Setup!$C$15,MONTH(M270)&lt;=Setup!$C$16)),IF(Setup!$C$15&lt;=Setup!$C$16,AND(MONTH(WORKDAY(M270,-(Setup!$C$13+Setup!$G$31),Setup!$C$39:$C$50))&gt;=Setup!$C$15,MONTH(WORKDAY(M270,-(Setup!$C$13+Setup!$G$31),Setup!$C$39:$C$50))&lt;=Setup!$C$16),OR(MONTH(WORKDAY(M270,-(Setup!$C$13+Setup!$G$31),Setup!$C$39:$C$50))&gt;=Setup!$C$15,MONTH(WORKDAY(M270,-(Setup!$C$13+Setup!$G$31),Setup!$C$39:$C$50))&lt;=Setup!$C$16))),WORKDAY(M270,-(Setup!$C$13+Setup!$G$31+Setup!$C$14),Setup!$C$39:$C$50),WORKDAY(M270,-(Setup!$C$13+Setup!$G$31),Setup!$C$39:$C$50))+(265*100+12)/10000000)))</f>
        <v/>
      </c>
      <c r="AD270" t="str">
        <f>IF(N270="","",IF(N270&lt;Setup!$C$5-Setup!$C$6,"",IF(IF(ISNUMBER(Roster!$D270),Setup!$C$32&lt;=Roster!$D270,FALSE),"",IF(OR(IF(Setup!$C$15&lt;=Setup!$C$16,AND(MONTH(N270)&gt;=Setup!$C$15,MONTH(N270)&lt;=Setup!$C$16),OR(MONTH(N270)&gt;=Setup!$C$15,MONTH(N270)&lt;=Setup!$C$16)),IF(Setup!$C$15&lt;=Setup!$C$16,AND(MONTH(WORKDAY(N270,-(Setup!$C$13+Setup!$G$32),Setup!$C$39:$C$50))&gt;=Setup!$C$15,MONTH(WORKDAY(N270,-(Setup!$C$13+Setup!$G$32),Setup!$C$39:$C$50))&lt;=Setup!$C$16),OR(MONTH(WORKDAY(N270,-(Setup!$C$13+Setup!$G$32),Setup!$C$39:$C$50))&gt;=Setup!$C$15,MONTH(WORKDAY(N270,-(Setup!$C$13+Setup!$G$32),Setup!$C$39:$C$50))&lt;=Setup!$C$16))),WORKDAY(N270,-(Setup!$C$13+Setup!$G$32+Setup!$C$14),Setup!$C$39:$C$50),WORKDAY(N270,-(Setup!$C$13+Setup!$G$32),Setup!$C$39:$C$50))+(265*100+13)/10000000)))</f>
        <v/>
      </c>
      <c r="AE270" t="str">
        <f>IF(O270="","",IF(O270&lt;Setup!$C$5-Setup!$C$6,"",IF(IF(ISNUMBER(Roster!$D270),Setup!$C$33&lt;=Roster!$D270,FALSE),"",IF(OR(IF(Setup!$C$15&lt;=Setup!$C$16,AND(MONTH(O270)&gt;=Setup!$C$15,MONTH(O270)&lt;=Setup!$C$16),OR(MONTH(O270)&gt;=Setup!$C$15,MONTH(O270)&lt;=Setup!$C$16)),IF(Setup!$C$15&lt;=Setup!$C$16,AND(MONTH(WORKDAY(O270,-(Setup!$C$13+Setup!$G$33),Setup!$C$39:$C$50))&gt;=Setup!$C$15,MONTH(WORKDAY(O270,-(Setup!$C$13+Setup!$G$33),Setup!$C$39:$C$50))&lt;=Setup!$C$16),OR(MONTH(WORKDAY(O270,-(Setup!$C$13+Setup!$G$33),Setup!$C$39:$C$50))&gt;=Setup!$C$15,MONTH(WORKDAY(O270,-(Setup!$C$13+Setup!$G$33),Setup!$C$39:$C$50))&lt;=Setup!$C$16))),WORKDAY(O270,-(Setup!$C$13+Setup!$G$33+Setup!$C$14),Setup!$C$39:$C$50),WORKDAY(O270,-(Setup!$C$13+Setup!$G$33),Setup!$C$39:$C$50))+(265*100+14)/10000000)))</f>
        <v/>
      </c>
      <c r="AF270" t="str">
        <f>IF(P270="","",IF(P270&lt;Setup!$C$5-Setup!$C$6,"",IF(IF(ISNUMBER(Roster!$D270),Setup!$C$34&lt;=Roster!$D270,FALSE),"",IF(OR(IF(Setup!$C$15&lt;=Setup!$C$16,AND(MONTH(P270)&gt;=Setup!$C$15,MONTH(P270)&lt;=Setup!$C$16),OR(MONTH(P270)&gt;=Setup!$C$15,MONTH(P270)&lt;=Setup!$C$16)),IF(Setup!$C$15&lt;=Setup!$C$16,AND(MONTH(WORKDAY(P270,-(Setup!$C$13+Setup!$G$34),Setup!$C$39:$C$50))&gt;=Setup!$C$15,MONTH(WORKDAY(P270,-(Setup!$C$13+Setup!$G$34),Setup!$C$39:$C$50))&lt;=Setup!$C$16),OR(MONTH(WORKDAY(P270,-(Setup!$C$13+Setup!$G$34),Setup!$C$39:$C$50))&gt;=Setup!$C$15,MONTH(WORKDAY(P270,-(Setup!$C$13+Setup!$G$34),Setup!$C$39:$C$50))&lt;=Setup!$C$16))),WORKDAY(P270,-(Setup!$C$13+Setup!$G$34+Setup!$C$14),Setup!$C$39:$C$50),WORKDAY(P270,-(Setup!$C$13+Setup!$G$34),Setup!$C$39:$C$50))+(265*100+15)/10000000)))</f>
        <v/>
      </c>
      <c r="AH270" t="str">
        <f t="shared" si="33"/>
        <v/>
      </c>
      <c r="AI270" t="str">
        <f t="shared" si="34"/>
        <v/>
      </c>
      <c r="AK270" t="str">
        <f ca="1">IF(265&gt;$AK$2,"",SMALL($R$6:$AF$505,265))</f>
        <v/>
      </c>
      <c r="AL270" t="str">
        <f t="shared" ca="1" si="35"/>
        <v/>
      </c>
      <c r="AM270" t="str">
        <f t="shared" ca="1" si="36"/>
        <v/>
      </c>
      <c r="AN270" t="str">
        <f t="shared" ca="1" si="37"/>
        <v/>
      </c>
      <c r="AP270" t="str">
        <f>IF(ISNUMBER(Roster!$B270),MAX(1,YEAR(Setup!$C$5)-YEAR(Roster!$B270)+IF(EDATE(Roster!$B270,12*(YEAR(Setup!$C$5)-YEAR(Roster!$B270)))&lt;Setup!$C$5,1,0)),"")</f>
        <v/>
      </c>
      <c r="AQ270" s="32" t="str">
        <f>IF(AP270="","",EDATE(Roster!$B270,12*AP270))</f>
        <v/>
      </c>
      <c r="AR270" t="str">
        <f>IF(AQ270="","",IF(AQ270&lt;DATE(YEAR(Setup!$C$5)+1,MONTH(Setup!$C$5),DAY(Setup!$C$5)),AQ270+265/1000,""))</f>
        <v/>
      </c>
      <c r="AS270" t="str">
        <f t="shared" si="38"/>
        <v/>
      </c>
      <c r="AT270" t="str">
        <f>IF(AS270="","",IF(ISNUMBER(Roster!$D270),Roster!$D270&gt;=AP270,FALSE))</f>
        <v/>
      </c>
      <c r="AU270" t="str">
        <f t="shared" si="39"/>
        <v/>
      </c>
      <c r="AV270" t="str">
        <f ca="1">IF(265&gt;$AV$2,"",SMALL($AR$6:$AR$505,265))</f>
        <v/>
      </c>
      <c r="AW270" t="str">
        <f t="shared" ca="1" si="40"/>
        <v/>
      </c>
    </row>
    <row r="271" spans="2:49" x14ac:dyDescent="0.2">
      <c r="B271" s="32" t="str">
        <f>IF(AND(ISNUMBER(Roster!$B271),Setup!$B$20="Yes",ISNUMBER(Setup!$C$20)),EDATE(Roster!$B271,12*Setup!$C$20),"")</f>
        <v/>
      </c>
      <c r="C271" s="32" t="str">
        <f>IF(AND(ISNUMBER(Roster!$B271),Setup!$B$21="Yes",ISNUMBER(Setup!$C$21)),EDATE(Roster!$B271,12*Setup!$C$21),"")</f>
        <v/>
      </c>
      <c r="D271" s="32" t="str">
        <f>IF(AND(ISNUMBER(Roster!$B271),Setup!$B$22="Yes",ISNUMBER(Setup!$C$22)),EDATE(Roster!$B271,12*Setup!$C$22),"")</f>
        <v/>
      </c>
      <c r="E271" s="32" t="str">
        <f>IF(AND(ISNUMBER(Roster!$B271),Setup!$B$23="Yes",ISNUMBER(Setup!$C$23)),EDATE(Roster!$B271,12*Setup!$C$23),"")</f>
        <v/>
      </c>
      <c r="F271" s="32" t="str">
        <f>IF(AND(ISNUMBER(Roster!$B271),Setup!$B$24="Yes",ISNUMBER(Setup!$C$24)),EDATE(Roster!$B271,12*Setup!$C$24),"")</f>
        <v/>
      </c>
      <c r="G271" s="32" t="str">
        <f>IF(AND(ISNUMBER(Roster!$B271),Setup!$B$25="Yes",ISNUMBER(Setup!$C$25)),EDATE(Roster!$B271,12*Setup!$C$25),"")</f>
        <v/>
      </c>
      <c r="H271" s="32" t="str">
        <f>IF(AND(ISNUMBER(Roster!$B271),Setup!$B$26="Yes",ISNUMBER(Setup!$C$26)),EDATE(Roster!$B271,12*Setup!$C$26),"")</f>
        <v/>
      </c>
      <c r="I271" s="32" t="str">
        <f>IF(AND(ISNUMBER(Roster!$B271),Setup!$B$27="Yes",ISNUMBER(Setup!$C$27)),EDATE(Roster!$B271,12*Setup!$C$27),"")</f>
        <v/>
      </c>
      <c r="J271" s="32" t="str">
        <f>IF(AND(ISNUMBER(Roster!$B271),Setup!$B$28="Yes",ISNUMBER(Setup!$C$28)),EDATE(Roster!$B271,12*Setup!$C$28),"")</f>
        <v/>
      </c>
      <c r="K271" s="32" t="str">
        <f>IF(AND(ISNUMBER(Roster!$B271),Setup!$B$29="Yes",ISNUMBER(Setup!$C$29)),EDATE(Roster!$B271,12*Setup!$C$29),"")</f>
        <v/>
      </c>
      <c r="L271" s="32" t="str">
        <f>IF(AND(ISNUMBER(Roster!$B271),Setup!$B$30="Yes",ISNUMBER(Setup!$C$30)),EDATE(Roster!$B271,12*Setup!$C$30),"")</f>
        <v/>
      </c>
      <c r="M271" s="32" t="str">
        <f>IF(AND(ISNUMBER(Roster!$B271),Setup!$B$31="Yes",ISNUMBER(Setup!$C$31)),EDATE(Roster!$B271,12*Setup!$C$31),"")</f>
        <v/>
      </c>
      <c r="N271" s="32" t="str">
        <f>IF(AND(ISNUMBER(Roster!$B271),Setup!$B$32="Yes",ISNUMBER(Setup!$C$32)),EDATE(Roster!$B271,12*Setup!$C$32),"")</f>
        <v/>
      </c>
      <c r="O271" s="32" t="str">
        <f>IF(AND(ISNUMBER(Roster!$B271),Setup!$B$33="Yes",ISNUMBER(Setup!$C$33)),EDATE(Roster!$B271,12*Setup!$C$33),"")</f>
        <v/>
      </c>
      <c r="P271" s="32" t="str">
        <f>IF(AND(ISNUMBER(Roster!$B271),Setup!$B$34="Yes",ISNUMBER(Setup!$C$34)),EDATE(Roster!$B271,12*Setup!$C$34),"")</f>
        <v/>
      </c>
      <c r="R271" t="str">
        <f>IF(B271="","",IF(B271&lt;Setup!$C$5-Setup!$C$6,"",IF(IF(ISNUMBER(Roster!$D271),Setup!$C$20&lt;=Roster!$D271,FALSE),"",IF(OR(IF(Setup!$C$15&lt;=Setup!$C$16,AND(MONTH(B271)&gt;=Setup!$C$15,MONTH(B271)&lt;=Setup!$C$16),OR(MONTH(B271)&gt;=Setup!$C$15,MONTH(B271)&lt;=Setup!$C$16)),IF(Setup!$C$15&lt;=Setup!$C$16,AND(MONTH(WORKDAY(B271,-(Setup!$C$13+Setup!$G$20),Setup!$C$39:$C$50))&gt;=Setup!$C$15,MONTH(WORKDAY(B271,-(Setup!$C$13+Setup!$G$20),Setup!$C$39:$C$50))&lt;=Setup!$C$16),OR(MONTH(WORKDAY(B271,-(Setup!$C$13+Setup!$G$20),Setup!$C$39:$C$50))&gt;=Setup!$C$15,MONTH(WORKDAY(B271,-(Setup!$C$13+Setup!$G$20),Setup!$C$39:$C$50))&lt;=Setup!$C$16))),WORKDAY(B271,-(Setup!$C$13+Setup!$G$20+Setup!$C$14),Setup!$C$39:$C$50),WORKDAY(B271,-(Setup!$C$13+Setup!$G$20),Setup!$C$39:$C$50))+(266*100+1)/10000000)))</f>
        <v/>
      </c>
      <c r="S271" t="str">
        <f>IF(C271="","",IF(C271&lt;Setup!$C$5-Setup!$C$6,"",IF(IF(ISNUMBER(Roster!$D271),Setup!$C$21&lt;=Roster!$D271,FALSE),"",IF(OR(IF(Setup!$C$15&lt;=Setup!$C$16,AND(MONTH(C271)&gt;=Setup!$C$15,MONTH(C271)&lt;=Setup!$C$16),OR(MONTH(C271)&gt;=Setup!$C$15,MONTH(C271)&lt;=Setup!$C$16)),IF(Setup!$C$15&lt;=Setup!$C$16,AND(MONTH(WORKDAY(C271,-(Setup!$C$13+Setup!$G$21),Setup!$C$39:$C$50))&gt;=Setup!$C$15,MONTH(WORKDAY(C271,-(Setup!$C$13+Setup!$G$21),Setup!$C$39:$C$50))&lt;=Setup!$C$16),OR(MONTH(WORKDAY(C271,-(Setup!$C$13+Setup!$G$21),Setup!$C$39:$C$50))&gt;=Setup!$C$15,MONTH(WORKDAY(C271,-(Setup!$C$13+Setup!$G$21),Setup!$C$39:$C$50))&lt;=Setup!$C$16))),WORKDAY(C271,-(Setup!$C$13+Setup!$G$21+Setup!$C$14),Setup!$C$39:$C$50),WORKDAY(C271,-(Setup!$C$13+Setup!$G$21),Setup!$C$39:$C$50))+(266*100+2)/10000000)))</f>
        <v/>
      </c>
      <c r="T271" t="str">
        <f>IF(D271="","",IF(D271&lt;Setup!$C$5-Setup!$C$6,"",IF(IF(ISNUMBER(Roster!$D271),Setup!$C$22&lt;=Roster!$D271,FALSE),"",IF(OR(IF(Setup!$C$15&lt;=Setup!$C$16,AND(MONTH(D271)&gt;=Setup!$C$15,MONTH(D271)&lt;=Setup!$C$16),OR(MONTH(D271)&gt;=Setup!$C$15,MONTH(D271)&lt;=Setup!$C$16)),IF(Setup!$C$15&lt;=Setup!$C$16,AND(MONTH(WORKDAY(D271,-(Setup!$C$13+Setup!$G$22),Setup!$C$39:$C$50))&gt;=Setup!$C$15,MONTH(WORKDAY(D271,-(Setup!$C$13+Setup!$G$22),Setup!$C$39:$C$50))&lt;=Setup!$C$16),OR(MONTH(WORKDAY(D271,-(Setup!$C$13+Setup!$G$22),Setup!$C$39:$C$50))&gt;=Setup!$C$15,MONTH(WORKDAY(D271,-(Setup!$C$13+Setup!$G$22),Setup!$C$39:$C$50))&lt;=Setup!$C$16))),WORKDAY(D271,-(Setup!$C$13+Setup!$G$22+Setup!$C$14),Setup!$C$39:$C$50),WORKDAY(D271,-(Setup!$C$13+Setup!$G$22),Setup!$C$39:$C$50))+(266*100+3)/10000000)))</f>
        <v/>
      </c>
      <c r="U271" t="str">
        <f>IF(E271="","",IF(E271&lt;Setup!$C$5-Setup!$C$6,"",IF(IF(ISNUMBER(Roster!$D271),Setup!$C$23&lt;=Roster!$D271,FALSE),"",IF(OR(IF(Setup!$C$15&lt;=Setup!$C$16,AND(MONTH(E271)&gt;=Setup!$C$15,MONTH(E271)&lt;=Setup!$C$16),OR(MONTH(E271)&gt;=Setup!$C$15,MONTH(E271)&lt;=Setup!$C$16)),IF(Setup!$C$15&lt;=Setup!$C$16,AND(MONTH(WORKDAY(E271,-(Setup!$C$13+Setup!$G$23),Setup!$C$39:$C$50))&gt;=Setup!$C$15,MONTH(WORKDAY(E271,-(Setup!$C$13+Setup!$G$23),Setup!$C$39:$C$50))&lt;=Setup!$C$16),OR(MONTH(WORKDAY(E271,-(Setup!$C$13+Setup!$G$23),Setup!$C$39:$C$50))&gt;=Setup!$C$15,MONTH(WORKDAY(E271,-(Setup!$C$13+Setup!$G$23),Setup!$C$39:$C$50))&lt;=Setup!$C$16))),WORKDAY(E271,-(Setup!$C$13+Setup!$G$23+Setup!$C$14),Setup!$C$39:$C$50),WORKDAY(E271,-(Setup!$C$13+Setup!$G$23),Setup!$C$39:$C$50))+(266*100+4)/10000000)))</f>
        <v/>
      </c>
      <c r="V271" t="str">
        <f>IF(F271="","",IF(F271&lt;Setup!$C$5-Setup!$C$6,"",IF(IF(ISNUMBER(Roster!$D271),Setup!$C$24&lt;=Roster!$D271,FALSE),"",IF(OR(IF(Setup!$C$15&lt;=Setup!$C$16,AND(MONTH(F271)&gt;=Setup!$C$15,MONTH(F271)&lt;=Setup!$C$16),OR(MONTH(F271)&gt;=Setup!$C$15,MONTH(F271)&lt;=Setup!$C$16)),IF(Setup!$C$15&lt;=Setup!$C$16,AND(MONTH(WORKDAY(F271,-(Setup!$C$13+Setup!$G$24),Setup!$C$39:$C$50))&gt;=Setup!$C$15,MONTH(WORKDAY(F271,-(Setup!$C$13+Setup!$G$24),Setup!$C$39:$C$50))&lt;=Setup!$C$16),OR(MONTH(WORKDAY(F271,-(Setup!$C$13+Setup!$G$24),Setup!$C$39:$C$50))&gt;=Setup!$C$15,MONTH(WORKDAY(F271,-(Setup!$C$13+Setup!$G$24),Setup!$C$39:$C$50))&lt;=Setup!$C$16))),WORKDAY(F271,-(Setup!$C$13+Setup!$G$24+Setup!$C$14),Setup!$C$39:$C$50),WORKDAY(F271,-(Setup!$C$13+Setup!$G$24),Setup!$C$39:$C$50))+(266*100+5)/10000000)))</f>
        <v/>
      </c>
      <c r="W271" t="str">
        <f>IF(G271="","",IF(G271&lt;Setup!$C$5-Setup!$C$6,"",IF(IF(ISNUMBER(Roster!$D271),Setup!$C$25&lt;=Roster!$D271,FALSE),"",IF(OR(IF(Setup!$C$15&lt;=Setup!$C$16,AND(MONTH(G271)&gt;=Setup!$C$15,MONTH(G271)&lt;=Setup!$C$16),OR(MONTH(G271)&gt;=Setup!$C$15,MONTH(G271)&lt;=Setup!$C$16)),IF(Setup!$C$15&lt;=Setup!$C$16,AND(MONTH(WORKDAY(G271,-(Setup!$C$13+Setup!$G$25),Setup!$C$39:$C$50))&gt;=Setup!$C$15,MONTH(WORKDAY(G271,-(Setup!$C$13+Setup!$G$25),Setup!$C$39:$C$50))&lt;=Setup!$C$16),OR(MONTH(WORKDAY(G271,-(Setup!$C$13+Setup!$G$25),Setup!$C$39:$C$50))&gt;=Setup!$C$15,MONTH(WORKDAY(G271,-(Setup!$C$13+Setup!$G$25),Setup!$C$39:$C$50))&lt;=Setup!$C$16))),WORKDAY(G271,-(Setup!$C$13+Setup!$G$25+Setup!$C$14),Setup!$C$39:$C$50),WORKDAY(G271,-(Setup!$C$13+Setup!$G$25),Setup!$C$39:$C$50))+(266*100+6)/10000000)))</f>
        <v/>
      </c>
      <c r="X271" t="str">
        <f>IF(H271="","",IF(H271&lt;Setup!$C$5-Setup!$C$6,"",IF(IF(ISNUMBER(Roster!$D271),Setup!$C$26&lt;=Roster!$D271,FALSE),"",IF(OR(IF(Setup!$C$15&lt;=Setup!$C$16,AND(MONTH(H271)&gt;=Setup!$C$15,MONTH(H271)&lt;=Setup!$C$16),OR(MONTH(H271)&gt;=Setup!$C$15,MONTH(H271)&lt;=Setup!$C$16)),IF(Setup!$C$15&lt;=Setup!$C$16,AND(MONTH(WORKDAY(H271,-(Setup!$C$13+Setup!$G$26),Setup!$C$39:$C$50))&gt;=Setup!$C$15,MONTH(WORKDAY(H271,-(Setup!$C$13+Setup!$G$26),Setup!$C$39:$C$50))&lt;=Setup!$C$16),OR(MONTH(WORKDAY(H271,-(Setup!$C$13+Setup!$G$26),Setup!$C$39:$C$50))&gt;=Setup!$C$15,MONTH(WORKDAY(H271,-(Setup!$C$13+Setup!$G$26),Setup!$C$39:$C$50))&lt;=Setup!$C$16))),WORKDAY(H271,-(Setup!$C$13+Setup!$G$26+Setup!$C$14),Setup!$C$39:$C$50),WORKDAY(H271,-(Setup!$C$13+Setup!$G$26),Setup!$C$39:$C$50))+(266*100+7)/10000000)))</f>
        <v/>
      </c>
      <c r="Y271" t="str">
        <f>IF(I271="","",IF(I271&lt;Setup!$C$5-Setup!$C$6,"",IF(IF(ISNUMBER(Roster!$D271),Setup!$C$27&lt;=Roster!$D271,FALSE),"",IF(OR(IF(Setup!$C$15&lt;=Setup!$C$16,AND(MONTH(I271)&gt;=Setup!$C$15,MONTH(I271)&lt;=Setup!$C$16),OR(MONTH(I271)&gt;=Setup!$C$15,MONTH(I271)&lt;=Setup!$C$16)),IF(Setup!$C$15&lt;=Setup!$C$16,AND(MONTH(WORKDAY(I271,-(Setup!$C$13+Setup!$G$27),Setup!$C$39:$C$50))&gt;=Setup!$C$15,MONTH(WORKDAY(I271,-(Setup!$C$13+Setup!$G$27),Setup!$C$39:$C$50))&lt;=Setup!$C$16),OR(MONTH(WORKDAY(I271,-(Setup!$C$13+Setup!$G$27),Setup!$C$39:$C$50))&gt;=Setup!$C$15,MONTH(WORKDAY(I271,-(Setup!$C$13+Setup!$G$27),Setup!$C$39:$C$50))&lt;=Setup!$C$16))),WORKDAY(I271,-(Setup!$C$13+Setup!$G$27+Setup!$C$14),Setup!$C$39:$C$50),WORKDAY(I271,-(Setup!$C$13+Setup!$G$27),Setup!$C$39:$C$50))+(266*100+8)/10000000)))</f>
        <v/>
      </c>
      <c r="Z271" t="str">
        <f>IF(J271="","",IF(J271&lt;Setup!$C$5-Setup!$C$6,"",IF(IF(ISNUMBER(Roster!$D271),Setup!$C$28&lt;=Roster!$D271,FALSE),"",IF(OR(IF(Setup!$C$15&lt;=Setup!$C$16,AND(MONTH(J271)&gt;=Setup!$C$15,MONTH(J271)&lt;=Setup!$C$16),OR(MONTH(J271)&gt;=Setup!$C$15,MONTH(J271)&lt;=Setup!$C$16)),IF(Setup!$C$15&lt;=Setup!$C$16,AND(MONTH(WORKDAY(J271,-(Setup!$C$13+Setup!$G$28),Setup!$C$39:$C$50))&gt;=Setup!$C$15,MONTH(WORKDAY(J271,-(Setup!$C$13+Setup!$G$28),Setup!$C$39:$C$50))&lt;=Setup!$C$16),OR(MONTH(WORKDAY(J271,-(Setup!$C$13+Setup!$G$28),Setup!$C$39:$C$50))&gt;=Setup!$C$15,MONTH(WORKDAY(J271,-(Setup!$C$13+Setup!$G$28),Setup!$C$39:$C$50))&lt;=Setup!$C$16))),WORKDAY(J271,-(Setup!$C$13+Setup!$G$28+Setup!$C$14),Setup!$C$39:$C$50),WORKDAY(J271,-(Setup!$C$13+Setup!$G$28),Setup!$C$39:$C$50))+(266*100+9)/10000000)))</f>
        <v/>
      </c>
      <c r="AA271" t="str">
        <f>IF(K271="","",IF(K271&lt;Setup!$C$5-Setup!$C$6,"",IF(IF(ISNUMBER(Roster!$D271),Setup!$C$29&lt;=Roster!$D271,FALSE),"",IF(OR(IF(Setup!$C$15&lt;=Setup!$C$16,AND(MONTH(K271)&gt;=Setup!$C$15,MONTH(K271)&lt;=Setup!$C$16),OR(MONTH(K271)&gt;=Setup!$C$15,MONTH(K271)&lt;=Setup!$C$16)),IF(Setup!$C$15&lt;=Setup!$C$16,AND(MONTH(WORKDAY(K271,-(Setup!$C$13+Setup!$G$29),Setup!$C$39:$C$50))&gt;=Setup!$C$15,MONTH(WORKDAY(K271,-(Setup!$C$13+Setup!$G$29),Setup!$C$39:$C$50))&lt;=Setup!$C$16),OR(MONTH(WORKDAY(K271,-(Setup!$C$13+Setup!$G$29),Setup!$C$39:$C$50))&gt;=Setup!$C$15,MONTH(WORKDAY(K271,-(Setup!$C$13+Setup!$G$29),Setup!$C$39:$C$50))&lt;=Setup!$C$16))),WORKDAY(K271,-(Setup!$C$13+Setup!$G$29+Setup!$C$14),Setup!$C$39:$C$50),WORKDAY(K271,-(Setup!$C$13+Setup!$G$29),Setup!$C$39:$C$50))+(266*100+10)/10000000)))</f>
        <v/>
      </c>
      <c r="AB271" t="str">
        <f>IF(L271="","",IF(L271&lt;Setup!$C$5-Setup!$C$6,"",IF(IF(ISNUMBER(Roster!$D271),Setup!$C$30&lt;=Roster!$D271,FALSE),"",IF(OR(IF(Setup!$C$15&lt;=Setup!$C$16,AND(MONTH(L271)&gt;=Setup!$C$15,MONTH(L271)&lt;=Setup!$C$16),OR(MONTH(L271)&gt;=Setup!$C$15,MONTH(L271)&lt;=Setup!$C$16)),IF(Setup!$C$15&lt;=Setup!$C$16,AND(MONTH(WORKDAY(L271,-(Setup!$C$13+Setup!$G$30),Setup!$C$39:$C$50))&gt;=Setup!$C$15,MONTH(WORKDAY(L271,-(Setup!$C$13+Setup!$G$30),Setup!$C$39:$C$50))&lt;=Setup!$C$16),OR(MONTH(WORKDAY(L271,-(Setup!$C$13+Setup!$G$30),Setup!$C$39:$C$50))&gt;=Setup!$C$15,MONTH(WORKDAY(L271,-(Setup!$C$13+Setup!$G$30),Setup!$C$39:$C$50))&lt;=Setup!$C$16))),WORKDAY(L271,-(Setup!$C$13+Setup!$G$30+Setup!$C$14),Setup!$C$39:$C$50),WORKDAY(L271,-(Setup!$C$13+Setup!$G$30),Setup!$C$39:$C$50))+(266*100+11)/10000000)))</f>
        <v/>
      </c>
      <c r="AC271" t="str">
        <f>IF(M271="","",IF(M271&lt;Setup!$C$5-Setup!$C$6,"",IF(IF(ISNUMBER(Roster!$D271),Setup!$C$31&lt;=Roster!$D271,FALSE),"",IF(OR(IF(Setup!$C$15&lt;=Setup!$C$16,AND(MONTH(M271)&gt;=Setup!$C$15,MONTH(M271)&lt;=Setup!$C$16),OR(MONTH(M271)&gt;=Setup!$C$15,MONTH(M271)&lt;=Setup!$C$16)),IF(Setup!$C$15&lt;=Setup!$C$16,AND(MONTH(WORKDAY(M271,-(Setup!$C$13+Setup!$G$31),Setup!$C$39:$C$50))&gt;=Setup!$C$15,MONTH(WORKDAY(M271,-(Setup!$C$13+Setup!$G$31),Setup!$C$39:$C$50))&lt;=Setup!$C$16),OR(MONTH(WORKDAY(M271,-(Setup!$C$13+Setup!$G$31),Setup!$C$39:$C$50))&gt;=Setup!$C$15,MONTH(WORKDAY(M271,-(Setup!$C$13+Setup!$G$31),Setup!$C$39:$C$50))&lt;=Setup!$C$16))),WORKDAY(M271,-(Setup!$C$13+Setup!$G$31+Setup!$C$14),Setup!$C$39:$C$50),WORKDAY(M271,-(Setup!$C$13+Setup!$G$31),Setup!$C$39:$C$50))+(266*100+12)/10000000)))</f>
        <v/>
      </c>
      <c r="AD271" t="str">
        <f>IF(N271="","",IF(N271&lt;Setup!$C$5-Setup!$C$6,"",IF(IF(ISNUMBER(Roster!$D271),Setup!$C$32&lt;=Roster!$D271,FALSE),"",IF(OR(IF(Setup!$C$15&lt;=Setup!$C$16,AND(MONTH(N271)&gt;=Setup!$C$15,MONTH(N271)&lt;=Setup!$C$16),OR(MONTH(N271)&gt;=Setup!$C$15,MONTH(N271)&lt;=Setup!$C$16)),IF(Setup!$C$15&lt;=Setup!$C$16,AND(MONTH(WORKDAY(N271,-(Setup!$C$13+Setup!$G$32),Setup!$C$39:$C$50))&gt;=Setup!$C$15,MONTH(WORKDAY(N271,-(Setup!$C$13+Setup!$G$32),Setup!$C$39:$C$50))&lt;=Setup!$C$16),OR(MONTH(WORKDAY(N271,-(Setup!$C$13+Setup!$G$32),Setup!$C$39:$C$50))&gt;=Setup!$C$15,MONTH(WORKDAY(N271,-(Setup!$C$13+Setup!$G$32),Setup!$C$39:$C$50))&lt;=Setup!$C$16))),WORKDAY(N271,-(Setup!$C$13+Setup!$G$32+Setup!$C$14),Setup!$C$39:$C$50),WORKDAY(N271,-(Setup!$C$13+Setup!$G$32),Setup!$C$39:$C$50))+(266*100+13)/10000000)))</f>
        <v/>
      </c>
      <c r="AE271" t="str">
        <f>IF(O271="","",IF(O271&lt;Setup!$C$5-Setup!$C$6,"",IF(IF(ISNUMBER(Roster!$D271),Setup!$C$33&lt;=Roster!$D271,FALSE),"",IF(OR(IF(Setup!$C$15&lt;=Setup!$C$16,AND(MONTH(O271)&gt;=Setup!$C$15,MONTH(O271)&lt;=Setup!$C$16),OR(MONTH(O271)&gt;=Setup!$C$15,MONTH(O271)&lt;=Setup!$C$16)),IF(Setup!$C$15&lt;=Setup!$C$16,AND(MONTH(WORKDAY(O271,-(Setup!$C$13+Setup!$G$33),Setup!$C$39:$C$50))&gt;=Setup!$C$15,MONTH(WORKDAY(O271,-(Setup!$C$13+Setup!$G$33),Setup!$C$39:$C$50))&lt;=Setup!$C$16),OR(MONTH(WORKDAY(O271,-(Setup!$C$13+Setup!$G$33),Setup!$C$39:$C$50))&gt;=Setup!$C$15,MONTH(WORKDAY(O271,-(Setup!$C$13+Setup!$G$33),Setup!$C$39:$C$50))&lt;=Setup!$C$16))),WORKDAY(O271,-(Setup!$C$13+Setup!$G$33+Setup!$C$14),Setup!$C$39:$C$50),WORKDAY(O271,-(Setup!$C$13+Setup!$G$33),Setup!$C$39:$C$50))+(266*100+14)/10000000)))</f>
        <v/>
      </c>
      <c r="AF271" t="str">
        <f>IF(P271="","",IF(P271&lt;Setup!$C$5-Setup!$C$6,"",IF(IF(ISNUMBER(Roster!$D271),Setup!$C$34&lt;=Roster!$D271,FALSE),"",IF(OR(IF(Setup!$C$15&lt;=Setup!$C$16,AND(MONTH(P271)&gt;=Setup!$C$15,MONTH(P271)&lt;=Setup!$C$16),OR(MONTH(P271)&gt;=Setup!$C$15,MONTH(P271)&lt;=Setup!$C$16)),IF(Setup!$C$15&lt;=Setup!$C$16,AND(MONTH(WORKDAY(P271,-(Setup!$C$13+Setup!$G$34),Setup!$C$39:$C$50))&gt;=Setup!$C$15,MONTH(WORKDAY(P271,-(Setup!$C$13+Setup!$G$34),Setup!$C$39:$C$50))&lt;=Setup!$C$16),OR(MONTH(WORKDAY(P271,-(Setup!$C$13+Setup!$G$34),Setup!$C$39:$C$50))&gt;=Setup!$C$15,MONTH(WORKDAY(P271,-(Setup!$C$13+Setup!$G$34),Setup!$C$39:$C$50))&lt;=Setup!$C$16))),WORKDAY(P271,-(Setup!$C$13+Setup!$G$34+Setup!$C$14),Setup!$C$39:$C$50),WORKDAY(P271,-(Setup!$C$13+Setup!$G$34),Setup!$C$39:$C$50))+(266*100+15)/10000000)))</f>
        <v/>
      </c>
      <c r="AH271" t="str">
        <f t="shared" si="33"/>
        <v/>
      </c>
      <c r="AI271" t="str">
        <f t="shared" si="34"/>
        <v/>
      </c>
      <c r="AK271" t="str">
        <f ca="1">IF(266&gt;$AK$2,"",SMALL($R$6:$AF$505,266))</f>
        <v/>
      </c>
      <c r="AL271" t="str">
        <f t="shared" ca="1" si="35"/>
        <v/>
      </c>
      <c r="AM271" t="str">
        <f t="shared" ca="1" si="36"/>
        <v/>
      </c>
      <c r="AN271" t="str">
        <f t="shared" ca="1" si="37"/>
        <v/>
      </c>
      <c r="AP271" t="str">
        <f>IF(ISNUMBER(Roster!$B271),MAX(1,YEAR(Setup!$C$5)-YEAR(Roster!$B271)+IF(EDATE(Roster!$B271,12*(YEAR(Setup!$C$5)-YEAR(Roster!$B271)))&lt;Setup!$C$5,1,0)),"")</f>
        <v/>
      </c>
      <c r="AQ271" s="32" t="str">
        <f>IF(AP271="","",EDATE(Roster!$B271,12*AP271))</f>
        <v/>
      </c>
      <c r="AR271" t="str">
        <f>IF(AQ271="","",IF(AQ271&lt;DATE(YEAR(Setup!$C$5)+1,MONTH(Setup!$C$5),DAY(Setup!$C$5)),AQ271+266/1000,""))</f>
        <v/>
      </c>
      <c r="AS271" t="str">
        <f t="shared" si="38"/>
        <v/>
      </c>
      <c r="AT271" t="str">
        <f>IF(AS271="","",IF(ISNUMBER(Roster!$D271),Roster!$D271&gt;=AP271,FALSE))</f>
        <v/>
      </c>
      <c r="AU271" t="str">
        <f t="shared" si="39"/>
        <v/>
      </c>
      <c r="AV271" t="str">
        <f ca="1">IF(266&gt;$AV$2,"",SMALL($AR$6:$AR$505,266))</f>
        <v/>
      </c>
      <c r="AW271" t="str">
        <f t="shared" ca="1" si="40"/>
        <v/>
      </c>
    </row>
    <row r="272" spans="2:49" x14ac:dyDescent="0.2">
      <c r="B272" s="32" t="str">
        <f>IF(AND(ISNUMBER(Roster!$B272),Setup!$B$20="Yes",ISNUMBER(Setup!$C$20)),EDATE(Roster!$B272,12*Setup!$C$20),"")</f>
        <v/>
      </c>
      <c r="C272" s="32" t="str">
        <f>IF(AND(ISNUMBER(Roster!$B272),Setup!$B$21="Yes",ISNUMBER(Setup!$C$21)),EDATE(Roster!$B272,12*Setup!$C$21),"")</f>
        <v/>
      </c>
      <c r="D272" s="32" t="str">
        <f>IF(AND(ISNUMBER(Roster!$B272),Setup!$B$22="Yes",ISNUMBER(Setup!$C$22)),EDATE(Roster!$B272,12*Setup!$C$22),"")</f>
        <v/>
      </c>
      <c r="E272" s="32" t="str">
        <f>IF(AND(ISNUMBER(Roster!$B272),Setup!$B$23="Yes",ISNUMBER(Setup!$C$23)),EDATE(Roster!$B272,12*Setup!$C$23),"")</f>
        <v/>
      </c>
      <c r="F272" s="32" t="str">
        <f>IF(AND(ISNUMBER(Roster!$B272),Setup!$B$24="Yes",ISNUMBER(Setup!$C$24)),EDATE(Roster!$B272,12*Setup!$C$24),"")</f>
        <v/>
      </c>
      <c r="G272" s="32" t="str">
        <f>IF(AND(ISNUMBER(Roster!$B272),Setup!$B$25="Yes",ISNUMBER(Setup!$C$25)),EDATE(Roster!$B272,12*Setup!$C$25),"")</f>
        <v/>
      </c>
      <c r="H272" s="32" t="str">
        <f>IF(AND(ISNUMBER(Roster!$B272),Setup!$B$26="Yes",ISNUMBER(Setup!$C$26)),EDATE(Roster!$B272,12*Setup!$C$26),"")</f>
        <v/>
      </c>
      <c r="I272" s="32" t="str">
        <f>IF(AND(ISNUMBER(Roster!$B272),Setup!$B$27="Yes",ISNUMBER(Setup!$C$27)),EDATE(Roster!$B272,12*Setup!$C$27),"")</f>
        <v/>
      </c>
      <c r="J272" s="32" t="str">
        <f>IF(AND(ISNUMBER(Roster!$B272),Setup!$B$28="Yes",ISNUMBER(Setup!$C$28)),EDATE(Roster!$B272,12*Setup!$C$28),"")</f>
        <v/>
      </c>
      <c r="K272" s="32" t="str">
        <f>IF(AND(ISNUMBER(Roster!$B272),Setup!$B$29="Yes",ISNUMBER(Setup!$C$29)),EDATE(Roster!$B272,12*Setup!$C$29),"")</f>
        <v/>
      </c>
      <c r="L272" s="32" t="str">
        <f>IF(AND(ISNUMBER(Roster!$B272),Setup!$B$30="Yes",ISNUMBER(Setup!$C$30)),EDATE(Roster!$B272,12*Setup!$C$30),"")</f>
        <v/>
      </c>
      <c r="M272" s="32" t="str">
        <f>IF(AND(ISNUMBER(Roster!$B272),Setup!$B$31="Yes",ISNUMBER(Setup!$C$31)),EDATE(Roster!$B272,12*Setup!$C$31),"")</f>
        <v/>
      </c>
      <c r="N272" s="32" t="str">
        <f>IF(AND(ISNUMBER(Roster!$B272),Setup!$B$32="Yes",ISNUMBER(Setup!$C$32)),EDATE(Roster!$B272,12*Setup!$C$32),"")</f>
        <v/>
      </c>
      <c r="O272" s="32" t="str">
        <f>IF(AND(ISNUMBER(Roster!$B272),Setup!$B$33="Yes",ISNUMBER(Setup!$C$33)),EDATE(Roster!$B272,12*Setup!$C$33),"")</f>
        <v/>
      </c>
      <c r="P272" s="32" t="str">
        <f>IF(AND(ISNUMBER(Roster!$B272),Setup!$B$34="Yes",ISNUMBER(Setup!$C$34)),EDATE(Roster!$B272,12*Setup!$C$34),"")</f>
        <v/>
      </c>
      <c r="R272" t="str">
        <f>IF(B272="","",IF(B272&lt;Setup!$C$5-Setup!$C$6,"",IF(IF(ISNUMBER(Roster!$D272),Setup!$C$20&lt;=Roster!$D272,FALSE),"",IF(OR(IF(Setup!$C$15&lt;=Setup!$C$16,AND(MONTH(B272)&gt;=Setup!$C$15,MONTH(B272)&lt;=Setup!$C$16),OR(MONTH(B272)&gt;=Setup!$C$15,MONTH(B272)&lt;=Setup!$C$16)),IF(Setup!$C$15&lt;=Setup!$C$16,AND(MONTH(WORKDAY(B272,-(Setup!$C$13+Setup!$G$20),Setup!$C$39:$C$50))&gt;=Setup!$C$15,MONTH(WORKDAY(B272,-(Setup!$C$13+Setup!$G$20),Setup!$C$39:$C$50))&lt;=Setup!$C$16),OR(MONTH(WORKDAY(B272,-(Setup!$C$13+Setup!$G$20),Setup!$C$39:$C$50))&gt;=Setup!$C$15,MONTH(WORKDAY(B272,-(Setup!$C$13+Setup!$G$20),Setup!$C$39:$C$50))&lt;=Setup!$C$16))),WORKDAY(B272,-(Setup!$C$13+Setup!$G$20+Setup!$C$14),Setup!$C$39:$C$50),WORKDAY(B272,-(Setup!$C$13+Setup!$G$20),Setup!$C$39:$C$50))+(267*100+1)/10000000)))</f>
        <v/>
      </c>
      <c r="S272" t="str">
        <f>IF(C272="","",IF(C272&lt;Setup!$C$5-Setup!$C$6,"",IF(IF(ISNUMBER(Roster!$D272),Setup!$C$21&lt;=Roster!$D272,FALSE),"",IF(OR(IF(Setup!$C$15&lt;=Setup!$C$16,AND(MONTH(C272)&gt;=Setup!$C$15,MONTH(C272)&lt;=Setup!$C$16),OR(MONTH(C272)&gt;=Setup!$C$15,MONTH(C272)&lt;=Setup!$C$16)),IF(Setup!$C$15&lt;=Setup!$C$16,AND(MONTH(WORKDAY(C272,-(Setup!$C$13+Setup!$G$21),Setup!$C$39:$C$50))&gt;=Setup!$C$15,MONTH(WORKDAY(C272,-(Setup!$C$13+Setup!$G$21),Setup!$C$39:$C$50))&lt;=Setup!$C$16),OR(MONTH(WORKDAY(C272,-(Setup!$C$13+Setup!$G$21),Setup!$C$39:$C$50))&gt;=Setup!$C$15,MONTH(WORKDAY(C272,-(Setup!$C$13+Setup!$G$21),Setup!$C$39:$C$50))&lt;=Setup!$C$16))),WORKDAY(C272,-(Setup!$C$13+Setup!$G$21+Setup!$C$14),Setup!$C$39:$C$50),WORKDAY(C272,-(Setup!$C$13+Setup!$G$21),Setup!$C$39:$C$50))+(267*100+2)/10000000)))</f>
        <v/>
      </c>
      <c r="T272" t="str">
        <f>IF(D272="","",IF(D272&lt;Setup!$C$5-Setup!$C$6,"",IF(IF(ISNUMBER(Roster!$D272),Setup!$C$22&lt;=Roster!$D272,FALSE),"",IF(OR(IF(Setup!$C$15&lt;=Setup!$C$16,AND(MONTH(D272)&gt;=Setup!$C$15,MONTH(D272)&lt;=Setup!$C$16),OR(MONTH(D272)&gt;=Setup!$C$15,MONTH(D272)&lt;=Setup!$C$16)),IF(Setup!$C$15&lt;=Setup!$C$16,AND(MONTH(WORKDAY(D272,-(Setup!$C$13+Setup!$G$22),Setup!$C$39:$C$50))&gt;=Setup!$C$15,MONTH(WORKDAY(D272,-(Setup!$C$13+Setup!$G$22),Setup!$C$39:$C$50))&lt;=Setup!$C$16),OR(MONTH(WORKDAY(D272,-(Setup!$C$13+Setup!$G$22),Setup!$C$39:$C$50))&gt;=Setup!$C$15,MONTH(WORKDAY(D272,-(Setup!$C$13+Setup!$G$22),Setup!$C$39:$C$50))&lt;=Setup!$C$16))),WORKDAY(D272,-(Setup!$C$13+Setup!$G$22+Setup!$C$14),Setup!$C$39:$C$50),WORKDAY(D272,-(Setup!$C$13+Setup!$G$22),Setup!$C$39:$C$50))+(267*100+3)/10000000)))</f>
        <v/>
      </c>
      <c r="U272" t="str">
        <f>IF(E272="","",IF(E272&lt;Setup!$C$5-Setup!$C$6,"",IF(IF(ISNUMBER(Roster!$D272),Setup!$C$23&lt;=Roster!$D272,FALSE),"",IF(OR(IF(Setup!$C$15&lt;=Setup!$C$16,AND(MONTH(E272)&gt;=Setup!$C$15,MONTH(E272)&lt;=Setup!$C$16),OR(MONTH(E272)&gt;=Setup!$C$15,MONTH(E272)&lt;=Setup!$C$16)),IF(Setup!$C$15&lt;=Setup!$C$16,AND(MONTH(WORKDAY(E272,-(Setup!$C$13+Setup!$G$23),Setup!$C$39:$C$50))&gt;=Setup!$C$15,MONTH(WORKDAY(E272,-(Setup!$C$13+Setup!$G$23),Setup!$C$39:$C$50))&lt;=Setup!$C$16),OR(MONTH(WORKDAY(E272,-(Setup!$C$13+Setup!$G$23),Setup!$C$39:$C$50))&gt;=Setup!$C$15,MONTH(WORKDAY(E272,-(Setup!$C$13+Setup!$G$23),Setup!$C$39:$C$50))&lt;=Setup!$C$16))),WORKDAY(E272,-(Setup!$C$13+Setup!$G$23+Setup!$C$14),Setup!$C$39:$C$50),WORKDAY(E272,-(Setup!$C$13+Setup!$G$23),Setup!$C$39:$C$50))+(267*100+4)/10000000)))</f>
        <v/>
      </c>
      <c r="V272" t="str">
        <f>IF(F272="","",IF(F272&lt;Setup!$C$5-Setup!$C$6,"",IF(IF(ISNUMBER(Roster!$D272),Setup!$C$24&lt;=Roster!$D272,FALSE),"",IF(OR(IF(Setup!$C$15&lt;=Setup!$C$16,AND(MONTH(F272)&gt;=Setup!$C$15,MONTH(F272)&lt;=Setup!$C$16),OR(MONTH(F272)&gt;=Setup!$C$15,MONTH(F272)&lt;=Setup!$C$16)),IF(Setup!$C$15&lt;=Setup!$C$16,AND(MONTH(WORKDAY(F272,-(Setup!$C$13+Setup!$G$24),Setup!$C$39:$C$50))&gt;=Setup!$C$15,MONTH(WORKDAY(F272,-(Setup!$C$13+Setup!$G$24),Setup!$C$39:$C$50))&lt;=Setup!$C$16),OR(MONTH(WORKDAY(F272,-(Setup!$C$13+Setup!$G$24),Setup!$C$39:$C$50))&gt;=Setup!$C$15,MONTH(WORKDAY(F272,-(Setup!$C$13+Setup!$G$24),Setup!$C$39:$C$50))&lt;=Setup!$C$16))),WORKDAY(F272,-(Setup!$C$13+Setup!$G$24+Setup!$C$14),Setup!$C$39:$C$50),WORKDAY(F272,-(Setup!$C$13+Setup!$G$24),Setup!$C$39:$C$50))+(267*100+5)/10000000)))</f>
        <v/>
      </c>
      <c r="W272" t="str">
        <f>IF(G272="","",IF(G272&lt;Setup!$C$5-Setup!$C$6,"",IF(IF(ISNUMBER(Roster!$D272),Setup!$C$25&lt;=Roster!$D272,FALSE),"",IF(OR(IF(Setup!$C$15&lt;=Setup!$C$16,AND(MONTH(G272)&gt;=Setup!$C$15,MONTH(G272)&lt;=Setup!$C$16),OR(MONTH(G272)&gt;=Setup!$C$15,MONTH(G272)&lt;=Setup!$C$16)),IF(Setup!$C$15&lt;=Setup!$C$16,AND(MONTH(WORKDAY(G272,-(Setup!$C$13+Setup!$G$25),Setup!$C$39:$C$50))&gt;=Setup!$C$15,MONTH(WORKDAY(G272,-(Setup!$C$13+Setup!$G$25),Setup!$C$39:$C$50))&lt;=Setup!$C$16),OR(MONTH(WORKDAY(G272,-(Setup!$C$13+Setup!$G$25),Setup!$C$39:$C$50))&gt;=Setup!$C$15,MONTH(WORKDAY(G272,-(Setup!$C$13+Setup!$G$25),Setup!$C$39:$C$50))&lt;=Setup!$C$16))),WORKDAY(G272,-(Setup!$C$13+Setup!$G$25+Setup!$C$14),Setup!$C$39:$C$50),WORKDAY(G272,-(Setup!$C$13+Setup!$G$25),Setup!$C$39:$C$50))+(267*100+6)/10000000)))</f>
        <v/>
      </c>
      <c r="X272" t="str">
        <f>IF(H272="","",IF(H272&lt;Setup!$C$5-Setup!$C$6,"",IF(IF(ISNUMBER(Roster!$D272),Setup!$C$26&lt;=Roster!$D272,FALSE),"",IF(OR(IF(Setup!$C$15&lt;=Setup!$C$16,AND(MONTH(H272)&gt;=Setup!$C$15,MONTH(H272)&lt;=Setup!$C$16),OR(MONTH(H272)&gt;=Setup!$C$15,MONTH(H272)&lt;=Setup!$C$16)),IF(Setup!$C$15&lt;=Setup!$C$16,AND(MONTH(WORKDAY(H272,-(Setup!$C$13+Setup!$G$26),Setup!$C$39:$C$50))&gt;=Setup!$C$15,MONTH(WORKDAY(H272,-(Setup!$C$13+Setup!$G$26),Setup!$C$39:$C$50))&lt;=Setup!$C$16),OR(MONTH(WORKDAY(H272,-(Setup!$C$13+Setup!$G$26),Setup!$C$39:$C$50))&gt;=Setup!$C$15,MONTH(WORKDAY(H272,-(Setup!$C$13+Setup!$G$26),Setup!$C$39:$C$50))&lt;=Setup!$C$16))),WORKDAY(H272,-(Setup!$C$13+Setup!$G$26+Setup!$C$14),Setup!$C$39:$C$50),WORKDAY(H272,-(Setup!$C$13+Setup!$G$26),Setup!$C$39:$C$50))+(267*100+7)/10000000)))</f>
        <v/>
      </c>
      <c r="Y272" t="str">
        <f>IF(I272="","",IF(I272&lt;Setup!$C$5-Setup!$C$6,"",IF(IF(ISNUMBER(Roster!$D272),Setup!$C$27&lt;=Roster!$D272,FALSE),"",IF(OR(IF(Setup!$C$15&lt;=Setup!$C$16,AND(MONTH(I272)&gt;=Setup!$C$15,MONTH(I272)&lt;=Setup!$C$16),OR(MONTH(I272)&gt;=Setup!$C$15,MONTH(I272)&lt;=Setup!$C$16)),IF(Setup!$C$15&lt;=Setup!$C$16,AND(MONTH(WORKDAY(I272,-(Setup!$C$13+Setup!$G$27),Setup!$C$39:$C$50))&gt;=Setup!$C$15,MONTH(WORKDAY(I272,-(Setup!$C$13+Setup!$G$27),Setup!$C$39:$C$50))&lt;=Setup!$C$16),OR(MONTH(WORKDAY(I272,-(Setup!$C$13+Setup!$G$27),Setup!$C$39:$C$50))&gt;=Setup!$C$15,MONTH(WORKDAY(I272,-(Setup!$C$13+Setup!$G$27),Setup!$C$39:$C$50))&lt;=Setup!$C$16))),WORKDAY(I272,-(Setup!$C$13+Setup!$G$27+Setup!$C$14),Setup!$C$39:$C$50),WORKDAY(I272,-(Setup!$C$13+Setup!$G$27),Setup!$C$39:$C$50))+(267*100+8)/10000000)))</f>
        <v/>
      </c>
      <c r="Z272" t="str">
        <f>IF(J272="","",IF(J272&lt;Setup!$C$5-Setup!$C$6,"",IF(IF(ISNUMBER(Roster!$D272),Setup!$C$28&lt;=Roster!$D272,FALSE),"",IF(OR(IF(Setup!$C$15&lt;=Setup!$C$16,AND(MONTH(J272)&gt;=Setup!$C$15,MONTH(J272)&lt;=Setup!$C$16),OR(MONTH(J272)&gt;=Setup!$C$15,MONTH(J272)&lt;=Setup!$C$16)),IF(Setup!$C$15&lt;=Setup!$C$16,AND(MONTH(WORKDAY(J272,-(Setup!$C$13+Setup!$G$28),Setup!$C$39:$C$50))&gt;=Setup!$C$15,MONTH(WORKDAY(J272,-(Setup!$C$13+Setup!$G$28),Setup!$C$39:$C$50))&lt;=Setup!$C$16),OR(MONTH(WORKDAY(J272,-(Setup!$C$13+Setup!$G$28),Setup!$C$39:$C$50))&gt;=Setup!$C$15,MONTH(WORKDAY(J272,-(Setup!$C$13+Setup!$G$28),Setup!$C$39:$C$50))&lt;=Setup!$C$16))),WORKDAY(J272,-(Setup!$C$13+Setup!$G$28+Setup!$C$14),Setup!$C$39:$C$50),WORKDAY(J272,-(Setup!$C$13+Setup!$G$28),Setup!$C$39:$C$50))+(267*100+9)/10000000)))</f>
        <v/>
      </c>
      <c r="AA272" t="str">
        <f>IF(K272="","",IF(K272&lt;Setup!$C$5-Setup!$C$6,"",IF(IF(ISNUMBER(Roster!$D272),Setup!$C$29&lt;=Roster!$D272,FALSE),"",IF(OR(IF(Setup!$C$15&lt;=Setup!$C$16,AND(MONTH(K272)&gt;=Setup!$C$15,MONTH(K272)&lt;=Setup!$C$16),OR(MONTH(K272)&gt;=Setup!$C$15,MONTH(K272)&lt;=Setup!$C$16)),IF(Setup!$C$15&lt;=Setup!$C$16,AND(MONTH(WORKDAY(K272,-(Setup!$C$13+Setup!$G$29),Setup!$C$39:$C$50))&gt;=Setup!$C$15,MONTH(WORKDAY(K272,-(Setup!$C$13+Setup!$G$29),Setup!$C$39:$C$50))&lt;=Setup!$C$16),OR(MONTH(WORKDAY(K272,-(Setup!$C$13+Setup!$G$29),Setup!$C$39:$C$50))&gt;=Setup!$C$15,MONTH(WORKDAY(K272,-(Setup!$C$13+Setup!$G$29),Setup!$C$39:$C$50))&lt;=Setup!$C$16))),WORKDAY(K272,-(Setup!$C$13+Setup!$G$29+Setup!$C$14),Setup!$C$39:$C$50),WORKDAY(K272,-(Setup!$C$13+Setup!$G$29),Setup!$C$39:$C$50))+(267*100+10)/10000000)))</f>
        <v/>
      </c>
      <c r="AB272" t="str">
        <f>IF(L272="","",IF(L272&lt;Setup!$C$5-Setup!$C$6,"",IF(IF(ISNUMBER(Roster!$D272),Setup!$C$30&lt;=Roster!$D272,FALSE),"",IF(OR(IF(Setup!$C$15&lt;=Setup!$C$16,AND(MONTH(L272)&gt;=Setup!$C$15,MONTH(L272)&lt;=Setup!$C$16),OR(MONTH(L272)&gt;=Setup!$C$15,MONTH(L272)&lt;=Setup!$C$16)),IF(Setup!$C$15&lt;=Setup!$C$16,AND(MONTH(WORKDAY(L272,-(Setup!$C$13+Setup!$G$30),Setup!$C$39:$C$50))&gt;=Setup!$C$15,MONTH(WORKDAY(L272,-(Setup!$C$13+Setup!$G$30),Setup!$C$39:$C$50))&lt;=Setup!$C$16),OR(MONTH(WORKDAY(L272,-(Setup!$C$13+Setup!$G$30),Setup!$C$39:$C$50))&gt;=Setup!$C$15,MONTH(WORKDAY(L272,-(Setup!$C$13+Setup!$G$30),Setup!$C$39:$C$50))&lt;=Setup!$C$16))),WORKDAY(L272,-(Setup!$C$13+Setup!$G$30+Setup!$C$14),Setup!$C$39:$C$50),WORKDAY(L272,-(Setup!$C$13+Setup!$G$30),Setup!$C$39:$C$50))+(267*100+11)/10000000)))</f>
        <v/>
      </c>
      <c r="AC272" t="str">
        <f>IF(M272="","",IF(M272&lt;Setup!$C$5-Setup!$C$6,"",IF(IF(ISNUMBER(Roster!$D272),Setup!$C$31&lt;=Roster!$D272,FALSE),"",IF(OR(IF(Setup!$C$15&lt;=Setup!$C$16,AND(MONTH(M272)&gt;=Setup!$C$15,MONTH(M272)&lt;=Setup!$C$16),OR(MONTH(M272)&gt;=Setup!$C$15,MONTH(M272)&lt;=Setup!$C$16)),IF(Setup!$C$15&lt;=Setup!$C$16,AND(MONTH(WORKDAY(M272,-(Setup!$C$13+Setup!$G$31),Setup!$C$39:$C$50))&gt;=Setup!$C$15,MONTH(WORKDAY(M272,-(Setup!$C$13+Setup!$G$31),Setup!$C$39:$C$50))&lt;=Setup!$C$16),OR(MONTH(WORKDAY(M272,-(Setup!$C$13+Setup!$G$31),Setup!$C$39:$C$50))&gt;=Setup!$C$15,MONTH(WORKDAY(M272,-(Setup!$C$13+Setup!$G$31),Setup!$C$39:$C$50))&lt;=Setup!$C$16))),WORKDAY(M272,-(Setup!$C$13+Setup!$G$31+Setup!$C$14),Setup!$C$39:$C$50),WORKDAY(M272,-(Setup!$C$13+Setup!$G$31),Setup!$C$39:$C$50))+(267*100+12)/10000000)))</f>
        <v/>
      </c>
      <c r="AD272" t="str">
        <f>IF(N272="","",IF(N272&lt;Setup!$C$5-Setup!$C$6,"",IF(IF(ISNUMBER(Roster!$D272),Setup!$C$32&lt;=Roster!$D272,FALSE),"",IF(OR(IF(Setup!$C$15&lt;=Setup!$C$16,AND(MONTH(N272)&gt;=Setup!$C$15,MONTH(N272)&lt;=Setup!$C$16),OR(MONTH(N272)&gt;=Setup!$C$15,MONTH(N272)&lt;=Setup!$C$16)),IF(Setup!$C$15&lt;=Setup!$C$16,AND(MONTH(WORKDAY(N272,-(Setup!$C$13+Setup!$G$32),Setup!$C$39:$C$50))&gt;=Setup!$C$15,MONTH(WORKDAY(N272,-(Setup!$C$13+Setup!$G$32),Setup!$C$39:$C$50))&lt;=Setup!$C$16),OR(MONTH(WORKDAY(N272,-(Setup!$C$13+Setup!$G$32),Setup!$C$39:$C$50))&gt;=Setup!$C$15,MONTH(WORKDAY(N272,-(Setup!$C$13+Setup!$G$32),Setup!$C$39:$C$50))&lt;=Setup!$C$16))),WORKDAY(N272,-(Setup!$C$13+Setup!$G$32+Setup!$C$14),Setup!$C$39:$C$50),WORKDAY(N272,-(Setup!$C$13+Setup!$G$32),Setup!$C$39:$C$50))+(267*100+13)/10000000)))</f>
        <v/>
      </c>
      <c r="AE272" t="str">
        <f>IF(O272="","",IF(O272&lt;Setup!$C$5-Setup!$C$6,"",IF(IF(ISNUMBER(Roster!$D272),Setup!$C$33&lt;=Roster!$D272,FALSE),"",IF(OR(IF(Setup!$C$15&lt;=Setup!$C$16,AND(MONTH(O272)&gt;=Setup!$C$15,MONTH(O272)&lt;=Setup!$C$16),OR(MONTH(O272)&gt;=Setup!$C$15,MONTH(O272)&lt;=Setup!$C$16)),IF(Setup!$C$15&lt;=Setup!$C$16,AND(MONTH(WORKDAY(O272,-(Setup!$C$13+Setup!$G$33),Setup!$C$39:$C$50))&gt;=Setup!$C$15,MONTH(WORKDAY(O272,-(Setup!$C$13+Setup!$G$33),Setup!$C$39:$C$50))&lt;=Setup!$C$16),OR(MONTH(WORKDAY(O272,-(Setup!$C$13+Setup!$G$33),Setup!$C$39:$C$50))&gt;=Setup!$C$15,MONTH(WORKDAY(O272,-(Setup!$C$13+Setup!$G$33),Setup!$C$39:$C$50))&lt;=Setup!$C$16))),WORKDAY(O272,-(Setup!$C$13+Setup!$G$33+Setup!$C$14),Setup!$C$39:$C$50),WORKDAY(O272,-(Setup!$C$13+Setup!$G$33),Setup!$C$39:$C$50))+(267*100+14)/10000000)))</f>
        <v/>
      </c>
      <c r="AF272" t="str">
        <f>IF(P272="","",IF(P272&lt;Setup!$C$5-Setup!$C$6,"",IF(IF(ISNUMBER(Roster!$D272),Setup!$C$34&lt;=Roster!$D272,FALSE),"",IF(OR(IF(Setup!$C$15&lt;=Setup!$C$16,AND(MONTH(P272)&gt;=Setup!$C$15,MONTH(P272)&lt;=Setup!$C$16),OR(MONTH(P272)&gt;=Setup!$C$15,MONTH(P272)&lt;=Setup!$C$16)),IF(Setup!$C$15&lt;=Setup!$C$16,AND(MONTH(WORKDAY(P272,-(Setup!$C$13+Setup!$G$34),Setup!$C$39:$C$50))&gt;=Setup!$C$15,MONTH(WORKDAY(P272,-(Setup!$C$13+Setup!$G$34),Setup!$C$39:$C$50))&lt;=Setup!$C$16),OR(MONTH(WORKDAY(P272,-(Setup!$C$13+Setup!$G$34),Setup!$C$39:$C$50))&gt;=Setup!$C$15,MONTH(WORKDAY(P272,-(Setup!$C$13+Setup!$G$34),Setup!$C$39:$C$50))&lt;=Setup!$C$16))),WORKDAY(P272,-(Setup!$C$13+Setup!$G$34+Setup!$C$14),Setup!$C$39:$C$50),WORKDAY(P272,-(Setup!$C$13+Setup!$G$34),Setup!$C$39:$C$50))+(267*100+15)/10000000)))</f>
        <v/>
      </c>
      <c r="AH272" t="str">
        <f t="shared" si="33"/>
        <v/>
      </c>
      <c r="AI272" t="str">
        <f t="shared" si="34"/>
        <v/>
      </c>
      <c r="AK272" t="str">
        <f ca="1">IF(267&gt;$AK$2,"",SMALL($R$6:$AF$505,267))</f>
        <v/>
      </c>
      <c r="AL272" t="str">
        <f t="shared" ca="1" si="35"/>
        <v/>
      </c>
      <c r="AM272" t="str">
        <f t="shared" ca="1" si="36"/>
        <v/>
      </c>
      <c r="AN272" t="str">
        <f t="shared" ca="1" si="37"/>
        <v/>
      </c>
      <c r="AP272" t="str">
        <f>IF(ISNUMBER(Roster!$B272),MAX(1,YEAR(Setup!$C$5)-YEAR(Roster!$B272)+IF(EDATE(Roster!$B272,12*(YEAR(Setup!$C$5)-YEAR(Roster!$B272)))&lt;Setup!$C$5,1,0)),"")</f>
        <v/>
      </c>
      <c r="AQ272" s="32" t="str">
        <f>IF(AP272="","",EDATE(Roster!$B272,12*AP272))</f>
        <v/>
      </c>
      <c r="AR272" t="str">
        <f>IF(AQ272="","",IF(AQ272&lt;DATE(YEAR(Setup!$C$5)+1,MONTH(Setup!$C$5),DAY(Setup!$C$5)),AQ272+267/1000,""))</f>
        <v/>
      </c>
      <c r="AS272" t="str">
        <f t="shared" si="38"/>
        <v/>
      </c>
      <c r="AT272" t="str">
        <f>IF(AS272="","",IF(ISNUMBER(Roster!$D272),Roster!$D272&gt;=AP272,FALSE))</f>
        <v/>
      </c>
      <c r="AU272" t="str">
        <f t="shared" si="39"/>
        <v/>
      </c>
      <c r="AV272" t="str">
        <f ca="1">IF(267&gt;$AV$2,"",SMALL($AR$6:$AR$505,267))</f>
        <v/>
      </c>
      <c r="AW272" t="str">
        <f t="shared" ca="1" si="40"/>
        <v/>
      </c>
    </row>
    <row r="273" spans="2:49" x14ac:dyDescent="0.2">
      <c r="B273" s="32" t="str">
        <f>IF(AND(ISNUMBER(Roster!$B273),Setup!$B$20="Yes",ISNUMBER(Setup!$C$20)),EDATE(Roster!$B273,12*Setup!$C$20),"")</f>
        <v/>
      </c>
      <c r="C273" s="32" t="str">
        <f>IF(AND(ISNUMBER(Roster!$B273),Setup!$B$21="Yes",ISNUMBER(Setup!$C$21)),EDATE(Roster!$B273,12*Setup!$C$21),"")</f>
        <v/>
      </c>
      <c r="D273" s="32" t="str">
        <f>IF(AND(ISNUMBER(Roster!$B273),Setup!$B$22="Yes",ISNUMBER(Setup!$C$22)),EDATE(Roster!$B273,12*Setup!$C$22),"")</f>
        <v/>
      </c>
      <c r="E273" s="32" t="str">
        <f>IF(AND(ISNUMBER(Roster!$B273),Setup!$B$23="Yes",ISNUMBER(Setup!$C$23)),EDATE(Roster!$B273,12*Setup!$C$23),"")</f>
        <v/>
      </c>
      <c r="F273" s="32" t="str">
        <f>IF(AND(ISNUMBER(Roster!$B273),Setup!$B$24="Yes",ISNUMBER(Setup!$C$24)),EDATE(Roster!$B273,12*Setup!$C$24),"")</f>
        <v/>
      </c>
      <c r="G273" s="32" t="str">
        <f>IF(AND(ISNUMBER(Roster!$B273),Setup!$B$25="Yes",ISNUMBER(Setup!$C$25)),EDATE(Roster!$B273,12*Setup!$C$25),"")</f>
        <v/>
      </c>
      <c r="H273" s="32" t="str">
        <f>IF(AND(ISNUMBER(Roster!$B273),Setup!$B$26="Yes",ISNUMBER(Setup!$C$26)),EDATE(Roster!$B273,12*Setup!$C$26),"")</f>
        <v/>
      </c>
      <c r="I273" s="32" t="str">
        <f>IF(AND(ISNUMBER(Roster!$B273),Setup!$B$27="Yes",ISNUMBER(Setup!$C$27)),EDATE(Roster!$B273,12*Setup!$C$27),"")</f>
        <v/>
      </c>
      <c r="J273" s="32" t="str">
        <f>IF(AND(ISNUMBER(Roster!$B273),Setup!$B$28="Yes",ISNUMBER(Setup!$C$28)),EDATE(Roster!$B273,12*Setup!$C$28),"")</f>
        <v/>
      </c>
      <c r="K273" s="32" t="str">
        <f>IF(AND(ISNUMBER(Roster!$B273),Setup!$B$29="Yes",ISNUMBER(Setup!$C$29)),EDATE(Roster!$B273,12*Setup!$C$29),"")</f>
        <v/>
      </c>
      <c r="L273" s="32" t="str">
        <f>IF(AND(ISNUMBER(Roster!$B273),Setup!$B$30="Yes",ISNUMBER(Setup!$C$30)),EDATE(Roster!$B273,12*Setup!$C$30),"")</f>
        <v/>
      </c>
      <c r="M273" s="32" t="str">
        <f>IF(AND(ISNUMBER(Roster!$B273),Setup!$B$31="Yes",ISNUMBER(Setup!$C$31)),EDATE(Roster!$B273,12*Setup!$C$31),"")</f>
        <v/>
      </c>
      <c r="N273" s="32" t="str">
        <f>IF(AND(ISNUMBER(Roster!$B273),Setup!$B$32="Yes",ISNUMBER(Setup!$C$32)),EDATE(Roster!$B273,12*Setup!$C$32),"")</f>
        <v/>
      </c>
      <c r="O273" s="32" t="str">
        <f>IF(AND(ISNUMBER(Roster!$B273),Setup!$B$33="Yes",ISNUMBER(Setup!$C$33)),EDATE(Roster!$B273,12*Setup!$C$33),"")</f>
        <v/>
      </c>
      <c r="P273" s="32" t="str">
        <f>IF(AND(ISNUMBER(Roster!$B273),Setup!$B$34="Yes",ISNUMBER(Setup!$C$34)),EDATE(Roster!$B273,12*Setup!$C$34),"")</f>
        <v/>
      </c>
      <c r="R273" t="str">
        <f>IF(B273="","",IF(B273&lt;Setup!$C$5-Setup!$C$6,"",IF(IF(ISNUMBER(Roster!$D273),Setup!$C$20&lt;=Roster!$D273,FALSE),"",IF(OR(IF(Setup!$C$15&lt;=Setup!$C$16,AND(MONTH(B273)&gt;=Setup!$C$15,MONTH(B273)&lt;=Setup!$C$16),OR(MONTH(B273)&gt;=Setup!$C$15,MONTH(B273)&lt;=Setup!$C$16)),IF(Setup!$C$15&lt;=Setup!$C$16,AND(MONTH(WORKDAY(B273,-(Setup!$C$13+Setup!$G$20),Setup!$C$39:$C$50))&gt;=Setup!$C$15,MONTH(WORKDAY(B273,-(Setup!$C$13+Setup!$G$20),Setup!$C$39:$C$50))&lt;=Setup!$C$16),OR(MONTH(WORKDAY(B273,-(Setup!$C$13+Setup!$G$20),Setup!$C$39:$C$50))&gt;=Setup!$C$15,MONTH(WORKDAY(B273,-(Setup!$C$13+Setup!$G$20),Setup!$C$39:$C$50))&lt;=Setup!$C$16))),WORKDAY(B273,-(Setup!$C$13+Setup!$G$20+Setup!$C$14),Setup!$C$39:$C$50),WORKDAY(B273,-(Setup!$C$13+Setup!$G$20),Setup!$C$39:$C$50))+(268*100+1)/10000000)))</f>
        <v/>
      </c>
      <c r="S273" t="str">
        <f>IF(C273="","",IF(C273&lt;Setup!$C$5-Setup!$C$6,"",IF(IF(ISNUMBER(Roster!$D273),Setup!$C$21&lt;=Roster!$D273,FALSE),"",IF(OR(IF(Setup!$C$15&lt;=Setup!$C$16,AND(MONTH(C273)&gt;=Setup!$C$15,MONTH(C273)&lt;=Setup!$C$16),OR(MONTH(C273)&gt;=Setup!$C$15,MONTH(C273)&lt;=Setup!$C$16)),IF(Setup!$C$15&lt;=Setup!$C$16,AND(MONTH(WORKDAY(C273,-(Setup!$C$13+Setup!$G$21),Setup!$C$39:$C$50))&gt;=Setup!$C$15,MONTH(WORKDAY(C273,-(Setup!$C$13+Setup!$G$21),Setup!$C$39:$C$50))&lt;=Setup!$C$16),OR(MONTH(WORKDAY(C273,-(Setup!$C$13+Setup!$G$21),Setup!$C$39:$C$50))&gt;=Setup!$C$15,MONTH(WORKDAY(C273,-(Setup!$C$13+Setup!$G$21),Setup!$C$39:$C$50))&lt;=Setup!$C$16))),WORKDAY(C273,-(Setup!$C$13+Setup!$G$21+Setup!$C$14),Setup!$C$39:$C$50),WORKDAY(C273,-(Setup!$C$13+Setup!$G$21),Setup!$C$39:$C$50))+(268*100+2)/10000000)))</f>
        <v/>
      </c>
      <c r="T273" t="str">
        <f>IF(D273="","",IF(D273&lt;Setup!$C$5-Setup!$C$6,"",IF(IF(ISNUMBER(Roster!$D273),Setup!$C$22&lt;=Roster!$D273,FALSE),"",IF(OR(IF(Setup!$C$15&lt;=Setup!$C$16,AND(MONTH(D273)&gt;=Setup!$C$15,MONTH(D273)&lt;=Setup!$C$16),OR(MONTH(D273)&gt;=Setup!$C$15,MONTH(D273)&lt;=Setup!$C$16)),IF(Setup!$C$15&lt;=Setup!$C$16,AND(MONTH(WORKDAY(D273,-(Setup!$C$13+Setup!$G$22),Setup!$C$39:$C$50))&gt;=Setup!$C$15,MONTH(WORKDAY(D273,-(Setup!$C$13+Setup!$G$22),Setup!$C$39:$C$50))&lt;=Setup!$C$16),OR(MONTH(WORKDAY(D273,-(Setup!$C$13+Setup!$G$22),Setup!$C$39:$C$50))&gt;=Setup!$C$15,MONTH(WORKDAY(D273,-(Setup!$C$13+Setup!$G$22),Setup!$C$39:$C$50))&lt;=Setup!$C$16))),WORKDAY(D273,-(Setup!$C$13+Setup!$G$22+Setup!$C$14),Setup!$C$39:$C$50),WORKDAY(D273,-(Setup!$C$13+Setup!$G$22),Setup!$C$39:$C$50))+(268*100+3)/10000000)))</f>
        <v/>
      </c>
      <c r="U273" t="str">
        <f>IF(E273="","",IF(E273&lt;Setup!$C$5-Setup!$C$6,"",IF(IF(ISNUMBER(Roster!$D273),Setup!$C$23&lt;=Roster!$D273,FALSE),"",IF(OR(IF(Setup!$C$15&lt;=Setup!$C$16,AND(MONTH(E273)&gt;=Setup!$C$15,MONTH(E273)&lt;=Setup!$C$16),OR(MONTH(E273)&gt;=Setup!$C$15,MONTH(E273)&lt;=Setup!$C$16)),IF(Setup!$C$15&lt;=Setup!$C$16,AND(MONTH(WORKDAY(E273,-(Setup!$C$13+Setup!$G$23),Setup!$C$39:$C$50))&gt;=Setup!$C$15,MONTH(WORKDAY(E273,-(Setup!$C$13+Setup!$G$23),Setup!$C$39:$C$50))&lt;=Setup!$C$16),OR(MONTH(WORKDAY(E273,-(Setup!$C$13+Setup!$G$23),Setup!$C$39:$C$50))&gt;=Setup!$C$15,MONTH(WORKDAY(E273,-(Setup!$C$13+Setup!$G$23),Setup!$C$39:$C$50))&lt;=Setup!$C$16))),WORKDAY(E273,-(Setup!$C$13+Setup!$G$23+Setup!$C$14),Setup!$C$39:$C$50),WORKDAY(E273,-(Setup!$C$13+Setup!$G$23),Setup!$C$39:$C$50))+(268*100+4)/10000000)))</f>
        <v/>
      </c>
      <c r="V273" t="str">
        <f>IF(F273="","",IF(F273&lt;Setup!$C$5-Setup!$C$6,"",IF(IF(ISNUMBER(Roster!$D273),Setup!$C$24&lt;=Roster!$D273,FALSE),"",IF(OR(IF(Setup!$C$15&lt;=Setup!$C$16,AND(MONTH(F273)&gt;=Setup!$C$15,MONTH(F273)&lt;=Setup!$C$16),OR(MONTH(F273)&gt;=Setup!$C$15,MONTH(F273)&lt;=Setup!$C$16)),IF(Setup!$C$15&lt;=Setup!$C$16,AND(MONTH(WORKDAY(F273,-(Setup!$C$13+Setup!$G$24),Setup!$C$39:$C$50))&gt;=Setup!$C$15,MONTH(WORKDAY(F273,-(Setup!$C$13+Setup!$G$24),Setup!$C$39:$C$50))&lt;=Setup!$C$16),OR(MONTH(WORKDAY(F273,-(Setup!$C$13+Setup!$G$24),Setup!$C$39:$C$50))&gt;=Setup!$C$15,MONTH(WORKDAY(F273,-(Setup!$C$13+Setup!$G$24),Setup!$C$39:$C$50))&lt;=Setup!$C$16))),WORKDAY(F273,-(Setup!$C$13+Setup!$G$24+Setup!$C$14),Setup!$C$39:$C$50),WORKDAY(F273,-(Setup!$C$13+Setup!$G$24),Setup!$C$39:$C$50))+(268*100+5)/10000000)))</f>
        <v/>
      </c>
      <c r="W273" t="str">
        <f>IF(G273="","",IF(G273&lt;Setup!$C$5-Setup!$C$6,"",IF(IF(ISNUMBER(Roster!$D273),Setup!$C$25&lt;=Roster!$D273,FALSE),"",IF(OR(IF(Setup!$C$15&lt;=Setup!$C$16,AND(MONTH(G273)&gt;=Setup!$C$15,MONTH(G273)&lt;=Setup!$C$16),OR(MONTH(G273)&gt;=Setup!$C$15,MONTH(G273)&lt;=Setup!$C$16)),IF(Setup!$C$15&lt;=Setup!$C$16,AND(MONTH(WORKDAY(G273,-(Setup!$C$13+Setup!$G$25),Setup!$C$39:$C$50))&gt;=Setup!$C$15,MONTH(WORKDAY(G273,-(Setup!$C$13+Setup!$G$25),Setup!$C$39:$C$50))&lt;=Setup!$C$16),OR(MONTH(WORKDAY(G273,-(Setup!$C$13+Setup!$G$25),Setup!$C$39:$C$50))&gt;=Setup!$C$15,MONTH(WORKDAY(G273,-(Setup!$C$13+Setup!$G$25),Setup!$C$39:$C$50))&lt;=Setup!$C$16))),WORKDAY(G273,-(Setup!$C$13+Setup!$G$25+Setup!$C$14),Setup!$C$39:$C$50),WORKDAY(G273,-(Setup!$C$13+Setup!$G$25),Setup!$C$39:$C$50))+(268*100+6)/10000000)))</f>
        <v/>
      </c>
      <c r="X273" t="str">
        <f>IF(H273="","",IF(H273&lt;Setup!$C$5-Setup!$C$6,"",IF(IF(ISNUMBER(Roster!$D273),Setup!$C$26&lt;=Roster!$D273,FALSE),"",IF(OR(IF(Setup!$C$15&lt;=Setup!$C$16,AND(MONTH(H273)&gt;=Setup!$C$15,MONTH(H273)&lt;=Setup!$C$16),OR(MONTH(H273)&gt;=Setup!$C$15,MONTH(H273)&lt;=Setup!$C$16)),IF(Setup!$C$15&lt;=Setup!$C$16,AND(MONTH(WORKDAY(H273,-(Setup!$C$13+Setup!$G$26),Setup!$C$39:$C$50))&gt;=Setup!$C$15,MONTH(WORKDAY(H273,-(Setup!$C$13+Setup!$G$26),Setup!$C$39:$C$50))&lt;=Setup!$C$16),OR(MONTH(WORKDAY(H273,-(Setup!$C$13+Setup!$G$26),Setup!$C$39:$C$50))&gt;=Setup!$C$15,MONTH(WORKDAY(H273,-(Setup!$C$13+Setup!$G$26),Setup!$C$39:$C$50))&lt;=Setup!$C$16))),WORKDAY(H273,-(Setup!$C$13+Setup!$G$26+Setup!$C$14),Setup!$C$39:$C$50),WORKDAY(H273,-(Setup!$C$13+Setup!$G$26),Setup!$C$39:$C$50))+(268*100+7)/10000000)))</f>
        <v/>
      </c>
      <c r="Y273" t="str">
        <f>IF(I273="","",IF(I273&lt;Setup!$C$5-Setup!$C$6,"",IF(IF(ISNUMBER(Roster!$D273),Setup!$C$27&lt;=Roster!$D273,FALSE),"",IF(OR(IF(Setup!$C$15&lt;=Setup!$C$16,AND(MONTH(I273)&gt;=Setup!$C$15,MONTH(I273)&lt;=Setup!$C$16),OR(MONTH(I273)&gt;=Setup!$C$15,MONTH(I273)&lt;=Setup!$C$16)),IF(Setup!$C$15&lt;=Setup!$C$16,AND(MONTH(WORKDAY(I273,-(Setup!$C$13+Setup!$G$27),Setup!$C$39:$C$50))&gt;=Setup!$C$15,MONTH(WORKDAY(I273,-(Setup!$C$13+Setup!$G$27),Setup!$C$39:$C$50))&lt;=Setup!$C$16),OR(MONTH(WORKDAY(I273,-(Setup!$C$13+Setup!$G$27),Setup!$C$39:$C$50))&gt;=Setup!$C$15,MONTH(WORKDAY(I273,-(Setup!$C$13+Setup!$G$27),Setup!$C$39:$C$50))&lt;=Setup!$C$16))),WORKDAY(I273,-(Setup!$C$13+Setup!$G$27+Setup!$C$14),Setup!$C$39:$C$50),WORKDAY(I273,-(Setup!$C$13+Setup!$G$27),Setup!$C$39:$C$50))+(268*100+8)/10000000)))</f>
        <v/>
      </c>
      <c r="Z273" t="str">
        <f>IF(J273="","",IF(J273&lt;Setup!$C$5-Setup!$C$6,"",IF(IF(ISNUMBER(Roster!$D273),Setup!$C$28&lt;=Roster!$D273,FALSE),"",IF(OR(IF(Setup!$C$15&lt;=Setup!$C$16,AND(MONTH(J273)&gt;=Setup!$C$15,MONTH(J273)&lt;=Setup!$C$16),OR(MONTH(J273)&gt;=Setup!$C$15,MONTH(J273)&lt;=Setup!$C$16)),IF(Setup!$C$15&lt;=Setup!$C$16,AND(MONTH(WORKDAY(J273,-(Setup!$C$13+Setup!$G$28),Setup!$C$39:$C$50))&gt;=Setup!$C$15,MONTH(WORKDAY(J273,-(Setup!$C$13+Setup!$G$28),Setup!$C$39:$C$50))&lt;=Setup!$C$16),OR(MONTH(WORKDAY(J273,-(Setup!$C$13+Setup!$G$28),Setup!$C$39:$C$50))&gt;=Setup!$C$15,MONTH(WORKDAY(J273,-(Setup!$C$13+Setup!$G$28),Setup!$C$39:$C$50))&lt;=Setup!$C$16))),WORKDAY(J273,-(Setup!$C$13+Setup!$G$28+Setup!$C$14),Setup!$C$39:$C$50),WORKDAY(J273,-(Setup!$C$13+Setup!$G$28),Setup!$C$39:$C$50))+(268*100+9)/10000000)))</f>
        <v/>
      </c>
      <c r="AA273" t="str">
        <f>IF(K273="","",IF(K273&lt;Setup!$C$5-Setup!$C$6,"",IF(IF(ISNUMBER(Roster!$D273),Setup!$C$29&lt;=Roster!$D273,FALSE),"",IF(OR(IF(Setup!$C$15&lt;=Setup!$C$16,AND(MONTH(K273)&gt;=Setup!$C$15,MONTH(K273)&lt;=Setup!$C$16),OR(MONTH(K273)&gt;=Setup!$C$15,MONTH(K273)&lt;=Setup!$C$16)),IF(Setup!$C$15&lt;=Setup!$C$16,AND(MONTH(WORKDAY(K273,-(Setup!$C$13+Setup!$G$29),Setup!$C$39:$C$50))&gt;=Setup!$C$15,MONTH(WORKDAY(K273,-(Setup!$C$13+Setup!$G$29),Setup!$C$39:$C$50))&lt;=Setup!$C$16),OR(MONTH(WORKDAY(K273,-(Setup!$C$13+Setup!$G$29),Setup!$C$39:$C$50))&gt;=Setup!$C$15,MONTH(WORKDAY(K273,-(Setup!$C$13+Setup!$G$29),Setup!$C$39:$C$50))&lt;=Setup!$C$16))),WORKDAY(K273,-(Setup!$C$13+Setup!$G$29+Setup!$C$14),Setup!$C$39:$C$50),WORKDAY(K273,-(Setup!$C$13+Setup!$G$29),Setup!$C$39:$C$50))+(268*100+10)/10000000)))</f>
        <v/>
      </c>
      <c r="AB273" t="str">
        <f>IF(L273="","",IF(L273&lt;Setup!$C$5-Setup!$C$6,"",IF(IF(ISNUMBER(Roster!$D273),Setup!$C$30&lt;=Roster!$D273,FALSE),"",IF(OR(IF(Setup!$C$15&lt;=Setup!$C$16,AND(MONTH(L273)&gt;=Setup!$C$15,MONTH(L273)&lt;=Setup!$C$16),OR(MONTH(L273)&gt;=Setup!$C$15,MONTH(L273)&lt;=Setup!$C$16)),IF(Setup!$C$15&lt;=Setup!$C$16,AND(MONTH(WORKDAY(L273,-(Setup!$C$13+Setup!$G$30),Setup!$C$39:$C$50))&gt;=Setup!$C$15,MONTH(WORKDAY(L273,-(Setup!$C$13+Setup!$G$30),Setup!$C$39:$C$50))&lt;=Setup!$C$16),OR(MONTH(WORKDAY(L273,-(Setup!$C$13+Setup!$G$30),Setup!$C$39:$C$50))&gt;=Setup!$C$15,MONTH(WORKDAY(L273,-(Setup!$C$13+Setup!$G$30),Setup!$C$39:$C$50))&lt;=Setup!$C$16))),WORKDAY(L273,-(Setup!$C$13+Setup!$G$30+Setup!$C$14),Setup!$C$39:$C$50),WORKDAY(L273,-(Setup!$C$13+Setup!$G$30),Setup!$C$39:$C$50))+(268*100+11)/10000000)))</f>
        <v/>
      </c>
      <c r="AC273" t="str">
        <f>IF(M273="","",IF(M273&lt;Setup!$C$5-Setup!$C$6,"",IF(IF(ISNUMBER(Roster!$D273),Setup!$C$31&lt;=Roster!$D273,FALSE),"",IF(OR(IF(Setup!$C$15&lt;=Setup!$C$16,AND(MONTH(M273)&gt;=Setup!$C$15,MONTH(M273)&lt;=Setup!$C$16),OR(MONTH(M273)&gt;=Setup!$C$15,MONTH(M273)&lt;=Setup!$C$16)),IF(Setup!$C$15&lt;=Setup!$C$16,AND(MONTH(WORKDAY(M273,-(Setup!$C$13+Setup!$G$31),Setup!$C$39:$C$50))&gt;=Setup!$C$15,MONTH(WORKDAY(M273,-(Setup!$C$13+Setup!$G$31),Setup!$C$39:$C$50))&lt;=Setup!$C$16),OR(MONTH(WORKDAY(M273,-(Setup!$C$13+Setup!$G$31),Setup!$C$39:$C$50))&gt;=Setup!$C$15,MONTH(WORKDAY(M273,-(Setup!$C$13+Setup!$G$31),Setup!$C$39:$C$50))&lt;=Setup!$C$16))),WORKDAY(M273,-(Setup!$C$13+Setup!$G$31+Setup!$C$14),Setup!$C$39:$C$50),WORKDAY(M273,-(Setup!$C$13+Setup!$G$31),Setup!$C$39:$C$50))+(268*100+12)/10000000)))</f>
        <v/>
      </c>
      <c r="AD273" t="str">
        <f>IF(N273="","",IF(N273&lt;Setup!$C$5-Setup!$C$6,"",IF(IF(ISNUMBER(Roster!$D273),Setup!$C$32&lt;=Roster!$D273,FALSE),"",IF(OR(IF(Setup!$C$15&lt;=Setup!$C$16,AND(MONTH(N273)&gt;=Setup!$C$15,MONTH(N273)&lt;=Setup!$C$16),OR(MONTH(N273)&gt;=Setup!$C$15,MONTH(N273)&lt;=Setup!$C$16)),IF(Setup!$C$15&lt;=Setup!$C$16,AND(MONTH(WORKDAY(N273,-(Setup!$C$13+Setup!$G$32),Setup!$C$39:$C$50))&gt;=Setup!$C$15,MONTH(WORKDAY(N273,-(Setup!$C$13+Setup!$G$32),Setup!$C$39:$C$50))&lt;=Setup!$C$16),OR(MONTH(WORKDAY(N273,-(Setup!$C$13+Setup!$G$32),Setup!$C$39:$C$50))&gt;=Setup!$C$15,MONTH(WORKDAY(N273,-(Setup!$C$13+Setup!$G$32),Setup!$C$39:$C$50))&lt;=Setup!$C$16))),WORKDAY(N273,-(Setup!$C$13+Setup!$G$32+Setup!$C$14),Setup!$C$39:$C$50),WORKDAY(N273,-(Setup!$C$13+Setup!$G$32),Setup!$C$39:$C$50))+(268*100+13)/10000000)))</f>
        <v/>
      </c>
      <c r="AE273" t="str">
        <f>IF(O273="","",IF(O273&lt;Setup!$C$5-Setup!$C$6,"",IF(IF(ISNUMBER(Roster!$D273),Setup!$C$33&lt;=Roster!$D273,FALSE),"",IF(OR(IF(Setup!$C$15&lt;=Setup!$C$16,AND(MONTH(O273)&gt;=Setup!$C$15,MONTH(O273)&lt;=Setup!$C$16),OR(MONTH(O273)&gt;=Setup!$C$15,MONTH(O273)&lt;=Setup!$C$16)),IF(Setup!$C$15&lt;=Setup!$C$16,AND(MONTH(WORKDAY(O273,-(Setup!$C$13+Setup!$G$33),Setup!$C$39:$C$50))&gt;=Setup!$C$15,MONTH(WORKDAY(O273,-(Setup!$C$13+Setup!$G$33),Setup!$C$39:$C$50))&lt;=Setup!$C$16),OR(MONTH(WORKDAY(O273,-(Setup!$C$13+Setup!$G$33),Setup!$C$39:$C$50))&gt;=Setup!$C$15,MONTH(WORKDAY(O273,-(Setup!$C$13+Setup!$G$33),Setup!$C$39:$C$50))&lt;=Setup!$C$16))),WORKDAY(O273,-(Setup!$C$13+Setup!$G$33+Setup!$C$14),Setup!$C$39:$C$50),WORKDAY(O273,-(Setup!$C$13+Setup!$G$33),Setup!$C$39:$C$50))+(268*100+14)/10000000)))</f>
        <v/>
      </c>
      <c r="AF273" t="str">
        <f>IF(P273="","",IF(P273&lt;Setup!$C$5-Setup!$C$6,"",IF(IF(ISNUMBER(Roster!$D273),Setup!$C$34&lt;=Roster!$D273,FALSE),"",IF(OR(IF(Setup!$C$15&lt;=Setup!$C$16,AND(MONTH(P273)&gt;=Setup!$C$15,MONTH(P273)&lt;=Setup!$C$16),OR(MONTH(P273)&gt;=Setup!$C$15,MONTH(P273)&lt;=Setup!$C$16)),IF(Setup!$C$15&lt;=Setup!$C$16,AND(MONTH(WORKDAY(P273,-(Setup!$C$13+Setup!$G$34),Setup!$C$39:$C$50))&gt;=Setup!$C$15,MONTH(WORKDAY(P273,-(Setup!$C$13+Setup!$G$34),Setup!$C$39:$C$50))&lt;=Setup!$C$16),OR(MONTH(WORKDAY(P273,-(Setup!$C$13+Setup!$G$34),Setup!$C$39:$C$50))&gt;=Setup!$C$15,MONTH(WORKDAY(P273,-(Setup!$C$13+Setup!$G$34),Setup!$C$39:$C$50))&lt;=Setup!$C$16))),WORKDAY(P273,-(Setup!$C$13+Setup!$G$34+Setup!$C$14),Setup!$C$39:$C$50),WORKDAY(P273,-(Setup!$C$13+Setup!$G$34),Setup!$C$39:$C$50))+(268*100+15)/10000000)))</f>
        <v/>
      </c>
      <c r="AH273" t="str">
        <f t="shared" si="33"/>
        <v/>
      </c>
      <c r="AI273" t="str">
        <f t="shared" si="34"/>
        <v/>
      </c>
      <c r="AK273" t="str">
        <f ca="1">IF(268&gt;$AK$2,"",SMALL($R$6:$AF$505,268))</f>
        <v/>
      </c>
      <c r="AL273" t="str">
        <f t="shared" ca="1" si="35"/>
        <v/>
      </c>
      <c r="AM273" t="str">
        <f t="shared" ca="1" si="36"/>
        <v/>
      </c>
      <c r="AN273" t="str">
        <f t="shared" ca="1" si="37"/>
        <v/>
      </c>
      <c r="AP273" t="str">
        <f>IF(ISNUMBER(Roster!$B273),MAX(1,YEAR(Setup!$C$5)-YEAR(Roster!$B273)+IF(EDATE(Roster!$B273,12*(YEAR(Setup!$C$5)-YEAR(Roster!$B273)))&lt;Setup!$C$5,1,0)),"")</f>
        <v/>
      </c>
      <c r="AQ273" s="32" t="str">
        <f>IF(AP273="","",EDATE(Roster!$B273,12*AP273))</f>
        <v/>
      </c>
      <c r="AR273" t="str">
        <f>IF(AQ273="","",IF(AQ273&lt;DATE(YEAR(Setup!$C$5)+1,MONTH(Setup!$C$5),DAY(Setup!$C$5)),AQ273+268/1000,""))</f>
        <v/>
      </c>
      <c r="AS273" t="str">
        <f t="shared" si="38"/>
        <v/>
      </c>
      <c r="AT273" t="str">
        <f>IF(AS273="","",IF(ISNUMBER(Roster!$D273),Roster!$D273&gt;=AP273,FALSE))</f>
        <v/>
      </c>
      <c r="AU273" t="str">
        <f t="shared" si="39"/>
        <v/>
      </c>
      <c r="AV273" t="str">
        <f ca="1">IF(268&gt;$AV$2,"",SMALL($AR$6:$AR$505,268))</f>
        <v/>
      </c>
      <c r="AW273" t="str">
        <f t="shared" ca="1" si="40"/>
        <v/>
      </c>
    </row>
    <row r="274" spans="2:49" x14ac:dyDescent="0.2">
      <c r="B274" s="32" t="str">
        <f>IF(AND(ISNUMBER(Roster!$B274),Setup!$B$20="Yes",ISNUMBER(Setup!$C$20)),EDATE(Roster!$B274,12*Setup!$C$20),"")</f>
        <v/>
      </c>
      <c r="C274" s="32" t="str">
        <f>IF(AND(ISNUMBER(Roster!$B274),Setup!$B$21="Yes",ISNUMBER(Setup!$C$21)),EDATE(Roster!$B274,12*Setup!$C$21),"")</f>
        <v/>
      </c>
      <c r="D274" s="32" t="str">
        <f>IF(AND(ISNUMBER(Roster!$B274),Setup!$B$22="Yes",ISNUMBER(Setup!$C$22)),EDATE(Roster!$B274,12*Setup!$C$22),"")</f>
        <v/>
      </c>
      <c r="E274" s="32" t="str">
        <f>IF(AND(ISNUMBER(Roster!$B274),Setup!$B$23="Yes",ISNUMBER(Setup!$C$23)),EDATE(Roster!$B274,12*Setup!$C$23),"")</f>
        <v/>
      </c>
      <c r="F274" s="32" t="str">
        <f>IF(AND(ISNUMBER(Roster!$B274),Setup!$B$24="Yes",ISNUMBER(Setup!$C$24)),EDATE(Roster!$B274,12*Setup!$C$24),"")</f>
        <v/>
      </c>
      <c r="G274" s="32" t="str">
        <f>IF(AND(ISNUMBER(Roster!$B274),Setup!$B$25="Yes",ISNUMBER(Setup!$C$25)),EDATE(Roster!$B274,12*Setup!$C$25),"")</f>
        <v/>
      </c>
      <c r="H274" s="32" t="str">
        <f>IF(AND(ISNUMBER(Roster!$B274),Setup!$B$26="Yes",ISNUMBER(Setup!$C$26)),EDATE(Roster!$B274,12*Setup!$C$26),"")</f>
        <v/>
      </c>
      <c r="I274" s="32" t="str">
        <f>IF(AND(ISNUMBER(Roster!$B274),Setup!$B$27="Yes",ISNUMBER(Setup!$C$27)),EDATE(Roster!$B274,12*Setup!$C$27),"")</f>
        <v/>
      </c>
      <c r="J274" s="32" t="str">
        <f>IF(AND(ISNUMBER(Roster!$B274),Setup!$B$28="Yes",ISNUMBER(Setup!$C$28)),EDATE(Roster!$B274,12*Setup!$C$28),"")</f>
        <v/>
      </c>
      <c r="K274" s="32" t="str">
        <f>IF(AND(ISNUMBER(Roster!$B274),Setup!$B$29="Yes",ISNUMBER(Setup!$C$29)),EDATE(Roster!$B274,12*Setup!$C$29),"")</f>
        <v/>
      </c>
      <c r="L274" s="32" t="str">
        <f>IF(AND(ISNUMBER(Roster!$B274),Setup!$B$30="Yes",ISNUMBER(Setup!$C$30)),EDATE(Roster!$B274,12*Setup!$C$30),"")</f>
        <v/>
      </c>
      <c r="M274" s="32" t="str">
        <f>IF(AND(ISNUMBER(Roster!$B274),Setup!$B$31="Yes",ISNUMBER(Setup!$C$31)),EDATE(Roster!$B274,12*Setup!$C$31),"")</f>
        <v/>
      </c>
      <c r="N274" s="32" t="str">
        <f>IF(AND(ISNUMBER(Roster!$B274),Setup!$B$32="Yes",ISNUMBER(Setup!$C$32)),EDATE(Roster!$B274,12*Setup!$C$32),"")</f>
        <v/>
      </c>
      <c r="O274" s="32" t="str">
        <f>IF(AND(ISNUMBER(Roster!$B274),Setup!$B$33="Yes",ISNUMBER(Setup!$C$33)),EDATE(Roster!$B274,12*Setup!$C$33),"")</f>
        <v/>
      </c>
      <c r="P274" s="32" t="str">
        <f>IF(AND(ISNUMBER(Roster!$B274),Setup!$B$34="Yes",ISNUMBER(Setup!$C$34)),EDATE(Roster!$B274,12*Setup!$C$34),"")</f>
        <v/>
      </c>
      <c r="R274" t="str">
        <f>IF(B274="","",IF(B274&lt;Setup!$C$5-Setup!$C$6,"",IF(IF(ISNUMBER(Roster!$D274),Setup!$C$20&lt;=Roster!$D274,FALSE),"",IF(OR(IF(Setup!$C$15&lt;=Setup!$C$16,AND(MONTH(B274)&gt;=Setup!$C$15,MONTH(B274)&lt;=Setup!$C$16),OR(MONTH(B274)&gt;=Setup!$C$15,MONTH(B274)&lt;=Setup!$C$16)),IF(Setup!$C$15&lt;=Setup!$C$16,AND(MONTH(WORKDAY(B274,-(Setup!$C$13+Setup!$G$20),Setup!$C$39:$C$50))&gt;=Setup!$C$15,MONTH(WORKDAY(B274,-(Setup!$C$13+Setup!$G$20),Setup!$C$39:$C$50))&lt;=Setup!$C$16),OR(MONTH(WORKDAY(B274,-(Setup!$C$13+Setup!$G$20),Setup!$C$39:$C$50))&gt;=Setup!$C$15,MONTH(WORKDAY(B274,-(Setup!$C$13+Setup!$G$20),Setup!$C$39:$C$50))&lt;=Setup!$C$16))),WORKDAY(B274,-(Setup!$C$13+Setup!$G$20+Setup!$C$14),Setup!$C$39:$C$50),WORKDAY(B274,-(Setup!$C$13+Setup!$G$20),Setup!$C$39:$C$50))+(269*100+1)/10000000)))</f>
        <v/>
      </c>
      <c r="S274" t="str">
        <f>IF(C274="","",IF(C274&lt;Setup!$C$5-Setup!$C$6,"",IF(IF(ISNUMBER(Roster!$D274),Setup!$C$21&lt;=Roster!$D274,FALSE),"",IF(OR(IF(Setup!$C$15&lt;=Setup!$C$16,AND(MONTH(C274)&gt;=Setup!$C$15,MONTH(C274)&lt;=Setup!$C$16),OR(MONTH(C274)&gt;=Setup!$C$15,MONTH(C274)&lt;=Setup!$C$16)),IF(Setup!$C$15&lt;=Setup!$C$16,AND(MONTH(WORKDAY(C274,-(Setup!$C$13+Setup!$G$21),Setup!$C$39:$C$50))&gt;=Setup!$C$15,MONTH(WORKDAY(C274,-(Setup!$C$13+Setup!$G$21),Setup!$C$39:$C$50))&lt;=Setup!$C$16),OR(MONTH(WORKDAY(C274,-(Setup!$C$13+Setup!$G$21),Setup!$C$39:$C$50))&gt;=Setup!$C$15,MONTH(WORKDAY(C274,-(Setup!$C$13+Setup!$G$21),Setup!$C$39:$C$50))&lt;=Setup!$C$16))),WORKDAY(C274,-(Setup!$C$13+Setup!$G$21+Setup!$C$14),Setup!$C$39:$C$50),WORKDAY(C274,-(Setup!$C$13+Setup!$G$21),Setup!$C$39:$C$50))+(269*100+2)/10000000)))</f>
        <v/>
      </c>
      <c r="T274" t="str">
        <f>IF(D274="","",IF(D274&lt;Setup!$C$5-Setup!$C$6,"",IF(IF(ISNUMBER(Roster!$D274),Setup!$C$22&lt;=Roster!$D274,FALSE),"",IF(OR(IF(Setup!$C$15&lt;=Setup!$C$16,AND(MONTH(D274)&gt;=Setup!$C$15,MONTH(D274)&lt;=Setup!$C$16),OR(MONTH(D274)&gt;=Setup!$C$15,MONTH(D274)&lt;=Setup!$C$16)),IF(Setup!$C$15&lt;=Setup!$C$16,AND(MONTH(WORKDAY(D274,-(Setup!$C$13+Setup!$G$22),Setup!$C$39:$C$50))&gt;=Setup!$C$15,MONTH(WORKDAY(D274,-(Setup!$C$13+Setup!$G$22),Setup!$C$39:$C$50))&lt;=Setup!$C$16),OR(MONTH(WORKDAY(D274,-(Setup!$C$13+Setup!$G$22),Setup!$C$39:$C$50))&gt;=Setup!$C$15,MONTH(WORKDAY(D274,-(Setup!$C$13+Setup!$G$22),Setup!$C$39:$C$50))&lt;=Setup!$C$16))),WORKDAY(D274,-(Setup!$C$13+Setup!$G$22+Setup!$C$14),Setup!$C$39:$C$50),WORKDAY(D274,-(Setup!$C$13+Setup!$G$22),Setup!$C$39:$C$50))+(269*100+3)/10000000)))</f>
        <v/>
      </c>
      <c r="U274" t="str">
        <f>IF(E274="","",IF(E274&lt;Setup!$C$5-Setup!$C$6,"",IF(IF(ISNUMBER(Roster!$D274),Setup!$C$23&lt;=Roster!$D274,FALSE),"",IF(OR(IF(Setup!$C$15&lt;=Setup!$C$16,AND(MONTH(E274)&gt;=Setup!$C$15,MONTH(E274)&lt;=Setup!$C$16),OR(MONTH(E274)&gt;=Setup!$C$15,MONTH(E274)&lt;=Setup!$C$16)),IF(Setup!$C$15&lt;=Setup!$C$16,AND(MONTH(WORKDAY(E274,-(Setup!$C$13+Setup!$G$23),Setup!$C$39:$C$50))&gt;=Setup!$C$15,MONTH(WORKDAY(E274,-(Setup!$C$13+Setup!$G$23),Setup!$C$39:$C$50))&lt;=Setup!$C$16),OR(MONTH(WORKDAY(E274,-(Setup!$C$13+Setup!$G$23),Setup!$C$39:$C$50))&gt;=Setup!$C$15,MONTH(WORKDAY(E274,-(Setup!$C$13+Setup!$G$23),Setup!$C$39:$C$50))&lt;=Setup!$C$16))),WORKDAY(E274,-(Setup!$C$13+Setup!$G$23+Setup!$C$14),Setup!$C$39:$C$50),WORKDAY(E274,-(Setup!$C$13+Setup!$G$23),Setup!$C$39:$C$50))+(269*100+4)/10000000)))</f>
        <v/>
      </c>
      <c r="V274" t="str">
        <f>IF(F274="","",IF(F274&lt;Setup!$C$5-Setup!$C$6,"",IF(IF(ISNUMBER(Roster!$D274),Setup!$C$24&lt;=Roster!$D274,FALSE),"",IF(OR(IF(Setup!$C$15&lt;=Setup!$C$16,AND(MONTH(F274)&gt;=Setup!$C$15,MONTH(F274)&lt;=Setup!$C$16),OR(MONTH(F274)&gt;=Setup!$C$15,MONTH(F274)&lt;=Setup!$C$16)),IF(Setup!$C$15&lt;=Setup!$C$16,AND(MONTH(WORKDAY(F274,-(Setup!$C$13+Setup!$G$24),Setup!$C$39:$C$50))&gt;=Setup!$C$15,MONTH(WORKDAY(F274,-(Setup!$C$13+Setup!$G$24),Setup!$C$39:$C$50))&lt;=Setup!$C$16),OR(MONTH(WORKDAY(F274,-(Setup!$C$13+Setup!$G$24),Setup!$C$39:$C$50))&gt;=Setup!$C$15,MONTH(WORKDAY(F274,-(Setup!$C$13+Setup!$G$24),Setup!$C$39:$C$50))&lt;=Setup!$C$16))),WORKDAY(F274,-(Setup!$C$13+Setup!$G$24+Setup!$C$14),Setup!$C$39:$C$50),WORKDAY(F274,-(Setup!$C$13+Setup!$G$24),Setup!$C$39:$C$50))+(269*100+5)/10000000)))</f>
        <v/>
      </c>
      <c r="W274" t="str">
        <f>IF(G274="","",IF(G274&lt;Setup!$C$5-Setup!$C$6,"",IF(IF(ISNUMBER(Roster!$D274),Setup!$C$25&lt;=Roster!$D274,FALSE),"",IF(OR(IF(Setup!$C$15&lt;=Setup!$C$16,AND(MONTH(G274)&gt;=Setup!$C$15,MONTH(G274)&lt;=Setup!$C$16),OR(MONTH(G274)&gt;=Setup!$C$15,MONTH(G274)&lt;=Setup!$C$16)),IF(Setup!$C$15&lt;=Setup!$C$16,AND(MONTH(WORKDAY(G274,-(Setup!$C$13+Setup!$G$25),Setup!$C$39:$C$50))&gt;=Setup!$C$15,MONTH(WORKDAY(G274,-(Setup!$C$13+Setup!$G$25),Setup!$C$39:$C$50))&lt;=Setup!$C$16),OR(MONTH(WORKDAY(G274,-(Setup!$C$13+Setup!$G$25),Setup!$C$39:$C$50))&gt;=Setup!$C$15,MONTH(WORKDAY(G274,-(Setup!$C$13+Setup!$G$25),Setup!$C$39:$C$50))&lt;=Setup!$C$16))),WORKDAY(G274,-(Setup!$C$13+Setup!$G$25+Setup!$C$14),Setup!$C$39:$C$50),WORKDAY(G274,-(Setup!$C$13+Setup!$G$25),Setup!$C$39:$C$50))+(269*100+6)/10000000)))</f>
        <v/>
      </c>
      <c r="X274" t="str">
        <f>IF(H274="","",IF(H274&lt;Setup!$C$5-Setup!$C$6,"",IF(IF(ISNUMBER(Roster!$D274),Setup!$C$26&lt;=Roster!$D274,FALSE),"",IF(OR(IF(Setup!$C$15&lt;=Setup!$C$16,AND(MONTH(H274)&gt;=Setup!$C$15,MONTH(H274)&lt;=Setup!$C$16),OR(MONTH(H274)&gt;=Setup!$C$15,MONTH(H274)&lt;=Setup!$C$16)),IF(Setup!$C$15&lt;=Setup!$C$16,AND(MONTH(WORKDAY(H274,-(Setup!$C$13+Setup!$G$26),Setup!$C$39:$C$50))&gt;=Setup!$C$15,MONTH(WORKDAY(H274,-(Setup!$C$13+Setup!$G$26),Setup!$C$39:$C$50))&lt;=Setup!$C$16),OR(MONTH(WORKDAY(H274,-(Setup!$C$13+Setup!$G$26),Setup!$C$39:$C$50))&gt;=Setup!$C$15,MONTH(WORKDAY(H274,-(Setup!$C$13+Setup!$G$26),Setup!$C$39:$C$50))&lt;=Setup!$C$16))),WORKDAY(H274,-(Setup!$C$13+Setup!$G$26+Setup!$C$14),Setup!$C$39:$C$50),WORKDAY(H274,-(Setup!$C$13+Setup!$G$26),Setup!$C$39:$C$50))+(269*100+7)/10000000)))</f>
        <v/>
      </c>
      <c r="Y274" t="str">
        <f>IF(I274="","",IF(I274&lt;Setup!$C$5-Setup!$C$6,"",IF(IF(ISNUMBER(Roster!$D274),Setup!$C$27&lt;=Roster!$D274,FALSE),"",IF(OR(IF(Setup!$C$15&lt;=Setup!$C$16,AND(MONTH(I274)&gt;=Setup!$C$15,MONTH(I274)&lt;=Setup!$C$16),OR(MONTH(I274)&gt;=Setup!$C$15,MONTH(I274)&lt;=Setup!$C$16)),IF(Setup!$C$15&lt;=Setup!$C$16,AND(MONTH(WORKDAY(I274,-(Setup!$C$13+Setup!$G$27),Setup!$C$39:$C$50))&gt;=Setup!$C$15,MONTH(WORKDAY(I274,-(Setup!$C$13+Setup!$G$27),Setup!$C$39:$C$50))&lt;=Setup!$C$16),OR(MONTH(WORKDAY(I274,-(Setup!$C$13+Setup!$G$27),Setup!$C$39:$C$50))&gt;=Setup!$C$15,MONTH(WORKDAY(I274,-(Setup!$C$13+Setup!$G$27),Setup!$C$39:$C$50))&lt;=Setup!$C$16))),WORKDAY(I274,-(Setup!$C$13+Setup!$G$27+Setup!$C$14),Setup!$C$39:$C$50),WORKDAY(I274,-(Setup!$C$13+Setup!$G$27),Setup!$C$39:$C$50))+(269*100+8)/10000000)))</f>
        <v/>
      </c>
      <c r="Z274" t="str">
        <f>IF(J274="","",IF(J274&lt;Setup!$C$5-Setup!$C$6,"",IF(IF(ISNUMBER(Roster!$D274),Setup!$C$28&lt;=Roster!$D274,FALSE),"",IF(OR(IF(Setup!$C$15&lt;=Setup!$C$16,AND(MONTH(J274)&gt;=Setup!$C$15,MONTH(J274)&lt;=Setup!$C$16),OR(MONTH(J274)&gt;=Setup!$C$15,MONTH(J274)&lt;=Setup!$C$16)),IF(Setup!$C$15&lt;=Setup!$C$16,AND(MONTH(WORKDAY(J274,-(Setup!$C$13+Setup!$G$28),Setup!$C$39:$C$50))&gt;=Setup!$C$15,MONTH(WORKDAY(J274,-(Setup!$C$13+Setup!$G$28),Setup!$C$39:$C$50))&lt;=Setup!$C$16),OR(MONTH(WORKDAY(J274,-(Setup!$C$13+Setup!$G$28),Setup!$C$39:$C$50))&gt;=Setup!$C$15,MONTH(WORKDAY(J274,-(Setup!$C$13+Setup!$G$28),Setup!$C$39:$C$50))&lt;=Setup!$C$16))),WORKDAY(J274,-(Setup!$C$13+Setup!$G$28+Setup!$C$14),Setup!$C$39:$C$50),WORKDAY(J274,-(Setup!$C$13+Setup!$G$28),Setup!$C$39:$C$50))+(269*100+9)/10000000)))</f>
        <v/>
      </c>
      <c r="AA274" t="str">
        <f>IF(K274="","",IF(K274&lt;Setup!$C$5-Setup!$C$6,"",IF(IF(ISNUMBER(Roster!$D274),Setup!$C$29&lt;=Roster!$D274,FALSE),"",IF(OR(IF(Setup!$C$15&lt;=Setup!$C$16,AND(MONTH(K274)&gt;=Setup!$C$15,MONTH(K274)&lt;=Setup!$C$16),OR(MONTH(K274)&gt;=Setup!$C$15,MONTH(K274)&lt;=Setup!$C$16)),IF(Setup!$C$15&lt;=Setup!$C$16,AND(MONTH(WORKDAY(K274,-(Setup!$C$13+Setup!$G$29),Setup!$C$39:$C$50))&gt;=Setup!$C$15,MONTH(WORKDAY(K274,-(Setup!$C$13+Setup!$G$29),Setup!$C$39:$C$50))&lt;=Setup!$C$16),OR(MONTH(WORKDAY(K274,-(Setup!$C$13+Setup!$G$29),Setup!$C$39:$C$50))&gt;=Setup!$C$15,MONTH(WORKDAY(K274,-(Setup!$C$13+Setup!$G$29),Setup!$C$39:$C$50))&lt;=Setup!$C$16))),WORKDAY(K274,-(Setup!$C$13+Setup!$G$29+Setup!$C$14),Setup!$C$39:$C$50),WORKDAY(K274,-(Setup!$C$13+Setup!$G$29),Setup!$C$39:$C$50))+(269*100+10)/10000000)))</f>
        <v/>
      </c>
      <c r="AB274" t="str">
        <f>IF(L274="","",IF(L274&lt;Setup!$C$5-Setup!$C$6,"",IF(IF(ISNUMBER(Roster!$D274),Setup!$C$30&lt;=Roster!$D274,FALSE),"",IF(OR(IF(Setup!$C$15&lt;=Setup!$C$16,AND(MONTH(L274)&gt;=Setup!$C$15,MONTH(L274)&lt;=Setup!$C$16),OR(MONTH(L274)&gt;=Setup!$C$15,MONTH(L274)&lt;=Setup!$C$16)),IF(Setup!$C$15&lt;=Setup!$C$16,AND(MONTH(WORKDAY(L274,-(Setup!$C$13+Setup!$G$30),Setup!$C$39:$C$50))&gt;=Setup!$C$15,MONTH(WORKDAY(L274,-(Setup!$C$13+Setup!$G$30),Setup!$C$39:$C$50))&lt;=Setup!$C$16),OR(MONTH(WORKDAY(L274,-(Setup!$C$13+Setup!$G$30),Setup!$C$39:$C$50))&gt;=Setup!$C$15,MONTH(WORKDAY(L274,-(Setup!$C$13+Setup!$G$30),Setup!$C$39:$C$50))&lt;=Setup!$C$16))),WORKDAY(L274,-(Setup!$C$13+Setup!$G$30+Setup!$C$14),Setup!$C$39:$C$50),WORKDAY(L274,-(Setup!$C$13+Setup!$G$30),Setup!$C$39:$C$50))+(269*100+11)/10000000)))</f>
        <v/>
      </c>
      <c r="AC274" t="str">
        <f>IF(M274="","",IF(M274&lt;Setup!$C$5-Setup!$C$6,"",IF(IF(ISNUMBER(Roster!$D274),Setup!$C$31&lt;=Roster!$D274,FALSE),"",IF(OR(IF(Setup!$C$15&lt;=Setup!$C$16,AND(MONTH(M274)&gt;=Setup!$C$15,MONTH(M274)&lt;=Setup!$C$16),OR(MONTH(M274)&gt;=Setup!$C$15,MONTH(M274)&lt;=Setup!$C$16)),IF(Setup!$C$15&lt;=Setup!$C$16,AND(MONTH(WORKDAY(M274,-(Setup!$C$13+Setup!$G$31),Setup!$C$39:$C$50))&gt;=Setup!$C$15,MONTH(WORKDAY(M274,-(Setup!$C$13+Setup!$G$31),Setup!$C$39:$C$50))&lt;=Setup!$C$16),OR(MONTH(WORKDAY(M274,-(Setup!$C$13+Setup!$G$31),Setup!$C$39:$C$50))&gt;=Setup!$C$15,MONTH(WORKDAY(M274,-(Setup!$C$13+Setup!$G$31),Setup!$C$39:$C$50))&lt;=Setup!$C$16))),WORKDAY(M274,-(Setup!$C$13+Setup!$G$31+Setup!$C$14),Setup!$C$39:$C$50),WORKDAY(M274,-(Setup!$C$13+Setup!$G$31),Setup!$C$39:$C$50))+(269*100+12)/10000000)))</f>
        <v/>
      </c>
      <c r="AD274" t="str">
        <f>IF(N274="","",IF(N274&lt;Setup!$C$5-Setup!$C$6,"",IF(IF(ISNUMBER(Roster!$D274),Setup!$C$32&lt;=Roster!$D274,FALSE),"",IF(OR(IF(Setup!$C$15&lt;=Setup!$C$16,AND(MONTH(N274)&gt;=Setup!$C$15,MONTH(N274)&lt;=Setup!$C$16),OR(MONTH(N274)&gt;=Setup!$C$15,MONTH(N274)&lt;=Setup!$C$16)),IF(Setup!$C$15&lt;=Setup!$C$16,AND(MONTH(WORKDAY(N274,-(Setup!$C$13+Setup!$G$32),Setup!$C$39:$C$50))&gt;=Setup!$C$15,MONTH(WORKDAY(N274,-(Setup!$C$13+Setup!$G$32),Setup!$C$39:$C$50))&lt;=Setup!$C$16),OR(MONTH(WORKDAY(N274,-(Setup!$C$13+Setup!$G$32),Setup!$C$39:$C$50))&gt;=Setup!$C$15,MONTH(WORKDAY(N274,-(Setup!$C$13+Setup!$G$32),Setup!$C$39:$C$50))&lt;=Setup!$C$16))),WORKDAY(N274,-(Setup!$C$13+Setup!$G$32+Setup!$C$14),Setup!$C$39:$C$50),WORKDAY(N274,-(Setup!$C$13+Setup!$G$32),Setup!$C$39:$C$50))+(269*100+13)/10000000)))</f>
        <v/>
      </c>
      <c r="AE274" t="str">
        <f>IF(O274="","",IF(O274&lt;Setup!$C$5-Setup!$C$6,"",IF(IF(ISNUMBER(Roster!$D274),Setup!$C$33&lt;=Roster!$D274,FALSE),"",IF(OR(IF(Setup!$C$15&lt;=Setup!$C$16,AND(MONTH(O274)&gt;=Setup!$C$15,MONTH(O274)&lt;=Setup!$C$16),OR(MONTH(O274)&gt;=Setup!$C$15,MONTH(O274)&lt;=Setup!$C$16)),IF(Setup!$C$15&lt;=Setup!$C$16,AND(MONTH(WORKDAY(O274,-(Setup!$C$13+Setup!$G$33),Setup!$C$39:$C$50))&gt;=Setup!$C$15,MONTH(WORKDAY(O274,-(Setup!$C$13+Setup!$G$33),Setup!$C$39:$C$50))&lt;=Setup!$C$16),OR(MONTH(WORKDAY(O274,-(Setup!$C$13+Setup!$G$33),Setup!$C$39:$C$50))&gt;=Setup!$C$15,MONTH(WORKDAY(O274,-(Setup!$C$13+Setup!$G$33),Setup!$C$39:$C$50))&lt;=Setup!$C$16))),WORKDAY(O274,-(Setup!$C$13+Setup!$G$33+Setup!$C$14),Setup!$C$39:$C$50),WORKDAY(O274,-(Setup!$C$13+Setup!$G$33),Setup!$C$39:$C$50))+(269*100+14)/10000000)))</f>
        <v/>
      </c>
      <c r="AF274" t="str">
        <f>IF(P274="","",IF(P274&lt;Setup!$C$5-Setup!$C$6,"",IF(IF(ISNUMBER(Roster!$D274),Setup!$C$34&lt;=Roster!$D274,FALSE),"",IF(OR(IF(Setup!$C$15&lt;=Setup!$C$16,AND(MONTH(P274)&gt;=Setup!$C$15,MONTH(P274)&lt;=Setup!$C$16),OR(MONTH(P274)&gt;=Setup!$C$15,MONTH(P274)&lt;=Setup!$C$16)),IF(Setup!$C$15&lt;=Setup!$C$16,AND(MONTH(WORKDAY(P274,-(Setup!$C$13+Setup!$G$34),Setup!$C$39:$C$50))&gt;=Setup!$C$15,MONTH(WORKDAY(P274,-(Setup!$C$13+Setup!$G$34),Setup!$C$39:$C$50))&lt;=Setup!$C$16),OR(MONTH(WORKDAY(P274,-(Setup!$C$13+Setup!$G$34),Setup!$C$39:$C$50))&gt;=Setup!$C$15,MONTH(WORKDAY(P274,-(Setup!$C$13+Setup!$G$34),Setup!$C$39:$C$50))&lt;=Setup!$C$16))),WORKDAY(P274,-(Setup!$C$13+Setup!$G$34+Setup!$C$14),Setup!$C$39:$C$50),WORKDAY(P274,-(Setup!$C$13+Setup!$G$34),Setup!$C$39:$C$50))+(269*100+15)/10000000)))</f>
        <v/>
      </c>
      <c r="AH274" t="str">
        <f t="shared" si="33"/>
        <v/>
      </c>
      <c r="AI274" t="str">
        <f t="shared" si="34"/>
        <v/>
      </c>
      <c r="AK274" t="str">
        <f ca="1">IF(269&gt;$AK$2,"",SMALL($R$6:$AF$505,269))</f>
        <v/>
      </c>
      <c r="AL274" t="str">
        <f t="shared" ca="1" si="35"/>
        <v/>
      </c>
      <c r="AM274" t="str">
        <f t="shared" ca="1" si="36"/>
        <v/>
      </c>
      <c r="AN274" t="str">
        <f t="shared" ca="1" si="37"/>
        <v/>
      </c>
      <c r="AP274" t="str">
        <f>IF(ISNUMBER(Roster!$B274),MAX(1,YEAR(Setup!$C$5)-YEAR(Roster!$B274)+IF(EDATE(Roster!$B274,12*(YEAR(Setup!$C$5)-YEAR(Roster!$B274)))&lt;Setup!$C$5,1,0)),"")</f>
        <v/>
      </c>
      <c r="AQ274" s="32" t="str">
        <f>IF(AP274="","",EDATE(Roster!$B274,12*AP274))</f>
        <v/>
      </c>
      <c r="AR274" t="str">
        <f>IF(AQ274="","",IF(AQ274&lt;DATE(YEAR(Setup!$C$5)+1,MONTH(Setup!$C$5),DAY(Setup!$C$5)),AQ274+269/1000,""))</f>
        <v/>
      </c>
      <c r="AS274" t="str">
        <f t="shared" si="38"/>
        <v/>
      </c>
      <c r="AT274" t="str">
        <f>IF(AS274="","",IF(ISNUMBER(Roster!$D274),Roster!$D274&gt;=AP274,FALSE))</f>
        <v/>
      </c>
      <c r="AU274" t="str">
        <f t="shared" si="39"/>
        <v/>
      </c>
      <c r="AV274" t="str">
        <f ca="1">IF(269&gt;$AV$2,"",SMALL($AR$6:$AR$505,269))</f>
        <v/>
      </c>
      <c r="AW274" t="str">
        <f t="shared" ca="1" si="40"/>
        <v/>
      </c>
    </row>
    <row r="275" spans="2:49" x14ac:dyDescent="0.2">
      <c r="B275" s="32" t="str">
        <f>IF(AND(ISNUMBER(Roster!$B275),Setup!$B$20="Yes",ISNUMBER(Setup!$C$20)),EDATE(Roster!$B275,12*Setup!$C$20),"")</f>
        <v/>
      </c>
      <c r="C275" s="32" t="str">
        <f>IF(AND(ISNUMBER(Roster!$B275),Setup!$B$21="Yes",ISNUMBER(Setup!$C$21)),EDATE(Roster!$B275,12*Setup!$C$21),"")</f>
        <v/>
      </c>
      <c r="D275" s="32" t="str">
        <f>IF(AND(ISNUMBER(Roster!$B275),Setup!$B$22="Yes",ISNUMBER(Setup!$C$22)),EDATE(Roster!$B275,12*Setup!$C$22),"")</f>
        <v/>
      </c>
      <c r="E275" s="32" t="str">
        <f>IF(AND(ISNUMBER(Roster!$B275),Setup!$B$23="Yes",ISNUMBER(Setup!$C$23)),EDATE(Roster!$B275,12*Setup!$C$23),"")</f>
        <v/>
      </c>
      <c r="F275" s="32" t="str">
        <f>IF(AND(ISNUMBER(Roster!$B275),Setup!$B$24="Yes",ISNUMBER(Setup!$C$24)),EDATE(Roster!$B275,12*Setup!$C$24),"")</f>
        <v/>
      </c>
      <c r="G275" s="32" t="str">
        <f>IF(AND(ISNUMBER(Roster!$B275),Setup!$B$25="Yes",ISNUMBER(Setup!$C$25)),EDATE(Roster!$B275,12*Setup!$C$25),"")</f>
        <v/>
      </c>
      <c r="H275" s="32" t="str">
        <f>IF(AND(ISNUMBER(Roster!$B275),Setup!$B$26="Yes",ISNUMBER(Setup!$C$26)),EDATE(Roster!$B275,12*Setup!$C$26),"")</f>
        <v/>
      </c>
      <c r="I275" s="32" t="str">
        <f>IF(AND(ISNUMBER(Roster!$B275),Setup!$B$27="Yes",ISNUMBER(Setup!$C$27)),EDATE(Roster!$B275,12*Setup!$C$27),"")</f>
        <v/>
      </c>
      <c r="J275" s="32" t="str">
        <f>IF(AND(ISNUMBER(Roster!$B275),Setup!$B$28="Yes",ISNUMBER(Setup!$C$28)),EDATE(Roster!$B275,12*Setup!$C$28),"")</f>
        <v/>
      </c>
      <c r="K275" s="32" t="str">
        <f>IF(AND(ISNUMBER(Roster!$B275),Setup!$B$29="Yes",ISNUMBER(Setup!$C$29)),EDATE(Roster!$B275,12*Setup!$C$29),"")</f>
        <v/>
      </c>
      <c r="L275" s="32" t="str">
        <f>IF(AND(ISNUMBER(Roster!$B275),Setup!$B$30="Yes",ISNUMBER(Setup!$C$30)),EDATE(Roster!$B275,12*Setup!$C$30),"")</f>
        <v/>
      </c>
      <c r="M275" s="32" t="str">
        <f>IF(AND(ISNUMBER(Roster!$B275),Setup!$B$31="Yes",ISNUMBER(Setup!$C$31)),EDATE(Roster!$B275,12*Setup!$C$31),"")</f>
        <v/>
      </c>
      <c r="N275" s="32" t="str">
        <f>IF(AND(ISNUMBER(Roster!$B275),Setup!$B$32="Yes",ISNUMBER(Setup!$C$32)),EDATE(Roster!$B275,12*Setup!$C$32),"")</f>
        <v/>
      </c>
      <c r="O275" s="32" t="str">
        <f>IF(AND(ISNUMBER(Roster!$B275),Setup!$B$33="Yes",ISNUMBER(Setup!$C$33)),EDATE(Roster!$B275,12*Setup!$C$33),"")</f>
        <v/>
      </c>
      <c r="P275" s="32" t="str">
        <f>IF(AND(ISNUMBER(Roster!$B275),Setup!$B$34="Yes",ISNUMBER(Setup!$C$34)),EDATE(Roster!$B275,12*Setup!$C$34),"")</f>
        <v/>
      </c>
      <c r="R275" t="str">
        <f>IF(B275="","",IF(B275&lt;Setup!$C$5-Setup!$C$6,"",IF(IF(ISNUMBER(Roster!$D275),Setup!$C$20&lt;=Roster!$D275,FALSE),"",IF(OR(IF(Setup!$C$15&lt;=Setup!$C$16,AND(MONTH(B275)&gt;=Setup!$C$15,MONTH(B275)&lt;=Setup!$C$16),OR(MONTH(B275)&gt;=Setup!$C$15,MONTH(B275)&lt;=Setup!$C$16)),IF(Setup!$C$15&lt;=Setup!$C$16,AND(MONTH(WORKDAY(B275,-(Setup!$C$13+Setup!$G$20),Setup!$C$39:$C$50))&gt;=Setup!$C$15,MONTH(WORKDAY(B275,-(Setup!$C$13+Setup!$G$20),Setup!$C$39:$C$50))&lt;=Setup!$C$16),OR(MONTH(WORKDAY(B275,-(Setup!$C$13+Setup!$G$20),Setup!$C$39:$C$50))&gt;=Setup!$C$15,MONTH(WORKDAY(B275,-(Setup!$C$13+Setup!$G$20),Setup!$C$39:$C$50))&lt;=Setup!$C$16))),WORKDAY(B275,-(Setup!$C$13+Setup!$G$20+Setup!$C$14),Setup!$C$39:$C$50),WORKDAY(B275,-(Setup!$C$13+Setup!$G$20),Setup!$C$39:$C$50))+(270*100+1)/10000000)))</f>
        <v/>
      </c>
      <c r="S275" t="str">
        <f>IF(C275="","",IF(C275&lt;Setup!$C$5-Setup!$C$6,"",IF(IF(ISNUMBER(Roster!$D275),Setup!$C$21&lt;=Roster!$D275,FALSE),"",IF(OR(IF(Setup!$C$15&lt;=Setup!$C$16,AND(MONTH(C275)&gt;=Setup!$C$15,MONTH(C275)&lt;=Setup!$C$16),OR(MONTH(C275)&gt;=Setup!$C$15,MONTH(C275)&lt;=Setup!$C$16)),IF(Setup!$C$15&lt;=Setup!$C$16,AND(MONTH(WORKDAY(C275,-(Setup!$C$13+Setup!$G$21),Setup!$C$39:$C$50))&gt;=Setup!$C$15,MONTH(WORKDAY(C275,-(Setup!$C$13+Setup!$G$21),Setup!$C$39:$C$50))&lt;=Setup!$C$16),OR(MONTH(WORKDAY(C275,-(Setup!$C$13+Setup!$G$21),Setup!$C$39:$C$50))&gt;=Setup!$C$15,MONTH(WORKDAY(C275,-(Setup!$C$13+Setup!$G$21),Setup!$C$39:$C$50))&lt;=Setup!$C$16))),WORKDAY(C275,-(Setup!$C$13+Setup!$G$21+Setup!$C$14),Setup!$C$39:$C$50),WORKDAY(C275,-(Setup!$C$13+Setup!$G$21),Setup!$C$39:$C$50))+(270*100+2)/10000000)))</f>
        <v/>
      </c>
      <c r="T275" t="str">
        <f>IF(D275="","",IF(D275&lt;Setup!$C$5-Setup!$C$6,"",IF(IF(ISNUMBER(Roster!$D275),Setup!$C$22&lt;=Roster!$D275,FALSE),"",IF(OR(IF(Setup!$C$15&lt;=Setup!$C$16,AND(MONTH(D275)&gt;=Setup!$C$15,MONTH(D275)&lt;=Setup!$C$16),OR(MONTH(D275)&gt;=Setup!$C$15,MONTH(D275)&lt;=Setup!$C$16)),IF(Setup!$C$15&lt;=Setup!$C$16,AND(MONTH(WORKDAY(D275,-(Setup!$C$13+Setup!$G$22),Setup!$C$39:$C$50))&gt;=Setup!$C$15,MONTH(WORKDAY(D275,-(Setup!$C$13+Setup!$G$22),Setup!$C$39:$C$50))&lt;=Setup!$C$16),OR(MONTH(WORKDAY(D275,-(Setup!$C$13+Setup!$G$22),Setup!$C$39:$C$50))&gt;=Setup!$C$15,MONTH(WORKDAY(D275,-(Setup!$C$13+Setup!$G$22),Setup!$C$39:$C$50))&lt;=Setup!$C$16))),WORKDAY(D275,-(Setup!$C$13+Setup!$G$22+Setup!$C$14),Setup!$C$39:$C$50),WORKDAY(D275,-(Setup!$C$13+Setup!$G$22),Setup!$C$39:$C$50))+(270*100+3)/10000000)))</f>
        <v/>
      </c>
      <c r="U275" t="str">
        <f>IF(E275="","",IF(E275&lt;Setup!$C$5-Setup!$C$6,"",IF(IF(ISNUMBER(Roster!$D275),Setup!$C$23&lt;=Roster!$D275,FALSE),"",IF(OR(IF(Setup!$C$15&lt;=Setup!$C$16,AND(MONTH(E275)&gt;=Setup!$C$15,MONTH(E275)&lt;=Setup!$C$16),OR(MONTH(E275)&gt;=Setup!$C$15,MONTH(E275)&lt;=Setup!$C$16)),IF(Setup!$C$15&lt;=Setup!$C$16,AND(MONTH(WORKDAY(E275,-(Setup!$C$13+Setup!$G$23),Setup!$C$39:$C$50))&gt;=Setup!$C$15,MONTH(WORKDAY(E275,-(Setup!$C$13+Setup!$G$23),Setup!$C$39:$C$50))&lt;=Setup!$C$16),OR(MONTH(WORKDAY(E275,-(Setup!$C$13+Setup!$G$23),Setup!$C$39:$C$50))&gt;=Setup!$C$15,MONTH(WORKDAY(E275,-(Setup!$C$13+Setup!$G$23),Setup!$C$39:$C$50))&lt;=Setup!$C$16))),WORKDAY(E275,-(Setup!$C$13+Setup!$G$23+Setup!$C$14),Setup!$C$39:$C$50),WORKDAY(E275,-(Setup!$C$13+Setup!$G$23),Setup!$C$39:$C$50))+(270*100+4)/10000000)))</f>
        <v/>
      </c>
      <c r="V275" t="str">
        <f>IF(F275="","",IF(F275&lt;Setup!$C$5-Setup!$C$6,"",IF(IF(ISNUMBER(Roster!$D275),Setup!$C$24&lt;=Roster!$D275,FALSE),"",IF(OR(IF(Setup!$C$15&lt;=Setup!$C$16,AND(MONTH(F275)&gt;=Setup!$C$15,MONTH(F275)&lt;=Setup!$C$16),OR(MONTH(F275)&gt;=Setup!$C$15,MONTH(F275)&lt;=Setup!$C$16)),IF(Setup!$C$15&lt;=Setup!$C$16,AND(MONTH(WORKDAY(F275,-(Setup!$C$13+Setup!$G$24),Setup!$C$39:$C$50))&gt;=Setup!$C$15,MONTH(WORKDAY(F275,-(Setup!$C$13+Setup!$G$24),Setup!$C$39:$C$50))&lt;=Setup!$C$16),OR(MONTH(WORKDAY(F275,-(Setup!$C$13+Setup!$G$24),Setup!$C$39:$C$50))&gt;=Setup!$C$15,MONTH(WORKDAY(F275,-(Setup!$C$13+Setup!$G$24),Setup!$C$39:$C$50))&lt;=Setup!$C$16))),WORKDAY(F275,-(Setup!$C$13+Setup!$G$24+Setup!$C$14),Setup!$C$39:$C$50),WORKDAY(F275,-(Setup!$C$13+Setup!$G$24),Setup!$C$39:$C$50))+(270*100+5)/10000000)))</f>
        <v/>
      </c>
      <c r="W275" t="str">
        <f>IF(G275="","",IF(G275&lt;Setup!$C$5-Setup!$C$6,"",IF(IF(ISNUMBER(Roster!$D275),Setup!$C$25&lt;=Roster!$D275,FALSE),"",IF(OR(IF(Setup!$C$15&lt;=Setup!$C$16,AND(MONTH(G275)&gt;=Setup!$C$15,MONTH(G275)&lt;=Setup!$C$16),OR(MONTH(G275)&gt;=Setup!$C$15,MONTH(G275)&lt;=Setup!$C$16)),IF(Setup!$C$15&lt;=Setup!$C$16,AND(MONTH(WORKDAY(G275,-(Setup!$C$13+Setup!$G$25),Setup!$C$39:$C$50))&gt;=Setup!$C$15,MONTH(WORKDAY(G275,-(Setup!$C$13+Setup!$G$25),Setup!$C$39:$C$50))&lt;=Setup!$C$16),OR(MONTH(WORKDAY(G275,-(Setup!$C$13+Setup!$G$25),Setup!$C$39:$C$50))&gt;=Setup!$C$15,MONTH(WORKDAY(G275,-(Setup!$C$13+Setup!$G$25),Setup!$C$39:$C$50))&lt;=Setup!$C$16))),WORKDAY(G275,-(Setup!$C$13+Setup!$G$25+Setup!$C$14),Setup!$C$39:$C$50),WORKDAY(G275,-(Setup!$C$13+Setup!$G$25),Setup!$C$39:$C$50))+(270*100+6)/10000000)))</f>
        <v/>
      </c>
      <c r="X275" t="str">
        <f>IF(H275="","",IF(H275&lt;Setup!$C$5-Setup!$C$6,"",IF(IF(ISNUMBER(Roster!$D275),Setup!$C$26&lt;=Roster!$D275,FALSE),"",IF(OR(IF(Setup!$C$15&lt;=Setup!$C$16,AND(MONTH(H275)&gt;=Setup!$C$15,MONTH(H275)&lt;=Setup!$C$16),OR(MONTH(H275)&gt;=Setup!$C$15,MONTH(H275)&lt;=Setup!$C$16)),IF(Setup!$C$15&lt;=Setup!$C$16,AND(MONTH(WORKDAY(H275,-(Setup!$C$13+Setup!$G$26),Setup!$C$39:$C$50))&gt;=Setup!$C$15,MONTH(WORKDAY(H275,-(Setup!$C$13+Setup!$G$26),Setup!$C$39:$C$50))&lt;=Setup!$C$16),OR(MONTH(WORKDAY(H275,-(Setup!$C$13+Setup!$G$26),Setup!$C$39:$C$50))&gt;=Setup!$C$15,MONTH(WORKDAY(H275,-(Setup!$C$13+Setup!$G$26),Setup!$C$39:$C$50))&lt;=Setup!$C$16))),WORKDAY(H275,-(Setup!$C$13+Setup!$G$26+Setup!$C$14),Setup!$C$39:$C$50),WORKDAY(H275,-(Setup!$C$13+Setup!$G$26),Setup!$C$39:$C$50))+(270*100+7)/10000000)))</f>
        <v/>
      </c>
      <c r="Y275" t="str">
        <f>IF(I275="","",IF(I275&lt;Setup!$C$5-Setup!$C$6,"",IF(IF(ISNUMBER(Roster!$D275),Setup!$C$27&lt;=Roster!$D275,FALSE),"",IF(OR(IF(Setup!$C$15&lt;=Setup!$C$16,AND(MONTH(I275)&gt;=Setup!$C$15,MONTH(I275)&lt;=Setup!$C$16),OR(MONTH(I275)&gt;=Setup!$C$15,MONTH(I275)&lt;=Setup!$C$16)),IF(Setup!$C$15&lt;=Setup!$C$16,AND(MONTH(WORKDAY(I275,-(Setup!$C$13+Setup!$G$27),Setup!$C$39:$C$50))&gt;=Setup!$C$15,MONTH(WORKDAY(I275,-(Setup!$C$13+Setup!$G$27),Setup!$C$39:$C$50))&lt;=Setup!$C$16),OR(MONTH(WORKDAY(I275,-(Setup!$C$13+Setup!$G$27),Setup!$C$39:$C$50))&gt;=Setup!$C$15,MONTH(WORKDAY(I275,-(Setup!$C$13+Setup!$G$27),Setup!$C$39:$C$50))&lt;=Setup!$C$16))),WORKDAY(I275,-(Setup!$C$13+Setup!$G$27+Setup!$C$14),Setup!$C$39:$C$50),WORKDAY(I275,-(Setup!$C$13+Setup!$G$27),Setup!$C$39:$C$50))+(270*100+8)/10000000)))</f>
        <v/>
      </c>
      <c r="Z275" t="str">
        <f>IF(J275="","",IF(J275&lt;Setup!$C$5-Setup!$C$6,"",IF(IF(ISNUMBER(Roster!$D275),Setup!$C$28&lt;=Roster!$D275,FALSE),"",IF(OR(IF(Setup!$C$15&lt;=Setup!$C$16,AND(MONTH(J275)&gt;=Setup!$C$15,MONTH(J275)&lt;=Setup!$C$16),OR(MONTH(J275)&gt;=Setup!$C$15,MONTH(J275)&lt;=Setup!$C$16)),IF(Setup!$C$15&lt;=Setup!$C$16,AND(MONTH(WORKDAY(J275,-(Setup!$C$13+Setup!$G$28),Setup!$C$39:$C$50))&gt;=Setup!$C$15,MONTH(WORKDAY(J275,-(Setup!$C$13+Setup!$G$28),Setup!$C$39:$C$50))&lt;=Setup!$C$16),OR(MONTH(WORKDAY(J275,-(Setup!$C$13+Setup!$G$28),Setup!$C$39:$C$50))&gt;=Setup!$C$15,MONTH(WORKDAY(J275,-(Setup!$C$13+Setup!$G$28),Setup!$C$39:$C$50))&lt;=Setup!$C$16))),WORKDAY(J275,-(Setup!$C$13+Setup!$G$28+Setup!$C$14),Setup!$C$39:$C$50),WORKDAY(J275,-(Setup!$C$13+Setup!$G$28),Setup!$C$39:$C$50))+(270*100+9)/10000000)))</f>
        <v/>
      </c>
      <c r="AA275" t="str">
        <f>IF(K275="","",IF(K275&lt;Setup!$C$5-Setup!$C$6,"",IF(IF(ISNUMBER(Roster!$D275),Setup!$C$29&lt;=Roster!$D275,FALSE),"",IF(OR(IF(Setup!$C$15&lt;=Setup!$C$16,AND(MONTH(K275)&gt;=Setup!$C$15,MONTH(K275)&lt;=Setup!$C$16),OR(MONTH(K275)&gt;=Setup!$C$15,MONTH(K275)&lt;=Setup!$C$16)),IF(Setup!$C$15&lt;=Setup!$C$16,AND(MONTH(WORKDAY(K275,-(Setup!$C$13+Setup!$G$29),Setup!$C$39:$C$50))&gt;=Setup!$C$15,MONTH(WORKDAY(K275,-(Setup!$C$13+Setup!$G$29),Setup!$C$39:$C$50))&lt;=Setup!$C$16),OR(MONTH(WORKDAY(K275,-(Setup!$C$13+Setup!$G$29),Setup!$C$39:$C$50))&gt;=Setup!$C$15,MONTH(WORKDAY(K275,-(Setup!$C$13+Setup!$G$29),Setup!$C$39:$C$50))&lt;=Setup!$C$16))),WORKDAY(K275,-(Setup!$C$13+Setup!$G$29+Setup!$C$14),Setup!$C$39:$C$50),WORKDAY(K275,-(Setup!$C$13+Setup!$G$29),Setup!$C$39:$C$50))+(270*100+10)/10000000)))</f>
        <v/>
      </c>
      <c r="AB275" t="str">
        <f>IF(L275="","",IF(L275&lt;Setup!$C$5-Setup!$C$6,"",IF(IF(ISNUMBER(Roster!$D275),Setup!$C$30&lt;=Roster!$D275,FALSE),"",IF(OR(IF(Setup!$C$15&lt;=Setup!$C$16,AND(MONTH(L275)&gt;=Setup!$C$15,MONTH(L275)&lt;=Setup!$C$16),OR(MONTH(L275)&gt;=Setup!$C$15,MONTH(L275)&lt;=Setup!$C$16)),IF(Setup!$C$15&lt;=Setup!$C$16,AND(MONTH(WORKDAY(L275,-(Setup!$C$13+Setup!$G$30),Setup!$C$39:$C$50))&gt;=Setup!$C$15,MONTH(WORKDAY(L275,-(Setup!$C$13+Setup!$G$30),Setup!$C$39:$C$50))&lt;=Setup!$C$16),OR(MONTH(WORKDAY(L275,-(Setup!$C$13+Setup!$G$30),Setup!$C$39:$C$50))&gt;=Setup!$C$15,MONTH(WORKDAY(L275,-(Setup!$C$13+Setup!$G$30),Setup!$C$39:$C$50))&lt;=Setup!$C$16))),WORKDAY(L275,-(Setup!$C$13+Setup!$G$30+Setup!$C$14),Setup!$C$39:$C$50),WORKDAY(L275,-(Setup!$C$13+Setup!$G$30),Setup!$C$39:$C$50))+(270*100+11)/10000000)))</f>
        <v/>
      </c>
      <c r="AC275" t="str">
        <f>IF(M275="","",IF(M275&lt;Setup!$C$5-Setup!$C$6,"",IF(IF(ISNUMBER(Roster!$D275),Setup!$C$31&lt;=Roster!$D275,FALSE),"",IF(OR(IF(Setup!$C$15&lt;=Setup!$C$16,AND(MONTH(M275)&gt;=Setup!$C$15,MONTH(M275)&lt;=Setup!$C$16),OR(MONTH(M275)&gt;=Setup!$C$15,MONTH(M275)&lt;=Setup!$C$16)),IF(Setup!$C$15&lt;=Setup!$C$16,AND(MONTH(WORKDAY(M275,-(Setup!$C$13+Setup!$G$31),Setup!$C$39:$C$50))&gt;=Setup!$C$15,MONTH(WORKDAY(M275,-(Setup!$C$13+Setup!$G$31),Setup!$C$39:$C$50))&lt;=Setup!$C$16),OR(MONTH(WORKDAY(M275,-(Setup!$C$13+Setup!$G$31),Setup!$C$39:$C$50))&gt;=Setup!$C$15,MONTH(WORKDAY(M275,-(Setup!$C$13+Setup!$G$31),Setup!$C$39:$C$50))&lt;=Setup!$C$16))),WORKDAY(M275,-(Setup!$C$13+Setup!$G$31+Setup!$C$14),Setup!$C$39:$C$50),WORKDAY(M275,-(Setup!$C$13+Setup!$G$31),Setup!$C$39:$C$50))+(270*100+12)/10000000)))</f>
        <v/>
      </c>
      <c r="AD275" t="str">
        <f>IF(N275="","",IF(N275&lt;Setup!$C$5-Setup!$C$6,"",IF(IF(ISNUMBER(Roster!$D275),Setup!$C$32&lt;=Roster!$D275,FALSE),"",IF(OR(IF(Setup!$C$15&lt;=Setup!$C$16,AND(MONTH(N275)&gt;=Setup!$C$15,MONTH(N275)&lt;=Setup!$C$16),OR(MONTH(N275)&gt;=Setup!$C$15,MONTH(N275)&lt;=Setup!$C$16)),IF(Setup!$C$15&lt;=Setup!$C$16,AND(MONTH(WORKDAY(N275,-(Setup!$C$13+Setup!$G$32),Setup!$C$39:$C$50))&gt;=Setup!$C$15,MONTH(WORKDAY(N275,-(Setup!$C$13+Setup!$G$32),Setup!$C$39:$C$50))&lt;=Setup!$C$16),OR(MONTH(WORKDAY(N275,-(Setup!$C$13+Setup!$G$32),Setup!$C$39:$C$50))&gt;=Setup!$C$15,MONTH(WORKDAY(N275,-(Setup!$C$13+Setup!$G$32),Setup!$C$39:$C$50))&lt;=Setup!$C$16))),WORKDAY(N275,-(Setup!$C$13+Setup!$G$32+Setup!$C$14),Setup!$C$39:$C$50),WORKDAY(N275,-(Setup!$C$13+Setup!$G$32),Setup!$C$39:$C$50))+(270*100+13)/10000000)))</f>
        <v/>
      </c>
      <c r="AE275" t="str">
        <f>IF(O275="","",IF(O275&lt;Setup!$C$5-Setup!$C$6,"",IF(IF(ISNUMBER(Roster!$D275),Setup!$C$33&lt;=Roster!$D275,FALSE),"",IF(OR(IF(Setup!$C$15&lt;=Setup!$C$16,AND(MONTH(O275)&gt;=Setup!$C$15,MONTH(O275)&lt;=Setup!$C$16),OR(MONTH(O275)&gt;=Setup!$C$15,MONTH(O275)&lt;=Setup!$C$16)),IF(Setup!$C$15&lt;=Setup!$C$16,AND(MONTH(WORKDAY(O275,-(Setup!$C$13+Setup!$G$33),Setup!$C$39:$C$50))&gt;=Setup!$C$15,MONTH(WORKDAY(O275,-(Setup!$C$13+Setup!$G$33),Setup!$C$39:$C$50))&lt;=Setup!$C$16),OR(MONTH(WORKDAY(O275,-(Setup!$C$13+Setup!$G$33),Setup!$C$39:$C$50))&gt;=Setup!$C$15,MONTH(WORKDAY(O275,-(Setup!$C$13+Setup!$G$33),Setup!$C$39:$C$50))&lt;=Setup!$C$16))),WORKDAY(O275,-(Setup!$C$13+Setup!$G$33+Setup!$C$14),Setup!$C$39:$C$50),WORKDAY(O275,-(Setup!$C$13+Setup!$G$33),Setup!$C$39:$C$50))+(270*100+14)/10000000)))</f>
        <v/>
      </c>
      <c r="AF275" t="str">
        <f>IF(P275="","",IF(P275&lt;Setup!$C$5-Setup!$C$6,"",IF(IF(ISNUMBER(Roster!$D275),Setup!$C$34&lt;=Roster!$D275,FALSE),"",IF(OR(IF(Setup!$C$15&lt;=Setup!$C$16,AND(MONTH(P275)&gt;=Setup!$C$15,MONTH(P275)&lt;=Setup!$C$16),OR(MONTH(P275)&gt;=Setup!$C$15,MONTH(P275)&lt;=Setup!$C$16)),IF(Setup!$C$15&lt;=Setup!$C$16,AND(MONTH(WORKDAY(P275,-(Setup!$C$13+Setup!$G$34),Setup!$C$39:$C$50))&gt;=Setup!$C$15,MONTH(WORKDAY(P275,-(Setup!$C$13+Setup!$G$34),Setup!$C$39:$C$50))&lt;=Setup!$C$16),OR(MONTH(WORKDAY(P275,-(Setup!$C$13+Setup!$G$34),Setup!$C$39:$C$50))&gt;=Setup!$C$15,MONTH(WORKDAY(P275,-(Setup!$C$13+Setup!$G$34),Setup!$C$39:$C$50))&lt;=Setup!$C$16))),WORKDAY(P275,-(Setup!$C$13+Setup!$G$34+Setup!$C$14),Setup!$C$39:$C$50),WORKDAY(P275,-(Setup!$C$13+Setup!$G$34),Setup!$C$39:$C$50))+(270*100+15)/10000000)))</f>
        <v/>
      </c>
      <c r="AH275" t="str">
        <f t="shared" si="33"/>
        <v/>
      </c>
      <c r="AI275" t="str">
        <f t="shared" si="34"/>
        <v/>
      </c>
      <c r="AK275" t="str">
        <f ca="1">IF(270&gt;$AK$2,"",SMALL($R$6:$AF$505,270))</f>
        <v/>
      </c>
      <c r="AL275" t="str">
        <f t="shared" ca="1" si="35"/>
        <v/>
      </c>
      <c r="AM275" t="str">
        <f t="shared" ca="1" si="36"/>
        <v/>
      </c>
      <c r="AN275" t="str">
        <f t="shared" ca="1" si="37"/>
        <v/>
      </c>
      <c r="AP275" t="str">
        <f>IF(ISNUMBER(Roster!$B275),MAX(1,YEAR(Setup!$C$5)-YEAR(Roster!$B275)+IF(EDATE(Roster!$B275,12*(YEAR(Setup!$C$5)-YEAR(Roster!$B275)))&lt;Setup!$C$5,1,0)),"")</f>
        <v/>
      </c>
      <c r="AQ275" s="32" t="str">
        <f>IF(AP275="","",EDATE(Roster!$B275,12*AP275))</f>
        <v/>
      </c>
      <c r="AR275" t="str">
        <f>IF(AQ275="","",IF(AQ275&lt;DATE(YEAR(Setup!$C$5)+1,MONTH(Setup!$C$5),DAY(Setup!$C$5)),AQ275+270/1000,""))</f>
        <v/>
      </c>
      <c r="AS275" t="str">
        <f t="shared" si="38"/>
        <v/>
      </c>
      <c r="AT275" t="str">
        <f>IF(AS275="","",IF(ISNUMBER(Roster!$D275),Roster!$D275&gt;=AP275,FALSE))</f>
        <v/>
      </c>
      <c r="AU275" t="str">
        <f t="shared" si="39"/>
        <v/>
      </c>
      <c r="AV275" t="str">
        <f ca="1">IF(270&gt;$AV$2,"",SMALL($AR$6:$AR$505,270))</f>
        <v/>
      </c>
      <c r="AW275" t="str">
        <f t="shared" ca="1" si="40"/>
        <v/>
      </c>
    </row>
    <row r="276" spans="2:49" x14ac:dyDescent="0.2">
      <c r="B276" s="32" t="str">
        <f>IF(AND(ISNUMBER(Roster!$B276),Setup!$B$20="Yes",ISNUMBER(Setup!$C$20)),EDATE(Roster!$B276,12*Setup!$C$20),"")</f>
        <v/>
      </c>
      <c r="C276" s="32" t="str">
        <f>IF(AND(ISNUMBER(Roster!$B276),Setup!$B$21="Yes",ISNUMBER(Setup!$C$21)),EDATE(Roster!$B276,12*Setup!$C$21),"")</f>
        <v/>
      </c>
      <c r="D276" s="32" t="str">
        <f>IF(AND(ISNUMBER(Roster!$B276),Setup!$B$22="Yes",ISNUMBER(Setup!$C$22)),EDATE(Roster!$B276,12*Setup!$C$22),"")</f>
        <v/>
      </c>
      <c r="E276" s="32" t="str">
        <f>IF(AND(ISNUMBER(Roster!$B276),Setup!$B$23="Yes",ISNUMBER(Setup!$C$23)),EDATE(Roster!$B276,12*Setup!$C$23),"")</f>
        <v/>
      </c>
      <c r="F276" s="32" t="str">
        <f>IF(AND(ISNUMBER(Roster!$B276),Setup!$B$24="Yes",ISNUMBER(Setup!$C$24)),EDATE(Roster!$B276,12*Setup!$C$24),"")</f>
        <v/>
      </c>
      <c r="G276" s="32" t="str">
        <f>IF(AND(ISNUMBER(Roster!$B276),Setup!$B$25="Yes",ISNUMBER(Setup!$C$25)),EDATE(Roster!$B276,12*Setup!$C$25),"")</f>
        <v/>
      </c>
      <c r="H276" s="32" t="str">
        <f>IF(AND(ISNUMBER(Roster!$B276),Setup!$B$26="Yes",ISNUMBER(Setup!$C$26)),EDATE(Roster!$B276,12*Setup!$C$26),"")</f>
        <v/>
      </c>
      <c r="I276" s="32" t="str">
        <f>IF(AND(ISNUMBER(Roster!$B276),Setup!$B$27="Yes",ISNUMBER(Setup!$C$27)),EDATE(Roster!$B276,12*Setup!$C$27),"")</f>
        <v/>
      </c>
      <c r="J276" s="32" t="str">
        <f>IF(AND(ISNUMBER(Roster!$B276),Setup!$B$28="Yes",ISNUMBER(Setup!$C$28)),EDATE(Roster!$B276,12*Setup!$C$28),"")</f>
        <v/>
      </c>
      <c r="K276" s="32" t="str">
        <f>IF(AND(ISNUMBER(Roster!$B276),Setup!$B$29="Yes",ISNUMBER(Setup!$C$29)),EDATE(Roster!$B276,12*Setup!$C$29),"")</f>
        <v/>
      </c>
      <c r="L276" s="32" t="str">
        <f>IF(AND(ISNUMBER(Roster!$B276),Setup!$B$30="Yes",ISNUMBER(Setup!$C$30)),EDATE(Roster!$B276,12*Setup!$C$30),"")</f>
        <v/>
      </c>
      <c r="M276" s="32" t="str">
        <f>IF(AND(ISNUMBER(Roster!$B276),Setup!$B$31="Yes",ISNUMBER(Setup!$C$31)),EDATE(Roster!$B276,12*Setup!$C$31),"")</f>
        <v/>
      </c>
      <c r="N276" s="32" t="str">
        <f>IF(AND(ISNUMBER(Roster!$B276),Setup!$B$32="Yes",ISNUMBER(Setup!$C$32)),EDATE(Roster!$B276,12*Setup!$C$32),"")</f>
        <v/>
      </c>
      <c r="O276" s="32" t="str">
        <f>IF(AND(ISNUMBER(Roster!$B276),Setup!$B$33="Yes",ISNUMBER(Setup!$C$33)),EDATE(Roster!$B276,12*Setup!$C$33),"")</f>
        <v/>
      </c>
      <c r="P276" s="32" t="str">
        <f>IF(AND(ISNUMBER(Roster!$B276),Setup!$B$34="Yes",ISNUMBER(Setup!$C$34)),EDATE(Roster!$B276,12*Setup!$C$34),"")</f>
        <v/>
      </c>
      <c r="R276" t="str">
        <f>IF(B276="","",IF(B276&lt;Setup!$C$5-Setup!$C$6,"",IF(IF(ISNUMBER(Roster!$D276),Setup!$C$20&lt;=Roster!$D276,FALSE),"",IF(OR(IF(Setup!$C$15&lt;=Setup!$C$16,AND(MONTH(B276)&gt;=Setup!$C$15,MONTH(B276)&lt;=Setup!$C$16),OR(MONTH(B276)&gt;=Setup!$C$15,MONTH(B276)&lt;=Setup!$C$16)),IF(Setup!$C$15&lt;=Setup!$C$16,AND(MONTH(WORKDAY(B276,-(Setup!$C$13+Setup!$G$20),Setup!$C$39:$C$50))&gt;=Setup!$C$15,MONTH(WORKDAY(B276,-(Setup!$C$13+Setup!$G$20),Setup!$C$39:$C$50))&lt;=Setup!$C$16),OR(MONTH(WORKDAY(B276,-(Setup!$C$13+Setup!$G$20),Setup!$C$39:$C$50))&gt;=Setup!$C$15,MONTH(WORKDAY(B276,-(Setup!$C$13+Setup!$G$20),Setup!$C$39:$C$50))&lt;=Setup!$C$16))),WORKDAY(B276,-(Setup!$C$13+Setup!$G$20+Setup!$C$14),Setup!$C$39:$C$50),WORKDAY(B276,-(Setup!$C$13+Setup!$G$20),Setup!$C$39:$C$50))+(271*100+1)/10000000)))</f>
        <v/>
      </c>
      <c r="S276" t="str">
        <f>IF(C276="","",IF(C276&lt;Setup!$C$5-Setup!$C$6,"",IF(IF(ISNUMBER(Roster!$D276),Setup!$C$21&lt;=Roster!$D276,FALSE),"",IF(OR(IF(Setup!$C$15&lt;=Setup!$C$16,AND(MONTH(C276)&gt;=Setup!$C$15,MONTH(C276)&lt;=Setup!$C$16),OR(MONTH(C276)&gt;=Setup!$C$15,MONTH(C276)&lt;=Setup!$C$16)),IF(Setup!$C$15&lt;=Setup!$C$16,AND(MONTH(WORKDAY(C276,-(Setup!$C$13+Setup!$G$21),Setup!$C$39:$C$50))&gt;=Setup!$C$15,MONTH(WORKDAY(C276,-(Setup!$C$13+Setup!$G$21),Setup!$C$39:$C$50))&lt;=Setup!$C$16),OR(MONTH(WORKDAY(C276,-(Setup!$C$13+Setup!$G$21),Setup!$C$39:$C$50))&gt;=Setup!$C$15,MONTH(WORKDAY(C276,-(Setup!$C$13+Setup!$G$21),Setup!$C$39:$C$50))&lt;=Setup!$C$16))),WORKDAY(C276,-(Setup!$C$13+Setup!$G$21+Setup!$C$14),Setup!$C$39:$C$50),WORKDAY(C276,-(Setup!$C$13+Setup!$G$21),Setup!$C$39:$C$50))+(271*100+2)/10000000)))</f>
        <v/>
      </c>
      <c r="T276" t="str">
        <f>IF(D276="","",IF(D276&lt;Setup!$C$5-Setup!$C$6,"",IF(IF(ISNUMBER(Roster!$D276),Setup!$C$22&lt;=Roster!$D276,FALSE),"",IF(OR(IF(Setup!$C$15&lt;=Setup!$C$16,AND(MONTH(D276)&gt;=Setup!$C$15,MONTH(D276)&lt;=Setup!$C$16),OR(MONTH(D276)&gt;=Setup!$C$15,MONTH(D276)&lt;=Setup!$C$16)),IF(Setup!$C$15&lt;=Setup!$C$16,AND(MONTH(WORKDAY(D276,-(Setup!$C$13+Setup!$G$22),Setup!$C$39:$C$50))&gt;=Setup!$C$15,MONTH(WORKDAY(D276,-(Setup!$C$13+Setup!$G$22),Setup!$C$39:$C$50))&lt;=Setup!$C$16),OR(MONTH(WORKDAY(D276,-(Setup!$C$13+Setup!$G$22),Setup!$C$39:$C$50))&gt;=Setup!$C$15,MONTH(WORKDAY(D276,-(Setup!$C$13+Setup!$G$22),Setup!$C$39:$C$50))&lt;=Setup!$C$16))),WORKDAY(D276,-(Setup!$C$13+Setup!$G$22+Setup!$C$14),Setup!$C$39:$C$50),WORKDAY(D276,-(Setup!$C$13+Setup!$G$22),Setup!$C$39:$C$50))+(271*100+3)/10000000)))</f>
        <v/>
      </c>
      <c r="U276" t="str">
        <f>IF(E276="","",IF(E276&lt;Setup!$C$5-Setup!$C$6,"",IF(IF(ISNUMBER(Roster!$D276),Setup!$C$23&lt;=Roster!$D276,FALSE),"",IF(OR(IF(Setup!$C$15&lt;=Setup!$C$16,AND(MONTH(E276)&gt;=Setup!$C$15,MONTH(E276)&lt;=Setup!$C$16),OR(MONTH(E276)&gt;=Setup!$C$15,MONTH(E276)&lt;=Setup!$C$16)),IF(Setup!$C$15&lt;=Setup!$C$16,AND(MONTH(WORKDAY(E276,-(Setup!$C$13+Setup!$G$23),Setup!$C$39:$C$50))&gt;=Setup!$C$15,MONTH(WORKDAY(E276,-(Setup!$C$13+Setup!$G$23),Setup!$C$39:$C$50))&lt;=Setup!$C$16),OR(MONTH(WORKDAY(E276,-(Setup!$C$13+Setup!$G$23),Setup!$C$39:$C$50))&gt;=Setup!$C$15,MONTH(WORKDAY(E276,-(Setup!$C$13+Setup!$G$23),Setup!$C$39:$C$50))&lt;=Setup!$C$16))),WORKDAY(E276,-(Setup!$C$13+Setup!$G$23+Setup!$C$14),Setup!$C$39:$C$50),WORKDAY(E276,-(Setup!$C$13+Setup!$G$23),Setup!$C$39:$C$50))+(271*100+4)/10000000)))</f>
        <v/>
      </c>
      <c r="V276" t="str">
        <f>IF(F276="","",IF(F276&lt;Setup!$C$5-Setup!$C$6,"",IF(IF(ISNUMBER(Roster!$D276),Setup!$C$24&lt;=Roster!$D276,FALSE),"",IF(OR(IF(Setup!$C$15&lt;=Setup!$C$16,AND(MONTH(F276)&gt;=Setup!$C$15,MONTH(F276)&lt;=Setup!$C$16),OR(MONTH(F276)&gt;=Setup!$C$15,MONTH(F276)&lt;=Setup!$C$16)),IF(Setup!$C$15&lt;=Setup!$C$16,AND(MONTH(WORKDAY(F276,-(Setup!$C$13+Setup!$G$24),Setup!$C$39:$C$50))&gt;=Setup!$C$15,MONTH(WORKDAY(F276,-(Setup!$C$13+Setup!$G$24),Setup!$C$39:$C$50))&lt;=Setup!$C$16),OR(MONTH(WORKDAY(F276,-(Setup!$C$13+Setup!$G$24),Setup!$C$39:$C$50))&gt;=Setup!$C$15,MONTH(WORKDAY(F276,-(Setup!$C$13+Setup!$G$24),Setup!$C$39:$C$50))&lt;=Setup!$C$16))),WORKDAY(F276,-(Setup!$C$13+Setup!$G$24+Setup!$C$14),Setup!$C$39:$C$50),WORKDAY(F276,-(Setup!$C$13+Setup!$G$24),Setup!$C$39:$C$50))+(271*100+5)/10000000)))</f>
        <v/>
      </c>
      <c r="W276" t="str">
        <f>IF(G276="","",IF(G276&lt;Setup!$C$5-Setup!$C$6,"",IF(IF(ISNUMBER(Roster!$D276),Setup!$C$25&lt;=Roster!$D276,FALSE),"",IF(OR(IF(Setup!$C$15&lt;=Setup!$C$16,AND(MONTH(G276)&gt;=Setup!$C$15,MONTH(G276)&lt;=Setup!$C$16),OR(MONTH(G276)&gt;=Setup!$C$15,MONTH(G276)&lt;=Setup!$C$16)),IF(Setup!$C$15&lt;=Setup!$C$16,AND(MONTH(WORKDAY(G276,-(Setup!$C$13+Setup!$G$25),Setup!$C$39:$C$50))&gt;=Setup!$C$15,MONTH(WORKDAY(G276,-(Setup!$C$13+Setup!$G$25),Setup!$C$39:$C$50))&lt;=Setup!$C$16),OR(MONTH(WORKDAY(G276,-(Setup!$C$13+Setup!$G$25),Setup!$C$39:$C$50))&gt;=Setup!$C$15,MONTH(WORKDAY(G276,-(Setup!$C$13+Setup!$G$25),Setup!$C$39:$C$50))&lt;=Setup!$C$16))),WORKDAY(G276,-(Setup!$C$13+Setup!$G$25+Setup!$C$14),Setup!$C$39:$C$50),WORKDAY(G276,-(Setup!$C$13+Setup!$G$25),Setup!$C$39:$C$50))+(271*100+6)/10000000)))</f>
        <v/>
      </c>
      <c r="X276" t="str">
        <f>IF(H276="","",IF(H276&lt;Setup!$C$5-Setup!$C$6,"",IF(IF(ISNUMBER(Roster!$D276),Setup!$C$26&lt;=Roster!$D276,FALSE),"",IF(OR(IF(Setup!$C$15&lt;=Setup!$C$16,AND(MONTH(H276)&gt;=Setup!$C$15,MONTH(H276)&lt;=Setup!$C$16),OR(MONTH(H276)&gt;=Setup!$C$15,MONTH(H276)&lt;=Setup!$C$16)),IF(Setup!$C$15&lt;=Setup!$C$16,AND(MONTH(WORKDAY(H276,-(Setup!$C$13+Setup!$G$26),Setup!$C$39:$C$50))&gt;=Setup!$C$15,MONTH(WORKDAY(H276,-(Setup!$C$13+Setup!$G$26),Setup!$C$39:$C$50))&lt;=Setup!$C$16),OR(MONTH(WORKDAY(H276,-(Setup!$C$13+Setup!$G$26),Setup!$C$39:$C$50))&gt;=Setup!$C$15,MONTH(WORKDAY(H276,-(Setup!$C$13+Setup!$G$26),Setup!$C$39:$C$50))&lt;=Setup!$C$16))),WORKDAY(H276,-(Setup!$C$13+Setup!$G$26+Setup!$C$14),Setup!$C$39:$C$50),WORKDAY(H276,-(Setup!$C$13+Setup!$G$26),Setup!$C$39:$C$50))+(271*100+7)/10000000)))</f>
        <v/>
      </c>
      <c r="Y276" t="str">
        <f>IF(I276="","",IF(I276&lt;Setup!$C$5-Setup!$C$6,"",IF(IF(ISNUMBER(Roster!$D276),Setup!$C$27&lt;=Roster!$D276,FALSE),"",IF(OR(IF(Setup!$C$15&lt;=Setup!$C$16,AND(MONTH(I276)&gt;=Setup!$C$15,MONTH(I276)&lt;=Setup!$C$16),OR(MONTH(I276)&gt;=Setup!$C$15,MONTH(I276)&lt;=Setup!$C$16)),IF(Setup!$C$15&lt;=Setup!$C$16,AND(MONTH(WORKDAY(I276,-(Setup!$C$13+Setup!$G$27),Setup!$C$39:$C$50))&gt;=Setup!$C$15,MONTH(WORKDAY(I276,-(Setup!$C$13+Setup!$G$27),Setup!$C$39:$C$50))&lt;=Setup!$C$16),OR(MONTH(WORKDAY(I276,-(Setup!$C$13+Setup!$G$27),Setup!$C$39:$C$50))&gt;=Setup!$C$15,MONTH(WORKDAY(I276,-(Setup!$C$13+Setup!$G$27),Setup!$C$39:$C$50))&lt;=Setup!$C$16))),WORKDAY(I276,-(Setup!$C$13+Setup!$G$27+Setup!$C$14),Setup!$C$39:$C$50),WORKDAY(I276,-(Setup!$C$13+Setup!$G$27),Setup!$C$39:$C$50))+(271*100+8)/10000000)))</f>
        <v/>
      </c>
      <c r="Z276" t="str">
        <f>IF(J276="","",IF(J276&lt;Setup!$C$5-Setup!$C$6,"",IF(IF(ISNUMBER(Roster!$D276),Setup!$C$28&lt;=Roster!$D276,FALSE),"",IF(OR(IF(Setup!$C$15&lt;=Setup!$C$16,AND(MONTH(J276)&gt;=Setup!$C$15,MONTH(J276)&lt;=Setup!$C$16),OR(MONTH(J276)&gt;=Setup!$C$15,MONTH(J276)&lt;=Setup!$C$16)),IF(Setup!$C$15&lt;=Setup!$C$16,AND(MONTH(WORKDAY(J276,-(Setup!$C$13+Setup!$G$28),Setup!$C$39:$C$50))&gt;=Setup!$C$15,MONTH(WORKDAY(J276,-(Setup!$C$13+Setup!$G$28),Setup!$C$39:$C$50))&lt;=Setup!$C$16),OR(MONTH(WORKDAY(J276,-(Setup!$C$13+Setup!$G$28),Setup!$C$39:$C$50))&gt;=Setup!$C$15,MONTH(WORKDAY(J276,-(Setup!$C$13+Setup!$G$28),Setup!$C$39:$C$50))&lt;=Setup!$C$16))),WORKDAY(J276,-(Setup!$C$13+Setup!$G$28+Setup!$C$14),Setup!$C$39:$C$50),WORKDAY(J276,-(Setup!$C$13+Setup!$G$28),Setup!$C$39:$C$50))+(271*100+9)/10000000)))</f>
        <v/>
      </c>
      <c r="AA276" t="str">
        <f>IF(K276="","",IF(K276&lt;Setup!$C$5-Setup!$C$6,"",IF(IF(ISNUMBER(Roster!$D276),Setup!$C$29&lt;=Roster!$D276,FALSE),"",IF(OR(IF(Setup!$C$15&lt;=Setup!$C$16,AND(MONTH(K276)&gt;=Setup!$C$15,MONTH(K276)&lt;=Setup!$C$16),OR(MONTH(K276)&gt;=Setup!$C$15,MONTH(K276)&lt;=Setup!$C$16)),IF(Setup!$C$15&lt;=Setup!$C$16,AND(MONTH(WORKDAY(K276,-(Setup!$C$13+Setup!$G$29),Setup!$C$39:$C$50))&gt;=Setup!$C$15,MONTH(WORKDAY(K276,-(Setup!$C$13+Setup!$G$29),Setup!$C$39:$C$50))&lt;=Setup!$C$16),OR(MONTH(WORKDAY(K276,-(Setup!$C$13+Setup!$G$29),Setup!$C$39:$C$50))&gt;=Setup!$C$15,MONTH(WORKDAY(K276,-(Setup!$C$13+Setup!$G$29),Setup!$C$39:$C$50))&lt;=Setup!$C$16))),WORKDAY(K276,-(Setup!$C$13+Setup!$G$29+Setup!$C$14),Setup!$C$39:$C$50),WORKDAY(K276,-(Setup!$C$13+Setup!$G$29),Setup!$C$39:$C$50))+(271*100+10)/10000000)))</f>
        <v/>
      </c>
      <c r="AB276" t="str">
        <f>IF(L276="","",IF(L276&lt;Setup!$C$5-Setup!$C$6,"",IF(IF(ISNUMBER(Roster!$D276),Setup!$C$30&lt;=Roster!$D276,FALSE),"",IF(OR(IF(Setup!$C$15&lt;=Setup!$C$16,AND(MONTH(L276)&gt;=Setup!$C$15,MONTH(L276)&lt;=Setup!$C$16),OR(MONTH(L276)&gt;=Setup!$C$15,MONTH(L276)&lt;=Setup!$C$16)),IF(Setup!$C$15&lt;=Setup!$C$16,AND(MONTH(WORKDAY(L276,-(Setup!$C$13+Setup!$G$30),Setup!$C$39:$C$50))&gt;=Setup!$C$15,MONTH(WORKDAY(L276,-(Setup!$C$13+Setup!$G$30),Setup!$C$39:$C$50))&lt;=Setup!$C$16),OR(MONTH(WORKDAY(L276,-(Setup!$C$13+Setup!$G$30),Setup!$C$39:$C$50))&gt;=Setup!$C$15,MONTH(WORKDAY(L276,-(Setup!$C$13+Setup!$G$30),Setup!$C$39:$C$50))&lt;=Setup!$C$16))),WORKDAY(L276,-(Setup!$C$13+Setup!$G$30+Setup!$C$14),Setup!$C$39:$C$50),WORKDAY(L276,-(Setup!$C$13+Setup!$G$30),Setup!$C$39:$C$50))+(271*100+11)/10000000)))</f>
        <v/>
      </c>
      <c r="AC276" t="str">
        <f>IF(M276="","",IF(M276&lt;Setup!$C$5-Setup!$C$6,"",IF(IF(ISNUMBER(Roster!$D276),Setup!$C$31&lt;=Roster!$D276,FALSE),"",IF(OR(IF(Setup!$C$15&lt;=Setup!$C$16,AND(MONTH(M276)&gt;=Setup!$C$15,MONTH(M276)&lt;=Setup!$C$16),OR(MONTH(M276)&gt;=Setup!$C$15,MONTH(M276)&lt;=Setup!$C$16)),IF(Setup!$C$15&lt;=Setup!$C$16,AND(MONTH(WORKDAY(M276,-(Setup!$C$13+Setup!$G$31),Setup!$C$39:$C$50))&gt;=Setup!$C$15,MONTH(WORKDAY(M276,-(Setup!$C$13+Setup!$G$31),Setup!$C$39:$C$50))&lt;=Setup!$C$16),OR(MONTH(WORKDAY(M276,-(Setup!$C$13+Setup!$G$31),Setup!$C$39:$C$50))&gt;=Setup!$C$15,MONTH(WORKDAY(M276,-(Setup!$C$13+Setup!$G$31),Setup!$C$39:$C$50))&lt;=Setup!$C$16))),WORKDAY(M276,-(Setup!$C$13+Setup!$G$31+Setup!$C$14),Setup!$C$39:$C$50),WORKDAY(M276,-(Setup!$C$13+Setup!$G$31),Setup!$C$39:$C$50))+(271*100+12)/10000000)))</f>
        <v/>
      </c>
      <c r="AD276" t="str">
        <f>IF(N276="","",IF(N276&lt;Setup!$C$5-Setup!$C$6,"",IF(IF(ISNUMBER(Roster!$D276),Setup!$C$32&lt;=Roster!$D276,FALSE),"",IF(OR(IF(Setup!$C$15&lt;=Setup!$C$16,AND(MONTH(N276)&gt;=Setup!$C$15,MONTH(N276)&lt;=Setup!$C$16),OR(MONTH(N276)&gt;=Setup!$C$15,MONTH(N276)&lt;=Setup!$C$16)),IF(Setup!$C$15&lt;=Setup!$C$16,AND(MONTH(WORKDAY(N276,-(Setup!$C$13+Setup!$G$32),Setup!$C$39:$C$50))&gt;=Setup!$C$15,MONTH(WORKDAY(N276,-(Setup!$C$13+Setup!$G$32),Setup!$C$39:$C$50))&lt;=Setup!$C$16),OR(MONTH(WORKDAY(N276,-(Setup!$C$13+Setup!$G$32),Setup!$C$39:$C$50))&gt;=Setup!$C$15,MONTH(WORKDAY(N276,-(Setup!$C$13+Setup!$G$32),Setup!$C$39:$C$50))&lt;=Setup!$C$16))),WORKDAY(N276,-(Setup!$C$13+Setup!$G$32+Setup!$C$14),Setup!$C$39:$C$50),WORKDAY(N276,-(Setup!$C$13+Setup!$G$32),Setup!$C$39:$C$50))+(271*100+13)/10000000)))</f>
        <v/>
      </c>
      <c r="AE276" t="str">
        <f>IF(O276="","",IF(O276&lt;Setup!$C$5-Setup!$C$6,"",IF(IF(ISNUMBER(Roster!$D276),Setup!$C$33&lt;=Roster!$D276,FALSE),"",IF(OR(IF(Setup!$C$15&lt;=Setup!$C$16,AND(MONTH(O276)&gt;=Setup!$C$15,MONTH(O276)&lt;=Setup!$C$16),OR(MONTH(O276)&gt;=Setup!$C$15,MONTH(O276)&lt;=Setup!$C$16)),IF(Setup!$C$15&lt;=Setup!$C$16,AND(MONTH(WORKDAY(O276,-(Setup!$C$13+Setup!$G$33),Setup!$C$39:$C$50))&gt;=Setup!$C$15,MONTH(WORKDAY(O276,-(Setup!$C$13+Setup!$G$33),Setup!$C$39:$C$50))&lt;=Setup!$C$16),OR(MONTH(WORKDAY(O276,-(Setup!$C$13+Setup!$G$33),Setup!$C$39:$C$50))&gt;=Setup!$C$15,MONTH(WORKDAY(O276,-(Setup!$C$13+Setup!$G$33),Setup!$C$39:$C$50))&lt;=Setup!$C$16))),WORKDAY(O276,-(Setup!$C$13+Setup!$G$33+Setup!$C$14),Setup!$C$39:$C$50),WORKDAY(O276,-(Setup!$C$13+Setup!$G$33),Setup!$C$39:$C$50))+(271*100+14)/10000000)))</f>
        <v/>
      </c>
      <c r="AF276" t="str">
        <f>IF(P276="","",IF(P276&lt;Setup!$C$5-Setup!$C$6,"",IF(IF(ISNUMBER(Roster!$D276),Setup!$C$34&lt;=Roster!$D276,FALSE),"",IF(OR(IF(Setup!$C$15&lt;=Setup!$C$16,AND(MONTH(P276)&gt;=Setup!$C$15,MONTH(P276)&lt;=Setup!$C$16),OR(MONTH(P276)&gt;=Setup!$C$15,MONTH(P276)&lt;=Setup!$C$16)),IF(Setup!$C$15&lt;=Setup!$C$16,AND(MONTH(WORKDAY(P276,-(Setup!$C$13+Setup!$G$34),Setup!$C$39:$C$50))&gt;=Setup!$C$15,MONTH(WORKDAY(P276,-(Setup!$C$13+Setup!$G$34),Setup!$C$39:$C$50))&lt;=Setup!$C$16),OR(MONTH(WORKDAY(P276,-(Setup!$C$13+Setup!$G$34),Setup!$C$39:$C$50))&gt;=Setup!$C$15,MONTH(WORKDAY(P276,-(Setup!$C$13+Setup!$G$34),Setup!$C$39:$C$50))&lt;=Setup!$C$16))),WORKDAY(P276,-(Setup!$C$13+Setup!$G$34+Setup!$C$14),Setup!$C$39:$C$50),WORKDAY(P276,-(Setup!$C$13+Setup!$G$34),Setup!$C$39:$C$50))+(271*100+15)/10000000)))</f>
        <v/>
      </c>
      <c r="AH276" t="str">
        <f t="shared" si="33"/>
        <v/>
      </c>
      <c r="AI276" t="str">
        <f t="shared" si="34"/>
        <v/>
      </c>
      <c r="AK276" t="str">
        <f ca="1">IF(271&gt;$AK$2,"",SMALL($R$6:$AF$505,271))</f>
        <v/>
      </c>
      <c r="AL276" t="str">
        <f t="shared" ca="1" si="35"/>
        <v/>
      </c>
      <c r="AM276" t="str">
        <f t="shared" ca="1" si="36"/>
        <v/>
      </c>
      <c r="AN276" t="str">
        <f t="shared" ca="1" si="37"/>
        <v/>
      </c>
      <c r="AP276" t="str">
        <f>IF(ISNUMBER(Roster!$B276),MAX(1,YEAR(Setup!$C$5)-YEAR(Roster!$B276)+IF(EDATE(Roster!$B276,12*(YEAR(Setup!$C$5)-YEAR(Roster!$B276)))&lt;Setup!$C$5,1,0)),"")</f>
        <v/>
      </c>
      <c r="AQ276" s="32" t="str">
        <f>IF(AP276="","",EDATE(Roster!$B276,12*AP276))</f>
        <v/>
      </c>
      <c r="AR276" t="str">
        <f>IF(AQ276="","",IF(AQ276&lt;DATE(YEAR(Setup!$C$5)+1,MONTH(Setup!$C$5),DAY(Setup!$C$5)),AQ276+271/1000,""))</f>
        <v/>
      </c>
      <c r="AS276" t="str">
        <f t="shared" si="38"/>
        <v/>
      </c>
      <c r="AT276" t="str">
        <f>IF(AS276="","",IF(ISNUMBER(Roster!$D276),Roster!$D276&gt;=AP276,FALSE))</f>
        <v/>
      </c>
      <c r="AU276" t="str">
        <f t="shared" si="39"/>
        <v/>
      </c>
      <c r="AV276" t="str">
        <f ca="1">IF(271&gt;$AV$2,"",SMALL($AR$6:$AR$505,271))</f>
        <v/>
      </c>
      <c r="AW276" t="str">
        <f t="shared" ca="1" si="40"/>
        <v/>
      </c>
    </row>
    <row r="277" spans="2:49" x14ac:dyDescent="0.2">
      <c r="B277" s="32" t="str">
        <f>IF(AND(ISNUMBER(Roster!$B277),Setup!$B$20="Yes",ISNUMBER(Setup!$C$20)),EDATE(Roster!$B277,12*Setup!$C$20),"")</f>
        <v/>
      </c>
      <c r="C277" s="32" t="str">
        <f>IF(AND(ISNUMBER(Roster!$B277),Setup!$B$21="Yes",ISNUMBER(Setup!$C$21)),EDATE(Roster!$B277,12*Setup!$C$21),"")</f>
        <v/>
      </c>
      <c r="D277" s="32" t="str">
        <f>IF(AND(ISNUMBER(Roster!$B277),Setup!$B$22="Yes",ISNUMBER(Setup!$C$22)),EDATE(Roster!$B277,12*Setup!$C$22),"")</f>
        <v/>
      </c>
      <c r="E277" s="32" t="str">
        <f>IF(AND(ISNUMBER(Roster!$B277),Setup!$B$23="Yes",ISNUMBER(Setup!$C$23)),EDATE(Roster!$B277,12*Setup!$C$23),"")</f>
        <v/>
      </c>
      <c r="F277" s="32" t="str">
        <f>IF(AND(ISNUMBER(Roster!$B277),Setup!$B$24="Yes",ISNUMBER(Setup!$C$24)),EDATE(Roster!$B277,12*Setup!$C$24),"")</f>
        <v/>
      </c>
      <c r="G277" s="32" t="str">
        <f>IF(AND(ISNUMBER(Roster!$B277),Setup!$B$25="Yes",ISNUMBER(Setup!$C$25)),EDATE(Roster!$B277,12*Setup!$C$25),"")</f>
        <v/>
      </c>
      <c r="H277" s="32" t="str">
        <f>IF(AND(ISNUMBER(Roster!$B277),Setup!$B$26="Yes",ISNUMBER(Setup!$C$26)),EDATE(Roster!$B277,12*Setup!$C$26),"")</f>
        <v/>
      </c>
      <c r="I277" s="32" t="str">
        <f>IF(AND(ISNUMBER(Roster!$B277),Setup!$B$27="Yes",ISNUMBER(Setup!$C$27)),EDATE(Roster!$B277,12*Setup!$C$27),"")</f>
        <v/>
      </c>
      <c r="J277" s="32" t="str">
        <f>IF(AND(ISNUMBER(Roster!$B277),Setup!$B$28="Yes",ISNUMBER(Setup!$C$28)),EDATE(Roster!$B277,12*Setup!$C$28),"")</f>
        <v/>
      </c>
      <c r="K277" s="32" t="str">
        <f>IF(AND(ISNUMBER(Roster!$B277),Setup!$B$29="Yes",ISNUMBER(Setup!$C$29)),EDATE(Roster!$B277,12*Setup!$C$29),"")</f>
        <v/>
      </c>
      <c r="L277" s="32" t="str">
        <f>IF(AND(ISNUMBER(Roster!$B277),Setup!$B$30="Yes",ISNUMBER(Setup!$C$30)),EDATE(Roster!$B277,12*Setup!$C$30),"")</f>
        <v/>
      </c>
      <c r="M277" s="32" t="str">
        <f>IF(AND(ISNUMBER(Roster!$B277),Setup!$B$31="Yes",ISNUMBER(Setup!$C$31)),EDATE(Roster!$B277,12*Setup!$C$31),"")</f>
        <v/>
      </c>
      <c r="N277" s="32" t="str">
        <f>IF(AND(ISNUMBER(Roster!$B277),Setup!$B$32="Yes",ISNUMBER(Setup!$C$32)),EDATE(Roster!$B277,12*Setup!$C$32),"")</f>
        <v/>
      </c>
      <c r="O277" s="32" t="str">
        <f>IF(AND(ISNUMBER(Roster!$B277),Setup!$B$33="Yes",ISNUMBER(Setup!$C$33)),EDATE(Roster!$B277,12*Setup!$C$33),"")</f>
        <v/>
      </c>
      <c r="P277" s="32" t="str">
        <f>IF(AND(ISNUMBER(Roster!$B277),Setup!$B$34="Yes",ISNUMBER(Setup!$C$34)),EDATE(Roster!$B277,12*Setup!$C$34),"")</f>
        <v/>
      </c>
      <c r="R277" t="str">
        <f>IF(B277="","",IF(B277&lt;Setup!$C$5-Setup!$C$6,"",IF(IF(ISNUMBER(Roster!$D277),Setup!$C$20&lt;=Roster!$D277,FALSE),"",IF(OR(IF(Setup!$C$15&lt;=Setup!$C$16,AND(MONTH(B277)&gt;=Setup!$C$15,MONTH(B277)&lt;=Setup!$C$16),OR(MONTH(B277)&gt;=Setup!$C$15,MONTH(B277)&lt;=Setup!$C$16)),IF(Setup!$C$15&lt;=Setup!$C$16,AND(MONTH(WORKDAY(B277,-(Setup!$C$13+Setup!$G$20),Setup!$C$39:$C$50))&gt;=Setup!$C$15,MONTH(WORKDAY(B277,-(Setup!$C$13+Setup!$G$20),Setup!$C$39:$C$50))&lt;=Setup!$C$16),OR(MONTH(WORKDAY(B277,-(Setup!$C$13+Setup!$G$20),Setup!$C$39:$C$50))&gt;=Setup!$C$15,MONTH(WORKDAY(B277,-(Setup!$C$13+Setup!$G$20),Setup!$C$39:$C$50))&lt;=Setup!$C$16))),WORKDAY(B277,-(Setup!$C$13+Setup!$G$20+Setup!$C$14),Setup!$C$39:$C$50),WORKDAY(B277,-(Setup!$C$13+Setup!$G$20),Setup!$C$39:$C$50))+(272*100+1)/10000000)))</f>
        <v/>
      </c>
      <c r="S277" t="str">
        <f>IF(C277="","",IF(C277&lt;Setup!$C$5-Setup!$C$6,"",IF(IF(ISNUMBER(Roster!$D277),Setup!$C$21&lt;=Roster!$D277,FALSE),"",IF(OR(IF(Setup!$C$15&lt;=Setup!$C$16,AND(MONTH(C277)&gt;=Setup!$C$15,MONTH(C277)&lt;=Setup!$C$16),OR(MONTH(C277)&gt;=Setup!$C$15,MONTH(C277)&lt;=Setup!$C$16)),IF(Setup!$C$15&lt;=Setup!$C$16,AND(MONTH(WORKDAY(C277,-(Setup!$C$13+Setup!$G$21),Setup!$C$39:$C$50))&gt;=Setup!$C$15,MONTH(WORKDAY(C277,-(Setup!$C$13+Setup!$G$21),Setup!$C$39:$C$50))&lt;=Setup!$C$16),OR(MONTH(WORKDAY(C277,-(Setup!$C$13+Setup!$G$21),Setup!$C$39:$C$50))&gt;=Setup!$C$15,MONTH(WORKDAY(C277,-(Setup!$C$13+Setup!$G$21),Setup!$C$39:$C$50))&lt;=Setup!$C$16))),WORKDAY(C277,-(Setup!$C$13+Setup!$G$21+Setup!$C$14),Setup!$C$39:$C$50),WORKDAY(C277,-(Setup!$C$13+Setup!$G$21),Setup!$C$39:$C$50))+(272*100+2)/10000000)))</f>
        <v/>
      </c>
      <c r="T277" t="str">
        <f>IF(D277="","",IF(D277&lt;Setup!$C$5-Setup!$C$6,"",IF(IF(ISNUMBER(Roster!$D277),Setup!$C$22&lt;=Roster!$D277,FALSE),"",IF(OR(IF(Setup!$C$15&lt;=Setup!$C$16,AND(MONTH(D277)&gt;=Setup!$C$15,MONTH(D277)&lt;=Setup!$C$16),OR(MONTH(D277)&gt;=Setup!$C$15,MONTH(D277)&lt;=Setup!$C$16)),IF(Setup!$C$15&lt;=Setup!$C$16,AND(MONTH(WORKDAY(D277,-(Setup!$C$13+Setup!$G$22),Setup!$C$39:$C$50))&gt;=Setup!$C$15,MONTH(WORKDAY(D277,-(Setup!$C$13+Setup!$G$22),Setup!$C$39:$C$50))&lt;=Setup!$C$16),OR(MONTH(WORKDAY(D277,-(Setup!$C$13+Setup!$G$22),Setup!$C$39:$C$50))&gt;=Setup!$C$15,MONTH(WORKDAY(D277,-(Setup!$C$13+Setup!$G$22),Setup!$C$39:$C$50))&lt;=Setup!$C$16))),WORKDAY(D277,-(Setup!$C$13+Setup!$G$22+Setup!$C$14),Setup!$C$39:$C$50),WORKDAY(D277,-(Setup!$C$13+Setup!$G$22),Setup!$C$39:$C$50))+(272*100+3)/10000000)))</f>
        <v/>
      </c>
      <c r="U277" t="str">
        <f>IF(E277="","",IF(E277&lt;Setup!$C$5-Setup!$C$6,"",IF(IF(ISNUMBER(Roster!$D277),Setup!$C$23&lt;=Roster!$D277,FALSE),"",IF(OR(IF(Setup!$C$15&lt;=Setup!$C$16,AND(MONTH(E277)&gt;=Setup!$C$15,MONTH(E277)&lt;=Setup!$C$16),OR(MONTH(E277)&gt;=Setup!$C$15,MONTH(E277)&lt;=Setup!$C$16)),IF(Setup!$C$15&lt;=Setup!$C$16,AND(MONTH(WORKDAY(E277,-(Setup!$C$13+Setup!$G$23),Setup!$C$39:$C$50))&gt;=Setup!$C$15,MONTH(WORKDAY(E277,-(Setup!$C$13+Setup!$G$23),Setup!$C$39:$C$50))&lt;=Setup!$C$16),OR(MONTH(WORKDAY(E277,-(Setup!$C$13+Setup!$G$23),Setup!$C$39:$C$50))&gt;=Setup!$C$15,MONTH(WORKDAY(E277,-(Setup!$C$13+Setup!$G$23),Setup!$C$39:$C$50))&lt;=Setup!$C$16))),WORKDAY(E277,-(Setup!$C$13+Setup!$G$23+Setup!$C$14),Setup!$C$39:$C$50),WORKDAY(E277,-(Setup!$C$13+Setup!$G$23),Setup!$C$39:$C$50))+(272*100+4)/10000000)))</f>
        <v/>
      </c>
      <c r="V277" t="str">
        <f>IF(F277="","",IF(F277&lt;Setup!$C$5-Setup!$C$6,"",IF(IF(ISNUMBER(Roster!$D277),Setup!$C$24&lt;=Roster!$D277,FALSE),"",IF(OR(IF(Setup!$C$15&lt;=Setup!$C$16,AND(MONTH(F277)&gt;=Setup!$C$15,MONTH(F277)&lt;=Setup!$C$16),OR(MONTH(F277)&gt;=Setup!$C$15,MONTH(F277)&lt;=Setup!$C$16)),IF(Setup!$C$15&lt;=Setup!$C$16,AND(MONTH(WORKDAY(F277,-(Setup!$C$13+Setup!$G$24),Setup!$C$39:$C$50))&gt;=Setup!$C$15,MONTH(WORKDAY(F277,-(Setup!$C$13+Setup!$G$24),Setup!$C$39:$C$50))&lt;=Setup!$C$16),OR(MONTH(WORKDAY(F277,-(Setup!$C$13+Setup!$G$24),Setup!$C$39:$C$50))&gt;=Setup!$C$15,MONTH(WORKDAY(F277,-(Setup!$C$13+Setup!$G$24),Setup!$C$39:$C$50))&lt;=Setup!$C$16))),WORKDAY(F277,-(Setup!$C$13+Setup!$G$24+Setup!$C$14),Setup!$C$39:$C$50),WORKDAY(F277,-(Setup!$C$13+Setup!$G$24),Setup!$C$39:$C$50))+(272*100+5)/10000000)))</f>
        <v/>
      </c>
      <c r="W277" t="str">
        <f>IF(G277="","",IF(G277&lt;Setup!$C$5-Setup!$C$6,"",IF(IF(ISNUMBER(Roster!$D277),Setup!$C$25&lt;=Roster!$D277,FALSE),"",IF(OR(IF(Setup!$C$15&lt;=Setup!$C$16,AND(MONTH(G277)&gt;=Setup!$C$15,MONTH(G277)&lt;=Setup!$C$16),OR(MONTH(G277)&gt;=Setup!$C$15,MONTH(G277)&lt;=Setup!$C$16)),IF(Setup!$C$15&lt;=Setup!$C$16,AND(MONTH(WORKDAY(G277,-(Setup!$C$13+Setup!$G$25),Setup!$C$39:$C$50))&gt;=Setup!$C$15,MONTH(WORKDAY(G277,-(Setup!$C$13+Setup!$G$25),Setup!$C$39:$C$50))&lt;=Setup!$C$16),OR(MONTH(WORKDAY(G277,-(Setup!$C$13+Setup!$G$25),Setup!$C$39:$C$50))&gt;=Setup!$C$15,MONTH(WORKDAY(G277,-(Setup!$C$13+Setup!$G$25),Setup!$C$39:$C$50))&lt;=Setup!$C$16))),WORKDAY(G277,-(Setup!$C$13+Setup!$G$25+Setup!$C$14),Setup!$C$39:$C$50),WORKDAY(G277,-(Setup!$C$13+Setup!$G$25),Setup!$C$39:$C$50))+(272*100+6)/10000000)))</f>
        <v/>
      </c>
      <c r="X277" t="str">
        <f>IF(H277="","",IF(H277&lt;Setup!$C$5-Setup!$C$6,"",IF(IF(ISNUMBER(Roster!$D277),Setup!$C$26&lt;=Roster!$D277,FALSE),"",IF(OR(IF(Setup!$C$15&lt;=Setup!$C$16,AND(MONTH(H277)&gt;=Setup!$C$15,MONTH(H277)&lt;=Setup!$C$16),OR(MONTH(H277)&gt;=Setup!$C$15,MONTH(H277)&lt;=Setup!$C$16)),IF(Setup!$C$15&lt;=Setup!$C$16,AND(MONTH(WORKDAY(H277,-(Setup!$C$13+Setup!$G$26),Setup!$C$39:$C$50))&gt;=Setup!$C$15,MONTH(WORKDAY(H277,-(Setup!$C$13+Setup!$G$26),Setup!$C$39:$C$50))&lt;=Setup!$C$16),OR(MONTH(WORKDAY(H277,-(Setup!$C$13+Setup!$G$26),Setup!$C$39:$C$50))&gt;=Setup!$C$15,MONTH(WORKDAY(H277,-(Setup!$C$13+Setup!$G$26),Setup!$C$39:$C$50))&lt;=Setup!$C$16))),WORKDAY(H277,-(Setup!$C$13+Setup!$G$26+Setup!$C$14),Setup!$C$39:$C$50),WORKDAY(H277,-(Setup!$C$13+Setup!$G$26),Setup!$C$39:$C$50))+(272*100+7)/10000000)))</f>
        <v/>
      </c>
      <c r="Y277" t="str">
        <f>IF(I277="","",IF(I277&lt;Setup!$C$5-Setup!$C$6,"",IF(IF(ISNUMBER(Roster!$D277),Setup!$C$27&lt;=Roster!$D277,FALSE),"",IF(OR(IF(Setup!$C$15&lt;=Setup!$C$16,AND(MONTH(I277)&gt;=Setup!$C$15,MONTH(I277)&lt;=Setup!$C$16),OR(MONTH(I277)&gt;=Setup!$C$15,MONTH(I277)&lt;=Setup!$C$16)),IF(Setup!$C$15&lt;=Setup!$C$16,AND(MONTH(WORKDAY(I277,-(Setup!$C$13+Setup!$G$27),Setup!$C$39:$C$50))&gt;=Setup!$C$15,MONTH(WORKDAY(I277,-(Setup!$C$13+Setup!$G$27),Setup!$C$39:$C$50))&lt;=Setup!$C$16),OR(MONTH(WORKDAY(I277,-(Setup!$C$13+Setup!$G$27),Setup!$C$39:$C$50))&gt;=Setup!$C$15,MONTH(WORKDAY(I277,-(Setup!$C$13+Setup!$G$27),Setup!$C$39:$C$50))&lt;=Setup!$C$16))),WORKDAY(I277,-(Setup!$C$13+Setup!$G$27+Setup!$C$14),Setup!$C$39:$C$50),WORKDAY(I277,-(Setup!$C$13+Setup!$G$27),Setup!$C$39:$C$50))+(272*100+8)/10000000)))</f>
        <v/>
      </c>
      <c r="Z277" t="str">
        <f>IF(J277="","",IF(J277&lt;Setup!$C$5-Setup!$C$6,"",IF(IF(ISNUMBER(Roster!$D277),Setup!$C$28&lt;=Roster!$D277,FALSE),"",IF(OR(IF(Setup!$C$15&lt;=Setup!$C$16,AND(MONTH(J277)&gt;=Setup!$C$15,MONTH(J277)&lt;=Setup!$C$16),OR(MONTH(J277)&gt;=Setup!$C$15,MONTH(J277)&lt;=Setup!$C$16)),IF(Setup!$C$15&lt;=Setup!$C$16,AND(MONTH(WORKDAY(J277,-(Setup!$C$13+Setup!$G$28),Setup!$C$39:$C$50))&gt;=Setup!$C$15,MONTH(WORKDAY(J277,-(Setup!$C$13+Setup!$G$28),Setup!$C$39:$C$50))&lt;=Setup!$C$16),OR(MONTH(WORKDAY(J277,-(Setup!$C$13+Setup!$G$28),Setup!$C$39:$C$50))&gt;=Setup!$C$15,MONTH(WORKDAY(J277,-(Setup!$C$13+Setup!$G$28),Setup!$C$39:$C$50))&lt;=Setup!$C$16))),WORKDAY(J277,-(Setup!$C$13+Setup!$G$28+Setup!$C$14),Setup!$C$39:$C$50),WORKDAY(J277,-(Setup!$C$13+Setup!$G$28),Setup!$C$39:$C$50))+(272*100+9)/10000000)))</f>
        <v/>
      </c>
      <c r="AA277" t="str">
        <f>IF(K277="","",IF(K277&lt;Setup!$C$5-Setup!$C$6,"",IF(IF(ISNUMBER(Roster!$D277),Setup!$C$29&lt;=Roster!$D277,FALSE),"",IF(OR(IF(Setup!$C$15&lt;=Setup!$C$16,AND(MONTH(K277)&gt;=Setup!$C$15,MONTH(K277)&lt;=Setup!$C$16),OR(MONTH(K277)&gt;=Setup!$C$15,MONTH(K277)&lt;=Setup!$C$16)),IF(Setup!$C$15&lt;=Setup!$C$16,AND(MONTH(WORKDAY(K277,-(Setup!$C$13+Setup!$G$29),Setup!$C$39:$C$50))&gt;=Setup!$C$15,MONTH(WORKDAY(K277,-(Setup!$C$13+Setup!$G$29),Setup!$C$39:$C$50))&lt;=Setup!$C$16),OR(MONTH(WORKDAY(K277,-(Setup!$C$13+Setup!$G$29),Setup!$C$39:$C$50))&gt;=Setup!$C$15,MONTH(WORKDAY(K277,-(Setup!$C$13+Setup!$G$29),Setup!$C$39:$C$50))&lt;=Setup!$C$16))),WORKDAY(K277,-(Setup!$C$13+Setup!$G$29+Setup!$C$14),Setup!$C$39:$C$50),WORKDAY(K277,-(Setup!$C$13+Setup!$G$29),Setup!$C$39:$C$50))+(272*100+10)/10000000)))</f>
        <v/>
      </c>
      <c r="AB277" t="str">
        <f>IF(L277="","",IF(L277&lt;Setup!$C$5-Setup!$C$6,"",IF(IF(ISNUMBER(Roster!$D277),Setup!$C$30&lt;=Roster!$D277,FALSE),"",IF(OR(IF(Setup!$C$15&lt;=Setup!$C$16,AND(MONTH(L277)&gt;=Setup!$C$15,MONTH(L277)&lt;=Setup!$C$16),OR(MONTH(L277)&gt;=Setup!$C$15,MONTH(L277)&lt;=Setup!$C$16)),IF(Setup!$C$15&lt;=Setup!$C$16,AND(MONTH(WORKDAY(L277,-(Setup!$C$13+Setup!$G$30),Setup!$C$39:$C$50))&gt;=Setup!$C$15,MONTH(WORKDAY(L277,-(Setup!$C$13+Setup!$G$30),Setup!$C$39:$C$50))&lt;=Setup!$C$16),OR(MONTH(WORKDAY(L277,-(Setup!$C$13+Setup!$G$30),Setup!$C$39:$C$50))&gt;=Setup!$C$15,MONTH(WORKDAY(L277,-(Setup!$C$13+Setup!$G$30),Setup!$C$39:$C$50))&lt;=Setup!$C$16))),WORKDAY(L277,-(Setup!$C$13+Setup!$G$30+Setup!$C$14),Setup!$C$39:$C$50),WORKDAY(L277,-(Setup!$C$13+Setup!$G$30),Setup!$C$39:$C$50))+(272*100+11)/10000000)))</f>
        <v/>
      </c>
      <c r="AC277" t="str">
        <f>IF(M277="","",IF(M277&lt;Setup!$C$5-Setup!$C$6,"",IF(IF(ISNUMBER(Roster!$D277),Setup!$C$31&lt;=Roster!$D277,FALSE),"",IF(OR(IF(Setup!$C$15&lt;=Setup!$C$16,AND(MONTH(M277)&gt;=Setup!$C$15,MONTH(M277)&lt;=Setup!$C$16),OR(MONTH(M277)&gt;=Setup!$C$15,MONTH(M277)&lt;=Setup!$C$16)),IF(Setup!$C$15&lt;=Setup!$C$16,AND(MONTH(WORKDAY(M277,-(Setup!$C$13+Setup!$G$31),Setup!$C$39:$C$50))&gt;=Setup!$C$15,MONTH(WORKDAY(M277,-(Setup!$C$13+Setup!$G$31),Setup!$C$39:$C$50))&lt;=Setup!$C$16),OR(MONTH(WORKDAY(M277,-(Setup!$C$13+Setup!$G$31),Setup!$C$39:$C$50))&gt;=Setup!$C$15,MONTH(WORKDAY(M277,-(Setup!$C$13+Setup!$G$31),Setup!$C$39:$C$50))&lt;=Setup!$C$16))),WORKDAY(M277,-(Setup!$C$13+Setup!$G$31+Setup!$C$14),Setup!$C$39:$C$50),WORKDAY(M277,-(Setup!$C$13+Setup!$G$31),Setup!$C$39:$C$50))+(272*100+12)/10000000)))</f>
        <v/>
      </c>
      <c r="AD277" t="str">
        <f>IF(N277="","",IF(N277&lt;Setup!$C$5-Setup!$C$6,"",IF(IF(ISNUMBER(Roster!$D277),Setup!$C$32&lt;=Roster!$D277,FALSE),"",IF(OR(IF(Setup!$C$15&lt;=Setup!$C$16,AND(MONTH(N277)&gt;=Setup!$C$15,MONTH(N277)&lt;=Setup!$C$16),OR(MONTH(N277)&gt;=Setup!$C$15,MONTH(N277)&lt;=Setup!$C$16)),IF(Setup!$C$15&lt;=Setup!$C$16,AND(MONTH(WORKDAY(N277,-(Setup!$C$13+Setup!$G$32),Setup!$C$39:$C$50))&gt;=Setup!$C$15,MONTH(WORKDAY(N277,-(Setup!$C$13+Setup!$G$32),Setup!$C$39:$C$50))&lt;=Setup!$C$16),OR(MONTH(WORKDAY(N277,-(Setup!$C$13+Setup!$G$32),Setup!$C$39:$C$50))&gt;=Setup!$C$15,MONTH(WORKDAY(N277,-(Setup!$C$13+Setup!$G$32),Setup!$C$39:$C$50))&lt;=Setup!$C$16))),WORKDAY(N277,-(Setup!$C$13+Setup!$G$32+Setup!$C$14),Setup!$C$39:$C$50),WORKDAY(N277,-(Setup!$C$13+Setup!$G$32),Setup!$C$39:$C$50))+(272*100+13)/10000000)))</f>
        <v/>
      </c>
      <c r="AE277" t="str">
        <f>IF(O277="","",IF(O277&lt;Setup!$C$5-Setup!$C$6,"",IF(IF(ISNUMBER(Roster!$D277),Setup!$C$33&lt;=Roster!$D277,FALSE),"",IF(OR(IF(Setup!$C$15&lt;=Setup!$C$16,AND(MONTH(O277)&gt;=Setup!$C$15,MONTH(O277)&lt;=Setup!$C$16),OR(MONTH(O277)&gt;=Setup!$C$15,MONTH(O277)&lt;=Setup!$C$16)),IF(Setup!$C$15&lt;=Setup!$C$16,AND(MONTH(WORKDAY(O277,-(Setup!$C$13+Setup!$G$33),Setup!$C$39:$C$50))&gt;=Setup!$C$15,MONTH(WORKDAY(O277,-(Setup!$C$13+Setup!$G$33),Setup!$C$39:$C$50))&lt;=Setup!$C$16),OR(MONTH(WORKDAY(O277,-(Setup!$C$13+Setup!$G$33),Setup!$C$39:$C$50))&gt;=Setup!$C$15,MONTH(WORKDAY(O277,-(Setup!$C$13+Setup!$G$33),Setup!$C$39:$C$50))&lt;=Setup!$C$16))),WORKDAY(O277,-(Setup!$C$13+Setup!$G$33+Setup!$C$14),Setup!$C$39:$C$50),WORKDAY(O277,-(Setup!$C$13+Setup!$G$33),Setup!$C$39:$C$50))+(272*100+14)/10000000)))</f>
        <v/>
      </c>
      <c r="AF277" t="str">
        <f>IF(P277="","",IF(P277&lt;Setup!$C$5-Setup!$C$6,"",IF(IF(ISNUMBER(Roster!$D277),Setup!$C$34&lt;=Roster!$D277,FALSE),"",IF(OR(IF(Setup!$C$15&lt;=Setup!$C$16,AND(MONTH(P277)&gt;=Setup!$C$15,MONTH(P277)&lt;=Setup!$C$16),OR(MONTH(P277)&gt;=Setup!$C$15,MONTH(P277)&lt;=Setup!$C$16)),IF(Setup!$C$15&lt;=Setup!$C$16,AND(MONTH(WORKDAY(P277,-(Setup!$C$13+Setup!$G$34),Setup!$C$39:$C$50))&gt;=Setup!$C$15,MONTH(WORKDAY(P277,-(Setup!$C$13+Setup!$G$34),Setup!$C$39:$C$50))&lt;=Setup!$C$16),OR(MONTH(WORKDAY(P277,-(Setup!$C$13+Setup!$G$34),Setup!$C$39:$C$50))&gt;=Setup!$C$15,MONTH(WORKDAY(P277,-(Setup!$C$13+Setup!$G$34),Setup!$C$39:$C$50))&lt;=Setup!$C$16))),WORKDAY(P277,-(Setup!$C$13+Setup!$G$34+Setup!$C$14),Setup!$C$39:$C$50),WORKDAY(P277,-(Setup!$C$13+Setup!$G$34),Setup!$C$39:$C$50))+(272*100+15)/10000000)))</f>
        <v/>
      </c>
      <c r="AH277" t="str">
        <f t="shared" si="33"/>
        <v/>
      </c>
      <c r="AI277" t="str">
        <f t="shared" si="34"/>
        <v/>
      </c>
      <c r="AK277" t="str">
        <f ca="1">IF(272&gt;$AK$2,"",SMALL($R$6:$AF$505,272))</f>
        <v/>
      </c>
      <c r="AL277" t="str">
        <f t="shared" ca="1" si="35"/>
        <v/>
      </c>
      <c r="AM277" t="str">
        <f t="shared" ca="1" si="36"/>
        <v/>
      </c>
      <c r="AN277" t="str">
        <f t="shared" ca="1" si="37"/>
        <v/>
      </c>
      <c r="AP277" t="str">
        <f>IF(ISNUMBER(Roster!$B277),MAX(1,YEAR(Setup!$C$5)-YEAR(Roster!$B277)+IF(EDATE(Roster!$B277,12*(YEAR(Setup!$C$5)-YEAR(Roster!$B277)))&lt;Setup!$C$5,1,0)),"")</f>
        <v/>
      </c>
      <c r="AQ277" s="32" t="str">
        <f>IF(AP277="","",EDATE(Roster!$B277,12*AP277))</f>
        <v/>
      </c>
      <c r="AR277" t="str">
        <f>IF(AQ277="","",IF(AQ277&lt;DATE(YEAR(Setup!$C$5)+1,MONTH(Setup!$C$5),DAY(Setup!$C$5)),AQ277+272/1000,""))</f>
        <v/>
      </c>
      <c r="AS277" t="str">
        <f t="shared" si="38"/>
        <v/>
      </c>
      <c r="AT277" t="str">
        <f>IF(AS277="","",IF(ISNUMBER(Roster!$D277),Roster!$D277&gt;=AP277,FALSE))</f>
        <v/>
      </c>
      <c r="AU277" t="str">
        <f t="shared" si="39"/>
        <v/>
      </c>
      <c r="AV277" t="str">
        <f ca="1">IF(272&gt;$AV$2,"",SMALL($AR$6:$AR$505,272))</f>
        <v/>
      </c>
      <c r="AW277" t="str">
        <f t="shared" ca="1" si="40"/>
        <v/>
      </c>
    </row>
    <row r="278" spans="2:49" x14ac:dyDescent="0.2">
      <c r="B278" s="32" t="str">
        <f>IF(AND(ISNUMBER(Roster!$B278),Setup!$B$20="Yes",ISNUMBER(Setup!$C$20)),EDATE(Roster!$B278,12*Setup!$C$20),"")</f>
        <v/>
      </c>
      <c r="C278" s="32" t="str">
        <f>IF(AND(ISNUMBER(Roster!$B278),Setup!$B$21="Yes",ISNUMBER(Setup!$C$21)),EDATE(Roster!$B278,12*Setup!$C$21),"")</f>
        <v/>
      </c>
      <c r="D278" s="32" t="str">
        <f>IF(AND(ISNUMBER(Roster!$B278),Setup!$B$22="Yes",ISNUMBER(Setup!$C$22)),EDATE(Roster!$B278,12*Setup!$C$22),"")</f>
        <v/>
      </c>
      <c r="E278" s="32" t="str">
        <f>IF(AND(ISNUMBER(Roster!$B278),Setup!$B$23="Yes",ISNUMBER(Setup!$C$23)),EDATE(Roster!$B278,12*Setup!$C$23),"")</f>
        <v/>
      </c>
      <c r="F278" s="32" t="str">
        <f>IF(AND(ISNUMBER(Roster!$B278),Setup!$B$24="Yes",ISNUMBER(Setup!$C$24)),EDATE(Roster!$B278,12*Setup!$C$24),"")</f>
        <v/>
      </c>
      <c r="G278" s="32" t="str">
        <f>IF(AND(ISNUMBER(Roster!$B278),Setup!$B$25="Yes",ISNUMBER(Setup!$C$25)),EDATE(Roster!$B278,12*Setup!$C$25),"")</f>
        <v/>
      </c>
      <c r="H278" s="32" t="str">
        <f>IF(AND(ISNUMBER(Roster!$B278),Setup!$B$26="Yes",ISNUMBER(Setup!$C$26)),EDATE(Roster!$B278,12*Setup!$C$26),"")</f>
        <v/>
      </c>
      <c r="I278" s="32" t="str">
        <f>IF(AND(ISNUMBER(Roster!$B278),Setup!$B$27="Yes",ISNUMBER(Setup!$C$27)),EDATE(Roster!$B278,12*Setup!$C$27),"")</f>
        <v/>
      </c>
      <c r="J278" s="32" t="str">
        <f>IF(AND(ISNUMBER(Roster!$B278),Setup!$B$28="Yes",ISNUMBER(Setup!$C$28)),EDATE(Roster!$B278,12*Setup!$C$28),"")</f>
        <v/>
      </c>
      <c r="K278" s="32" t="str">
        <f>IF(AND(ISNUMBER(Roster!$B278),Setup!$B$29="Yes",ISNUMBER(Setup!$C$29)),EDATE(Roster!$B278,12*Setup!$C$29),"")</f>
        <v/>
      </c>
      <c r="L278" s="32" t="str">
        <f>IF(AND(ISNUMBER(Roster!$B278),Setup!$B$30="Yes",ISNUMBER(Setup!$C$30)),EDATE(Roster!$B278,12*Setup!$C$30),"")</f>
        <v/>
      </c>
      <c r="M278" s="32" t="str">
        <f>IF(AND(ISNUMBER(Roster!$B278),Setup!$B$31="Yes",ISNUMBER(Setup!$C$31)),EDATE(Roster!$B278,12*Setup!$C$31),"")</f>
        <v/>
      </c>
      <c r="N278" s="32" t="str">
        <f>IF(AND(ISNUMBER(Roster!$B278),Setup!$B$32="Yes",ISNUMBER(Setup!$C$32)),EDATE(Roster!$B278,12*Setup!$C$32),"")</f>
        <v/>
      </c>
      <c r="O278" s="32" t="str">
        <f>IF(AND(ISNUMBER(Roster!$B278),Setup!$B$33="Yes",ISNUMBER(Setup!$C$33)),EDATE(Roster!$B278,12*Setup!$C$33),"")</f>
        <v/>
      </c>
      <c r="P278" s="32" t="str">
        <f>IF(AND(ISNUMBER(Roster!$B278),Setup!$B$34="Yes",ISNUMBER(Setup!$C$34)),EDATE(Roster!$B278,12*Setup!$C$34),"")</f>
        <v/>
      </c>
      <c r="R278" t="str">
        <f>IF(B278="","",IF(B278&lt;Setup!$C$5-Setup!$C$6,"",IF(IF(ISNUMBER(Roster!$D278),Setup!$C$20&lt;=Roster!$D278,FALSE),"",IF(OR(IF(Setup!$C$15&lt;=Setup!$C$16,AND(MONTH(B278)&gt;=Setup!$C$15,MONTH(B278)&lt;=Setup!$C$16),OR(MONTH(B278)&gt;=Setup!$C$15,MONTH(B278)&lt;=Setup!$C$16)),IF(Setup!$C$15&lt;=Setup!$C$16,AND(MONTH(WORKDAY(B278,-(Setup!$C$13+Setup!$G$20),Setup!$C$39:$C$50))&gt;=Setup!$C$15,MONTH(WORKDAY(B278,-(Setup!$C$13+Setup!$G$20),Setup!$C$39:$C$50))&lt;=Setup!$C$16),OR(MONTH(WORKDAY(B278,-(Setup!$C$13+Setup!$G$20),Setup!$C$39:$C$50))&gt;=Setup!$C$15,MONTH(WORKDAY(B278,-(Setup!$C$13+Setup!$G$20),Setup!$C$39:$C$50))&lt;=Setup!$C$16))),WORKDAY(B278,-(Setup!$C$13+Setup!$G$20+Setup!$C$14),Setup!$C$39:$C$50),WORKDAY(B278,-(Setup!$C$13+Setup!$G$20),Setup!$C$39:$C$50))+(273*100+1)/10000000)))</f>
        <v/>
      </c>
      <c r="S278" t="str">
        <f>IF(C278="","",IF(C278&lt;Setup!$C$5-Setup!$C$6,"",IF(IF(ISNUMBER(Roster!$D278),Setup!$C$21&lt;=Roster!$D278,FALSE),"",IF(OR(IF(Setup!$C$15&lt;=Setup!$C$16,AND(MONTH(C278)&gt;=Setup!$C$15,MONTH(C278)&lt;=Setup!$C$16),OR(MONTH(C278)&gt;=Setup!$C$15,MONTH(C278)&lt;=Setup!$C$16)),IF(Setup!$C$15&lt;=Setup!$C$16,AND(MONTH(WORKDAY(C278,-(Setup!$C$13+Setup!$G$21),Setup!$C$39:$C$50))&gt;=Setup!$C$15,MONTH(WORKDAY(C278,-(Setup!$C$13+Setup!$G$21),Setup!$C$39:$C$50))&lt;=Setup!$C$16),OR(MONTH(WORKDAY(C278,-(Setup!$C$13+Setup!$G$21),Setup!$C$39:$C$50))&gt;=Setup!$C$15,MONTH(WORKDAY(C278,-(Setup!$C$13+Setup!$G$21),Setup!$C$39:$C$50))&lt;=Setup!$C$16))),WORKDAY(C278,-(Setup!$C$13+Setup!$G$21+Setup!$C$14),Setup!$C$39:$C$50),WORKDAY(C278,-(Setup!$C$13+Setup!$G$21),Setup!$C$39:$C$50))+(273*100+2)/10000000)))</f>
        <v/>
      </c>
      <c r="T278" t="str">
        <f>IF(D278="","",IF(D278&lt;Setup!$C$5-Setup!$C$6,"",IF(IF(ISNUMBER(Roster!$D278),Setup!$C$22&lt;=Roster!$D278,FALSE),"",IF(OR(IF(Setup!$C$15&lt;=Setup!$C$16,AND(MONTH(D278)&gt;=Setup!$C$15,MONTH(D278)&lt;=Setup!$C$16),OR(MONTH(D278)&gt;=Setup!$C$15,MONTH(D278)&lt;=Setup!$C$16)),IF(Setup!$C$15&lt;=Setup!$C$16,AND(MONTH(WORKDAY(D278,-(Setup!$C$13+Setup!$G$22),Setup!$C$39:$C$50))&gt;=Setup!$C$15,MONTH(WORKDAY(D278,-(Setup!$C$13+Setup!$G$22),Setup!$C$39:$C$50))&lt;=Setup!$C$16),OR(MONTH(WORKDAY(D278,-(Setup!$C$13+Setup!$G$22),Setup!$C$39:$C$50))&gt;=Setup!$C$15,MONTH(WORKDAY(D278,-(Setup!$C$13+Setup!$G$22),Setup!$C$39:$C$50))&lt;=Setup!$C$16))),WORKDAY(D278,-(Setup!$C$13+Setup!$G$22+Setup!$C$14),Setup!$C$39:$C$50),WORKDAY(D278,-(Setup!$C$13+Setup!$G$22),Setup!$C$39:$C$50))+(273*100+3)/10000000)))</f>
        <v/>
      </c>
      <c r="U278" t="str">
        <f>IF(E278="","",IF(E278&lt;Setup!$C$5-Setup!$C$6,"",IF(IF(ISNUMBER(Roster!$D278),Setup!$C$23&lt;=Roster!$D278,FALSE),"",IF(OR(IF(Setup!$C$15&lt;=Setup!$C$16,AND(MONTH(E278)&gt;=Setup!$C$15,MONTH(E278)&lt;=Setup!$C$16),OR(MONTH(E278)&gt;=Setup!$C$15,MONTH(E278)&lt;=Setup!$C$16)),IF(Setup!$C$15&lt;=Setup!$C$16,AND(MONTH(WORKDAY(E278,-(Setup!$C$13+Setup!$G$23),Setup!$C$39:$C$50))&gt;=Setup!$C$15,MONTH(WORKDAY(E278,-(Setup!$C$13+Setup!$G$23),Setup!$C$39:$C$50))&lt;=Setup!$C$16),OR(MONTH(WORKDAY(E278,-(Setup!$C$13+Setup!$G$23),Setup!$C$39:$C$50))&gt;=Setup!$C$15,MONTH(WORKDAY(E278,-(Setup!$C$13+Setup!$G$23),Setup!$C$39:$C$50))&lt;=Setup!$C$16))),WORKDAY(E278,-(Setup!$C$13+Setup!$G$23+Setup!$C$14),Setup!$C$39:$C$50),WORKDAY(E278,-(Setup!$C$13+Setup!$G$23),Setup!$C$39:$C$50))+(273*100+4)/10000000)))</f>
        <v/>
      </c>
      <c r="V278" t="str">
        <f>IF(F278="","",IF(F278&lt;Setup!$C$5-Setup!$C$6,"",IF(IF(ISNUMBER(Roster!$D278),Setup!$C$24&lt;=Roster!$D278,FALSE),"",IF(OR(IF(Setup!$C$15&lt;=Setup!$C$16,AND(MONTH(F278)&gt;=Setup!$C$15,MONTH(F278)&lt;=Setup!$C$16),OR(MONTH(F278)&gt;=Setup!$C$15,MONTH(F278)&lt;=Setup!$C$16)),IF(Setup!$C$15&lt;=Setup!$C$16,AND(MONTH(WORKDAY(F278,-(Setup!$C$13+Setup!$G$24),Setup!$C$39:$C$50))&gt;=Setup!$C$15,MONTH(WORKDAY(F278,-(Setup!$C$13+Setup!$G$24),Setup!$C$39:$C$50))&lt;=Setup!$C$16),OR(MONTH(WORKDAY(F278,-(Setup!$C$13+Setup!$G$24),Setup!$C$39:$C$50))&gt;=Setup!$C$15,MONTH(WORKDAY(F278,-(Setup!$C$13+Setup!$G$24),Setup!$C$39:$C$50))&lt;=Setup!$C$16))),WORKDAY(F278,-(Setup!$C$13+Setup!$G$24+Setup!$C$14),Setup!$C$39:$C$50),WORKDAY(F278,-(Setup!$C$13+Setup!$G$24),Setup!$C$39:$C$50))+(273*100+5)/10000000)))</f>
        <v/>
      </c>
      <c r="W278" t="str">
        <f>IF(G278="","",IF(G278&lt;Setup!$C$5-Setup!$C$6,"",IF(IF(ISNUMBER(Roster!$D278),Setup!$C$25&lt;=Roster!$D278,FALSE),"",IF(OR(IF(Setup!$C$15&lt;=Setup!$C$16,AND(MONTH(G278)&gt;=Setup!$C$15,MONTH(G278)&lt;=Setup!$C$16),OR(MONTH(G278)&gt;=Setup!$C$15,MONTH(G278)&lt;=Setup!$C$16)),IF(Setup!$C$15&lt;=Setup!$C$16,AND(MONTH(WORKDAY(G278,-(Setup!$C$13+Setup!$G$25),Setup!$C$39:$C$50))&gt;=Setup!$C$15,MONTH(WORKDAY(G278,-(Setup!$C$13+Setup!$G$25),Setup!$C$39:$C$50))&lt;=Setup!$C$16),OR(MONTH(WORKDAY(G278,-(Setup!$C$13+Setup!$G$25),Setup!$C$39:$C$50))&gt;=Setup!$C$15,MONTH(WORKDAY(G278,-(Setup!$C$13+Setup!$G$25),Setup!$C$39:$C$50))&lt;=Setup!$C$16))),WORKDAY(G278,-(Setup!$C$13+Setup!$G$25+Setup!$C$14),Setup!$C$39:$C$50),WORKDAY(G278,-(Setup!$C$13+Setup!$G$25),Setup!$C$39:$C$50))+(273*100+6)/10000000)))</f>
        <v/>
      </c>
      <c r="X278" t="str">
        <f>IF(H278="","",IF(H278&lt;Setup!$C$5-Setup!$C$6,"",IF(IF(ISNUMBER(Roster!$D278),Setup!$C$26&lt;=Roster!$D278,FALSE),"",IF(OR(IF(Setup!$C$15&lt;=Setup!$C$16,AND(MONTH(H278)&gt;=Setup!$C$15,MONTH(H278)&lt;=Setup!$C$16),OR(MONTH(H278)&gt;=Setup!$C$15,MONTH(H278)&lt;=Setup!$C$16)),IF(Setup!$C$15&lt;=Setup!$C$16,AND(MONTH(WORKDAY(H278,-(Setup!$C$13+Setup!$G$26),Setup!$C$39:$C$50))&gt;=Setup!$C$15,MONTH(WORKDAY(H278,-(Setup!$C$13+Setup!$G$26),Setup!$C$39:$C$50))&lt;=Setup!$C$16),OR(MONTH(WORKDAY(H278,-(Setup!$C$13+Setup!$G$26),Setup!$C$39:$C$50))&gt;=Setup!$C$15,MONTH(WORKDAY(H278,-(Setup!$C$13+Setup!$G$26),Setup!$C$39:$C$50))&lt;=Setup!$C$16))),WORKDAY(H278,-(Setup!$C$13+Setup!$G$26+Setup!$C$14),Setup!$C$39:$C$50),WORKDAY(H278,-(Setup!$C$13+Setup!$G$26),Setup!$C$39:$C$50))+(273*100+7)/10000000)))</f>
        <v/>
      </c>
      <c r="Y278" t="str">
        <f>IF(I278="","",IF(I278&lt;Setup!$C$5-Setup!$C$6,"",IF(IF(ISNUMBER(Roster!$D278),Setup!$C$27&lt;=Roster!$D278,FALSE),"",IF(OR(IF(Setup!$C$15&lt;=Setup!$C$16,AND(MONTH(I278)&gt;=Setup!$C$15,MONTH(I278)&lt;=Setup!$C$16),OR(MONTH(I278)&gt;=Setup!$C$15,MONTH(I278)&lt;=Setup!$C$16)),IF(Setup!$C$15&lt;=Setup!$C$16,AND(MONTH(WORKDAY(I278,-(Setup!$C$13+Setup!$G$27),Setup!$C$39:$C$50))&gt;=Setup!$C$15,MONTH(WORKDAY(I278,-(Setup!$C$13+Setup!$G$27),Setup!$C$39:$C$50))&lt;=Setup!$C$16),OR(MONTH(WORKDAY(I278,-(Setup!$C$13+Setup!$G$27),Setup!$C$39:$C$50))&gt;=Setup!$C$15,MONTH(WORKDAY(I278,-(Setup!$C$13+Setup!$G$27),Setup!$C$39:$C$50))&lt;=Setup!$C$16))),WORKDAY(I278,-(Setup!$C$13+Setup!$G$27+Setup!$C$14),Setup!$C$39:$C$50),WORKDAY(I278,-(Setup!$C$13+Setup!$G$27),Setup!$C$39:$C$50))+(273*100+8)/10000000)))</f>
        <v/>
      </c>
      <c r="Z278" t="str">
        <f>IF(J278="","",IF(J278&lt;Setup!$C$5-Setup!$C$6,"",IF(IF(ISNUMBER(Roster!$D278),Setup!$C$28&lt;=Roster!$D278,FALSE),"",IF(OR(IF(Setup!$C$15&lt;=Setup!$C$16,AND(MONTH(J278)&gt;=Setup!$C$15,MONTH(J278)&lt;=Setup!$C$16),OR(MONTH(J278)&gt;=Setup!$C$15,MONTH(J278)&lt;=Setup!$C$16)),IF(Setup!$C$15&lt;=Setup!$C$16,AND(MONTH(WORKDAY(J278,-(Setup!$C$13+Setup!$G$28),Setup!$C$39:$C$50))&gt;=Setup!$C$15,MONTH(WORKDAY(J278,-(Setup!$C$13+Setup!$G$28),Setup!$C$39:$C$50))&lt;=Setup!$C$16),OR(MONTH(WORKDAY(J278,-(Setup!$C$13+Setup!$G$28),Setup!$C$39:$C$50))&gt;=Setup!$C$15,MONTH(WORKDAY(J278,-(Setup!$C$13+Setup!$G$28),Setup!$C$39:$C$50))&lt;=Setup!$C$16))),WORKDAY(J278,-(Setup!$C$13+Setup!$G$28+Setup!$C$14),Setup!$C$39:$C$50),WORKDAY(J278,-(Setup!$C$13+Setup!$G$28),Setup!$C$39:$C$50))+(273*100+9)/10000000)))</f>
        <v/>
      </c>
      <c r="AA278" t="str">
        <f>IF(K278="","",IF(K278&lt;Setup!$C$5-Setup!$C$6,"",IF(IF(ISNUMBER(Roster!$D278),Setup!$C$29&lt;=Roster!$D278,FALSE),"",IF(OR(IF(Setup!$C$15&lt;=Setup!$C$16,AND(MONTH(K278)&gt;=Setup!$C$15,MONTH(K278)&lt;=Setup!$C$16),OR(MONTH(K278)&gt;=Setup!$C$15,MONTH(K278)&lt;=Setup!$C$16)),IF(Setup!$C$15&lt;=Setup!$C$16,AND(MONTH(WORKDAY(K278,-(Setup!$C$13+Setup!$G$29),Setup!$C$39:$C$50))&gt;=Setup!$C$15,MONTH(WORKDAY(K278,-(Setup!$C$13+Setup!$G$29),Setup!$C$39:$C$50))&lt;=Setup!$C$16),OR(MONTH(WORKDAY(K278,-(Setup!$C$13+Setup!$G$29),Setup!$C$39:$C$50))&gt;=Setup!$C$15,MONTH(WORKDAY(K278,-(Setup!$C$13+Setup!$G$29),Setup!$C$39:$C$50))&lt;=Setup!$C$16))),WORKDAY(K278,-(Setup!$C$13+Setup!$G$29+Setup!$C$14),Setup!$C$39:$C$50),WORKDAY(K278,-(Setup!$C$13+Setup!$G$29),Setup!$C$39:$C$50))+(273*100+10)/10000000)))</f>
        <v/>
      </c>
      <c r="AB278" t="str">
        <f>IF(L278="","",IF(L278&lt;Setup!$C$5-Setup!$C$6,"",IF(IF(ISNUMBER(Roster!$D278),Setup!$C$30&lt;=Roster!$D278,FALSE),"",IF(OR(IF(Setup!$C$15&lt;=Setup!$C$16,AND(MONTH(L278)&gt;=Setup!$C$15,MONTH(L278)&lt;=Setup!$C$16),OR(MONTH(L278)&gt;=Setup!$C$15,MONTH(L278)&lt;=Setup!$C$16)),IF(Setup!$C$15&lt;=Setup!$C$16,AND(MONTH(WORKDAY(L278,-(Setup!$C$13+Setup!$G$30),Setup!$C$39:$C$50))&gt;=Setup!$C$15,MONTH(WORKDAY(L278,-(Setup!$C$13+Setup!$G$30),Setup!$C$39:$C$50))&lt;=Setup!$C$16),OR(MONTH(WORKDAY(L278,-(Setup!$C$13+Setup!$G$30),Setup!$C$39:$C$50))&gt;=Setup!$C$15,MONTH(WORKDAY(L278,-(Setup!$C$13+Setup!$G$30),Setup!$C$39:$C$50))&lt;=Setup!$C$16))),WORKDAY(L278,-(Setup!$C$13+Setup!$G$30+Setup!$C$14),Setup!$C$39:$C$50),WORKDAY(L278,-(Setup!$C$13+Setup!$G$30),Setup!$C$39:$C$50))+(273*100+11)/10000000)))</f>
        <v/>
      </c>
      <c r="AC278" t="str">
        <f>IF(M278="","",IF(M278&lt;Setup!$C$5-Setup!$C$6,"",IF(IF(ISNUMBER(Roster!$D278),Setup!$C$31&lt;=Roster!$D278,FALSE),"",IF(OR(IF(Setup!$C$15&lt;=Setup!$C$16,AND(MONTH(M278)&gt;=Setup!$C$15,MONTH(M278)&lt;=Setup!$C$16),OR(MONTH(M278)&gt;=Setup!$C$15,MONTH(M278)&lt;=Setup!$C$16)),IF(Setup!$C$15&lt;=Setup!$C$16,AND(MONTH(WORKDAY(M278,-(Setup!$C$13+Setup!$G$31),Setup!$C$39:$C$50))&gt;=Setup!$C$15,MONTH(WORKDAY(M278,-(Setup!$C$13+Setup!$G$31),Setup!$C$39:$C$50))&lt;=Setup!$C$16),OR(MONTH(WORKDAY(M278,-(Setup!$C$13+Setup!$G$31),Setup!$C$39:$C$50))&gt;=Setup!$C$15,MONTH(WORKDAY(M278,-(Setup!$C$13+Setup!$G$31),Setup!$C$39:$C$50))&lt;=Setup!$C$16))),WORKDAY(M278,-(Setup!$C$13+Setup!$G$31+Setup!$C$14),Setup!$C$39:$C$50),WORKDAY(M278,-(Setup!$C$13+Setup!$G$31),Setup!$C$39:$C$50))+(273*100+12)/10000000)))</f>
        <v/>
      </c>
      <c r="AD278" t="str">
        <f>IF(N278="","",IF(N278&lt;Setup!$C$5-Setup!$C$6,"",IF(IF(ISNUMBER(Roster!$D278),Setup!$C$32&lt;=Roster!$D278,FALSE),"",IF(OR(IF(Setup!$C$15&lt;=Setup!$C$16,AND(MONTH(N278)&gt;=Setup!$C$15,MONTH(N278)&lt;=Setup!$C$16),OR(MONTH(N278)&gt;=Setup!$C$15,MONTH(N278)&lt;=Setup!$C$16)),IF(Setup!$C$15&lt;=Setup!$C$16,AND(MONTH(WORKDAY(N278,-(Setup!$C$13+Setup!$G$32),Setup!$C$39:$C$50))&gt;=Setup!$C$15,MONTH(WORKDAY(N278,-(Setup!$C$13+Setup!$G$32),Setup!$C$39:$C$50))&lt;=Setup!$C$16),OR(MONTH(WORKDAY(N278,-(Setup!$C$13+Setup!$G$32),Setup!$C$39:$C$50))&gt;=Setup!$C$15,MONTH(WORKDAY(N278,-(Setup!$C$13+Setup!$G$32),Setup!$C$39:$C$50))&lt;=Setup!$C$16))),WORKDAY(N278,-(Setup!$C$13+Setup!$G$32+Setup!$C$14),Setup!$C$39:$C$50),WORKDAY(N278,-(Setup!$C$13+Setup!$G$32),Setup!$C$39:$C$50))+(273*100+13)/10000000)))</f>
        <v/>
      </c>
      <c r="AE278" t="str">
        <f>IF(O278="","",IF(O278&lt;Setup!$C$5-Setup!$C$6,"",IF(IF(ISNUMBER(Roster!$D278),Setup!$C$33&lt;=Roster!$D278,FALSE),"",IF(OR(IF(Setup!$C$15&lt;=Setup!$C$16,AND(MONTH(O278)&gt;=Setup!$C$15,MONTH(O278)&lt;=Setup!$C$16),OR(MONTH(O278)&gt;=Setup!$C$15,MONTH(O278)&lt;=Setup!$C$16)),IF(Setup!$C$15&lt;=Setup!$C$16,AND(MONTH(WORKDAY(O278,-(Setup!$C$13+Setup!$G$33),Setup!$C$39:$C$50))&gt;=Setup!$C$15,MONTH(WORKDAY(O278,-(Setup!$C$13+Setup!$G$33),Setup!$C$39:$C$50))&lt;=Setup!$C$16),OR(MONTH(WORKDAY(O278,-(Setup!$C$13+Setup!$G$33),Setup!$C$39:$C$50))&gt;=Setup!$C$15,MONTH(WORKDAY(O278,-(Setup!$C$13+Setup!$G$33),Setup!$C$39:$C$50))&lt;=Setup!$C$16))),WORKDAY(O278,-(Setup!$C$13+Setup!$G$33+Setup!$C$14),Setup!$C$39:$C$50),WORKDAY(O278,-(Setup!$C$13+Setup!$G$33),Setup!$C$39:$C$50))+(273*100+14)/10000000)))</f>
        <v/>
      </c>
      <c r="AF278" t="str">
        <f>IF(P278="","",IF(P278&lt;Setup!$C$5-Setup!$C$6,"",IF(IF(ISNUMBER(Roster!$D278),Setup!$C$34&lt;=Roster!$D278,FALSE),"",IF(OR(IF(Setup!$C$15&lt;=Setup!$C$16,AND(MONTH(P278)&gt;=Setup!$C$15,MONTH(P278)&lt;=Setup!$C$16),OR(MONTH(P278)&gt;=Setup!$C$15,MONTH(P278)&lt;=Setup!$C$16)),IF(Setup!$C$15&lt;=Setup!$C$16,AND(MONTH(WORKDAY(P278,-(Setup!$C$13+Setup!$G$34),Setup!$C$39:$C$50))&gt;=Setup!$C$15,MONTH(WORKDAY(P278,-(Setup!$C$13+Setup!$G$34),Setup!$C$39:$C$50))&lt;=Setup!$C$16),OR(MONTH(WORKDAY(P278,-(Setup!$C$13+Setup!$G$34),Setup!$C$39:$C$50))&gt;=Setup!$C$15,MONTH(WORKDAY(P278,-(Setup!$C$13+Setup!$G$34),Setup!$C$39:$C$50))&lt;=Setup!$C$16))),WORKDAY(P278,-(Setup!$C$13+Setup!$G$34+Setup!$C$14),Setup!$C$39:$C$50),WORKDAY(P278,-(Setup!$C$13+Setup!$G$34),Setup!$C$39:$C$50))+(273*100+15)/10000000)))</f>
        <v/>
      </c>
      <c r="AH278" t="str">
        <f t="shared" si="33"/>
        <v/>
      </c>
      <c r="AI278" t="str">
        <f t="shared" si="34"/>
        <v/>
      </c>
      <c r="AK278" t="str">
        <f ca="1">IF(273&gt;$AK$2,"",SMALL($R$6:$AF$505,273))</f>
        <v/>
      </c>
      <c r="AL278" t="str">
        <f t="shared" ca="1" si="35"/>
        <v/>
      </c>
      <c r="AM278" t="str">
        <f t="shared" ca="1" si="36"/>
        <v/>
      </c>
      <c r="AN278" t="str">
        <f t="shared" ca="1" si="37"/>
        <v/>
      </c>
      <c r="AP278" t="str">
        <f>IF(ISNUMBER(Roster!$B278),MAX(1,YEAR(Setup!$C$5)-YEAR(Roster!$B278)+IF(EDATE(Roster!$B278,12*(YEAR(Setup!$C$5)-YEAR(Roster!$B278)))&lt;Setup!$C$5,1,0)),"")</f>
        <v/>
      </c>
      <c r="AQ278" s="32" t="str">
        <f>IF(AP278="","",EDATE(Roster!$B278,12*AP278))</f>
        <v/>
      </c>
      <c r="AR278" t="str">
        <f>IF(AQ278="","",IF(AQ278&lt;DATE(YEAR(Setup!$C$5)+1,MONTH(Setup!$C$5),DAY(Setup!$C$5)),AQ278+273/1000,""))</f>
        <v/>
      </c>
      <c r="AS278" t="str">
        <f t="shared" si="38"/>
        <v/>
      </c>
      <c r="AT278" t="str">
        <f>IF(AS278="","",IF(ISNUMBER(Roster!$D278),Roster!$D278&gt;=AP278,FALSE))</f>
        <v/>
      </c>
      <c r="AU278" t="str">
        <f t="shared" si="39"/>
        <v/>
      </c>
      <c r="AV278" t="str">
        <f ca="1">IF(273&gt;$AV$2,"",SMALL($AR$6:$AR$505,273))</f>
        <v/>
      </c>
      <c r="AW278" t="str">
        <f t="shared" ca="1" si="40"/>
        <v/>
      </c>
    </row>
    <row r="279" spans="2:49" x14ac:dyDescent="0.2">
      <c r="B279" s="32" t="str">
        <f>IF(AND(ISNUMBER(Roster!$B279),Setup!$B$20="Yes",ISNUMBER(Setup!$C$20)),EDATE(Roster!$B279,12*Setup!$C$20),"")</f>
        <v/>
      </c>
      <c r="C279" s="32" t="str">
        <f>IF(AND(ISNUMBER(Roster!$B279),Setup!$B$21="Yes",ISNUMBER(Setup!$C$21)),EDATE(Roster!$B279,12*Setup!$C$21),"")</f>
        <v/>
      </c>
      <c r="D279" s="32" t="str">
        <f>IF(AND(ISNUMBER(Roster!$B279),Setup!$B$22="Yes",ISNUMBER(Setup!$C$22)),EDATE(Roster!$B279,12*Setup!$C$22),"")</f>
        <v/>
      </c>
      <c r="E279" s="32" t="str">
        <f>IF(AND(ISNUMBER(Roster!$B279),Setup!$B$23="Yes",ISNUMBER(Setup!$C$23)),EDATE(Roster!$B279,12*Setup!$C$23),"")</f>
        <v/>
      </c>
      <c r="F279" s="32" t="str">
        <f>IF(AND(ISNUMBER(Roster!$B279),Setup!$B$24="Yes",ISNUMBER(Setup!$C$24)),EDATE(Roster!$B279,12*Setup!$C$24),"")</f>
        <v/>
      </c>
      <c r="G279" s="32" t="str">
        <f>IF(AND(ISNUMBER(Roster!$B279),Setup!$B$25="Yes",ISNUMBER(Setup!$C$25)),EDATE(Roster!$B279,12*Setup!$C$25),"")</f>
        <v/>
      </c>
      <c r="H279" s="32" t="str">
        <f>IF(AND(ISNUMBER(Roster!$B279),Setup!$B$26="Yes",ISNUMBER(Setup!$C$26)),EDATE(Roster!$B279,12*Setup!$C$26),"")</f>
        <v/>
      </c>
      <c r="I279" s="32" t="str">
        <f>IF(AND(ISNUMBER(Roster!$B279),Setup!$B$27="Yes",ISNUMBER(Setup!$C$27)),EDATE(Roster!$B279,12*Setup!$C$27),"")</f>
        <v/>
      </c>
      <c r="J279" s="32" t="str">
        <f>IF(AND(ISNUMBER(Roster!$B279),Setup!$B$28="Yes",ISNUMBER(Setup!$C$28)),EDATE(Roster!$B279,12*Setup!$C$28),"")</f>
        <v/>
      </c>
      <c r="K279" s="32" t="str">
        <f>IF(AND(ISNUMBER(Roster!$B279),Setup!$B$29="Yes",ISNUMBER(Setup!$C$29)),EDATE(Roster!$B279,12*Setup!$C$29),"")</f>
        <v/>
      </c>
      <c r="L279" s="32" t="str">
        <f>IF(AND(ISNUMBER(Roster!$B279),Setup!$B$30="Yes",ISNUMBER(Setup!$C$30)),EDATE(Roster!$B279,12*Setup!$C$30),"")</f>
        <v/>
      </c>
      <c r="M279" s="32" t="str">
        <f>IF(AND(ISNUMBER(Roster!$B279),Setup!$B$31="Yes",ISNUMBER(Setup!$C$31)),EDATE(Roster!$B279,12*Setup!$C$31),"")</f>
        <v/>
      </c>
      <c r="N279" s="32" t="str">
        <f>IF(AND(ISNUMBER(Roster!$B279),Setup!$B$32="Yes",ISNUMBER(Setup!$C$32)),EDATE(Roster!$B279,12*Setup!$C$32),"")</f>
        <v/>
      </c>
      <c r="O279" s="32" t="str">
        <f>IF(AND(ISNUMBER(Roster!$B279),Setup!$B$33="Yes",ISNUMBER(Setup!$C$33)),EDATE(Roster!$B279,12*Setup!$C$33),"")</f>
        <v/>
      </c>
      <c r="P279" s="32" t="str">
        <f>IF(AND(ISNUMBER(Roster!$B279),Setup!$B$34="Yes",ISNUMBER(Setup!$C$34)),EDATE(Roster!$B279,12*Setup!$C$34),"")</f>
        <v/>
      </c>
      <c r="R279" t="str">
        <f>IF(B279="","",IF(B279&lt;Setup!$C$5-Setup!$C$6,"",IF(IF(ISNUMBER(Roster!$D279),Setup!$C$20&lt;=Roster!$D279,FALSE),"",IF(OR(IF(Setup!$C$15&lt;=Setup!$C$16,AND(MONTH(B279)&gt;=Setup!$C$15,MONTH(B279)&lt;=Setup!$C$16),OR(MONTH(B279)&gt;=Setup!$C$15,MONTH(B279)&lt;=Setup!$C$16)),IF(Setup!$C$15&lt;=Setup!$C$16,AND(MONTH(WORKDAY(B279,-(Setup!$C$13+Setup!$G$20),Setup!$C$39:$C$50))&gt;=Setup!$C$15,MONTH(WORKDAY(B279,-(Setup!$C$13+Setup!$G$20),Setup!$C$39:$C$50))&lt;=Setup!$C$16),OR(MONTH(WORKDAY(B279,-(Setup!$C$13+Setup!$G$20),Setup!$C$39:$C$50))&gt;=Setup!$C$15,MONTH(WORKDAY(B279,-(Setup!$C$13+Setup!$G$20),Setup!$C$39:$C$50))&lt;=Setup!$C$16))),WORKDAY(B279,-(Setup!$C$13+Setup!$G$20+Setup!$C$14),Setup!$C$39:$C$50),WORKDAY(B279,-(Setup!$C$13+Setup!$G$20),Setup!$C$39:$C$50))+(274*100+1)/10000000)))</f>
        <v/>
      </c>
      <c r="S279" t="str">
        <f>IF(C279="","",IF(C279&lt;Setup!$C$5-Setup!$C$6,"",IF(IF(ISNUMBER(Roster!$D279),Setup!$C$21&lt;=Roster!$D279,FALSE),"",IF(OR(IF(Setup!$C$15&lt;=Setup!$C$16,AND(MONTH(C279)&gt;=Setup!$C$15,MONTH(C279)&lt;=Setup!$C$16),OR(MONTH(C279)&gt;=Setup!$C$15,MONTH(C279)&lt;=Setup!$C$16)),IF(Setup!$C$15&lt;=Setup!$C$16,AND(MONTH(WORKDAY(C279,-(Setup!$C$13+Setup!$G$21),Setup!$C$39:$C$50))&gt;=Setup!$C$15,MONTH(WORKDAY(C279,-(Setup!$C$13+Setup!$G$21),Setup!$C$39:$C$50))&lt;=Setup!$C$16),OR(MONTH(WORKDAY(C279,-(Setup!$C$13+Setup!$G$21),Setup!$C$39:$C$50))&gt;=Setup!$C$15,MONTH(WORKDAY(C279,-(Setup!$C$13+Setup!$G$21),Setup!$C$39:$C$50))&lt;=Setup!$C$16))),WORKDAY(C279,-(Setup!$C$13+Setup!$G$21+Setup!$C$14),Setup!$C$39:$C$50),WORKDAY(C279,-(Setup!$C$13+Setup!$G$21),Setup!$C$39:$C$50))+(274*100+2)/10000000)))</f>
        <v/>
      </c>
      <c r="T279" t="str">
        <f>IF(D279="","",IF(D279&lt;Setup!$C$5-Setup!$C$6,"",IF(IF(ISNUMBER(Roster!$D279),Setup!$C$22&lt;=Roster!$D279,FALSE),"",IF(OR(IF(Setup!$C$15&lt;=Setup!$C$16,AND(MONTH(D279)&gt;=Setup!$C$15,MONTH(D279)&lt;=Setup!$C$16),OR(MONTH(D279)&gt;=Setup!$C$15,MONTH(D279)&lt;=Setup!$C$16)),IF(Setup!$C$15&lt;=Setup!$C$16,AND(MONTH(WORKDAY(D279,-(Setup!$C$13+Setup!$G$22),Setup!$C$39:$C$50))&gt;=Setup!$C$15,MONTH(WORKDAY(D279,-(Setup!$C$13+Setup!$G$22),Setup!$C$39:$C$50))&lt;=Setup!$C$16),OR(MONTH(WORKDAY(D279,-(Setup!$C$13+Setup!$G$22),Setup!$C$39:$C$50))&gt;=Setup!$C$15,MONTH(WORKDAY(D279,-(Setup!$C$13+Setup!$G$22),Setup!$C$39:$C$50))&lt;=Setup!$C$16))),WORKDAY(D279,-(Setup!$C$13+Setup!$G$22+Setup!$C$14),Setup!$C$39:$C$50),WORKDAY(D279,-(Setup!$C$13+Setup!$G$22),Setup!$C$39:$C$50))+(274*100+3)/10000000)))</f>
        <v/>
      </c>
      <c r="U279" t="str">
        <f>IF(E279="","",IF(E279&lt;Setup!$C$5-Setup!$C$6,"",IF(IF(ISNUMBER(Roster!$D279),Setup!$C$23&lt;=Roster!$D279,FALSE),"",IF(OR(IF(Setup!$C$15&lt;=Setup!$C$16,AND(MONTH(E279)&gt;=Setup!$C$15,MONTH(E279)&lt;=Setup!$C$16),OR(MONTH(E279)&gt;=Setup!$C$15,MONTH(E279)&lt;=Setup!$C$16)),IF(Setup!$C$15&lt;=Setup!$C$16,AND(MONTH(WORKDAY(E279,-(Setup!$C$13+Setup!$G$23),Setup!$C$39:$C$50))&gt;=Setup!$C$15,MONTH(WORKDAY(E279,-(Setup!$C$13+Setup!$G$23),Setup!$C$39:$C$50))&lt;=Setup!$C$16),OR(MONTH(WORKDAY(E279,-(Setup!$C$13+Setup!$G$23),Setup!$C$39:$C$50))&gt;=Setup!$C$15,MONTH(WORKDAY(E279,-(Setup!$C$13+Setup!$G$23),Setup!$C$39:$C$50))&lt;=Setup!$C$16))),WORKDAY(E279,-(Setup!$C$13+Setup!$G$23+Setup!$C$14),Setup!$C$39:$C$50),WORKDAY(E279,-(Setup!$C$13+Setup!$G$23),Setup!$C$39:$C$50))+(274*100+4)/10000000)))</f>
        <v/>
      </c>
      <c r="V279" t="str">
        <f>IF(F279="","",IF(F279&lt;Setup!$C$5-Setup!$C$6,"",IF(IF(ISNUMBER(Roster!$D279),Setup!$C$24&lt;=Roster!$D279,FALSE),"",IF(OR(IF(Setup!$C$15&lt;=Setup!$C$16,AND(MONTH(F279)&gt;=Setup!$C$15,MONTH(F279)&lt;=Setup!$C$16),OR(MONTH(F279)&gt;=Setup!$C$15,MONTH(F279)&lt;=Setup!$C$16)),IF(Setup!$C$15&lt;=Setup!$C$16,AND(MONTH(WORKDAY(F279,-(Setup!$C$13+Setup!$G$24),Setup!$C$39:$C$50))&gt;=Setup!$C$15,MONTH(WORKDAY(F279,-(Setup!$C$13+Setup!$G$24),Setup!$C$39:$C$50))&lt;=Setup!$C$16),OR(MONTH(WORKDAY(F279,-(Setup!$C$13+Setup!$G$24),Setup!$C$39:$C$50))&gt;=Setup!$C$15,MONTH(WORKDAY(F279,-(Setup!$C$13+Setup!$G$24),Setup!$C$39:$C$50))&lt;=Setup!$C$16))),WORKDAY(F279,-(Setup!$C$13+Setup!$G$24+Setup!$C$14),Setup!$C$39:$C$50),WORKDAY(F279,-(Setup!$C$13+Setup!$G$24),Setup!$C$39:$C$50))+(274*100+5)/10000000)))</f>
        <v/>
      </c>
      <c r="W279" t="str">
        <f>IF(G279="","",IF(G279&lt;Setup!$C$5-Setup!$C$6,"",IF(IF(ISNUMBER(Roster!$D279),Setup!$C$25&lt;=Roster!$D279,FALSE),"",IF(OR(IF(Setup!$C$15&lt;=Setup!$C$16,AND(MONTH(G279)&gt;=Setup!$C$15,MONTH(G279)&lt;=Setup!$C$16),OR(MONTH(G279)&gt;=Setup!$C$15,MONTH(G279)&lt;=Setup!$C$16)),IF(Setup!$C$15&lt;=Setup!$C$16,AND(MONTH(WORKDAY(G279,-(Setup!$C$13+Setup!$G$25),Setup!$C$39:$C$50))&gt;=Setup!$C$15,MONTH(WORKDAY(G279,-(Setup!$C$13+Setup!$G$25),Setup!$C$39:$C$50))&lt;=Setup!$C$16),OR(MONTH(WORKDAY(G279,-(Setup!$C$13+Setup!$G$25),Setup!$C$39:$C$50))&gt;=Setup!$C$15,MONTH(WORKDAY(G279,-(Setup!$C$13+Setup!$G$25),Setup!$C$39:$C$50))&lt;=Setup!$C$16))),WORKDAY(G279,-(Setup!$C$13+Setup!$G$25+Setup!$C$14),Setup!$C$39:$C$50),WORKDAY(G279,-(Setup!$C$13+Setup!$G$25),Setup!$C$39:$C$50))+(274*100+6)/10000000)))</f>
        <v/>
      </c>
      <c r="X279" t="str">
        <f>IF(H279="","",IF(H279&lt;Setup!$C$5-Setup!$C$6,"",IF(IF(ISNUMBER(Roster!$D279),Setup!$C$26&lt;=Roster!$D279,FALSE),"",IF(OR(IF(Setup!$C$15&lt;=Setup!$C$16,AND(MONTH(H279)&gt;=Setup!$C$15,MONTH(H279)&lt;=Setup!$C$16),OR(MONTH(H279)&gt;=Setup!$C$15,MONTH(H279)&lt;=Setup!$C$16)),IF(Setup!$C$15&lt;=Setup!$C$16,AND(MONTH(WORKDAY(H279,-(Setup!$C$13+Setup!$G$26),Setup!$C$39:$C$50))&gt;=Setup!$C$15,MONTH(WORKDAY(H279,-(Setup!$C$13+Setup!$G$26),Setup!$C$39:$C$50))&lt;=Setup!$C$16),OR(MONTH(WORKDAY(H279,-(Setup!$C$13+Setup!$G$26),Setup!$C$39:$C$50))&gt;=Setup!$C$15,MONTH(WORKDAY(H279,-(Setup!$C$13+Setup!$G$26),Setup!$C$39:$C$50))&lt;=Setup!$C$16))),WORKDAY(H279,-(Setup!$C$13+Setup!$G$26+Setup!$C$14),Setup!$C$39:$C$50),WORKDAY(H279,-(Setup!$C$13+Setup!$G$26),Setup!$C$39:$C$50))+(274*100+7)/10000000)))</f>
        <v/>
      </c>
      <c r="Y279" t="str">
        <f>IF(I279="","",IF(I279&lt;Setup!$C$5-Setup!$C$6,"",IF(IF(ISNUMBER(Roster!$D279),Setup!$C$27&lt;=Roster!$D279,FALSE),"",IF(OR(IF(Setup!$C$15&lt;=Setup!$C$16,AND(MONTH(I279)&gt;=Setup!$C$15,MONTH(I279)&lt;=Setup!$C$16),OR(MONTH(I279)&gt;=Setup!$C$15,MONTH(I279)&lt;=Setup!$C$16)),IF(Setup!$C$15&lt;=Setup!$C$16,AND(MONTH(WORKDAY(I279,-(Setup!$C$13+Setup!$G$27),Setup!$C$39:$C$50))&gt;=Setup!$C$15,MONTH(WORKDAY(I279,-(Setup!$C$13+Setup!$G$27),Setup!$C$39:$C$50))&lt;=Setup!$C$16),OR(MONTH(WORKDAY(I279,-(Setup!$C$13+Setup!$G$27),Setup!$C$39:$C$50))&gt;=Setup!$C$15,MONTH(WORKDAY(I279,-(Setup!$C$13+Setup!$G$27),Setup!$C$39:$C$50))&lt;=Setup!$C$16))),WORKDAY(I279,-(Setup!$C$13+Setup!$G$27+Setup!$C$14),Setup!$C$39:$C$50),WORKDAY(I279,-(Setup!$C$13+Setup!$G$27),Setup!$C$39:$C$50))+(274*100+8)/10000000)))</f>
        <v/>
      </c>
      <c r="Z279" t="str">
        <f>IF(J279="","",IF(J279&lt;Setup!$C$5-Setup!$C$6,"",IF(IF(ISNUMBER(Roster!$D279),Setup!$C$28&lt;=Roster!$D279,FALSE),"",IF(OR(IF(Setup!$C$15&lt;=Setup!$C$16,AND(MONTH(J279)&gt;=Setup!$C$15,MONTH(J279)&lt;=Setup!$C$16),OR(MONTH(J279)&gt;=Setup!$C$15,MONTH(J279)&lt;=Setup!$C$16)),IF(Setup!$C$15&lt;=Setup!$C$16,AND(MONTH(WORKDAY(J279,-(Setup!$C$13+Setup!$G$28),Setup!$C$39:$C$50))&gt;=Setup!$C$15,MONTH(WORKDAY(J279,-(Setup!$C$13+Setup!$G$28),Setup!$C$39:$C$50))&lt;=Setup!$C$16),OR(MONTH(WORKDAY(J279,-(Setup!$C$13+Setup!$G$28),Setup!$C$39:$C$50))&gt;=Setup!$C$15,MONTH(WORKDAY(J279,-(Setup!$C$13+Setup!$G$28),Setup!$C$39:$C$50))&lt;=Setup!$C$16))),WORKDAY(J279,-(Setup!$C$13+Setup!$G$28+Setup!$C$14),Setup!$C$39:$C$50),WORKDAY(J279,-(Setup!$C$13+Setup!$G$28),Setup!$C$39:$C$50))+(274*100+9)/10000000)))</f>
        <v/>
      </c>
      <c r="AA279" t="str">
        <f>IF(K279="","",IF(K279&lt;Setup!$C$5-Setup!$C$6,"",IF(IF(ISNUMBER(Roster!$D279),Setup!$C$29&lt;=Roster!$D279,FALSE),"",IF(OR(IF(Setup!$C$15&lt;=Setup!$C$16,AND(MONTH(K279)&gt;=Setup!$C$15,MONTH(K279)&lt;=Setup!$C$16),OR(MONTH(K279)&gt;=Setup!$C$15,MONTH(K279)&lt;=Setup!$C$16)),IF(Setup!$C$15&lt;=Setup!$C$16,AND(MONTH(WORKDAY(K279,-(Setup!$C$13+Setup!$G$29),Setup!$C$39:$C$50))&gt;=Setup!$C$15,MONTH(WORKDAY(K279,-(Setup!$C$13+Setup!$G$29),Setup!$C$39:$C$50))&lt;=Setup!$C$16),OR(MONTH(WORKDAY(K279,-(Setup!$C$13+Setup!$G$29),Setup!$C$39:$C$50))&gt;=Setup!$C$15,MONTH(WORKDAY(K279,-(Setup!$C$13+Setup!$G$29),Setup!$C$39:$C$50))&lt;=Setup!$C$16))),WORKDAY(K279,-(Setup!$C$13+Setup!$G$29+Setup!$C$14),Setup!$C$39:$C$50),WORKDAY(K279,-(Setup!$C$13+Setup!$G$29),Setup!$C$39:$C$50))+(274*100+10)/10000000)))</f>
        <v/>
      </c>
      <c r="AB279" t="str">
        <f>IF(L279="","",IF(L279&lt;Setup!$C$5-Setup!$C$6,"",IF(IF(ISNUMBER(Roster!$D279),Setup!$C$30&lt;=Roster!$D279,FALSE),"",IF(OR(IF(Setup!$C$15&lt;=Setup!$C$16,AND(MONTH(L279)&gt;=Setup!$C$15,MONTH(L279)&lt;=Setup!$C$16),OR(MONTH(L279)&gt;=Setup!$C$15,MONTH(L279)&lt;=Setup!$C$16)),IF(Setup!$C$15&lt;=Setup!$C$16,AND(MONTH(WORKDAY(L279,-(Setup!$C$13+Setup!$G$30),Setup!$C$39:$C$50))&gt;=Setup!$C$15,MONTH(WORKDAY(L279,-(Setup!$C$13+Setup!$G$30),Setup!$C$39:$C$50))&lt;=Setup!$C$16),OR(MONTH(WORKDAY(L279,-(Setup!$C$13+Setup!$G$30),Setup!$C$39:$C$50))&gt;=Setup!$C$15,MONTH(WORKDAY(L279,-(Setup!$C$13+Setup!$G$30),Setup!$C$39:$C$50))&lt;=Setup!$C$16))),WORKDAY(L279,-(Setup!$C$13+Setup!$G$30+Setup!$C$14),Setup!$C$39:$C$50),WORKDAY(L279,-(Setup!$C$13+Setup!$G$30),Setup!$C$39:$C$50))+(274*100+11)/10000000)))</f>
        <v/>
      </c>
      <c r="AC279" t="str">
        <f>IF(M279="","",IF(M279&lt;Setup!$C$5-Setup!$C$6,"",IF(IF(ISNUMBER(Roster!$D279),Setup!$C$31&lt;=Roster!$D279,FALSE),"",IF(OR(IF(Setup!$C$15&lt;=Setup!$C$16,AND(MONTH(M279)&gt;=Setup!$C$15,MONTH(M279)&lt;=Setup!$C$16),OR(MONTH(M279)&gt;=Setup!$C$15,MONTH(M279)&lt;=Setup!$C$16)),IF(Setup!$C$15&lt;=Setup!$C$16,AND(MONTH(WORKDAY(M279,-(Setup!$C$13+Setup!$G$31),Setup!$C$39:$C$50))&gt;=Setup!$C$15,MONTH(WORKDAY(M279,-(Setup!$C$13+Setup!$G$31),Setup!$C$39:$C$50))&lt;=Setup!$C$16),OR(MONTH(WORKDAY(M279,-(Setup!$C$13+Setup!$G$31),Setup!$C$39:$C$50))&gt;=Setup!$C$15,MONTH(WORKDAY(M279,-(Setup!$C$13+Setup!$G$31),Setup!$C$39:$C$50))&lt;=Setup!$C$16))),WORKDAY(M279,-(Setup!$C$13+Setup!$G$31+Setup!$C$14),Setup!$C$39:$C$50),WORKDAY(M279,-(Setup!$C$13+Setup!$G$31),Setup!$C$39:$C$50))+(274*100+12)/10000000)))</f>
        <v/>
      </c>
      <c r="AD279" t="str">
        <f>IF(N279="","",IF(N279&lt;Setup!$C$5-Setup!$C$6,"",IF(IF(ISNUMBER(Roster!$D279),Setup!$C$32&lt;=Roster!$D279,FALSE),"",IF(OR(IF(Setup!$C$15&lt;=Setup!$C$16,AND(MONTH(N279)&gt;=Setup!$C$15,MONTH(N279)&lt;=Setup!$C$16),OR(MONTH(N279)&gt;=Setup!$C$15,MONTH(N279)&lt;=Setup!$C$16)),IF(Setup!$C$15&lt;=Setup!$C$16,AND(MONTH(WORKDAY(N279,-(Setup!$C$13+Setup!$G$32),Setup!$C$39:$C$50))&gt;=Setup!$C$15,MONTH(WORKDAY(N279,-(Setup!$C$13+Setup!$G$32),Setup!$C$39:$C$50))&lt;=Setup!$C$16),OR(MONTH(WORKDAY(N279,-(Setup!$C$13+Setup!$G$32),Setup!$C$39:$C$50))&gt;=Setup!$C$15,MONTH(WORKDAY(N279,-(Setup!$C$13+Setup!$G$32),Setup!$C$39:$C$50))&lt;=Setup!$C$16))),WORKDAY(N279,-(Setup!$C$13+Setup!$G$32+Setup!$C$14),Setup!$C$39:$C$50),WORKDAY(N279,-(Setup!$C$13+Setup!$G$32),Setup!$C$39:$C$50))+(274*100+13)/10000000)))</f>
        <v/>
      </c>
      <c r="AE279" t="str">
        <f>IF(O279="","",IF(O279&lt;Setup!$C$5-Setup!$C$6,"",IF(IF(ISNUMBER(Roster!$D279),Setup!$C$33&lt;=Roster!$D279,FALSE),"",IF(OR(IF(Setup!$C$15&lt;=Setup!$C$16,AND(MONTH(O279)&gt;=Setup!$C$15,MONTH(O279)&lt;=Setup!$C$16),OR(MONTH(O279)&gt;=Setup!$C$15,MONTH(O279)&lt;=Setup!$C$16)),IF(Setup!$C$15&lt;=Setup!$C$16,AND(MONTH(WORKDAY(O279,-(Setup!$C$13+Setup!$G$33),Setup!$C$39:$C$50))&gt;=Setup!$C$15,MONTH(WORKDAY(O279,-(Setup!$C$13+Setup!$G$33),Setup!$C$39:$C$50))&lt;=Setup!$C$16),OR(MONTH(WORKDAY(O279,-(Setup!$C$13+Setup!$G$33),Setup!$C$39:$C$50))&gt;=Setup!$C$15,MONTH(WORKDAY(O279,-(Setup!$C$13+Setup!$G$33),Setup!$C$39:$C$50))&lt;=Setup!$C$16))),WORKDAY(O279,-(Setup!$C$13+Setup!$G$33+Setup!$C$14),Setup!$C$39:$C$50),WORKDAY(O279,-(Setup!$C$13+Setup!$G$33),Setup!$C$39:$C$50))+(274*100+14)/10000000)))</f>
        <v/>
      </c>
      <c r="AF279" t="str">
        <f>IF(P279="","",IF(P279&lt;Setup!$C$5-Setup!$C$6,"",IF(IF(ISNUMBER(Roster!$D279),Setup!$C$34&lt;=Roster!$D279,FALSE),"",IF(OR(IF(Setup!$C$15&lt;=Setup!$C$16,AND(MONTH(P279)&gt;=Setup!$C$15,MONTH(P279)&lt;=Setup!$C$16),OR(MONTH(P279)&gt;=Setup!$C$15,MONTH(P279)&lt;=Setup!$C$16)),IF(Setup!$C$15&lt;=Setup!$C$16,AND(MONTH(WORKDAY(P279,-(Setup!$C$13+Setup!$G$34),Setup!$C$39:$C$50))&gt;=Setup!$C$15,MONTH(WORKDAY(P279,-(Setup!$C$13+Setup!$G$34),Setup!$C$39:$C$50))&lt;=Setup!$C$16),OR(MONTH(WORKDAY(P279,-(Setup!$C$13+Setup!$G$34),Setup!$C$39:$C$50))&gt;=Setup!$C$15,MONTH(WORKDAY(P279,-(Setup!$C$13+Setup!$G$34),Setup!$C$39:$C$50))&lt;=Setup!$C$16))),WORKDAY(P279,-(Setup!$C$13+Setup!$G$34+Setup!$C$14),Setup!$C$39:$C$50),WORKDAY(P279,-(Setup!$C$13+Setup!$G$34),Setup!$C$39:$C$50))+(274*100+15)/10000000)))</f>
        <v/>
      </c>
      <c r="AH279" t="str">
        <f t="shared" si="33"/>
        <v/>
      </c>
      <c r="AI279" t="str">
        <f t="shared" si="34"/>
        <v/>
      </c>
      <c r="AK279" t="str">
        <f ca="1">IF(274&gt;$AK$2,"",SMALL($R$6:$AF$505,274))</f>
        <v/>
      </c>
      <c r="AL279" t="str">
        <f t="shared" ca="1" si="35"/>
        <v/>
      </c>
      <c r="AM279" t="str">
        <f t="shared" ca="1" si="36"/>
        <v/>
      </c>
      <c r="AN279" t="str">
        <f t="shared" ca="1" si="37"/>
        <v/>
      </c>
      <c r="AP279" t="str">
        <f>IF(ISNUMBER(Roster!$B279),MAX(1,YEAR(Setup!$C$5)-YEAR(Roster!$B279)+IF(EDATE(Roster!$B279,12*(YEAR(Setup!$C$5)-YEAR(Roster!$B279)))&lt;Setup!$C$5,1,0)),"")</f>
        <v/>
      </c>
      <c r="AQ279" s="32" t="str">
        <f>IF(AP279="","",EDATE(Roster!$B279,12*AP279))</f>
        <v/>
      </c>
      <c r="AR279" t="str">
        <f>IF(AQ279="","",IF(AQ279&lt;DATE(YEAR(Setup!$C$5)+1,MONTH(Setup!$C$5),DAY(Setup!$C$5)),AQ279+274/1000,""))</f>
        <v/>
      </c>
      <c r="AS279" t="str">
        <f t="shared" si="38"/>
        <v/>
      </c>
      <c r="AT279" t="str">
        <f>IF(AS279="","",IF(ISNUMBER(Roster!$D279),Roster!$D279&gt;=AP279,FALSE))</f>
        <v/>
      </c>
      <c r="AU279" t="str">
        <f t="shared" si="39"/>
        <v/>
      </c>
      <c r="AV279" t="str">
        <f ca="1">IF(274&gt;$AV$2,"",SMALL($AR$6:$AR$505,274))</f>
        <v/>
      </c>
      <c r="AW279" t="str">
        <f t="shared" ca="1" si="40"/>
        <v/>
      </c>
    </row>
    <row r="280" spans="2:49" x14ac:dyDescent="0.2">
      <c r="B280" s="32" t="str">
        <f>IF(AND(ISNUMBER(Roster!$B280),Setup!$B$20="Yes",ISNUMBER(Setup!$C$20)),EDATE(Roster!$B280,12*Setup!$C$20),"")</f>
        <v/>
      </c>
      <c r="C280" s="32" t="str">
        <f>IF(AND(ISNUMBER(Roster!$B280),Setup!$B$21="Yes",ISNUMBER(Setup!$C$21)),EDATE(Roster!$B280,12*Setup!$C$21),"")</f>
        <v/>
      </c>
      <c r="D280" s="32" t="str">
        <f>IF(AND(ISNUMBER(Roster!$B280),Setup!$B$22="Yes",ISNUMBER(Setup!$C$22)),EDATE(Roster!$B280,12*Setup!$C$22),"")</f>
        <v/>
      </c>
      <c r="E280" s="32" t="str">
        <f>IF(AND(ISNUMBER(Roster!$B280),Setup!$B$23="Yes",ISNUMBER(Setup!$C$23)),EDATE(Roster!$B280,12*Setup!$C$23),"")</f>
        <v/>
      </c>
      <c r="F280" s="32" t="str">
        <f>IF(AND(ISNUMBER(Roster!$B280),Setup!$B$24="Yes",ISNUMBER(Setup!$C$24)),EDATE(Roster!$B280,12*Setup!$C$24),"")</f>
        <v/>
      </c>
      <c r="G280" s="32" t="str">
        <f>IF(AND(ISNUMBER(Roster!$B280),Setup!$B$25="Yes",ISNUMBER(Setup!$C$25)),EDATE(Roster!$B280,12*Setup!$C$25),"")</f>
        <v/>
      </c>
      <c r="H280" s="32" t="str">
        <f>IF(AND(ISNUMBER(Roster!$B280),Setup!$B$26="Yes",ISNUMBER(Setup!$C$26)),EDATE(Roster!$B280,12*Setup!$C$26),"")</f>
        <v/>
      </c>
      <c r="I280" s="32" t="str">
        <f>IF(AND(ISNUMBER(Roster!$B280),Setup!$B$27="Yes",ISNUMBER(Setup!$C$27)),EDATE(Roster!$B280,12*Setup!$C$27),"")</f>
        <v/>
      </c>
      <c r="J280" s="32" t="str">
        <f>IF(AND(ISNUMBER(Roster!$B280),Setup!$B$28="Yes",ISNUMBER(Setup!$C$28)),EDATE(Roster!$B280,12*Setup!$C$28),"")</f>
        <v/>
      </c>
      <c r="K280" s="32" t="str">
        <f>IF(AND(ISNUMBER(Roster!$B280),Setup!$B$29="Yes",ISNUMBER(Setup!$C$29)),EDATE(Roster!$B280,12*Setup!$C$29),"")</f>
        <v/>
      </c>
      <c r="L280" s="32" t="str">
        <f>IF(AND(ISNUMBER(Roster!$B280),Setup!$B$30="Yes",ISNUMBER(Setup!$C$30)),EDATE(Roster!$B280,12*Setup!$C$30),"")</f>
        <v/>
      </c>
      <c r="M280" s="32" t="str">
        <f>IF(AND(ISNUMBER(Roster!$B280),Setup!$B$31="Yes",ISNUMBER(Setup!$C$31)),EDATE(Roster!$B280,12*Setup!$C$31),"")</f>
        <v/>
      </c>
      <c r="N280" s="32" t="str">
        <f>IF(AND(ISNUMBER(Roster!$B280),Setup!$B$32="Yes",ISNUMBER(Setup!$C$32)),EDATE(Roster!$B280,12*Setup!$C$32),"")</f>
        <v/>
      </c>
      <c r="O280" s="32" t="str">
        <f>IF(AND(ISNUMBER(Roster!$B280),Setup!$B$33="Yes",ISNUMBER(Setup!$C$33)),EDATE(Roster!$B280,12*Setup!$C$33),"")</f>
        <v/>
      </c>
      <c r="P280" s="32" t="str">
        <f>IF(AND(ISNUMBER(Roster!$B280),Setup!$B$34="Yes",ISNUMBER(Setup!$C$34)),EDATE(Roster!$B280,12*Setup!$C$34),"")</f>
        <v/>
      </c>
      <c r="R280" t="str">
        <f>IF(B280="","",IF(B280&lt;Setup!$C$5-Setup!$C$6,"",IF(IF(ISNUMBER(Roster!$D280),Setup!$C$20&lt;=Roster!$D280,FALSE),"",IF(OR(IF(Setup!$C$15&lt;=Setup!$C$16,AND(MONTH(B280)&gt;=Setup!$C$15,MONTH(B280)&lt;=Setup!$C$16),OR(MONTH(B280)&gt;=Setup!$C$15,MONTH(B280)&lt;=Setup!$C$16)),IF(Setup!$C$15&lt;=Setup!$C$16,AND(MONTH(WORKDAY(B280,-(Setup!$C$13+Setup!$G$20),Setup!$C$39:$C$50))&gt;=Setup!$C$15,MONTH(WORKDAY(B280,-(Setup!$C$13+Setup!$G$20),Setup!$C$39:$C$50))&lt;=Setup!$C$16),OR(MONTH(WORKDAY(B280,-(Setup!$C$13+Setup!$G$20),Setup!$C$39:$C$50))&gt;=Setup!$C$15,MONTH(WORKDAY(B280,-(Setup!$C$13+Setup!$G$20),Setup!$C$39:$C$50))&lt;=Setup!$C$16))),WORKDAY(B280,-(Setup!$C$13+Setup!$G$20+Setup!$C$14),Setup!$C$39:$C$50),WORKDAY(B280,-(Setup!$C$13+Setup!$G$20),Setup!$C$39:$C$50))+(275*100+1)/10000000)))</f>
        <v/>
      </c>
      <c r="S280" t="str">
        <f>IF(C280="","",IF(C280&lt;Setup!$C$5-Setup!$C$6,"",IF(IF(ISNUMBER(Roster!$D280),Setup!$C$21&lt;=Roster!$D280,FALSE),"",IF(OR(IF(Setup!$C$15&lt;=Setup!$C$16,AND(MONTH(C280)&gt;=Setup!$C$15,MONTH(C280)&lt;=Setup!$C$16),OR(MONTH(C280)&gt;=Setup!$C$15,MONTH(C280)&lt;=Setup!$C$16)),IF(Setup!$C$15&lt;=Setup!$C$16,AND(MONTH(WORKDAY(C280,-(Setup!$C$13+Setup!$G$21),Setup!$C$39:$C$50))&gt;=Setup!$C$15,MONTH(WORKDAY(C280,-(Setup!$C$13+Setup!$G$21),Setup!$C$39:$C$50))&lt;=Setup!$C$16),OR(MONTH(WORKDAY(C280,-(Setup!$C$13+Setup!$G$21),Setup!$C$39:$C$50))&gt;=Setup!$C$15,MONTH(WORKDAY(C280,-(Setup!$C$13+Setup!$G$21),Setup!$C$39:$C$50))&lt;=Setup!$C$16))),WORKDAY(C280,-(Setup!$C$13+Setup!$G$21+Setup!$C$14),Setup!$C$39:$C$50),WORKDAY(C280,-(Setup!$C$13+Setup!$G$21),Setup!$C$39:$C$50))+(275*100+2)/10000000)))</f>
        <v/>
      </c>
      <c r="T280" t="str">
        <f>IF(D280="","",IF(D280&lt;Setup!$C$5-Setup!$C$6,"",IF(IF(ISNUMBER(Roster!$D280),Setup!$C$22&lt;=Roster!$D280,FALSE),"",IF(OR(IF(Setup!$C$15&lt;=Setup!$C$16,AND(MONTH(D280)&gt;=Setup!$C$15,MONTH(D280)&lt;=Setup!$C$16),OR(MONTH(D280)&gt;=Setup!$C$15,MONTH(D280)&lt;=Setup!$C$16)),IF(Setup!$C$15&lt;=Setup!$C$16,AND(MONTH(WORKDAY(D280,-(Setup!$C$13+Setup!$G$22),Setup!$C$39:$C$50))&gt;=Setup!$C$15,MONTH(WORKDAY(D280,-(Setup!$C$13+Setup!$G$22),Setup!$C$39:$C$50))&lt;=Setup!$C$16),OR(MONTH(WORKDAY(D280,-(Setup!$C$13+Setup!$G$22),Setup!$C$39:$C$50))&gt;=Setup!$C$15,MONTH(WORKDAY(D280,-(Setup!$C$13+Setup!$G$22),Setup!$C$39:$C$50))&lt;=Setup!$C$16))),WORKDAY(D280,-(Setup!$C$13+Setup!$G$22+Setup!$C$14),Setup!$C$39:$C$50),WORKDAY(D280,-(Setup!$C$13+Setup!$G$22),Setup!$C$39:$C$50))+(275*100+3)/10000000)))</f>
        <v/>
      </c>
      <c r="U280" t="str">
        <f>IF(E280="","",IF(E280&lt;Setup!$C$5-Setup!$C$6,"",IF(IF(ISNUMBER(Roster!$D280),Setup!$C$23&lt;=Roster!$D280,FALSE),"",IF(OR(IF(Setup!$C$15&lt;=Setup!$C$16,AND(MONTH(E280)&gt;=Setup!$C$15,MONTH(E280)&lt;=Setup!$C$16),OR(MONTH(E280)&gt;=Setup!$C$15,MONTH(E280)&lt;=Setup!$C$16)),IF(Setup!$C$15&lt;=Setup!$C$16,AND(MONTH(WORKDAY(E280,-(Setup!$C$13+Setup!$G$23),Setup!$C$39:$C$50))&gt;=Setup!$C$15,MONTH(WORKDAY(E280,-(Setup!$C$13+Setup!$G$23),Setup!$C$39:$C$50))&lt;=Setup!$C$16),OR(MONTH(WORKDAY(E280,-(Setup!$C$13+Setup!$G$23),Setup!$C$39:$C$50))&gt;=Setup!$C$15,MONTH(WORKDAY(E280,-(Setup!$C$13+Setup!$G$23),Setup!$C$39:$C$50))&lt;=Setup!$C$16))),WORKDAY(E280,-(Setup!$C$13+Setup!$G$23+Setup!$C$14),Setup!$C$39:$C$50),WORKDAY(E280,-(Setup!$C$13+Setup!$G$23),Setup!$C$39:$C$50))+(275*100+4)/10000000)))</f>
        <v/>
      </c>
      <c r="V280" t="str">
        <f>IF(F280="","",IF(F280&lt;Setup!$C$5-Setup!$C$6,"",IF(IF(ISNUMBER(Roster!$D280),Setup!$C$24&lt;=Roster!$D280,FALSE),"",IF(OR(IF(Setup!$C$15&lt;=Setup!$C$16,AND(MONTH(F280)&gt;=Setup!$C$15,MONTH(F280)&lt;=Setup!$C$16),OR(MONTH(F280)&gt;=Setup!$C$15,MONTH(F280)&lt;=Setup!$C$16)),IF(Setup!$C$15&lt;=Setup!$C$16,AND(MONTH(WORKDAY(F280,-(Setup!$C$13+Setup!$G$24),Setup!$C$39:$C$50))&gt;=Setup!$C$15,MONTH(WORKDAY(F280,-(Setup!$C$13+Setup!$G$24),Setup!$C$39:$C$50))&lt;=Setup!$C$16),OR(MONTH(WORKDAY(F280,-(Setup!$C$13+Setup!$G$24),Setup!$C$39:$C$50))&gt;=Setup!$C$15,MONTH(WORKDAY(F280,-(Setup!$C$13+Setup!$G$24),Setup!$C$39:$C$50))&lt;=Setup!$C$16))),WORKDAY(F280,-(Setup!$C$13+Setup!$G$24+Setup!$C$14),Setup!$C$39:$C$50),WORKDAY(F280,-(Setup!$C$13+Setup!$G$24),Setup!$C$39:$C$50))+(275*100+5)/10000000)))</f>
        <v/>
      </c>
      <c r="W280" t="str">
        <f>IF(G280="","",IF(G280&lt;Setup!$C$5-Setup!$C$6,"",IF(IF(ISNUMBER(Roster!$D280),Setup!$C$25&lt;=Roster!$D280,FALSE),"",IF(OR(IF(Setup!$C$15&lt;=Setup!$C$16,AND(MONTH(G280)&gt;=Setup!$C$15,MONTH(G280)&lt;=Setup!$C$16),OR(MONTH(G280)&gt;=Setup!$C$15,MONTH(G280)&lt;=Setup!$C$16)),IF(Setup!$C$15&lt;=Setup!$C$16,AND(MONTH(WORKDAY(G280,-(Setup!$C$13+Setup!$G$25),Setup!$C$39:$C$50))&gt;=Setup!$C$15,MONTH(WORKDAY(G280,-(Setup!$C$13+Setup!$G$25),Setup!$C$39:$C$50))&lt;=Setup!$C$16),OR(MONTH(WORKDAY(G280,-(Setup!$C$13+Setup!$G$25),Setup!$C$39:$C$50))&gt;=Setup!$C$15,MONTH(WORKDAY(G280,-(Setup!$C$13+Setup!$G$25),Setup!$C$39:$C$50))&lt;=Setup!$C$16))),WORKDAY(G280,-(Setup!$C$13+Setup!$G$25+Setup!$C$14),Setup!$C$39:$C$50),WORKDAY(G280,-(Setup!$C$13+Setup!$G$25),Setup!$C$39:$C$50))+(275*100+6)/10000000)))</f>
        <v/>
      </c>
      <c r="X280" t="str">
        <f>IF(H280="","",IF(H280&lt;Setup!$C$5-Setup!$C$6,"",IF(IF(ISNUMBER(Roster!$D280),Setup!$C$26&lt;=Roster!$D280,FALSE),"",IF(OR(IF(Setup!$C$15&lt;=Setup!$C$16,AND(MONTH(H280)&gt;=Setup!$C$15,MONTH(H280)&lt;=Setup!$C$16),OR(MONTH(H280)&gt;=Setup!$C$15,MONTH(H280)&lt;=Setup!$C$16)),IF(Setup!$C$15&lt;=Setup!$C$16,AND(MONTH(WORKDAY(H280,-(Setup!$C$13+Setup!$G$26),Setup!$C$39:$C$50))&gt;=Setup!$C$15,MONTH(WORKDAY(H280,-(Setup!$C$13+Setup!$G$26),Setup!$C$39:$C$50))&lt;=Setup!$C$16),OR(MONTH(WORKDAY(H280,-(Setup!$C$13+Setup!$G$26),Setup!$C$39:$C$50))&gt;=Setup!$C$15,MONTH(WORKDAY(H280,-(Setup!$C$13+Setup!$G$26),Setup!$C$39:$C$50))&lt;=Setup!$C$16))),WORKDAY(H280,-(Setup!$C$13+Setup!$G$26+Setup!$C$14),Setup!$C$39:$C$50),WORKDAY(H280,-(Setup!$C$13+Setup!$G$26),Setup!$C$39:$C$50))+(275*100+7)/10000000)))</f>
        <v/>
      </c>
      <c r="Y280" t="str">
        <f>IF(I280="","",IF(I280&lt;Setup!$C$5-Setup!$C$6,"",IF(IF(ISNUMBER(Roster!$D280),Setup!$C$27&lt;=Roster!$D280,FALSE),"",IF(OR(IF(Setup!$C$15&lt;=Setup!$C$16,AND(MONTH(I280)&gt;=Setup!$C$15,MONTH(I280)&lt;=Setup!$C$16),OR(MONTH(I280)&gt;=Setup!$C$15,MONTH(I280)&lt;=Setup!$C$16)),IF(Setup!$C$15&lt;=Setup!$C$16,AND(MONTH(WORKDAY(I280,-(Setup!$C$13+Setup!$G$27),Setup!$C$39:$C$50))&gt;=Setup!$C$15,MONTH(WORKDAY(I280,-(Setup!$C$13+Setup!$G$27),Setup!$C$39:$C$50))&lt;=Setup!$C$16),OR(MONTH(WORKDAY(I280,-(Setup!$C$13+Setup!$G$27),Setup!$C$39:$C$50))&gt;=Setup!$C$15,MONTH(WORKDAY(I280,-(Setup!$C$13+Setup!$G$27),Setup!$C$39:$C$50))&lt;=Setup!$C$16))),WORKDAY(I280,-(Setup!$C$13+Setup!$G$27+Setup!$C$14),Setup!$C$39:$C$50),WORKDAY(I280,-(Setup!$C$13+Setup!$G$27),Setup!$C$39:$C$50))+(275*100+8)/10000000)))</f>
        <v/>
      </c>
      <c r="Z280" t="str">
        <f>IF(J280="","",IF(J280&lt;Setup!$C$5-Setup!$C$6,"",IF(IF(ISNUMBER(Roster!$D280),Setup!$C$28&lt;=Roster!$D280,FALSE),"",IF(OR(IF(Setup!$C$15&lt;=Setup!$C$16,AND(MONTH(J280)&gt;=Setup!$C$15,MONTH(J280)&lt;=Setup!$C$16),OR(MONTH(J280)&gt;=Setup!$C$15,MONTH(J280)&lt;=Setup!$C$16)),IF(Setup!$C$15&lt;=Setup!$C$16,AND(MONTH(WORKDAY(J280,-(Setup!$C$13+Setup!$G$28),Setup!$C$39:$C$50))&gt;=Setup!$C$15,MONTH(WORKDAY(J280,-(Setup!$C$13+Setup!$G$28),Setup!$C$39:$C$50))&lt;=Setup!$C$16),OR(MONTH(WORKDAY(J280,-(Setup!$C$13+Setup!$G$28),Setup!$C$39:$C$50))&gt;=Setup!$C$15,MONTH(WORKDAY(J280,-(Setup!$C$13+Setup!$G$28),Setup!$C$39:$C$50))&lt;=Setup!$C$16))),WORKDAY(J280,-(Setup!$C$13+Setup!$G$28+Setup!$C$14),Setup!$C$39:$C$50),WORKDAY(J280,-(Setup!$C$13+Setup!$G$28),Setup!$C$39:$C$50))+(275*100+9)/10000000)))</f>
        <v/>
      </c>
      <c r="AA280" t="str">
        <f>IF(K280="","",IF(K280&lt;Setup!$C$5-Setup!$C$6,"",IF(IF(ISNUMBER(Roster!$D280),Setup!$C$29&lt;=Roster!$D280,FALSE),"",IF(OR(IF(Setup!$C$15&lt;=Setup!$C$16,AND(MONTH(K280)&gt;=Setup!$C$15,MONTH(K280)&lt;=Setup!$C$16),OR(MONTH(K280)&gt;=Setup!$C$15,MONTH(K280)&lt;=Setup!$C$16)),IF(Setup!$C$15&lt;=Setup!$C$16,AND(MONTH(WORKDAY(K280,-(Setup!$C$13+Setup!$G$29),Setup!$C$39:$C$50))&gt;=Setup!$C$15,MONTH(WORKDAY(K280,-(Setup!$C$13+Setup!$G$29),Setup!$C$39:$C$50))&lt;=Setup!$C$16),OR(MONTH(WORKDAY(K280,-(Setup!$C$13+Setup!$G$29),Setup!$C$39:$C$50))&gt;=Setup!$C$15,MONTH(WORKDAY(K280,-(Setup!$C$13+Setup!$G$29),Setup!$C$39:$C$50))&lt;=Setup!$C$16))),WORKDAY(K280,-(Setup!$C$13+Setup!$G$29+Setup!$C$14),Setup!$C$39:$C$50),WORKDAY(K280,-(Setup!$C$13+Setup!$G$29),Setup!$C$39:$C$50))+(275*100+10)/10000000)))</f>
        <v/>
      </c>
      <c r="AB280" t="str">
        <f>IF(L280="","",IF(L280&lt;Setup!$C$5-Setup!$C$6,"",IF(IF(ISNUMBER(Roster!$D280),Setup!$C$30&lt;=Roster!$D280,FALSE),"",IF(OR(IF(Setup!$C$15&lt;=Setup!$C$16,AND(MONTH(L280)&gt;=Setup!$C$15,MONTH(L280)&lt;=Setup!$C$16),OR(MONTH(L280)&gt;=Setup!$C$15,MONTH(L280)&lt;=Setup!$C$16)),IF(Setup!$C$15&lt;=Setup!$C$16,AND(MONTH(WORKDAY(L280,-(Setup!$C$13+Setup!$G$30),Setup!$C$39:$C$50))&gt;=Setup!$C$15,MONTH(WORKDAY(L280,-(Setup!$C$13+Setup!$G$30),Setup!$C$39:$C$50))&lt;=Setup!$C$16),OR(MONTH(WORKDAY(L280,-(Setup!$C$13+Setup!$G$30),Setup!$C$39:$C$50))&gt;=Setup!$C$15,MONTH(WORKDAY(L280,-(Setup!$C$13+Setup!$G$30),Setup!$C$39:$C$50))&lt;=Setup!$C$16))),WORKDAY(L280,-(Setup!$C$13+Setup!$G$30+Setup!$C$14),Setup!$C$39:$C$50),WORKDAY(L280,-(Setup!$C$13+Setup!$G$30),Setup!$C$39:$C$50))+(275*100+11)/10000000)))</f>
        <v/>
      </c>
      <c r="AC280" t="str">
        <f>IF(M280="","",IF(M280&lt;Setup!$C$5-Setup!$C$6,"",IF(IF(ISNUMBER(Roster!$D280),Setup!$C$31&lt;=Roster!$D280,FALSE),"",IF(OR(IF(Setup!$C$15&lt;=Setup!$C$16,AND(MONTH(M280)&gt;=Setup!$C$15,MONTH(M280)&lt;=Setup!$C$16),OR(MONTH(M280)&gt;=Setup!$C$15,MONTH(M280)&lt;=Setup!$C$16)),IF(Setup!$C$15&lt;=Setup!$C$16,AND(MONTH(WORKDAY(M280,-(Setup!$C$13+Setup!$G$31),Setup!$C$39:$C$50))&gt;=Setup!$C$15,MONTH(WORKDAY(M280,-(Setup!$C$13+Setup!$G$31),Setup!$C$39:$C$50))&lt;=Setup!$C$16),OR(MONTH(WORKDAY(M280,-(Setup!$C$13+Setup!$G$31),Setup!$C$39:$C$50))&gt;=Setup!$C$15,MONTH(WORKDAY(M280,-(Setup!$C$13+Setup!$G$31),Setup!$C$39:$C$50))&lt;=Setup!$C$16))),WORKDAY(M280,-(Setup!$C$13+Setup!$G$31+Setup!$C$14),Setup!$C$39:$C$50),WORKDAY(M280,-(Setup!$C$13+Setup!$G$31),Setup!$C$39:$C$50))+(275*100+12)/10000000)))</f>
        <v/>
      </c>
      <c r="AD280" t="str">
        <f>IF(N280="","",IF(N280&lt;Setup!$C$5-Setup!$C$6,"",IF(IF(ISNUMBER(Roster!$D280),Setup!$C$32&lt;=Roster!$D280,FALSE),"",IF(OR(IF(Setup!$C$15&lt;=Setup!$C$16,AND(MONTH(N280)&gt;=Setup!$C$15,MONTH(N280)&lt;=Setup!$C$16),OR(MONTH(N280)&gt;=Setup!$C$15,MONTH(N280)&lt;=Setup!$C$16)),IF(Setup!$C$15&lt;=Setup!$C$16,AND(MONTH(WORKDAY(N280,-(Setup!$C$13+Setup!$G$32),Setup!$C$39:$C$50))&gt;=Setup!$C$15,MONTH(WORKDAY(N280,-(Setup!$C$13+Setup!$G$32),Setup!$C$39:$C$50))&lt;=Setup!$C$16),OR(MONTH(WORKDAY(N280,-(Setup!$C$13+Setup!$G$32),Setup!$C$39:$C$50))&gt;=Setup!$C$15,MONTH(WORKDAY(N280,-(Setup!$C$13+Setup!$G$32),Setup!$C$39:$C$50))&lt;=Setup!$C$16))),WORKDAY(N280,-(Setup!$C$13+Setup!$G$32+Setup!$C$14),Setup!$C$39:$C$50),WORKDAY(N280,-(Setup!$C$13+Setup!$G$32),Setup!$C$39:$C$50))+(275*100+13)/10000000)))</f>
        <v/>
      </c>
      <c r="AE280" t="str">
        <f>IF(O280="","",IF(O280&lt;Setup!$C$5-Setup!$C$6,"",IF(IF(ISNUMBER(Roster!$D280),Setup!$C$33&lt;=Roster!$D280,FALSE),"",IF(OR(IF(Setup!$C$15&lt;=Setup!$C$16,AND(MONTH(O280)&gt;=Setup!$C$15,MONTH(O280)&lt;=Setup!$C$16),OR(MONTH(O280)&gt;=Setup!$C$15,MONTH(O280)&lt;=Setup!$C$16)),IF(Setup!$C$15&lt;=Setup!$C$16,AND(MONTH(WORKDAY(O280,-(Setup!$C$13+Setup!$G$33),Setup!$C$39:$C$50))&gt;=Setup!$C$15,MONTH(WORKDAY(O280,-(Setup!$C$13+Setup!$G$33),Setup!$C$39:$C$50))&lt;=Setup!$C$16),OR(MONTH(WORKDAY(O280,-(Setup!$C$13+Setup!$G$33),Setup!$C$39:$C$50))&gt;=Setup!$C$15,MONTH(WORKDAY(O280,-(Setup!$C$13+Setup!$G$33),Setup!$C$39:$C$50))&lt;=Setup!$C$16))),WORKDAY(O280,-(Setup!$C$13+Setup!$G$33+Setup!$C$14),Setup!$C$39:$C$50),WORKDAY(O280,-(Setup!$C$13+Setup!$G$33),Setup!$C$39:$C$50))+(275*100+14)/10000000)))</f>
        <v/>
      </c>
      <c r="AF280" t="str">
        <f>IF(P280="","",IF(P280&lt;Setup!$C$5-Setup!$C$6,"",IF(IF(ISNUMBER(Roster!$D280),Setup!$C$34&lt;=Roster!$D280,FALSE),"",IF(OR(IF(Setup!$C$15&lt;=Setup!$C$16,AND(MONTH(P280)&gt;=Setup!$C$15,MONTH(P280)&lt;=Setup!$C$16),OR(MONTH(P280)&gt;=Setup!$C$15,MONTH(P280)&lt;=Setup!$C$16)),IF(Setup!$C$15&lt;=Setup!$C$16,AND(MONTH(WORKDAY(P280,-(Setup!$C$13+Setup!$G$34),Setup!$C$39:$C$50))&gt;=Setup!$C$15,MONTH(WORKDAY(P280,-(Setup!$C$13+Setup!$G$34),Setup!$C$39:$C$50))&lt;=Setup!$C$16),OR(MONTH(WORKDAY(P280,-(Setup!$C$13+Setup!$G$34),Setup!$C$39:$C$50))&gt;=Setup!$C$15,MONTH(WORKDAY(P280,-(Setup!$C$13+Setup!$G$34),Setup!$C$39:$C$50))&lt;=Setup!$C$16))),WORKDAY(P280,-(Setup!$C$13+Setup!$G$34+Setup!$C$14),Setup!$C$39:$C$50),WORKDAY(P280,-(Setup!$C$13+Setup!$G$34),Setup!$C$39:$C$50))+(275*100+15)/10000000)))</f>
        <v/>
      </c>
      <c r="AH280" t="str">
        <f t="shared" si="33"/>
        <v/>
      </c>
      <c r="AI280" t="str">
        <f t="shared" si="34"/>
        <v/>
      </c>
      <c r="AK280" t="str">
        <f ca="1">IF(275&gt;$AK$2,"",SMALL($R$6:$AF$505,275))</f>
        <v/>
      </c>
      <c r="AL280" t="str">
        <f t="shared" ca="1" si="35"/>
        <v/>
      </c>
      <c r="AM280" t="str">
        <f t="shared" ca="1" si="36"/>
        <v/>
      </c>
      <c r="AN280" t="str">
        <f t="shared" ca="1" si="37"/>
        <v/>
      </c>
      <c r="AP280" t="str">
        <f>IF(ISNUMBER(Roster!$B280),MAX(1,YEAR(Setup!$C$5)-YEAR(Roster!$B280)+IF(EDATE(Roster!$B280,12*(YEAR(Setup!$C$5)-YEAR(Roster!$B280)))&lt;Setup!$C$5,1,0)),"")</f>
        <v/>
      </c>
      <c r="AQ280" s="32" t="str">
        <f>IF(AP280="","",EDATE(Roster!$B280,12*AP280))</f>
        <v/>
      </c>
      <c r="AR280" t="str">
        <f>IF(AQ280="","",IF(AQ280&lt;DATE(YEAR(Setup!$C$5)+1,MONTH(Setup!$C$5),DAY(Setup!$C$5)),AQ280+275/1000,""))</f>
        <v/>
      </c>
      <c r="AS280" t="str">
        <f t="shared" si="38"/>
        <v/>
      </c>
      <c r="AT280" t="str">
        <f>IF(AS280="","",IF(ISNUMBER(Roster!$D280),Roster!$D280&gt;=AP280,FALSE))</f>
        <v/>
      </c>
      <c r="AU280" t="str">
        <f t="shared" si="39"/>
        <v/>
      </c>
      <c r="AV280" t="str">
        <f ca="1">IF(275&gt;$AV$2,"",SMALL($AR$6:$AR$505,275))</f>
        <v/>
      </c>
      <c r="AW280" t="str">
        <f t="shared" ca="1" si="40"/>
        <v/>
      </c>
    </row>
    <row r="281" spans="2:49" x14ac:dyDescent="0.2">
      <c r="B281" s="32" t="str">
        <f>IF(AND(ISNUMBER(Roster!$B281),Setup!$B$20="Yes",ISNUMBER(Setup!$C$20)),EDATE(Roster!$B281,12*Setup!$C$20),"")</f>
        <v/>
      </c>
      <c r="C281" s="32" t="str">
        <f>IF(AND(ISNUMBER(Roster!$B281),Setup!$B$21="Yes",ISNUMBER(Setup!$C$21)),EDATE(Roster!$B281,12*Setup!$C$21),"")</f>
        <v/>
      </c>
      <c r="D281" s="32" t="str">
        <f>IF(AND(ISNUMBER(Roster!$B281),Setup!$B$22="Yes",ISNUMBER(Setup!$C$22)),EDATE(Roster!$B281,12*Setup!$C$22),"")</f>
        <v/>
      </c>
      <c r="E281" s="32" t="str">
        <f>IF(AND(ISNUMBER(Roster!$B281),Setup!$B$23="Yes",ISNUMBER(Setup!$C$23)),EDATE(Roster!$B281,12*Setup!$C$23),"")</f>
        <v/>
      </c>
      <c r="F281" s="32" t="str">
        <f>IF(AND(ISNUMBER(Roster!$B281),Setup!$B$24="Yes",ISNUMBER(Setup!$C$24)),EDATE(Roster!$B281,12*Setup!$C$24),"")</f>
        <v/>
      </c>
      <c r="G281" s="32" t="str">
        <f>IF(AND(ISNUMBER(Roster!$B281),Setup!$B$25="Yes",ISNUMBER(Setup!$C$25)),EDATE(Roster!$B281,12*Setup!$C$25),"")</f>
        <v/>
      </c>
      <c r="H281" s="32" t="str">
        <f>IF(AND(ISNUMBER(Roster!$B281),Setup!$B$26="Yes",ISNUMBER(Setup!$C$26)),EDATE(Roster!$B281,12*Setup!$C$26),"")</f>
        <v/>
      </c>
      <c r="I281" s="32" t="str">
        <f>IF(AND(ISNUMBER(Roster!$B281),Setup!$B$27="Yes",ISNUMBER(Setup!$C$27)),EDATE(Roster!$B281,12*Setup!$C$27),"")</f>
        <v/>
      </c>
      <c r="J281" s="32" t="str">
        <f>IF(AND(ISNUMBER(Roster!$B281),Setup!$B$28="Yes",ISNUMBER(Setup!$C$28)),EDATE(Roster!$B281,12*Setup!$C$28),"")</f>
        <v/>
      </c>
      <c r="K281" s="32" t="str">
        <f>IF(AND(ISNUMBER(Roster!$B281),Setup!$B$29="Yes",ISNUMBER(Setup!$C$29)),EDATE(Roster!$B281,12*Setup!$C$29),"")</f>
        <v/>
      </c>
      <c r="L281" s="32" t="str">
        <f>IF(AND(ISNUMBER(Roster!$B281),Setup!$B$30="Yes",ISNUMBER(Setup!$C$30)),EDATE(Roster!$B281,12*Setup!$C$30),"")</f>
        <v/>
      </c>
      <c r="M281" s="32" t="str">
        <f>IF(AND(ISNUMBER(Roster!$B281),Setup!$B$31="Yes",ISNUMBER(Setup!$C$31)),EDATE(Roster!$B281,12*Setup!$C$31),"")</f>
        <v/>
      </c>
      <c r="N281" s="32" t="str">
        <f>IF(AND(ISNUMBER(Roster!$B281),Setup!$B$32="Yes",ISNUMBER(Setup!$C$32)),EDATE(Roster!$B281,12*Setup!$C$32),"")</f>
        <v/>
      </c>
      <c r="O281" s="32" t="str">
        <f>IF(AND(ISNUMBER(Roster!$B281),Setup!$B$33="Yes",ISNUMBER(Setup!$C$33)),EDATE(Roster!$B281,12*Setup!$C$33),"")</f>
        <v/>
      </c>
      <c r="P281" s="32" t="str">
        <f>IF(AND(ISNUMBER(Roster!$B281),Setup!$B$34="Yes",ISNUMBER(Setup!$C$34)),EDATE(Roster!$B281,12*Setup!$C$34),"")</f>
        <v/>
      </c>
      <c r="R281" t="str">
        <f>IF(B281="","",IF(B281&lt;Setup!$C$5-Setup!$C$6,"",IF(IF(ISNUMBER(Roster!$D281),Setup!$C$20&lt;=Roster!$D281,FALSE),"",IF(OR(IF(Setup!$C$15&lt;=Setup!$C$16,AND(MONTH(B281)&gt;=Setup!$C$15,MONTH(B281)&lt;=Setup!$C$16),OR(MONTH(B281)&gt;=Setup!$C$15,MONTH(B281)&lt;=Setup!$C$16)),IF(Setup!$C$15&lt;=Setup!$C$16,AND(MONTH(WORKDAY(B281,-(Setup!$C$13+Setup!$G$20),Setup!$C$39:$C$50))&gt;=Setup!$C$15,MONTH(WORKDAY(B281,-(Setup!$C$13+Setup!$G$20),Setup!$C$39:$C$50))&lt;=Setup!$C$16),OR(MONTH(WORKDAY(B281,-(Setup!$C$13+Setup!$G$20),Setup!$C$39:$C$50))&gt;=Setup!$C$15,MONTH(WORKDAY(B281,-(Setup!$C$13+Setup!$G$20),Setup!$C$39:$C$50))&lt;=Setup!$C$16))),WORKDAY(B281,-(Setup!$C$13+Setup!$G$20+Setup!$C$14),Setup!$C$39:$C$50),WORKDAY(B281,-(Setup!$C$13+Setup!$G$20),Setup!$C$39:$C$50))+(276*100+1)/10000000)))</f>
        <v/>
      </c>
      <c r="S281" t="str">
        <f>IF(C281="","",IF(C281&lt;Setup!$C$5-Setup!$C$6,"",IF(IF(ISNUMBER(Roster!$D281),Setup!$C$21&lt;=Roster!$D281,FALSE),"",IF(OR(IF(Setup!$C$15&lt;=Setup!$C$16,AND(MONTH(C281)&gt;=Setup!$C$15,MONTH(C281)&lt;=Setup!$C$16),OR(MONTH(C281)&gt;=Setup!$C$15,MONTH(C281)&lt;=Setup!$C$16)),IF(Setup!$C$15&lt;=Setup!$C$16,AND(MONTH(WORKDAY(C281,-(Setup!$C$13+Setup!$G$21),Setup!$C$39:$C$50))&gt;=Setup!$C$15,MONTH(WORKDAY(C281,-(Setup!$C$13+Setup!$G$21),Setup!$C$39:$C$50))&lt;=Setup!$C$16),OR(MONTH(WORKDAY(C281,-(Setup!$C$13+Setup!$G$21),Setup!$C$39:$C$50))&gt;=Setup!$C$15,MONTH(WORKDAY(C281,-(Setup!$C$13+Setup!$G$21),Setup!$C$39:$C$50))&lt;=Setup!$C$16))),WORKDAY(C281,-(Setup!$C$13+Setup!$G$21+Setup!$C$14),Setup!$C$39:$C$50),WORKDAY(C281,-(Setup!$C$13+Setup!$G$21),Setup!$C$39:$C$50))+(276*100+2)/10000000)))</f>
        <v/>
      </c>
      <c r="T281" t="str">
        <f>IF(D281="","",IF(D281&lt;Setup!$C$5-Setup!$C$6,"",IF(IF(ISNUMBER(Roster!$D281),Setup!$C$22&lt;=Roster!$D281,FALSE),"",IF(OR(IF(Setup!$C$15&lt;=Setup!$C$16,AND(MONTH(D281)&gt;=Setup!$C$15,MONTH(D281)&lt;=Setup!$C$16),OR(MONTH(D281)&gt;=Setup!$C$15,MONTH(D281)&lt;=Setup!$C$16)),IF(Setup!$C$15&lt;=Setup!$C$16,AND(MONTH(WORKDAY(D281,-(Setup!$C$13+Setup!$G$22),Setup!$C$39:$C$50))&gt;=Setup!$C$15,MONTH(WORKDAY(D281,-(Setup!$C$13+Setup!$G$22),Setup!$C$39:$C$50))&lt;=Setup!$C$16),OR(MONTH(WORKDAY(D281,-(Setup!$C$13+Setup!$G$22),Setup!$C$39:$C$50))&gt;=Setup!$C$15,MONTH(WORKDAY(D281,-(Setup!$C$13+Setup!$G$22),Setup!$C$39:$C$50))&lt;=Setup!$C$16))),WORKDAY(D281,-(Setup!$C$13+Setup!$G$22+Setup!$C$14),Setup!$C$39:$C$50),WORKDAY(D281,-(Setup!$C$13+Setup!$G$22),Setup!$C$39:$C$50))+(276*100+3)/10000000)))</f>
        <v/>
      </c>
      <c r="U281" t="str">
        <f>IF(E281="","",IF(E281&lt;Setup!$C$5-Setup!$C$6,"",IF(IF(ISNUMBER(Roster!$D281),Setup!$C$23&lt;=Roster!$D281,FALSE),"",IF(OR(IF(Setup!$C$15&lt;=Setup!$C$16,AND(MONTH(E281)&gt;=Setup!$C$15,MONTH(E281)&lt;=Setup!$C$16),OR(MONTH(E281)&gt;=Setup!$C$15,MONTH(E281)&lt;=Setup!$C$16)),IF(Setup!$C$15&lt;=Setup!$C$16,AND(MONTH(WORKDAY(E281,-(Setup!$C$13+Setup!$G$23),Setup!$C$39:$C$50))&gt;=Setup!$C$15,MONTH(WORKDAY(E281,-(Setup!$C$13+Setup!$G$23),Setup!$C$39:$C$50))&lt;=Setup!$C$16),OR(MONTH(WORKDAY(E281,-(Setup!$C$13+Setup!$G$23),Setup!$C$39:$C$50))&gt;=Setup!$C$15,MONTH(WORKDAY(E281,-(Setup!$C$13+Setup!$G$23),Setup!$C$39:$C$50))&lt;=Setup!$C$16))),WORKDAY(E281,-(Setup!$C$13+Setup!$G$23+Setup!$C$14),Setup!$C$39:$C$50),WORKDAY(E281,-(Setup!$C$13+Setup!$G$23),Setup!$C$39:$C$50))+(276*100+4)/10000000)))</f>
        <v/>
      </c>
      <c r="V281" t="str">
        <f>IF(F281="","",IF(F281&lt;Setup!$C$5-Setup!$C$6,"",IF(IF(ISNUMBER(Roster!$D281),Setup!$C$24&lt;=Roster!$D281,FALSE),"",IF(OR(IF(Setup!$C$15&lt;=Setup!$C$16,AND(MONTH(F281)&gt;=Setup!$C$15,MONTH(F281)&lt;=Setup!$C$16),OR(MONTH(F281)&gt;=Setup!$C$15,MONTH(F281)&lt;=Setup!$C$16)),IF(Setup!$C$15&lt;=Setup!$C$16,AND(MONTH(WORKDAY(F281,-(Setup!$C$13+Setup!$G$24),Setup!$C$39:$C$50))&gt;=Setup!$C$15,MONTH(WORKDAY(F281,-(Setup!$C$13+Setup!$G$24),Setup!$C$39:$C$50))&lt;=Setup!$C$16),OR(MONTH(WORKDAY(F281,-(Setup!$C$13+Setup!$G$24),Setup!$C$39:$C$50))&gt;=Setup!$C$15,MONTH(WORKDAY(F281,-(Setup!$C$13+Setup!$G$24),Setup!$C$39:$C$50))&lt;=Setup!$C$16))),WORKDAY(F281,-(Setup!$C$13+Setup!$G$24+Setup!$C$14),Setup!$C$39:$C$50),WORKDAY(F281,-(Setup!$C$13+Setup!$G$24),Setup!$C$39:$C$50))+(276*100+5)/10000000)))</f>
        <v/>
      </c>
      <c r="W281" t="str">
        <f>IF(G281="","",IF(G281&lt;Setup!$C$5-Setup!$C$6,"",IF(IF(ISNUMBER(Roster!$D281),Setup!$C$25&lt;=Roster!$D281,FALSE),"",IF(OR(IF(Setup!$C$15&lt;=Setup!$C$16,AND(MONTH(G281)&gt;=Setup!$C$15,MONTH(G281)&lt;=Setup!$C$16),OR(MONTH(G281)&gt;=Setup!$C$15,MONTH(G281)&lt;=Setup!$C$16)),IF(Setup!$C$15&lt;=Setup!$C$16,AND(MONTH(WORKDAY(G281,-(Setup!$C$13+Setup!$G$25),Setup!$C$39:$C$50))&gt;=Setup!$C$15,MONTH(WORKDAY(G281,-(Setup!$C$13+Setup!$G$25),Setup!$C$39:$C$50))&lt;=Setup!$C$16),OR(MONTH(WORKDAY(G281,-(Setup!$C$13+Setup!$G$25),Setup!$C$39:$C$50))&gt;=Setup!$C$15,MONTH(WORKDAY(G281,-(Setup!$C$13+Setup!$G$25),Setup!$C$39:$C$50))&lt;=Setup!$C$16))),WORKDAY(G281,-(Setup!$C$13+Setup!$G$25+Setup!$C$14),Setup!$C$39:$C$50),WORKDAY(G281,-(Setup!$C$13+Setup!$G$25),Setup!$C$39:$C$50))+(276*100+6)/10000000)))</f>
        <v/>
      </c>
      <c r="X281" t="str">
        <f>IF(H281="","",IF(H281&lt;Setup!$C$5-Setup!$C$6,"",IF(IF(ISNUMBER(Roster!$D281),Setup!$C$26&lt;=Roster!$D281,FALSE),"",IF(OR(IF(Setup!$C$15&lt;=Setup!$C$16,AND(MONTH(H281)&gt;=Setup!$C$15,MONTH(H281)&lt;=Setup!$C$16),OR(MONTH(H281)&gt;=Setup!$C$15,MONTH(H281)&lt;=Setup!$C$16)),IF(Setup!$C$15&lt;=Setup!$C$16,AND(MONTH(WORKDAY(H281,-(Setup!$C$13+Setup!$G$26),Setup!$C$39:$C$50))&gt;=Setup!$C$15,MONTH(WORKDAY(H281,-(Setup!$C$13+Setup!$G$26),Setup!$C$39:$C$50))&lt;=Setup!$C$16),OR(MONTH(WORKDAY(H281,-(Setup!$C$13+Setup!$G$26),Setup!$C$39:$C$50))&gt;=Setup!$C$15,MONTH(WORKDAY(H281,-(Setup!$C$13+Setup!$G$26),Setup!$C$39:$C$50))&lt;=Setup!$C$16))),WORKDAY(H281,-(Setup!$C$13+Setup!$G$26+Setup!$C$14),Setup!$C$39:$C$50),WORKDAY(H281,-(Setup!$C$13+Setup!$G$26),Setup!$C$39:$C$50))+(276*100+7)/10000000)))</f>
        <v/>
      </c>
      <c r="Y281" t="str">
        <f>IF(I281="","",IF(I281&lt;Setup!$C$5-Setup!$C$6,"",IF(IF(ISNUMBER(Roster!$D281),Setup!$C$27&lt;=Roster!$D281,FALSE),"",IF(OR(IF(Setup!$C$15&lt;=Setup!$C$16,AND(MONTH(I281)&gt;=Setup!$C$15,MONTH(I281)&lt;=Setup!$C$16),OR(MONTH(I281)&gt;=Setup!$C$15,MONTH(I281)&lt;=Setup!$C$16)),IF(Setup!$C$15&lt;=Setup!$C$16,AND(MONTH(WORKDAY(I281,-(Setup!$C$13+Setup!$G$27),Setup!$C$39:$C$50))&gt;=Setup!$C$15,MONTH(WORKDAY(I281,-(Setup!$C$13+Setup!$G$27),Setup!$C$39:$C$50))&lt;=Setup!$C$16),OR(MONTH(WORKDAY(I281,-(Setup!$C$13+Setup!$G$27),Setup!$C$39:$C$50))&gt;=Setup!$C$15,MONTH(WORKDAY(I281,-(Setup!$C$13+Setup!$G$27),Setup!$C$39:$C$50))&lt;=Setup!$C$16))),WORKDAY(I281,-(Setup!$C$13+Setup!$G$27+Setup!$C$14),Setup!$C$39:$C$50),WORKDAY(I281,-(Setup!$C$13+Setup!$G$27),Setup!$C$39:$C$50))+(276*100+8)/10000000)))</f>
        <v/>
      </c>
      <c r="Z281" t="str">
        <f>IF(J281="","",IF(J281&lt;Setup!$C$5-Setup!$C$6,"",IF(IF(ISNUMBER(Roster!$D281),Setup!$C$28&lt;=Roster!$D281,FALSE),"",IF(OR(IF(Setup!$C$15&lt;=Setup!$C$16,AND(MONTH(J281)&gt;=Setup!$C$15,MONTH(J281)&lt;=Setup!$C$16),OR(MONTH(J281)&gt;=Setup!$C$15,MONTH(J281)&lt;=Setup!$C$16)),IF(Setup!$C$15&lt;=Setup!$C$16,AND(MONTH(WORKDAY(J281,-(Setup!$C$13+Setup!$G$28),Setup!$C$39:$C$50))&gt;=Setup!$C$15,MONTH(WORKDAY(J281,-(Setup!$C$13+Setup!$G$28),Setup!$C$39:$C$50))&lt;=Setup!$C$16),OR(MONTH(WORKDAY(J281,-(Setup!$C$13+Setup!$G$28),Setup!$C$39:$C$50))&gt;=Setup!$C$15,MONTH(WORKDAY(J281,-(Setup!$C$13+Setup!$G$28),Setup!$C$39:$C$50))&lt;=Setup!$C$16))),WORKDAY(J281,-(Setup!$C$13+Setup!$G$28+Setup!$C$14),Setup!$C$39:$C$50),WORKDAY(J281,-(Setup!$C$13+Setup!$G$28),Setup!$C$39:$C$50))+(276*100+9)/10000000)))</f>
        <v/>
      </c>
      <c r="AA281" t="str">
        <f>IF(K281="","",IF(K281&lt;Setup!$C$5-Setup!$C$6,"",IF(IF(ISNUMBER(Roster!$D281),Setup!$C$29&lt;=Roster!$D281,FALSE),"",IF(OR(IF(Setup!$C$15&lt;=Setup!$C$16,AND(MONTH(K281)&gt;=Setup!$C$15,MONTH(K281)&lt;=Setup!$C$16),OR(MONTH(K281)&gt;=Setup!$C$15,MONTH(K281)&lt;=Setup!$C$16)),IF(Setup!$C$15&lt;=Setup!$C$16,AND(MONTH(WORKDAY(K281,-(Setup!$C$13+Setup!$G$29),Setup!$C$39:$C$50))&gt;=Setup!$C$15,MONTH(WORKDAY(K281,-(Setup!$C$13+Setup!$G$29),Setup!$C$39:$C$50))&lt;=Setup!$C$16),OR(MONTH(WORKDAY(K281,-(Setup!$C$13+Setup!$G$29),Setup!$C$39:$C$50))&gt;=Setup!$C$15,MONTH(WORKDAY(K281,-(Setup!$C$13+Setup!$G$29),Setup!$C$39:$C$50))&lt;=Setup!$C$16))),WORKDAY(K281,-(Setup!$C$13+Setup!$G$29+Setup!$C$14),Setup!$C$39:$C$50),WORKDAY(K281,-(Setup!$C$13+Setup!$G$29),Setup!$C$39:$C$50))+(276*100+10)/10000000)))</f>
        <v/>
      </c>
      <c r="AB281" t="str">
        <f>IF(L281="","",IF(L281&lt;Setup!$C$5-Setup!$C$6,"",IF(IF(ISNUMBER(Roster!$D281),Setup!$C$30&lt;=Roster!$D281,FALSE),"",IF(OR(IF(Setup!$C$15&lt;=Setup!$C$16,AND(MONTH(L281)&gt;=Setup!$C$15,MONTH(L281)&lt;=Setup!$C$16),OR(MONTH(L281)&gt;=Setup!$C$15,MONTH(L281)&lt;=Setup!$C$16)),IF(Setup!$C$15&lt;=Setup!$C$16,AND(MONTH(WORKDAY(L281,-(Setup!$C$13+Setup!$G$30),Setup!$C$39:$C$50))&gt;=Setup!$C$15,MONTH(WORKDAY(L281,-(Setup!$C$13+Setup!$G$30),Setup!$C$39:$C$50))&lt;=Setup!$C$16),OR(MONTH(WORKDAY(L281,-(Setup!$C$13+Setup!$G$30),Setup!$C$39:$C$50))&gt;=Setup!$C$15,MONTH(WORKDAY(L281,-(Setup!$C$13+Setup!$G$30),Setup!$C$39:$C$50))&lt;=Setup!$C$16))),WORKDAY(L281,-(Setup!$C$13+Setup!$G$30+Setup!$C$14),Setup!$C$39:$C$50),WORKDAY(L281,-(Setup!$C$13+Setup!$G$30),Setup!$C$39:$C$50))+(276*100+11)/10000000)))</f>
        <v/>
      </c>
      <c r="AC281" t="str">
        <f>IF(M281="","",IF(M281&lt;Setup!$C$5-Setup!$C$6,"",IF(IF(ISNUMBER(Roster!$D281),Setup!$C$31&lt;=Roster!$D281,FALSE),"",IF(OR(IF(Setup!$C$15&lt;=Setup!$C$16,AND(MONTH(M281)&gt;=Setup!$C$15,MONTH(M281)&lt;=Setup!$C$16),OR(MONTH(M281)&gt;=Setup!$C$15,MONTH(M281)&lt;=Setup!$C$16)),IF(Setup!$C$15&lt;=Setup!$C$16,AND(MONTH(WORKDAY(M281,-(Setup!$C$13+Setup!$G$31),Setup!$C$39:$C$50))&gt;=Setup!$C$15,MONTH(WORKDAY(M281,-(Setup!$C$13+Setup!$G$31),Setup!$C$39:$C$50))&lt;=Setup!$C$16),OR(MONTH(WORKDAY(M281,-(Setup!$C$13+Setup!$G$31),Setup!$C$39:$C$50))&gt;=Setup!$C$15,MONTH(WORKDAY(M281,-(Setup!$C$13+Setup!$G$31),Setup!$C$39:$C$50))&lt;=Setup!$C$16))),WORKDAY(M281,-(Setup!$C$13+Setup!$G$31+Setup!$C$14),Setup!$C$39:$C$50),WORKDAY(M281,-(Setup!$C$13+Setup!$G$31),Setup!$C$39:$C$50))+(276*100+12)/10000000)))</f>
        <v/>
      </c>
      <c r="AD281" t="str">
        <f>IF(N281="","",IF(N281&lt;Setup!$C$5-Setup!$C$6,"",IF(IF(ISNUMBER(Roster!$D281),Setup!$C$32&lt;=Roster!$D281,FALSE),"",IF(OR(IF(Setup!$C$15&lt;=Setup!$C$16,AND(MONTH(N281)&gt;=Setup!$C$15,MONTH(N281)&lt;=Setup!$C$16),OR(MONTH(N281)&gt;=Setup!$C$15,MONTH(N281)&lt;=Setup!$C$16)),IF(Setup!$C$15&lt;=Setup!$C$16,AND(MONTH(WORKDAY(N281,-(Setup!$C$13+Setup!$G$32),Setup!$C$39:$C$50))&gt;=Setup!$C$15,MONTH(WORKDAY(N281,-(Setup!$C$13+Setup!$G$32),Setup!$C$39:$C$50))&lt;=Setup!$C$16),OR(MONTH(WORKDAY(N281,-(Setup!$C$13+Setup!$G$32),Setup!$C$39:$C$50))&gt;=Setup!$C$15,MONTH(WORKDAY(N281,-(Setup!$C$13+Setup!$G$32),Setup!$C$39:$C$50))&lt;=Setup!$C$16))),WORKDAY(N281,-(Setup!$C$13+Setup!$G$32+Setup!$C$14),Setup!$C$39:$C$50),WORKDAY(N281,-(Setup!$C$13+Setup!$G$32),Setup!$C$39:$C$50))+(276*100+13)/10000000)))</f>
        <v/>
      </c>
      <c r="AE281" t="str">
        <f>IF(O281="","",IF(O281&lt;Setup!$C$5-Setup!$C$6,"",IF(IF(ISNUMBER(Roster!$D281),Setup!$C$33&lt;=Roster!$D281,FALSE),"",IF(OR(IF(Setup!$C$15&lt;=Setup!$C$16,AND(MONTH(O281)&gt;=Setup!$C$15,MONTH(O281)&lt;=Setup!$C$16),OR(MONTH(O281)&gt;=Setup!$C$15,MONTH(O281)&lt;=Setup!$C$16)),IF(Setup!$C$15&lt;=Setup!$C$16,AND(MONTH(WORKDAY(O281,-(Setup!$C$13+Setup!$G$33),Setup!$C$39:$C$50))&gt;=Setup!$C$15,MONTH(WORKDAY(O281,-(Setup!$C$13+Setup!$G$33),Setup!$C$39:$C$50))&lt;=Setup!$C$16),OR(MONTH(WORKDAY(O281,-(Setup!$C$13+Setup!$G$33),Setup!$C$39:$C$50))&gt;=Setup!$C$15,MONTH(WORKDAY(O281,-(Setup!$C$13+Setup!$G$33),Setup!$C$39:$C$50))&lt;=Setup!$C$16))),WORKDAY(O281,-(Setup!$C$13+Setup!$G$33+Setup!$C$14),Setup!$C$39:$C$50),WORKDAY(O281,-(Setup!$C$13+Setup!$G$33),Setup!$C$39:$C$50))+(276*100+14)/10000000)))</f>
        <v/>
      </c>
      <c r="AF281" t="str">
        <f>IF(P281="","",IF(P281&lt;Setup!$C$5-Setup!$C$6,"",IF(IF(ISNUMBER(Roster!$D281),Setup!$C$34&lt;=Roster!$D281,FALSE),"",IF(OR(IF(Setup!$C$15&lt;=Setup!$C$16,AND(MONTH(P281)&gt;=Setup!$C$15,MONTH(P281)&lt;=Setup!$C$16),OR(MONTH(P281)&gt;=Setup!$C$15,MONTH(P281)&lt;=Setup!$C$16)),IF(Setup!$C$15&lt;=Setup!$C$16,AND(MONTH(WORKDAY(P281,-(Setup!$C$13+Setup!$G$34),Setup!$C$39:$C$50))&gt;=Setup!$C$15,MONTH(WORKDAY(P281,-(Setup!$C$13+Setup!$G$34),Setup!$C$39:$C$50))&lt;=Setup!$C$16),OR(MONTH(WORKDAY(P281,-(Setup!$C$13+Setup!$G$34),Setup!$C$39:$C$50))&gt;=Setup!$C$15,MONTH(WORKDAY(P281,-(Setup!$C$13+Setup!$G$34),Setup!$C$39:$C$50))&lt;=Setup!$C$16))),WORKDAY(P281,-(Setup!$C$13+Setup!$G$34+Setup!$C$14),Setup!$C$39:$C$50),WORKDAY(P281,-(Setup!$C$13+Setup!$G$34),Setup!$C$39:$C$50))+(276*100+15)/10000000)))</f>
        <v/>
      </c>
      <c r="AH281" t="str">
        <f t="shared" si="33"/>
        <v/>
      </c>
      <c r="AI281" t="str">
        <f t="shared" si="34"/>
        <v/>
      </c>
      <c r="AK281" t="str">
        <f ca="1">IF(276&gt;$AK$2,"",SMALL($R$6:$AF$505,276))</f>
        <v/>
      </c>
      <c r="AL281" t="str">
        <f t="shared" ca="1" si="35"/>
        <v/>
      </c>
      <c r="AM281" t="str">
        <f t="shared" ca="1" si="36"/>
        <v/>
      </c>
      <c r="AN281" t="str">
        <f t="shared" ca="1" si="37"/>
        <v/>
      </c>
      <c r="AP281" t="str">
        <f>IF(ISNUMBER(Roster!$B281),MAX(1,YEAR(Setup!$C$5)-YEAR(Roster!$B281)+IF(EDATE(Roster!$B281,12*(YEAR(Setup!$C$5)-YEAR(Roster!$B281)))&lt;Setup!$C$5,1,0)),"")</f>
        <v/>
      </c>
      <c r="AQ281" s="32" t="str">
        <f>IF(AP281="","",EDATE(Roster!$B281,12*AP281))</f>
        <v/>
      </c>
      <c r="AR281" t="str">
        <f>IF(AQ281="","",IF(AQ281&lt;DATE(YEAR(Setup!$C$5)+1,MONTH(Setup!$C$5),DAY(Setup!$C$5)),AQ281+276/1000,""))</f>
        <v/>
      </c>
      <c r="AS281" t="str">
        <f t="shared" si="38"/>
        <v/>
      </c>
      <c r="AT281" t="str">
        <f>IF(AS281="","",IF(ISNUMBER(Roster!$D281),Roster!$D281&gt;=AP281,FALSE))</f>
        <v/>
      </c>
      <c r="AU281" t="str">
        <f t="shared" si="39"/>
        <v/>
      </c>
      <c r="AV281" t="str">
        <f ca="1">IF(276&gt;$AV$2,"",SMALL($AR$6:$AR$505,276))</f>
        <v/>
      </c>
      <c r="AW281" t="str">
        <f t="shared" ca="1" si="40"/>
        <v/>
      </c>
    </row>
    <row r="282" spans="2:49" x14ac:dyDescent="0.2">
      <c r="B282" s="32" t="str">
        <f>IF(AND(ISNUMBER(Roster!$B282),Setup!$B$20="Yes",ISNUMBER(Setup!$C$20)),EDATE(Roster!$B282,12*Setup!$C$20),"")</f>
        <v/>
      </c>
      <c r="C282" s="32" t="str">
        <f>IF(AND(ISNUMBER(Roster!$B282),Setup!$B$21="Yes",ISNUMBER(Setup!$C$21)),EDATE(Roster!$B282,12*Setup!$C$21),"")</f>
        <v/>
      </c>
      <c r="D282" s="32" t="str">
        <f>IF(AND(ISNUMBER(Roster!$B282),Setup!$B$22="Yes",ISNUMBER(Setup!$C$22)),EDATE(Roster!$B282,12*Setup!$C$22),"")</f>
        <v/>
      </c>
      <c r="E282" s="32" t="str">
        <f>IF(AND(ISNUMBER(Roster!$B282),Setup!$B$23="Yes",ISNUMBER(Setup!$C$23)),EDATE(Roster!$B282,12*Setup!$C$23),"")</f>
        <v/>
      </c>
      <c r="F282" s="32" t="str">
        <f>IF(AND(ISNUMBER(Roster!$B282),Setup!$B$24="Yes",ISNUMBER(Setup!$C$24)),EDATE(Roster!$B282,12*Setup!$C$24),"")</f>
        <v/>
      </c>
      <c r="G282" s="32" t="str">
        <f>IF(AND(ISNUMBER(Roster!$B282),Setup!$B$25="Yes",ISNUMBER(Setup!$C$25)),EDATE(Roster!$B282,12*Setup!$C$25),"")</f>
        <v/>
      </c>
      <c r="H282" s="32" t="str">
        <f>IF(AND(ISNUMBER(Roster!$B282),Setup!$B$26="Yes",ISNUMBER(Setup!$C$26)),EDATE(Roster!$B282,12*Setup!$C$26),"")</f>
        <v/>
      </c>
      <c r="I282" s="32" t="str">
        <f>IF(AND(ISNUMBER(Roster!$B282),Setup!$B$27="Yes",ISNUMBER(Setup!$C$27)),EDATE(Roster!$B282,12*Setup!$C$27),"")</f>
        <v/>
      </c>
      <c r="J282" s="32" t="str">
        <f>IF(AND(ISNUMBER(Roster!$B282),Setup!$B$28="Yes",ISNUMBER(Setup!$C$28)),EDATE(Roster!$B282,12*Setup!$C$28),"")</f>
        <v/>
      </c>
      <c r="K282" s="32" t="str">
        <f>IF(AND(ISNUMBER(Roster!$B282),Setup!$B$29="Yes",ISNUMBER(Setup!$C$29)),EDATE(Roster!$B282,12*Setup!$C$29),"")</f>
        <v/>
      </c>
      <c r="L282" s="32" t="str">
        <f>IF(AND(ISNUMBER(Roster!$B282),Setup!$B$30="Yes",ISNUMBER(Setup!$C$30)),EDATE(Roster!$B282,12*Setup!$C$30),"")</f>
        <v/>
      </c>
      <c r="M282" s="32" t="str">
        <f>IF(AND(ISNUMBER(Roster!$B282),Setup!$B$31="Yes",ISNUMBER(Setup!$C$31)),EDATE(Roster!$B282,12*Setup!$C$31),"")</f>
        <v/>
      </c>
      <c r="N282" s="32" t="str">
        <f>IF(AND(ISNUMBER(Roster!$B282),Setup!$B$32="Yes",ISNUMBER(Setup!$C$32)),EDATE(Roster!$B282,12*Setup!$C$32),"")</f>
        <v/>
      </c>
      <c r="O282" s="32" t="str">
        <f>IF(AND(ISNUMBER(Roster!$B282),Setup!$B$33="Yes",ISNUMBER(Setup!$C$33)),EDATE(Roster!$B282,12*Setup!$C$33),"")</f>
        <v/>
      </c>
      <c r="P282" s="32" t="str">
        <f>IF(AND(ISNUMBER(Roster!$B282),Setup!$B$34="Yes",ISNUMBER(Setup!$C$34)),EDATE(Roster!$B282,12*Setup!$C$34),"")</f>
        <v/>
      </c>
      <c r="R282" t="str">
        <f>IF(B282="","",IF(B282&lt;Setup!$C$5-Setup!$C$6,"",IF(IF(ISNUMBER(Roster!$D282),Setup!$C$20&lt;=Roster!$D282,FALSE),"",IF(OR(IF(Setup!$C$15&lt;=Setup!$C$16,AND(MONTH(B282)&gt;=Setup!$C$15,MONTH(B282)&lt;=Setup!$C$16),OR(MONTH(B282)&gt;=Setup!$C$15,MONTH(B282)&lt;=Setup!$C$16)),IF(Setup!$C$15&lt;=Setup!$C$16,AND(MONTH(WORKDAY(B282,-(Setup!$C$13+Setup!$G$20),Setup!$C$39:$C$50))&gt;=Setup!$C$15,MONTH(WORKDAY(B282,-(Setup!$C$13+Setup!$G$20),Setup!$C$39:$C$50))&lt;=Setup!$C$16),OR(MONTH(WORKDAY(B282,-(Setup!$C$13+Setup!$G$20),Setup!$C$39:$C$50))&gt;=Setup!$C$15,MONTH(WORKDAY(B282,-(Setup!$C$13+Setup!$G$20),Setup!$C$39:$C$50))&lt;=Setup!$C$16))),WORKDAY(B282,-(Setup!$C$13+Setup!$G$20+Setup!$C$14),Setup!$C$39:$C$50),WORKDAY(B282,-(Setup!$C$13+Setup!$G$20),Setup!$C$39:$C$50))+(277*100+1)/10000000)))</f>
        <v/>
      </c>
      <c r="S282" t="str">
        <f>IF(C282="","",IF(C282&lt;Setup!$C$5-Setup!$C$6,"",IF(IF(ISNUMBER(Roster!$D282),Setup!$C$21&lt;=Roster!$D282,FALSE),"",IF(OR(IF(Setup!$C$15&lt;=Setup!$C$16,AND(MONTH(C282)&gt;=Setup!$C$15,MONTH(C282)&lt;=Setup!$C$16),OR(MONTH(C282)&gt;=Setup!$C$15,MONTH(C282)&lt;=Setup!$C$16)),IF(Setup!$C$15&lt;=Setup!$C$16,AND(MONTH(WORKDAY(C282,-(Setup!$C$13+Setup!$G$21),Setup!$C$39:$C$50))&gt;=Setup!$C$15,MONTH(WORKDAY(C282,-(Setup!$C$13+Setup!$G$21),Setup!$C$39:$C$50))&lt;=Setup!$C$16),OR(MONTH(WORKDAY(C282,-(Setup!$C$13+Setup!$G$21),Setup!$C$39:$C$50))&gt;=Setup!$C$15,MONTH(WORKDAY(C282,-(Setup!$C$13+Setup!$G$21),Setup!$C$39:$C$50))&lt;=Setup!$C$16))),WORKDAY(C282,-(Setup!$C$13+Setup!$G$21+Setup!$C$14),Setup!$C$39:$C$50),WORKDAY(C282,-(Setup!$C$13+Setup!$G$21),Setup!$C$39:$C$50))+(277*100+2)/10000000)))</f>
        <v/>
      </c>
      <c r="T282" t="str">
        <f>IF(D282="","",IF(D282&lt;Setup!$C$5-Setup!$C$6,"",IF(IF(ISNUMBER(Roster!$D282),Setup!$C$22&lt;=Roster!$D282,FALSE),"",IF(OR(IF(Setup!$C$15&lt;=Setup!$C$16,AND(MONTH(D282)&gt;=Setup!$C$15,MONTH(D282)&lt;=Setup!$C$16),OR(MONTH(D282)&gt;=Setup!$C$15,MONTH(D282)&lt;=Setup!$C$16)),IF(Setup!$C$15&lt;=Setup!$C$16,AND(MONTH(WORKDAY(D282,-(Setup!$C$13+Setup!$G$22),Setup!$C$39:$C$50))&gt;=Setup!$C$15,MONTH(WORKDAY(D282,-(Setup!$C$13+Setup!$G$22),Setup!$C$39:$C$50))&lt;=Setup!$C$16),OR(MONTH(WORKDAY(D282,-(Setup!$C$13+Setup!$G$22),Setup!$C$39:$C$50))&gt;=Setup!$C$15,MONTH(WORKDAY(D282,-(Setup!$C$13+Setup!$G$22),Setup!$C$39:$C$50))&lt;=Setup!$C$16))),WORKDAY(D282,-(Setup!$C$13+Setup!$G$22+Setup!$C$14),Setup!$C$39:$C$50),WORKDAY(D282,-(Setup!$C$13+Setup!$G$22),Setup!$C$39:$C$50))+(277*100+3)/10000000)))</f>
        <v/>
      </c>
      <c r="U282" t="str">
        <f>IF(E282="","",IF(E282&lt;Setup!$C$5-Setup!$C$6,"",IF(IF(ISNUMBER(Roster!$D282),Setup!$C$23&lt;=Roster!$D282,FALSE),"",IF(OR(IF(Setup!$C$15&lt;=Setup!$C$16,AND(MONTH(E282)&gt;=Setup!$C$15,MONTH(E282)&lt;=Setup!$C$16),OR(MONTH(E282)&gt;=Setup!$C$15,MONTH(E282)&lt;=Setup!$C$16)),IF(Setup!$C$15&lt;=Setup!$C$16,AND(MONTH(WORKDAY(E282,-(Setup!$C$13+Setup!$G$23),Setup!$C$39:$C$50))&gt;=Setup!$C$15,MONTH(WORKDAY(E282,-(Setup!$C$13+Setup!$G$23),Setup!$C$39:$C$50))&lt;=Setup!$C$16),OR(MONTH(WORKDAY(E282,-(Setup!$C$13+Setup!$G$23),Setup!$C$39:$C$50))&gt;=Setup!$C$15,MONTH(WORKDAY(E282,-(Setup!$C$13+Setup!$G$23),Setup!$C$39:$C$50))&lt;=Setup!$C$16))),WORKDAY(E282,-(Setup!$C$13+Setup!$G$23+Setup!$C$14),Setup!$C$39:$C$50),WORKDAY(E282,-(Setup!$C$13+Setup!$G$23),Setup!$C$39:$C$50))+(277*100+4)/10000000)))</f>
        <v/>
      </c>
      <c r="V282" t="str">
        <f>IF(F282="","",IF(F282&lt;Setup!$C$5-Setup!$C$6,"",IF(IF(ISNUMBER(Roster!$D282),Setup!$C$24&lt;=Roster!$D282,FALSE),"",IF(OR(IF(Setup!$C$15&lt;=Setup!$C$16,AND(MONTH(F282)&gt;=Setup!$C$15,MONTH(F282)&lt;=Setup!$C$16),OR(MONTH(F282)&gt;=Setup!$C$15,MONTH(F282)&lt;=Setup!$C$16)),IF(Setup!$C$15&lt;=Setup!$C$16,AND(MONTH(WORKDAY(F282,-(Setup!$C$13+Setup!$G$24),Setup!$C$39:$C$50))&gt;=Setup!$C$15,MONTH(WORKDAY(F282,-(Setup!$C$13+Setup!$G$24),Setup!$C$39:$C$50))&lt;=Setup!$C$16),OR(MONTH(WORKDAY(F282,-(Setup!$C$13+Setup!$G$24),Setup!$C$39:$C$50))&gt;=Setup!$C$15,MONTH(WORKDAY(F282,-(Setup!$C$13+Setup!$G$24),Setup!$C$39:$C$50))&lt;=Setup!$C$16))),WORKDAY(F282,-(Setup!$C$13+Setup!$G$24+Setup!$C$14),Setup!$C$39:$C$50),WORKDAY(F282,-(Setup!$C$13+Setup!$G$24),Setup!$C$39:$C$50))+(277*100+5)/10000000)))</f>
        <v/>
      </c>
      <c r="W282" t="str">
        <f>IF(G282="","",IF(G282&lt;Setup!$C$5-Setup!$C$6,"",IF(IF(ISNUMBER(Roster!$D282),Setup!$C$25&lt;=Roster!$D282,FALSE),"",IF(OR(IF(Setup!$C$15&lt;=Setup!$C$16,AND(MONTH(G282)&gt;=Setup!$C$15,MONTH(G282)&lt;=Setup!$C$16),OR(MONTH(G282)&gt;=Setup!$C$15,MONTH(G282)&lt;=Setup!$C$16)),IF(Setup!$C$15&lt;=Setup!$C$16,AND(MONTH(WORKDAY(G282,-(Setup!$C$13+Setup!$G$25),Setup!$C$39:$C$50))&gt;=Setup!$C$15,MONTH(WORKDAY(G282,-(Setup!$C$13+Setup!$G$25),Setup!$C$39:$C$50))&lt;=Setup!$C$16),OR(MONTH(WORKDAY(G282,-(Setup!$C$13+Setup!$G$25),Setup!$C$39:$C$50))&gt;=Setup!$C$15,MONTH(WORKDAY(G282,-(Setup!$C$13+Setup!$G$25),Setup!$C$39:$C$50))&lt;=Setup!$C$16))),WORKDAY(G282,-(Setup!$C$13+Setup!$G$25+Setup!$C$14),Setup!$C$39:$C$50),WORKDAY(G282,-(Setup!$C$13+Setup!$G$25),Setup!$C$39:$C$50))+(277*100+6)/10000000)))</f>
        <v/>
      </c>
      <c r="X282" t="str">
        <f>IF(H282="","",IF(H282&lt;Setup!$C$5-Setup!$C$6,"",IF(IF(ISNUMBER(Roster!$D282),Setup!$C$26&lt;=Roster!$D282,FALSE),"",IF(OR(IF(Setup!$C$15&lt;=Setup!$C$16,AND(MONTH(H282)&gt;=Setup!$C$15,MONTH(H282)&lt;=Setup!$C$16),OR(MONTH(H282)&gt;=Setup!$C$15,MONTH(H282)&lt;=Setup!$C$16)),IF(Setup!$C$15&lt;=Setup!$C$16,AND(MONTH(WORKDAY(H282,-(Setup!$C$13+Setup!$G$26),Setup!$C$39:$C$50))&gt;=Setup!$C$15,MONTH(WORKDAY(H282,-(Setup!$C$13+Setup!$G$26),Setup!$C$39:$C$50))&lt;=Setup!$C$16),OR(MONTH(WORKDAY(H282,-(Setup!$C$13+Setup!$G$26),Setup!$C$39:$C$50))&gt;=Setup!$C$15,MONTH(WORKDAY(H282,-(Setup!$C$13+Setup!$G$26),Setup!$C$39:$C$50))&lt;=Setup!$C$16))),WORKDAY(H282,-(Setup!$C$13+Setup!$G$26+Setup!$C$14),Setup!$C$39:$C$50),WORKDAY(H282,-(Setup!$C$13+Setup!$G$26),Setup!$C$39:$C$50))+(277*100+7)/10000000)))</f>
        <v/>
      </c>
      <c r="Y282" t="str">
        <f>IF(I282="","",IF(I282&lt;Setup!$C$5-Setup!$C$6,"",IF(IF(ISNUMBER(Roster!$D282),Setup!$C$27&lt;=Roster!$D282,FALSE),"",IF(OR(IF(Setup!$C$15&lt;=Setup!$C$16,AND(MONTH(I282)&gt;=Setup!$C$15,MONTH(I282)&lt;=Setup!$C$16),OR(MONTH(I282)&gt;=Setup!$C$15,MONTH(I282)&lt;=Setup!$C$16)),IF(Setup!$C$15&lt;=Setup!$C$16,AND(MONTH(WORKDAY(I282,-(Setup!$C$13+Setup!$G$27),Setup!$C$39:$C$50))&gt;=Setup!$C$15,MONTH(WORKDAY(I282,-(Setup!$C$13+Setup!$G$27),Setup!$C$39:$C$50))&lt;=Setup!$C$16),OR(MONTH(WORKDAY(I282,-(Setup!$C$13+Setup!$G$27),Setup!$C$39:$C$50))&gt;=Setup!$C$15,MONTH(WORKDAY(I282,-(Setup!$C$13+Setup!$G$27),Setup!$C$39:$C$50))&lt;=Setup!$C$16))),WORKDAY(I282,-(Setup!$C$13+Setup!$G$27+Setup!$C$14),Setup!$C$39:$C$50),WORKDAY(I282,-(Setup!$C$13+Setup!$G$27),Setup!$C$39:$C$50))+(277*100+8)/10000000)))</f>
        <v/>
      </c>
      <c r="Z282" t="str">
        <f>IF(J282="","",IF(J282&lt;Setup!$C$5-Setup!$C$6,"",IF(IF(ISNUMBER(Roster!$D282),Setup!$C$28&lt;=Roster!$D282,FALSE),"",IF(OR(IF(Setup!$C$15&lt;=Setup!$C$16,AND(MONTH(J282)&gt;=Setup!$C$15,MONTH(J282)&lt;=Setup!$C$16),OR(MONTH(J282)&gt;=Setup!$C$15,MONTH(J282)&lt;=Setup!$C$16)),IF(Setup!$C$15&lt;=Setup!$C$16,AND(MONTH(WORKDAY(J282,-(Setup!$C$13+Setup!$G$28),Setup!$C$39:$C$50))&gt;=Setup!$C$15,MONTH(WORKDAY(J282,-(Setup!$C$13+Setup!$G$28),Setup!$C$39:$C$50))&lt;=Setup!$C$16),OR(MONTH(WORKDAY(J282,-(Setup!$C$13+Setup!$G$28),Setup!$C$39:$C$50))&gt;=Setup!$C$15,MONTH(WORKDAY(J282,-(Setup!$C$13+Setup!$G$28),Setup!$C$39:$C$50))&lt;=Setup!$C$16))),WORKDAY(J282,-(Setup!$C$13+Setup!$G$28+Setup!$C$14),Setup!$C$39:$C$50),WORKDAY(J282,-(Setup!$C$13+Setup!$G$28),Setup!$C$39:$C$50))+(277*100+9)/10000000)))</f>
        <v/>
      </c>
      <c r="AA282" t="str">
        <f>IF(K282="","",IF(K282&lt;Setup!$C$5-Setup!$C$6,"",IF(IF(ISNUMBER(Roster!$D282),Setup!$C$29&lt;=Roster!$D282,FALSE),"",IF(OR(IF(Setup!$C$15&lt;=Setup!$C$16,AND(MONTH(K282)&gt;=Setup!$C$15,MONTH(K282)&lt;=Setup!$C$16),OR(MONTH(K282)&gt;=Setup!$C$15,MONTH(K282)&lt;=Setup!$C$16)),IF(Setup!$C$15&lt;=Setup!$C$16,AND(MONTH(WORKDAY(K282,-(Setup!$C$13+Setup!$G$29),Setup!$C$39:$C$50))&gt;=Setup!$C$15,MONTH(WORKDAY(K282,-(Setup!$C$13+Setup!$G$29),Setup!$C$39:$C$50))&lt;=Setup!$C$16),OR(MONTH(WORKDAY(K282,-(Setup!$C$13+Setup!$G$29),Setup!$C$39:$C$50))&gt;=Setup!$C$15,MONTH(WORKDAY(K282,-(Setup!$C$13+Setup!$G$29),Setup!$C$39:$C$50))&lt;=Setup!$C$16))),WORKDAY(K282,-(Setup!$C$13+Setup!$G$29+Setup!$C$14),Setup!$C$39:$C$50),WORKDAY(K282,-(Setup!$C$13+Setup!$G$29),Setup!$C$39:$C$50))+(277*100+10)/10000000)))</f>
        <v/>
      </c>
      <c r="AB282" t="str">
        <f>IF(L282="","",IF(L282&lt;Setup!$C$5-Setup!$C$6,"",IF(IF(ISNUMBER(Roster!$D282),Setup!$C$30&lt;=Roster!$D282,FALSE),"",IF(OR(IF(Setup!$C$15&lt;=Setup!$C$16,AND(MONTH(L282)&gt;=Setup!$C$15,MONTH(L282)&lt;=Setup!$C$16),OR(MONTH(L282)&gt;=Setup!$C$15,MONTH(L282)&lt;=Setup!$C$16)),IF(Setup!$C$15&lt;=Setup!$C$16,AND(MONTH(WORKDAY(L282,-(Setup!$C$13+Setup!$G$30),Setup!$C$39:$C$50))&gt;=Setup!$C$15,MONTH(WORKDAY(L282,-(Setup!$C$13+Setup!$G$30),Setup!$C$39:$C$50))&lt;=Setup!$C$16),OR(MONTH(WORKDAY(L282,-(Setup!$C$13+Setup!$G$30),Setup!$C$39:$C$50))&gt;=Setup!$C$15,MONTH(WORKDAY(L282,-(Setup!$C$13+Setup!$G$30),Setup!$C$39:$C$50))&lt;=Setup!$C$16))),WORKDAY(L282,-(Setup!$C$13+Setup!$G$30+Setup!$C$14),Setup!$C$39:$C$50),WORKDAY(L282,-(Setup!$C$13+Setup!$G$30),Setup!$C$39:$C$50))+(277*100+11)/10000000)))</f>
        <v/>
      </c>
      <c r="AC282" t="str">
        <f>IF(M282="","",IF(M282&lt;Setup!$C$5-Setup!$C$6,"",IF(IF(ISNUMBER(Roster!$D282),Setup!$C$31&lt;=Roster!$D282,FALSE),"",IF(OR(IF(Setup!$C$15&lt;=Setup!$C$16,AND(MONTH(M282)&gt;=Setup!$C$15,MONTH(M282)&lt;=Setup!$C$16),OR(MONTH(M282)&gt;=Setup!$C$15,MONTH(M282)&lt;=Setup!$C$16)),IF(Setup!$C$15&lt;=Setup!$C$16,AND(MONTH(WORKDAY(M282,-(Setup!$C$13+Setup!$G$31),Setup!$C$39:$C$50))&gt;=Setup!$C$15,MONTH(WORKDAY(M282,-(Setup!$C$13+Setup!$G$31),Setup!$C$39:$C$50))&lt;=Setup!$C$16),OR(MONTH(WORKDAY(M282,-(Setup!$C$13+Setup!$G$31),Setup!$C$39:$C$50))&gt;=Setup!$C$15,MONTH(WORKDAY(M282,-(Setup!$C$13+Setup!$G$31),Setup!$C$39:$C$50))&lt;=Setup!$C$16))),WORKDAY(M282,-(Setup!$C$13+Setup!$G$31+Setup!$C$14),Setup!$C$39:$C$50),WORKDAY(M282,-(Setup!$C$13+Setup!$G$31),Setup!$C$39:$C$50))+(277*100+12)/10000000)))</f>
        <v/>
      </c>
      <c r="AD282" t="str">
        <f>IF(N282="","",IF(N282&lt;Setup!$C$5-Setup!$C$6,"",IF(IF(ISNUMBER(Roster!$D282),Setup!$C$32&lt;=Roster!$D282,FALSE),"",IF(OR(IF(Setup!$C$15&lt;=Setup!$C$16,AND(MONTH(N282)&gt;=Setup!$C$15,MONTH(N282)&lt;=Setup!$C$16),OR(MONTH(N282)&gt;=Setup!$C$15,MONTH(N282)&lt;=Setup!$C$16)),IF(Setup!$C$15&lt;=Setup!$C$16,AND(MONTH(WORKDAY(N282,-(Setup!$C$13+Setup!$G$32),Setup!$C$39:$C$50))&gt;=Setup!$C$15,MONTH(WORKDAY(N282,-(Setup!$C$13+Setup!$G$32),Setup!$C$39:$C$50))&lt;=Setup!$C$16),OR(MONTH(WORKDAY(N282,-(Setup!$C$13+Setup!$G$32),Setup!$C$39:$C$50))&gt;=Setup!$C$15,MONTH(WORKDAY(N282,-(Setup!$C$13+Setup!$G$32),Setup!$C$39:$C$50))&lt;=Setup!$C$16))),WORKDAY(N282,-(Setup!$C$13+Setup!$G$32+Setup!$C$14),Setup!$C$39:$C$50),WORKDAY(N282,-(Setup!$C$13+Setup!$G$32),Setup!$C$39:$C$50))+(277*100+13)/10000000)))</f>
        <v/>
      </c>
      <c r="AE282" t="str">
        <f>IF(O282="","",IF(O282&lt;Setup!$C$5-Setup!$C$6,"",IF(IF(ISNUMBER(Roster!$D282),Setup!$C$33&lt;=Roster!$D282,FALSE),"",IF(OR(IF(Setup!$C$15&lt;=Setup!$C$16,AND(MONTH(O282)&gt;=Setup!$C$15,MONTH(O282)&lt;=Setup!$C$16),OR(MONTH(O282)&gt;=Setup!$C$15,MONTH(O282)&lt;=Setup!$C$16)),IF(Setup!$C$15&lt;=Setup!$C$16,AND(MONTH(WORKDAY(O282,-(Setup!$C$13+Setup!$G$33),Setup!$C$39:$C$50))&gt;=Setup!$C$15,MONTH(WORKDAY(O282,-(Setup!$C$13+Setup!$G$33),Setup!$C$39:$C$50))&lt;=Setup!$C$16),OR(MONTH(WORKDAY(O282,-(Setup!$C$13+Setup!$G$33),Setup!$C$39:$C$50))&gt;=Setup!$C$15,MONTH(WORKDAY(O282,-(Setup!$C$13+Setup!$G$33),Setup!$C$39:$C$50))&lt;=Setup!$C$16))),WORKDAY(O282,-(Setup!$C$13+Setup!$G$33+Setup!$C$14),Setup!$C$39:$C$50),WORKDAY(O282,-(Setup!$C$13+Setup!$G$33),Setup!$C$39:$C$50))+(277*100+14)/10000000)))</f>
        <v/>
      </c>
      <c r="AF282" t="str">
        <f>IF(P282="","",IF(P282&lt;Setup!$C$5-Setup!$C$6,"",IF(IF(ISNUMBER(Roster!$D282),Setup!$C$34&lt;=Roster!$D282,FALSE),"",IF(OR(IF(Setup!$C$15&lt;=Setup!$C$16,AND(MONTH(P282)&gt;=Setup!$C$15,MONTH(P282)&lt;=Setup!$C$16),OR(MONTH(P282)&gt;=Setup!$C$15,MONTH(P282)&lt;=Setup!$C$16)),IF(Setup!$C$15&lt;=Setup!$C$16,AND(MONTH(WORKDAY(P282,-(Setup!$C$13+Setup!$G$34),Setup!$C$39:$C$50))&gt;=Setup!$C$15,MONTH(WORKDAY(P282,-(Setup!$C$13+Setup!$G$34),Setup!$C$39:$C$50))&lt;=Setup!$C$16),OR(MONTH(WORKDAY(P282,-(Setup!$C$13+Setup!$G$34),Setup!$C$39:$C$50))&gt;=Setup!$C$15,MONTH(WORKDAY(P282,-(Setup!$C$13+Setup!$G$34),Setup!$C$39:$C$50))&lt;=Setup!$C$16))),WORKDAY(P282,-(Setup!$C$13+Setup!$G$34+Setup!$C$14),Setup!$C$39:$C$50),WORKDAY(P282,-(Setup!$C$13+Setup!$G$34),Setup!$C$39:$C$50))+(277*100+15)/10000000)))</f>
        <v/>
      </c>
      <c r="AH282" t="str">
        <f t="shared" si="33"/>
        <v/>
      </c>
      <c r="AI282" t="str">
        <f t="shared" si="34"/>
        <v/>
      </c>
      <c r="AK282" t="str">
        <f ca="1">IF(277&gt;$AK$2,"",SMALL($R$6:$AF$505,277))</f>
        <v/>
      </c>
      <c r="AL282" t="str">
        <f t="shared" ca="1" si="35"/>
        <v/>
      </c>
      <c r="AM282" t="str">
        <f t="shared" ca="1" si="36"/>
        <v/>
      </c>
      <c r="AN282" t="str">
        <f t="shared" ca="1" si="37"/>
        <v/>
      </c>
      <c r="AP282" t="str">
        <f>IF(ISNUMBER(Roster!$B282),MAX(1,YEAR(Setup!$C$5)-YEAR(Roster!$B282)+IF(EDATE(Roster!$B282,12*(YEAR(Setup!$C$5)-YEAR(Roster!$B282)))&lt;Setup!$C$5,1,0)),"")</f>
        <v/>
      </c>
      <c r="AQ282" s="32" t="str">
        <f>IF(AP282="","",EDATE(Roster!$B282,12*AP282))</f>
        <v/>
      </c>
      <c r="AR282" t="str">
        <f>IF(AQ282="","",IF(AQ282&lt;DATE(YEAR(Setup!$C$5)+1,MONTH(Setup!$C$5),DAY(Setup!$C$5)),AQ282+277/1000,""))</f>
        <v/>
      </c>
      <c r="AS282" t="str">
        <f t="shared" si="38"/>
        <v/>
      </c>
      <c r="AT282" t="str">
        <f>IF(AS282="","",IF(ISNUMBER(Roster!$D282),Roster!$D282&gt;=AP282,FALSE))</f>
        <v/>
      </c>
      <c r="AU282" t="str">
        <f t="shared" si="39"/>
        <v/>
      </c>
      <c r="AV282" t="str">
        <f ca="1">IF(277&gt;$AV$2,"",SMALL($AR$6:$AR$505,277))</f>
        <v/>
      </c>
      <c r="AW282" t="str">
        <f t="shared" ca="1" si="40"/>
        <v/>
      </c>
    </row>
    <row r="283" spans="2:49" x14ac:dyDescent="0.2">
      <c r="B283" s="32" t="str">
        <f>IF(AND(ISNUMBER(Roster!$B283),Setup!$B$20="Yes",ISNUMBER(Setup!$C$20)),EDATE(Roster!$B283,12*Setup!$C$20),"")</f>
        <v/>
      </c>
      <c r="C283" s="32" t="str">
        <f>IF(AND(ISNUMBER(Roster!$B283),Setup!$B$21="Yes",ISNUMBER(Setup!$C$21)),EDATE(Roster!$B283,12*Setup!$C$21),"")</f>
        <v/>
      </c>
      <c r="D283" s="32" t="str">
        <f>IF(AND(ISNUMBER(Roster!$B283),Setup!$B$22="Yes",ISNUMBER(Setup!$C$22)),EDATE(Roster!$B283,12*Setup!$C$22),"")</f>
        <v/>
      </c>
      <c r="E283" s="32" t="str">
        <f>IF(AND(ISNUMBER(Roster!$B283),Setup!$B$23="Yes",ISNUMBER(Setup!$C$23)),EDATE(Roster!$B283,12*Setup!$C$23),"")</f>
        <v/>
      </c>
      <c r="F283" s="32" t="str">
        <f>IF(AND(ISNUMBER(Roster!$B283),Setup!$B$24="Yes",ISNUMBER(Setup!$C$24)),EDATE(Roster!$B283,12*Setup!$C$24),"")</f>
        <v/>
      </c>
      <c r="G283" s="32" t="str">
        <f>IF(AND(ISNUMBER(Roster!$B283),Setup!$B$25="Yes",ISNUMBER(Setup!$C$25)),EDATE(Roster!$B283,12*Setup!$C$25),"")</f>
        <v/>
      </c>
      <c r="H283" s="32" t="str">
        <f>IF(AND(ISNUMBER(Roster!$B283),Setup!$B$26="Yes",ISNUMBER(Setup!$C$26)),EDATE(Roster!$B283,12*Setup!$C$26),"")</f>
        <v/>
      </c>
      <c r="I283" s="32" t="str">
        <f>IF(AND(ISNUMBER(Roster!$B283),Setup!$B$27="Yes",ISNUMBER(Setup!$C$27)),EDATE(Roster!$B283,12*Setup!$C$27),"")</f>
        <v/>
      </c>
      <c r="J283" s="32" t="str">
        <f>IF(AND(ISNUMBER(Roster!$B283),Setup!$B$28="Yes",ISNUMBER(Setup!$C$28)),EDATE(Roster!$B283,12*Setup!$C$28),"")</f>
        <v/>
      </c>
      <c r="K283" s="32" t="str">
        <f>IF(AND(ISNUMBER(Roster!$B283),Setup!$B$29="Yes",ISNUMBER(Setup!$C$29)),EDATE(Roster!$B283,12*Setup!$C$29),"")</f>
        <v/>
      </c>
      <c r="L283" s="32" t="str">
        <f>IF(AND(ISNUMBER(Roster!$B283),Setup!$B$30="Yes",ISNUMBER(Setup!$C$30)),EDATE(Roster!$B283,12*Setup!$C$30),"")</f>
        <v/>
      </c>
      <c r="M283" s="32" t="str">
        <f>IF(AND(ISNUMBER(Roster!$B283),Setup!$B$31="Yes",ISNUMBER(Setup!$C$31)),EDATE(Roster!$B283,12*Setup!$C$31),"")</f>
        <v/>
      </c>
      <c r="N283" s="32" t="str">
        <f>IF(AND(ISNUMBER(Roster!$B283),Setup!$B$32="Yes",ISNUMBER(Setup!$C$32)),EDATE(Roster!$B283,12*Setup!$C$32),"")</f>
        <v/>
      </c>
      <c r="O283" s="32" t="str">
        <f>IF(AND(ISNUMBER(Roster!$B283),Setup!$B$33="Yes",ISNUMBER(Setup!$C$33)),EDATE(Roster!$B283,12*Setup!$C$33),"")</f>
        <v/>
      </c>
      <c r="P283" s="32" t="str">
        <f>IF(AND(ISNUMBER(Roster!$B283),Setup!$B$34="Yes",ISNUMBER(Setup!$C$34)),EDATE(Roster!$B283,12*Setup!$C$34),"")</f>
        <v/>
      </c>
      <c r="R283" t="str">
        <f>IF(B283="","",IF(B283&lt;Setup!$C$5-Setup!$C$6,"",IF(IF(ISNUMBER(Roster!$D283),Setup!$C$20&lt;=Roster!$D283,FALSE),"",IF(OR(IF(Setup!$C$15&lt;=Setup!$C$16,AND(MONTH(B283)&gt;=Setup!$C$15,MONTH(B283)&lt;=Setup!$C$16),OR(MONTH(B283)&gt;=Setup!$C$15,MONTH(B283)&lt;=Setup!$C$16)),IF(Setup!$C$15&lt;=Setup!$C$16,AND(MONTH(WORKDAY(B283,-(Setup!$C$13+Setup!$G$20),Setup!$C$39:$C$50))&gt;=Setup!$C$15,MONTH(WORKDAY(B283,-(Setup!$C$13+Setup!$G$20),Setup!$C$39:$C$50))&lt;=Setup!$C$16),OR(MONTH(WORKDAY(B283,-(Setup!$C$13+Setup!$G$20),Setup!$C$39:$C$50))&gt;=Setup!$C$15,MONTH(WORKDAY(B283,-(Setup!$C$13+Setup!$G$20),Setup!$C$39:$C$50))&lt;=Setup!$C$16))),WORKDAY(B283,-(Setup!$C$13+Setup!$G$20+Setup!$C$14),Setup!$C$39:$C$50),WORKDAY(B283,-(Setup!$C$13+Setup!$G$20),Setup!$C$39:$C$50))+(278*100+1)/10000000)))</f>
        <v/>
      </c>
      <c r="S283" t="str">
        <f>IF(C283="","",IF(C283&lt;Setup!$C$5-Setup!$C$6,"",IF(IF(ISNUMBER(Roster!$D283),Setup!$C$21&lt;=Roster!$D283,FALSE),"",IF(OR(IF(Setup!$C$15&lt;=Setup!$C$16,AND(MONTH(C283)&gt;=Setup!$C$15,MONTH(C283)&lt;=Setup!$C$16),OR(MONTH(C283)&gt;=Setup!$C$15,MONTH(C283)&lt;=Setup!$C$16)),IF(Setup!$C$15&lt;=Setup!$C$16,AND(MONTH(WORKDAY(C283,-(Setup!$C$13+Setup!$G$21),Setup!$C$39:$C$50))&gt;=Setup!$C$15,MONTH(WORKDAY(C283,-(Setup!$C$13+Setup!$G$21),Setup!$C$39:$C$50))&lt;=Setup!$C$16),OR(MONTH(WORKDAY(C283,-(Setup!$C$13+Setup!$G$21),Setup!$C$39:$C$50))&gt;=Setup!$C$15,MONTH(WORKDAY(C283,-(Setup!$C$13+Setup!$G$21),Setup!$C$39:$C$50))&lt;=Setup!$C$16))),WORKDAY(C283,-(Setup!$C$13+Setup!$G$21+Setup!$C$14),Setup!$C$39:$C$50),WORKDAY(C283,-(Setup!$C$13+Setup!$G$21),Setup!$C$39:$C$50))+(278*100+2)/10000000)))</f>
        <v/>
      </c>
      <c r="T283" t="str">
        <f>IF(D283="","",IF(D283&lt;Setup!$C$5-Setup!$C$6,"",IF(IF(ISNUMBER(Roster!$D283),Setup!$C$22&lt;=Roster!$D283,FALSE),"",IF(OR(IF(Setup!$C$15&lt;=Setup!$C$16,AND(MONTH(D283)&gt;=Setup!$C$15,MONTH(D283)&lt;=Setup!$C$16),OR(MONTH(D283)&gt;=Setup!$C$15,MONTH(D283)&lt;=Setup!$C$16)),IF(Setup!$C$15&lt;=Setup!$C$16,AND(MONTH(WORKDAY(D283,-(Setup!$C$13+Setup!$G$22),Setup!$C$39:$C$50))&gt;=Setup!$C$15,MONTH(WORKDAY(D283,-(Setup!$C$13+Setup!$G$22),Setup!$C$39:$C$50))&lt;=Setup!$C$16),OR(MONTH(WORKDAY(D283,-(Setup!$C$13+Setup!$G$22),Setup!$C$39:$C$50))&gt;=Setup!$C$15,MONTH(WORKDAY(D283,-(Setup!$C$13+Setup!$G$22),Setup!$C$39:$C$50))&lt;=Setup!$C$16))),WORKDAY(D283,-(Setup!$C$13+Setup!$G$22+Setup!$C$14),Setup!$C$39:$C$50),WORKDAY(D283,-(Setup!$C$13+Setup!$G$22),Setup!$C$39:$C$50))+(278*100+3)/10000000)))</f>
        <v/>
      </c>
      <c r="U283" t="str">
        <f>IF(E283="","",IF(E283&lt;Setup!$C$5-Setup!$C$6,"",IF(IF(ISNUMBER(Roster!$D283),Setup!$C$23&lt;=Roster!$D283,FALSE),"",IF(OR(IF(Setup!$C$15&lt;=Setup!$C$16,AND(MONTH(E283)&gt;=Setup!$C$15,MONTH(E283)&lt;=Setup!$C$16),OR(MONTH(E283)&gt;=Setup!$C$15,MONTH(E283)&lt;=Setup!$C$16)),IF(Setup!$C$15&lt;=Setup!$C$16,AND(MONTH(WORKDAY(E283,-(Setup!$C$13+Setup!$G$23),Setup!$C$39:$C$50))&gt;=Setup!$C$15,MONTH(WORKDAY(E283,-(Setup!$C$13+Setup!$G$23),Setup!$C$39:$C$50))&lt;=Setup!$C$16),OR(MONTH(WORKDAY(E283,-(Setup!$C$13+Setup!$G$23),Setup!$C$39:$C$50))&gt;=Setup!$C$15,MONTH(WORKDAY(E283,-(Setup!$C$13+Setup!$G$23),Setup!$C$39:$C$50))&lt;=Setup!$C$16))),WORKDAY(E283,-(Setup!$C$13+Setup!$G$23+Setup!$C$14),Setup!$C$39:$C$50),WORKDAY(E283,-(Setup!$C$13+Setup!$G$23),Setup!$C$39:$C$50))+(278*100+4)/10000000)))</f>
        <v/>
      </c>
      <c r="V283" t="str">
        <f>IF(F283="","",IF(F283&lt;Setup!$C$5-Setup!$C$6,"",IF(IF(ISNUMBER(Roster!$D283),Setup!$C$24&lt;=Roster!$D283,FALSE),"",IF(OR(IF(Setup!$C$15&lt;=Setup!$C$16,AND(MONTH(F283)&gt;=Setup!$C$15,MONTH(F283)&lt;=Setup!$C$16),OR(MONTH(F283)&gt;=Setup!$C$15,MONTH(F283)&lt;=Setup!$C$16)),IF(Setup!$C$15&lt;=Setup!$C$16,AND(MONTH(WORKDAY(F283,-(Setup!$C$13+Setup!$G$24),Setup!$C$39:$C$50))&gt;=Setup!$C$15,MONTH(WORKDAY(F283,-(Setup!$C$13+Setup!$G$24),Setup!$C$39:$C$50))&lt;=Setup!$C$16),OR(MONTH(WORKDAY(F283,-(Setup!$C$13+Setup!$G$24),Setup!$C$39:$C$50))&gt;=Setup!$C$15,MONTH(WORKDAY(F283,-(Setup!$C$13+Setup!$G$24),Setup!$C$39:$C$50))&lt;=Setup!$C$16))),WORKDAY(F283,-(Setup!$C$13+Setup!$G$24+Setup!$C$14),Setup!$C$39:$C$50),WORKDAY(F283,-(Setup!$C$13+Setup!$G$24),Setup!$C$39:$C$50))+(278*100+5)/10000000)))</f>
        <v/>
      </c>
      <c r="W283" t="str">
        <f>IF(G283="","",IF(G283&lt;Setup!$C$5-Setup!$C$6,"",IF(IF(ISNUMBER(Roster!$D283),Setup!$C$25&lt;=Roster!$D283,FALSE),"",IF(OR(IF(Setup!$C$15&lt;=Setup!$C$16,AND(MONTH(G283)&gt;=Setup!$C$15,MONTH(G283)&lt;=Setup!$C$16),OR(MONTH(G283)&gt;=Setup!$C$15,MONTH(G283)&lt;=Setup!$C$16)),IF(Setup!$C$15&lt;=Setup!$C$16,AND(MONTH(WORKDAY(G283,-(Setup!$C$13+Setup!$G$25),Setup!$C$39:$C$50))&gt;=Setup!$C$15,MONTH(WORKDAY(G283,-(Setup!$C$13+Setup!$G$25),Setup!$C$39:$C$50))&lt;=Setup!$C$16),OR(MONTH(WORKDAY(G283,-(Setup!$C$13+Setup!$G$25),Setup!$C$39:$C$50))&gt;=Setup!$C$15,MONTH(WORKDAY(G283,-(Setup!$C$13+Setup!$G$25),Setup!$C$39:$C$50))&lt;=Setup!$C$16))),WORKDAY(G283,-(Setup!$C$13+Setup!$G$25+Setup!$C$14),Setup!$C$39:$C$50),WORKDAY(G283,-(Setup!$C$13+Setup!$G$25),Setup!$C$39:$C$50))+(278*100+6)/10000000)))</f>
        <v/>
      </c>
      <c r="X283" t="str">
        <f>IF(H283="","",IF(H283&lt;Setup!$C$5-Setup!$C$6,"",IF(IF(ISNUMBER(Roster!$D283),Setup!$C$26&lt;=Roster!$D283,FALSE),"",IF(OR(IF(Setup!$C$15&lt;=Setup!$C$16,AND(MONTH(H283)&gt;=Setup!$C$15,MONTH(H283)&lt;=Setup!$C$16),OR(MONTH(H283)&gt;=Setup!$C$15,MONTH(H283)&lt;=Setup!$C$16)),IF(Setup!$C$15&lt;=Setup!$C$16,AND(MONTH(WORKDAY(H283,-(Setup!$C$13+Setup!$G$26),Setup!$C$39:$C$50))&gt;=Setup!$C$15,MONTH(WORKDAY(H283,-(Setup!$C$13+Setup!$G$26),Setup!$C$39:$C$50))&lt;=Setup!$C$16),OR(MONTH(WORKDAY(H283,-(Setup!$C$13+Setup!$G$26),Setup!$C$39:$C$50))&gt;=Setup!$C$15,MONTH(WORKDAY(H283,-(Setup!$C$13+Setup!$G$26),Setup!$C$39:$C$50))&lt;=Setup!$C$16))),WORKDAY(H283,-(Setup!$C$13+Setup!$G$26+Setup!$C$14),Setup!$C$39:$C$50),WORKDAY(H283,-(Setup!$C$13+Setup!$G$26),Setup!$C$39:$C$50))+(278*100+7)/10000000)))</f>
        <v/>
      </c>
      <c r="Y283" t="str">
        <f>IF(I283="","",IF(I283&lt;Setup!$C$5-Setup!$C$6,"",IF(IF(ISNUMBER(Roster!$D283),Setup!$C$27&lt;=Roster!$D283,FALSE),"",IF(OR(IF(Setup!$C$15&lt;=Setup!$C$16,AND(MONTH(I283)&gt;=Setup!$C$15,MONTH(I283)&lt;=Setup!$C$16),OR(MONTH(I283)&gt;=Setup!$C$15,MONTH(I283)&lt;=Setup!$C$16)),IF(Setup!$C$15&lt;=Setup!$C$16,AND(MONTH(WORKDAY(I283,-(Setup!$C$13+Setup!$G$27),Setup!$C$39:$C$50))&gt;=Setup!$C$15,MONTH(WORKDAY(I283,-(Setup!$C$13+Setup!$G$27),Setup!$C$39:$C$50))&lt;=Setup!$C$16),OR(MONTH(WORKDAY(I283,-(Setup!$C$13+Setup!$G$27),Setup!$C$39:$C$50))&gt;=Setup!$C$15,MONTH(WORKDAY(I283,-(Setup!$C$13+Setup!$G$27),Setup!$C$39:$C$50))&lt;=Setup!$C$16))),WORKDAY(I283,-(Setup!$C$13+Setup!$G$27+Setup!$C$14),Setup!$C$39:$C$50),WORKDAY(I283,-(Setup!$C$13+Setup!$G$27),Setup!$C$39:$C$50))+(278*100+8)/10000000)))</f>
        <v/>
      </c>
      <c r="Z283" t="str">
        <f>IF(J283="","",IF(J283&lt;Setup!$C$5-Setup!$C$6,"",IF(IF(ISNUMBER(Roster!$D283),Setup!$C$28&lt;=Roster!$D283,FALSE),"",IF(OR(IF(Setup!$C$15&lt;=Setup!$C$16,AND(MONTH(J283)&gt;=Setup!$C$15,MONTH(J283)&lt;=Setup!$C$16),OR(MONTH(J283)&gt;=Setup!$C$15,MONTH(J283)&lt;=Setup!$C$16)),IF(Setup!$C$15&lt;=Setup!$C$16,AND(MONTH(WORKDAY(J283,-(Setup!$C$13+Setup!$G$28),Setup!$C$39:$C$50))&gt;=Setup!$C$15,MONTH(WORKDAY(J283,-(Setup!$C$13+Setup!$G$28),Setup!$C$39:$C$50))&lt;=Setup!$C$16),OR(MONTH(WORKDAY(J283,-(Setup!$C$13+Setup!$G$28),Setup!$C$39:$C$50))&gt;=Setup!$C$15,MONTH(WORKDAY(J283,-(Setup!$C$13+Setup!$G$28),Setup!$C$39:$C$50))&lt;=Setup!$C$16))),WORKDAY(J283,-(Setup!$C$13+Setup!$G$28+Setup!$C$14),Setup!$C$39:$C$50),WORKDAY(J283,-(Setup!$C$13+Setup!$G$28),Setup!$C$39:$C$50))+(278*100+9)/10000000)))</f>
        <v/>
      </c>
      <c r="AA283" t="str">
        <f>IF(K283="","",IF(K283&lt;Setup!$C$5-Setup!$C$6,"",IF(IF(ISNUMBER(Roster!$D283),Setup!$C$29&lt;=Roster!$D283,FALSE),"",IF(OR(IF(Setup!$C$15&lt;=Setup!$C$16,AND(MONTH(K283)&gt;=Setup!$C$15,MONTH(K283)&lt;=Setup!$C$16),OR(MONTH(K283)&gt;=Setup!$C$15,MONTH(K283)&lt;=Setup!$C$16)),IF(Setup!$C$15&lt;=Setup!$C$16,AND(MONTH(WORKDAY(K283,-(Setup!$C$13+Setup!$G$29),Setup!$C$39:$C$50))&gt;=Setup!$C$15,MONTH(WORKDAY(K283,-(Setup!$C$13+Setup!$G$29),Setup!$C$39:$C$50))&lt;=Setup!$C$16),OR(MONTH(WORKDAY(K283,-(Setup!$C$13+Setup!$G$29),Setup!$C$39:$C$50))&gt;=Setup!$C$15,MONTH(WORKDAY(K283,-(Setup!$C$13+Setup!$G$29),Setup!$C$39:$C$50))&lt;=Setup!$C$16))),WORKDAY(K283,-(Setup!$C$13+Setup!$G$29+Setup!$C$14),Setup!$C$39:$C$50),WORKDAY(K283,-(Setup!$C$13+Setup!$G$29),Setup!$C$39:$C$50))+(278*100+10)/10000000)))</f>
        <v/>
      </c>
      <c r="AB283" t="str">
        <f>IF(L283="","",IF(L283&lt;Setup!$C$5-Setup!$C$6,"",IF(IF(ISNUMBER(Roster!$D283),Setup!$C$30&lt;=Roster!$D283,FALSE),"",IF(OR(IF(Setup!$C$15&lt;=Setup!$C$16,AND(MONTH(L283)&gt;=Setup!$C$15,MONTH(L283)&lt;=Setup!$C$16),OR(MONTH(L283)&gt;=Setup!$C$15,MONTH(L283)&lt;=Setup!$C$16)),IF(Setup!$C$15&lt;=Setup!$C$16,AND(MONTH(WORKDAY(L283,-(Setup!$C$13+Setup!$G$30),Setup!$C$39:$C$50))&gt;=Setup!$C$15,MONTH(WORKDAY(L283,-(Setup!$C$13+Setup!$G$30),Setup!$C$39:$C$50))&lt;=Setup!$C$16),OR(MONTH(WORKDAY(L283,-(Setup!$C$13+Setup!$G$30),Setup!$C$39:$C$50))&gt;=Setup!$C$15,MONTH(WORKDAY(L283,-(Setup!$C$13+Setup!$G$30),Setup!$C$39:$C$50))&lt;=Setup!$C$16))),WORKDAY(L283,-(Setup!$C$13+Setup!$G$30+Setup!$C$14),Setup!$C$39:$C$50),WORKDAY(L283,-(Setup!$C$13+Setup!$G$30),Setup!$C$39:$C$50))+(278*100+11)/10000000)))</f>
        <v/>
      </c>
      <c r="AC283" t="str">
        <f>IF(M283="","",IF(M283&lt;Setup!$C$5-Setup!$C$6,"",IF(IF(ISNUMBER(Roster!$D283),Setup!$C$31&lt;=Roster!$D283,FALSE),"",IF(OR(IF(Setup!$C$15&lt;=Setup!$C$16,AND(MONTH(M283)&gt;=Setup!$C$15,MONTH(M283)&lt;=Setup!$C$16),OR(MONTH(M283)&gt;=Setup!$C$15,MONTH(M283)&lt;=Setup!$C$16)),IF(Setup!$C$15&lt;=Setup!$C$16,AND(MONTH(WORKDAY(M283,-(Setup!$C$13+Setup!$G$31),Setup!$C$39:$C$50))&gt;=Setup!$C$15,MONTH(WORKDAY(M283,-(Setup!$C$13+Setup!$G$31),Setup!$C$39:$C$50))&lt;=Setup!$C$16),OR(MONTH(WORKDAY(M283,-(Setup!$C$13+Setup!$G$31),Setup!$C$39:$C$50))&gt;=Setup!$C$15,MONTH(WORKDAY(M283,-(Setup!$C$13+Setup!$G$31),Setup!$C$39:$C$50))&lt;=Setup!$C$16))),WORKDAY(M283,-(Setup!$C$13+Setup!$G$31+Setup!$C$14),Setup!$C$39:$C$50),WORKDAY(M283,-(Setup!$C$13+Setup!$G$31),Setup!$C$39:$C$50))+(278*100+12)/10000000)))</f>
        <v/>
      </c>
      <c r="AD283" t="str">
        <f>IF(N283="","",IF(N283&lt;Setup!$C$5-Setup!$C$6,"",IF(IF(ISNUMBER(Roster!$D283),Setup!$C$32&lt;=Roster!$D283,FALSE),"",IF(OR(IF(Setup!$C$15&lt;=Setup!$C$16,AND(MONTH(N283)&gt;=Setup!$C$15,MONTH(N283)&lt;=Setup!$C$16),OR(MONTH(N283)&gt;=Setup!$C$15,MONTH(N283)&lt;=Setup!$C$16)),IF(Setup!$C$15&lt;=Setup!$C$16,AND(MONTH(WORKDAY(N283,-(Setup!$C$13+Setup!$G$32),Setup!$C$39:$C$50))&gt;=Setup!$C$15,MONTH(WORKDAY(N283,-(Setup!$C$13+Setup!$G$32),Setup!$C$39:$C$50))&lt;=Setup!$C$16),OR(MONTH(WORKDAY(N283,-(Setup!$C$13+Setup!$G$32),Setup!$C$39:$C$50))&gt;=Setup!$C$15,MONTH(WORKDAY(N283,-(Setup!$C$13+Setup!$G$32),Setup!$C$39:$C$50))&lt;=Setup!$C$16))),WORKDAY(N283,-(Setup!$C$13+Setup!$G$32+Setup!$C$14),Setup!$C$39:$C$50),WORKDAY(N283,-(Setup!$C$13+Setup!$G$32),Setup!$C$39:$C$50))+(278*100+13)/10000000)))</f>
        <v/>
      </c>
      <c r="AE283" t="str">
        <f>IF(O283="","",IF(O283&lt;Setup!$C$5-Setup!$C$6,"",IF(IF(ISNUMBER(Roster!$D283),Setup!$C$33&lt;=Roster!$D283,FALSE),"",IF(OR(IF(Setup!$C$15&lt;=Setup!$C$16,AND(MONTH(O283)&gt;=Setup!$C$15,MONTH(O283)&lt;=Setup!$C$16),OR(MONTH(O283)&gt;=Setup!$C$15,MONTH(O283)&lt;=Setup!$C$16)),IF(Setup!$C$15&lt;=Setup!$C$16,AND(MONTH(WORKDAY(O283,-(Setup!$C$13+Setup!$G$33),Setup!$C$39:$C$50))&gt;=Setup!$C$15,MONTH(WORKDAY(O283,-(Setup!$C$13+Setup!$G$33),Setup!$C$39:$C$50))&lt;=Setup!$C$16),OR(MONTH(WORKDAY(O283,-(Setup!$C$13+Setup!$G$33),Setup!$C$39:$C$50))&gt;=Setup!$C$15,MONTH(WORKDAY(O283,-(Setup!$C$13+Setup!$G$33),Setup!$C$39:$C$50))&lt;=Setup!$C$16))),WORKDAY(O283,-(Setup!$C$13+Setup!$G$33+Setup!$C$14),Setup!$C$39:$C$50),WORKDAY(O283,-(Setup!$C$13+Setup!$G$33),Setup!$C$39:$C$50))+(278*100+14)/10000000)))</f>
        <v/>
      </c>
      <c r="AF283" t="str">
        <f>IF(P283="","",IF(P283&lt;Setup!$C$5-Setup!$C$6,"",IF(IF(ISNUMBER(Roster!$D283),Setup!$C$34&lt;=Roster!$D283,FALSE),"",IF(OR(IF(Setup!$C$15&lt;=Setup!$C$16,AND(MONTH(P283)&gt;=Setup!$C$15,MONTH(P283)&lt;=Setup!$C$16),OR(MONTH(P283)&gt;=Setup!$C$15,MONTH(P283)&lt;=Setup!$C$16)),IF(Setup!$C$15&lt;=Setup!$C$16,AND(MONTH(WORKDAY(P283,-(Setup!$C$13+Setup!$G$34),Setup!$C$39:$C$50))&gt;=Setup!$C$15,MONTH(WORKDAY(P283,-(Setup!$C$13+Setup!$G$34),Setup!$C$39:$C$50))&lt;=Setup!$C$16),OR(MONTH(WORKDAY(P283,-(Setup!$C$13+Setup!$G$34),Setup!$C$39:$C$50))&gt;=Setup!$C$15,MONTH(WORKDAY(P283,-(Setup!$C$13+Setup!$G$34),Setup!$C$39:$C$50))&lt;=Setup!$C$16))),WORKDAY(P283,-(Setup!$C$13+Setup!$G$34+Setup!$C$14),Setup!$C$39:$C$50),WORKDAY(P283,-(Setup!$C$13+Setup!$G$34),Setup!$C$39:$C$50))+(278*100+15)/10000000)))</f>
        <v/>
      </c>
      <c r="AH283" t="str">
        <f t="shared" si="33"/>
        <v/>
      </c>
      <c r="AI283" t="str">
        <f t="shared" si="34"/>
        <v/>
      </c>
      <c r="AK283" t="str">
        <f ca="1">IF(278&gt;$AK$2,"",SMALL($R$6:$AF$505,278))</f>
        <v/>
      </c>
      <c r="AL283" t="str">
        <f t="shared" ca="1" si="35"/>
        <v/>
      </c>
      <c r="AM283" t="str">
        <f t="shared" ca="1" si="36"/>
        <v/>
      </c>
      <c r="AN283" t="str">
        <f t="shared" ca="1" si="37"/>
        <v/>
      </c>
      <c r="AP283" t="str">
        <f>IF(ISNUMBER(Roster!$B283),MAX(1,YEAR(Setup!$C$5)-YEAR(Roster!$B283)+IF(EDATE(Roster!$B283,12*(YEAR(Setup!$C$5)-YEAR(Roster!$B283)))&lt;Setup!$C$5,1,0)),"")</f>
        <v/>
      </c>
      <c r="AQ283" s="32" t="str">
        <f>IF(AP283="","",EDATE(Roster!$B283,12*AP283))</f>
        <v/>
      </c>
      <c r="AR283" t="str">
        <f>IF(AQ283="","",IF(AQ283&lt;DATE(YEAR(Setup!$C$5)+1,MONTH(Setup!$C$5),DAY(Setup!$C$5)),AQ283+278/1000,""))</f>
        <v/>
      </c>
      <c r="AS283" t="str">
        <f t="shared" si="38"/>
        <v/>
      </c>
      <c r="AT283" t="str">
        <f>IF(AS283="","",IF(ISNUMBER(Roster!$D283),Roster!$D283&gt;=AP283,FALSE))</f>
        <v/>
      </c>
      <c r="AU283" t="str">
        <f t="shared" si="39"/>
        <v/>
      </c>
      <c r="AV283" t="str">
        <f ca="1">IF(278&gt;$AV$2,"",SMALL($AR$6:$AR$505,278))</f>
        <v/>
      </c>
      <c r="AW283" t="str">
        <f t="shared" ca="1" si="40"/>
        <v/>
      </c>
    </row>
    <row r="284" spans="2:49" x14ac:dyDescent="0.2">
      <c r="B284" s="32" t="str">
        <f>IF(AND(ISNUMBER(Roster!$B284),Setup!$B$20="Yes",ISNUMBER(Setup!$C$20)),EDATE(Roster!$B284,12*Setup!$C$20),"")</f>
        <v/>
      </c>
      <c r="C284" s="32" t="str">
        <f>IF(AND(ISNUMBER(Roster!$B284),Setup!$B$21="Yes",ISNUMBER(Setup!$C$21)),EDATE(Roster!$B284,12*Setup!$C$21),"")</f>
        <v/>
      </c>
      <c r="D284" s="32" t="str">
        <f>IF(AND(ISNUMBER(Roster!$B284),Setup!$B$22="Yes",ISNUMBER(Setup!$C$22)),EDATE(Roster!$B284,12*Setup!$C$22),"")</f>
        <v/>
      </c>
      <c r="E284" s="32" t="str">
        <f>IF(AND(ISNUMBER(Roster!$B284),Setup!$B$23="Yes",ISNUMBER(Setup!$C$23)),EDATE(Roster!$B284,12*Setup!$C$23),"")</f>
        <v/>
      </c>
      <c r="F284" s="32" t="str">
        <f>IF(AND(ISNUMBER(Roster!$B284),Setup!$B$24="Yes",ISNUMBER(Setup!$C$24)),EDATE(Roster!$B284,12*Setup!$C$24),"")</f>
        <v/>
      </c>
      <c r="G284" s="32" t="str">
        <f>IF(AND(ISNUMBER(Roster!$B284),Setup!$B$25="Yes",ISNUMBER(Setup!$C$25)),EDATE(Roster!$B284,12*Setup!$C$25),"")</f>
        <v/>
      </c>
      <c r="H284" s="32" t="str">
        <f>IF(AND(ISNUMBER(Roster!$B284),Setup!$B$26="Yes",ISNUMBER(Setup!$C$26)),EDATE(Roster!$B284,12*Setup!$C$26),"")</f>
        <v/>
      </c>
      <c r="I284" s="32" t="str">
        <f>IF(AND(ISNUMBER(Roster!$B284),Setup!$B$27="Yes",ISNUMBER(Setup!$C$27)),EDATE(Roster!$B284,12*Setup!$C$27),"")</f>
        <v/>
      </c>
      <c r="J284" s="32" t="str">
        <f>IF(AND(ISNUMBER(Roster!$B284),Setup!$B$28="Yes",ISNUMBER(Setup!$C$28)),EDATE(Roster!$B284,12*Setup!$C$28),"")</f>
        <v/>
      </c>
      <c r="K284" s="32" t="str">
        <f>IF(AND(ISNUMBER(Roster!$B284),Setup!$B$29="Yes",ISNUMBER(Setup!$C$29)),EDATE(Roster!$B284,12*Setup!$C$29),"")</f>
        <v/>
      </c>
      <c r="L284" s="32" t="str">
        <f>IF(AND(ISNUMBER(Roster!$B284),Setup!$B$30="Yes",ISNUMBER(Setup!$C$30)),EDATE(Roster!$B284,12*Setup!$C$30),"")</f>
        <v/>
      </c>
      <c r="M284" s="32" t="str">
        <f>IF(AND(ISNUMBER(Roster!$B284),Setup!$B$31="Yes",ISNUMBER(Setup!$C$31)),EDATE(Roster!$B284,12*Setup!$C$31),"")</f>
        <v/>
      </c>
      <c r="N284" s="32" t="str">
        <f>IF(AND(ISNUMBER(Roster!$B284),Setup!$B$32="Yes",ISNUMBER(Setup!$C$32)),EDATE(Roster!$B284,12*Setup!$C$32),"")</f>
        <v/>
      </c>
      <c r="O284" s="32" t="str">
        <f>IF(AND(ISNUMBER(Roster!$B284),Setup!$B$33="Yes",ISNUMBER(Setup!$C$33)),EDATE(Roster!$B284,12*Setup!$C$33),"")</f>
        <v/>
      </c>
      <c r="P284" s="32" t="str">
        <f>IF(AND(ISNUMBER(Roster!$B284),Setup!$B$34="Yes",ISNUMBER(Setup!$C$34)),EDATE(Roster!$B284,12*Setup!$C$34),"")</f>
        <v/>
      </c>
      <c r="R284" t="str">
        <f>IF(B284="","",IF(B284&lt;Setup!$C$5-Setup!$C$6,"",IF(IF(ISNUMBER(Roster!$D284),Setup!$C$20&lt;=Roster!$D284,FALSE),"",IF(OR(IF(Setup!$C$15&lt;=Setup!$C$16,AND(MONTH(B284)&gt;=Setup!$C$15,MONTH(B284)&lt;=Setup!$C$16),OR(MONTH(B284)&gt;=Setup!$C$15,MONTH(B284)&lt;=Setup!$C$16)),IF(Setup!$C$15&lt;=Setup!$C$16,AND(MONTH(WORKDAY(B284,-(Setup!$C$13+Setup!$G$20),Setup!$C$39:$C$50))&gt;=Setup!$C$15,MONTH(WORKDAY(B284,-(Setup!$C$13+Setup!$G$20),Setup!$C$39:$C$50))&lt;=Setup!$C$16),OR(MONTH(WORKDAY(B284,-(Setup!$C$13+Setup!$G$20),Setup!$C$39:$C$50))&gt;=Setup!$C$15,MONTH(WORKDAY(B284,-(Setup!$C$13+Setup!$G$20),Setup!$C$39:$C$50))&lt;=Setup!$C$16))),WORKDAY(B284,-(Setup!$C$13+Setup!$G$20+Setup!$C$14),Setup!$C$39:$C$50),WORKDAY(B284,-(Setup!$C$13+Setup!$G$20),Setup!$C$39:$C$50))+(279*100+1)/10000000)))</f>
        <v/>
      </c>
      <c r="S284" t="str">
        <f>IF(C284="","",IF(C284&lt;Setup!$C$5-Setup!$C$6,"",IF(IF(ISNUMBER(Roster!$D284),Setup!$C$21&lt;=Roster!$D284,FALSE),"",IF(OR(IF(Setup!$C$15&lt;=Setup!$C$16,AND(MONTH(C284)&gt;=Setup!$C$15,MONTH(C284)&lt;=Setup!$C$16),OR(MONTH(C284)&gt;=Setup!$C$15,MONTH(C284)&lt;=Setup!$C$16)),IF(Setup!$C$15&lt;=Setup!$C$16,AND(MONTH(WORKDAY(C284,-(Setup!$C$13+Setup!$G$21),Setup!$C$39:$C$50))&gt;=Setup!$C$15,MONTH(WORKDAY(C284,-(Setup!$C$13+Setup!$G$21),Setup!$C$39:$C$50))&lt;=Setup!$C$16),OR(MONTH(WORKDAY(C284,-(Setup!$C$13+Setup!$G$21),Setup!$C$39:$C$50))&gt;=Setup!$C$15,MONTH(WORKDAY(C284,-(Setup!$C$13+Setup!$G$21),Setup!$C$39:$C$50))&lt;=Setup!$C$16))),WORKDAY(C284,-(Setup!$C$13+Setup!$G$21+Setup!$C$14),Setup!$C$39:$C$50),WORKDAY(C284,-(Setup!$C$13+Setup!$G$21),Setup!$C$39:$C$50))+(279*100+2)/10000000)))</f>
        <v/>
      </c>
      <c r="T284" t="str">
        <f>IF(D284="","",IF(D284&lt;Setup!$C$5-Setup!$C$6,"",IF(IF(ISNUMBER(Roster!$D284),Setup!$C$22&lt;=Roster!$D284,FALSE),"",IF(OR(IF(Setup!$C$15&lt;=Setup!$C$16,AND(MONTH(D284)&gt;=Setup!$C$15,MONTH(D284)&lt;=Setup!$C$16),OR(MONTH(D284)&gt;=Setup!$C$15,MONTH(D284)&lt;=Setup!$C$16)),IF(Setup!$C$15&lt;=Setup!$C$16,AND(MONTH(WORKDAY(D284,-(Setup!$C$13+Setup!$G$22),Setup!$C$39:$C$50))&gt;=Setup!$C$15,MONTH(WORKDAY(D284,-(Setup!$C$13+Setup!$G$22),Setup!$C$39:$C$50))&lt;=Setup!$C$16),OR(MONTH(WORKDAY(D284,-(Setup!$C$13+Setup!$G$22),Setup!$C$39:$C$50))&gt;=Setup!$C$15,MONTH(WORKDAY(D284,-(Setup!$C$13+Setup!$G$22),Setup!$C$39:$C$50))&lt;=Setup!$C$16))),WORKDAY(D284,-(Setup!$C$13+Setup!$G$22+Setup!$C$14),Setup!$C$39:$C$50),WORKDAY(D284,-(Setup!$C$13+Setup!$G$22),Setup!$C$39:$C$50))+(279*100+3)/10000000)))</f>
        <v/>
      </c>
      <c r="U284" t="str">
        <f>IF(E284="","",IF(E284&lt;Setup!$C$5-Setup!$C$6,"",IF(IF(ISNUMBER(Roster!$D284),Setup!$C$23&lt;=Roster!$D284,FALSE),"",IF(OR(IF(Setup!$C$15&lt;=Setup!$C$16,AND(MONTH(E284)&gt;=Setup!$C$15,MONTH(E284)&lt;=Setup!$C$16),OR(MONTH(E284)&gt;=Setup!$C$15,MONTH(E284)&lt;=Setup!$C$16)),IF(Setup!$C$15&lt;=Setup!$C$16,AND(MONTH(WORKDAY(E284,-(Setup!$C$13+Setup!$G$23),Setup!$C$39:$C$50))&gt;=Setup!$C$15,MONTH(WORKDAY(E284,-(Setup!$C$13+Setup!$G$23),Setup!$C$39:$C$50))&lt;=Setup!$C$16),OR(MONTH(WORKDAY(E284,-(Setup!$C$13+Setup!$G$23),Setup!$C$39:$C$50))&gt;=Setup!$C$15,MONTH(WORKDAY(E284,-(Setup!$C$13+Setup!$G$23),Setup!$C$39:$C$50))&lt;=Setup!$C$16))),WORKDAY(E284,-(Setup!$C$13+Setup!$G$23+Setup!$C$14),Setup!$C$39:$C$50),WORKDAY(E284,-(Setup!$C$13+Setup!$G$23),Setup!$C$39:$C$50))+(279*100+4)/10000000)))</f>
        <v/>
      </c>
      <c r="V284" t="str">
        <f>IF(F284="","",IF(F284&lt;Setup!$C$5-Setup!$C$6,"",IF(IF(ISNUMBER(Roster!$D284),Setup!$C$24&lt;=Roster!$D284,FALSE),"",IF(OR(IF(Setup!$C$15&lt;=Setup!$C$16,AND(MONTH(F284)&gt;=Setup!$C$15,MONTH(F284)&lt;=Setup!$C$16),OR(MONTH(F284)&gt;=Setup!$C$15,MONTH(F284)&lt;=Setup!$C$16)),IF(Setup!$C$15&lt;=Setup!$C$16,AND(MONTH(WORKDAY(F284,-(Setup!$C$13+Setup!$G$24),Setup!$C$39:$C$50))&gt;=Setup!$C$15,MONTH(WORKDAY(F284,-(Setup!$C$13+Setup!$G$24),Setup!$C$39:$C$50))&lt;=Setup!$C$16),OR(MONTH(WORKDAY(F284,-(Setup!$C$13+Setup!$G$24),Setup!$C$39:$C$50))&gt;=Setup!$C$15,MONTH(WORKDAY(F284,-(Setup!$C$13+Setup!$G$24),Setup!$C$39:$C$50))&lt;=Setup!$C$16))),WORKDAY(F284,-(Setup!$C$13+Setup!$G$24+Setup!$C$14),Setup!$C$39:$C$50),WORKDAY(F284,-(Setup!$C$13+Setup!$G$24),Setup!$C$39:$C$50))+(279*100+5)/10000000)))</f>
        <v/>
      </c>
      <c r="W284" t="str">
        <f>IF(G284="","",IF(G284&lt;Setup!$C$5-Setup!$C$6,"",IF(IF(ISNUMBER(Roster!$D284),Setup!$C$25&lt;=Roster!$D284,FALSE),"",IF(OR(IF(Setup!$C$15&lt;=Setup!$C$16,AND(MONTH(G284)&gt;=Setup!$C$15,MONTH(G284)&lt;=Setup!$C$16),OR(MONTH(G284)&gt;=Setup!$C$15,MONTH(G284)&lt;=Setup!$C$16)),IF(Setup!$C$15&lt;=Setup!$C$16,AND(MONTH(WORKDAY(G284,-(Setup!$C$13+Setup!$G$25),Setup!$C$39:$C$50))&gt;=Setup!$C$15,MONTH(WORKDAY(G284,-(Setup!$C$13+Setup!$G$25),Setup!$C$39:$C$50))&lt;=Setup!$C$16),OR(MONTH(WORKDAY(G284,-(Setup!$C$13+Setup!$G$25),Setup!$C$39:$C$50))&gt;=Setup!$C$15,MONTH(WORKDAY(G284,-(Setup!$C$13+Setup!$G$25),Setup!$C$39:$C$50))&lt;=Setup!$C$16))),WORKDAY(G284,-(Setup!$C$13+Setup!$G$25+Setup!$C$14),Setup!$C$39:$C$50),WORKDAY(G284,-(Setup!$C$13+Setup!$G$25),Setup!$C$39:$C$50))+(279*100+6)/10000000)))</f>
        <v/>
      </c>
      <c r="X284" t="str">
        <f>IF(H284="","",IF(H284&lt;Setup!$C$5-Setup!$C$6,"",IF(IF(ISNUMBER(Roster!$D284),Setup!$C$26&lt;=Roster!$D284,FALSE),"",IF(OR(IF(Setup!$C$15&lt;=Setup!$C$16,AND(MONTH(H284)&gt;=Setup!$C$15,MONTH(H284)&lt;=Setup!$C$16),OR(MONTH(H284)&gt;=Setup!$C$15,MONTH(H284)&lt;=Setup!$C$16)),IF(Setup!$C$15&lt;=Setup!$C$16,AND(MONTH(WORKDAY(H284,-(Setup!$C$13+Setup!$G$26),Setup!$C$39:$C$50))&gt;=Setup!$C$15,MONTH(WORKDAY(H284,-(Setup!$C$13+Setup!$G$26),Setup!$C$39:$C$50))&lt;=Setup!$C$16),OR(MONTH(WORKDAY(H284,-(Setup!$C$13+Setup!$G$26),Setup!$C$39:$C$50))&gt;=Setup!$C$15,MONTH(WORKDAY(H284,-(Setup!$C$13+Setup!$G$26),Setup!$C$39:$C$50))&lt;=Setup!$C$16))),WORKDAY(H284,-(Setup!$C$13+Setup!$G$26+Setup!$C$14),Setup!$C$39:$C$50),WORKDAY(H284,-(Setup!$C$13+Setup!$G$26),Setup!$C$39:$C$50))+(279*100+7)/10000000)))</f>
        <v/>
      </c>
      <c r="Y284" t="str">
        <f>IF(I284="","",IF(I284&lt;Setup!$C$5-Setup!$C$6,"",IF(IF(ISNUMBER(Roster!$D284),Setup!$C$27&lt;=Roster!$D284,FALSE),"",IF(OR(IF(Setup!$C$15&lt;=Setup!$C$16,AND(MONTH(I284)&gt;=Setup!$C$15,MONTH(I284)&lt;=Setup!$C$16),OR(MONTH(I284)&gt;=Setup!$C$15,MONTH(I284)&lt;=Setup!$C$16)),IF(Setup!$C$15&lt;=Setup!$C$16,AND(MONTH(WORKDAY(I284,-(Setup!$C$13+Setup!$G$27),Setup!$C$39:$C$50))&gt;=Setup!$C$15,MONTH(WORKDAY(I284,-(Setup!$C$13+Setup!$G$27),Setup!$C$39:$C$50))&lt;=Setup!$C$16),OR(MONTH(WORKDAY(I284,-(Setup!$C$13+Setup!$G$27),Setup!$C$39:$C$50))&gt;=Setup!$C$15,MONTH(WORKDAY(I284,-(Setup!$C$13+Setup!$G$27),Setup!$C$39:$C$50))&lt;=Setup!$C$16))),WORKDAY(I284,-(Setup!$C$13+Setup!$G$27+Setup!$C$14),Setup!$C$39:$C$50),WORKDAY(I284,-(Setup!$C$13+Setup!$G$27),Setup!$C$39:$C$50))+(279*100+8)/10000000)))</f>
        <v/>
      </c>
      <c r="Z284" t="str">
        <f>IF(J284="","",IF(J284&lt;Setup!$C$5-Setup!$C$6,"",IF(IF(ISNUMBER(Roster!$D284),Setup!$C$28&lt;=Roster!$D284,FALSE),"",IF(OR(IF(Setup!$C$15&lt;=Setup!$C$16,AND(MONTH(J284)&gt;=Setup!$C$15,MONTH(J284)&lt;=Setup!$C$16),OR(MONTH(J284)&gt;=Setup!$C$15,MONTH(J284)&lt;=Setup!$C$16)),IF(Setup!$C$15&lt;=Setup!$C$16,AND(MONTH(WORKDAY(J284,-(Setup!$C$13+Setup!$G$28),Setup!$C$39:$C$50))&gt;=Setup!$C$15,MONTH(WORKDAY(J284,-(Setup!$C$13+Setup!$G$28),Setup!$C$39:$C$50))&lt;=Setup!$C$16),OR(MONTH(WORKDAY(J284,-(Setup!$C$13+Setup!$G$28),Setup!$C$39:$C$50))&gt;=Setup!$C$15,MONTH(WORKDAY(J284,-(Setup!$C$13+Setup!$G$28),Setup!$C$39:$C$50))&lt;=Setup!$C$16))),WORKDAY(J284,-(Setup!$C$13+Setup!$G$28+Setup!$C$14),Setup!$C$39:$C$50),WORKDAY(J284,-(Setup!$C$13+Setup!$G$28),Setup!$C$39:$C$50))+(279*100+9)/10000000)))</f>
        <v/>
      </c>
      <c r="AA284" t="str">
        <f>IF(K284="","",IF(K284&lt;Setup!$C$5-Setup!$C$6,"",IF(IF(ISNUMBER(Roster!$D284),Setup!$C$29&lt;=Roster!$D284,FALSE),"",IF(OR(IF(Setup!$C$15&lt;=Setup!$C$16,AND(MONTH(K284)&gt;=Setup!$C$15,MONTH(K284)&lt;=Setup!$C$16),OR(MONTH(K284)&gt;=Setup!$C$15,MONTH(K284)&lt;=Setup!$C$16)),IF(Setup!$C$15&lt;=Setup!$C$16,AND(MONTH(WORKDAY(K284,-(Setup!$C$13+Setup!$G$29),Setup!$C$39:$C$50))&gt;=Setup!$C$15,MONTH(WORKDAY(K284,-(Setup!$C$13+Setup!$G$29),Setup!$C$39:$C$50))&lt;=Setup!$C$16),OR(MONTH(WORKDAY(K284,-(Setup!$C$13+Setup!$G$29),Setup!$C$39:$C$50))&gt;=Setup!$C$15,MONTH(WORKDAY(K284,-(Setup!$C$13+Setup!$G$29),Setup!$C$39:$C$50))&lt;=Setup!$C$16))),WORKDAY(K284,-(Setup!$C$13+Setup!$G$29+Setup!$C$14),Setup!$C$39:$C$50),WORKDAY(K284,-(Setup!$C$13+Setup!$G$29),Setup!$C$39:$C$50))+(279*100+10)/10000000)))</f>
        <v/>
      </c>
      <c r="AB284" t="str">
        <f>IF(L284="","",IF(L284&lt;Setup!$C$5-Setup!$C$6,"",IF(IF(ISNUMBER(Roster!$D284),Setup!$C$30&lt;=Roster!$D284,FALSE),"",IF(OR(IF(Setup!$C$15&lt;=Setup!$C$16,AND(MONTH(L284)&gt;=Setup!$C$15,MONTH(L284)&lt;=Setup!$C$16),OR(MONTH(L284)&gt;=Setup!$C$15,MONTH(L284)&lt;=Setup!$C$16)),IF(Setup!$C$15&lt;=Setup!$C$16,AND(MONTH(WORKDAY(L284,-(Setup!$C$13+Setup!$G$30),Setup!$C$39:$C$50))&gt;=Setup!$C$15,MONTH(WORKDAY(L284,-(Setup!$C$13+Setup!$G$30),Setup!$C$39:$C$50))&lt;=Setup!$C$16),OR(MONTH(WORKDAY(L284,-(Setup!$C$13+Setup!$G$30),Setup!$C$39:$C$50))&gt;=Setup!$C$15,MONTH(WORKDAY(L284,-(Setup!$C$13+Setup!$G$30),Setup!$C$39:$C$50))&lt;=Setup!$C$16))),WORKDAY(L284,-(Setup!$C$13+Setup!$G$30+Setup!$C$14),Setup!$C$39:$C$50),WORKDAY(L284,-(Setup!$C$13+Setup!$G$30),Setup!$C$39:$C$50))+(279*100+11)/10000000)))</f>
        <v/>
      </c>
      <c r="AC284" t="str">
        <f>IF(M284="","",IF(M284&lt;Setup!$C$5-Setup!$C$6,"",IF(IF(ISNUMBER(Roster!$D284),Setup!$C$31&lt;=Roster!$D284,FALSE),"",IF(OR(IF(Setup!$C$15&lt;=Setup!$C$16,AND(MONTH(M284)&gt;=Setup!$C$15,MONTH(M284)&lt;=Setup!$C$16),OR(MONTH(M284)&gt;=Setup!$C$15,MONTH(M284)&lt;=Setup!$C$16)),IF(Setup!$C$15&lt;=Setup!$C$16,AND(MONTH(WORKDAY(M284,-(Setup!$C$13+Setup!$G$31),Setup!$C$39:$C$50))&gt;=Setup!$C$15,MONTH(WORKDAY(M284,-(Setup!$C$13+Setup!$G$31),Setup!$C$39:$C$50))&lt;=Setup!$C$16),OR(MONTH(WORKDAY(M284,-(Setup!$C$13+Setup!$G$31),Setup!$C$39:$C$50))&gt;=Setup!$C$15,MONTH(WORKDAY(M284,-(Setup!$C$13+Setup!$G$31),Setup!$C$39:$C$50))&lt;=Setup!$C$16))),WORKDAY(M284,-(Setup!$C$13+Setup!$G$31+Setup!$C$14),Setup!$C$39:$C$50),WORKDAY(M284,-(Setup!$C$13+Setup!$G$31),Setup!$C$39:$C$50))+(279*100+12)/10000000)))</f>
        <v/>
      </c>
      <c r="AD284" t="str">
        <f>IF(N284="","",IF(N284&lt;Setup!$C$5-Setup!$C$6,"",IF(IF(ISNUMBER(Roster!$D284),Setup!$C$32&lt;=Roster!$D284,FALSE),"",IF(OR(IF(Setup!$C$15&lt;=Setup!$C$16,AND(MONTH(N284)&gt;=Setup!$C$15,MONTH(N284)&lt;=Setup!$C$16),OR(MONTH(N284)&gt;=Setup!$C$15,MONTH(N284)&lt;=Setup!$C$16)),IF(Setup!$C$15&lt;=Setup!$C$16,AND(MONTH(WORKDAY(N284,-(Setup!$C$13+Setup!$G$32),Setup!$C$39:$C$50))&gt;=Setup!$C$15,MONTH(WORKDAY(N284,-(Setup!$C$13+Setup!$G$32),Setup!$C$39:$C$50))&lt;=Setup!$C$16),OR(MONTH(WORKDAY(N284,-(Setup!$C$13+Setup!$G$32),Setup!$C$39:$C$50))&gt;=Setup!$C$15,MONTH(WORKDAY(N284,-(Setup!$C$13+Setup!$G$32),Setup!$C$39:$C$50))&lt;=Setup!$C$16))),WORKDAY(N284,-(Setup!$C$13+Setup!$G$32+Setup!$C$14),Setup!$C$39:$C$50),WORKDAY(N284,-(Setup!$C$13+Setup!$G$32),Setup!$C$39:$C$50))+(279*100+13)/10000000)))</f>
        <v/>
      </c>
      <c r="AE284" t="str">
        <f>IF(O284="","",IF(O284&lt;Setup!$C$5-Setup!$C$6,"",IF(IF(ISNUMBER(Roster!$D284),Setup!$C$33&lt;=Roster!$D284,FALSE),"",IF(OR(IF(Setup!$C$15&lt;=Setup!$C$16,AND(MONTH(O284)&gt;=Setup!$C$15,MONTH(O284)&lt;=Setup!$C$16),OR(MONTH(O284)&gt;=Setup!$C$15,MONTH(O284)&lt;=Setup!$C$16)),IF(Setup!$C$15&lt;=Setup!$C$16,AND(MONTH(WORKDAY(O284,-(Setup!$C$13+Setup!$G$33),Setup!$C$39:$C$50))&gt;=Setup!$C$15,MONTH(WORKDAY(O284,-(Setup!$C$13+Setup!$G$33),Setup!$C$39:$C$50))&lt;=Setup!$C$16),OR(MONTH(WORKDAY(O284,-(Setup!$C$13+Setup!$G$33),Setup!$C$39:$C$50))&gt;=Setup!$C$15,MONTH(WORKDAY(O284,-(Setup!$C$13+Setup!$G$33),Setup!$C$39:$C$50))&lt;=Setup!$C$16))),WORKDAY(O284,-(Setup!$C$13+Setup!$G$33+Setup!$C$14),Setup!$C$39:$C$50),WORKDAY(O284,-(Setup!$C$13+Setup!$G$33),Setup!$C$39:$C$50))+(279*100+14)/10000000)))</f>
        <v/>
      </c>
      <c r="AF284" t="str">
        <f>IF(P284="","",IF(P284&lt;Setup!$C$5-Setup!$C$6,"",IF(IF(ISNUMBER(Roster!$D284),Setup!$C$34&lt;=Roster!$D284,FALSE),"",IF(OR(IF(Setup!$C$15&lt;=Setup!$C$16,AND(MONTH(P284)&gt;=Setup!$C$15,MONTH(P284)&lt;=Setup!$C$16),OR(MONTH(P284)&gt;=Setup!$C$15,MONTH(P284)&lt;=Setup!$C$16)),IF(Setup!$C$15&lt;=Setup!$C$16,AND(MONTH(WORKDAY(P284,-(Setup!$C$13+Setup!$G$34),Setup!$C$39:$C$50))&gt;=Setup!$C$15,MONTH(WORKDAY(P284,-(Setup!$C$13+Setup!$G$34),Setup!$C$39:$C$50))&lt;=Setup!$C$16),OR(MONTH(WORKDAY(P284,-(Setup!$C$13+Setup!$G$34),Setup!$C$39:$C$50))&gt;=Setup!$C$15,MONTH(WORKDAY(P284,-(Setup!$C$13+Setup!$G$34),Setup!$C$39:$C$50))&lt;=Setup!$C$16))),WORKDAY(P284,-(Setup!$C$13+Setup!$G$34+Setup!$C$14),Setup!$C$39:$C$50),WORKDAY(P284,-(Setup!$C$13+Setup!$G$34),Setup!$C$39:$C$50))+(279*100+15)/10000000)))</f>
        <v/>
      </c>
      <c r="AH284" t="str">
        <f t="shared" si="33"/>
        <v/>
      </c>
      <c r="AI284" t="str">
        <f t="shared" si="34"/>
        <v/>
      </c>
      <c r="AK284" t="str">
        <f ca="1">IF(279&gt;$AK$2,"",SMALL($R$6:$AF$505,279))</f>
        <v/>
      </c>
      <c r="AL284" t="str">
        <f t="shared" ca="1" si="35"/>
        <v/>
      </c>
      <c r="AM284" t="str">
        <f t="shared" ca="1" si="36"/>
        <v/>
      </c>
      <c r="AN284" t="str">
        <f t="shared" ca="1" si="37"/>
        <v/>
      </c>
      <c r="AP284" t="str">
        <f>IF(ISNUMBER(Roster!$B284),MAX(1,YEAR(Setup!$C$5)-YEAR(Roster!$B284)+IF(EDATE(Roster!$B284,12*(YEAR(Setup!$C$5)-YEAR(Roster!$B284)))&lt;Setup!$C$5,1,0)),"")</f>
        <v/>
      </c>
      <c r="AQ284" s="32" t="str">
        <f>IF(AP284="","",EDATE(Roster!$B284,12*AP284))</f>
        <v/>
      </c>
      <c r="AR284" t="str">
        <f>IF(AQ284="","",IF(AQ284&lt;DATE(YEAR(Setup!$C$5)+1,MONTH(Setup!$C$5),DAY(Setup!$C$5)),AQ284+279/1000,""))</f>
        <v/>
      </c>
      <c r="AS284" t="str">
        <f t="shared" si="38"/>
        <v/>
      </c>
      <c r="AT284" t="str">
        <f>IF(AS284="","",IF(ISNUMBER(Roster!$D284),Roster!$D284&gt;=AP284,FALSE))</f>
        <v/>
      </c>
      <c r="AU284" t="str">
        <f t="shared" si="39"/>
        <v/>
      </c>
      <c r="AV284" t="str">
        <f ca="1">IF(279&gt;$AV$2,"",SMALL($AR$6:$AR$505,279))</f>
        <v/>
      </c>
      <c r="AW284" t="str">
        <f t="shared" ca="1" si="40"/>
        <v/>
      </c>
    </row>
    <row r="285" spans="2:49" x14ac:dyDescent="0.2">
      <c r="B285" s="32" t="str">
        <f>IF(AND(ISNUMBER(Roster!$B285),Setup!$B$20="Yes",ISNUMBER(Setup!$C$20)),EDATE(Roster!$B285,12*Setup!$C$20),"")</f>
        <v/>
      </c>
      <c r="C285" s="32" t="str">
        <f>IF(AND(ISNUMBER(Roster!$B285),Setup!$B$21="Yes",ISNUMBER(Setup!$C$21)),EDATE(Roster!$B285,12*Setup!$C$21),"")</f>
        <v/>
      </c>
      <c r="D285" s="32" t="str">
        <f>IF(AND(ISNUMBER(Roster!$B285),Setup!$B$22="Yes",ISNUMBER(Setup!$C$22)),EDATE(Roster!$B285,12*Setup!$C$22),"")</f>
        <v/>
      </c>
      <c r="E285" s="32" t="str">
        <f>IF(AND(ISNUMBER(Roster!$B285),Setup!$B$23="Yes",ISNUMBER(Setup!$C$23)),EDATE(Roster!$B285,12*Setup!$C$23),"")</f>
        <v/>
      </c>
      <c r="F285" s="32" t="str">
        <f>IF(AND(ISNUMBER(Roster!$B285),Setup!$B$24="Yes",ISNUMBER(Setup!$C$24)),EDATE(Roster!$B285,12*Setup!$C$24),"")</f>
        <v/>
      </c>
      <c r="G285" s="32" t="str">
        <f>IF(AND(ISNUMBER(Roster!$B285),Setup!$B$25="Yes",ISNUMBER(Setup!$C$25)),EDATE(Roster!$B285,12*Setup!$C$25),"")</f>
        <v/>
      </c>
      <c r="H285" s="32" t="str">
        <f>IF(AND(ISNUMBER(Roster!$B285),Setup!$B$26="Yes",ISNUMBER(Setup!$C$26)),EDATE(Roster!$B285,12*Setup!$C$26),"")</f>
        <v/>
      </c>
      <c r="I285" s="32" t="str">
        <f>IF(AND(ISNUMBER(Roster!$B285),Setup!$B$27="Yes",ISNUMBER(Setup!$C$27)),EDATE(Roster!$B285,12*Setup!$C$27),"")</f>
        <v/>
      </c>
      <c r="J285" s="32" t="str">
        <f>IF(AND(ISNUMBER(Roster!$B285),Setup!$B$28="Yes",ISNUMBER(Setup!$C$28)),EDATE(Roster!$B285,12*Setup!$C$28),"")</f>
        <v/>
      </c>
      <c r="K285" s="32" t="str">
        <f>IF(AND(ISNUMBER(Roster!$B285),Setup!$B$29="Yes",ISNUMBER(Setup!$C$29)),EDATE(Roster!$B285,12*Setup!$C$29),"")</f>
        <v/>
      </c>
      <c r="L285" s="32" t="str">
        <f>IF(AND(ISNUMBER(Roster!$B285),Setup!$B$30="Yes",ISNUMBER(Setup!$C$30)),EDATE(Roster!$B285,12*Setup!$C$30),"")</f>
        <v/>
      </c>
      <c r="M285" s="32" t="str">
        <f>IF(AND(ISNUMBER(Roster!$B285),Setup!$B$31="Yes",ISNUMBER(Setup!$C$31)),EDATE(Roster!$B285,12*Setup!$C$31),"")</f>
        <v/>
      </c>
      <c r="N285" s="32" t="str">
        <f>IF(AND(ISNUMBER(Roster!$B285),Setup!$B$32="Yes",ISNUMBER(Setup!$C$32)),EDATE(Roster!$B285,12*Setup!$C$32),"")</f>
        <v/>
      </c>
      <c r="O285" s="32" t="str">
        <f>IF(AND(ISNUMBER(Roster!$B285),Setup!$B$33="Yes",ISNUMBER(Setup!$C$33)),EDATE(Roster!$B285,12*Setup!$C$33),"")</f>
        <v/>
      </c>
      <c r="P285" s="32" t="str">
        <f>IF(AND(ISNUMBER(Roster!$B285),Setup!$B$34="Yes",ISNUMBER(Setup!$C$34)),EDATE(Roster!$B285,12*Setup!$C$34),"")</f>
        <v/>
      </c>
      <c r="R285" t="str">
        <f>IF(B285="","",IF(B285&lt;Setup!$C$5-Setup!$C$6,"",IF(IF(ISNUMBER(Roster!$D285),Setup!$C$20&lt;=Roster!$D285,FALSE),"",IF(OR(IF(Setup!$C$15&lt;=Setup!$C$16,AND(MONTH(B285)&gt;=Setup!$C$15,MONTH(B285)&lt;=Setup!$C$16),OR(MONTH(B285)&gt;=Setup!$C$15,MONTH(B285)&lt;=Setup!$C$16)),IF(Setup!$C$15&lt;=Setup!$C$16,AND(MONTH(WORKDAY(B285,-(Setup!$C$13+Setup!$G$20),Setup!$C$39:$C$50))&gt;=Setup!$C$15,MONTH(WORKDAY(B285,-(Setup!$C$13+Setup!$G$20),Setup!$C$39:$C$50))&lt;=Setup!$C$16),OR(MONTH(WORKDAY(B285,-(Setup!$C$13+Setup!$G$20),Setup!$C$39:$C$50))&gt;=Setup!$C$15,MONTH(WORKDAY(B285,-(Setup!$C$13+Setup!$G$20),Setup!$C$39:$C$50))&lt;=Setup!$C$16))),WORKDAY(B285,-(Setup!$C$13+Setup!$G$20+Setup!$C$14),Setup!$C$39:$C$50),WORKDAY(B285,-(Setup!$C$13+Setup!$G$20),Setup!$C$39:$C$50))+(280*100+1)/10000000)))</f>
        <v/>
      </c>
      <c r="S285" t="str">
        <f>IF(C285="","",IF(C285&lt;Setup!$C$5-Setup!$C$6,"",IF(IF(ISNUMBER(Roster!$D285),Setup!$C$21&lt;=Roster!$D285,FALSE),"",IF(OR(IF(Setup!$C$15&lt;=Setup!$C$16,AND(MONTH(C285)&gt;=Setup!$C$15,MONTH(C285)&lt;=Setup!$C$16),OR(MONTH(C285)&gt;=Setup!$C$15,MONTH(C285)&lt;=Setup!$C$16)),IF(Setup!$C$15&lt;=Setup!$C$16,AND(MONTH(WORKDAY(C285,-(Setup!$C$13+Setup!$G$21),Setup!$C$39:$C$50))&gt;=Setup!$C$15,MONTH(WORKDAY(C285,-(Setup!$C$13+Setup!$G$21),Setup!$C$39:$C$50))&lt;=Setup!$C$16),OR(MONTH(WORKDAY(C285,-(Setup!$C$13+Setup!$G$21),Setup!$C$39:$C$50))&gt;=Setup!$C$15,MONTH(WORKDAY(C285,-(Setup!$C$13+Setup!$G$21),Setup!$C$39:$C$50))&lt;=Setup!$C$16))),WORKDAY(C285,-(Setup!$C$13+Setup!$G$21+Setup!$C$14),Setup!$C$39:$C$50),WORKDAY(C285,-(Setup!$C$13+Setup!$G$21),Setup!$C$39:$C$50))+(280*100+2)/10000000)))</f>
        <v/>
      </c>
      <c r="T285" t="str">
        <f>IF(D285="","",IF(D285&lt;Setup!$C$5-Setup!$C$6,"",IF(IF(ISNUMBER(Roster!$D285),Setup!$C$22&lt;=Roster!$D285,FALSE),"",IF(OR(IF(Setup!$C$15&lt;=Setup!$C$16,AND(MONTH(D285)&gt;=Setup!$C$15,MONTH(D285)&lt;=Setup!$C$16),OR(MONTH(D285)&gt;=Setup!$C$15,MONTH(D285)&lt;=Setup!$C$16)),IF(Setup!$C$15&lt;=Setup!$C$16,AND(MONTH(WORKDAY(D285,-(Setup!$C$13+Setup!$G$22),Setup!$C$39:$C$50))&gt;=Setup!$C$15,MONTH(WORKDAY(D285,-(Setup!$C$13+Setup!$G$22),Setup!$C$39:$C$50))&lt;=Setup!$C$16),OR(MONTH(WORKDAY(D285,-(Setup!$C$13+Setup!$G$22),Setup!$C$39:$C$50))&gt;=Setup!$C$15,MONTH(WORKDAY(D285,-(Setup!$C$13+Setup!$G$22),Setup!$C$39:$C$50))&lt;=Setup!$C$16))),WORKDAY(D285,-(Setup!$C$13+Setup!$G$22+Setup!$C$14),Setup!$C$39:$C$50),WORKDAY(D285,-(Setup!$C$13+Setup!$G$22),Setup!$C$39:$C$50))+(280*100+3)/10000000)))</f>
        <v/>
      </c>
      <c r="U285" t="str">
        <f>IF(E285="","",IF(E285&lt;Setup!$C$5-Setup!$C$6,"",IF(IF(ISNUMBER(Roster!$D285),Setup!$C$23&lt;=Roster!$D285,FALSE),"",IF(OR(IF(Setup!$C$15&lt;=Setup!$C$16,AND(MONTH(E285)&gt;=Setup!$C$15,MONTH(E285)&lt;=Setup!$C$16),OR(MONTH(E285)&gt;=Setup!$C$15,MONTH(E285)&lt;=Setup!$C$16)),IF(Setup!$C$15&lt;=Setup!$C$16,AND(MONTH(WORKDAY(E285,-(Setup!$C$13+Setup!$G$23),Setup!$C$39:$C$50))&gt;=Setup!$C$15,MONTH(WORKDAY(E285,-(Setup!$C$13+Setup!$G$23),Setup!$C$39:$C$50))&lt;=Setup!$C$16),OR(MONTH(WORKDAY(E285,-(Setup!$C$13+Setup!$G$23),Setup!$C$39:$C$50))&gt;=Setup!$C$15,MONTH(WORKDAY(E285,-(Setup!$C$13+Setup!$G$23),Setup!$C$39:$C$50))&lt;=Setup!$C$16))),WORKDAY(E285,-(Setup!$C$13+Setup!$G$23+Setup!$C$14),Setup!$C$39:$C$50),WORKDAY(E285,-(Setup!$C$13+Setup!$G$23),Setup!$C$39:$C$50))+(280*100+4)/10000000)))</f>
        <v/>
      </c>
      <c r="V285" t="str">
        <f>IF(F285="","",IF(F285&lt;Setup!$C$5-Setup!$C$6,"",IF(IF(ISNUMBER(Roster!$D285),Setup!$C$24&lt;=Roster!$D285,FALSE),"",IF(OR(IF(Setup!$C$15&lt;=Setup!$C$16,AND(MONTH(F285)&gt;=Setup!$C$15,MONTH(F285)&lt;=Setup!$C$16),OR(MONTH(F285)&gt;=Setup!$C$15,MONTH(F285)&lt;=Setup!$C$16)),IF(Setup!$C$15&lt;=Setup!$C$16,AND(MONTH(WORKDAY(F285,-(Setup!$C$13+Setup!$G$24),Setup!$C$39:$C$50))&gt;=Setup!$C$15,MONTH(WORKDAY(F285,-(Setup!$C$13+Setup!$G$24),Setup!$C$39:$C$50))&lt;=Setup!$C$16),OR(MONTH(WORKDAY(F285,-(Setup!$C$13+Setup!$G$24),Setup!$C$39:$C$50))&gt;=Setup!$C$15,MONTH(WORKDAY(F285,-(Setup!$C$13+Setup!$G$24),Setup!$C$39:$C$50))&lt;=Setup!$C$16))),WORKDAY(F285,-(Setup!$C$13+Setup!$G$24+Setup!$C$14),Setup!$C$39:$C$50),WORKDAY(F285,-(Setup!$C$13+Setup!$G$24),Setup!$C$39:$C$50))+(280*100+5)/10000000)))</f>
        <v/>
      </c>
      <c r="W285" t="str">
        <f>IF(G285="","",IF(G285&lt;Setup!$C$5-Setup!$C$6,"",IF(IF(ISNUMBER(Roster!$D285),Setup!$C$25&lt;=Roster!$D285,FALSE),"",IF(OR(IF(Setup!$C$15&lt;=Setup!$C$16,AND(MONTH(G285)&gt;=Setup!$C$15,MONTH(G285)&lt;=Setup!$C$16),OR(MONTH(G285)&gt;=Setup!$C$15,MONTH(G285)&lt;=Setup!$C$16)),IF(Setup!$C$15&lt;=Setup!$C$16,AND(MONTH(WORKDAY(G285,-(Setup!$C$13+Setup!$G$25),Setup!$C$39:$C$50))&gt;=Setup!$C$15,MONTH(WORKDAY(G285,-(Setup!$C$13+Setup!$G$25),Setup!$C$39:$C$50))&lt;=Setup!$C$16),OR(MONTH(WORKDAY(G285,-(Setup!$C$13+Setup!$G$25),Setup!$C$39:$C$50))&gt;=Setup!$C$15,MONTH(WORKDAY(G285,-(Setup!$C$13+Setup!$G$25),Setup!$C$39:$C$50))&lt;=Setup!$C$16))),WORKDAY(G285,-(Setup!$C$13+Setup!$G$25+Setup!$C$14),Setup!$C$39:$C$50),WORKDAY(G285,-(Setup!$C$13+Setup!$G$25),Setup!$C$39:$C$50))+(280*100+6)/10000000)))</f>
        <v/>
      </c>
      <c r="X285" t="str">
        <f>IF(H285="","",IF(H285&lt;Setup!$C$5-Setup!$C$6,"",IF(IF(ISNUMBER(Roster!$D285),Setup!$C$26&lt;=Roster!$D285,FALSE),"",IF(OR(IF(Setup!$C$15&lt;=Setup!$C$16,AND(MONTH(H285)&gt;=Setup!$C$15,MONTH(H285)&lt;=Setup!$C$16),OR(MONTH(H285)&gt;=Setup!$C$15,MONTH(H285)&lt;=Setup!$C$16)),IF(Setup!$C$15&lt;=Setup!$C$16,AND(MONTH(WORKDAY(H285,-(Setup!$C$13+Setup!$G$26),Setup!$C$39:$C$50))&gt;=Setup!$C$15,MONTH(WORKDAY(H285,-(Setup!$C$13+Setup!$G$26),Setup!$C$39:$C$50))&lt;=Setup!$C$16),OR(MONTH(WORKDAY(H285,-(Setup!$C$13+Setup!$G$26),Setup!$C$39:$C$50))&gt;=Setup!$C$15,MONTH(WORKDAY(H285,-(Setup!$C$13+Setup!$G$26),Setup!$C$39:$C$50))&lt;=Setup!$C$16))),WORKDAY(H285,-(Setup!$C$13+Setup!$G$26+Setup!$C$14),Setup!$C$39:$C$50),WORKDAY(H285,-(Setup!$C$13+Setup!$G$26),Setup!$C$39:$C$50))+(280*100+7)/10000000)))</f>
        <v/>
      </c>
      <c r="Y285" t="str">
        <f>IF(I285="","",IF(I285&lt;Setup!$C$5-Setup!$C$6,"",IF(IF(ISNUMBER(Roster!$D285),Setup!$C$27&lt;=Roster!$D285,FALSE),"",IF(OR(IF(Setup!$C$15&lt;=Setup!$C$16,AND(MONTH(I285)&gt;=Setup!$C$15,MONTH(I285)&lt;=Setup!$C$16),OR(MONTH(I285)&gt;=Setup!$C$15,MONTH(I285)&lt;=Setup!$C$16)),IF(Setup!$C$15&lt;=Setup!$C$16,AND(MONTH(WORKDAY(I285,-(Setup!$C$13+Setup!$G$27),Setup!$C$39:$C$50))&gt;=Setup!$C$15,MONTH(WORKDAY(I285,-(Setup!$C$13+Setup!$G$27),Setup!$C$39:$C$50))&lt;=Setup!$C$16),OR(MONTH(WORKDAY(I285,-(Setup!$C$13+Setup!$G$27),Setup!$C$39:$C$50))&gt;=Setup!$C$15,MONTH(WORKDAY(I285,-(Setup!$C$13+Setup!$G$27),Setup!$C$39:$C$50))&lt;=Setup!$C$16))),WORKDAY(I285,-(Setup!$C$13+Setup!$G$27+Setup!$C$14),Setup!$C$39:$C$50),WORKDAY(I285,-(Setup!$C$13+Setup!$G$27),Setup!$C$39:$C$50))+(280*100+8)/10000000)))</f>
        <v/>
      </c>
      <c r="Z285" t="str">
        <f>IF(J285="","",IF(J285&lt;Setup!$C$5-Setup!$C$6,"",IF(IF(ISNUMBER(Roster!$D285),Setup!$C$28&lt;=Roster!$D285,FALSE),"",IF(OR(IF(Setup!$C$15&lt;=Setup!$C$16,AND(MONTH(J285)&gt;=Setup!$C$15,MONTH(J285)&lt;=Setup!$C$16),OR(MONTH(J285)&gt;=Setup!$C$15,MONTH(J285)&lt;=Setup!$C$16)),IF(Setup!$C$15&lt;=Setup!$C$16,AND(MONTH(WORKDAY(J285,-(Setup!$C$13+Setup!$G$28),Setup!$C$39:$C$50))&gt;=Setup!$C$15,MONTH(WORKDAY(J285,-(Setup!$C$13+Setup!$G$28),Setup!$C$39:$C$50))&lt;=Setup!$C$16),OR(MONTH(WORKDAY(J285,-(Setup!$C$13+Setup!$G$28),Setup!$C$39:$C$50))&gt;=Setup!$C$15,MONTH(WORKDAY(J285,-(Setup!$C$13+Setup!$G$28),Setup!$C$39:$C$50))&lt;=Setup!$C$16))),WORKDAY(J285,-(Setup!$C$13+Setup!$G$28+Setup!$C$14),Setup!$C$39:$C$50),WORKDAY(J285,-(Setup!$C$13+Setup!$G$28),Setup!$C$39:$C$50))+(280*100+9)/10000000)))</f>
        <v/>
      </c>
      <c r="AA285" t="str">
        <f>IF(K285="","",IF(K285&lt;Setup!$C$5-Setup!$C$6,"",IF(IF(ISNUMBER(Roster!$D285),Setup!$C$29&lt;=Roster!$D285,FALSE),"",IF(OR(IF(Setup!$C$15&lt;=Setup!$C$16,AND(MONTH(K285)&gt;=Setup!$C$15,MONTH(K285)&lt;=Setup!$C$16),OR(MONTH(K285)&gt;=Setup!$C$15,MONTH(K285)&lt;=Setup!$C$16)),IF(Setup!$C$15&lt;=Setup!$C$16,AND(MONTH(WORKDAY(K285,-(Setup!$C$13+Setup!$G$29),Setup!$C$39:$C$50))&gt;=Setup!$C$15,MONTH(WORKDAY(K285,-(Setup!$C$13+Setup!$G$29),Setup!$C$39:$C$50))&lt;=Setup!$C$16),OR(MONTH(WORKDAY(K285,-(Setup!$C$13+Setup!$G$29),Setup!$C$39:$C$50))&gt;=Setup!$C$15,MONTH(WORKDAY(K285,-(Setup!$C$13+Setup!$G$29),Setup!$C$39:$C$50))&lt;=Setup!$C$16))),WORKDAY(K285,-(Setup!$C$13+Setup!$G$29+Setup!$C$14),Setup!$C$39:$C$50),WORKDAY(K285,-(Setup!$C$13+Setup!$G$29),Setup!$C$39:$C$50))+(280*100+10)/10000000)))</f>
        <v/>
      </c>
      <c r="AB285" t="str">
        <f>IF(L285="","",IF(L285&lt;Setup!$C$5-Setup!$C$6,"",IF(IF(ISNUMBER(Roster!$D285),Setup!$C$30&lt;=Roster!$D285,FALSE),"",IF(OR(IF(Setup!$C$15&lt;=Setup!$C$16,AND(MONTH(L285)&gt;=Setup!$C$15,MONTH(L285)&lt;=Setup!$C$16),OR(MONTH(L285)&gt;=Setup!$C$15,MONTH(L285)&lt;=Setup!$C$16)),IF(Setup!$C$15&lt;=Setup!$C$16,AND(MONTH(WORKDAY(L285,-(Setup!$C$13+Setup!$G$30),Setup!$C$39:$C$50))&gt;=Setup!$C$15,MONTH(WORKDAY(L285,-(Setup!$C$13+Setup!$G$30),Setup!$C$39:$C$50))&lt;=Setup!$C$16),OR(MONTH(WORKDAY(L285,-(Setup!$C$13+Setup!$G$30),Setup!$C$39:$C$50))&gt;=Setup!$C$15,MONTH(WORKDAY(L285,-(Setup!$C$13+Setup!$G$30),Setup!$C$39:$C$50))&lt;=Setup!$C$16))),WORKDAY(L285,-(Setup!$C$13+Setup!$G$30+Setup!$C$14),Setup!$C$39:$C$50),WORKDAY(L285,-(Setup!$C$13+Setup!$G$30),Setup!$C$39:$C$50))+(280*100+11)/10000000)))</f>
        <v/>
      </c>
      <c r="AC285" t="str">
        <f>IF(M285="","",IF(M285&lt;Setup!$C$5-Setup!$C$6,"",IF(IF(ISNUMBER(Roster!$D285),Setup!$C$31&lt;=Roster!$D285,FALSE),"",IF(OR(IF(Setup!$C$15&lt;=Setup!$C$16,AND(MONTH(M285)&gt;=Setup!$C$15,MONTH(M285)&lt;=Setup!$C$16),OR(MONTH(M285)&gt;=Setup!$C$15,MONTH(M285)&lt;=Setup!$C$16)),IF(Setup!$C$15&lt;=Setup!$C$16,AND(MONTH(WORKDAY(M285,-(Setup!$C$13+Setup!$G$31),Setup!$C$39:$C$50))&gt;=Setup!$C$15,MONTH(WORKDAY(M285,-(Setup!$C$13+Setup!$G$31),Setup!$C$39:$C$50))&lt;=Setup!$C$16),OR(MONTH(WORKDAY(M285,-(Setup!$C$13+Setup!$G$31),Setup!$C$39:$C$50))&gt;=Setup!$C$15,MONTH(WORKDAY(M285,-(Setup!$C$13+Setup!$G$31),Setup!$C$39:$C$50))&lt;=Setup!$C$16))),WORKDAY(M285,-(Setup!$C$13+Setup!$G$31+Setup!$C$14),Setup!$C$39:$C$50),WORKDAY(M285,-(Setup!$C$13+Setup!$G$31),Setup!$C$39:$C$50))+(280*100+12)/10000000)))</f>
        <v/>
      </c>
      <c r="AD285" t="str">
        <f>IF(N285="","",IF(N285&lt;Setup!$C$5-Setup!$C$6,"",IF(IF(ISNUMBER(Roster!$D285),Setup!$C$32&lt;=Roster!$D285,FALSE),"",IF(OR(IF(Setup!$C$15&lt;=Setup!$C$16,AND(MONTH(N285)&gt;=Setup!$C$15,MONTH(N285)&lt;=Setup!$C$16),OR(MONTH(N285)&gt;=Setup!$C$15,MONTH(N285)&lt;=Setup!$C$16)),IF(Setup!$C$15&lt;=Setup!$C$16,AND(MONTH(WORKDAY(N285,-(Setup!$C$13+Setup!$G$32),Setup!$C$39:$C$50))&gt;=Setup!$C$15,MONTH(WORKDAY(N285,-(Setup!$C$13+Setup!$G$32),Setup!$C$39:$C$50))&lt;=Setup!$C$16),OR(MONTH(WORKDAY(N285,-(Setup!$C$13+Setup!$G$32),Setup!$C$39:$C$50))&gt;=Setup!$C$15,MONTH(WORKDAY(N285,-(Setup!$C$13+Setup!$G$32),Setup!$C$39:$C$50))&lt;=Setup!$C$16))),WORKDAY(N285,-(Setup!$C$13+Setup!$G$32+Setup!$C$14),Setup!$C$39:$C$50),WORKDAY(N285,-(Setup!$C$13+Setup!$G$32),Setup!$C$39:$C$50))+(280*100+13)/10000000)))</f>
        <v/>
      </c>
      <c r="AE285" t="str">
        <f>IF(O285="","",IF(O285&lt;Setup!$C$5-Setup!$C$6,"",IF(IF(ISNUMBER(Roster!$D285),Setup!$C$33&lt;=Roster!$D285,FALSE),"",IF(OR(IF(Setup!$C$15&lt;=Setup!$C$16,AND(MONTH(O285)&gt;=Setup!$C$15,MONTH(O285)&lt;=Setup!$C$16),OR(MONTH(O285)&gt;=Setup!$C$15,MONTH(O285)&lt;=Setup!$C$16)),IF(Setup!$C$15&lt;=Setup!$C$16,AND(MONTH(WORKDAY(O285,-(Setup!$C$13+Setup!$G$33),Setup!$C$39:$C$50))&gt;=Setup!$C$15,MONTH(WORKDAY(O285,-(Setup!$C$13+Setup!$G$33),Setup!$C$39:$C$50))&lt;=Setup!$C$16),OR(MONTH(WORKDAY(O285,-(Setup!$C$13+Setup!$G$33),Setup!$C$39:$C$50))&gt;=Setup!$C$15,MONTH(WORKDAY(O285,-(Setup!$C$13+Setup!$G$33),Setup!$C$39:$C$50))&lt;=Setup!$C$16))),WORKDAY(O285,-(Setup!$C$13+Setup!$G$33+Setup!$C$14),Setup!$C$39:$C$50),WORKDAY(O285,-(Setup!$C$13+Setup!$G$33),Setup!$C$39:$C$50))+(280*100+14)/10000000)))</f>
        <v/>
      </c>
      <c r="AF285" t="str">
        <f>IF(P285="","",IF(P285&lt;Setup!$C$5-Setup!$C$6,"",IF(IF(ISNUMBER(Roster!$D285),Setup!$C$34&lt;=Roster!$D285,FALSE),"",IF(OR(IF(Setup!$C$15&lt;=Setup!$C$16,AND(MONTH(P285)&gt;=Setup!$C$15,MONTH(P285)&lt;=Setup!$C$16),OR(MONTH(P285)&gt;=Setup!$C$15,MONTH(P285)&lt;=Setup!$C$16)),IF(Setup!$C$15&lt;=Setup!$C$16,AND(MONTH(WORKDAY(P285,-(Setup!$C$13+Setup!$G$34),Setup!$C$39:$C$50))&gt;=Setup!$C$15,MONTH(WORKDAY(P285,-(Setup!$C$13+Setup!$G$34),Setup!$C$39:$C$50))&lt;=Setup!$C$16),OR(MONTH(WORKDAY(P285,-(Setup!$C$13+Setup!$G$34),Setup!$C$39:$C$50))&gt;=Setup!$C$15,MONTH(WORKDAY(P285,-(Setup!$C$13+Setup!$G$34),Setup!$C$39:$C$50))&lt;=Setup!$C$16))),WORKDAY(P285,-(Setup!$C$13+Setup!$G$34+Setup!$C$14),Setup!$C$39:$C$50),WORKDAY(P285,-(Setup!$C$13+Setup!$G$34),Setup!$C$39:$C$50))+(280*100+15)/10000000)))</f>
        <v/>
      </c>
      <c r="AH285" t="str">
        <f t="shared" si="33"/>
        <v/>
      </c>
      <c r="AI285" t="str">
        <f t="shared" si="34"/>
        <v/>
      </c>
      <c r="AK285" t="str">
        <f ca="1">IF(280&gt;$AK$2,"",SMALL($R$6:$AF$505,280))</f>
        <v/>
      </c>
      <c r="AL285" t="str">
        <f t="shared" ca="1" si="35"/>
        <v/>
      </c>
      <c r="AM285" t="str">
        <f t="shared" ca="1" si="36"/>
        <v/>
      </c>
      <c r="AN285" t="str">
        <f t="shared" ca="1" si="37"/>
        <v/>
      </c>
      <c r="AP285" t="str">
        <f>IF(ISNUMBER(Roster!$B285),MAX(1,YEAR(Setup!$C$5)-YEAR(Roster!$B285)+IF(EDATE(Roster!$B285,12*(YEAR(Setup!$C$5)-YEAR(Roster!$B285)))&lt;Setup!$C$5,1,0)),"")</f>
        <v/>
      </c>
      <c r="AQ285" s="32" t="str">
        <f>IF(AP285="","",EDATE(Roster!$B285,12*AP285))</f>
        <v/>
      </c>
      <c r="AR285" t="str">
        <f>IF(AQ285="","",IF(AQ285&lt;DATE(YEAR(Setup!$C$5)+1,MONTH(Setup!$C$5),DAY(Setup!$C$5)),AQ285+280/1000,""))</f>
        <v/>
      </c>
      <c r="AS285" t="str">
        <f t="shared" si="38"/>
        <v/>
      </c>
      <c r="AT285" t="str">
        <f>IF(AS285="","",IF(ISNUMBER(Roster!$D285),Roster!$D285&gt;=AP285,FALSE))</f>
        <v/>
      </c>
      <c r="AU285" t="str">
        <f t="shared" si="39"/>
        <v/>
      </c>
      <c r="AV285" t="str">
        <f ca="1">IF(280&gt;$AV$2,"",SMALL($AR$6:$AR$505,280))</f>
        <v/>
      </c>
      <c r="AW285" t="str">
        <f t="shared" ca="1" si="40"/>
        <v/>
      </c>
    </row>
    <row r="286" spans="2:49" x14ac:dyDescent="0.2">
      <c r="B286" s="32" t="str">
        <f>IF(AND(ISNUMBER(Roster!$B286),Setup!$B$20="Yes",ISNUMBER(Setup!$C$20)),EDATE(Roster!$B286,12*Setup!$C$20),"")</f>
        <v/>
      </c>
      <c r="C286" s="32" t="str">
        <f>IF(AND(ISNUMBER(Roster!$B286),Setup!$B$21="Yes",ISNUMBER(Setup!$C$21)),EDATE(Roster!$B286,12*Setup!$C$21),"")</f>
        <v/>
      </c>
      <c r="D286" s="32" t="str">
        <f>IF(AND(ISNUMBER(Roster!$B286),Setup!$B$22="Yes",ISNUMBER(Setup!$C$22)),EDATE(Roster!$B286,12*Setup!$C$22),"")</f>
        <v/>
      </c>
      <c r="E286" s="32" t="str">
        <f>IF(AND(ISNUMBER(Roster!$B286),Setup!$B$23="Yes",ISNUMBER(Setup!$C$23)),EDATE(Roster!$B286,12*Setup!$C$23),"")</f>
        <v/>
      </c>
      <c r="F286" s="32" t="str">
        <f>IF(AND(ISNUMBER(Roster!$B286),Setup!$B$24="Yes",ISNUMBER(Setup!$C$24)),EDATE(Roster!$B286,12*Setup!$C$24),"")</f>
        <v/>
      </c>
      <c r="G286" s="32" t="str">
        <f>IF(AND(ISNUMBER(Roster!$B286),Setup!$B$25="Yes",ISNUMBER(Setup!$C$25)),EDATE(Roster!$B286,12*Setup!$C$25),"")</f>
        <v/>
      </c>
      <c r="H286" s="32" t="str">
        <f>IF(AND(ISNUMBER(Roster!$B286),Setup!$B$26="Yes",ISNUMBER(Setup!$C$26)),EDATE(Roster!$B286,12*Setup!$C$26),"")</f>
        <v/>
      </c>
      <c r="I286" s="32" t="str">
        <f>IF(AND(ISNUMBER(Roster!$B286),Setup!$B$27="Yes",ISNUMBER(Setup!$C$27)),EDATE(Roster!$B286,12*Setup!$C$27),"")</f>
        <v/>
      </c>
      <c r="J286" s="32" t="str">
        <f>IF(AND(ISNUMBER(Roster!$B286),Setup!$B$28="Yes",ISNUMBER(Setup!$C$28)),EDATE(Roster!$B286,12*Setup!$C$28),"")</f>
        <v/>
      </c>
      <c r="K286" s="32" t="str">
        <f>IF(AND(ISNUMBER(Roster!$B286),Setup!$B$29="Yes",ISNUMBER(Setup!$C$29)),EDATE(Roster!$B286,12*Setup!$C$29),"")</f>
        <v/>
      </c>
      <c r="L286" s="32" t="str">
        <f>IF(AND(ISNUMBER(Roster!$B286),Setup!$B$30="Yes",ISNUMBER(Setup!$C$30)),EDATE(Roster!$B286,12*Setup!$C$30),"")</f>
        <v/>
      </c>
      <c r="M286" s="32" t="str">
        <f>IF(AND(ISNUMBER(Roster!$B286),Setup!$B$31="Yes",ISNUMBER(Setup!$C$31)),EDATE(Roster!$B286,12*Setup!$C$31),"")</f>
        <v/>
      </c>
      <c r="N286" s="32" t="str">
        <f>IF(AND(ISNUMBER(Roster!$B286),Setup!$B$32="Yes",ISNUMBER(Setup!$C$32)),EDATE(Roster!$B286,12*Setup!$C$32),"")</f>
        <v/>
      </c>
      <c r="O286" s="32" t="str">
        <f>IF(AND(ISNUMBER(Roster!$B286),Setup!$B$33="Yes",ISNUMBER(Setup!$C$33)),EDATE(Roster!$B286,12*Setup!$C$33),"")</f>
        <v/>
      </c>
      <c r="P286" s="32" t="str">
        <f>IF(AND(ISNUMBER(Roster!$B286),Setup!$B$34="Yes",ISNUMBER(Setup!$C$34)),EDATE(Roster!$B286,12*Setup!$C$34),"")</f>
        <v/>
      </c>
      <c r="R286" t="str">
        <f>IF(B286="","",IF(B286&lt;Setup!$C$5-Setup!$C$6,"",IF(IF(ISNUMBER(Roster!$D286),Setup!$C$20&lt;=Roster!$D286,FALSE),"",IF(OR(IF(Setup!$C$15&lt;=Setup!$C$16,AND(MONTH(B286)&gt;=Setup!$C$15,MONTH(B286)&lt;=Setup!$C$16),OR(MONTH(B286)&gt;=Setup!$C$15,MONTH(B286)&lt;=Setup!$C$16)),IF(Setup!$C$15&lt;=Setup!$C$16,AND(MONTH(WORKDAY(B286,-(Setup!$C$13+Setup!$G$20),Setup!$C$39:$C$50))&gt;=Setup!$C$15,MONTH(WORKDAY(B286,-(Setup!$C$13+Setup!$G$20),Setup!$C$39:$C$50))&lt;=Setup!$C$16),OR(MONTH(WORKDAY(B286,-(Setup!$C$13+Setup!$G$20),Setup!$C$39:$C$50))&gt;=Setup!$C$15,MONTH(WORKDAY(B286,-(Setup!$C$13+Setup!$G$20),Setup!$C$39:$C$50))&lt;=Setup!$C$16))),WORKDAY(B286,-(Setup!$C$13+Setup!$G$20+Setup!$C$14),Setup!$C$39:$C$50),WORKDAY(B286,-(Setup!$C$13+Setup!$G$20),Setup!$C$39:$C$50))+(281*100+1)/10000000)))</f>
        <v/>
      </c>
      <c r="S286" t="str">
        <f>IF(C286="","",IF(C286&lt;Setup!$C$5-Setup!$C$6,"",IF(IF(ISNUMBER(Roster!$D286),Setup!$C$21&lt;=Roster!$D286,FALSE),"",IF(OR(IF(Setup!$C$15&lt;=Setup!$C$16,AND(MONTH(C286)&gt;=Setup!$C$15,MONTH(C286)&lt;=Setup!$C$16),OR(MONTH(C286)&gt;=Setup!$C$15,MONTH(C286)&lt;=Setup!$C$16)),IF(Setup!$C$15&lt;=Setup!$C$16,AND(MONTH(WORKDAY(C286,-(Setup!$C$13+Setup!$G$21),Setup!$C$39:$C$50))&gt;=Setup!$C$15,MONTH(WORKDAY(C286,-(Setup!$C$13+Setup!$G$21),Setup!$C$39:$C$50))&lt;=Setup!$C$16),OR(MONTH(WORKDAY(C286,-(Setup!$C$13+Setup!$G$21),Setup!$C$39:$C$50))&gt;=Setup!$C$15,MONTH(WORKDAY(C286,-(Setup!$C$13+Setup!$G$21),Setup!$C$39:$C$50))&lt;=Setup!$C$16))),WORKDAY(C286,-(Setup!$C$13+Setup!$G$21+Setup!$C$14),Setup!$C$39:$C$50),WORKDAY(C286,-(Setup!$C$13+Setup!$G$21),Setup!$C$39:$C$50))+(281*100+2)/10000000)))</f>
        <v/>
      </c>
      <c r="T286" t="str">
        <f>IF(D286="","",IF(D286&lt;Setup!$C$5-Setup!$C$6,"",IF(IF(ISNUMBER(Roster!$D286),Setup!$C$22&lt;=Roster!$D286,FALSE),"",IF(OR(IF(Setup!$C$15&lt;=Setup!$C$16,AND(MONTH(D286)&gt;=Setup!$C$15,MONTH(D286)&lt;=Setup!$C$16),OR(MONTH(D286)&gt;=Setup!$C$15,MONTH(D286)&lt;=Setup!$C$16)),IF(Setup!$C$15&lt;=Setup!$C$16,AND(MONTH(WORKDAY(D286,-(Setup!$C$13+Setup!$G$22),Setup!$C$39:$C$50))&gt;=Setup!$C$15,MONTH(WORKDAY(D286,-(Setup!$C$13+Setup!$G$22),Setup!$C$39:$C$50))&lt;=Setup!$C$16),OR(MONTH(WORKDAY(D286,-(Setup!$C$13+Setup!$G$22),Setup!$C$39:$C$50))&gt;=Setup!$C$15,MONTH(WORKDAY(D286,-(Setup!$C$13+Setup!$G$22),Setup!$C$39:$C$50))&lt;=Setup!$C$16))),WORKDAY(D286,-(Setup!$C$13+Setup!$G$22+Setup!$C$14),Setup!$C$39:$C$50),WORKDAY(D286,-(Setup!$C$13+Setup!$G$22),Setup!$C$39:$C$50))+(281*100+3)/10000000)))</f>
        <v/>
      </c>
      <c r="U286" t="str">
        <f>IF(E286="","",IF(E286&lt;Setup!$C$5-Setup!$C$6,"",IF(IF(ISNUMBER(Roster!$D286),Setup!$C$23&lt;=Roster!$D286,FALSE),"",IF(OR(IF(Setup!$C$15&lt;=Setup!$C$16,AND(MONTH(E286)&gt;=Setup!$C$15,MONTH(E286)&lt;=Setup!$C$16),OR(MONTH(E286)&gt;=Setup!$C$15,MONTH(E286)&lt;=Setup!$C$16)),IF(Setup!$C$15&lt;=Setup!$C$16,AND(MONTH(WORKDAY(E286,-(Setup!$C$13+Setup!$G$23),Setup!$C$39:$C$50))&gt;=Setup!$C$15,MONTH(WORKDAY(E286,-(Setup!$C$13+Setup!$G$23),Setup!$C$39:$C$50))&lt;=Setup!$C$16),OR(MONTH(WORKDAY(E286,-(Setup!$C$13+Setup!$G$23),Setup!$C$39:$C$50))&gt;=Setup!$C$15,MONTH(WORKDAY(E286,-(Setup!$C$13+Setup!$G$23),Setup!$C$39:$C$50))&lt;=Setup!$C$16))),WORKDAY(E286,-(Setup!$C$13+Setup!$G$23+Setup!$C$14),Setup!$C$39:$C$50),WORKDAY(E286,-(Setup!$C$13+Setup!$G$23),Setup!$C$39:$C$50))+(281*100+4)/10000000)))</f>
        <v/>
      </c>
      <c r="V286" t="str">
        <f>IF(F286="","",IF(F286&lt;Setup!$C$5-Setup!$C$6,"",IF(IF(ISNUMBER(Roster!$D286),Setup!$C$24&lt;=Roster!$D286,FALSE),"",IF(OR(IF(Setup!$C$15&lt;=Setup!$C$16,AND(MONTH(F286)&gt;=Setup!$C$15,MONTH(F286)&lt;=Setup!$C$16),OR(MONTH(F286)&gt;=Setup!$C$15,MONTH(F286)&lt;=Setup!$C$16)),IF(Setup!$C$15&lt;=Setup!$C$16,AND(MONTH(WORKDAY(F286,-(Setup!$C$13+Setup!$G$24),Setup!$C$39:$C$50))&gt;=Setup!$C$15,MONTH(WORKDAY(F286,-(Setup!$C$13+Setup!$G$24),Setup!$C$39:$C$50))&lt;=Setup!$C$16),OR(MONTH(WORKDAY(F286,-(Setup!$C$13+Setup!$G$24),Setup!$C$39:$C$50))&gt;=Setup!$C$15,MONTH(WORKDAY(F286,-(Setup!$C$13+Setup!$G$24),Setup!$C$39:$C$50))&lt;=Setup!$C$16))),WORKDAY(F286,-(Setup!$C$13+Setup!$G$24+Setup!$C$14),Setup!$C$39:$C$50),WORKDAY(F286,-(Setup!$C$13+Setup!$G$24),Setup!$C$39:$C$50))+(281*100+5)/10000000)))</f>
        <v/>
      </c>
      <c r="W286" t="str">
        <f>IF(G286="","",IF(G286&lt;Setup!$C$5-Setup!$C$6,"",IF(IF(ISNUMBER(Roster!$D286),Setup!$C$25&lt;=Roster!$D286,FALSE),"",IF(OR(IF(Setup!$C$15&lt;=Setup!$C$16,AND(MONTH(G286)&gt;=Setup!$C$15,MONTH(G286)&lt;=Setup!$C$16),OR(MONTH(G286)&gt;=Setup!$C$15,MONTH(G286)&lt;=Setup!$C$16)),IF(Setup!$C$15&lt;=Setup!$C$16,AND(MONTH(WORKDAY(G286,-(Setup!$C$13+Setup!$G$25),Setup!$C$39:$C$50))&gt;=Setup!$C$15,MONTH(WORKDAY(G286,-(Setup!$C$13+Setup!$G$25),Setup!$C$39:$C$50))&lt;=Setup!$C$16),OR(MONTH(WORKDAY(G286,-(Setup!$C$13+Setup!$G$25),Setup!$C$39:$C$50))&gt;=Setup!$C$15,MONTH(WORKDAY(G286,-(Setup!$C$13+Setup!$G$25),Setup!$C$39:$C$50))&lt;=Setup!$C$16))),WORKDAY(G286,-(Setup!$C$13+Setup!$G$25+Setup!$C$14),Setup!$C$39:$C$50),WORKDAY(G286,-(Setup!$C$13+Setup!$G$25),Setup!$C$39:$C$50))+(281*100+6)/10000000)))</f>
        <v/>
      </c>
      <c r="X286" t="str">
        <f>IF(H286="","",IF(H286&lt;Setup!$C$5-Setup!$C$6,"",IF(IF(ISNUMBER(Roster!$D286),Setup!$C$26&lt;=Roster!$D286,FALSE),"",IF(OR(IF(Setup!$C$15&lt;=Setup!$C$16,AND(MONTH(H286)&gt;=Setup!$C$15,MONTH(H286)&lt;=Setup!$C$16),OR(MONTH(H286)&gt;=Setup!$C$15,MONTH(H286)&lt;=Setup!$C$16)),IF(Setup!$C$15&lt;=Setup!$C$16,AND(MONTH(WORKDAY(H286,-(Setup!$C$13+Setup!$G$26),Setup!$C$39:$C$50))&gt;=Setup!$C$15,MONTH(WORKDAY(H286,-(Setup!$C$13+Setup!$G$26),Setup!$C$39:$C$50))&lt;=Setup!$C$16),OR(MONTH(WORKDAY(H286,-(Setup!$C$13+Setup!$G$26),Setup!$C$39:$C$50))&gt;=Setup!$C$15,MONTH(WORKDAY(H286,-(Setup!$C$13+Setup!$G$26),Setup!$C$39:$C$50))&lt;=Setup!$C$16))),WORKDAY(H286,-(Setup!$C$13+Setup!$G$26+Setup!$C$14),Setup!$C$39:$C$50),WORKDAY(H286,-(Setup!$C$13+Setup!$G$26),Setup!$C$39:$C$50))+(281*100+7)/10000000)))</f>
        <v/>
      </c>
      <c r="Y286" t="str">
        <f>IF(I286="","",IF(I286&lt;Setup!$C$5-Setup!$C$6,"",IF(IF(ISNUMBER(Roster!$D286),Setup!$C$27&lt;=Roster!$D286,FALSE),"",IF(OR(IF(Setup!$C$15&lt;=Setup!$C$16,AND(MONTH(I286)&gt;=Setup!$C$15,MONTH(I286)&lt;=Setup!$C$16),OR(MONTH(I286)&gt;=Setup!$C$15,MONTH(I286)&lt;=Setup!$C$16)),IF(Setup!$C$15&lt;=Setup!$C$16,AND(MONTH(WORKDAY(I286,-(Setup!$C$13+Setup!$G$27),Setup!$C$39:$C$50))&gt;=Setup!$C$15,MONTH(WORKDAY(I286,-(Setup!$C$13+Setup!$G$27),Setup!$C$39:$C$50))&lt;=Setup!$C$16),OR(MONTH(WORKDAY(I286,-(Setup!$C$13+Setup!$G$27),Setup!$C$39:$C$50))&gt;=Setup!$C$15,MONTH(WORKDAY(I286,-(Setup!$C$13+Setup!$G$27),Setup!$C$39:$C$50))&lt;=Setup!$C$16))),WORKDAY(I286,-(Setup!$C$13+Setup!$G$27+Setup!$C$14),Setup!$C$39:$C$50),WORKDAY(I286,-(Setup!$C$13+Setup!$G$27),Setup!$C$39:$C$50))+(281*100+8)/10000000)))</f>
        <v/>
      </c>
      <c r="Z286" t="str">
        <f>IF(J286="","",IF(J286&lt;Setup!$C$5-Setup!$C$6,"",IF(IF(ISNUMBER(Roster!$D286),Setup!$C$28&lt;=Roster!$D286,FALSE),"",IF(OR(IF(Setup!$C$15&lt;=Setup!$C$16,AND(MONTH(J286)&gt;=Setup!$C$15,MONTH(J286)&lt;=Setup!$C$16),OR(MONTH(J286)&gt;=Setup!$C$15,MONTH(J286)&lt;=Setup!$C$16)),IF(Setup!$C$15&lt;=Setup!$C$16,AND(MONTH(WORKDAY(J286,-(Setup!$C$13+Setup!$G$28),Setup!$C$39:$C$50))&gt;=Setup!$C$15,MONTH(WORKDAY(J286,-(Setup!$C$13+Setup!$G$28),Setup!$C$39:$C$50))&lt;=Setup!$C$16),OR(MONTH(WORKDAY(J286,-(Setup!$C$13+Setup!$G$28),Setup!$C$39:$C$50))&gt;=Setup!$C$15,MONTH(WORKDAY(J286,-(Setup!$C$13+Setup!$G$28),Setup!$C$39:$C$50))&lt;=Setup!$C$16))),WORKDAY(J286,-(Setup!$C$13+Setup!$G$28+Setup!$C$14),Setup!$C$39:$C$50),WORKDAY(J286,-(Setup!$C$13+Setup!$G$28),Setup!$C$39:$C$50))+(281*100+9)/10000000)))</f>
        <v/>
      </c>
      <c r="AA286" t="str">
        <f>IF(K286="","",IF(K286&lt;Setup!$C$5-Setup!$C$6,"",IF(IF(ISNUMBER(Roster!$D286),Setup!$C$29&lt;=Roster!$D286,FALSE),"",IF(OR(IF(Setup!$C$15&lt;=Setup!$C$16,AND(MONTH(K286)&gt;=Setup!$C$15,MONTH(K286)&lt;=Setup!$C$16),OR(MONTH(K286)&gt;=Setup!$C$15,MONTH(K286)&lt;=Setup!$C$16)),IF(Setup!$C$15&lt;=Setup!$C$16,AND(MONTH(WORKDAY(K286,-(Setup!$C$13+Setup!$G$29),Setup!$C$39:$C$50))&gt;=Setup!$C$15,MONTH(WORKDAY(K286,-(Setup!$C$13+Setup!$G$29),Setup!$C$39:$C$50))&lt;=Setup!$C$16),OR(MONTH(WORKDAY(K286,-(Setup!$C$13+Setup!$G$29),Setup!$C$39:$C$50))&gt;=Setup!$C$15,MONTH(WORKDAY(K286,-(Setup!$C$13+Setup!$G$29),Setup!$C$39:$C$50))&lt;=Setup!$C$16))),WORKDAY(K286,-(Setup!$C$13+Setup!$G$29+Setup!$C$14),Setup!$C$39:$C$50),WORKDAY(K286,-(Setup!$C$13+Setup!$G$29),Setup!$C$39:$C$50))+(281*100+10)/10000000)))</f>
        <v/>
      </c>
      <c r="AB286" t="str">
        <f>IF(L286="","",IF(L286&lt;Setup!$C$5-Setup!$C$6,"",IF(IF(ISNUMBER(Roster!$D286),Setup!$C$30&lt;=Roster!$D286,FALSE),"",IF(OR(IF(Setup!$C$15&lt;=Setup!$C$16,AND(MONTH(L286)&gt;=Setup!$C$15,MONTH(L286)&lt;=Setup!$C$16),OR(MONTH(L286)&gt;=Setup!$C$15,MONTH(L286)&lt;=Setup!$C$16)),IF(Setup!$C$15&lt;=Setup!$C$16,AND(MONTH(WORKDAY(L286,-(Setup!$C$13+Setup!$G$30),Setup!$C$39:$C$50))&gt;=Setup!$C$15,MONTH(WORKDAY(L286,-(Setup!$C$13+Setup!$G$30),Setup!$C$39:$C$50))&lt;=Setup!$C$16),OR(MONTH(WORKDAY(L286,-(Setup!$C$13+Setup!$G$30),Setup!$C$39:$C$50))&gt;=Setup!$C$15,MONTH(WORKDAY(L286,-(Setup!$C$13+Setup!$G$30),Setup!$C$39:$C$50))&lt;=Setup!$C$16))),WORKDAY(L286,-(Setup!$C$13+Setup!$G$30+Setup!$C$14),Setup!$C$39:$C$50),WORKDAY(L286,-(Setup!$C$13+Setup!$G$30),Setup!$C$39:$C$50))+(281*100+11)/10000000)))</f>
        <v/>
      </c>
      <c r="AC286" t="str">
        <f>IF(M286="","",IF(M286&lt;Setup!$C$5-Setup!$C$6,"",IF(IF(ISNUMBER(Roster!$D286),Setup!$C$31&lt;=Roster!$D286,FALSE),"",IF(OR(IF(Setup!$C$15&lt;=Setup!$C$16,AND(MONTH(M286)&gt;=Setup!$C$15,MONTH(M286)&lt;=Setup!$C$16),OR(MONTH(M286)&gt;=Setup!$C$15,MONTH(M286)&lt;=Setup!$C$16)),IF(Setup!$C$15&lt;=Setup!$C$16,AND(MONTH(WORKDAY(M286,-(Setup!$C$13+Setup!$G$31),Setup!$C$39:$C$50))&gt;=Setup!$C$15,MONTH(WORKDAY(M286,-(Setup!$C$13+Setup!$G$31),Setup!$C$39:$C$50))&lt;=Setup!$C$16),OR(MONTH(WORKDAY(M286,-(Setup!$C$13+Setup!$G$31),Setup!$C$39:$C$50))&gt;=Setup!$C$15,MONTH(WORKDAY(M286,-(Setup!$C$13+Setup!$G$31),Setup!$C$39:$C$50))&lt;=Setup!$C$16))),WORKDAY(M286,-(Setup!$C$13+Setup!$G$31+Setup!$C$14),Setup!$C$39:$C$50),WORKDAY(M286,-(Setup!$C$13+Setup!$G$31),Setup!$C$39:$C$50))+(281*100+12)/10000000)))</f>
        <v/>
      </c>
      <c r="AD286" t="str">
        <f>IF(N286="","",IF(N286&lt;Setup!$C$5-Setup!$C$6,"",IF(IF(ISNUMBER(Roster!$D286),Setup!$C$32&lt;=Roster!$D286,FALSE),"",IF(OR(IF(Setup!$C$15&lt;=Setup!$C$16,AND(MONTH(N286)&gt;=Setup!$C$15,MONTH(N286)&lt;=Setup!$C$16),OR(MONTH(N286)&gt;=Setup!$C$15,MONTH(N286)&lt;=Setup!$C$16)),IF(Setup!$C$15&lt;=Setup!$C$16,AND(MONTH(WORKDAY(N286,-(Setup!$C$13+Setup!$G$32),Setup!$C$39:$C$50))&gt;=Setup!$C$15,MONTH(WORKDAY(N286,-(Setup!$C$13+Setup!$G$32),Setup!$C$39:$C$50))&lt;=Setup!$C$16),OR(MONTH(WORKDAY(N286,-(Setup!$C$13+Setup!$G$32),Setup!$C$39:$C$50))&gt;=Setup!$C$15,MONTH(WORKDAY(N286,-(Setup!$C$13+Setup!$G$32),Setup!$C$39:$C$50))&lt;=Setup!$C$16))),WORKDAY(N286,-(Setup!$C$13+Setup!$G$32+Setup!$C$14),Setup!$C$39:$C$50),WORKDAY(N286,-(Setup!$C$13+Setup!$G$32),Setup!$C$39:$C$50))+(281*100+13)/10000000)))</f>
        <v/>
      </c>
      <c r="AE286" t="str">
        <f>IF(O286="","",IF(O286&lt;Setup!$C$5-Setup!$C$6,"",IF(IF(ISNUMBER(Roster!$D286),Setup!$C$33&lt;=Roster!$D286,FALSE),"",IF(OR(IF(Setup!$C$15&lt;=Setup!$C$16,AND(MONTH(O286)&gt;=Setup!$C$15,MONTH(O286)&lt;=Setup!$C$16),OR(MONTH(O286)&gt;=Setup!$C$15,MONTH(O286)&lt;=Setup!$C$16)),IF(Setup!$C$15&lt;=Setup!$C$16,AND(MONTH(WORKDAY(O286,-(Setup!$C$13+Setup!$G$33),Setup!$C$39:$C$50))&gt;=Setup!$C$15,MONTH(WORKDAY(O286,-(Setup!$C$13+Setup!$G$33),Setup!$C$39:$C$50))&lt;=Setup!$C$16),OR(MONTH(WORKDAY(O286,-(Setup!$C$13+Setup!$G$33),Setup!$C$39:$C$50))&gt;=Setup!$C$15,MONTH(WORKDAY(O286,-(Setup!$C$13+Setup!$G$33),Setup!$C$39:$C$50))&lt;=Setup!$C$16))),WORKDAY(O286,-(Setup!$C$13+Setup!$G$33+Setup!$C$14),Setup!$C$39:$C$50),WORKDAY(O286,-(Setup!$C$13+Setup!$G$33),Setup!$C$39:$C$50))+(281*100+14)/10000000)))</f>
        <v/>
      </c>
      <c r="AF286" t="str">
        <f>IF(P286="","",IF(P286&lt;Setup!$C$5-Setup!$C$6,"",IF(IF(ISNUMBER(Roster!$D286),Setup!$C$34&lt;=Roster!$D286,FALSE),"",IF(OR(IF(Setup!$C$15&lt;=Setup!$C$16,AND(MONTH(P286)&gt;=Setup!$C$15,MONTH(P286)&lt;=Setup!$C$16),OR(MONTH(P286)&gt;=Setup!$C$15,MONTH(P286)&lt;=Setup!$C$16)),IF(Setup!$C$15&lt;=Setup!$C$16,AND(MONTH(WORKDAY(P286,-(Setup!$C$13+Setup!$G$34),Setup!$C$39:$C$50))&gt;=Setup!$C$15,MONTH(WORKDAY(P286,-(Setup!$C$13+Setup!$G$34),Setup!$C$39:$C$50))&lt;=Setup!$C$16),OR(MONTH(WORKDAY(P286,-(Setup!$C$13+Setup!$G$34),Setup!$C$39:$C$50))&gt;=Setup!$C$15,MONTH(WORKDAY(P286,-(Setup!$C$13+Setup!$G$34),Setup!$C$39:$C$50))&lt;=Setup!$C$16))),WORKDAY(P286,-(Setup!$C$13+Setup!$G$34+Setup!$C$14),Setup!$C$39:$C$50),WORKDAY(P286,-(Setup!$C$13+Setup!$G$34),Setup!$C$39:$C$50))+(281*100+15)/10000000)))</f>
        <v/>
      </c>
      <c r="AH286" t="str">
        <f t="shared" si="33"/>
        <v/>
      </c>
      <c r="AI286" t="str">
        <f t="shared" si="34"/>
        <v/>
      </c>
      <c r="AK286" t="str">
        <f ca="1">IF(281&gt;$AK$2,"",SMALL($R$6:$AF$505,281))</f>
        <v/>
      </c>
      <c r="AL286" t="str">
        <f t="shared" ca="1" si="35"/>
        <v/>
      </c>
      <c r="AM286" t="str">
        <f t="shared" ca="1" si="36"/>
        <v/>
      </c>
      <c r="AN286" t="str">
        <f t="shared" ca="1" si="37"/>
        <v/>
      </c>
      <c r="AP286" t="str">
        <f>IF(ISNUMBER(Roster!$B286),MAX(1,YEAR(Setup!$C$5)-YEAR(Roster!$B286)+IF(EDATE(Roster!$B286,12*(YEAR(Setup!$C$5)-YEAR(Roster!$B286)))&lt;Setup!$C$5,1,0)),"")</f>
        <v/>
      </c>
      <c r="AQ286" s="32" t="str">
        <f>IF(AP286="","",EDATE(Roster!$B286,12*AP286))</f>
        <v/>
      </c>
      <c r="AR286" t="str">
        <f>IF(AQ286="","",IF(AQ286&lt;DATE(YEAR(Setup!$C$5)+1,MONTH(Setup!$C$5),DAY(Setup!$C$5)),AQ286+281/1000,""))</f>
        <v/>
      </c>
      <c r="AS286" t="str">
        <f t="shared" si="38"/>
        <v/>
      </c>
      <c r="AT286" t="str">
        <f>IF(AS286="","",IF(ISNUMBER(Roster!$D286),Roster!$D286&gt;=AP286,FALSE))</f>
        <v/>
      </c>
      <c r="AU286" t="str">
        <f t="shared" si="39"/>
        <v/>
      </c>
      <c r="AV286" t="str">
        <f ca="1">IF(281&gt;$AV$2,"",SMALL($AR$6:$AR$505,281))</f>
        <v/>
      </c>
      <c r="AW286" t="str">
        <f t="shared" ca="1" si="40"/>
        <v/>
      </c>
    </row>
    <row r="287" spans="2:49" x14ac:dyDescent="0.2">
      <c r="B287" s="32" t="str">
        <f>IF(AND(ISNUMBER(Roster!$B287),Setup!$B$20="Yes",ISNUMBER(Setup!$C$20)),EDATE(Roster!$B287,12*Setup!$C$20),"")</f>
        <v/>
      </c>
      <c r="C287" s="32" t="str">
        <f>IF(AND(ISNUMBER(Roster!$B287),Setup!$B$21="Yes",ISNUMBER(Setup!$C$21)),EDATE(Roster!$B287,12*Setup!$C$21),"")</f>
        <v/>
      </c>
      <c r="D287" s="32" t="str">
        <f>IF(AND(ISNUMBER(Roster!$B287),Setup!$B$22="Yes",ISNUMBER(Setup!$C$22)),EDATE(Roster!$B287,12*Setup!$C$22),"")</f>
        <v/>
      </c>
      <c r="E287" s="32" t="str">
        <f>IF(AND(ISNUMBER(Roster!$B287),Setup!$B$23="Yes",ISNUMBER(Setup!$C$23)),EDATE(Roster!$B287,12*Setup!$C$23),"")</f>
        <v/>
      </c>
      <c r="F287" s="32" t="str">
        <f>IF(AND(ISNUMBER(Roster!$B287),Setup!$B$24="Yes",ISNUMBER(Setup!$C$24)),EDATE(Roster!$B287,12*Setup!$C$24),"")</f>
        <v/>
      </c>
      <c r="G287" s="32" t="str">
        <f>IF(AND(ISNUMBER(Roster!$B287),Setup!$B$25="Yes",ISNUMBER(Setup!$C$25)),EDATE(Roster!$B287,12*Setup!$C$25),"")</f>
        <v/>
      </c>
      <c r="H287" s="32" t="str">
        <f>IF(AND(ISNUMBER(Roster!$B287),Setup!$B$26="Yes",ISNUMBER(Setup!$C$26)),EDATE(Roster!$B287,12*Setup!$C$26),"")</f>
        <v/>
      </c>
      <c r="I287" s="32" t="str">
        <f>IF(AND(ISNUMBER(Roster!$B287),Setup!$B$27="Yes",ISNUMBER(Setup!$C$27)),EDATE(Roster!$B287,12*Setup!$C$27),"")</f>
        <v/>
      </c>
      <c r="J287" s="32" t="str">
        <f>IF(AND(ISNUMBER(Roster!$B287),Setup!$B$28="Yes",ISNUMBER(Setup!$C$28)),EDATE(Roster!$B287,12*Setup!$C$28),"")</f>
        <v/>
      </c>
      <c r="K287" s="32" t="str">
        <f>IF(AND(ISNUMBER(Roster!$B287),Setup!$B$29="Yes",ISNUMBER(Setup!$C$29)),EDATE(Roster!$B287,12*Setup!$C$29),"")</f>
        <v/>
      </c>
      <c r="L287" s="32" t="str">
        <f>IF(AND(ISNUMBER(Roster!$B287),Setup!$B$30="Yes",ISNUMBER(Setup!$C$30)),EDATE(Roster!$B287,12*Setup!$C$30),"")</f>
        <v/>
      </c>
      <c r="M287" s="32" t="str">
        <f>IF(AND(ISNUMBER(Roster!$B287),Setup!$B$31="Yes",ISNUMBER(Setup!$C$31)),EDATE(Roster!$B287,12*Setup!$C$31),"")</f>
        <v/>
      </c>
      <c r="N287" s="32" t="str">
        <f>IF(AND(ISNUMBER(Roster!$B287),Setup!$B$32="Yes",ISNUMBER(Setup!$C$32)),EDATE(Roster!$B287,12*Setup!$C$32),"")</f>
        <v/>
      </c>
      <c r="O287" s="32" t="str">
        <f>IF(AND(ISNUMBER(Roster!$B287),Setup!$B$33="Yes",ISNUMBER(Setup!$C$33)),EDATE(Roster!$B287,12*Setup!$C$33),"")</f>
        <v/>
      </c>
      <c r="P287" s="32" t="str">
        <f>IF(AND(ISNUMBER(Roster!$B287),Setup!$B$34="Yes",ISNUMBER(Setup!$C$34)),EDATE(Roster!$B287,12*Setup!$C$34),"")</f>
        <v/>
      </c>
      <c r="R287" t="str">
        <f>IF(B287="","",IF(B287&lt;Setup!$C$5-Setup!$C$6,"",IF(IF(ISNUMBER(Roster!$D287),Setup!$C$20&lt;=Roster!$D287,FALSE),"",IF(OR(IF(Setup!$C$15&lt;=Setup!$C$16,AND(MONTH(B287)&gt;=Setup!$C$15,MONTH(B287)&lt;=Setup!$C$16),OR(MONTH(B287)&gt;=Setup!$C$15,MONTH(B287)&lt;=Setup!$C$16)),IF(Setup!$C$15&lt;=Setup!$C$16,AND(MONTH(WORKDAY(B287,-(Setup!$C$13+Setup!$G$20),Setup!$C$39:$C$50))&gt;=Setup!$C$15,MONTH(WORKDAY(B287,-(Setup!$C$13+Setup!$G$20),Setup!$C$39:$C$50))&lt;=Setup!$C$16),OR(MONTH(WORKDAY(B287,-(Setup!$C$13+Setup!$G$20),Setup!$C$39:$C$50))&gt;=Setup!$C$15,MONTH(WORKDAY(B287,-(Setup!$C$13+Setup!$G$20),Setup!$C$39:$C$50))&lt;=Setup!$C$16))),WORKDAY(B287,-(Setup!$C$13+Setup!$G$20+Setup!$C$14),Setup!$C$39:$C$50),WORKDAY(B287,-(Setup!$C$13+Setup!$G$20),Setup!$C$39:$C$50))+(282*100+1)/10000000)))</f>
        <v/>
      </c>
      <c r="S287" t="str">
        <f>IF(C287="","",IF(C287&lt;Setup!$C$5-Setup!$C$6,"",IF(IF(ISNUMBER(Roster!$D287),Setup!$C$21&lt;=Roster!$D287,FALSE),"",IF(OR(IF(Setup!$C$15&lt;=Setup!$C$16,AND(MONTH(C287)&gt;=Setup!$C$15,MONTH(C287)&lt;=Setup!$C$16),OR(MONTH(C287)&gt;=Setup!$C$15,MONTH(C287)&lt;=Setup!$C$16)),IF(Setup!$C$15&lt;=Setup!$C$16,AND(MONTH(WORKDAY(C287,-(Setup!$C$13+Setup!$G$21),Setup!$C$39:$C$50))&gt;=Setup!$C$15,MONTH(WORKDAY(C287,-(Setup!$C$13+Setup!$G$21),Setup!$C$39:$C$50))&lt;=Setup!$C$16),OR(MONTH(WORKDAY(C287,-(Setup!$C$13+Setup!$G$21),Setup!$C$39:$C$50))&gt;=Setup!$C$15,MONTH(WORKDAY(C287,-(Setup!$C$13+Setup!$G$21),Setup!$C$39:$C$50))&lt;=Setup!$C$16))),WORKDAY(C287,-(Setup!$C$13+Setup!$G$21+Setup!$C$14),Setup!$C$39:$C$50),WORKDAY(C287,-(Setup!$C$13+Setup!$G$21),Setup!$C$39:$C$50))+(282*100+2)/10000000)))</f>
        <v/>
      </c>
      <c r="T287" t="str">
        <f>IF(D287="","",IF(D287&lt;Setup!$C$5-Setup!$C$6,"",IF(IF(ISNUMBER(Roster!$D287),Setup!$C$22&lt;=Roster!$D287,FALSE),"",IF(OR(IF(Setup!$C$15&lt;=Setup!$C$16,AND(MONTH(D287)&gt;=Setup!$C$15,MONTH(D287)&lt;=Setup!$C$16),OR(MONTH(D287)&gt;=Setup!$C$15,MONTH(D287)&lt;=Setup!$C$16)),IF(Setup!$C$15&lt;=Setup!$C$16,AND(MONTH(WORKDAY(D287,-(Setup!$C$13+Setup!$G$22),Setup!$C$39:$C$50))&gt;=Setup!$C$15,MONTH(WORKDAY(D287,-(Setup!$C$13+Setup!$G$22),Setup!$C$39:$C$50))&lt;=Setup!$C$16),OR(MONTH(WORKDAY(D287,-(Setup!$C$13+Setup!$G$22),Setup!$C$39:$C$50))&gt;=Setup!$C$15,MONTH(WORKDAY(D287,-(Setup!$C$13+Setup!$G$22),Setup!$C$39:$C$50))&lt;=Setup!$C$16))),WORKDAY(D287,-(Setup!$C$13+Setup!$G$22+Setup!$C$14),Setup!$C$39:$C$50),WORKDAY(D287,-(Setup!$C$13+Setup!$G$22),Setup!$C$39:$C$50))+(282*100+3)/10000000)))</f>
        <v/>
      </c>
      <c r="U287" t="str">
        <f>IF(E287="","",IF(E287&lt;Setup!$C$5-Setup!$C$6,"",IF(IF(ISNUMBER(Roster!$D287),Setup!$C$23&lt;=Roster!$D287,FALSE),"",IF(OR(IF(Setup!$C$15&lt;=Setup!$C$16,AND(MONTH(E287)&gt;=Setup!$C$15,MONTH(E287)&lt;=Setup!$C$16),OR(MONTH(E287)&gt;=Setup!$C$15,MONTH(E287)&lt;=Setup!$C$16)),IF(Setup!$C$15&lt;=Setup!$C$16,AND(MONTH(WORKDAY(E287,-(Setup!$C$13+Setup!$G$23),Setup!$C$39:$C$50))&gt;=Setup!$C$15,MONTH(WORKDAY(E287,-(Setup!$C$13+Setup!$G$23),Setup!$C$39:$C$50))&lt;=Setup!$C$16),OR(MONTH(WORKDAY(E287,-(Setup!$C$13+Setup!$G$23),Setup!$C$39:$C$50))&gt;=Setup!$C$15,MONTH(WORKDAY(E287,-(Setup!$C$13+Setup!$G$23),Setup!$C$39:$C$50))&lt;=Setup!$C$16))),WORKDAY(E287,-(Setup!$C$13+Setup!$G$23+Setup!$C$14),Setup!$C$39:$C$50),WORKDAY(E287,-(Setup!$C$13+Setup!$G$23),Setup!$C$39:$C$50))+(282*100+4)/10000000)))</f>
        <v/>
      </c>
      <c r="V287" t="str">
        <f>IF(F287="","",IF(F287&lt;Setup!$C$5-Setup!$C$6,"",IF(IF(ISNUMBER(Roster!$D287),Setup!$C$24&lt;=Roster!$D287,FALSE),"",IF(OR(IF(Setup!$C$15&lt;=Setup!$C$16,AND(MONTH(F287)&gt;=Setup!$C$15,MONTH(F287)&lt;=Setup!$C$16),OR(MONTH(F287)&gt;=Setup!$C$15,MONTH(F287)&lt;=Setup!$C$16)),IF(Setup!$C$15&lt;=Setup!$C$16,AND(MONTH(WORKDAY(F287,-(Setup!$C$13+Setup!$G$24),Setup!$C$39:$C$50))&gt;=Setup!$C$15,MONTH(WORKDAY(F287,-(Setup!$C$13+Setup!$G$24),Setup!$C$39:$C$50))&lt;=Setup!$C$16),OR(MONTH(WORKDAY(F287,-(Setup!$C$13+Setup!$G$24),Setup!$C$39:$C$50))&gt;=Setup!$C$15,MONTH(WORKDAY(F287,-(Setup!$C$13+Setup!$G$24),Setup!$C$39:$C$50))&lt;=Setup!$C$16))),WORKDAY(F287,-(Setup!$C$13+Setup!$G$24+Setup!$C$14),Setup!$C$39:$C$50),WORKDAY(F287,-(Setup!$C$13+Setup!$G$24),Setup!$C$39:$C$50))+(282*100+5)/10000000)))</f>
        <v/>
      </c>
      <c r="W287" t="str">
        <f>IF(G287="","",IF(G287&lt;Setup!$C$5-Setup!$C$6,"",IF(IF(ISNUMBER(Roster!$D287),Setup!$C$25&lt;=Roster!$D287,FALSE),"",IF(OR(IF(Setup!$C$15&lt;=Setup!$C$16,AND(MONTH(G287)&gt;=Setup!$C$15,MONTH(G287)&lt;=Setup!$C$16),OR(MONTH(G287)&gt;=Setup!$C$15,MONTH(G287)&lt;=Setup!$C$16)),IF(Setup!$C$15&lt;=Setup!$C$16,AND(MONTH(WORKDAY(G287,-(Setup!$C$13+Setup!$G$25),Setup!$C$39:$C$50))&gt;=Setup!$C$15,MONTH(WORKDAY(G287,-(Setup!$C$13+Setup!$G$25),Setup!$C$39:$C$50))&lt;=Setup!$C$16),OR(MONTH(WORKDAY(G287,-(Setup!$C$13+Setup!$G$25),Setup!$C$39:$C$50))&gt;=Setup!$C$15,MONTH(WORKDAY(G287,-(Setup!$C$13+Setup!$G$25),Setup!$C$39:$C$50))&lt;=Setup!$C$16))),WORKDAY(G287,-(Setup!$C$13+Setup!$G$25+Setup!$C$14),Setup!$C$39:$C$50),WORKDAY(G287,-(Setup!$C$13+Setup!$G$25),Setup!$C$39:$C$50))+(282*100+6)/10000000)))</f>
        <v/>
      </c>
      <c r="X287" t="str">
        <f>IF(H287="","",IF(H287&lt;Setup!$C$5-Setup!$C$6,"",IF(IF(ISNUMBER(Roster!$D287),Setup!$C$26&lt;=Roster!$D287,FALSE),"",IF(OR(IF(Setup!$C$15&lt;=Setup!$C$16,AND(MONTH(H287)&gt;=Setup!$C$15,MONTH(H287)&lt;=Setup!$C$16),OR(MONTH(H287)&gt;=Setup!$C$15,MONTH(H287)&lt;=Setup!$C$16)),IF(Setup!$C$15&lt;=Setup!$C$16,AND(MONTH(WORKDAY(H287,-(Setup!$C$13+Setup!$G$26),Setup!$C$39:$C$50))&gt;=Setup!$C$15,MONTH(WORKDAY(H287,-(Setup!$C$13+Setup!$G$26),Setup!$C$39:$C$50))&lt;=Setup!$C$16),OR(MONTH(WORKDAY(H287,-(Setup!$C$13+Setup!$G$26),Setup!$C$39:$C$50))&gt;=Setup!$C$15,MONTH(WORKDAY(H287,-(Setup!$C$13+Setup!$G$26),Setup!$C$39:$C$50))&lt;=Setup!$C$16))),WORKDAY(H287,-(Setup!$C$13+Setup!$G$26+Setup!$C$14),Setup!$C$39:$C$50),WORKDAY(H287,-(Setup!$C$13+Setup!$G$26),Setup!$C$39:$C$50))+(282*100+7)/10000000)))</f>
        <v/>
      </c>
      <c r="Y287" t="str">
        <f>IF(I287="","",IF(I287&lt;Setup!$C$5-Setup!$C$6,"",IF(IF(ISNUMBER(Roster!$D287),Setup!$C$27&lt;=Roster!$D287,FALSE),"",IF(OR(IF(Setup!$C$15&lt;=Setup!$C$16,AND(MONTH(I287)&gt;=Setup!$C$15,MONTH(I287)&lt;=Setup!$C$16),OR(MONTH(I287)&gt;=Setup!$C$15,MONTH(I287)&lt;=Setup!$C$16)),IF(Setup!$C$15&lt;=Setup!$C$16,AND(MONTH(WORKDAY(I287,-(Setup!$C$13+Setup!$G$27),Setup!$C$39:$C$50))&gt;=Setup!$C$15,MONTH(WORKDAY(I287,-(Setup!$C$13+Setup!$G$27),Setup!$C$39:$C$50))&lt;=Setup!$C$16),OR(MONTH(WORKDAY(I287,-(Setup!$C$13+Setup!$G$27),Setup!$C$39:$C$50))&gt;=Setup!$C$15,MONTH(WORKDAY(I287,-(Setup!$C$13+Setup!$G$27),Setup!$C$39:$C$50))&lt;=Setup!$C$16))),WORKDAY(I287,-(Setup!$C$13+Setup!$G$27+Setup!$C$14),Setup!$C$39:$C$50),WORKDAY(I287,-(Setup!$C$13+Setup!$G$27),Setup!$C$39:$C$50))+(282*100+8)/10000000)))</f>
        <v/>
      </c>
      <c r="Z287" t="str">
        <f>IF(J287="","",IF(J287&lt;Setup!$C$5-Setup!$C$6,"",IF(IF(ISNUMBER(Roster!$D287),Setup!$C$28&lt;=Roster!$D287,FALSE),"",IF(OR(IF(Setup!$C$15&lt;=Setup!$C$16,AND(MONTH(J287)&gt;=Setup!$C$15,MONTH(J287)&lt;=Setup!$C$16),OR(MONTH(J287)&gt;=Setup!$C$15,MONTH(J287)&lt;=Setup!$C$16)),IF(Setup!$C$15&lt;=Setup!$C$16,AND(MONTH(WORKDAY(J287,-(Setup!$C$13+Setup!$G$28),Setup!$C$39:$C$50))&gt;=Setup!$C$15,MONTH(WORKDAY(J287,-(Setup!$C$13+Setup!$G$28),Setup!$C$39:$C$50))&lt;=Setup!$C$16),OR(MONTH(WORKDAY(J287,-(Setup!$C$13+Setup!$G$28),Setup!$C$39:$C$50))&gt;=Setup!$C$15,MONTH(WORKDAY(J287,-(Setup!$C$13+Setup!$G$28),Setup!$C$39:$C$50))&lt;=Setup!$C$16))),WORKDAY(J287,-(Setup!$C$13+Setup!$G$28+Setup!$C$14),Setup!$C$39:$C$50),WORKDAY(J287,-(Setup!$C$13+Setup!$G$28),Setup!$C$39:$C$50))+(282*100+9)/10000000)))</f>
        <v/>
      </c>
      <c r="AA287" t="str">
        <f>IF(K287="","",IF(K287&lt;Setup!$C$5-Setup!$C$6,"",IF(IF(ISNUMBER(Roster!$D287),Setup!$C$29&lt;=Roster!$D287,FALSE),"",IF(OR(IF(Setup!$C$15&lt;=Setup!$C$16,AND(MONTH(K287)&gt;=Setup!$C$15,MONTH(K287)&lt;=Setup!$C$16),OR(MONTH(K287)&gt;=Setup!$C$15,MONTH(K287)&lt;=Setup!$C$16)),IF(Setup!$C$15&lt;=Setup!$C$16,AND(MONTH(WORKDAY(K287,-(Setup!$C$13+Setup!$G$29),Setup!$C$39:$C$50))&gt;=Setup!$C$15,MONTH(WORKDAY(K287,-(Setup!$C$13+Setup!$G$29),Setup!$C$39:$C$50))&lt;=Setup!$C$16),OR(MONTH(WORKDAY(K287,-(Setup!$C$13+Setup!$G$29),Setup!$C$39:$C$50))&gt;=Setup!$C$15,MONTH(WORKDAY(K287,-(Setup!$C$13+Setup!$G$29),Setup!$C$39:$C$50))&lt;=Setup!$C$16))),WORKDAY(K287,-(Setup!$C$13+Setup!$G$29+Setup!$C$14),Setup!$C$39:$C$50),WORKDAY(K287,-(Setup!$C$13+Setup!$G$29),Setup!$C$39:$C$50))+(282*100+10)/10000000)))</f>
        <v/>
      </c>
      <c r="AB287" t="str">
        <f>IF(L287="","",IF(L287&lt;Setup!$C$5-Setup!$C$6,"",IF(IF(ISNUMBER(Roster!$D287),Setup!$C$30&lt;=Roster!$D287,FALSE),"",IF(OR(IF(Setup!$C$15&lt;=Setup!$C$16,AND(MONTH(L287)&gt;=Setup!$C$15,MONTH(L287)&lt;=Setup!$C$16),OR(MONTH(L287)&gt;=Setup!$C$15,MONTH(L287)&lt;=Setup!$C$16)),IF(Setup!$C$15&lt;=Setup!$C$16,AND(MONTH(WORKDAY(L287,-(Setup!$C$13+Setup!$G$30),Setup!$C$39:$C$50))&gt;=Setup!$C$15,MONTH(WORKDAY(L287,-(Setup!$C$13+Setup!$G$30),Setup!$C$39:$C$50))&lt;=Setup!$C$16),OR(MONTH(WORKDAY(L287,-(Setup!$C$13+Setup!$G$30),Setup!$C$39:$C$50))&gt;=Setup!$C$15,MONTH(WORKDAY(L287,-(Setup!$C$13+Setup!$G$30),Setup!$C$39:$C$50))&lt;=Setup!$C$16))),WORKDAY(L287,-(Setup!$C$13+Setup!$G$30+Setup!$C$14),Setup!$C$39:$C$50),WORKDAY(L287,-(Setup!$C$13+Setup!$G$30),Setup!$C$39:$C$50))+(282*100+11)/10000000)))</f>
        <v/>
      </c>
      <c r="AC287" t="str">
        <f>IF(M287="","",IF(M287&lt;Setup!$C$5-Setup!$C$6,"",IF(IF(ISNUMBER(Roster!$D287),Setup!$C$31&lt;=Roster!$D287,FALSE),"",IF(OR(IF(Setup!$C$15&lt;=Setup!$C$16,AND(MONTH(M287)&gt;=Setup!$C$15,MONTH(M287)&lt;=Setup!$C$16),OR(MONTH(M287)&gt;=Setup!$C$15,MONTH(M287)&lt;=Setup!$C$16)),IF(Setup!$C$15&lt;=Setup!$C$16,AND(MONTH(WORKDAY(M287,-(Setup!$C$13+Setup!$G$31),Setup!$C$39:$C$50))&gt;=Setup!$C$15,MONTH(WORKDAY(M287,-(Setup!$C$13+Setup!$G$31),Setup!$C$39:$C$50))&lt;=Setup!$C$16),OR(MONTH(WORKDAY(M287,-(Setup!$C$13+Setup!$G$31),Setup!$C$39:$C$50))&gt;=Setup!$C$15,MONTH(WORKDAY(M287,-(Setup!$C$13+Setup!$G$31),Setup!$C$39:$C$50))&lt;=Setup!$C$16))),WORKDAY(M287,-(Setup!$C$13+Setup!$G$31+Setup!$C$14),Setup!$C$39:$C$50),WORKDAY(M287,-(Setup!$C$13+Setup!$G$31),Setup!$C$39:$C$50))+(282*100+12)/10000000)))</f>
        <v/>
      </c>
      <c r="AD287" t="str">
        <f>IF(N287="","",IF(N287&lt;Setup!$C$5-Setup!$C$6,"",IF(IF(ISNUMBER(Roster!$D287),Setup!$C$32&lt;=Roster!$D287,FALSE),"",IF(OR(IF(Setup!$C$15&lt;=Setup!$C$16,AND(MONTH(N287)&gt;=Setup!$C$15,MONTH(N287)&lt;=Setup!$C$16),OR(MONTH(N287)&gt;=Setup!$C$15,MONTH(N287)&lt;=Setup!$C$16)),IF(Setup!$C$15&lt;=Setup!$C$16,AND(MONTH(WORKDAY(N287,-(Setup!$C$13+Setup!$G$32),Setup!$C$39:$C$50))&gt;=Setup!$C$15,MONTH(WORKDAY(N287,-(Setup!$C$13+Setup!$G$32),Setup!$C$39:$C$50))&lt;=Setup!$C$16),OR(MONTH(WORKDAY(N287,-(Setup!$C$13+Setup!$G$32),Setup!$C$39:$C$50))&gt;=Setup!$C$15,MONTH(WORKDAY(N287,-(Setup!$C$13+Setup!$G$32),Setup!$C$39:$C$50))&lt;=Setup!$C$16))),WORKDAY(N287,-(Setup!$C$13+Setup!$G$32+Setup!$C$14),Setup!$C$39:$C$50),WORKDAY(N287,-(Setup!$C$13+Setup!$G$32),Setup!$C$39:$C$50))+(282*100+13)/10000000)))</f>
        <v/>
      </c>
      <c r="AE287" t="str">
        <f>IF(O287="","",IF(O287&lt;Setup!$C$5-Setup!$C$6,"",IF(IF(ISNUMBER(Roster!$D287),Setup!$C$33&lt;=Roster!$D287,FALSE),"",IF(OR(IF(Setup!$C$15&lt;=Setup!$C$16,AND(MONTH(O287)&gt;=Setup!$C$15,MONTH(O287)&lt;=Setup!$C$16),OR(MONTH(O287)&gt;=Setup!$C$15,MONTH(O287)&lt;=Setup!$C$16)),IF(Setup!$C$15&lt;=Setup!$C$16,AND(MONTH(WORKDAY(O287,-(Setup!$C$13+Setup!$G$33),Setup!$C$39:$C$50))&gt;=Setup!$C$15,MONTH(WORKDAY(O287,-(Setup!$C$13+Setup!$G$33),Setup!$C$39:$C$50))&lt;=Setup!$C$16),OR(MONTH(WORKDAY(O287,-(Setup!$C$13+Setup!$G$33),Setup!$C$39:$C$50))&gt;=Setup!$C$15,MONTH(WORKDAY(O287,-(Setup!$C$13+Setup!$G$33),Setup!$C$39:$C$50))&lt;=Setup!$C$16))),WORKDAY(O287,-(Setup!$C$13+Setup!$G$33+Setup!$C$14),Setup!$C$39:$C$50),WORKDAY(O287,-(Setup!$C$13+Setup!$G$33),Setup!$C$39:$C$50))+(282*100+14)/10000000)))</f>
        <v/>
      </c>
      <c r="AF287" t="str">
        <f>IF(P287="","",IF(P287&lt;Setup!$C$5-Setup!$C$6,"",IF(IF(ISNUMBER(Roster!$D287),Setup!$C$34&lt;=Roster!$D287,FALSE),"",IF(OR(IF(Setup!$C$15&lt;=Setup!$C$16,AND(MONTH(P287)&gt;=Setup!$C$15,MONTH(P287)&lt;=Setup!$C$16),OR(MONTH(P287)&gt;=Setup!$C$15,MONTH(P287)&lt;=Setup!$C$16)),IF(Setup!$C$15&lt;=Setup!$C$16,AND(MONTH(WORKDAY(P287,-(Setup!$C$13+Setup!$G$34),Setup!$C$39:$C$50))&gt;=Setup!$C$15,MONTH(WORKDAY(P287,-(Setup!$C$13+Setup!$G$34),Setup!$C$39:$C$50))&lt;=Setup!$C$16),OR(MONTH(WORKDAY(P287,-(Setup!$C$13+Setup!$G$34),Setup!$C$39:$C$50))&gt;=Setup!$C$15,MONTH(WORKDAY(P287,-(Setup!$C$13+Setup!$G$34),Setup!$C$39:$C$50))&lt;=Setup!$C$16))),WORKDAY(P287,-(Setup!$C$13+Setup!$G$34+Setup!$C$14),Setup!$C$39:$C$50),WORKDAY(P287,-(Setup!$C$13+Setup!$G$34),Setup!$C$39:$C$50))+(282*100+15)/10000000)))</f>
        <v/>
      </c>
      <c r="AH287" t="str">
        <f t="shared" si="33"/>
        <v/>
      </c>
      <c r="AI287" t="str">
        <f t="shared" si="34"/>
        <v/>
      </c>
      <c r="AK287" t="str">
        <f ca="1">IF(282&gt;$AK$2,"",SMALL($R$6:$AF$505,282))</f>
        <v/>
      </c>
      <c r="AL287" t="str">
        <f t="shared" ca="1" si="35"/>
        <v/>
      </c>
      <c r="AM287" t="str">
        <f t="shared" ca="1" si="36"/>
        <v/>
      </c>
      <c r="AN287" t="str">
        <f t="shared" ca="1" si="37"/>
        <v/>
      </c>
      <c r="AP287" t="str">
        <f>IF(ISNUMBER(Roster!$B287),MAX(1,YEAR(Setup!$C$5)-YEAR(Roster!$B287)+IF(EDATE(Roster!$B287,12*(YEAR(Setup!$C$5)-YEAR(Roster!$B287)))&lt;Setup!$C$5,1,0)),"")</f>
        <v/>
      </c>
      <c r="AQ287" s="32" t="str">
        <f>IF(AP287="","",EDATE(Roster!$B287,12*AP287))</f>
        <v/>
      </c>
      <c r="AR287" t="str">
        <f>IF(AQ287="","",IF(AQ287&lt;DATE(YEAR(Setup!$C$5)+1,MONTH(Setup!$C$5),DAY(Setup!$C$5)),AQ287+282/1000,""))</f>
        <v/>
      </c>
      <c r="AS287" t="str">
        <f t="shared" si="38"/>
        <v/>
      </c>
      <c r="AT287" t="str">
        <f>IF(AS287="","",IF(ISNUMBER(Roster!$D287),Roster!$D287&gt;=AP287,FALSE))</f>
        <v/>
      </c>
      <c r="AU287" t="str">
        <f t="shared" si="39"/>
        <v/>
      </c>
      <c r="AV287" t="str">
        <f ca="1">IF(282&gt;$AV$2,"",SMALL($AR$6:$AR$505,282))</f>
        <v/>
      </c>
      <c r="AW287" t="str">
        <f t="shared" ca="1" si="40"/>
        <v/>
      </c>
    </row>
    <row r="288" spans="2:49" x14ac:dyDescent="0.2">
      <c r="B288" s="32" t="str">
        <f>IF(AND(ISNUMBER(Roster!$B288),Setup!$B$20="Yes",ISNUMBER(Setup!$C$20)),EDATE(Roster!$B288,12*Setup!$C$20),"")</f>
        <v/>
      </c>
      <c r="C288" s="32" t="str">
        <f>IF(AND(ISNUMBER(Roster!$B288),Setup!$B$21="Yes",ISNUMBER(Setup!$C$21)),EDATE(Roster!$B288,12*Setup!$C$21),"")</f>
        <v/>
      </c>
      <c r="D288" s="32" t="str">
        <f>IF(AND(ISNUMBER(Roster!$B288),Setup!$B$22="Yes",ISNUMBER(Setup!$C$22)),EDATE(Roster!$B288,12*Setup!$C$22),"")</f>
        <v/>
      </c>
      <c r="E288" s="32" t="str">
        <f>IF(AND(ISNUMBER(Roster!$B288),Setup!$B$23="Yes",ISNUMBER(Setup!$C$23)),EDATE(Roster!$B288,12*Setup!$C$23),"")</f>
        <v/>
      </c>
      <c r="F288" s="32" t="str">
        <f>IF(AND(ISNUMBER(Roster!$B288),Setup!$B$24="Yes",ISNUMBER(Setup!$C$24)),EDATE(Roster!$B288,12*Setup!$C$24),"")</f>
        <v/>
      </c>
      <c r="G288" s="32" t="str">
        <f>IF(AND(ISNUMBER(Roster!$B288),Setup!$B$25="Yes",ISNUMBER(Setup!$C$25)),EDATE(Roster!$B288,12*Setup!$C$25),"")</f>
        <v/>
      </c>
      <c r="H288" s="32" t="str">
        <f>IF(AND(ISNUMBER(Roster!$B288),Setup!$B$26="Yes",ISNUMBER(Setup!$C$26)),EDATE(Roster!$B288,12*Setup!$C$26),"")</f>
        <v/>
      </c>
      <c r="I288" s="32" t="str">
        <f>IF(AND(ISNUMBER(Roster!$B288),Setup!$B$27="Yes",ISNUMBER(Setup!$C$27)),EDATE(Roster!$B288,12*Setup!$C$27),"")</f>
        <v/>
      </c>
      <c r="J288" s="32" t="str">
        <f>IF(AND(ISNUMBER(Roster!$B288),Setup!$B$28="Yes",ISNUMBER(Setup!$C$28)),EDATE(Roster!$B288,12*Setup!$C$28),"")</f>
        <v/>
      </c>
      <c r="K288" s="32" t="str">
        <f>IF(AND(ISNUMBER(Roster!$B288),Setup!$B$29="Yes",ISNUMBER(Setup!$C$29)),EDATE(Roster!$B288,12*Setup!$C$29),"")</f>
        <v/>
      </c>
      <c r="L288" s="32" t="str">
        <f>IF(AND(ISNUMBER(Roster!$B288),Setup!$B$30="Yes",ISNUMBER(Setup!$C$30)),EDATE(Roster!$B288,12*Setup!$C$30),"")</f>
        <v/>
      </c>
      <c r="M288" s="32" t="str">
        <f>IF(AND(ISNUMBER(Roster!$B288),Setup!$B$31="Yes",ISNUMBER(Setup!$C$31)),EDATE(Roster!$B288,12*Setup!$C$31),"")</f>
        <v/>
      </c>
      <c r="N288" s="32" t="str">
        <f>IF(AND(ISNUMBER(Roster!$B288),Setup!$B$32="Yes",ISNUMBER(Setup!$C$32)),EDATE(Roster!$B288,12*Setup!$C$32),"")</f>
        <v/>
      </c>
      <c r="O288" s="32" t="str">
        <f>IF(AND(ISNUMBER(Roster!$B288),Setup!$B$33="Yes",ISNUMBER(Setup!$C$33)),EDATE(Roster!$B288,12*Setup!$C$33),"")</f>
        <v/>
      </c>
      <c r="P288" s="32" t="str">
        <f>IF(AND(ISNUMBER(Roster!$B288),Setup!$B$34="Yes",ISNUMBER(Setup!$C$34)),EDATE(Roster!$B288,12*Setup!$C$34),"")</f>
        <v/>
      </c>
      <c r="R288" t="str">
        <f>IF(B288="","",IF(B288&lt;Setup!$C$5-Setup!$C$6,"",IF(IF(ISNUMBER(Roster!$D288),Setup!$C$20&lt;=Roster!$D288,FALSE),"",IF(OR(IF(Setup!$C$15&lt;=Setup!$C$16,AND(MONTH(B288)&gt;=Setup!$C$15,MONTH(B288)&lt;=Setup!$C$16),OR(MONTH(B288)&gt;=Setup!$C$15,MONTH(B288)&lt;=Setup!$C$16)),IF(Setup!$C$15&lt;=Setup!$C$16,AND(MONTH(WORKDAY(B288,-(Setup!$C$13+Setup!$G$20),Setup!$C$39:$C$50))&gt;=Setup!$C$15,MONTH(WORKDAY(B288,-(Setup!$C$13+Setup!$G$20),Setup!$C$39:$C$50))&lt;=Setup!$C$16),OR(MONTH(WORKDAY(B288,-(Setup!$C$13+Setup!$G$20),Setup!$C$39:$C$50))&gt;=Setup!$C$15,MONTH(WORKDAY(B288,-(Setup!$C$13+Setup!$G$20),Setup!$C$39:$C$50))&lt;=Setup!$C$16))),WORKDAY(B288,-(Setup!$C$13+Setup!$G$20+Setup!$C$14),Setup!$C$39:$C$50),WORKDAY(B288,-(Setup!$C$13+Setup!$G$20),Setup!$C$39:$C$50))+(283*100+1)/10000000)))</f>
        <v/>
      </c>
      <c r="S288" t="str">
        <f>IF(C288="","",IF(C288&lt;Setup!$C$5-Setup!$C$6,"",IF(IF(ISNUMBER(Roster!$D288),Setup!$C$21&lt;=Roster!$D288,FALSE),"",IF(OR(IF(Setup!$C$15&lt;=Setup!$C$16,AND(MONTH(C288)&gt;=Setup!$C$15,MONTH(C288)&lt;=Setup!$C$16),OR(MONTH(C288)&gt;=Setup!$C$15,MONTH(C288)&lt;=Setup!$C$16)),IF(Setup!$C$15&lt;=Setup!$C$16,AND(MONTH(WORKDAY(C288,-(Setup!$C$13+Setup!$G$21),Setup!$C$39:$C$50))&gt;=Setup!$C$15,MONTH(WORKDAY(C288,-(Setup!$C$13+Setup!$G$21),Setup!$C$39:$C$50))&lt;=Setup!$C$16),OR(MONTH(WORKDAY(C288,-(Setup!$C$13+Setup!$G$21),Setup!$C$39:$C$50))&gt;=Setup!$C$15,MONTH(WORKDAY(C288,-(Setup!$C$13+Setup!$G$21),Setup!$C$39:$C$50))&lt;=Setup!$C$16))),WORKDAY(C288,-(Setup!$C$13+Setup!$G$21+Setup!$C$14),Setup!$C$39:$C$50),WORKDAY(C288,-(Setup!$C$13+Setup!$G$21),Setup!$C$39:$C$50))+(283*100+2)/10000000)))</f>
        <v/>
      </c>
      <c r="T288" t="str">
        <f>IF(D288="","",IF(D288&lt;Setup!$C$5-Setup!$C$6,"",IF(IF(ISNUMBER(Roster!$D288),Setup!$C$22&lt;=Roster!$D288,FALSE),"",IF(OR(IF(Setup!$C$15&lt;=Setup!$C$16,AND(MONTH(D288)&gt;=Setup!$C$15,MONTH(D288)&lt;=Setup!$C$16),OR(MONTH(D288)&gt;=Setup!$C$15,MONTH(D288)&lt;=Setup!$C$16)),IF(Setup!$C$15&lt;=Setup!$C$16,AND(MONTH(WORKDAY(D288,-(Setup!$C$13+Setup!$G$22),Setup!$C$39:$C$50))&gt;=Setup!$C$15,MONTH(WORKDAY(D288,-(Setup!$C$13+Setup!$G$22),Setup!$C$39:$C$50))&lt;=Setup!$C$16),OR(MONTH(WORKDAY(D288,-(Setup!$C$13+Setup!$G$22),Setup!$C$39:$C$50))&gt;=Setup!$C$15,MONTH(WORKDAY(D288,-(Setup!$C$13+Setup!$G$22),Setup!$C$39:$C$50))&lt;=Setup!$C$16))),WORKDAY(D288,-(Setup!$C$13+Setup!$G$22+Setup!$C$14),Setup!$C$39:$C$50),WORKDAY(D288,-(Setup!$C$13+Setup!$G$22),Setup!$C$39:$C$50))+(283*100+3)/10000000)))</f>
        <v/>
      </c>
      <c r="U288" t="str">
        <f>IF(E288="","",IF(E288&lt;Setup!$C$5-Setup!$C$6,"",IF(IF(ISNUMBER(Roster!$D288),Setup!$C$23&lt;=Roster!$D288,FALSE),"",IF(OR(IF(Setup!$C$15&lt;=Setup!$C$16,AND(MONTH(E288)&gt;=Setup!$C$15,MONTH(E288)&lt;=Setup!$C$16),OR(MONTH(E288)&gt;=Setup!$C$15,MONTH(E288)&lt;=Setup!$C$16)),IF(Setup!$C$15&lt;=Setup!$C$16,AND(MONTH(WORKDAY(E288,-(Setup!$C$13+Setup!$G$23),Setup!$C$39:$C$50))&gt;=Setup!$C$15,MONTH(WORKDAY(E288,-(Setup!$C$13+Setup!$G$23),Setup!$C$39:$C$50))&lt;=Setup!$C$16),OR(MONTH(WORKDAY(E288,-(Setup!$C$13+Setup!$G$23),Setup!$C$39:$C$50))&gt;=Setup!$C$15,MONTH(WORKDAY(E288,-(Setup!$C$13+Setup!$G$23),Setup!$C$39:$C$50))&lt;=Setup!$C$16))),WORKDAY(E288,-(Setup!$C$13+Setup!$G$23+Setup!$C$14),Setup!$C$39:$C$50),WORKDAY(E288,-(Setup!$C$13+Setup!$G$23),Setup!$C$39:$C$50))+(283*100+4)/10000000)))</f>
        <v/>
      </c>
      <c r="V288" t="str">
        <f>IF(F288="","",IF(F288&lt;Setup!$C$5-Setup!$C$6,"",IF(IF(ISNUMBER(Roster!$D288),Setup!$C$24&lt;=Roster!$D288,FALSE),"",IF(OR(IF(Setup!$C$15&lt;=Setup!$C$16,AND(MONTH(F288)&gt;=Setup!$C$15,MONTH(F288)&lt;=Setup!$C$16),OR(MONTH(F288)&gt;=Setup!$C$15,MONTH(F288)&lt;=Setup!$C$16)),IF(Setup!$C$15&lt;=Setup!$C$16,AND(MONTH(WORKDAY(F288,-(Setup!$C$13+Setup!$G$24),Setup!$C$39:$C$50))&gt;=Setup!$C$15,MONTH(WORKDAY(F288,-(Setup!$C$13+Setup!$G$24),Setup!$C$39:$C$50))&lt;=Setup!$C$16),OR(MONTH(WORKDAY(F288,-(Setup!$C$13+Setup!$G$24),Setup!$C$39:$C$50))&gt;=Setup!$C$15,MONTH(WORKDAY(F288,-(Setup!$C$13+Setup!$G$24),Setup!$C$39:$C$50))&lt;=Setup!$C$16))),WORKDAY(F288,-(Setup!$C$13+Setup!$G$24+Setup!$C$14),Setup!$C$39:$C$50),WORKDAY(F288,-(Setup!$C$13+Setup!$G$24),Setup!$C$39:$C$50))+(283*100+5)/10000000)))</f>
        <v/>
      </c>
      <c r="W288" t="str">
        <f>IF(G288="","",IF(G288&lt;Setup!$C$5-Setup!$C$6,"",IF(IF(ISNUMBER(Roster!$D288),Setup!$C$25&lt;=Roster!$D288,FALSE),"",IF(OR(IF(Setup!$C$15&lt;=Setup!$C$16,AND(MONTH(G288)&gt;=Setup!$C$15,MONTH(G288)&lt;=Setup!$C$16),OR(MONTH(G288)&gt;=Setup!$C$15,MONTH(G288)&lt;=Setup!$C$16)),IF(Setup!$C$15&lt;=Setup!$C$16,AND(MONTH(WORKDAY(G288,-(Setup!$C$13+Setup!$G$25),Setup!$C$39:$C$50))&gt;=Setup!$C$15,MONTH(WORKDAY(G288,-(Setup!$C$13+Setup!$G$25),Setup!$C$39:$C$50))&lt;=Setup!$C$16),OR(MONTH(WORKDAY(G288,-(Setup!$C$13+Setup!$G$25),Setup!$C$39:$C$50))&gt;=Setup!$C$15,MONTH(WORKDAY(G288,-(Setup!$C$13+Setup!$G$25),Setup!$C$39:$C$50))&lt;=Setup!$C$16))),WORKDAY(G288,-(Setup!$C$13+Setup!$G$25+Setup!$C$14),Setup!$C$39:$C$50),WORKDAY(G288,-(Setup!$C$13+Setup!$G$25),Setup!$C$39:$C$50))+(283*100+6)/10000000)))</f>
        <v/>
      </c>
      <c r="X288" t="str">
        <f>IF(H288="","",IF(H288&lt;Setup!$C$5-Setup!$C$6,"",IF(IF(ISNUMBER(Roster!$D288),Setup!$C$26&lt;=Roster!$D288,FALSE),"",IF(OR(IF(Setup!$C$15&lt;=Setup!$C$16,AND(MONTH(H288)&gt;=Setup!$C$15,MONTH(H288)&lt;=Setup!$C$16),OR(MONTH(H288)&gt;=Setup!$C$15,MONTH(H288)&lt;=Setup!$C$16)),IF(Setup!$C$15&lt;=Setup!$C$16,AND(MONTH(WORKDAY(H288,-(Setup!$C$13+Setup!$G$26),Setup!$C$39:$C$50))&gt;=Setup!$C$15,MONTH(WORKDAY(H288,-(Setup!$C$13+Setup!$G$26),Setup!$C$39:$C$50))&lt;=Setup!$C$16),OR(MONTH(WORKDAY(H288,-(Setup!$C$13+Setup!$G$26),Setup!$C$39:$C$50))&gt;=Setup!$C$15,MONTH(WORKDAY(H288,-(Setup!$C$13+Setup!$G$26),Setup!$C$39:$C$50))&lt;=Setup!$C$16))),WORKDAY(H288,-(Setup!$C$13+Setup!$G$26+Setup!$C$14),Setup!$C$39:$C$50),WORKDAY(H288,-(Setup!$C$13+Setup!$G$26),Setup!$C$39:$C$50))+(283*100+7)/10000000)))</f>
        <v/>
      </c>
      <c r="Y288" t="str">
        <f>IF(I288="","",IF(I288&lt;Setup!$C$5-Setup!$C$6,"",IF(IF(ISNUMBER(Roster!$D288),Setup!$C$27&lt;=Roster!$D288,FALSE),"",IF(OR(IF(Setup!$C$15&lt;=Setup!$C$16,AND(MONTH(I288)&gt;=Setup!$C$15,MONTH(I288)&lt;=Setup!$C$16),OR(MONTH(I288)&gt;=Setup!$C$15,MONTH(I288)&lt;=Setup!$C$16)),IF(Setup!$C$15&lt;=Setup!$C$16,AND(MONTH(WORKDAY(I288,-(Setup!$C$13+Setup!$G$27),Setup!$C$39:$C$50))&gt;=Setup!$C$15,MONTH(WORKDAY(I288,-(Setup!$C$13+Setup!$G$27),Setup!$C$39:$C$50))&lt;=Setup!$C$16),OR(MONTH(WORKDAY(I288,-(Setup!$C$13+Setup!$G$27),Setup!$C$39:$C$50))&gt;=Setup!$C$15,MONTH(WORKDAY(I288,-(Setup!$C$13+Setup!$G$27),Setup!$C$39:$C$50))&lt;=Setup!$C$16))),WORKDAY(I288,-(Setup!$C$13+Setup!$G$27+Setup!$C$14),Setup!$C$39:$C$50),WORKDAY(I288,-(Setup!$C$13+Setup!$G$27),Setup!$C$39:$C$50))+(283*100+8)/10000000)))</f>
        <v/>
      </c>
      <c r="Z288" t="str">
        <f>IF(J288="","",IF(J288&lt;Setup!$C$5-Setup!$C$6,"",IF(IF(ISNUMBER(Roster!$D288),Setup!$C$28&lt;=Roster!$D288,FALSE),"",IF(OR(IF(Setup!$C$15&lt;=Setup!$C$16,AND(MONTH(J288)&gt;=Setup!$C$15,MONTH(J288)&lt;=Setup!$C$16),OR(MONTH(J288)&gt;=Setup!$C$15,MONTH(J288)&lt;=Setup!$C$16)),IF(Setup!$C$15&lt;=Setup!$C$16,AND(MONTH(WORKDAY(J288,-(Setup!$C$13+Setup!$G$28),Setup!$C$39:$C$50))&gt;=Setup!$C$15,MONTH(WORKDAY(J288,-(Setup!$C$13+Setup!$G$28),Setup!$C$39:$C$50))&lt;=Setup!$C$16),OR(MONTH(WORKDAY(J288,-(Setup!$C$13+Setup!$G$28),Setup!$C$39:$C$50))&gt;=Setup!$C$15,MONTH(WORKDAY(J288,-(Setup!$C$13+Setup!$G$28),Setup!$C$39:$C$50))&lt;=Setup!$C$16))),WORKDAY(J288,-(Setup!$C$13+Setup!$G$28+Setup!$C$14),Setup!$C$39:$C$50),WORKDAY(J288,-(Setup!$C$13+Setup!$G$28),Setup!$C$39:$C$50))+(283*100+9)/10000000)))</f>
        <v/>
      </c>
      <c r="AA288" t="str">
        <f>IF(K288="","",IF(K288&lt;Setup!$C$5-Setup!$C$6,"",IF(IF(ISNUMBER(Roster!$D288),Setup!$C$29&lt;=Roster!$D288,FALSE),"",IF(OR(IF(Setup!$C$15&lt;=Setup!$C$16,AND(MONTH(K288)&gt;=Setup!$C$15,MONTH(K288)&lt;=Setup!$C$16),OR(MONTH(K288)&gt;=Setup!$C$15,MONTH(K288)&lt;=Setup!$C$16)),IF(Setup!$C$15&lt;=Setup!$C$16,AND(MONTH(WORKDAY(K288,-(Setup!$C$13+Setup!$G$29),Setup!$C$39:$C$50))&gt;=Setup!$C$15,MONTH(WORKDAY(K288,-(Setup!$C$13+Setup!$G$29),Setup!$C$39:$C$50))&lt;=Setup!$C$16),OR(MONTH(WORKDAY(K288,-(Setup!$C$13+Setup!$G$29),Setup!$C$39:$C$50))&gt;=Setup!$C$15,MONTH(WORKDAY(K288,-(Setup!$C$13+Setup!$G$29),Setup!$C$39:$C$50))&lt;=Setup!$C$16))),WORKDAY(K288,-(Setup!$C$13+Setup!$G$29+Setup!$C$14),Setup!$C$39:$C$50),WORKDAY(K288,-(Setup!$C$13+Setup!$G$29),Setup!$C$39:$C$50))+(283*100+10)/10000000)))</f>
        <v/>
      </c>
      <c r="AB288" t="str">
        <f>IF(L288="","",IF(L288&lt;Setup!$C$5-Setup!$C$6,"",IF(IF(ISNUMBER(Roster!$D288),Setup!$C$30&lt;=Roster!$D288,FALSE),"",IF(OR(IF(Setup!$C$15&lt;=Setup!$C$16,AND(MONTH(L288)&gt;=Setup!$C$15,MONTH(L288)&lt;=Setup!$C$16),OR(MONTH(L288)&gt;=Setup!$C$15,MONTH(L288)&lt;=Setup!$C$16)),IF(Setup!$C$15&lt;=Setup!$C$16,AND(MONTH(WORKDAY(L288,-(Setup!$C$13+Setup!$G$30),Setup!$C$39:$C$50))&gt;=Setup!$C$15,MONTH(WORKDAY(L288,-(Setup!$C$13+Setup!$G$30),Setup!$C$39:$C$50))&lt;=Setup!$C$16),OR(MONTH(WORKDAY(L288,-(Setup!$C$13+Setup!$G$30),Setup!$C$39:$C$50))&gt;=Setup!$C$15,MONTH(WORKDAY(L288,-(Setup!$C$13+Setup!$G$30),Setup!$C$39:$C$50))&lt;=Setup!$C$16))),WORKDAY(L288,-(Setup!$C$13+Setup!$G$30+Setup!$C$14),Setup!$C$39:$C$50),WORKDAY(L288,-(Setup!$C$13+Setup!$G$30),Setup!$C$39:$C$50))+(283*100+11)/10000000)))</f>
        <v/>
      </c>
      <c r="AC288" t="str">
        <f>IF(M288="","",IF(M288&lt;Setup!$C$5-Setup!$C$6,"",IF(IF(ISNUMBER(Roster!$D288),Setup!$C$31&lt;=Roster!$D288,FALSE),"",IF(OR(IF(Setup!$C$15&lt;=Setup!$C$16,AND(MONTH(M288)&gt;=Setup!$C$15,MONTH(M288)&lt;=Setup!$C$16),OR(MONTH(M288)&gt;=Setup!$C$15,MONTH(M288)&lt;=Setup!$C$16)),IF(Setup!$C$15&lt;=Setup!$C$16,AND(MONTH(WORKDAY(M288,-(Setup!$C$13+Setup!$G$31),Setup!$C$39:$C$50))&gt;=Setup!$C$15,MONTH(WORKDAY(M288,-(Setup!$C$13+Setup!$G$31),Setup!$C$39:$C$50))&lt;=Setup!$C$16),OR(MONTH(WORKDAY(M288,-(Setup!$C$13+Setup!$G$31),Setup!$C$39:$C$50))&gt;=Setup!$C$15,MONTH(WORKDAY(M288,-(Setup!$C$13+Setup!$G$31),Setup!$C$39:$C$50))&lt;=Setup!$C$16))),WORKDAY(M288,-(Setup!$C$13+Setup!$G$31+Setup!$C$14),Setup!$C$39:$C$50),WORKDAY(M288,-(Setup!$C$13+Setup!$G$31),Setup!$C$39:$C$50))+(283*100+12)/10000000)))</f>
        <v/>
      </c>
      <c r="AD288" t="str">
        <f>IF(N288="","",IF(N288&lt;Setup!$C$5-Setup!$C$6,"",IF(IF(ISNUMBER(Roster!$D288),Setup!$C$32&lt;=Roster!$D288,FALSE),"",IF(OR(IF(Setup!$C$15&lt;=Setup!$C$16,AND(MONTH(N288)&gt;=Setup!$C$15,MONTH(N288)&lt;=Setup!$C$16),OR(MONTH(N288)&gt;=Setup!$C$15,MONTH(N288)&lt;=Setup!$C$16)),IF(Setup!$C$15&lt;=Setup!$C$16,AND(MONTH(WORKDAY(N288,-(Setup!$C$13+Setup!$G$32),Setup!$C$39:$C$50))&gt;=Setup!$C$15,MONTH(WORKDAY(N288,-(Setup!$C$13+Setup!$G$32),Setup!$C$39:$C$50))&lt;=Setup!$C$16),OR(MONTH(WORKDAY(N288,-(Setup!$C$13+Setup!$G$32),Setup!$C$39:$C$50))&gt;=Setup!$C$15,MONTH(WORKDAY(N288,-(Setup!$C$13+Setup!$G$32),Setup!$C$39:$C$50))&lt;=Setup!$C$16))),WORKDAY(N288,-(Setup!$C$13+Setup!$G$32+Setup!$C$14),Setup!$C$39:$C$50),WORKDAY(N288,-(Setup!$C$13+Setup!$G$32),Setup!$C$39:$C$50))+(283*100+13)/10000000)))</f>
        <v/>
      </c>
      <c r="AE288" t="str">
        <f>IF(O288="","",IF(O288&lt;Setup!$C$5-Setup!$C$6,"",IF(IF(ISNUMBER(Roster!$D288),Setup!$C$33&lt;=Roster!$D288,FALSE),"",IF(OR(IF(Setup!$C$15&lt;=Setup!$C$16,AND(MONTH(O288)&gt;=Setup!$C$15,MONTH(O288)&lt;=Setup!$C$16),OR(MONTH(O288)&gt;=Setup!$C$15,MONTH(O288)&lt;=Setup!$C$16)),IF(Setup!$C$15&lt;=Setup!$C$16,AND(MONTH(WORKDAY(O288,-(Setup!$C$13+Setup!$G$33),Setup!$C$39:$C$50))&gt;=Setup!$C$15,MONTH(WORKDAY(O288,-(Setup!$C$13+Setup!$G$33),Setup!$C$39:$C$50))&lt;=Setup!$C$16),OR(MONTH(WORKDAY(O288,-(Setup!$C$13+Setup!$G$33),Setup!$C$39:$C$50))&gt;=Setup!$C$15,MONTH(WORKDAY(O288,-(Setup!$C$13+Setup!$G$33),Setup!$C$39:$C$50))&lt;=Setup!$C$16))),WORKDAY(O288,-(Setup!$C$13+Setup!$G$33+Setup!$C$14),Setup!$C$39:$C$50),WORKDAY(O288,-(Setup!$C$13+Setup!$G$33),Setup!$C$39:$C$50))+(283*100+14)/10000000)))</f>
        <v/>
      </c>
      <c r="AF288" t="str">
        <f>IF(P288="","",IF(P288&lt;Setup!$C$5-Setup!$C$6,"",IF(IF(ISNUMBER(Roster!$D288),Setup!$C$34&lt;=Roster!$D288,FALSE),"",IF(OR(IF(Setup!$C$15&lt;=Setup!$C$16,AND(MONTH(P288)&gt;=Setup!$C$15,MONTH(P288)&lt;=Setup!$C$16),OR(MONTH(P288)&gt;=Setup!$C$15,MONTH(P288)&lt;=Setup!$C$16)),IF(Setup!$C$15&lt;=Setup!$C$16,AND(MONTH(WORKDAY(P288,-(Setup!$C$13+Setup!$G$34),Setup!$C$39:$C$50))&gt;=Setup!$C$15,MONTH(WORKDAY(P288,-(Setup!$C$13+Setup!$G$34),Setup!$C$39:$C$50))&lt;=Setup!$C$16),OR(MONTH(WORKDAY(P288,-(Setup!$C$13+Setup!$G$34),Setup!$C$39:$C$50))&gt;=Setup!$C$15,MONTH(WORKDAY(P288,-(Setup!$C$13+Setup!$G$34),Setup!$C$39:$C$50))&lt;=Setup!$C$16))),WORKDAY(P288,-(Setup!$C$13+Setup!$G$34+Setup!$C$14),Setup!$C$39:$C$50),WORKDAY(P288,-(Setup!$C$13+Setup!$G$34),Setup!$C$39:$C$50))+(283*100+15)/10000000)))</f>
        <v/>
      </c>
      <c r="AH288" t="str">
        <f t="shared" si="33"/>
        <v/>
      </c>
      <c r="AI288" t="str">
        <f t="shared" si="34"/>
        <v/>
      </c>
      <c r="AK288" t="str">
        <f ca="1">IF(283&gt;$AK$2,"",SMALL($R$6:$AF$505,283))</f>
        <v/>
      </c>
      <c r="AL288" t="str">
        <f t="shared" ca="1" si="35"/>
        <v/>
      </c>
      <c r="AM288" t="str">
        <f t="shared" ca="1" si="36"/>
        <v/>
      </c>
      <c r="AN288" t="str">
        <f t="shared" ca="1" si="37"/>
        <v/>
      </c>
      <c r="AP288" t="str">
        <f>IF(ISNUMBER(Roster!$B288),MAX(1,YEAR(Setup!$C$5)-YEAR(Roster!$B288)+IF(EDATE(Roster!$B288,12*(YEAR(Setup!$C$5)-YEAR(Roster!$B288)))&lt;Setup!$C$5,1,0)),"")</f>
        <v/>
      </c>
      <c r="AQ288" s="32" t="str">
        <f>IF(AP288="","",EDATE(Roster!$B288,12*AP288))</f>
        <v/>
      </c>
      <c r="AR288" t="str">
        <f>IF(AQ288="","",IF(AQ288&lt;DATE(YEAR(Setup!$C$5)+1,MONTH(Setup!$C$5),DAY(Setup!$C$5)),AQ288+283/1000,""))</f>
        <v/>
      </c>
      <c r="AS288" t="str">
        <f t="shared" si="38"/>
        <v/>
      </c>
      <c r="AT288" t="str">
        <f>IF(AS288="","",IF(ISNUMBER(Roster!$D288),Roster!$D288&gt;=AP288,FALSE))</f>
        <v/>
      </c>
      <c r="AU288" t="str">
        <f t="shared" si="39"/>
        <v/>
      </c>
      <c r="AV288" t="str">
        <f ca="1">IF(283&gt;$AV$2,"",SMALL($AR$6:$AR$505,283))</f>
        <v/>
      </c>
      <c r="AW288" t="str">
        <f t="shared" ca="1" si="40"/>
        <v/>
      </c>
    </row>
    <row r="289" spans="2:49" x14ac:dyDescent="0.2">
      <c r="B289" s="32" t="str">
        <f>IF(AND(ISNUMBER(Roster!$B289),Setup!$B$20="Yes",ISNUMBER(Setup!$C$20)),EDATE(Roster!$B289,12*Setup!$C$20),"")</f>
        <v/>
      </c>
      <c r="C289" s="32" t="str">
        <f>IF(AND(ISNUMBER(Roster!$B289),Setup!$B$21="Yes",ISNUMBER(Setup!$C$21)),EDATE(Roster!$B289,12*Setup!$C$21),"")</f>
        <v/>
      </c>
      <c r="D289" s="32" t="str">
        <f>IF(AND(ISNUMBER(Roster!$B289),Setup!$B$22="Yes",ISNUMBER(Setup!$C$22)),EDATE(Roster!$B289,12*Setup!$C$22),"")</f>
        <v/>
      </c>
      <c r="E289" s="32" t="str">
        <f>IF(AND(ISNUMBER(Roster!$B289),Setup!$B$23="Yes",ISNUMBER(Setup!$C$23)),EDATE(Roster!$B289,12*Setup!$C$23),"")</f>
        <v/>
      </c>
      <c r="F289" s="32" t="str">
        <f>IF(AND(ISNUMBER(Roster!$B289),Setup!$B$24="Yes",ISNUMBER(Setup!$C$24)),EDATE(Roster!$B289,12*Setup!$C$24),"")</f>
        <v/>
      </c>
      <c r="G289" s="32" t="str">
        <f>IF(AND(ISNUMBER(Roster!$B289),Setup!$B$25="Yes",ISNUMBER(Setup!$C$25)),EDATE(Roster!$B289,12*Setup!$C$25),"")</f>
        <v/>
      </c>
      <c r="H289" s="32" t="str">
        <f>IF(AND(ISNUMBER(Roster!$B289),Setup!$B$26="Yes",ISNUMBER(Setup!$C$26)),EDATE(Roster!$B289,12*Setup!$C$26),"")</f>
        <v/>
      </c>
      <c r="I289" s="32" t="str">
        <f>IF(AND(ISNUMBER(Roster!$B289),Setup!$B$27="Yes",ISNUMBER(Setup!$C$27)),EDATE(Roster!$B289,12*Setup!$C$27),"")</f>
        <v/>
      </c>
      <c r="J289" s="32" t="str">
        <f>IF(AND(ISNUMBER(Roster!$B289),Setup!$B$28="Yes",ISNUMBER(Setup!$C$28)),EDATE(Roster!$B289,12*Setup!$C$28),"")</f>
        <v/>
      </c>
      <c r="K289" s="32" t="str">
        <f>IF(AND(ISNUMBER(Roster!$B289),Setup!$B$29="Yes",ISNUMBER(Setup!$C$29)),EDATE(Roster!$B289,12*Setup!$C$29),"")</f>
        <v/>
      </c>
      <c r="L289" s="32" t="str">
        <f>IF(AND(ISNUMBER(Roster!$B289),Setup!$B$30="Yes",ISNUMBER(Setup!$C$30)),EDATE(Roster!$B289,12*Setup!$C$30),"")</f>
        <v/>
      </c>
      <c r="M289" s="32" t="str">
        <f>IF(AND(ISNUMBER(Roster!$B289),Setup!$B$31="Yes",ISNUMBER(Setup!$C$31)),EDATE(Roster!$B289,12*Setup!$C$31),"")</f>
        <v/>
      </c>
      <c r="N289" s="32" t="str">
        <f>IF(AND(ISNUMBER(Roster!$B289),Setup!$B$32="Yes",ISNUMBER(Setup!$C$32)),EDATE(Roster!$B289,12*Setup!$C$32),"")</f>
        <v/>
      </c>
      <c r="O289" s="32" t="str">
        <f>IF(AND(ISNUMBER(Roster!$B289),Setup!$B$33="Yes",ISNUMBER(Setup!$C$33)),EDATE(Roster!$B289,12*Setup!$C$33),"")</f>
        <v/>
      </c>
      <c r="P289" s="32" t="str">
        <f>IF(AND(ISNUMBER(Roster!$B289),Setup!$B$34="Yes",ISNUMBER(Setup!$C$34)),EDATE(Roster!$B289,12*Setup!$C$34),"")</f>
        <v/>
      </c>
      <c r="R289" t="str">
        <f>IF(B289="","",IF(B289&lt;Setup!$C$5-Setup!$C$6,"",IF(IF(ISNUMBER(Roster!$D289),Setup!$C$20&lt;=Roster!$D289,FALSE),"",IF(OR(IF(Setup!$C$15&lt;=Setup!$C$16,AND(MONTH(B289)&gt;=Setup!$C$15,MONTH(B289)&lt;=Setup!$C$16),OR(MONTH(B289)&gt;=Setup!$C$15,MONTH(B289)&lt;=Setup!$C$16)),IF(Setup!$C$15&lt;=Setup!$C$16,AND(MONTH(WORKDAY(B289,-(Setup!$C$13+Setup!$G$20),Setup!$C$39:$C$50))&gt;=Setup!$C$15,MONTH(WORKDAY(B289,-(Setup!$C$13+Setup!$G$20),Setup!$C$39:$C$50))&lt;=Setup!$C$16),OR(MONTH(WORKDAY(B289,-(Setup!$C$13+Setup!$G$20),Setup!$C$39:$C$50))&gt;=Setup!$C$15,MONTH(WORKDAY(B289,-(Setup!$C$13+Setup!$G$20),Setup!$C$39:$C$50))&lt;=Setup!$C$16))),WORKDAY(B289,-(Setup!$C$13+Setup!$G$20+Setup!$C$14),Setup!$C$39:$C$50),WORKDAY(B289,-(Setup!$C$13+Setup!$G$20),Setup!$C$39:$C$50))+(284*100+1)/10000000)))</f>
        <v/>
      </c>
      <c r="S289" t="str">
        <f>IF(C289="","",IF(C289&lt;Setup!$C$5-Setup!$C$6,"",IF(IF(ISNUMBER(Roster!$D289),Setup!$C$21&lt;=Roster!$D289,FALSE),"",IF(OR(IF(Setup!$C$15&lt;=Setup!$C$16,AND(MONTH(C289)&gt;=Setup!$C$15,MONTH(C289)&lt;=Setup!$C$16),OR(MONTH(C289)&gt;=Setup!$C$15,MONTH(C289)&lt;=Setup!$C$16)),IF(Setup!$C$15&lt;=Setup!$C$16,AND(MONTH(WORKDAY(C289,-(Setup!$C$13+Setup!$G$21),Setup!$C$39:$C$50))&gt;=Setup!$C$15,MONTH(WORKDAY(C289,-(Setup!$C$13+Setup!$G$21),Setup!$C$39:$C$50))&lt;=Setup!$C$16),OR(MONTH(WORKDAY(C289,-(Setup!$C$13+Setup!$G$21),Setup!$C$39:$C$50))&gt;=Setup!$C$15,MONTH(WORKDAY(C289,-(Setup!$C$13+Setup!$G$21),Setup!$C$39:$C$50))&lt;=Setup!$C$16))),WORKDAY(C289,-(Setup!$C$13+Setup!$G$21+Setup!$C$14),Setup!$C$39:$C$50),WORKDAY(C289,-(Setup!$C$13+Setup!$G$21),Setup!$C$39:$C$50))+(284*100+2)/10000000)))</f>
        <v/>
      </c>
      <c r="T289" t="str">
        <f>IF(D289="","",IF(D289&lt;Setup!$C$5-Setup!$C$6,"",IF(IF(ISNUMBER(Roster!$D289),Setup!$C$22&lt;=Roster!$D289,FALSE),"",IF(OR(IF(Setup!$C$15&lt;=Setup!$C$16,AND(MONTH(D289)&gt;=Setup!$C$15,MONTH(D289)&lt;=Setup!$C$16),OR(MONTH(D289)&gt;=Setup!$C$15,MONTH(D289)&lt;=Setup!$C$16)),IF(Setup!$C$15&lt;=Setup!$C$16,AND(MONTH(WORKDAY(D289,-(Setup!$C$13+Setup!$G$22),Setup!$C$39:$C$50))&gt;=Setup!$C$15,MONTH(WORKDAY(D289,-(Setup!$C$13+Setup!$G$22),Setup!$C$39:$C$50))&lt;=Setup!$C$16),OR(MONTH(WORKDAY(D289,-(Setup!$C$13+Setup!$G$22),Setup!$C$39:$C$50))&gt;=Setup!$C$15,MONTH(WORKDAY(D289,-(Setup!$C$13+Setup!$G$22),Setup!$C$39:$C$50))&lt;=Setup!$C$16))),WORKDAY(D289,-(Setup!$C$13+Setup!$G$22+Setup!$C$14),Setup!$C$39:$C$50),WORKDAY(D289,-(Setup!$C$13+Setup!$G$22),Setup!$C$39:$C$50))+(284*100+3)/10000000)))</f>
        <v/>
      </c>
      <c r="U289" t="str">
        <f>IF(E289="","",IF(E289&lt;Setup!$C$5-Setup!$C$6,"",IF(IF(ISNUMBER(Roster!$D289),Setup!$C$23&lt;=Roster!$D289,FALSE),"",IF(OR(IF(Setup!$C$15&lt;=Setup!$C$16,AND(MONTH(E289)&gt;=Setup!$C$15,MONTH(E289)&lt;=Setup!$C$16),OR(MONTH(E289)&gt;=Setup!$C$15,MONTH(E289)&lt;=Setup!$C$16)),IF(Setup!$C$15&lt;=Setup!$C$16,AND(MONTH(WORKDAY(E289,-(Setup!$C$13+Setup!$G$23),Setup!$C$39:$C$50))&gt;=Setup!$C$15,MONTH(WORKDAY(E289,-(Setup!$C$13+Setup!$G$23),Setup!$C$39:$C$50))&lt;=Setup!$C$16),OR(MONTH(WORKDAY(E289,-(Setup!$C$13+Setup!$G$23),Setup!$C$39:$C$50))&gt;=Setup!$C$15,MONTH(WORKDAY(E289,-(Setup!$C$13+Setup!$G$23),Setup!$C$39:$C$50))&lt;=Setup!$C$16))),WORKDAY(E289,-(Setup!$C$13+Setup!$G$23+Setup!$C$14),Setup!$C$39:$C$50),WORKDAY(E289,-(Setup!$C$13+Setup!$G$23),Setup!$C$39:$C$50))+(284*100+4)/10000000)))</f>
        <v/>
      </c>
      <c r="V289" t="str">
        <f>IF(F289="","",IF(F289&lt;Setup!$C$5-Setup!$C$6,"",IF(IF(ISNUMBER(Roster!$D289),Setup!$C$24&lt;=Roster!$D289,FALSE),"",IF(OR(IF(Setup!$C$15&lt;=Setup!$C$16,AND(MONTH(F289)&gt;=Setup!$C$15,MONTH(F289)&lt;=Setup!$C$16),OR(MONTH(F289)&gt;=Setup!$C$15,MONTH(F289)&lt;=Setup!$C$16)),IF(Setup!$C$15&lt;=Setup!$C$16,AND(MONTH(WORKDAY(F289,-(Setup!$C$13+Setup!$G$24),Setup!$C$39:$C$50))&gt;=Setup!$C$15,MONTH(WORKDAY(F289,-(Setup!$C$13+Setup!$G$24),Setup!$C$39:$C$50))&lt;=Setup!$C$16),OR(MONTH(WORKDAY(F289,-(Setup!$C$13+Setup!$G$24),Setup!$C$39:$C$50))&gt;=Setup!$C$15,MONTH(WORKDAY(F289,-(Setup!$C$13+Setup!$G$24),Setup!$C$39:$C$50))&lt;=Setup!$C$16))),WORKDAY(F289,-(Setup!$C$13+Setup!$G$24+Setup!$C$14),Setup!$C$39:$C$50),WORKDAY(F289,-(Setup!$C$13+Setup!$G$24),Setup!$C$39:$C$50))+(284*100+5)/10000000)))</f>
        <v/>
      </c>
      <c r="W289" t="str">
        <f>IF(G289="","",IF(G289&lt;Setup!$C$5-Setup!$C$6,"",IF(IF(ISNUMBER(Roster!$D289),Setup!$C$25&lt;=Roster!$D289,FALSE),"",IF(OR(IF(Setup!$C$15&lt;=Setup!$C$16,AND(MONTH(G289)&gt;=Setup!$C$15,MONTH(G289)&lt;=Setup!$C$16),OR(MONTH(G289)&gt;=Setup!$C$15,MONTH(G289)&lt;=Setup!$C$16)),IF(Setup!$C$15&lt;=Setup!$C$16,AND(MONTH(WORKDAY(G289,-(Setup!$C$13+Setup!$G$25),Setup!$C$39:$C$50))&gt;=Setup!$C$15,MONTH(WORKDAY(G289,-(Setup!$C$13+Setup!$G$25),Setup!$C$39:$C$50))&lt;=Setup!$C$16),OR(MONTH(WORKDAY(G289,-(Setup!$C$13+Setup!$G$25),Setup!$C$39:$C$50))&gt;=Setup!$C$15,MONTH(WORKDAY(G289,-(Setup!$C$13+Setup!$G$25),Setup!$C$39:$C$50))&lt;=Setup!$C$16))),WORKDAY(G289,-(Setup!$C$13+Setup!$G$25+Setup!$C$14),Setup!$C$39:$C$50),WORKDAY(G289,-(Setup!$C$13+Setup!$G$25),Setup!$C$39:$C$50))+(284*100+6)/10000000)))</f>
        <v/>
      </c>
      <c r="X289" t="str">
        <f>IF(H289="","",IF(H289&lt;Setup!$C$5-Setup!$C$6,"",IF(IF(ISNUMBER(Roster!$D289),Setup!$C$26&lt;=Roster!$D289,FALSE),"",IF(OR(IF(Setup!$C$15&lt;=Setup!$C$16,AND(MONTH(H289)&gt;=Setup!$C$15,MONTH(H289)&lt;=Setup!$C$16),OR(MONTH(H289)&gt;=Setup!$C$15,MONTH(H289)&lt;=Setup!$C$16)),IF(Setup!$C$15&lt;=Setup!$C$16,AND(MONTH(WORKDAY(H289,-(Setup!$C$13+Setup!$G$26),Setup!$C$39:$C$50))&gt;=Setup!$C$15,MONTH(WORKDAY(H289,-(Setup!$C$13+Setup!$G$26),Setup!$C$39:$C$50))&lt;=Setup!$C$16),OR(MONTH(WORKDAY(H289,-(Setup!$C$13+Setup!$G$26),Setup!$C$39:$C$50))&gt;=Setup!$C$15,MONTH(WORKDAY(H289,-(Setup!$C$13+Setup!$G$26),Setup!$C$39:$C$50))&lt;=Setup!$C$16))),WORKDAY(H289,-(Setup!$C$13+Setup!$G$26+Setup!$C$14),Setup!$C$39:$C$50),WORKDAY(H289,-(Setup!$C$13+Setup!$G$26),Setup!$C$39:$C$50))+(284*100+7)/10000000)))</f>
        <v/>
      </c>
      <c r="Y289" t="str">
        <f>IF(I289="","",IF(I289&lt;Setup!$C$5-Setup!$C$6,"",IF(IF(ISNUMBER(Roster!$D289),Setup!$C$27&lt;=Roster!$D289,FALSE),"",IF(OR(IF(Setup!$C$15&lt;=Setup!$C$16,AND(MONTH(I289)&gt;=Setup!$C$15,MONTH(I289)&lt;=Setup!$C$16),OR(MONTH(I289)&gt;=Setup!$C$15,MONTH(I289)&lt;=Setup!$C$16)),IF(Setup!$C$15&lt;=Setup!$C$16,AND(MONTH(WORKDAY(I289,-(Setup!$C$13+Setup!$G$27),Setup!$C$39:$C$50))&gt;=Setup!$C$15,MONTH(WORKDAY(I289,-(Setup!$C$13+Setup!$G$27),Setup!$C$39:$C$50))&lt;=Setup!$C$16),OR(MONTH(WORKDAY(I289,-(Setup!$C$13+Setup!$G$27),Setup!$C$39:$C$50))&gt;=Setup!$C$15,MONTH(WORKDAY(I289,-(Setup!$C$13+Setup!$G$27),Setup!$C$39:$C$50))&lt;=Setup!$C$16))),WORKDAY(I289,-(Setup!$C$13+Setup!$G$27+Setup!$C$14),Setup!$C$39:$C$50),WORKDAY(I289,-(Setup!$C$13+Setup!$G$27),Setup!$C$39:$C$50))+(284*100+8)/10000000)))</f>
        <v/>
      </c>
      <c r="Z289" t="str">
        <f>IF(J289="","",IF(J289&lt;Setup!$C$5-Setup!$C$6,"",IF(IF(ISNUMBER(Roster!$D289),Setup!$C$28&lt;=Roster!$D289,FALSE),"",IF(OR(IF(Setup!$C$15&lt;=Setup!$C$16,AND(MONTH(J289)&gt;=Setup!$C$15,MONTH(J289)&lt;=Setup!$C$16),OR(MONTH(J289)&gt;=Setup!$C$15,MONTH(J289)&lt;=Setup!$C$16)),IF(Setup!$C$15&lt;=Setup!$C$16,AND(MONTH(WORKDAY(J289,-(Setup!$C$13+Setup!$G$28),Setup!$C$39:$C$50))&gt;=Setup!$C$15,MONTH(WORKDAY(J289,-(Setup!$C$13+Setup!$G$28),Setup!$C$39:$C$50))&lt;=Setup!$C$16),OR(MONTH(WORKDAY(J289,-(Setup!$C$13+Setup!$G$28),Setup!$C$39:$C$50))&gt;=Setup!$C$15,MONTH(WORKDAY(J289,-(Setup!$C$13+Setup!$G$28),Setup!$C$39:$C$50))&lt;=Setup!$C$16))),WORKDAY(J289,-(Setup!$C$13+Setup!$G$28+Setup!$C$14),Setup!$C$39:$C$50),WORKDAY(J289,-(Setup!$C$13+Setup!$G$28),Setup!$C$39:$C$50))+(284*100+9)/10000000)))</f>
        <v/>
      </c>
      <c r="AA289" t="str">
        <f>IF(K289="","",IF(K289&lt;Setup!$C$5-Setup!$C$6,"",IF(IF(ISNUMBER(Roster!$D289),Setup!$C$29&lt;=Roster!$D289,FALSE),"",IF(OR(IF(Setup!$C$15&lt;=Setup!$C$16,AND(MONTH(K289)&gt;=Setup!$C$15,MONTH(K289)&lt;=Setup!$C$16),OR(MONTH(K289)&gt;=Setup!$C$15,MONTH(K289)&lt;=Setup!$C$16)),IF(Setup!$C$15&lt;=Setup!$C$16,AND(MONTH(WORKDAY(K289,-(Setup!$C$13+Setup!$G$29),Setup!$C$39:$C$50))&gt;=Setup!$C$15,MONTH(WORKDAY(K289,-(Setup!$C$13+Setup!$G$29),Setup!$C$39:$C$50))&lt;=Setup!$C$16),OR(MONTH(WORKDAY(K289,-(Setup!$C$13+Setup!$G$29),Setup!$C$39:$C$50))&gt;=Setup!$C$15,MONTH(WORKDAY(K289,-(Setup!$C$13+Setup!$G$29),Setup!$C$39:$C$50))&lt;=Setup!$C$16))),WORKDAY(K289,-(Setup!$C$13+Setup!$G$29+Setup!$C$14),Setup!$C$39:$C$50),WORKDAY(K289,-(Setup!$C$13+Setup!$G$29),Setup!$C$39:$C$50))+(284*100+10)/10000000)))</f>
        <v/>
      </c>
      <c r="AB289" t="str">
        <f>IF(L289="","",IF(L289&lt;Setup!$C$5-Setup!$C$6,"",IF(IF(ISNUMBER(Roster!$D289),Setup!$C$30&lt;=Roster!$D289,FALSE),"",IF(OR(IF(Setup!$C$15&lt;=Setup!$C$16,AND(MONTH(L289)&gt;=Setup!$C$15,MONTH(L289)&lt;=Setup!$C$16),OR(MONTH(L289)&gt;=Setup!$C$15,MONTH(L289)&lt;=Setup!$C$16)),IF(Setup!$C$15&lt;=Setup!$C$16,AND(MONTH(WORKDAY(L289,-(Setup!$C$13+Setup!$G$30),Setup!$C$39:$C$50))&gt;=Setup!$C$15,MONTH(WORKDAY(L289,-(Setup!$C$13+Setup!$G$30),Setup!$C$39:$C$50))&lt;=Setup!$C$16),OR(MONTH(WORKDAY(L289,-(Setup!$C$13+Setup!$G$30),Setup!$C$39:$C$50))&gt;=Setup!$C$15,MONTH(WORKDAY(L289,-(Setup!$C$13+Setup!$G$30),Setup!$C$39:$C$50))&lt;=Setup!$C$16))),WORKDAY(L289,-(Setup!$C$13+Setup!$G$30+Setup!$C$14),Setup!$C$39:$C$50),WORKDAY(L289,-(Setup!$C$13+Setup!$G$30),Setup!$C$39:$C$50))+(284*100+11)/10000000)))</f>
        <v/>
      </c>
      <c r="AC289" t="str">
        <f>IF(M289="","",IF(M289&lt;Setup!$C$5-Setup!$C$6,"",IF(IF(ISNUMBER(Roster!$D289),Setup!$C$31&lt;=Roster!$D289,FALSE),"",IF(OR(IF(Setup!$C$15&lt;=Setup!$C$16,AND(MONTH(M289)&gt;=Setup!$C$15,MONTH(M289)&lt;=Setup!$C$16),OR(MONTH(M289)&gt;=Setup!$C$15,MONTH(M289)&lt;=Setup!$C$16)),IF(Setup!$C$15&lt;=Setup!$C$16,AND(MONTH(WORKDAY(M289,-(Setup!$C$13+Setup!$G$31),Setup!$C$39:$C$50))&gt;=Setup!$C$15,MONTH(WORKDAY(M289,-(Setup!$C$13+Setup!$G$31),Setup!$C$39:$C$50))&lt;=Setup!$C$16),OR(MONTH(WORKDAY(M289,-(Setup!$C$13+Setup!$G$31),Setup!$C$39:$C$50))&gt;=Setup!$C$15,MONTH(WORKDAY(M289,-(Setup!$C$13+Setup!$G$31),Setup!$C$39:$C$50))&lt;=Setup!$C$16))),WORKDAY(M289,-(Setup!$C$13+Setup!$G$31+Setup!$C$14),Setup!$C$39:$C$50),WORKDAY(M289,-(Setup!$C$13+Setup!$G$31),Setup!$C$39:$C$50))+(284*100+12)/10000000)))</f>
        <v/>
      </c>
      <c r="AD289" t="str">
        <f>IF(N289="","",IF(N289&lt;Setup!$C$5-Setup!$C$6,"",IF(IF(ISNUMBER(Roster!$D289),Setup!$C$32&lt;=Roster!$D289,FALSE),"",IF(OR(IF(Setup!$C$15&lt;=Setup!$C$16,AND(MONTH(N289)&gt;=Setup!$C$15,MONTH(N289)&lt;=Setup!$C$16),OR(MONTH(N289)&gt;=Setup!$C$15,MONTH(N289)&lt;=Setup!$C$16)),IF(Setup!$C$15&lt;=Setup!$C$16,AND(MONTH(WORKDAY(N289,-(Setup!$C$13+Setup!$G$32),Setup!$C$39:$C$50))&gt;=Setup!$C$15,MONTH(WORKDAY(N289,-(Setup!$C$13+Setup!$G$32),Setup!$C$39:$C$50))&lt;=Setup!$C$16),OR(MONTH(WORKDAY(N289,-(Setup!$C$13+Setup!$G$32),Setup!$C$39:$C$50))&gt;=Setup!$C$15,MONTH(WORKDAY(N289,-(Setup!$C$13+Setup!$G$32),Setup!$C$39:$C$50))&lt;=Setup!$C$16))),WORKDAY(N289,-(Setup!$C$13+Setup!$G$32+Setup!$C$14),Setup!$C$39:$C$50),WORKDAY(N289,-(Setup!$C$13+Setup!$G$32),Setup!$C$39:$C$50))+(284*100+13)/10000000)))</f>
        <v/>
      </c>
      <c r="AE289" t="str">
        <f>IF(O289="","",IF(O289&lt;Setup!$C$5-Setup!$C$6,"",IF(IF(ISNUMBER(Roster!$D289),Setup!$C$33&lt;=Roster!$D289,FALSE),"",IF(OR(IF(Setup!$C$15&lt;=Setup!$C$16,AND(MONTH(O289)&gt;=Setup!$C$15,MONTH(O289)&lt;=Setup!$C$16),OR(MONTH(O289)&gt;=Setup!$C$15,MONTH(O289)&lt;=Setup!$C$16)),IF(Setup!$C$15&lt;=Setup!$C$16,AND(MONTH(WORKDAY(O289,-(Setup!$C$13+Setup!$G$33),Setup!$C$39:$C$50))&gt;=Setup!$C$15,MONTH(WORKDAY(O289,-(Setup!$C$13+Setup!$G$33),Setup!$C$39:$C$50))&lt;=Setup!$C$16),OR(MONTH(WORKDAY(O289,-(Setup!$C$13+Setup!$G$33),Setup!$C$39:$C$50))&gt;=Setup!$C$15,MONTH(WORKDAY(O289,-(Setup!$C$13+Setup!$G$33),Setup!$C$39:$C$50))&lt;=Setup!$C$16))),WORKDAY(O289,-(Setup!$C$13+Setup!$G$33+Setup!$C$14),Setup!$C$39:$C$50),WORKDAY(O289,-(Setup!$C$13+Setup!$G$33),Setup!$C$39:$C$50))+(284*100+14)/10000000)))</f>
        <v/>
      </c>
      <c r="AF289" t="str">
        <f>IF(P289="","",IF(P289&lt;Setup!$C$5-Setup!$C$6,"",IF(IF(ISNUMBER(Roster!$D289),Setup!$C$34&lt;=Roster!$D289,FALSE),"",IF(OR(IF(Setup!$C$15&lt;=Setup!$C$16,AND(MONTH(P289)&gt;=Setup!$C$15,MONTH(P289)&lt;=Setup!$C$16),OR(MONTH(P289)&gt;=Setup!$C$15,MONTH(P289)&lt;=Setup!$C$16)),IF(Setup!$C$15&lt;=Setup!$C$16,AND(MONTH(WORKDAY(P289,-(Setup!$C$13+Setup!$G$34),Setup!$C$39:$C$50))&gt;=Setup!$C$15,MONTH(WORKDAY(P289,-(Setup!$C$13+Setup!$G$34),Setup!$C$39:$C$50))&lt;=Setup!$C$16),OR(MONTH(WORKDAY(P289,-(Setup!$C$13+Setup!$G$34),Setup!$C$39:$C$50))&gt;=Setup!$C$15,MONTH(WORKDAY(P289,-(Setup!$C$13+Setup!$G$34),Setup!$C$39:$C$50))&lt;=Setup!$C$16))),WORKDAY(P289,-(Setup!$C$13+Setup!$G$34+Setup!$C$14),Setup!$C$39:$C$50),WORKDAY(P289,-(Setup!$C$13+Setup!$G$34),Setup!$C$39:$C$50))+(284*100+15)/10000000)))</f>
        <v/>
      </c>
      <c r="AH289" t="str">
        <f t="shared" si="33"/>
        <v/>
      </c>
      <c r="AI289" t="str">
        <f t="shared" si="34"/>
        <v/>
      </c>
      <c r="AK289" t="str">
        <f ca="1">IF(284&gt;$AK$2,"",SMALL($R$6:$AF$505,284))</f>
        <v/>
      </c>
      <c r="AL289" t="str">
        <f t="shared" ca="1" si="35"/>
        <v/>
      </c>
      <c r="AM289" t="str">
        <f t="shared" ca="1" si="36"/>
        <v/>
      </c>
      <c r="AN289" t="str">
        <f t="shared" ca="1" si="37"/>
        <v/>
      </c>
      <c r="AP289" t="str">
        <f>IF(ISNUMBER(Roster!$B289),MAX(1,YEAR(Setup!$C$5)-YEAR(Roster!$B289)+IF(EDATE(Roster!$B289,12*(YEAR(Setup!$C$5)-YEAR(Roster!$B289)))&lt;Setup!$C$5,1,0)),"")</f>
        <v/>
      </c>
      <c r="AQ289" s="32" t="str">
        <f>IF(AP289="","",EDATE(Roster!$B289,12*AP289))</f>
        <v/>
      </c>
      <c r="AR289" t="str">
        <f>IF(AQ289="","",IF(AQ289&lt;DATE(YEAR(Setup!$C$5)+1,MONTH(Setup!$C$5),DAY(Setup!$C$5)),AQ289+284/1000,""))</f>
        <v/>
      </c>
      <c r="AS289" t="str">
        <f t="shared" si="38"/>
        <v/>
      </c>
      <c r="AT289" t="str">
        <f>IF(AS289="","",IF(ISNUMBER(Roster!$D289),Roster!$D289&gt;=AP289,FALSE))</f>
        <v/>
      </c>
      <c r="AU289" t="str">
        <f t="shared" si="39"/>
        <v/>
      </c>
      <c r="AV289" t="str">
        <f ca="1">IF(284&gt;$AV$2,"",SMALL($AR$6:$AR$505,284))</f>
        <v/>
      </c>
      <c r="AW289" t="str">
        <f t="shared" ca="1" si="40"/>
        <v/>
      </c>
    </row>
    <row r="290" spans="2:49" x14ac:dyDescent="0.2">
      <c r="B290" s="32" t="str">
        <f>IF(AND(ISNUMBER(Roster!$B290),Setup!$B$20="Yes",ISNUMBER(Setup!$C$20)),EDATE(Roster!$B290,12*Setup!$C$20),"")</f>
        <v/>
      </c>
      <c r="C290" s="32" t="str">
        <f>IF(AND(ISNUMBER(Roster!$B290),Setup!$B$21="Yes",ISNUMBER(Setup!$C$21)),EDATE(Roster!$B290,12*Setup!$C$21),"")</f>
        <v/>
      </c>
      <c r="D290" s="32" t="str">
        <f>IF(AND(ISNUMBER(Roster!$B290),Setup!$B$22="Yes",ISNUMBER(Setup!$C$22)),EDATE(Roster!$B290,12*Setup!$C$22),"")</f>
        <v/>
      </c>
      <c r="E290" s="32" t="str">
        <f>IF(AND(ISNUMBER(Roster!$B290),Setup!$B$23="Yes",ISNUMBER(Setup!$C$23)),EDATE(Roster!$B290,12*Setup!$C$23),"")</f>
        <v/>
      </c>
      <c r="F290" s="32" t="str">
        <f>IF(AND(ISNUMBER(Roster!$B290),Setup!$B$24="Yes",ISNUMBER(Setup!$C$24)),EDATE(Roster!$B290,12*Setup!$C$24),"")</f>
        <v/>
      </c>
      <c r="G290" s="32" t="str">
        <f>IF(AND(ISNUMBER(Roster!$B290),Setup!$B$25="Yes",ISNUMBER(Setup!$C$25)),EDATE(Roster!$B290,12*Setup!$C$25),"")</f>
        <v/>
      </c>
      <c r="H290" s="32" t="str">
        <f>IF(AND(ISNUMBER(Roster!$B290),Setup!$B$26="Yes",ISNUMBER(Setup!$C$26)),EDATE(Roster!$B290,12*Setup!$C$26),"")</f>
        <v/>
      </c>
      <c r="I290" s="32" t="str">
        <f>IF(AND(ISNUMBER(Roster!$B290),Setup!$B$27="Yes",ISNUMBER(Setup!$C$27)),EDATE(Roster!$B290,12*Setup!$C$27),"")</f>
        <v/>
      </c>
      <c r="J290" s="32" t="str">
        <f>IF(AND(ISNUMBER(Roster!$B290),Setup!$B$28="Yes",ISNUMBER(Setup!$C$28)),EDATE(Roster!$B290,12*Setup!$C$28),"")</f>
        <v/>
      </c>
      <c r="K290" s="32" t="str">
        <f>IF(AND(ISNUMBER(Roster!$B290),Setup!$B$29="Yes",ISNUMBER(Setup!$C$29)),EDATE(Roster!$B290,12*Setup!$C$29),"")</f>
        <v/>
      </c>
      <c r="L290" s="32" t="str">
        <f>IF(AND(ISNUMBER(Roster!$B290),Setup!$B$30="Yes",ISNUMBER(Setup!$C$30)),EDATE(Roster!$B290,12*Setup!$C$30),"")</f>
        <v/>
      </c>
      <c r="M290" s="32" t="str">
        <f>IF(AND(ISNUMBER(Roster!$B290),Setup!$B$31="Yes",ISNUMBER(Setup!$C$31)),EDATE(Roster!$B290,12*Setup!$C$31),"")</f>
        <v/>
      </c>
      <c r="N290" s="32" t="str">
        <f>IF(AND(ISNUMBER(Roster!$B290),Setup!$B$32="Yes",ISNUMBER(Setup!$C$32)),EDATE(Roster!$B290,12*Setup!$C$32),"")</f>
        <v/>
      </c>
      <c r="O290" s="32" t="str">
        <f>IF(AND(ISNUMBER(Roster!$B290),Setup!$B$33="Yes",ISNUMBER(Setup!$C$33)),EDATE(Roster!$B290,12*Setup!$C$33),"")</f>
        <v/>
      </c>
      <c r="P290" s="32" t="str">
        <f>IF(AND(ISNUMBER(Roster!$B290),Setup!$B$34="Yes",ISNUMBER(Setup!$C$34)),EDATE(Roster!$B290,12*Setup!$C$34),"")</f>
        <v/>
      </c>
      <c r="R290" t="str">
        <f>IF(B290="","",IF(B290&lt;Setup!$C$5-Setup!$C$6,"",IF(IF(ISNUMBER(Roster!$D290),Setup!$C$20&lt;=Roster!$D290,FALSE),"",IF(OR(IF(Setup!$C$15&lt;=Setup!$C$16,AND(MONTH(B290)&gt;=Setup!$C$15,MONTH(B290)&lt;=Setup!$C$16),OR(MONTH(B290)&gt;=Setup!$C$15,MONTH(B290)&lt;=Setup!$C$16)),IF(Setup!$C$15&lt;=Setup!$C$16,AND(MONTH(WORKDAY(B290,-(Setup!$C$13+Setup!$G$20),Setup!$C$39:$C$50))&gt;=Setup!$C$15,MONTH(WORKDAY(B290,-(Setup!$C$13+Setup!$G$20),Setup!$C$39:$C$50))&lt;=Setup!$C$16),OR(MONTH(WORKDAY(B290,-(Setup!$C$13+Setup!$G$20),Setup!$C$39:$C$50))&gt;=Setup!$C$15,MONTH(WORKDAY(B290,-(Setup!$C$13+Setup!$G$20),Setup!$C$39:$C$50))&lt;=Setup!$C$16))),WORKDAY(B290,-(Setup!$C$13+Setup!$G$20+Setup!$C$14),Setup!$C$39:$C$50),WORKDAY(B290,-(Setup!$C$13+Setup!$G$20),Setup!$C$39:$C$50))+(285*100+1)/10000000)))</f>
        <v/>
      </c>
      <c r="S290" t="str">
        <f>IF(C290="","",IF(C290&lt;Setup!$C$5-Setup!$C$6,"",IF(IF(ISNUMBER(Roster!$D290),Setup!$C$21&lt;=Roster!$D290,FALSE),"",IF(OR(IF(Setup!$C$15&lt;=Setup!$C$16,AND(MONTH(C290)&gt;=Setup!$C$15,MONTH(C290)&lt;=Setup!$C$16),OR(MONTH(C290)&gt;=Setup!$C$15,MONTH(C290)&lt;=Setup!$C$16)),IF(Setup!$C$15&lt;=Setup!$C$16,AND(MONTH(WORKDAY(C290,-(Setup!$C$13+Setup!$G$21),Setup!$C$39:$C$50))&gt;=Setup!$C$15,MONTH(WORKDAY(C290,-(Setup!$C$13+Setup!$G$21),Setup!$C$39:$C$50))&lt;=Setup!$C$16),OR(MONTH(WORKDAY(C290,-(Setup!$C$13+Setup!$G$21),Setup!$C$39:$C$50))&gt;=Setup!$C$15,MONTH(WORKDAY(C290,-(Setup!$C$13+Setup!$G$21),Setup!$C$39:$C$50))&lt;=Setup!$C$16))),WORKDAY(C290,-(Setup!$C$13+Setup!$G$21+Setup!$C$14),Setup!$C$39:$C$50),WORKDAY(C290,-(Setup!$C$13+Setup!$G$21),Setup!$C$39:$C$50))+(285*100+2)/10000000)))</f>
        <v/>
      </c>
      <c r="T290" t="str">
        <f>IF(D290="","",IF(D290&lt;Setup!$C$5-Setup!$C$6,"",IF(IF(ISNUMBER(Roster!$D290),Setup!$C$22&lt;=Roster!$D290,FALSE),"",IF(OR(IF(Setup!$C$15&lt;=Setup!$C$16,AND(MONTH(D290)&gt;=Setup!$C$15,MONTH(D290)&lt;=Setup!$C$16),OR(MONTH(D290)&gt;=Setup!$C$15,MONTH(D290)&lt;=Setup!$C$16)),IF(Setup!$C$15&lt;=Setup!$C$16,AND(MONTH(WORKDAY(D290,-(Setup!$C$13+Setup!$G$22),Setup!$C$39:$C$50))&gt;=Setup!$C$15,MONTH(WORKDAY(D290,-(Setup!$C$13+Setup!$G$22),Setup!$C$39:$C$50))&lt;=Setup!$C$16),OR(MONTH(WORKDAY(D290,-(Setup!$C$13+Setup!$G$22),Setup!$C$39:$C$50))&gt;=Setup!$C$15,MONTH(WORKDAY(D290,-(Setup!$C$13+Setup!$G$22),Setup!$C$39:$C$50))&lt;=Setup!$C$16))),WORKDAY(D290,-(Setup!$C$13+Setup!$G$22+Setup!$C$14),Setup!$C$39:$C$50),WORKDAY(D290,-(Setup!$C$13+Setup!$G$22),Setup!$C$39:$C$50))+(285*100+3)/10000000)))</f>
        <v/>
      </c>
      <c r="U290" t="str">
        <f>IF(E290="","",IF(E290&lt;Setup!$C$5-Setup!$C$6,"",IF(IF(ISNUMBER(Roster!$D290),Setup!$C$23&lt;=Roster!$D290,FALSE),"",IF(OR(IF(Setup!$C$15&lt;=Setup!$C$16,AND(MONTH(E290)&gt;=Setup!$C$15,MONTH(E290)&lt;=Setup!$C$16),OR(MONTH(E290)&gt;=Setup!$C$15,MONTH(E290)&lt;=Setup!$C$16)),IF(Setup!$C$15&lt;=Setup!$C$16,AND(MONTH(WORKDAY(E290,-(Setup!$C$13+Setup!$G$23),Setup!$C$39:$C$50))&gt;=Setup!$C$15,MONTH(WORKDAY(E290,-(Setup!$C$13+Setup!$G$23),Setup!$C$39:$C$50))&lt;=Setup!$C$16),OR(MONTH(WORKDAY(E290,-(Setup!$C$13+Setup!$G$23),Setup!$C$39:$C$50))&gt;=Setup!$C$15,MONTH(WORKDAY(E290,-(Setup!$C$13+Setup!$G$23),Setup!$C$39:$C$50))&lt;=Setup!$C$16))),WORKDAY(E290,-(Setup!$C$13+Setup!$G$23+Setup!$C$14),Setup!$C$39:$C$50),WORKDAY(E290,-(Setup!$C$13+Setup!$G$23),Setup!$C$39:$C$50))+(285*100+4)/10000000)))</f>
        <v/>
      </c>
      <c r="V290" t="str">
        <f>IF(F290="","",IF(F290&lt;Setup!$C$5-Setup!$C$6,"",IF(IF(ISNUMBER(Roster!$D290),Setup!$C$24&lt;=Roster!$D290,FALSE),"",IF(OR(IF(Setup!$C$15&lt;=Setup!$C$16,AND(MONTH(F290)&gt;=Setup!$C$15,MONTH(F290)&lt;=Setup!$C$16),OR(MONTH(F290)&gt;=Setup!$C$15,MONTH(F290)&lt;=Setup!$C$16)),IF(Setup!$C$15&lt;=Setup!$C$16,AND(MONTH(WORKDAY(F290,-(Setup!$C$13+Setup!$G$24),Setup!$C$39:$C$50))&gt;=Setup!$C$15,MONTH(WORKDAY(F290,-(Setup!$C$13+Setup!$G$24),Setup!$C$39:$C$50))&lt;=Setup!$C$16),OR(MONTH(WORKDAY(F290,-(Setup!$C$13+Setup!$G$24),Setup!$C$39:$C$50))&gt;=Setup!$C$15,MONTH(WORKDAY(F290,-(Setup!$C$13+Setup!$G$24),Setup!$C$39:$C$50))&lt;=Setup!$C$16))),WORKDAY(F290,-(Setup!$C$13+Setup!$G$24+Setup!$C$14),Setup!$C$39:$C$50),WORKDAY(F290,-(Setup!$C$13+Setup!$G$24),Setup!$C$39:$C$50))+(285*100+5)/10000000)))</f>
        <v/>
      </c>
      <c r="W290" t="str">
        <f>IF(G290="","",IF(G290&lt;Setup!$C$5-Setup!$C$6,"",IF(IF(ISNUMBER(Roster!$D290),Setup!$C$25&lt;=Roster!$D290,FALSE),"",IF(OR(IF(Setup!$C$15&lt;=Setup!$C$16,AND(MONTH(G290)&gt;=Setup!$C$15,MONTH(G290)&lt;=Setup!$C$16),OR(MONTH(G290)&gt;=Setup!$C$15,MONTH(G290)&lt;=Setup!$C$16)),IF(Setup!$C$15&lt;=Setup!$C$16,AND(MONTH(WORKDAY(G290,-(Setup!$C$13+Setup!$G$25),Setup!$C$39:$C$50))&gt;=Setup!$C$15,MONTH(WORKDAY(G290,-(Setup!$C$13+Setup!$G$25),Setup!$C$39:$C$50))&lt;=Setup!$C$16),OR(MONTH(WORKDAY(G290,-(Setup!$C$13+Setup!$G$25),Setup!$C$39:$C$50))&gt;=Setup!$C$15,MONTH(WORKDAY(G290,-(Setup!$C$13+Setup!$G$25),Setup!$C$39:$C$50))&lt;=Setup!$C$16))),WORKDAY(G290,-(Setup!$C$13+Setup!$G$25+Setup!$C$14),Setup!$C$39:$C$50),WORKDAY(G290,-(Setup!$C$13+Setup!$G$25),Setup!$C$39:$C$50))+(285*100+6)/10000000)))</f>
        <v/>
      </c>
      <c r="X290" t="str">
        <f>IF(H290="","",IF(H290&lt;Setup!$C$5-Setup!$C$6,"",IF(IF(ISNUMBER(Roster!$D290),Setup!$C$26&lt;=Roster!$D290,FALSE),"",IF(OR(IF(Setup!$C$15&lt;=Setup!$C$16,AND(MONTH(H290)&gt;=Setup!$C$15,MONTH(H290)&lt;=Setup!$C$16),OR(MONTH(H290)&gt;=Setup!$C$15,MONTH(H290)&lt;=Setup!$C$16)),IF(Setup!$C$15&lt;=Setup!$C$16,AND(MONTH(WORKDAY(H290,-(Setup!$C$13+Setup!$G$26),Setup!$C$39:$C$50))&gt;=Setup!$C$15,MONTH(WORKDAY(H290,-(Setup!$C$13+Setup!$G$26),Setup!$C$39:$C$50))&lt;=Setup!$C$16),OR(MONTH(WORKDAY(H290,-(Setup!$C$13+Setup!$G$26),Setup!$C$39:$C$50))&gt;=Setup!$C$15,MONTH(WORKDAY(H290,-(Setup!$C$13+Setup!$G$26),Setup!$C$39:$C$50))&lt;=Setup!$C$16))),WORKDAY(H290,-(Setup!$C$13+Setup!$G$26+Setup!$C$14),Setup!$C$39:$C$50),WORKDAY(H290,-(Setup!$C$13+Setup!$G$26),Setup!$C$39:$C$50))+(285*100+7)/10000000)))</f>
        <v/>
      </c>
      <c r="Y290" t="str">
        <f>IF(I290="","",IF(I290&lt;Setup!$C$5-Setup!$C$6,"",IF(IF(ISNUMBER(Roster!$D290),Setup!$C$27&lt;=Roster!$D290,FALSE),"",IF(OR(IF(Setup!$C$15&lt;=Setup!$C$16,AND(MONTH(I290)&gt;=Setup!$C$15,MONTH(I290)&lt;=Setup!$C$16),OR(MONTH(I290)&gt;=Setup!$C$15,MONTH(I290)&lt;=Setup!$C$16)),IF(Setup!$C$15&lt;=Setup!$C$16,AND(MONTH(WORKDAY(I290,-(Setup!$C$13+Setup!$G$27),Setup!$C$39:$C$50))&gt;=Setup!$C$15,MONTH(WORKDAY(I290,-(Setup!$C$13+Setup!$G$27),Setup!$C$39:$C$50))&lt;=Setup!$C$16),OR(MONTH(WORKDAY(I290,-(Setup!$C$13+Setup!$G$27),Setup!$C$39:$C$50))&gt;=Setup!$C$15,MONTH(WORKDAY(I290,-(Setup!$C$13+Setup!$G$27),Setup!$C$39:$C$50))&lt;=Setup!$C$16))),WORKDAY(I290,-(Setup!$C$13+Setup!$G$27+Setup!$C$14),Setup!$C$39:$C$50),WORKDAY(I290,-(Setup!$C$13+Setup!$G$27),Setup!$C$39:$C$50))+(285*100+8)/10000000)))</f>
        <v/>
      </c>
      <c r="Z290" t="str">
        <f>IF(J290="","",IF(J290&lt;Setup!$C$5-Setup!$C$6,"",IF(IF(ISNUMBER(Roster!$D290),Setup!$C$28&lt;=Roster!$D290,FALSE),"",IF(OR(IF(Setup!$C$15&lt;=Setup!$C$16,AND(MONTH(J290)&gt;=Setup!$C$15,MONTH(J290)&lt;=Setup!$C$16),OR(MONTH(J290)&gt;=Setup!$C$15,MONTH(J290)&lt;=Setup!$C$16)),IF(Setup!$C$15&lt;=Setup!$C$16,AND(MONTH(WORKDAY(J290,-(Setup!$C$13+Setup!$G$28),Setup!$C$39:$C$50))&gt;=Setup!$C$15,MONTH(WORKDAY(J290,-(Setup!$C$13+Setup!$G$28),Setup!$C$39:$C$50))&lt;=Setup!$C$16),OR(MONTH(WORKDAY(J290,-(Setup!$C$13+Setup!$G$28),Setup!$C$39:$C$50))&gt;=Setup!$C$15,MONTH(WORKDAY(J290,-(Setup!$C$13+Setup!$G$28),Setup!$C$39:$C$50))&lt;=Setup!$C$16))),WORKDAY(J290,-(Setup!$C$13+Setup!$G$28+Setup!$C$14),Setup!$C$39:$C$50),WORKDAY(J290,-(Setup!$C$13+Setup!$G$28),Setup!$C$39:$C$50))+(285*100+9)/10000000)))</f>
        <v/>
      </c>
      <c r="AA290" t="str">
        <f>IF(K290="","",IF(K290&lt;Setup!$C$5-Setup!$C$6,"",IF(IF(ISNUMBER(Roster!$D290),Setup!$C$29&lt;=Roster!$D290,FALSE),"",IF(OR(IF(Setup!$C$15&lt;=Setup!$C$16,AND(MONTH(K290)&gt;=Setup!$C$15,MONTH(K290)&lt;=Setup!$C$16),OR(MONTH(K290)&gt;=Setup!$C$15,MONTH(K290)&lt;=Setup!$C$16)),IF(Setup!$C$15&lt;=Setup!$C$16,AND(MONTH(WORKDAY(K290,-(Setup!$C$13+Setup!$G$29),Setup!$C$39:$C$50))&gt;=Setup!$C$15,MONTH(WORKDAY(K290,-(Setup!$C$13+Setup!$G$29),Setup!$C$39:$C$50))&lt;=Setup!$C$16),OR(MONTH(WORKDAY(K290,-(Setup!$C$13+Setup!$G$29),Setup!$C$39:$C$50))&gt;=Setup!$C$15,MONTH(WORKDAY(K290,-(Setup!$C$13+Setup!$G$29),Setup!$C$39:$C$50))&lt;=Setup!$C$16))),WORKDAY(K290,-(Setup!$C$13+Setup!$G$29+Setup!$C$14),Setup!$C$39:$C$50),WORKDAY(K290,-(Setup!$C$13+Setup!$G$29),Setup!$C$39:$C$50))+(285*100+10)/10000000)))</f>
        <v/>
      </c>
      <c r="AB290" t="str">
        <f>IF(L290="","",IF(L290&lt;Setup!$C$5-Setup!$C$6,"",IF(IF(ISNUMBER(Roster!$D290),Setup!$C$30&lt;=Roster!$D290,FALSE),"",IF(OR(IF(Setup!$C$15&lt;=Setup!$C$16,AND(MONTH(L290)&gt;=Setup!$C$15,MONTH(L290)&lt;=Setup!$C$16),OR(MONTH(L290)&gt;=Setup!$C$15,MONTH(L290)&lt;=Setup!$C$16)),IF(Setup!$C$15&lt;=Setup!$C$16,AND(MONTH(WORKDAY(L290,-(Setup!$C$13+Setup!$G$30),Setup!$C$39:$C$50))&gt;=Setup!$C$15,MONTH(WORKDAY(L290,-(Setup!$C$13+Setup!$G$30),Setup!$C$39:$C$50))&lt;=Setup!$C$16),OR(MONTH(WORKDAY(L290,-(Setup!$C$13+Setup!$G$30),Setup!$C$39:$C$50))&gt;=Setup!$C$15,MONTH(WORKDAY(L290,-(Setup!$C$13+Setup!$G$30),Setup!$C$39:$C$50))&lt;=Setup!$C$16))),WORKDAY(L290,-(Setup!$C$13+Setup!$G$30+Setup!$C$14),Setup!$C$39:$C$50),WORKDAY(L290,-(Setup!$C$13+Setup!$G$30),Setup!$C$39:$C$50))+(285*100+11)/10000000)))</f>
        <v/>
      </c>
      <c r="AC290" t="str">
        <f>IF(M290="","",IF(M290&lt;Setup!$C$5-Setup!$C$6,"",IF(IF(ISNUMBER(Roster!$D290),Setup!$C$31&lt;=Roster!$D290,FALSE),"",IF(OR(IF(Setup!$C$15&lt;=Setup!$C$16,AND(MONTH(M290)&gt;=Setup!$C$15,MONTH(M290)&lt;=Setup!$C$16),OR(MONTH(M290)&gt;=Setup!$C$15,MONTH(M290)&lt;=Setup!$C$16)),IF(Setup!$C$15&lt;=Setup!$C$16,AND(MONTH(WORKDAY(M290,-(Setup!$C$13+Setup!$G$31),Setup!$C$39:$C$50))&gt;=Setup!$C$15,MONTH(WORKDAY(M290,-(Setup!$C$13+Setup!$G$31),Setup!$C$39:$C$50))&lt;=Setup!$C$16),OR(MONTH(WORKDAY(M290,-(Setup!$C$13+Setup!$G$31),Setup!$C$39:$C$50))&gt;=Setup!$C$15,MONTH(WORKDAY(M290,-(Setup!$C$13+Setup!$G$31),Setup!$C$39:$C$50))&lt;=Setup!$C$16))),WORKDAY(M290,-(Setup!$C$13+Setup!$G$31+Setup!$C$14),Setup!$C$39:$C$50),WORKDAY(M290,-(Setup!$C$13+Setup!$G$31),Setup!$C$39:$C$50))+(285*100+12)/10000000)))</f>
        <v/>
      </c>
      <c r="AD290" t="str">
        <f>IF(N290="","",IF(N290&lt;Setup!$C$5-Setup!$C$6,"",IF(IF(ISNUMBER(Roster!$D290),Setup!$C$32&lt;=Roster!$D290,FALSE),"",IF(OR(IF(Setup!$C$15&lt;=Setup!$C$16,AND(MONTH(N290)&gt;=Setup!$C$15,MONTH(N290)&lt;=Setup!$C$16),OR(MONTH(N290)&gt;=Setup!$C$15,MONTH(N290)&lt;=Setup!$C$16)),IF(Setup!$C$15&lt;=Setup!$C$16,AND(MONTH(WORKDAY(N290,-(Setup!$C$13+Setup!$G$32),Setup!$C$39:$C$50))&gt;=Setup!$C$15,MONTH(WORKDAY(N290,-(Setup!$C$13+Setup!$G$32),Setup!$C$39:$C$50))&lt;=Setup!$C$16),OR(MONTH(WORKDAY(N290,-(Setup!$C$13+Setup!$G$32),Setup!$C$39:$C$50))&gt;=Setup!$C$15,MONTH(WORKDAY(N290,-(Setup!$C$13+Setup!$G$32),Setup!$C$39:$C$50))&lt;=Setup!$C$16))),WORKDAY(N290,-(Setup!$C$13+Setup!$G$32+Setup!$C$14),Setup!$C$39:$C$50),WORKDAY(N290,-(Setup!$C$13+Setup!$G$32),Setup!$C$39:$C$50))+(285*100+13)/10000000)))</f>
        <v/>
      </c>
      <c r="AE290" t="str">
        <f>IF(O290="","",IF(O290&lt;Setup!$C$5-Setup!$C$6,"",IF(IF(ISNUMBER(Roster!$D290),Setup!$C$33&lt;=Roster!$D290,FALSE),"",IF(OR(IF(Setup!$C$15&lt;=Setup!$C$16,AND(MONTH(O290)&gt;=Setup!$C$15,MONTH(O290)&lt;=Setup!$C$16),OR(MONTH(O290)&gt;=Setup!$C$15,MONTH(O290)&lt;=Setup!$C$16)),IF(Setup!$C$15&lt;=Setup!$C$16,AND(MONTH(WORKDAY(O290,-(Setup!$C$13+Setup!$G$33),Setup!$C$39:$C$50))&gt;=Setup!$C$15,MONTH(WORKDAY(O290,-(Setup!$C$13+Setup!$G$33),Setup!$C$39:$C$50))&lt;=Setup!$C$16),OR(MONTH(WORKDAY(O290,-(Setup!$C$13+Setup!$G$33),Setup!$C$39:$C$50))&gt;=Setup!$C$15,MONTH(WORKDAY(O290,-(Setup!$C$13+Setup!$G$33),Setup!$C$39:$C$50))&lt;=Setup!$C$16))),WORKDAY(O290,-(Setup!$C$13+Setup!$G$33+Setup!$C$14),Setup!$C$39:$C$50),WORKDAY(O290,-(Setup!$C$13+Setup!$G$33),Setup!$C$39:$C$50))+(285*100+14)/10000000)))</f>
        <v/>
      </c>
      <c r="AF290" t="str">
        <f>IF(P290="","",IF(P290&lt;Setup!$C$5-Setup!$C$6,"",IF(IF(ISNUMBER(Roster!$D290),Setup!$C$34&lt;=Roster!$D290,FALSE),"",IF(OR(IF(Setup!$C$15&lt;=Setup!$C$16,AND(MONTH(P290)&gt;=Setup!$C$15,MONTH(P290)&lt;=Setup!$C$16),OR(MONTH(P290)&gt;=Setup!$C$15,MONTH(P290)&lt;=Setup!$C$16)),IF(Setup!$C$15&lt;=Setup!$C$16,AND(MONTH(WORKDAY(P290,-(Setup!$C$13+Setup!$G$34),Setup!$C$39:$C$50))&gt;=Setup!$C$15,MONTH(WORKDAY(P290,-(Setup!$C$13+Setup!$G$34),Setup!$C$39:$C$50))&lt;=Setup!$C$16),OR(MONTH(WORKDAY(P290,-(Setup!$C$13+Setup!$G$34),Setup!$C$39:$C$50))&gt;=Setup!$C$15,MONTH(WORKDAY(P290,-(Setup!$C$13+Setup!$G$34),Setup!$C$39:$C$50))&lt;=Setup!$C$16))),WORKDAY(P290,-(Setup!$C$13+Setup!$G$34+Setup!$C$14),Setup!$C$39:$C$50),WORKDAY(P290,-(Setup!$C$13+Setup!$G$34),Setup!$C$39:$C$50))+(285*100+15)/10000000)))</f>
        <v/>
      </c>
      <c r="AH290" t="str">
        <f t="shared" si="33"/>
        <v/>
      </c>
      <c r="AI290" t="str">
        <f t="shared" si="34"/>
        <v/>
      </c>
      <c r="AK290" t="str">
        <f ca="1">IF(285&gt;$AK$2,"",SMALL($R$6:$AF$505,285))</f>
        <v/>
      </c>
      <c r="AL290" t="str">
        <f t="shared" ca="1" si="35"/>
        <v/>
      </c>
      <c r="AM290" t="str">
        <f t="shared" ca="1" si="36"/>
        <v/>
      </c>
      <c r="AN290" t="str">
        <f t="shared" ca="1" si="37"/>
        <v/>
      </c>
      <c r="AP290" t="str">
        <f>IF(ISNUMBER(Roster!$B290),MAX(1,YEAR(Setup!$C$5)-YEAR(Roster!$B290)+IF(EDATE(Roster!$B290,12*(YEAR(Setup!$C$5)-YEAR(Roster!$B290)))&lt;Setup!$C$5,1,0)),"")</f>
        <v/>
      </c>
      <c r="AQ290" s="32" t="str">
        <f>IF(AP290="","",EDATE(Roster!$B290,12*AP290))</f>
        <v/>
      </c>
      <c r="AR290" t="str">
        <f>IF(AQ290="","",IF(AQ290&lt;DATE(YEAR(Setup!$C$5)+1,MONTH(Setup!$C$5),DAY(Setup!$C$5)),AQ290+285/1000,""))</f>
        <v/>
      </c>
      <c r="AS290" t="str">
        <f t="shared" si="38"/>
        <v/>
      </c>
      <c r="AT290" t="str">
        <f>IF(AS290="","",IF(ISNUMBER(Roster!$D290),Roster!$D290&gt;=AP290,FALSE))</f>
        <v/>
      </c>
      <c r="AU290" t="str">
        <f t="shared" si="39"/>
        <v/>
      </c>
      <c r="AV290" t="str">
        <f ca="1">IF(285&gt;$AV$2,"",SMALL($AR$6:$AR$505,285))</f>
        <v/>
      </c>
      <c r="AW290" t="str">
        <f t="shared" ca="1" si="40"/>
        <v/>
      </c>
    </row>
    <row r="291" spans="2:49" x14ac:dyDescent="0.2">
      <c r="B291" s="32" t="str">
        <f>IF(AND(ISNUMBER(Roster!$B291),Setup!$B$20="Yes",ISNUMBER(Setup!$C$20)),EDATE(Roster!$B291,12*Setup!$C$20),"")</f>
        <v/>
      </c>
      <c r="C291" s="32" t="str">
        <f>IF(AND(ISNUMBER(Roster!$B291),Setup!$B$21="Yes",ISNUMBER(Setup!$C$21)),EDATE(Roster!$B291,12*Setup!$C$21),"")</f>
        <v/>
      </c>
      <c r="D291" s="32" t="str">
        <f>IF(AND(ISNUMBER(Roster!$B291),Setup!$B$22="Yes",ISNUMBER(Setup!$C$22)),EDATE(Roster!$B291,12*Setup!$C$22),"")</f>
        <v/>
      </c>
      <c r="E291" s="32" t="str">
        <f>IF(AND(ISNUMBER(Roster!$B291),Setup!$B$23="Yes",ISNUMBER(Setup!$C$23)),EDATE(Roster!$B291,12*Setup!$C$23),"")</f>
        <v/>
      </c>
      <c r="F291" s="32" t="str">
        <f>IF(AND(ISNUMBER(Roster!$B291),Setup!$B$24="Yes",ISNUMBER(Setup!$C$24)),EDATE(Roster!$B291,12*Setup!$C$24),"")</f>
        <v/>
      </c>
      <c r="G291" s="32" t="str">
        <f>IF(AND(ISNUMBER(Roster!$B291),Setup!$B$25="Yes",ISNUMBER(Setup!$C$25)),EDATE(Roster!$B291,12*Setup!$C$25),"")</f>
        <v/>
      </c>
      <c r="H291" s="32" t="str">
        <f>IF(AND(ISNUMBER(Roster!$B291),Setup!$B$26="Yes",ISNUMBER(Setup!$C$26)),EDATE(Roster!$B291,12*Setup!$C$26),"")</f>
        <v/>
      </c>
      <c r="I291" s="32" t="str">
        <f>IF(AND(ISNUMBER(Roster!$B291),Setup!$B$27="Yes",ISNUMBER(Setup!$C$27)),EDATE(Roster!$B291,12*Setup!$C$27),"")</f>
        <v/>
      </c>
      <c r="J291" s="32" t="str">
        <f>IF(AND(ISNUMBER(Roster!$B291),Setup!$B$28="Yes",ISNUMBER(Setup!$C$28)),EDATE(Roster!$B291,12*Setup!$C$28),"")</f>
        <v/>
      </c>
      <c r="K291" s="32" t="str">
        <f>IF(AND(ISNUMBER(Roster!$B291),Setup!$B$29="Yes",ISNUMBER(Setup!$C$29)),EDATE(Roster!$B291,12*Setup!$C$29),"")</f>
        <v/>
      </c>
      <c r="L291" s="32" t="str">
        <f>IF(AND(ISNUMBER(Roster!$B291),Setup!$B$30="Yes",ISNUMBER(Setup!$C$30)),EDATE(Roster!$B291,12*Setup!$C$30),"")</f>
        <v/>
      </c>
      <c r="M291" s="32" t="str">
        <f>IF(AND(ISNUMBER(Roster!$B291),Setup!$B$31="Yes",ISNUMBER(Setup!$C$31)),EDATE(Roster!$B291,12*Setup!$C$31),"")</f>
        <v/>
      </c>
      <c r="N291" s="32" t="str">
        <f>IF(AND(ISNUMBER(Roster!$B291),Setup!$B$32="Yes",ISNUMBER(Setup!$C$32)),EDATE(Roster!$B291,12*Setup!$C$32),"")</f>
        <v/>
      </c>
      <c r="O291" s="32" t="str">
        <f>IF(AND(ISNUMBER(Roster!$B291),Setup!$B$33="Yes",ISNUMBER(Setup!$C$33)),EDATE(Roster!$B291,12*Setup!$C$33),"")</f>
        <v/>
      </c>
      <c r="P291" s="32" t="str">
        <f>IF(AND(ISNUMBER(Roster!$B291),Setup!$B$34="Yes",ISNUMBER(Setup!$C$34)),EDATE(Roster!$B291,12*Setup!$C$34),"")</f>
        <v/>
      </c>
      <c r="R291" t="str">
        <f>IF(B291="","",IF(B291&lt;Setup!$C$5-Setup!$C$6,"",IF(IF(ISNUMBER(Roster!$D291),Setup!$C$20&lt;=Roster!$D291,FALSE),"",IF(OR(IF(Setup!$C$15&lt;=Setup!$C$16,AND(MONTH(B291)&gt;=Setup!$C$15,MONTH(B291)&lt;=Setup!$C$16),OR(MONTH(B291)&gt;=Setup!$C$15,MONTH(B291)&lt;=Setup!$C$16)),IF(Setup!$C$15&lt;=Setup!$C$16,AND(MONTH(WORKDAY(B291,-(Setup!$C$13+Setup!$G$20),Setup!$C$39:$C$50))&gt;=Setup!$C$15,MONTH(WORKDAY(B291,-(Setup!$C$13+Setup!$G$20),Setup!$C$39:$C$50))&lt;=Setup!$C$16),OR(MONTH(WORKDAY(B291,-(Setup!$C$13+Setup!$G$20),Setup!$C$39:$C$50))&gt;=Setup!$C$15,MONTH(WORKDAY(B291,-(Setup!$C$13+Setup!$G$20),Setup!$C$39:$C$50))&lt;=Setup!$C$16))),WORKDAY(B291,-(Setup!$C$13+Setup!$G$20+Setup!$C$14),Setup!$C$39:$C$50),WORKDAY(B291,-(Setup!$C$13+Setup!$G$20),Setup!$C$39:$C$50))+(286*100+1)/10000000)))</f>
        <v/>
      </c>
      <c r="S291" t="str">
        <f>IF(C291="","",IF(C291&lt;Setup!$C$5-Setup!$C$6,"",IF(IF(ISNUMBER(Roster!$D291),Setup!$C$21&lt;=Roster!$D291,FALSE),"",IF(OR(IF(Setup!$C$15&lt;=Setup!$C$16,AND(MONTH(C291)&gt;=Setup!$C$15,MONTH(C291)&lt;=Setup!$C$16),OR(MONTH(C291)&gt;=Setup!$C$15,MONTH(C291)&lt;=Setup!$C$16)),IF(Setup!$C$15&lt;=Setup!$C$16,AND(MONTH(WORKDAY(C291,-(Setup!$C$13+Setup!$G$21),Setup!$C$39:$C$50))&gt;=Setup!$C$15,MONTH(WORKDAY(C291,-(Setup!$C$13+Setup!$G$21),Setup!$C$39:$C$50))&lt;=Setup!$C$16),OR(MONTH(WORKDAY(C291,-(Setup!$C$13+Setup!$G$21),Setup!$C$39:$C$50))&gt;=Setup!$C$15,MONTH(WORKDAY(C291,-(Setup!$C$13+Setup!$G$21),Setup!$C$39:$C$50))&lt;=Setup!$C$16))),WORKDAY(C291,-(Setup!$C$13+Setup!$G$21+Setup!$C$14),Setup!$C$39:$C$50),WORKDAY(C291,-(Setup!$C$13+Setup!$G$21),Setup!$C$39:$C$50))+(286*100+2)/10000000)))</f>
        <v/>
      </c>
      <c r="T291" t="str">
        <f>IF(D291="","",IF(D291&lt;Setup!$C$5-Setup!$C$6,"",IF(IF(ISNUMBER(Roster!$D291),Setup!$C$22&lt;=Roster!$D291,FALSE),"",IF(OR(IF(Setup!$C$15&lt;=Setup!$C$16,AND(MONTH(D291)&gt;=Setup!$C$15,MONTH(D291)&lt;=Setup!$C$16),OR(MONTH(D291)&gt;=Setup!$C$15,MONTH(D291)&lt;=Setup!$C$16)),IF(Setup!$C$15&lt;=Setup!$C$16,AND(MONTH(WORKDAY(D291,-(Setup!$C$13+Setup!$G$22),Setup!$C$39:$C$50))&gt;=Setup!$C$15,MONTH(WORKDAY(D291,-(Setup!$C$13+Setup!$G$22),Setup!$C$39:$C$50))&lt;=Setup!$C$16),OR(MONTH(WORKDAY(D291,-(Setup!$C$13+Setup!$G$22),Setup!$C$39:$C$50))&gt;=Setup!$C$15,MONTH(WORKDAY(D291,-(Setup!$C$13+Setup!$G$22),Setup!$C$39:$C$50))&lt;=Setup!$C$16))),WORKDAY(D291,-(Setup!$C$13+Setup!$G$22+Setup!$C$14),Setup!$C$39:$C$50),WORKDAY(D291,-(Setup!$C$13+Setup!$G$22),Setup!$C$39:$C$50))+(286*100+3)/10000000)))</f>
        <v/>
      </c>
      <c r="U291" t="str">
        <f>IF(E291="","",IF(E291&lt;Setup!$C$5-Setup!$C$6,"",IF(IF(ISNUMBER(Roster!$D291),Setup!$C$23&lt;=Roster!$D291,FALSE),"",IF(OR(IF(Setup!$C$15&lt;=Setup!$C$16,AND(MONTH(E291)&gt;=Setup!$C$15,MONTH(E291)&lt;=Setup!$C$16),OR(MONTH(E291)&gt;=Setup!$C$15,MONTH(E291)&lt;=Setup!$C$16)),IF(Setup!$C$15&lt;=Setup!$C$16,AND(MONTH(WORKDAY(E291,-(Setup!$C$13+Setup!$G$23),Setup!$C$39:$C$50))&gt;=Setup!$C$15,MONTH(WORKDAY(E291,-(Setup!$C$13+Setup!$G$23),Setup!$C$39:$C$50))&lt;=Setup!$C$16),OR(MONTH(WORKDAY(E291,-(Setup!$C$13+Setup!$G$23),Setup!$C$39:$C$50))&gt;=Setup!$C$15,MONTH(WORKDAY(E291,-(Setup!$C$13+Setup!$G$23),Setup!$C$39:$C$50))&lt;=Setup!$C$16))),WORKDAY(E291,-(Setup!$C$13+Setup!$G$23+Setup!$C$14),Setup!$C$39:$C$50),WORKDAY(E291,-(Setup!$C$13+Setup!$G$23),Setup!$C$39:$C$50))+(286*100+4)/10000000)))</f>
        <v/>
      </c>
      <c r="V291" t="str">
        <f>IF(F291="","",IF(F291&lt;Setup!$C$5-Setup!$C$6,"",IF(IF(ISNUMBER(Roster!$D291),Setup!$C$24&lt;=Roster!$D291,FALSE),"",IF(OR(IF(Setup!$C$15&lt;=Setup!$C$16,AND(MONTH(F291)&gt;=Setup!$C$15,MONTH(F291)&lt;=Setup!$C$16),OR(MONTH(F291)&gt;=Setup!$C$15,MONTH(F291)&lt;=Setup!$C$16)),IF(Setup!$C$15&lt;=Setup!$C$16,AND(MONTH(WORKDAY(F291,-(Setup!$C$13+Setup!$G$24),Setup!$C$39:$C$50))&gt;=Setup!$C$15,MONTH(WORKDAY(F291,-(Setup!$C$13+Setup!$G$24),Setup!$C$39:$C$50))&lt;=Setup!$C$16),OR(MONTH(WORKDAY(F291,-(Setup!$C$13+Setup!$G$24),Setup!$C$39:$C$50))&gt;=Setup!$C$15,MONTH(WORKDAY(F291,-(Setup!$C$13+Setup!$G$24),Setup!$C$39:$C$50))&lt;=Setup!$C$16))),WORKDAY(F291,-(Setup!$C$13+Setup!$G$24+Setup!$C$14),Setup!$C$39:$C$50),WORKDAY(F291,-(Setup!$C$13+Setup!$G$24),Setup!$C$39:$C$50))+(286*100+5)/10000000)))</f>
        <v/>
      </c>
      <c r="W291" t="str">
        <f>IF(G291="","",IF(G291&lt;Setup!$C$5-Setup!$C$6,"",IF(IF(ISNUMBER(Roster!$D291),Setup!$C$25&lt;=Roster!$D291,FALSE),"",IF(OR(IF(Setup!$C$15&lt;=Setup!$C$16,AND(MONTH(G291)&gt;=Setup!$C$15,MONTH(G291)&lt;=Setup!$C$16),OR(MONTH(G291)&gt;=Setup!$C$15,MONTH(G291)&lt;=Setup!$C$16)),IF(Setup!$C$15&lt;=Setup!$C$16,AND(MONTH(WORKDAY(G291,-(Setup!$C$13+Setup!$G$25),Setup!$C$39:$C$50))&gt;=Setup!$C$15,MONTH(WORKDAY(G291,-(Setup!$C$13+Setup!$G$25),Setup!$C$39:$C$50))&lt;=Setup!$C$16),OR(MONTH(WORKDAY(G291,-(Setup!$C$13+Setup!$G$25),Setup!$C$39:$C$50))&gt;=Setup!$C$15,MONTH(WORKDAY(G291,-(Setup!$C$13+Setup!$G$25),Setup!$C$39:$C$50))&lt;=Setup!$C$16))),WORKDAY(G291,-(Setup!$C$13+Setup!$G$25+Setup!$C$14),Setup!$C$39:$C$50),WORKDAY(G291,-(Setup!$C$13+Setup!$G$25),Setup!$C$39:$C$50))+(286*100+6)/10000000)))</f>
        <v/>
      </c>
      <c r="X291" t="str">
        <f>IF(H291="","",IF(H291&lt;Setup!$C$5-Setup!$C$6,"",IF(IF(ISNUMBER(Roster!$D291),Setup!$C$26&lt;=Roster!$D291,FALSE),"",IF(OR(IF(Setup!$C$15&lt;=Setup!$C$16,AND(MONTH(H291)&gt;=Setup!$C$15,MONTH(H291)&lt;=Setup!$C$16),OR(MONTH(H291)&gt;=Setup!$C$15,MONTH(H291)&lt;=Setup!$C$16)),IF(Setup!$C$15&lt;=Setup!$C$16,AND(MONTH(WORKDAY(H291,-(Setup!$C$13+Setup!$G$26),Setup!$C$39:$C$50))&gt;=Setup!$C$15,MONTH(WORKDAY(H291,-(Setup!$C$13+Setup!$G$26),Setup!$C$39:$C$50))&lt;=Setup!$C$16),OR(MONTH(WORKDAY(H291,-(Setup!$C$13+Setup!$G$26),Setup!$C$39:$C$50))&gt;=Setup!$C$15,MONTH(WORKDAY(H291,-(Setup!$C$13+Setup!$G$26),Setup!$C$39:$C$50))&lt;=Setup!$C$16))),WORKDAY(H291,-(Setup!$C$13+Setup!$G$26+Setup!$C$14),Setup!$C$39:$C$50),WORKDAY(H291,-(Setup!$C$13+Setup!$G$26),Setup!$C$39:$C$50))+(286*100+7)/10000000)))</f>
        <v/>
      </c>
      <c r="Y291" t="str">
        <f>IF(I291="","",IF(I291&lt;Setup!$C$5-Setup!$C$6,"",IF(IF(ISNUMBER(Roster!$D291),Setup!$C$27&lt;=Roster!$D291,FALSE),"",IF(OR(IF(Setup!$C$15&lt;=Setup!$C$16,AND(MONTH(I291)&gt;=Setup!$C$15,MONTH(I291)&lt;=Setup!$C$16),OR(MONTH(I291)&gt;=Setup!$C$15,MONTH(I291)&lt;=Setup!$C$16)),IF(Setup!$C$15&lt;=Setup!$C$16,AND(MONTH(WORKDAY(I291,-(Setup!$C$13+Setup!$G$27),Setup!$C$39:$C$50))&gt;=Setup!$C$15,MONTH(WORKDAY(I291,-(Setup!$C$13+Setup!$G$27),Setup!$C$39:$C$50))&lt;=Setup!$C$16),OR(MONTH(WORKDAY(I291,-(Setup!$C$13+Setup!$G$27),Setup!$C$39:$C$50))&gt;=Setup!$C$15,MONTH(WORKDAY(I291,-(Setup!$C$13+Setup!$G$27),Setup!$C$39:$C$50))&lt;=Setup!$C$16))),WORKDAY(I291,-(Setup!$C$13+Setup!$G$27+Setup!$C$14),Setup!$C$39:$C$50),WORKDAY(I291,-(Setup!$C$13+Setup!$G$27),Setup!$C$39:$C$50))+(286*100+8)/10000000)))</f>
        <v/>
      </c>
      <c r="Z291" t="str">
        <f>IF(J291="","",IF(J291&lt;Setup!$C$5-Setup!$C$6,"",IF(IF(ISNUMBER(Roster!$D291),Setup!$C$28&lt;=Roster!$D291,FALSE),"",IF(OR(IF(Setup!$C$15&lt;=Setup!$C$16,AND(MONTH(J291)&gt;=Setup!$C$15,MONTH(J291)&lt;=Setup!$C$16),OR(MONTH(J291)&gt;=Setup!$C$15,MONTH(J291)&lt;=Setup!$C$16)),IF(Setup!$C$15&lt;=Setup!$C$16,AND(MONTH(WORKDAY(J291,-(Setup!$C$13+Setup!$G$28),Setup!$C$39:$C$50))&gt;=Setup!$C$15,MONTH(WORKDAY(J291,-(Setup!$C$13+Setup!$G$28),Setup!$C$39:$C$50))&lt;=Setup!$C$16),OR(MONTH(WORKDAY(J291,-(Setup!$C$13+Setup!$G$28),Setup!$C$39:$C$50))&gt;=Setup!$C$15,MONTH(WORKDAY(J291,-(Setup!$C$13+Setup!$G$28),Setup!$C$39:$C$50))&lt;=Setup!$C$16))),WORKDAY(J291,-(Setup!$C$13+Setup!$G$28+Setup!$C$14),Setup!$C$39:$C$50),WORKDAY(J291,-(Setup!$C$13+Setup!$G$28),Setup!$C$39:$C$50))+(286*100+9)/10000000)))</f>
        <v/>
      </c>
      <c r="AA291" t="str">
        <f>IF(K291="","",IF(K291&lt;Setup!$C$5-Setup!$C$6,"",IF(IF(ISNUMBER(Roster!$D291),Setup!$C$29&lt;=Roster!$D291,FALSE),"",IF(OR(IF(Setup!$C$15&lt;=Setup!$C$16,AND(MONTH(K291)&gt;=Setup!$C$15,MONTH(K291)&lt;=Setup!$C$16),OR(MONTH(K291)&gt;=Setup!$C$15,MONTH(K291)&lt;=Setup!$C$16)),IF(Setup!$C$15&lt;=Setup!$C$16,AND(MONTH(WORKDAY(K291,-(Setup!$C$13+Setup!$G$29),Setup!$C$39:$C$50))&gt;=Setup!$C$15,MONTH(WORKDAY(K291,-(Setup!$C$13+Setup!$G$29),Setup!$C$39:$C$50))&lt;=Setup!$C$16),OR(MONTH(WORKDAY(K291,-(Setup!$C$13+Setup!$G$29),Setup!$C$39:$C$50))&gt;=Setup!$C$15,MONTH(WORKDAY(K291,-(Setup!$C$13+Setup!$G$29),Setup!$C$39:$C$50))&lt;=Setup!$C$16))),WORKDAY(K291,-(Setup!$C$13+Setup!$G$29+Setup!$C$14),Setup!$C$39:$C$50),WORKDAY(K291,-(Setup!$C$13+Setup!$G$29),Setup!$C$39:$C$50))+(286*100+10)/10000000)))</f>
        <v/>
      </c>
      <c r="AB291" t="str">
        <f>IF(L291="","",IF(L291&lt;Setup!$C$5-Setup!$C$6,"",IF(IF(ISNUMBER(Roster!$D291),Setup!$C$30&lt;=Roster!$D291,FALSE),"",IF(OR(IF(Setup!$C$15&lt;=Setup!$C$16,AND(MONTH(L291)&gt;=Setup!$C$15,MONTH(L291)&lt;=Setup!$C$16),OR(MONTH(L291)&gt;=Setup!$C$15,MONTH(L291)&lt;=Setup!$C$16)),IF(Setup!$C$15&lt;=Setup!$C$16,AND(MONTH(WORKDAY(L291,-(Setup!$C$13+Setup!$G$30),Setup!$C$39:$C$50))&gt;=Setup!$C$15,MONTH(WORKDAY(L291,-(Setup!$C$13+Setup!$G$30),Setup!$C$39:$C$50))&lt;=Setup!$C$16),OR(MONTH(WORKDAY(L291,-(Setup!$C$13+Setup!$G$30),Setup!$C$39:$C$50))&gt;=Setup!$C$15,MONTH(WORKDAY(L291,-(Setup!$C$13+Setup!$G$30),Setup!$C$39:$C$50))&lt;=Setup!$C$16))),WORKDAY(L291,-(Setup!$C$13+Setup!$G$30+Setup!$C$14),Setup!$C$39:$C$50),WORKDAY(L291,-(Setup!$C$13+Setup!$G$30),Setup!$C$39:$C$50))+(286*100+11)/10000000)))</f>
        <v/>
      </c>
      <c r="AC291" t="str">
        <f>IF(M291="","",IF(M291&lt;Setup!$C$5-Setup!$C$6,"",IF(IF(ISNUMBER(Roster!$D291),Setup!$C$31&lt;=Roster!$D291,FALSE),"",IF(OR(IF(Setup!$C$15&lt;=Setup!$C$16,AND(MONTH(M291)&gt;=Setup!$C$15,MONTH(M291)&lt;=Setup!$C$16),OR(MONTH(M291)&gt;=Setup!$C$15,MONTH(M291)&lt;=Setup!$C$16)),IF(Setup!$C$15&lt;=Setup!$C$16,AND(MONTH(WORKDAY(M291,-(Setup!$C$13+Setup!$G$31),Setup!$C$39:$C$50))&gt;=Setup!$C$15,MONTH(WORKDAY(M291,-(Setup!$C$13+Setup!$G$31),Setup!$C$39:$C$50))&lt;=Setup!$C$16),OR(MONTH(WORKDAY(M291,-(Setup!$C$13+Setup!$G$31),Setup!$C$39:$C$50))&gt;=Setup!$C$15,MONTH(WORKDAY(M291,-(Setup!$C$13+Setup!$G$31),Setup!$C$39:$C$50))&lt;=Setup!$C$16))),WORKDAY(M291,-(Setup!$C$13+Setup!$G$31+Setup!$C$14),Setup!$C$39:$C$50),WORKDAY(M291,-(Setup!$C$13+Setup!$G$31),Setup!$C$39:$C$50))+(286*100+12)/10000000)))</f>
        <v/>
      </c>
      <c r="AD291" t="str">
        <f>IF(N291="","",IF(N291&lt;Setup!$C$5-Setup!$C$6,"",IF(IF(ISNUMBER(Roster!$D291),Setup!$C$32&lt;=Roster!$D291,FALSE),"",IF(OR(IF(Setup!$C$15&lt;=Setup!$C$16,AND(MONTH(N291)&gt;=Setup!$C$15,MONTH(N291)&lt;=Setup!$C$16),OR(MONTH(N291)&gt;=Setup!$C$15,MONTH(N291)&lt;=Setup!$C$16)),IF(Setup!$C$15&lt;=Setup!$C$16,AND(MONTH(WORKDAY(N291,-(Setup!$C$13+Setup!$G$32),Setup!$C$39:$C$50))&gt;=Setup!$C$15,MONTH(WORKDAY(N291,-(Setup!$C$13+Setup!$G$32),Setup!$C$39:$C$50))&lt;=Setup!$C$16),OR(MONTH(WORKDAY(N291,-(Setup!$C$13+Setup!$G$32),Setup!$C$39:$C$50))&gt;=Setup!$C$15,MONTH(WORKDAY(N291,-(Setup!$C$13+Setup!$G$32),Setup!$C$39:$C$50))&lt;=Setup!$C$16))),WORKDAY(N291,-(Setup!$C$13+Setup!$G$32+Setup!$C$14),Setup!$C$39:$C$50),WORKDAY(N291,-(Setup!$C$13+Setup!$G$32),Setup!$C$39:$C$50))+(286*100+13)/10000000)))</f>
        <v/>
      </c>
      <c r="AE291" t="str">
        <f>IF(O291="","",IF(O291&lt;Setup!$C$5-Setup!$C$6,"",IF(IF(ISNUMBER(Roster!$D291),Setup!$C$33&lt;=Roster!$D291,FALSE),"",IF(OR(IF(Setup!$C$15&lt;=Setup!$C$16,AND(MONTH(O291)&gt;=Setup!$C$15,MONTH(O291)&lt;=Setup!$C$16),OR(MONTH(O291)&gt;=Setup!$C$15,MONTH(O291)&lt;=Setup!$C$16)),IF(Setup!$C$15&lt;=Setup!$C$16,AND(MONTH(WORKDAY(O291,-(Setup!$C$13+Setup!$G$33),Setup!$C$39:$C$50))&gt;=Setup!$C$15,MONTH(WORKDAY(O291,-(Setup!$C$13+Setup!$G$33),Setup!$C$39:$C$50))&lt;=Setup!$C$16),OR(MONTH(WORKDAY(O291,-(Setup!$C$13+Setup!$G$33),Setup!$C$39:$C$50))&gt;=Setup!$C$15,MONTH(WORKDAY(O291,-(Setup!$C$13+Setup!$G$33),Setup!$C$39:$C$50))&lt;=Setup!$C$16))),WORKDAY(O291,-(Setup!$C$13+Setup!$G$33+Setup!$C$14),Setup!$C$39:$C$50),WORKDAY(O291,-(Setup!$C$13+Setup!$G$33),Setup!$C$39:$C$50))+(286*100+14)/10000000)))</f>
        <v/>
      </c>
      <c r="AF291" t="str">
        <f>IF(P291="","",IF(P291&lt;Setup!$C$5-Setup!$C$6,"",IF(IF(ISNUMBER(Roster!$D291),Setup!$C$34&lt;=Roster!$D291,FALSE),"",IF(OR(IF(Setup!$C$15&lt;=Setup!$C$16,AND(MONTH(P291)&gt;=Setup!$C$15,MONTH(P291)&lt;=Setup!$C$16),OR(MONTH(P291)&gt;=Setup!$C$15,MONTH(P291)&lt;=Setup!$C$16)),IF(Setup!$C$15&lt;=Setup!$C$16,AND(MONTH(WORKDAY(P291,-(Setup!$C$13+Setup!$G$34),Setup!$C$39:$C$50))&gt;=Setup!$C$15,MONTH(WORKDAY(P291,-(Setup!$C$13+Setup!$G$34),Setup!$C$39:$C$50))&lt;=Setup!$C$16),OR(MONTH(WORKDAY(P291,-(Setup!$C$13+Setup!$G$34),Setup!$C$39:$C$50))&gt;=Setup!$C$15,MONTH(WORKDAY(P291,-(Setup!$C$13+Setup!$G$34),Setup!$C$39:$C$50))&lt;=Setup!$C$16))),WORKDAY(P291,-(Setup!$C$13+Setup!$G$34+Setup!$C$14),Setup!$C$39:$C$50),WORKDAY(P291,-(Setup!$C$13+Setup!$G$34),Setup!$C$39:$C$50))+(286*100+15)/10000000)))</f>
        <v/>
      </c>
      <c r="AH291" t="str">
        <f t="shared" si="33"/>
        <v/>
      </c>
      <c r="AI291" t="str">
        <f t="shared" si="34"/>
        <v/>
      </c>
      <c r="AK291" t="str">
        <f ca="1">IF(286&gt;$AK$2,"",SMALL($R$6:$AF$505,286))</f>
        <v/>
      </c>
      <c r="AL291" t="str">
        <f t="shared" ca="1" si="35"/>
        <v/>
      </c>
      <c r="AM291" t="str">
        <f t="shared" ca="1" si="36"/>
        <v/>
      </c>
      <c r="AN291" t="str">
        <f t="shared" ca="1" si="37"/>
        <v/>
      </c>
      <c r="AP291" t="str">
        <f>IF(ISNUMBER(Roster!$B291),MAX(1,YEAR(Setup!$C$5)-YEAR(Roster!$B291)+IF(EDATE(Roster!$B291,12*(YEAR(Setup!$C$5)-YEAR(Roster!$B291)))&lt;Setup!$C$5,1,0)),"")</f>
        <v/>
      </c>
      <c r="AQ291" s="32" t="str">
        <f>IF(AP291="","",EDATE(Roster!$B291,12*AP291))</f>
        <v/>
      </c>
      <c r="AR291" t="str">
        <f>IF(AQ291="","",IF(AQ291&lt;DATE(YEAR(Setup!$C$5)+1,MONTH(Setup!$C$5),DAY(Setup!$C$5)),AQ291+286/1000,""))</f>
        <v/>
      </c>
      <c r="AS291" t="str">
        <f t="shared" si="38"/>
        <v/>
      </c>
      <c r="AT291" t="str">
        <f>IF(AS291="","",IF(ISNUMBER(Roster!$D291),Roster!$D291&gt;=AP291,FALSE))</f>
        <v/>
      </c>
      <c r="AU291" t="str">
        <f t="shared" si="39"/>
        <v/>
      </c>
      <c r="AV291" t="str">
        <f ca="1">IF(286&gt;$AV$2,"",SMALL($AR$6:$AR$505,286))</f>
        <v/>
      </c>
      <c r="AW291" t="str">
        <f t="shared" ca="1" si="40"/>
        <v/>
      </c>
    </row>
    <row r="292" spans="2:49" x14ac:dyDescent="0.2">
      <c r="B292" s="32" t="str">
        <f>IF(AND(ISNUMBER(Roster!$B292),Setup!$B$20="Yes",ISNUMBER(Setup!$C$20)),EDATE(Roster!$B292,12*Setup!$C$20),"")</f>
        <v/>
      </c>
      <c r="C292" s="32" t="str">
        <f>IF(AND(ISNUMBER(Roster!$B292),Setup!$B$21="Yes",ISNUMBER(Setup!$C$21)),EDATE(Roster!$B292,12*Setup!$C$21),"")</f>
        <v/>
      </c>
      <c r="D292" s="32" t="str">
        <f>IF(AND(ISNUMBER(Roster!$B292),Setup!$B$22="Yes",ISNUMBER(Setup!$C$22)),EDATE(Roster!$B292,12*Setup!$C$22),"")</f>
        <v/>
      </c>
      <c r="E292" s="32" t="str">
        <f>IF(AND(ISNUMBER(Roster!$B292),Setup!$B$23="Yes",ISNUMBER(Setup!$C$23)),EDATE(Roster!$B292,12*Setup!$C$23),"")</f>
        <v/>
      </c>
      <c r="F292" s="32" t="str">
        <f>IF(AND(ISNUMBER(Roster!$B292),Setup!$B$24="Yes",ISNUMBER(Setup!$C$24)),EDATE(Roster!$B292,12*Setup!$C$24),"")</f>
        <v/>
      </c>
      <c r="G292" s="32" t="str">
        <f>IF(AND(ISNUMBER(Roster!$B292),Setup!$B$25="Yes",ISNUMBER(Setup!$C$25)),EDATE(Roster!$B292,12*Setup!$C$25),"")</f>
        <v/>
      </c>
      <c r="H292" s="32" t="str">
        <f>IF(AND(ISNUMBER(Roster!$B292),Setup!$B$26="Yes",ISNUMBER(Setup!$C$26)),EDATE(Roster!$B292,12*Setup!$C$26),"")</f>
        <v/>
      </c>
      <c r="I292" s="32" t="str">
        <f>IF(AND(ISNUMBER(Roster!$B292),Setup!$B$27="Yes",ISNUMBER(Setup!$C$27)),EDATE(Roster!$B292,12*Setup!$C$27),"")</f>
        <v/>
      </c>
      <c r="J292" s="32" t="str">
        <f>IF(AND(ISNUMBER(Roster!$B292),Setup!$B$28="Yes",ISNUMBER(Setup!$C$28)),EDATE(Roster!$B292,12*Setup!$C$28),"")</f>
        <v/>
      </c>
      <c r="K292" s="32" t="str">
        <f>IF(AND(ISNUMBER(Roster!$B292),Setup!$B$29="Yes",ISNUMBER(Setup!$C$29)),EDATE(Roster!$B292,12*Setup!$C$29),"")</f>
        <v/>
      </c>
      <c r="L292" s="32" t="str">
        <f>IF(AND(ISNUMBER(Roster!$B292),Setup!$B$30="Yes",ISNUMBER(Setup!$C$30)),EDATE(Roster!$B292,12*Setup!$C$30),"")</f>
        <v/>
      </c>
      <c r="M292" s="32" t="str">
        <f>IF(AND(ISNUMBER(Roster!$B292),Setup!$B$31="Yes",ISNUMBER(Setup!$C$31)),EDATE(Roster!$B292,12*Setup!$C$31),"")</f>
        <v/>
      </c>
      <c r="N292" s="32" t="str">
        <f>IF(AND(ISNUMBER(Roster!$B292),Setup!$B$32="Yes",ISNUMBER(Setup!$C$32)),EDATE(Roster!$B292,12*Setup!$C$32),"")</f>
        <v/>
      </c>
      <c r="O292" s="32" t="str">
        <f>IF(AND(ISNUMBER(Roster!$B292),Setup!$B$33="Yes",ISNUMBER(Setup!$C$33)),EDATE(Roster!$B292,12*Setup!$C$33),"")</f>
        <v/>
      </c>
      <c r="P292" s="32" t="str">
        <f>IF(AND(ISNUMBER(Roster!$B292),Setup!$B$34="Yes",ISNUMBER(Setup!$C$34)),EDATE(Roster!$B292,12*Setup!$C$34),"")</f>
        <v/>
      </c>
      <c r="R292" t="str">
        <f>IF(B292="","",IF(B292&lt;Setup!$C$5-Setup!$C$6,"",IF(IF(ISNUMBER(Roster!$D292),Setup!$C$20&lt;=Roster!$D292,FALSE),"",IF(OR(IF(Setup!$C$15&lt;=Setup!$C$16,AND(MONTH(B292)&gt;=Setup!$C$15,MONTH(B292)&lt;=Setup!$C$16),OR(MONTH(B292)&gt;=Setup!$C$15,MONTH(B292)&lt;=Setup!$C$16)),IF(Setup!$C$15&lt;=Setup!$C$16,AND(MONTH(WORKDAY(B292,-(Setup!$C$13+Setup!$G$20),Setup!$C$39:$C$50))&gt;=Setup!$C$15,MONTH(WORKDAY(B292,-(Setup!$C$13+Setup!$G$20),Setup!$C$39:$C$50))&lt;=Setup!$C$16),OR(MONTH(WORKDAY(B292,-(Setup!$C$13+Setup!$G$20),Setup!$C$39:$C$50))&gt;=Setup!$C$15,MONTH(WORKDAY(B292,-(Setup!$C$13+Setup!$G$20),Setup!$C$39:$C$50))&lt;=Setup!$C$16))),WORKDAY(B292,-(Setup!$C$13+Setup!$G$20+Setup!$C$14),Setup!$C$39:$C$50),WORKDAY(B292,-(Setup!$C$13+Setup!$G$20),Setup!$C$39:$C$50))+(287*100+1)/10000000)))</f>
        <v/>
      </c>
      <c r="S292" t="str">
        <f>IF(C292="","",IF(C292&lt;Setup!$C$5-Setup!$C$6,"",IF(IF(ISNUMBER(Roster!$D292),Setup!$C$21&lt;=Roster!$D292,FALSE),"",IF(OR(IF(Setup!$C$15&lt;=Setup!$C$16,AND(MONTH(C292)&gt;=Setup!$C$15,MONTH(C292)&lt;=Setup!$C$16),OR(MONTH(C292)&gt;=Setup!$C$15,MONTH(C292)&lt;=Setup!$C$16)),IF(Setup!$C$15&lt;=Setup!$C$16,AND(MONTH(WORKDAY(C292,-(Setup!$C$13+Setup!$G$21),Setup!$C$39:$C$50))&gt;=Setup!$C$15,MONTH(WORKDAY(C292,-(Setup!$C$13+Setup!$G$21),Setup!$C$39:$C$50))&lt;=Setup!$C$16),OR(MONTH(WORKDAY(C292,-(Setup!$C$13+Setup!$G$21),Setup!$C$39:$C$50))&gt;=Setup!$C$15,MONTH(WORKDAY(C292,-(Setup!$C$13+Setup!$G$21),Setup!$C$39:$C$50))&lt;=Setup!$C$16))),WORKDAY(C292,-(Setup!$C$13+Setup!$G$21+Setup!$C$14),Setup!$C$39:$C$50),WORKDAY(C292,-(Setup!$C$13+Setup!$G$21),Setup!$C$39:$C$50))+(287*100+2)/10000000)))</f>
        <v/>
      </c>
      <c r="T292" t="str">
        <f>IF(D292="","",IF(D292&lt;Setup!$C$5-Setup!$C$6,"",IF(IF(ISNUMBER(Roster!$D292),Setup!$C$22&lt;=Roster!$D292,FALSE),"",IF(OR(IF(Setup!$C$15&lt;=Setup!$C$16,AND(MONTH(D292)&gt;=Setup!$C$15,MONTH(D292)&lt;=Setup!$C$16),OR(MONTH(D292)&gt;=Setup!$C$15,MONTH(D292)&lt;=Setup!$C$16)),IF(Setup!$C$15&lt;=Setup!$C$16,AND(MONTH(WORKDAY(D292,-(Setup!$C$13+Setup!$G$22),Setup!$C$39:$C$50))&gt;=Setup!$C$15,MONTH(WORKDAY(D292,-(Setup!$C$13+Setup!$G$22),Setup!$C$39:$C$50))&lt;=Setup!$C$16),OR(MONTH(WORKDAY(D292,-(Setup!$C$13+Setup!$G$22),Setup!$C$39:$C$50))&gt;=Setup!$C$15,MONTH(WORKDAY(D292,-(Setup!$C$13+Setup!$G$22),Setup!$C$39:$C$50))&lt;=Setup!$C$16))),WORKDAY(D292,-(Setup!$C$13+Setup!$G$22+Setup!$C$14),Setup!$C$39:$C$50),WORKDAY(D292,-(Setup!$C$13+Setup!$G$22),Setup!$C$39:$C$50))+(287*100+3)/10000000)))</f>
        <v/>
      </c>
      <c r="U292" t="str">
        <f>IF(E292="","",IF(E292&lt;Setup!$C$5-Setup!$C$6,"",IF(IF(ISNUMBER(Roster!$D292),Setup!$C$23&lt;=Roster!$D292,FALSE),"",IF(OR(IF(Setup!$C$15&lt;=Setup!$C$16,AND(MONTH(E292)&gt;=Setup!$C$15,MONTH(E292)&lt;=Setup!$C$16),OR(MONTH(E292)&gt;=Setup!$C$15,MONTH(E292)&lt;=Setup!$C$16)),IF(Setup!$C$15&lt;=Setup!$C$16,AND(MONTH(WORKDAY(E292,-(Setup!$C$13+Setup!$G$23),Setup!$C$39:$C$50))&gt;=Setup!$C$15,MONTH(WORKDAY(E292,-(Setup!$C$13+Setup!$G$23),Setup!$C$39:$C$50))&lt;=Setup!$C$16),OR(MONTH(WORKDAY(E292,-(Setup!$C$13+Setup!$G$23),Setup!$C$39:$C$50))&gt;=Setup!$C$15,MONTH(WORKDAY(E292,-(Setup!$C$13+Setup!$G$23),Setup!$C$39:$C$50))&lt;=Setup!$C$16))),WORKDAY(E292,-(Setup!$C$13+Setup!$G$23+Setup!$C$14),Setup!$C$39:$C$50),WORKDAY(E292,-(Setup!$C$13+Setup!$G$23),Setup!$C$39:$C$50))+(287*100+4)/10000000)))</f>
        <v/>
      </c>
      <c r="V292" t="str">
        <f>IF(F292="","",IF(F292&lt;Setup!$C$5-Setup!$C$6,"",IF(IF(ISNUMBER(Roster!$D292),Setup!$C$24&lt;=Roster!$D292,FALSE),"",IF(OR(IF(Setup!$C$15&lt;=Setup!$C$16,AND(MONTH(F292)&gt;=Setup!$C$15,MONTH(F292)&lt;=Setup!$C$16),OR(MONTH(F292)&gt;=Setup!$C$15,MONTH(F292)&lt;=Setup!$C$16)),IF(Setup!$C$15&lt;=Setup!$C$16,AND(MONTH(WORKDAY(F292,-(Setup!$C$13+Setup!$G$24),Setup!$C$39:$C$50))&gt;=Setup!$C$15,MONTH(WORKDAY(F292,-(Setup!$C$13+Setup!$G$24),Setup!$C$39:$C$50))&lt;=Setup!$C$16),OR(MONTH(WORKDAY(F292,-(Setup!$C$13+Setup!$G$24),Setup!$C$39:$C$50))&gt;=Setup!$C$15,MONTH(WORKDAY(F292,-(Setup!$C$13+Setup!$G$24),Setup!$C$39:$C$50))&lt;=Setup!$C$16))),WORKDAY(F292,-(Setup!$C$13+Setup!$G$24+Setup!$C$14),Setup!$C$39:$C$50),WORKDAY(F292,-(Setup!$C$13+Setup!$G$24),Setup!$C$39:$C$50))+(287*100+5)/10000000)))</f>
        <v/>
      </c>
      <c r="W292" t="str">
        <f>IF(G292="","",IF(G292&lt;Setup!$C$5-Setup!$C$6,"",IF(IF(ISNUMBER(Roster!$D292),Setup!$C$25&lt;=Roster!$D292,FALSE),"",IF(OR(IF(Setup!$C$15&lt;=Setup!$C$16,AND(MONTH(G292)&gt;=Setup!$C$15,MONTH(G292)&lt;=Setup!$C$16),OR(MONTH(G292)&gt;=Setup!$C$15,MONTH(G292)&lt;=Setup!$C$16)),IF(Setup!$C$15&lt;=Setup!$C$16,AND(MONTH(WORKDAY(G292,-(Setup!$C$13+Setup!$G$25),Setup!$C$39:$C$50))&gt;=Setup!$C$15,MONTH(WORKDAY(G292,-(Setup!$C$13+Setup!$G$25),Setup!$C$39:$C$50))&lt;=Setup!$C$16),OR(MONTH(WORKDAY(G292,-(Setup!$C$13+Setup!$G$25),Setup!$C$39:$C$50))&gt;=Setup!$C$15,MONTH(WORKDAY(G292,-(Setup!$C$13+Setup!$G$25),Setup!$C$39:$C$50))&lt;=Setup!$C$16))),WORKDAY(G292,-(Setup!$C$13+Setup!$G$25+Setup!$C$14),Setup!$C$39:$C$50),WORKDAY(G292,-(Setup!$C$13+Setup!$G$25),Setup!$C$39:$C$50))+(287*100+6)/10000000)))</f>
        <v/>
      </c>
      <c r="X292" t="str">
        <f>IF(H292="","",IF(H292&lt;Setup!$C$5-Setup!$C$6,"",IF(IF(ISNUMBER(Roster!$D292),Setup!$C$26&lt;=Roster!$D292,FALSE),"",IF(OR(IF(Setup!$C$15&lt;=Setup!$C$16,AND(MONTH(H292)&gt;=Setup!$C$15,MONTH(H292)&lt;=Setup!$C$16),OR(MONTH(H292)&gt;=Setup!$C$15,MONTH(H292)&lt;=Setup!$C$16)),IF(Setup!$C$15&lt;=Setup!$C$16,AND(MONTH(WORKDAY(H292,-(Setup!$C$13+Setup!$G$26),Setup!$C$39:$C$50))&gt;=Setup!$C$15,MONTH(WORKDAY(H292,-(Setup!$C$13+Setup!$G$26),Setup!$C$39:$C$50))&lt;=Setup!$C$16),OR(MONTH(WORKDAY(H292,-(Setup!$C$13+Setup!$G$26),Setup!$C$39:$C$50))&gt;=Setup!$C$15,MONTH(WORKDAY(H292,-(Setup!$C$13+Setup!$G$26),Setup!$C$39:$C$50))&lt;=Setup!$C$16))),WORKDAY(H292,-(Setup!$C$13+Setup!$G$26+Setup!$C$14),Setup!$C$39:$C$50),WORKDAY(H292,-(Setup!$C$13+Setup!$G$26),Setup!$C$39:$C$50))+(287*100+7)/10000000)))</f>
        <v/>
      </c>
      <c r="Y292" t="str">
        <f>IF(I292="","",IF(I292&lt;Setup!$C$5-Setup!$C$6,"",IF(IF(ISNUMBER(Roster!$D292),Setup!$C$27&lt;=Roster!$D292,FALSE),"",IF(OR(IF(Setup!$C$15&lt;=Setup!$C$16,AND(MONTH(I292)&gt;=Setup!$C$15,MONTH(I292)&lt;=Setup!$C$16),OR(MONTH(I292)&gt;=Setup!$C$15,MONTH(I292)&lt;=Setup!$C$16)),IF(Setup!$C$15&lt;=Setup!$C$16,AND(MONTH(WORKDAY(I292,-(Setup!$C$13+Setup!$G$27),Setup!$C$39:$C$50))&gt;=Setup!$C$15,MONTH(WORKDAY(I292,-(Setup!$C$13+Setup!$G$27),Setup!$C$39:$C$50))&lt;=Setup!$C$16),OR(MONTH(WORKDAY(I292,-(Setup!$C$13+Setup!$G$27),Setup!$C$39:$C$50))&gt;=Setup!$C$15,MONTH(WORKDAY(I292,-(Setup!$C$13+Setup!$G$27),Setup!$C$39:$C$50))&lt;=Setup!$C$16))),WORKDAY(I292,-(Setup!$C$13+Setup!$G$27+Setup!$C$14),Setup!$C$39:$C$50),WORKDAY(I292,-(Setup!$C$13+Setup!$G$27),Setup!$C$39:$C$50))+(287*100+8)/10000000)))</f>
        <v/>
      </c>
      <c r="Z292" t="str">
        <f>IF(J292="","",IF(J292&lt;Setup!$C$5-Setup!$C$6,"",IF(IF(ISNUMBER(Roster!$D292),Setup!$C$28&lt;=Roster!$D292,FALSE),"",IF(OR(IF(Setup!$C$15&lt;=Setup!$C$16,AND(MONTH(J292)&gt;=Setup!$C$15,MONTH(J292)&lt;=Setup!$C$16),OR(MONTH(J292)&gt;=Setup!$C$15,MONTH(J292)&lt;=Setup!$C$16)),IF(Setup!$C$15&lt;=Setup!$C$16,AND(MONTH(WORKDAY(J292,-(Setup!$C$13+Setup!$G$28),Setup!$C$39:$C$50))&gt;=Setup!$C$15,MONTH(WORKDAY(J292,-(Setup!$C$13+Setup!$G$28),Setup!$C$39:$C$50))&lt;=Setup!$C$16),OR(MONTH(WORKDAY(J292,-(Setup!$C$13+Setup!$G$28),Setup!$C$39:$C$50))&gt;=Setup!$C$15,MONTH(WORKDAY(J292,-(Setup!$C$13+Setup!$G$28),Setup!$C$39:$C$50))&lt;=Setup!$C$16))),WORKDAY(J292,-(Setup!$C$13+Setup!$G$28+Setup!$C$14),Setup!$C$39:$C$50),WORKDAY(J292,-(Setup!$C$13+Setup!$G$28),Setup!$C$39:$C$50))+(287*100+9)/10000000)))</f>
        <v/>
      </c>
      <c r="AA292" t="str">
        <f>IF(K292="","",IF(K292&lt;Setup!$C$5-Setup!$C$6,"",IF(IF(ISNUMBER(Roster!$D292),Setup!$C$29&lt;=Roster!$D292,FALSE),"",IF(OR(IF(Setup!$C$15&lt;=Setup!$C$16,AND(MONTH(K292)&gt;=Setup!$C$15,MONTH(K292)&lt;=Setup!$C$16),OR(MONTH(K292)&gt;=Setup!$C$15,MONTH(K292)&lt;=Setup!$C$16)),IF(Setup!$C$15&lt;=Setup!$C$16,AND(MONTH(WORKDAY(K292,-(Setup!$C$13+Setup!$G$29),Setup!$C$39:$C$50))&gt;=Setup!$C$15,MONTH(WORKDAY(K292,-(Setup!$C$13+Setup!$G$29),Setup!$C$39:$C$50))&lt;=Setup!$C$16),OR(MONTH(WORKDAY(K292,-(Setup!$C$13+Setup!$G$29),Setup!$C$39:$C$50))&gt;=Setup!$C$15,MONTH(WORKDAY(K292,-(Setup!$C$13+Setup!$G$29),Setup!$C$39:$C$50))&lt;=Setup!$C$16))),WORKDAY(K292,-(Setup!$C$13+Setup!$G$29+Setup!$C$14),Setup!$C$39:$C$50),WORKDAY(K292,-(Setup!$C$13+Setup!$G$29),Setup!$C$39:$C$50))+(287*100+10)/10000000)))</f>
        <v/>
      </c>
      <c r="AB292" t="str">
        <f>IF(L292="","",IF(L292&lt;Setup!$C$5-Setup!$C$6,"",IF(IF(ISNUMBER(Roster!$D292),Setup!$C$30&lt;=Roster!$D292,FALSE),"",IF(OR(IF(Setup!$C$15&lt;=Setup!$C$16,AND(MONTH(L292)&gt;=Setup!$C$15,MONTH(L292)&lt;=Setup!$C$16),OR(MONTH(L292)&gt;=Setup!$C$15,MONTH(L292)&lt;=Setup!$C$16)),IF(Setup!$C$15&lt;=Setup!$C$16,AND(MONTH(WORKDAY(L292,-(Setup!$C$13+Setup!$G$30),Setup!$C$39:$C$50))&gt;=Setup!$C$15,MONTH(WORKDAY(L292,-(Setup!$C$13+Setup!$G$30),Setup!$C$39:$C$50))&lt;=Setup!$C$16),OR(MONTH(WORKDAY(L292,-(Setup!$C$13+Setup!$G$30),Setup!$C$39:$C$50))&gt;=Setup!$C$15,MONTH(WORKDAY(L292,-(Setup!$C$13+Setup!$G$30),Setup!$C$39:$C$50))&lt;=Setup!$C$16))),WORKDAY(L292,-(Setup!$C$13+Setup!$G$30+Setup!$C$14),Setup!$C$39:$C$50),WORKDAY(L292,-(Setup!$C$13+Setup!$G$30),Setup!$C$39:$C$50))+(287*100+11)/10000000)))</f>
        <v/>
      </c>
      <c r="AC292" t="str">
        <f>IF(M292="","",IF(M292&lt;Setup!$C$5-Setup!$C$6,"",IF(IF(ISNUMBER(Roster!$D292),Setup!$C$31&lt;=Roster!$D292,FALSE),"",IF(OR(IF(Setup!$C$15&lt;=Setup!$C$16,AND(MONTH(M292)&gt;=Setup!$C$15,MONTH(M292)&lt;=Setup!$C$16),OR(MONTH(M292)&gt;=Setup!$C$15,MONTH(M292)&lt;=Setup!$C$16)),IF(Setup!$C$15&lt;=Setup!$C$16,AND(MONTH(WORKDAY(M292,-(Setup!$C$13+Setup!$G$31),Setup!$C$39:$C$50))&gt;=Setup!$C$15,MONTH(WORKDAY(M292,-(Setup!$C$13+Setup!$G$31),Setup!$C$39:$C$50))&lt;=Setup!$C$16),OR(MONTH(WORKDAY(M292,-(Setup!$C$13+Setup!$G$31),Setup!$C$39:$C$50))&gt;=Setup!$C$15,MONTH(WORKDAY(M292,-(Setup!$C$13+Setup!$G$31),Setup!$C$39:$C$50))&lt;=Setup!$C$16))),WORKDAY(M292,-(Setup!$C$13+Setup!$G$31+Setup!$C$14),Setup!$C$39:$C$50),WORKDAY(M292,-(Setup!$C$13+Setup!$G$31),Setup!$C$39:$C$50))+(287*100+12)/10000000)))</f>
        <v/>
      </c>
      <c r="AD292" t="str">
        <f>IF(N292="","",IF(N292&lt;Setup!$C$5-Setup!$C$6,"",IF(IF(ISNUMBER(Roster!$D292),Setup!$C$32&lt;=Roster!$D292,FALSE),"",IF(OR(IF(Setup!$C$15&lt;=Setup!$C$16,AND(MONTH(N292)&gt;=Setup!$C$15,MONTH(N292)&lt;=Setup!$C$16),OR(MONTH(N292)&gt;=Setup!$C$15,MONTH(N292)&lt;=Setup!$C$16)),IF(Setup!$C$15&lt;=Setup!$C$16,AND(MONTH(WORKDAY(N292,-(Setup!$C$13+Setup!$G$32),Setup!$C$39:$C$50))&gt;=Setup!$C$15,MONTH(WORKDAY(N292,-(Setup!$C$13+Setup!$G$32),Setup!$C$39:$C$50))&lt;=Setup!$C$16),OR(MONTH(WORKDAY(N292,-(Setup!$C$13+Setup!$G$32),Setup!$C$39:$C$50))&gt;=Setup!$C$15,MONTH(WORKDAY(N292,-(Setup!$C$13+Setup!$G$32),Setup!$C$39:$C$50))&lt;=Setup!$C$16))),WORKDAY(N292,-(Setup!$C$13+Setup!$G$32+Setup!$C$14),Setup!$C$39:$C$50),WORKDAY(N292,-(Setup!$C$13+Setup!$G$32),Setup!$C$39:$C$50))+(287*100+13)/10000000)))</f>
        <v/>
      </c>
      <c r="AE292" t="str">
        <f>IF(O292="","",IF(O292&lt;Setup!$C$5-Setup!$C$6,"",IF(IF(ISNUMBER(Roster!$D292),Setup!$C$33&lt;=Roster!$D292,FALSE),"",IF(OR(IF(Setup!$C$15&lt;=Setup!$C$16,AND(MONTH(O292)&gt;=Setup!$C$15,MONTH(O292)&lt;=Setup!$C$16),OR(MONTH(O292)&gt;=Setup!$C$15,MONTH(O292)&lt;=Setup!$C$16)),IF(Setup!$C$15&lt;=Setup!$C$16,AND(MONTH(WORKDAY(O292,-(Setup!$C$13+Setup!$G$33),Setup!$C$39:$C$50))&gt;=Setup!$C$15,MONTH(WORKDAY(O292,-(Setup!$C$13+Setup!$G$33),Setup!$C$39:$C$50))&lt;=Setup!$C$16),OR(MONTH(WORKDAY(O292,-(Setup!$C$13+Setup!$G$33),Setup!$C$39:$C$50))&gt;=Setup!$C$15,MONTH(WORKDAY(O292,-(Setup!$C$13+Setup!$G$33),Setup!$C$39:$C$50))&lt;=Setup!$C$16))),WORKDAY(O292,-(Setup!$C$13+Setup!$G$33+Setup!$C$14),Setup!$C$39:$C$50),WORKDAY(O292,-(Setup!$C$13+Setup!$G$33),Setup!$C$39:$C$50))+(287*100+14)/10000000)))</f>
        <v/>
      </c>
      <c r="AF292" t="str">
        <f>IF(P292="","",IF(P292&lt;Setup!$C$5-Setup!$C$6,"",IF(IF(ISNUMBER(Roster!$D292),Setup!$C$34&lt;=Roster!$D292,FALSE),"",IF(OR(IF(Setup!$C$15&lt;=Setup!$C$16,AND(MONTH(P292)&gt;=Setup!$C$15,MONTH(P292)&lt;=Setup!$C$16),OR(MONTH(P292)&gt;=Setup!$C$15,MONTH(P292)&lt;=Setup!$C$16)),IF(Setup!$C$15&lt;=Setup!$C$16,AND(MONTH(WORKDAY(P292,-(Setup!$C$13+Setup!$G$34),Setup!$C$39:$C$50))&gt;=Setup!$C$15,MONTH(WORKDAY(P292,-(Setup!$C$13+Setup!$G$34),Setup!$C$39:$C$50))&lt;=Setup!$C$16),OR(MONTH(WORKDAY(P292,-(Setup!$C$13+Setup!$G$34),Setup!$C$39:$C$50))&gt;=Setup!$C$15,MONTH(WORKDAY(P292,-(Setup!$C$13+Setup!$G$34),Setup!$C$39:$C$50))&lt;=Setup!$C$16))),WORKDAY(P292,-(Setup!$C$13+Setup!$G$34+Setup!$C$14),Setup!$C$39:$C$50),WORKDAY(P292,-(Setup!$C$13+Setup!$G$34),Setup!$C$39:$C$50))+(287*100+15)/10000000)))</f>
        <v/>
      </c>
      <c r="AH292" t="str">
        <f t="shared" si="33"/>
        <v/>
      </c>
      <c r="AI292" t="str">
        <f t="shared" si="34"/>
        <v/>
      </c>
      <c r="AK292" t="str">
        <f ca="1">IF(287&gt;$AK$2,"",SMALL($R$6:$AF$505,287))</f>
        <v/>
      </c>
      <c r="AL292" t="str">
        <f t="shared" ca="1" si="35"/>
        <v/>
      </c>
      <c r="AM292" t="str">
        <f t="shared" ca="1" si="36"/>
        <v/>
      </c>
      <c r="AN292" t="str">
        <f t="shared" ca="1" si="37"/>
        <v/>
      </c>
      <c r="AP292" t="str">
        <f>IF(ISNUMBER(Roster!$B292),MAX(1,YEAR(Setup!$C$5)-YEAR(Roster!$B292)+IF(EDATE(Roster!$B292,12*(YEAR(Setup!$C$5)-YEAR(Roster!$B292)))&lt;Setup!$C$5,1,0)),"")</f>
        <v/>
      </c>
      <c r="AQ292" s="32" t="str">
        <f>IF(AP292="","",EDATE(Roster!$B292,12*AP292))</f>
        <v/>
      </c>
      <c r="AR292" t="str">
        <f>IF(AQ292="","",IF(AQ292&lt;DATE(YEAR(Setup!$C$5)+1,MONTH(Setup!$C$5),DAY(Setup!$C$5)),AQ292+287/1000,""))</f>
        <v/>
      </c>
      <c r="AS292" t="str">
        <f t="shared" si="38"/>
        <v/>
      </c>
      <c r="AT292" t="str">
        <f>IF(AS292="","",IF(ISNUMBER(Roster!$D292),Roster!$D292&gt;=AP292,FALSE))</f>
        <v/>
      </c>
      <c r="AU292" t="str">
        <f t="shared" si="39"/>
        <v/>
      </c>
      <c r="AV292" t="str">
        <f ca="1">IF(287&gt;$AV$2,"",SMALL($AR$6:$AR$505,287))</f>
        <v/>
      </c>
      <c r="AW292" t="str">
        <f t="shared" ca="1" si="40"/>
        <v/>
      </c>
    </row>
    <row r="293" spans="2:49" x14ac:dyDescent="0.2">
      <c r="B293" s="32" t="str">
        <f>IF(AND(ISNUMBER(Roster!$B293),Setup!$B$20="Yes",ISNUMBER(Setup!$C$20)),EDATE(Roster!$B293,12*Setup!$C$20),"")</f>
        <v/>
      </c>
      <c r="C293" s="32" t="str">
        <f>IF(AND(ISNUMBER(Roster!$B293),Setup!$B$21="Yes",ISNUMBER(Setup!$C$21)),EDATE(Roster!$B293,12*Setup!$C$21),"")</f>
        <v/>
      </c>
      <c r="D293" s="32" t="str">
        <f>IF(AND(ISNUMBER(Roster!$B293),Setup!$B$22="Yes",ISNUMBER(Setup!$C$22)),EDATE(Roster!$B293,12*Setup!$C$22),"")</f>
        <v/>
      </c>
      <c r="E293" s="32" t="str">
        <f>IF(AND(ISNUMBER(Roster!$B293),Setup!$B$23="Yes",ISNUMBER(Setup!$C$23)),EDATE(Roster!$B293,12*Setup!$C$23),"")</f>
        <v/>
      </c>
      <c r="F293" s="32" t="str">
        <f>IF(AND(ISNUMBER(Roster!$B293),Setup!$B$24="Yes",ISNUMBER(Setup!$C$24)),EDATE(Roster!$B293,12*Setup!$C$24),"")</f>
        <v/>
      </c>
      <c r="G293" s="32" t="str">
        <f>IF(AND(ISNUMBER(Roster!$B293),Setup!$B$25="Yes",ISNUMBER(Setup!$C$25)),EDATE(Roster!$B293,12*Setup!$C$25),"")</f>
        <v/>
      </c>
      <c r="H293" s="32" t="str">
        <f>IF(AND(ISNUMBER(Roster!$B293),Setup!$B$26="Yes",ISNUMBER(Setup!$C$26)),EDATE(Roster!$B293,12*Setup!$C$26),"")</f>
        <v/>
      </c>
      <c r="I293" s="32" t="str">
        <f>IF(AND(ISNUMBER(Roster!$B293),Setup!$B$27="Yes",ISNUMBER(Setup!$C$27)),EDATE(Roster!$B293,12*Setup!$C$27),"")</f>
        <v/>
      </c>
      <c r="J293" s="32" t="str">
        <f>IF(AND(ISNUMBER(Roster!$B293),Setup!$B$28="Yes",ISNUMBER(Setup!$C$28)),EDATE(Roster!$B293,12*Setup!$C$28),"")</f>
        <v/>
      </c>
      <c r="K293" s="32" t="str">
        <f>IF(AND(ISNUMBER(Roster!$B293),Setup!$B$29="Yes",ISNUMBER(Setup!$C$29)),EDATE(Roster!$B293,12*Setup!$C$29),"")</f>
        <v/>
      </c>
      <c r="L293" s="32" t="str">
        <f>IF(AND(ISNUMBER(Roster!$B293),Setup!$B$30="Yes",ISNUMBER(Setup!$C$30)),EDATE(Roster!$B293,12*Setup!$C$30),"")</f>
        <v/>
      </c>
      <c r="M293" s="32" t="str">
        <f>IF(AND(ISNUMBER(Roster!$B293),Setup!$B$31="Yes",ISNUMBER(Setup!$C$31)),EDATE(Roster!$B293,12*Setup!$C$31),"")</f>
        <v/>
      </c>
      <c r="N293" s="32" t="str">
        <f>IF(AND(ISNUMBER(Roster!$B293),Setup!$B$32="Yes",ISNUMBER(Setup!$C$32)),EDATE(Roster!$B293,12*Setup!$C$32),"")</f>
        <v/>
      </c>
      <c r="O293" s="32" t="str">
        <f>IF(AND(ISNUMBER(Roster!$B293),Setup!$B$33="Yes",ISNUMBER(Setup!$C$33)),EDATE(Roster!$B293,12*Setup!$C$33),"")</f>
        <v/>
      </c>
      <c r="P293" s="32" t="str">
        <f>IF(AND(ISNUMBER(Roster!$B293),Setup!$B$34="Yes",ISNUMBER(Setup!$C$34)),EDATE(Roster!$B293,12*Setup!$C$34),"")</f>
        <v/>
      </c>
      <c r="R293" t="str">
        <f>IF(B293="","",IF(B293&lt;Setup!$C$5-Setup!$C$6,"",IF(IF(ISNUMBER(Roster!$D293),Setup!$C$20&lt;=Roster!$D293,FALSE),"",IF(OR(IF(Setup!$C$15&lt;=Setup!$C$16,AND(MONTH(B293)&gt;=Setup!$C$15,MONTH(B293)&lt;=Setup!$C$16),OR(MONTH(B293)&gt;=Setup!$C$15,MONTH(B293)&lt;=Setup!$C$16)),IF(Setup!$C$15&lt;=Setup!$C$16,AND(MONTH(WORKDAY(B293,-(Setup!$C$13+Setup!$G$20),Setup!$C$39:$C$50))&gt;=Setup!$C$15,MONTH(WORKDAY(B293,-(Setup!$C$13+Setup!$G$20),Setup!$C$39:$C$50))&lt;=Setup!$C$16),OR(MONTH(WORKDAY(B293,-(Setup!$C$13+Setup!$G$20),Setup!$C$39:$C$50))&gt;=Setup!$C$15,MONTH(WORKDAY(B293,-(Setup!$C$13+Setup!$G$20),Setup!$C$39:$C$50))&lt;=Setup!$C$16))),WORKDAY(B293,-(Setup!$C$13+Setup!$G$20+Setup!$C$14),Setup!$C$39:$C$50),WORKDAY(B293,-(Setup!$C$13+Setup!$G$20),Setup!$C$39:$C$50))+(288*100+1)/10000000)))</f>
        <v/>
      </c>
      <c r="S293" t="str">
        <f>IF(C293="","",IF(C293&lt;Setup!$C$5-Setup!$C$6,"",IF(IF(ISNUMBER(Roster!$D293),Setup!$C$21&lt;=Roster!$D293,FALSE),"",IF(OR(IF(Setup!$C$15&lt;=Setup!$C$16,AND(MONTH(C293)&gt;=Setup!$C$15,MONTH(C293)&lt;=Setup!$C$16),OR(MONTH(C293)&gt;=Setup!$C$15,MONTH(C293)&lt;=Setup!$C$16)),IF(Setup!$C$15&lt;=Setup!$C$16,AND(MONTH(WORKDAY(C293,-(Setup!$C$13+Setup!$G$21),Setup!$C$39:$C$50))&gt;=Setup!$C$15,MONTH(WORKDAY(C293,-(Setup!$C$13+Setup!$G$21),Setup!$C$39:$C$50))&lt;=Setup!$C$16),OR(MONTH(WORKDAY(C293,-(Setup!$C$13+Setup!$G$21),Setup!$C$39:$C$50))&gt;=Setup!$C$15,MONTH(WORKDAY(C293,-(Setup!$C$13+Setup!$G$21),Setup!$C$39:$C$50))&lt;=Setup!$C$16))),WORKDAY(C293,-(Setup!$C$13+Setup!$G$21+Setup!$C$14),Setup!$C$39:$C$50),WORKDAY(C293,-(Setup!$C$13+Setup!$G$21),Setup!$C$39:$C$50))+(288*100+2)/10000000)))</f>
        <v/>
      </c>
      <c r="T293" t="str">
        <f>IF(D293="","",IF(D293&lt;Setup!$C$5-Setup!$C$6,"",IF(IF(ISNUMBER(Roster!$D293),Setup!$C$22&lt;=Roster!$D293,FALSE),"",IF(OR(IF(Setup!$C$15&lt;=Setup!$C$16,AND(MONTH(D293)&gt;=Setup!$C$15,MONTH(D293)&lt;=Setup!$C$16),OR(MONTH(D293)&gt;=Setup!$C$15,MONTH(D293)&lt;=Setup!$C$16)),IF(Setup!$C$15&lt;=Setup!$C$16,AND(MONTH(WORKDAY(D293,-(Setup!$C$13+Setup!$G$22),Setup!$C$39:$C$50))&gt;=Setup!$C$15,MONTH(WORKDAY(D293,-(Setup!$C$13+Setup!$G$22),Setup!$C$39:$C$50))&lt;=Setup!$C$16),OR(MONTH(WORKDAY(D293,-(Setup!$C$13+Setup!$G$22),Setup!$C$39:$C$50))&gt;=Setup!$C$15,MONTH(WORKDAY(D293,-(Setup!$C$13+Setup!$G$22),Setup!$C$39:$C$50))&lt;=Setup!$C$16))),WORKDAY(D293,-(Setup!$C$13+Setup!$G$22+Setup!$C$14),Setup!$C$39:$C$50),WORKDAY(D293,-(Setup!$C$13+Setup!$G$22),Setup!$C$39:$C$50))+(288*100+3)/10000000)))</f>
        <v/>
      </c>
      <c r="U293" t="str">
        <f>IF(E293="","",IF(E293&lt;Setup!$C$5-Setup!$C$6,"",IF(IF(ISNUMBER(Roster!$D293),Setup!$C$23&lt;=Roster!$D293,FALSE),"",IF(OR(IF(Setup!$C$15&lt;=Setup!$C$16,AND(MONTH(E293)&gt;=Setup!$C$15,MONTH(E293)&lt;=Setup!$C$16),OR(MONTH(E293)&gt;=Setup!$C$15,MONTH(E293)&lt;=Setup!$C$16)),IF(Setup!$C$15&lt;=Setup!$C$16,AND(MONTH(WORKDAY(E293,-(Setup!$C$13+Setup!$G$23),Setup!$C$39:$C$50))&gt;=Setup!$C$15,MONTH(WORKDAY(E293,-(Setup!$C$13+Setup!$G$23),Setup!$C$39:$C$50))&lt;=Setup!$C$16),OR(MONTH(WORKDAY(E293,-(Setup!$C$13+Setup!$G$23),Setup!$C$39:$C$50))&gt;=Setup!$C$15,MONTH(WORKDAY(E293,-(Setup!$C$13+Setup!$G$23),Setup!$C$39:$C$50))&lt;=Setup!$C$16))),WORKDAY(E293,-(Setup!$C$13+Setup!$G$23+Setup!$C$14),Setup!$C$39:$C$50),WORKDAY(E293,-(Setup!$C$13+Setup!$G$23),Setup!$C$39:$C$50))+(288*100+4)/10000000)))</f>
        <v/>
      </c>
      <c r="V293" t="str">
        <f>IF(F293="","",IF(F293&lt;Setup!$C$5-Setup!$C$6,"",IF(IF(ISNUMBER(Roster!$D293),Setup!$C$24&lt;=Roster!$D293,FALSE),"",IF(OR(IF(Setup!$C$15&lt;=Setup!$C$16,AND(MONTH(F293)&gt;=Setup!$C$15,MONTH(F293)&lt;=Setup!$C$16),OR(MONTH(F293)&gt;=Setup!$C$15,MONTH(F293)&lt;=Setup!$C$16)),IF(Setup!$C$15&lt;=Setup!$C$16,AND(MONTH(WORKDAY(F293,-(Setup!$C$13+Setup!$G$24),Setup!$C$39:$C$50))&gt;=Setup!$C$15,MONTH(WORKDAY(F293,-(Setup!$C$13+Setup!$G$24),Setup!$C$39:$C$50))&lt;=Setup!$C$16),OR(MONTH(WORKDAY(F293,-(Setup!$C$13+Setup!$G$24),Setup!$C$39:$C$50))&gt;=Setup!$C$15,MONTH(WORKDAY(F293,-(Setup!$C$13+Setup!$G$24),Setup!$C$39:$C$50))&lt;=Setup!$C$16))),WORKDAY(F293,-(Setup!$C$13+Setup!$G$24+Setup!$C$14),Setup!$C$39:$C$50),WORKDAY(F293,-(Setup!$C$13+Setup!$G$24),Setup!$C$39:$C$50))+(288*100+5)/10000000)))</f>
        <v/>
      </c>
      <c r="W293" t="str">
        <f>IF(G293="","",IF(G293&lt;Setup!$C$5-Setup!$C$6,"",IF(IF(ISNUMBER(Roster!$D293),Setup!$C$25&lt;=Roster!$D293,FALSE),"",IF(OR(IF(Setup!$C$15&lt;=Setup!$C$16,AND(MONTH(G293)&gt;=Setup!$C$15,MONTH(G293)&lt;=Setup!$C$16),OR(MONTH(G293)&gt;=Setup!$C$15,MONTH(G293)&lt;=Setup!$C$16)),IF(Setup!$C$15&lt;=Setup!$C$16,AND(MONTH(WORKDAY(G293,-(Setup!$C$13+Setup!$G$25),Setup!$C$39:$C$50))&gt;=Setup!$C$15,MONTH(WORKDAY(G293,-(Setup!$C$13+Setup!$G$25),Setup!$C$39:$C$50))&lt;=Setup!$C$16),OR(MONTH(WORKDAY(G293,-(Setup!$C$13+Setup!$G$25),Setup!$C$39:$C$50))&gt;=Setup!$C$15,MONTH(WORKDAY(G293,-(Setup!$C$13+Setup!$G$25),Setup!$C$39:$C$50))&lt;=Setup!$C$16))),WORKDAY(G293,-(Setup!$C$13+Setup!$G$25+Setup!$C$14),Setup!$C$39:$C$50),WORKDAY(G293,-(Setup!$C$13+Setup!$G$25),Setup!$C$39:$C$50))+(288*100+6)/10000000)))</f>
        <v/>
      </c>
      <c r="X293" t="str">
        <f>IF(H293="","",IF(H293&lt;Setup!$C$5-Setup!$C$6,"",IF(IF(ISNUMBER(Roster!$D293),Setup!$C$26&lt;=Roster!$D293,FALSE),"",IF(OR(IF(Setup!$C$15&lt;=Setup!$C$16,AND(MONTH(H293)&gt;=Setup!$C$15,MONTH(H293)&lt;=Setup!$C$16),OR(MONTH(H293)&gt;=Setup!$C$15,MONTH(H293)&lt;=Setup!$C$16)),IF(Setup!$C$15&lt;=Setup!$C$16,AND(MONTH(WORKDAY(H293,-(Setup!$C$13+Setup!$G$26),Setup!$C$39:$C$50))&gt;=Setup!$C$15,MONTH(WORKDAY(H293,-(Setup!$C$13+Setup!$G$26),Setup!$C$39:$C$50))&lt;=Setup!$C$16),OR(MONTH(WORKDAY(H293,-(Setup!$C$13+Setup!$G$26),Setup!$C$39:$C$50))&gt;=Setup!$C$15,MONTH(WORKDAY(H293,-(Setup!$C$13+Setup!$G$26),Setup!$C$39:$C$50))&lt;=Setup!$C$16))),WORKDAY(H293,-(Setup!$C$13+Setup!$G$26+Setup!$C$14),Setup!$C$39:$C$50),WORKDAY(H293,-(Setup!$C$13+Setup!$G$26),Setup!$C$39:$C$50))+(288*100+7)/10000000)))</f>
        <v/>
      </c>
      <c r="Y293" t="str">
        <f>IF(I293="","",IF(I293&lt;Setup!$C$5-Setup!$C$6,"",IF(IF(ISNUMBER(Roster!$D293),Setup!$C$27&lt;=Roster!$D293,FALSE),"",IF(OR(IF(Setup!$C$15&lt;=Setup!$C$16,AND(MONTH(I293)&gt;=Setup!$C$15,MONTH(I293)&lt;=Setup!$C$16),OR(MONTH(I293)&gt;=Setup!$C$15,MONTH(I293)&lt;=Setup!$C$16)),IF(Setup!$C$15&lt;=Setup!$C$16,AND(MONTH(WORKDAY(I293,-(Setup!$C$13+Setup!$G$27),Setup!$C$39:$C$50))&gt;=Setup!$C$15,MONTH(WORKDAY(I293,-(Setup!$C$13+Setup!$G$27),Setup!$C$39:$C$50))&lt;=Setup!$C$16),OR(MONTH(WORKDAY(I293,-(Setup!$C$13+Setup!$G$27),Setup!$C$39:$C$50))&gt;=Setup!$C$15,MONTH(WORKDAY(I293,-(Setup!$C$13+Setup!$G$27),Setup!$C$39:$C$50))&lt;=Setup!$C$16))),WORKDAY(I293,-(Setup!$C$13+Setup!$G$27+Setup!$C$14),Setup!$C$39:$C$50),WORKDAY(I293,-(Setup!$C$13+Setup!$G$27),Setup!$C$39:$C$50))+(288*100+8)/10000000)))</f>
        <v/>
      </c>
      <c r="Z293" t="str">
        <f>IF(J293="","",IF(J293&lt;Setup!$C$5-Setup!$C$6,"",IF(IF(ISNUMBER(Roster!$D293),Setup!$C$28&lt;=Roster!$D293,FALSE),"",IF(OR(IF(Setup!$C$15&lt;=Setup!$C$16,AND(MONTH(J293)&gt;=Setup!$C$15,MONTH(J293)&lt;=Setup!$C$16),OR(MONTH(J293)&gt;=Setup!$C$15,MONTH(J293)&lt;=Setup!$C$16)),IF(Setup!$C$15&lt;=Setup!$C$16,AND(MONTH(WORKDAY(J293,-(Setup!$C$13+Setup!$G$28),Setup!$C$39:$C$50))&gt;=Setup!$C$15,MONTH(WORKDAY(J293,-(Setup!$C$13+Setup!$G$28),Setup!$C$39:$C$50))&lt;=Setup!$C$16),OR(MONTH(WORKDAY(J293,-(Setup!$C$13+Setup!$G$28),Setup!$C$39:$C$50))&gt;=Setup!$C$15,MONTH(WORKDAY(J293,-(Setup!$C$13+Setup!$G$28),Setup!$C$39:$C$50))&lt;=Setup!$C$16))),WORKDAY(J293,-(Setup!$C$13+Setup!$G$28+Setup!$C$14),Setup!$C$39:$C$50),WORKDAY(J293,-(Setup!$C$13+Setup!$G$28),Setup!$C$39:$C$50))+(288*100+9)/10000000)))</f>
        <v/>
      </c>
      <c r="AA293" t="str">
        <f>IF(K293="","",IF(K293&lt;Setup!$C$5-Setup!$C$6,"",IF(IF(ISNUMBER(Roster!$D293),Setup!$C$29&lt;=Roster!$D293,FALSE),"",IF(OR(IF(Setup!$C$15&lt;=Setup!$C$16,AND(MONTH(K293)&gt;=Setup!$C$15,MONTH(K293)&lt;=Setup!$C$16),OR(MONTH(K293)&gt;=Setup!$C$15,MONTH(K293)&lt;=Setup!$C$16)),IF(Setup!$C$15&lt;=Setup!$C$16,AND(MONTH(WORKDAY(K293,-(Setup!$C$13+Setup!$G$29),Setup!$C$39:$C$50))&gt;=Setup!$C$15,MONTH(WORKDAY(K293,-(Setup!$C$13+Setup!$G$29),Setup!$C$39:$C$50))&lt;=Setup!$C$16),OR(MONTH(WORKDAY(K293,-(Setup!$C$13+Setup!$G$29),Setup!$C$39:$C$50))&gt;=Setup!$C$15,MONTH(WORKDAY(K293,-(Setup!$C$13+Setup!$G$29),Setup!$C$39:$C$50))&lt;=Setup!$C$16))),WORKDAY(K293,-(Setup!$C$13+Setup!$G$29+Setup!$C$14),Setup!$C$39:$C$50),WORKDAY(K293,-(Setup!$C$13+Setup!$G$29),Setup!$C$39:$C$50))+(288*100+10)/10000000)))</f>
        <v/>
      </c>
      <c r="AB293" t="str">
        <f>IF(L293="","",IF(L293&lt;Setup!$C$5-Setup!$C$6,"",IF(IF(ISNUMBER(Roster!$D293),Setup!$C$30&lt;=Roster!$D293,FALSE),"",IF(OR(IF(Setup!$C$15&lt;=Setup!$C$16,AND(MONTH(L293)&gt;=Setup!$C$15,MONTH(L293)&lt;=Setup!$C$16),OR(MONTH(L293)&gt;=Setup!$C$15,MONTH(L293)&lt;=Setup!$C$16)),IF(Setup!$C$15&lt;=Setup!$C$16,AND(MONTH(WORKDAY(L293,-(Setup!$C$13+Setup!$G$30),Setup!$C$39:$C$50))&gt;=Setup!$C$15,MONTH(WORKDAY(L293,-(Setup!$C$13+Setup!$G$30),Setup!$C$39:$C$50))&lt;=Setup!$C$16),OR(MONTH(WORKDAY(L293,-(Setup!$C$13+Setup!$G$30),Setup!$C$39:$C$50))&gt;=Setup!$C$15,MONTH(WORKDAY(L293,-(Setup!$C$13+Setup!$G$30),Setup!$C$39:$C$50))&lt;=Setup!$C$16))),WORKDAY(L293,-(Setup!$C$13+Setup!$G$30+Setup!$C$14),Setup!$C$39:$C$50),WORKDAY(L293,-(Setup!$C$13+Setup!$G$30),Setup!$C$39:$C$50))+(288*100+11)/10000000)))</f>
        <v/>
      </c>
      <c r="AC293" t="str">
        <f>IF(M293="","",IF(M293&lt;Setup!$C$5-Setup!$C$6,"",IF(IF(ISNUMBER(Roster!$D293),Setup!$C$31&lt;=Roster!$D293,FALSE),"",IF(OR(IF(Setup!$C$15&lt;=Setup!$C$16,AND(MONTH(M293)&gt;=Setup!$C$15,MONTH(M293)&lt;=Setup!$C$16),OR(MONTH(M293)&gt;=Setup!$C$15,MONTH(M293)&lt;=Setup!$C$16)),IF(Setup!$C$15&lt;=Setup!$C$16,AND(MONTH(WORKDAY(M293,-(Setup!$C$13+Setup!$G$31),Setup!$C$39:$C$50))&gt;=Setup!$C$15,MONTH(WORKDAY(M293,-(Setup!$C$13+Setup!$G$31),Setup!$C$39:$C$50))&lt;=Setup!$C$16),OR(MONTH(WORKDAY(M293,-(Setup!$C$13+Setup!$G$31),Setup!$C$39:$C$50))&gt;=Setup!$C$15,MONTH(WORKDAY(M293,-(Setup!$C$13+Setup!$G$31),Setup!$C$39:$C$50))&lt;=Setup!$C$16))),WORKDAY(M293,-(Setup!$C$13+Setup!$G$31+Setup!$C$14),Setup!$C$39:$C$50),WORKDAY(M293,-(Setup!$C$13+Setup!$G$31),Setup!$C$39:$C$50))+(288*100+12)/10000000)))</f>
        <v/>
      </c>
      <c r="AD293" t="str">
        <f>IF(N293="","",IF(N293&lt;Setup!$C$5-Setup!$C$6,"",IF(IF(ISNUMBER(Roster!$D293),Setup!$C$32&lt;=Roster!$D293,FALSE),"",IF(OR(IF(Setup!$C$15&lt;=Setup!$C$16,AND(MONTH(N293)&gt;=Setup!$C$15,MONTH(N293)&lt;=Setup!$C$16),OR(MONTH(N293)&gt;=Setup!$C$15,MONTH(N293)&lt;=Setup!$C$16)),IF(Setup!$C$15&lt;=Setup!$C$16,AND(MONTH(WORKDAY(N293,-(Setup!$C$13+Setup!$G$32),Setup!$C$39:$C$50))&gt;=Setup!$C$15,MONTH(WORKDAY(N293,-(Setup!$C$13+Setup!$G$32),Setup!$C$39:$C$50))&lt;=Setup!$C$16),OR(MONTH(WORKDAY(N293,-(Setup!$C$13+Setup!$G$32),Setup!$C$39:$C$50))&gt;=Setup!$C$15,MONTH(WORKDAY(N293,-(Setup!$C$13+Setup!$G$32),Setup!$C$39:$C$50))&lt;=Setup!$C$16))),WORKDAY(N293,-(Setup!$C$13+Setup!$G$32+Setup!$C$14),Setup!$C$39:$C$50),WORKDAY(N293,-(Setup!$C$13+Setup!$G$32),Setup!$C$39:$C$50))+(288*100+13)/10000000)))</f>
        <v/>
      </c>
      <c r="AE293" t="str">
        <f>IF(O293="","",IF(O293&lt;Setup!$C$5-Setup!$C$6,"",IF(IF(ISNUMBER(Roster!$D293),Setup!$C$33&lt;=Roster!$D293,FALSE),"",IF(OR(IF(Setup!$C$15&lt;=Setup!$C$16,AND(MONTH(O293)&gt;=Setup!$C$15,MONTH(O293)&lt;=Setup!$C$16),OR(MONTH(O293)&gt;=Setup!$C$15,MONTH(O293)&lt;=Setup!$C$16)),IF(Setup!$C$15&lt;=Setup!$C$16,AND(MONTH(WORKDAY(O293,-(Setup!$C$13+Setup!$G$33),Setup!$C$39:$C$50))&gt;=Setup!$C$15,MONTH(WORKDAY(O293,-(Setup!$C$13+Setup!$G$33),Setup!$C$39:$C$50))&lt;=Setup!$C$16),OR(MONTH(WORKDAY(O293,-(Setup!$C$13+Setup!$G$33),Setup!$C$39:$C$50))&gt;=Setup!$C$15,MONTH(WORKDAY(O293,-(Setup!$C$13+Setup!$G$33),Setup!$C$39:$C$50))&lt;=Setup!$C$16))),WORKDAY(O293,-(Setup!$C$13+Setup!$G$33+Setup!$C$14),Setup!$C$39:$C$50),WORKDAY(O293,-(Setup!$C$13+Setup!$G$33),Setup!$C$39:$C$50))+(288*100+14)/10000000)))</f>
        <v/>
      </c>
      <c r="AF293" t="str">
        <f>IF(P293="","",IF(P293&lt;Setup!$C$5-Setup!$C$6,"",IF(IF(ISNUMBER(Roster!$D293),Setup!$C$34&lt;=Roster!$D293,FALSE),"",IF(OR(IF(Setup!$C$15&lt;=Setup!$C$16,AND(MONTH(P293)&gt;=Setup!$C$15,MONTH(P293)&lt;=Setup!$C$16),OR(MONTH(P293)&gt;=Setup!$C$15,MONTH(P293)&lt;=Setup!$C$16)),IF(Setup!$C$15&lt;=Setup!$C$16,AND(MONTH(WORKDAY(P293,-(Setup!$C$13+Setup!$G$34),Setup!$C$39:$C$50))&gt;=Setup!$C$15,MONTH(WORKDAY(P293,-(Setup!$C$13+Setup!$G$34),Setup!$C$39:$C$50))&lt;=Setup!$C$16),OR(MONTH(WORKDAY(P293,-(Setup!$C$13+Setup!$G$34),Setup!$C$39:$C$50))&gt;=Setup!$C$15,MONTH(WORKDAY(P293,-(Setup!$C$13+Setup!$G$34),Setup!$C$39:$C$50))&lt;=Setup!$C$16))),WORKDAY(P293,-(Setup!$C$13+Setup!$G$34+Setup!$C$14),Setup!$C$39:$C$50),WORKDAY(P293,-(Setup!$C$13+Setup!$G$34),Setup!$C$39:$C$50))+(288*100+15)/10000000)))</f>
        <v/>
      </c>
      <c r="AH293" t="str">
        <f t="shared" si="33"/>
        <v/>
      </c>
      <c r="AI293" t="str">
        <f t="shared" si="34"/>
        <v/>
      </c>
      <c r="AK293" t="str">
        <f ca="1">IF(288&gt;$AK$2,"",SMALL($R$6:$AF$505,288))</f>
        <v/>
      </c>
      <c r="AL293" t="str">
        <f t="shared" ca="1" si="35"/>
        <v/>
      </c>
      <c r="AM293" t="str">
        <f t="shared" ca="1" si="36"/>
        <v/>
      </c>
      <c r="AN293" t="str">
        <f t="shared" ca="1" si="37"/>
        <v/>
      </c>
      <c r="AP293" t="str">
        <f>IF(ISNUMBER(Roster!$B293),MAX(1,YEAR(Setup!$C$5)-YEAR(Roster!$B293)+IF(EDATE(Roster!$B293,12*(YEAR(Setup!$C$5)-YEAR(Roster!$B293)))&lt;Setup!$C$5,1,0)),"")</f>
        <v/>
      </c>
      <c r="AQ293" s="32" t="str">
        <f>IF(AP293="","",EDATE(Roster!$B293,12*AP293))</f>
        <v/>
      </c>
      <c r="AR293" t="str">
        <f>IF(AQ293="","",IF(AQ293&lt;DATE(YEAR(Setup!$C$5)+1,MONTH(Setup!$C$5),DAY(Setup!$C$5)),AQ293+288/1000,""))</f>
        <v/>
      </c>
      <c r="AS293" t="str">
        <f t="shared" si="38"/>
        <v/>
      </c>
      <c r="AT293" t="str">
        <f>IF(AS293="","",IF(ISNUMBER(Roster!$D293),Roster!$D293&gt;=AP293,FALSE))</f>
        <v/>
      </c>
      <c r="AU293" t="str">
        <f t="shared" si="39"/>
        <v/>
      </c>
      <c r="AV293" t="str">
        <f ca="1">IF(288&gt;$AV$2,"",SMALL($AR$6:$AR$505,288))</f>
        <v/>
      </c>
      <c r="AW293" t="str">
        <f t="shared" ca="1" si="40"/>
        <v/>
      </c>
    </row>
    <row r="294" spans="2:49" x14ac:dyDescent="0.2">
      <c r="B294" s="32" t="str">
        <f>IF(AND(ISNUMBER(Roster!$B294),Setup!$B$20="Yes",ISNUMBER(Setup!$C$20)),EDATE(Roster!$B294,12*Setup!$C$20),"")</f>
        <v/>
      </c>
      <c r="C294" s="32" t="str">
        <f>IF(AND(ISNUMBER(Roster!$B294),Setup!$B$21="Yes",ISNUMBER(Setup!$C$21)),EDATE(Roster!$B294,12*Setup!$C$21),"")</f>
        <v/>
      </c>
      <c r="D294" s="32" t="str">
        <f>IF(AND(ISNUMBER(Roster!$B294),Setup!$B$22="Yes",ISNUMBER(Setup!$C$22)),EDATE(Roster!$B294,12*Setup!$C$22),"")</f>
        <v/>
      </c>
      <c r="E294" s="32" t="str">
        <f>IF(AND(ISNUMBER(Roster!$B294),Setup!$B$23="Yes",ISNUMBER(Setup!$C$23)),EDATE(Roster!$B294,12*Setup!$C$23),"")</f>
        <v/>
      </c>
      <c r="F294" s="32" t="str">
        <f>IF(AND(ISNUMBER(Roster!$B294),Setup!$B$24="Yes",ISNUMBER(Setup!$C$24)),EDATE(Roster!$B294,12*Setup!$C$24),"")</f>
        <v/>
      </c>
      <c r="G294" s="32" t="str">
        <f>IF(AND(ISNUMBER(Roster!$B294),Setup!$B$25="Yes",ISNUMBER(Setup!$C$25)),EDATE(Roster!$B294,12*Setup!$C$25),"")</f>
        <v/>
      </c>
      <c r="H294" s="32" t="str">
        <f>IF(AND(ISNUMBER(Roster!$B294),Setup!$B$26="Yes",ISNUMBER(Setup!$C$26)),EDATE(Roster!$B294,12*Setup!$C$26),"")</f>
        <v/>
      </c>
      <c r="I294" s="32" t="str">
        <f>IF(AND(ISNUMBER(Roster!$B294),Setup!$B$27="Yes",ISNUMBER(Setup!$C$27)),EDATE(Roster!$B294,12*Setup!$C$27),"")</f>
        <v/>
      </c>
      <c r="J294" s="32" t="str">
        <f>IF(AND(ISNUMBER(Roster!$B294),Setup!$B$28="Yes",ISNUMBER(Setup!$C$28)),EDATE(Roster!$B294,12*Setup!$C$28),"")</f>
        <v/>
      </c>
      <c r="K294" s="32" t="str">
        <f>IF(AND(ISNUMBER(Roster!$B294),Setup!$B$29="Yes",ISNUMBER(Setup!$C$29)),EDATE(Roster!$B294,12*Setup!$C$29),"")</f>
        <v/>
      </c>
      <c r="L294" s="32" t="str">
        <f>IF(AND(ISNUMBER(Roster!$B294),Setup!$B$30="Yes",ISNUMBER(Setup!$C$30)),EDATE(Roster!$B294,12*Setup!$C$30),"")</f>
        <v/>
      </c>
      <c r="M294" s="32" t="str">
        <f>IF(AND(ISNUMBER(Roster!$B294),Setup!$B$31="Yes",ISNUMBER(Setup!$C$31)),EDATE(Roster!$B294,12*Setup!$C$31),"")</f>
        <v/>
      </c>
      <c r="N294" s="32" t="str">
        <f>IF(AND(ISNUMBER(Roster!$B294),Setup!$B$32="Yes",ISNUMBER(Setup!$C$32)),EDATE(Roster!$B294,12*Setup!$C$32),"")</f>
        <v/>
      </c>
      <c r="O294" s="32" t="str">
        <f>IF(AND(ISNUMBER(Roster!$B294),Setup!$B$33="Yes",ISNUMBER(Setup!$C$33)),EDATE(Roster!$B294,12*Setup!$C$33),"")</f>
        <v/>
      </c>
      <c r="P294" s="32" t="str">
        <f>IF(AND(ISNUMBER(Roster!$B294),Setup!$B$34="Yes",ISNUMBER(Setup!$C$34)),EDATE(Roster!$B294,12*Setup!$C$34),"")</f>
        <v/>
      </c>
      <c r="R294" t="str">
        <f>IF(B294="","",IF(B294&lt;Setup!$C$5-Setup!$C$6,"",IF(IF(ISNUMBER(Roster!$D294),Setup!$C$20&lt;=Roster!$D294,FALSE),"",IF(OR(IF(Setup!$C$15&lt;=Setup!$C$16,AND(MONTH(B294)&gt;=Setup!$C$15,MONTH(B294)&lt;=Setup!$C$16),OR(MONTH(B294)&gt;=Setup!$C$15,MONTH(B294)&lt;=Setup!$C$16)),IF(Setup!$C$15&lt;=Setup!$C$16,AND(MONTH(WORKDAY(B294,-(Setup!$C$13+Setup!$G$20),Setup!$C$39:$C$50))&gt;=Setup!$C$15,MONTH(WORKDAY(B294,-(Setup!$C$13+Setup!$G$20),Setup!$C$39:$C$50))&lt;=Setup!$C$16),OR(MONTH(WORKDAY(B294,-(Setup!$C$13+Setup!$G$20),Setup!$C$39:$C$50))&gt;=Setup!$C$15,MONTH(WORKDAY(B294,-(Setup!$C$13+Setup!$G$20),Setup!$C$39:$C$50))&lt;=Setup!$C$16))),WORKDAY(B294,-(Setup!$C$13+Setup!$G$20+Setup!$C$14),Setup!$C$39:$C$50),WORKDAY(B294,-(Setup!$C$13+Setup!$G$20),Setup!$C$39:$C$50))+(289*100+1)/10000000)))</f>
        <v/>
      </c>
      <c r="S294" t="str">
        <f>IF(C294="","",IF(C294&lt;Setup!$C$5-Setup!$C$6,"",IF(IF(ISNUMBER(Roster!$D294),Setup!$C$21&lt;=Roster!$D294,FALSE),"",IF(OR(IF(Setup!$C$15&lt;=Setup!$C$16,AND(MONTH(C294)&gt;=Setup!$C$15,MONTH(C294)&lt;=Setup!$C$16),OR(MONTH(C294)&gt;=Setup!$C$15,MONTH(C294)&lt;=Setup!$C$16)),IF(Setup!$C$15&lt;=Setup!$C$16,AND(MONTH(WORKDAY(C294,-(Setup!$C$13+Setup!$G$21),Setup!$C$39:$C$50))&gt;=Setup!$C$15,MONTH(WORKDAY(C294,-(Setup!$C$13+Setup!$G$21),Setup!$C$39:$C$50))&lt;=Setup!$C$16),OR(MONTH(WORKDAY(C294,-(Setup!$C$13+Setup!$G$21),Setup!$C$39:$C$50))&gt;=Setup!$C$15,MONTH(WORKDAY(C294,-(Setup!$C$13+Setup!$G$21),Setup!$C$39:$C$50))&lt;=Setup!$C$16))),WORKDAY(C294,-(Setup!$C$13+Setup!$G$21+Setup!$C$14),Setup!$C$39:$C$50),WORKDAY(C294,-(Setup!$C$13+Setup!$G$21),Setup!$C$39:$C$50))+(289*100+2)/10000000)))</f>
        <v/>
      </c>
      <c r="T294" t="str">
        <f>IF(D294="","",IF(D294&lt;Setup!$C$5-Setup!$C$6,"",IF(IF(ISNUMBER(Roster!$D294),Setup!$C$22&lt;=Roster!$D294,FALSE),"",IF(OR(IF(Setup!$C$15&lt;=Setup!$C$16,AND(MONTH(D294)&gt;=Setup!$C$15,MONTH(D294)&lt;=Setup!$C$16),OR(MONTH(D294)&gt;=Setup!$C$15,MONTH(D294)&lt;=Setup!$C$16)),IF(Setup!$C$15&lt;=Setup!$C$16,AND(MONTH(WORKDAY(D294,-(Setup!$C$13+Setup!$G$22),Setup!$C$39:$C$50))&gt;=Setup!$C$15,MONTH(WORKDAY(D294,-(Setup!$C$13+Setup!$G$22),Setup!$C$39:$C$50))&lt;=Setup!$C$16),OR(MONTH(WORKDAY(D294,-(Setup!$C$13+Setup!$G$22),Setup!$C$39:$C$50))&gt;=Setup!$C$15,MONTH(WORKDAY(D294,-(Setup!$C$13+Setup!$G$22),Setup!$C$39:$C$50))&lt;=Setup!$C$16))),WORKDAY(D294,-(Setup!$C$13+Setup!$G$22+Setup!$C$14),Setup!$C$39:$C$50),WORKDAY(D294,-(Setup!$C$13+Setup!$G$22),Setup!$C$39:$C$50))+(289*100+3)/10000000)))</f>
        <v/>
      </c>
      <c r="U294" t="str">
        <f>IF(E294="","",IF(E294&lt;Setup!$C$5-Setup!$C$6,"",IF(IF(ISNUMBER(Roster!$D294),Setup!$C$23&lt;=Roster!$D294,FALSE),"",IF(OR(IF(Setup!$C$15&lt;=Setup!$C$16,AND(MONTH(E294)&gt;=Setup!$C$15,MONTH(E294)&lt;=Setup!$C$16),OR(MONTH(E294)&gt;=Setup!$C$15,MONTH(E294)&lt;=Setup!$C$16)),IF(Setup!$C$15&lt;=Setup!$C$16,AND(MONTH(WORKDAY(E294,-(Setup!$C$13+Setup!$G$23),Setup!$C$39:$C$50))&gt;=Setup!$C$15,MONTH(WORKDAY(E294,-(Setup!$C$13+Setup!$G$23),Setup!$C$39:$C$50))&lt;=Setup!$C$16),OR(MONTH(WORKDAY(E294,-(Setup!$C$13+Setup!$G$23),Setup!$C$39:$C$50))&gt;=Setup!$C$15,MONTH(WORKDAY(E294,-(Setup!$C$13+Setup!$G$23),Setup!$C$39:$C$50))&lt;=Setup!$C$16))),WORKDAY(E294,-(Setup!$C$13+Setup!$G$23+Setup!$C$14),Setup!$C$39:$C$50),WORKDAY(E294,-(Setup!$C$13+Setup!$G$23),Setup!$C$39:$C$50))+(289*100+4)/10000000)))</f>
        <v/>
      </c>
      <c r="V294" t="str">
        <f>IF(F294="","",IF(F294&lt;Setup!$C$5-Setup!$C$6,"",IF(IF(ISNUMBER(Roster!$D294),Setup!$C$24&lt;=Roster!$D294,FALSE),"",IF(OR(IF(Setup!$C$15&lt;=Setup!$C$16,AND(MONTH(F294)&gt;=Setup!$C$15,MONTH(F294)&lt;=Setup!$C$16),OR(MONTH(F294)&gt;=Setup!$C$15,MONTH(F294)&lt;=Setup!$C$16)),IF(Setup!$C$15&lt;=Setup!$C$16,AND(MONTH(WORKDAY(F294,-(Setup!$C$13+Setup!$G$24),Setup!$C$39:$C$50))&gt;=Setup!$C$15,MONTH(WORKDAY(F294,-(Setup!$C$13+Setup!$G$24),Setup!$C$39:$C$50))&lt;=Setup!$C$16),OR(MONTH(WORKDAY(F294,-(Setup!$C$13+Setup!$G$24),Setup!$C$39:$C$50))&gt;=Setup!$C$15,MONTH(WORKDAY(F294,-(Setup!$C$13+Setup!$G$24),Setup!$C$39:$C$50))&lt;=Setup!$C$16))),WORKDAY(F294,-(Setup!$C$13+Setup!$G$24+Setup!$C$14),Setup!$C$39:$C$50),WORKDAY(F294,-(Setup!$C$13+Setup!$G$24),Setup!$C$39:$C$50))+(289*100+5)/10000000)))</f>
        <v/>
      </c>
      <c r="W294" t="str">
        <f>IF(G294="","",IF(G294&lt;Setup!$C$5-Setup!$C$6,"",IF(IF(ISNUMBER(Roster!$D294),Setup!$C$25&lt;=Roster!$D294,FALSE),"",IF(OR(IF(Setup!$C$15&lt;=Setup!$C$16,AND(MONTH(G294)&gt;=Setup!$C$15,MONTH(G294)&lt;=Setup!$C$16),OR(MONTH(G294)&gt;=Setup!$C$15,MONTH(G294)&lt;=Setup!$C$16)),IF(Setup!$C$15&lt;=Setup!$C$16,AND(MONTH(WORKDAY(G294,-(Setup!$C$13+Setup!$G$25),Setup!$C$39:$C$50))&gt;=Setup!$C$15,MONTH(WORKDAY(G294,-(Setup!$C$13+Setup!$G$25),Setup!$C$39:$C$50))&lt;=Setup!$C$16),OR(MONTH(WORKDAY(G294,-(Setup!$C$13+Setup!$G$25),Setup!$C$39:$C$50))&gt;=Setup!$C$15,MONTH(WORKDAY(G294,-(Setup!$C$13+Setup!$G$25),Setup!$C$39:$C$50))&lt;=Setup!$C$16))),WORKDAY(G294,-(Setup!$C$13+Setup!$G$25+Setup!$C$14),Setup!$C$39:$C$50),WORKDAY(G294,-(Setup!$C$13+Setup!$G$25),Setup!$C$39:$C$50))+(289*100+6)/10000000)))</f>
        <v/>
      </c>
      <c r="X294" t="str">
        <f>IF(H294="","",IF(H294&lt;Setup!$C$5-Setup!$C$6,"",IF(IF(ISNUMBER(Roster!$D294),Setup!$C$26&lt;=Roster!$D294,FALSE),"",IF(OR(IF(Setup!$C$15&lt;=Setup!$C$16,AND(MONTH(H294)&gt;=Setup!$C$15,MONTH(H294)&lt;=Setup!$C$16),OR(MONTH(H294)&gt;=Setup!$C$15,MONTH(H294)&lt;=Setup!$C$16)),IF(Setup!$C$15&lt;=Setup!$C$16,AND(MONTH(WORKDAY(H294,-(Setup!$C$13+Setup!$G$26),Setup!$C$39:$C$50))&gt;=Setup!$C$15,MONTH(WORKDAY(H294,-(Setup!$C$13+Setup!$G$26),Setup!$C$39:$C$50))&lt;=Setup!$C$16),OR(MONTH(WORKDAY(H294,-(Setup!$C$13+Setup!$G$26),Setup!$C$39:$C$50))&gt;=Setup!$C$15,MONTH(WORKDAY(H294,-(Setup!$C$13+Setup!$G$26),Setup!$C$39:$C$50))&lt;=Setup!$C$16))),WORKDAY(H294,-(Setup!$C$13+Setup!$G$26+Setup!$C$14),Setup!$C$39:$C$50),WORKDAY(H294,-(Setup!$C$13+Setup!$G$26),Setup!$C$39:$C$50))+(289*100+7)/10000000)))</f>
        <v/>
      </c>
      <c r="Y294" t="str">
        <f>IF(I294="","",IF(I294&lt;Setup!$C$5-Setup!$C$6,"",IF(IF(ISNUMBER(Roster!$D294),Setup!$C$27&lt;=Roster!$D294,FALSE),"",IF(OR(IF(Setup!$C$15&lt;=Setup!$C$16,AND(MONTH(I294)&gt;=Setup!$C$15,MONTH(I294)&lt;=Setup!$C$16),OR(MONTH(I294)&gt;=Setup!$C$15,MONTH(I294)&lt;=Setup!$C$16)),IF(Setup!$C$15&lt;=Setup!$C$16,AND(MONTH(WORKDAY(I294,-(Setup!$C$13+Setup!$G$27),Setup!$C$39:$C$50))&gt;=Setup!$C$15,MONTH(WORKDAY(I294,-(Setup!$C$13+Setup!$G$27),Setup!$C$39:$C$50))&lt;=Setup!$C$16),OR(MONTH(WORKDAY(I294,-(Setup!$C$13+Setup!$G$27),Setup!$C$39:$C$50))&gt;=Setup!$C$15,MONTH(WORKDAY(I294,-(Setup!$C$13+Setup!$G$27),Setup!$C$39:$C$50))&lt;=Setup!$C$16))),WORKDAY(I294,-(Setup!$C$13+Setup!$G$27+Setup!$C$14),Setup!$C$39:$C$50),WORKDAY(I294,-(Setup!$C$13+Setup!$G$27),Setup!$C$39:$C$50))+(289*100+8)/10000000)))</f>
        <v/>
      </c>
      <c r="Z294" t="str">
        <f>IF(J294="","",IF(J294&lt;Setup!$C$5-Setup!$C$6,"",IF(IF(ISNUMBER(Roster!$D294),Setup!$C$28&lt;=Roster!$D294,FALSE),"",IF(OR(IF(Setup!$C$15&lt;=Setup!$C$16,AND(MONTH(J294)&gt;=Setup!$C$15,MONTH(J294)&lt;=Setup!$C$16),OR(MONTH(J294)&gt;=Setup!$C$15,MONTH(J294)&lt;=Setup!$C$16)),IF(Setup!$C$15&lt;=Setup!$C$16,AND(MONTH(WORKDAY(J294,-(Setup!$C$13+Setup!$G$28),Setup!$C$39:$C$50))&gt;=Setup!$C$15,MONTH(WORKDAY(J294,-(Setup!$C$13+Setup!$G$28),Setup!$C$39:$C$50))&lt;=Setup!$C$16),OR(MONTH(WORKDAY(J294,-(Setup!$C$13+Setup!$G$28),Setup!$C$39:$C$50))&gt;=Setup!$C$15,MONTH(WORKDAY(J294,-(Setup!$C$13+Setup!$G$28),Setup!$C$39:$C$50))&lt;=Setup!$C$16))),WORKDAY(J294,-(Setup!$C$13+Setup!$G$28+Setup!$C$14),Setup!$C$39:$C$50),WORKDAY(J294,-(Setup!$C$13+Setup!$G$28),Setup!$C$39:$C$50))+(289*100+9)/10000000)))</f>
        <v/>
      </c>
      <c r="AA294" t="str">
        <f>IF(K294="","",IF(K294&lt;Setup!$C$5-Setup!$C$6,"",IF(IF(ISNUMBER(Roster!$D294),Setup!$C$29&lt;=Roster!$D294,FALSE),"",IF(OR(IF(Setup!$C$15&lt;=Setup!$C$16,AND(MONTH(K294)&gt;=Setup!$C$15,MONTH(K294)&lt;=Setup!$C$16),OR(MONTH(K294)&gt;=Setup!$C$15,MONTH(K294)&lt;=Setup!$C$16)),IF(Setup!$C$15&lt;=Setup!$C$16,AND(MONTH(WORKDAY(K294,-(Setup!$C$13+Setup!$G$29),Setup!$C$39:$C$50))&gt;=Setup!$C$15,MONTH(WORKDAY(K294,-(Setup!$C$13+Setup!$G$29),Setup!$C$39:$C$50))&lt;=Setup!$C$16),OR(MONTH(WORKDAY(K294,-(Setup!$C$13+Setup!$G$29),Setup!$C$39:$C$50))&gt;=Setup!$C$15,MONTH(WORKDAY(K294,-(Setup!$C$13+Setup!$G$29),Setup!$C$39:$C$50))&lt;=Setup!$C$16))),WORKDAY(K294,-(Setup!$C$13+Setup!$G$29+Setup!$C$14),Setup!$C$39:$C$50),WORKDAY(K294,-(Setup!$C$13+Setup!$G$29),Setup!$C$39:$C$50))+(289*100+10)/10000000)))</f>
        <v/>
      </c>
      <c r="AB294" t="str">
        <f>IF(L294="","",IF(L294&lt;Setup!$C$5-Setup!$C$6,"",IF(IF(ISNUMBER(Roster!$D294),Setup!$C$30&lt;=Roster!$D294,FALSE),"",IF(OR(IF(Setup!$C$15&lt;=Setup!$C$16,AND(MONTH(L294)&gt;=Setup!$C$15,MONTH(L294)&lt;=Setup!$C$16),OR(MONTH(L294)&gt;=Setup!$C$15,MONTH(L294)&lt;=Setup!$C$16)),IF(Setup!$C$15&lt;=Setup!$C$16,AND(MONTH(WORKDAY(L294,-(Setup!$C$13+Setup!$G$30),Setup!$C$39:$C$50))&gt;=Setup!$C$15,MONTH(WORKDAY(L294,-(Setup!$C$13+Setup!$G$30),Setup!$C$39:$C$50))&lt;=Setup!$C$16),OR(MONTH(WORKDAY(L294,-(Setup!$C$13+Setup!$G$30),Setup!$C$39:$C$50))&gt;=Setup!$C$15,MONTH(WORKDAY(L294,-(Setup!$C$13+Setup!$G$30),Setup!$C$39:$C$50))&lt;=Setup!$C$16))),WORKDAY(L294,-(Setup!$C$13+Setup!$G$30+Setup!$C$14),Setup!$C$39:$C$50),WORKDAY(L294,-(Setup!$C$13+Setup!$G$30),Setup!$C$39:$C$50))+(289*100+11)/10000000)))</f>
        <v/>
      </c>
      <c r="AC294" t="str">
        <f>IF(M294="","",IF(M294&lt;Setup!$C$5-Setup!$C$6,"",IF(IF(ISNUMBER(Roster!$D294),Setup!$C$31&lt;=Roster!$D294,FALSE),"",IF(OR(IF(Setup!$C$15&lt;=Setup!$C$16,AND(MONTH(M294)&gt;=Setup!$C$15,MONTH(M294)&lt;=Setup!$C$16),OR(MONTH(M294)&gt;=Setup!$C$15,MONTH(M294)&lt;=Setup!$C$16)),IF(Setup!$C$15&lt;=Setup!$C$16,AND(MONTH(WORKDAY(M294,-(Setup!$C$13+Setup!$G$31),Setup!$C$39:$C$50))&gt;=Setup!$C$15,MONTH(WORKDAY(M294,-(Setup!$C$13+Setup!$G$31),Setup!$C$39:$C$50))&lt;=Setup!$C$16),OR(MONTH(WORKDAY(M294,-(Setup!$C$13+Setup!$G$31),Setup!$C$39:$C$50))&gt;=Setup!$C$15,MONTH(WORKDAY(M294,-(Setup!$C$13+Setup!$G$31),Setup!$C$39:$C$50))&lt;=Setup!$C$16))),WORKDAY(M294,-(Setup!$C$13+Setup!$G$31+Setup!$C$14),Setup!$C$39:$C$50),WORKDAY(M294,-(Setup!$C$13+Setup!$G$31),Setup!$C$39:$C$50))+(289*100+12)/10000000)))</f>
        <v/>
      </c>
      <c r="AD294" t="str">
        <f>IF(N294="","",IF(N294&lt;Setup!$C$5-Setup!$C$6,"",IF(IF(ISNUMBER(Roster!$D294),Setup!$C$32&lt;=Roster!$D294,FALSE),"",IF(OR(IF(Setup!$C$15&lt;=Setup!$C$16,AND(MONTH(N294)&gt;=Setup!$C$15,MONTH(N294)&lt;=Setup!$C$16),OR(MONTH(N294)&gt;=Setup!$C$15,MONTH(N294)&lt;=Setup!$C$16)),IF(Setup!$C$15&lt;=Setup!$C$16,AND(MONTH(WORKDAY(N294,-(Setup!$C$13+Setup!$G$32),Setup!$C$39:$C$50))&gt;=Setup!$C$15,MONTH(WORKDAY(N294,-(Setup!$C$13+Setup!$G$32),Setup!$C$39:$C$50))&lt;=Setup!$C$16),OR(MONTH(WORKDAY(N294,-(Setup!$C$13+Setup!$G$32),Setup!$C$39:$C$50))&gt;=Setup!$C$15,MONTH(WORKDAY(N294,-(Setup!$C$13+Setup!$G$32),Setup!$C$39:$C$50))&lt;=Setup!$C$16))),WORKDAY(N294,-(Setup!$C$13+Setup!$G$32+Setup!$C$14),Setup!$C$39:$C$50),WORKDAY(N294,-(Setup!$C$13+Setup!$G$32),Setup!$C$39:$C$50))+(289*100+13)/10000000)))</f>
        <v/>
      </c>
      <c r="AE294" t="str">
        <f>IF(O294="","",IF(O294&lt;Setup!$C$5-Setup!$C$6,"",IF(IF(ISNUMBER(Roster!$D294),Setup!$C$33&lt;=Roster!$D294,FALSE),"",IF(OR(IF(Setup!$C$15&lt;=Setup!$C$16,AND(MONTH(O294)&gt;=Setup!$C$15,MONTH(O294)&lt;=Setup!$C$16),OR(MONTH(O294)&gt;=Setup!$C$15,MONTH(O294)&lt;=Setup!$C$16)),IF(Setup!$C$15&lt;=Setup!$C$16,AND(MONTH(WORKDAY(O294,-(Setup!$C$13+Setup!$G$33),Setup!$C$39:$C$50))&gt;=Setup!$C$15,MONTH(WORKDAY(O294,-(Setup!$C$13+Setup!$G$33),Setup!$C$39:$C$50))&lt;=Setup!$C$16),OR(MONTH(WORKDAY(O294,-(Setup!$C$13+Setup!$G$33),Setup!$C$39:$C$50))&gt;=Setup!$C$15,MONTH(WORKDAY(O294,-(Setup!$C$13+Setup!$G$33),Setup!$C$39:$C$50))&lt;=Setup!$C$16))),WORKDAY(O294,-(Setup!$C$13+Setup!$G$33+Setup!$C$14),Setup!$C$39:$C$50),WORKDAY(O294,-(Setup!$C$13+Setup!$G$33),Setup!$C$39:$C$50))+(289*100+14)/10000000)))</f>
        <v/>
      </c>
      <c r="AF294" t="str">
        <f>IF(P294="","",IF(P294&lt;Setup!$C$5-Setup!$C$6,"",IF(IF(ISNUMBER(Roster!$D294),Setup!$C$34&lt;=Roster!$D294,FALSE),"",IF(OR(IF(Setup!$C$15&lt;=Setup!$C$16,AND(MONTH(P294)&gt;=Setup!$C$15,MONTH(P294)&lt;=Setup!$C$16),OR(MONTH(P294)&gt;=Setup!$C$15,MONTH(P294)&lt;=Setup!$C$16)),IF(Setup!$C$15&lt;=Setup!$C$16,AND(MONTH(WORKDAY(P294,-(Setup!$C$13+Setup!$G$34),Setup!$C$39:$C$50))&gt;=Setup!$C$15,MONTH(WORKDAY(P294,-(Setup!$C$13+Setup!$G$34),Setup!$C$39:$C$50))&lt;=Setup!$C$16),OR(MONTH(WORKDAY(P294,-(Setup!$C$13+Setup!$G$34),Setup!$C$39:$C$50))&gt;=Setup!$C$15,MONTH(WORKDAY(P294,-(Setup!$C$13+Setup!$G$34),Setup!$C$39:$C$50))&lt;=Setup!$C$16))),WORKDAY(P294,-(Setup!$C$13+Setup!$G$34+Setup!$C$14),Setup!$C$39:$C$50),WORKDAY(P294,-(Setup!$C$13+Setup!$G$34),Setup!$C$39:$C$50))+(289*100+15)/10000000)))</f>
        <v/>
      </c>
      <c r="AH294" t="str">
        <f t="shared" si="33"/>
        <v/>
      </c>
      <c r="AI294" t="str">
        <f t="shared" si="34"/>
        <v/>
      </c>
      <c r="AK294" t="str">
        <f ca="1">IF(289&gt;$AK$2,"",SMALL($R$6:$AF$505,289))</f>
        <v/>
      </c>
      <c r="AL294" t="str">
        <f t="shared" ca="1" si="35"/>
        <v/>
      </c>
      <c r="AM294" t="str">
        <f t="shared" ca="1" si="36"/>
        <v/>
      </c>
      <c r="AN294" t="str">
        <f t="shared" ca="1" si="37"/>
        <v/>
      </c>
      <c r="AP294" t="str">
        <f>IF(ISNUMBER(Roster!$B294),MAX(1,YEAR(Setup!$C$5)-YEAR(Roster!$B294)+IF(EDATE(Roster!$B294,12*(YEAR(Setup!$C$5)-YEAR(Roster!$B294)))&lt;Setup!$C$5,1,0)),"")</f>
        <v/>
      </c>
      <c r="AQ294" s="32" t="str">
        <f>IF(AP294="","",EDATE(Roster!$B294,12*AP294))</f>
        <v/>
      </c>
      <c r="AR294" t="str">
        <f>IF(AQ294="","",IF(AQ294&lt;DATE(YEAR(Setup!$C$5)+1,MONTH(Setup!$C$5),DAY(Setup!$C$5)),AQ294+289/1000,""))</f>
        <v/>
      </c>
      <c r="AS294" t="str">
        <f t="shared" si="38"/>
        <v/>
      </c>
      <c r="AT294" t="str">
        <f>IF(AS294="","",IF(ISNUMBER(Roster!$D294),Roster!$D294&gt;=AP294,FALSE))</f>
        <v/>
      </c>
      <c r="AU294" t="str">
        <f t="shared" si="39"/>
        <v/>
      </c>
      <c r="AV294" t="str">
        <f ca="1">IF(289&gt;$AV$2,"",SMALL($AR$6:$AR$505,289))</f>
        <v/>
      </c>
      <c r="AW294" t="str">
        <f t="shared" ca="1" si="40"/>
        <v/>
      </c>
    </row>
    <row r="295" spans="2:49" x14ac:dyDescent="0.2">
      <c r="B295" s="32" t="str">
        <f>IF(AND(ISNUMBER(Roster!$B295),Setup!$B$20="Yes",ISNUMBER(Setup!$C$20)),EDATE(Roster!$B295,12*Setup!$C$20),"")</f>
        <v/>
      </c>
      <c r="C295" s="32" t="str">
        <f>IF(AND(ISNUMBER(Roster!$B295),Setup!$B$21="Yes",ISNUMBER(Setup!$C$21)),EDATE(Roster!$B295,12*Setup!$C$21),"")</f>
        <v/>
      </c>
      <c r="D295" s="32" t="str">
        <f>IF(AND(ISNUMBER(Roster!$B295),Setup!$B$22="Yes",ISNUMBER(Setup!$C$22)),EDATE(Roster!$B295,12*Setup!$C$22),"")</f>
        <v/>
      </c>
      <c r="E295" s="32" t="str">
        <f>IF(AND(ISNUMBER(Roster!$B295),Setup!$B$23="Yes",ISNUMBER(Setup!$C$23)),EDATE(Roster!$B295,12*Setup!$C$23),"")</f>
        <v/>
      </c>
      <c r="F295" s="32" t="str">
        <f>IF(AND(ISNUMBER(Roster!$B295),Setup!$B$24="Yes",ISNUMBER(Setup!$C$24)),EDATE(Roster!$B295,12*Setup!$C$24),"")</f>
        <v/>
      </c>
      <c r="G295" s="32" t="str">
        <f>IF(AND(ISNUMBER(Roster!$B295),Setup!$B$25="Yes",ISNUMBER(Setup!$C$25)),EDATE(Roster!$B295,12*Setup!$C$25),"")</f>
        <v/>
      </c>
      <c r="H295" s="32" t="str">
        <f>IF(AND(ISNUMBER(Roster!$B295),Setup!$B$26="Yes",ISNUMBER(Setup!$C$26)),EDATE(Roster!$B295,12*Setup!$C$26),"")</f>
        <v/>
      </c>
      <c r="I295" s="32" t="str">
        <f>IF(AND(ISNUMBER(Roster!$B295),Setup!$B$27="Yes",ISNUMBER(Setup!$C$27)),EDATE(Roster!$B295,12*Setup!$C$27),"")</f>
        <v/>
      </c>
      <c r="J295" s="32" t="str">
        <f>IF(AND(ISNUMBER(Roster!$B295),Setup!$B$28="Yes",ISNUMBER(Setup!$C$28)),EDATE(Roster!$B295,12*Setup!$C$28),"")</f>
        <v/>
      </c>
      <c r="K295" s="32" t="str">
        <f>IF(AND(ISNUMBER(Roster!$B295),Setup!$B$29="Yes",ISNUMBER(Setup!$C$29)),EDATE(Roster!$B295,12*Setup!$C$29),"")</f>
        <v/>
      </c>
      <c r="L295" s="32" t="str">
        <f>IF(AND(ISNUMBER(Roster!$B295),Setup!$B$30="Yes",ISNUMBER(Setup!$C$30)),EDATE(Roster!$B295,12*Setup!$C$30),"")</f>
        <v/>
      </c>
      <c r="M295" s="32" t="str">
        <f>IF(AND(ISNUMBER(Roster!$B295),Setup!$B$31="Yes",ISNUMBER(Setup!$C$31)),EDATE(Roster!$B295,12*Setup!$C$31),"")</f>
        <v/>
      </c>
      <c r="N295" s="32" t="str">
        <f>IF(AND(ISNUMBER(Roster!$B295),Setup!$B$32="Yes",ISNUMBER(Setup!$C$32)),EDATE(Roster!$B295,12*Setup!$C$32),"")</f>
        <v/>
      </c>
      <c r="O295" s="32" t="str">
        <f>IF(AND(ISNUMBER(Roster!$B295),Setup!$B$33="Yes",ISNUMBER(Setup!$C$33)),EDATE(Roster!$B295,12*Setup!$C$33),"")</f>
        <v/>
      </c>
      <c r="P295" s="32" t="str">
        <f>IF(AND(ISNUMBER(Roster!$B295),Setup!$B$34="Yes",ISNUMBER(Setup!$C$34)),EDATE(Roster!$B295,12*Setup!$C$34),"")</f>
        <v/>
      </c>
      <c r="R295" t="str">
        <f>IF(B295="","",IF(B295&lt;Setup!$C$5-Setup!$C$6,"",IF(IF(ISNUMBER(Roster!$D295),Setup!$C$20&lt;=Roster!$D295,FALSE),"",IF(OR(IF(Setup!$C$15&lt;=Setup!$C$16,AND(MONTH(B295)&gt;=Setup!$C$15,MONTH(B295)&lt;=Setup!$C$16),OR(MONTH(B295)&gt;=Setup!$C$15,MONTH(B295)&lt;=Setup!$C$16)),IF(Setup!$C$15&lt;=Setup!$C$16,AND(MONTH(WORKDAY(B295,-(Setup!$C$13+Setup!$G$20),Setup!$C$39:$C$50))&gt;=Setup!$C$15,MONTH(WORKDAY(B295,-(Setup!$C$13+Setup!$G$20),Setup!$C$39:$C$50))&lt;=Setup!$C$16),OR(MONTH(WORKDAY(B295,-(Setup!$C$13+Setup!$G$20),Setup!$C$39:$C$50))&gt;=Setup!$C$15,MONTH(WORKDAY(B295,-(Setup!$C$13+Setup!$G$20),Setup!$C$39:$C$50))&lt;=Setup!$C$16))),WORKDAY(B295,-(Setup!$C$13+Setup!$G$20+Setup!$C$14),Setup!$C$39:$C$50),WORKDAY(B295,-(Setup!$C$13+Setup!$G$20),Setup!$C$39:$C$50))+(290*100+1)/10000000)))</f>
        <v/>
      </c>
      <c r="S295" t="str">
        <f>IF(C295="","",IF(C295&lt;Setup!$C$5-Setup!$C$6,"",IF(IF(ISNUMBER(Roster!$D295),Setup!$C$21&lt;=Roster!$D295,FALSE),"",IF(OR(IF(Setup!$C$15&lt;=Setup!$C$16,AND(MONTH(C295)&gt;=Setup!$C$15,MONTH(C295)&lt;=Setup!$C$16),OR(MONTH(C295)&gt;=Setup!$C$15,MONTH(C295)&lt;=Setup!$C$16)),IF(Setup!$C$15&lt;=Setup!$C$16,AND(MONTH(WORKDAY(C295,-(Setup!$C$13+Setup!$G$21),Setup!$C$39:$C$50))&gt;=Setup!$C$15,MONTH(WORKDAY(C295,-(Setup!$C$13+Setup!$G$21),Setup!$C$39:$C$50))&lt;=Setup!$C$16),OR(MONTH(WORKDAY(C295,-(Setup!$C$13+Setup!$G$21),Setup!$C$39:$C$50))&gt;=Setup!$C$15,MONTH(WORKDAY(C295,-(Setup!$C$13+Setup!$G$21),Setup!$C$39:$C$50))&lt;=Setup!$C$16))),WORKDAY(C295,-(Setup!$C$13+Setup!$G$21+Setup!$C$14),Setup!$C$39:$C$50),WORKDAY(C295,-(Setup!$C$13+Setup!$G$21),Setup!$C$39:$C$50))+(290*100+2)/10000000)))</f>
        <v/>
      </c>
      <c r="T295" t="str">
        <f>IF(D295="","",IF(D295&lt;Setup!$C$5-Setup!$C$6,"",IF(IF(ISNUMBER(Roster!$D295),Setup!$C$22&lt;=Roster!$D295,FALSE),"",IF(OR(IF(Setup!$C$15&lt;=Setup!$C$16,AND(MONTH(D295)&gt;=Setup!$C$15,MONTH(D295)&lt;=Setup!$C$16),OR(MONTH(D295)&gt;=Setup!$C$15,MONTH(D295)&lt;=Setup!$C$16)),IF(Setup!$C$15&lt;=Setup!$C$16,AND(MONTH(WORKDAY(D295,-(Setup!$C$13+Setup!$G$22),Setup!$C$39:$C$50))&gt;=Setup!$C$15,MONTH(WORKDAY(D295,-(Setup!$C$13+Setup!$G$22),Setup!$C$39:$C$50))&lt;=Setup!$C$16),OR(MONTH(WORKDAY(D295,-(Setup!$C$13+Setup!$G$22),Setup!$C$39:$C$50))&gt;=Setup!$C$15,MONTH(WORKDAY(D295,-(Setup!$C$13+Setup!$G$22),Setup!$C$39:$C$50))&lt;=Setup!$C$16))),WORKDAY(D295,-(Setup!$C$13+Setup!$G$22+Setup!$C$14),Setup!$C$39:$C$50),WORKDAY(D295,-(Setup!$C$13+Setup!$G$22),Setup!$C$39:$C$50))+(290*100+3)/10000000)))</f>
        <v/>
      </c>
      <c r="U295" t="str">
        <f>IF(E295="","",IF(E295&lt;Setup!$C$5-Setup!$C$6,"",IF(IF(ISNUMBER(Roster!$D295),Setup!$C$23&lt;=Roster!$D295,FALSE),"",IF(OR(IF(Setup!$C$15&lt;=Setup!$C$16,AND(MONTH(E295)&gt;=Setup!$C$15,MONTH(E295)&lt;=Setup!$C$16),OR(MONTH(E295)&gt;=Setup!$C$15,MONTH(E295)&lt;=Setup!$C$16)),IF(Setup!$C$15&lt;=Setup!$C$16,AND(MONTH(WORKDAY(E295,-(Setup!$C$13+Setup!$G$23),Setup!$C$39:$C$50))&gt;=Setup!$C$15,MONTH(WORKDAY(E295,-(Setup!$C$13+Setup!$G$23),Setup!$C$39:$C$50))&lt;=Setup!$C$16),OR(MONTH(WORKDAY(E295,-(Setup!$C$13+Setup!$G$23),Setup!$C$39:$C$50))&gt;=Setup!$C$15,MONTH(WORKDAY(E295,-(Setup!$C$13+Setup!$G$23),Setup!$C$39:$C$50))&lt;=Setup!$C$16))),WORKDAY(E295,-(Setup!$C$13+Setup!$G$23+Setup!$C$14),Setup!$C$39:$C$50),WORKDAY(E295,-(Setup!$C$13+Setup!$G$23),Setup!$C$39:$C$50))+(290*100+4)/10000000)))</f>
        <v/>
      </c>
      <c r="V295" t="str">
        <f>IF(F295="","",IF(F295&lt;Setup!$C$5-Setup!$C$6,"",IF(IF(ISNUMBER(Roster!$D295),Setup!$C$24&lt;=Roster!$D295,FALSE),"",IF(OR(IF(Setup!$C$15&lt;=Setup!$C$16,AND(MONTH(F295)&gt;=Setup!$C$15,MONTH(F295)&lt;=Setup!$C$16),OR(MONTH(F295)&gt;=Setup!$C$15,MONTH(F295)&lt;=Setup!$C$16)),IF(Setup!$C$15&lt;=Setup!$C$16,AND(MONTH(WORKDAY(F295,-(Setup!$C$13+Setup!$G$24),Setup!$C$39:$C$50))&gt;=Setup!$C$15,MONTH(WORKDAY(F295,-(Setup!$C$13+Setup!$G$24),Setup!$C$39:$C$50))&lt;=Setup!$C$16),OR(MONTH(WORKDAY(F295,-(Setup!$C$13+Setup!$G$24),Setup!$C$39:$C$50))&gt;=Setup!$C$15,MONTH(WORKDAY(F295,-(Setup!$C$13+Setup!$G$24),Setup!$C$39:$C$50))&lt;=Setup!$C$16))),WORKDAY(F295,-(Setup!$C$13+Setup!$G$24+Setup!$C$14),Setup!$C$39:$C$50),WORKDAY(F295,-(Setup!$C$13+Setup!$G$24),Setup!$C$39:$C$50))+(290*100+5)/10000000)))</f>
        <v/>
      </c>
      <c r="W295" t="str">
        <f>IF(G295="","",IF(G295&lt;Setup!$C$5-Setup!$C$6,"",IF(IF(ISNUMBER(Roster!$D295),Setup!$C$25&lt;=Roster!$D295,FALSE),"",IF(OR(IF(Setup!$C$15&lt;=Setup!$C$16,AND(MONTH(G295)&gt;=Setup!$C$15,MONTH(G295)&lt;=Setup!$C$16),OR(MONTH(G295)&gt;=Setup!$C$15,MONTH(G295)&lt;=Setup!$C$16)),IF(Setup!$C$15&lt;=Setup!$C$16,AND(MONTH(WORKDAY(G295,-(Setup!$C$13+Setup!$G$25),Setup!$C$39:$C$50))&gt;=Setup!$C$15,MONTH(WORKDAY(G295,-(Setup!$C$13+Setup!$G$25),Setup!$C$39:$C$50))&lt;=Setup!$C$16),OR(MONTH(WORKDAY(G295,-(Setup!$C$13+Setup!$G$25),Setup!$C$39:$C$50))&gt;=Setup!$C$15,MONTH(WORKDAY(G295,-(Setup!$C$13+Setup!$G$25),Setup!$C$39:$C$50))&lt;=Setup!$C$16))),WORKDAY(G295,-(Setup!$C$13+Setup!$G$25+Setup!$C$14),Setup!$C$39:$C$50),WORKDAY(G295,-(Setup!$C$13+Setup!$G$25),Setup!$C$39:$C$50))+(290*100+6)/10000000)))</f>
        <v/>
      </c>
      <c r="X295" t="str">
        <f>IF(H295="","",IF(H295&lt;Setup!$C$5-Setup!$C$6,"",IF(IF(ISNUMBER(Roster!$D295),Setup!$C$26&lt;=Roster!$D295,FALSE),"",IF(OR(IF(Setup!$C$15&lt;=Setup!$C$16,AND(MONTH(H295)&gt;=Setup!$C$15,MONTH(H295)&lt;=Setup!$C$16),OR(MONTH(H295)&gt;=Setup!$C$15,MONTH(H295)&lt;=Setup!$C$16)),IF(Setup!$C$15&lt;=Setup!$C$16,AND(MONTH(WORKDAY(H295,-(Setup!$C$13+Setup!$G$26),Setup!$C$39:$C$50))&gt;=Setup!$C$15,MONTH(WORKDAY(H295,-(Setup!$C$13+Setup!$G$26),Setup!$C$39:$C$50))&lt;=Setup!$C$16),OR(MONTH(WORKDAY(H295,-(Setup!$C$13+Setup!$G$26),Setup!$C$39:$C$50))&gt;=Setup!$C$15,MONTH(WORKDAY(H295,-(Setup!$C$13+Setup!$G$26),Setup!$C$39:$C$50))&lt;=Setup!$C$16))),WORKDAY(H295,-(Setup!$C$13+Setup!$G$26+Setup!$C$14),Setup!$C$39:$C$50),WORKDAY(H295,-(Setup!$C$13+Setup!$G$26),Setup!$C$39:$C$50))+(290*100+7)/10000000)))</f>
        <v/>
      </c>
      <c r="Y295" t="str">
        <f>IF(I295="","",IF(I295&lt;Setup!$C$5-Setup!$C$6,"",IF(IF(ISNUMBER(Roster!$D295),Setup!$C$27&lt;=Roster!$D295,FALSE),"",IF(OR(IF(Setup!$C$15&lt;=Setup!$C$16,AND(MONTH(I295)&gt;=Setup!$C$15,MONTH(I295)&lt;=Setup!$C$16),OR(MONTH(I295)&gt;=Setup!$C$15,MONTH(I295)&lt;=Setup!$C$16)),IF(Setup!$C$15&lt;=Setup!$C$16,AND(MONTH(WORKDAY(I295,-(Setup!$C$13+Setup!$G$27),Setup!$C$39:$C$50))&gt;=Setup!$C$15,MONTH(WORKDAY(I295,-(Setup!$C$13+Setup!$G$27),Setup!$C$39:$C$50))&lt;=Setup!$C$16),OR(MONTH(WORKDAY(I295,-(Setup!$C$13+Setup!$G$27),Setup!$C$39:$C$50))&gt;=Setup!$C$15,MONTH(WORKDAY(I295,-(Setup!$C$13+Setup!$G$27),Setup!$C$39:$C$50))&lt;=Setup!$C$16))),WORKDAY(I295,-(Setup!$C$13+Setup!$G$27+Setup!$C$14),Setup!$C$39:$C$50),WORKDAY(I295,-(Setup!$C$13+Setup!$G$27),Setup!$C$39:$C$50))+(290*100+8)/10000000)))</f>
        <v/>
      </c>
      <c r="Z295" t="str">
        <f>IF(J295="","",IF(J295&lt;Setup!$C$5-Setup!$C$6,"",IF(IF(ISNUMBER(Roster!$D295),Setup!$C$28&lt;=Roster!$D295,FALSE),"",IF(OR(IF(Setup!$C$15&lt;=Setup!$C$16,AND(MONTH(J295)&gt;=Setup!$C$15,MONTH(J295)&lt;=Setup!$C$16),OR(MONTH(J295)&gt;=Setup!$C$15,MONTH(J295)&lt;=Setup!$C$16)),IF(Setup!$C$15&lt;=Setup!$C$16,AND(MONTH(WORKDAY(J295,-(Setup!$C$13+Setup!$G$28),Setup!$C$39:$C$50))&gt;=Setup!$C$15,MONTH(WORKDAY(J295,-(Setup!$C$13+Setup!$G$28),Setup!$C$39:$C$50))&lt;=Setup!$C$16),OR(MONTH(WORKDAY(J295,-(Setup!$C$13+Setup!$G$28),Setup!$C$39:$C$50))&gt;=Setup!$C$15,MONTH(WORKDAY(J295,-(Setup!$C$13+Setup!$G$28),Setup!$C$39:$C$50))&lt;=Setup!$C$16))),WORKDAY(J295,-(Setup!$C$13+Setup!$G$28+Setup!$C$14),Setup!$C$39:$C$50),WORKDAY(J295,-(Setup!$C$13+Setup!$G$28),Setup!$C$39:$C$50))+(290*100+9)/10000000)))</f>
        <v/>
      </c>
      <c r="AA295" t="str">
        <f>IF(K295="","",IF(K295&lt;Setup!$C$5-Setup!$C$6,"",IF(IF(ISNUMBER(Roster!$D295),Setup!$C$29&lt;=Roster!$D295,FALSE),"",IF(OR(IF(Setup!$C$15&lt;=Setup!$C$16,AND(MONTH(K295)&gt;=Setup!$C$15,MONTH(K295)&lt;=Setup!$C$16),OR(MONTH(K295)&gt;=Setup!$C$15,MONTH(K295)&lt;=Setup!$C$16)),IF(Setup!$C$15&lt;=Setup!$C$16,AND(MONTH(WORKDAY(K295,-(Setup!$C$13+Setup!$G$29),Setup!$C$39:$C$50))&gt;=Setup!$C$15,MONTH(WORKDAY(K295,-(Setup!$C$13+Setup!$G$29),Setup!$C$39:$C$50))&lt;=Setup!$C$16),OR(MONTH(WORKDAY(K295,-(Setup!$C$13+Setup!$G$29),Setup!$C$39:$C$50))&gt;=Setup!$C$15,MONTH(WORKDAY(K295,-(Setup!$C$13+Setup!$G$29),Setup!$C$39:$C$50))&lt;=Setup!$C$16))),WORKDAY(K295,-(Setup!$C$13+Setup!$G$29+Setup!$C$14),Setup!$C$39:$C$50),WORKDAY(K295,-(Setup!$C$13+Setup!$G$29),Setup!$C$39:$C$50))+(290*100+10)/10000000)))</f>
        <v/>
      </c>
      <c r="AB295" t="str">
        <f>IF(L295="","",IF(L295&lt;Setup!$C$5-Setup!$C$6,"",IF(IF(ISNUMBER(Roster!$D295),Setup!$C$30&lt;=Roster!$D295,FALSE),"",IF(OR(IF(Setup!$C$15&lt;=Setup!$C$16,AND(MONTH(L295)&gt;=Setup!$C$15,MONTH(L295)&lt;=Setup!$C$16),OR(MONTH(L295)&gt;=Setup!$C$15,MONTH(L295)&lt;=Setup!$C$16)),IF(Setup!$C$15&lt;=Setup!$C$16,AND(MONTH(WORKDAY(L295,-(Setup!$C$13+Setup!$G$30),Setup!$C$39:$C$50))&gt;=Setup!$C$15,MONTH(WORKDAY(L295,-(Setup!$C$13+Setup!$G$30),Setup!$C$39:$C$50))&lt;=Setup!$C$16),OR(MONTH(WORKDAY(L295,-(Setup!$C$13+Setup!$G$30),Setup!$C$39:$C$50))&gt;=Setup!$C$15,MONTH(WORKDAY(L295,-(Setup!$C$13+Setup!$G$30),Setup!$C$39:$C$50))&lt;=Setup!$C$16))),WORKDAY(L295,-(Setup!$C$13+Setup!$G$30+Setup!$C$14),Setup!$C$39:$C$50),WORKDAY(L295,-(Setup!$C$13+Setup!$G$30),Setup!$C$39:$C$50))+(290*100+11)/10000000)))</f>
        <v/>
      </c>
      <c r="AC295" t="str">
        <f>IF(M295="","",IF(M295&lt;Setup!$C$5-Setup!$C$6,"",IF(IF(ISNUMBER(Roster!$D295),Setup!$C$31&lt;=Roster!$D295,FALSE),"",IF(OR(IF(Setup!$C$15&lt;=Setup!$C$16,AND(MONTH(M295)&gt;=Setup!$C$15,MONTH(M295)&lt;=Setup!$C$16),OR(MONTH(M295)&gt;=Setup!$C$15,MONTH(M295)&lt;=Setup!$C$16)),IF(Setup!$C$15&lt;=Setup!$C$16,AND(MONTH(WORKDAY(M295,-(Setup!$C$13+Setup!$G$31),Setup!$C$39:$C$50))&gt;=Setup!$C$15,MONTH(WORKDAY(M295,-(Setup!$C$13+Setup!$G$31),Setup!$C$39:$C$50))&lt;=Setup!$C$16),OR(MONTH(WORKDAY(M295,-(Setup!$C$13+Setup!$G$31),Setup!$C$39:$C$50))&gt;=Setup!$C$15,MONTH(WORKDAY(M295,-(Setup!$C$13+Setup!$G$31),Setup!$C$39:$C$50))&lt;=Setup!$C$16))),WORKDAY(M295,-(Setup!$C$13+Setup!$G$31+Setup!$C$14),Setup!$C$39:$C$50),WORKDAY(M295,-(Setup!$C$13+Setup!$G$31),Setup!$C$39:$C$50))+(290*100+12)/10000000)))</f>
        <v/>
      </c>
      <c r="AD295" t="str">
        <f>IF(N295="","",IF(N295&lt;Setup!$C$5-Setup!$C$6,"",IF(IF(ISNUMBER(Roster!$D295),Setup!$C$32&lt;=Roster!$D295,FALSE),"",IF(OR(IF(Setup!$C$15&lt;=Setup!$C$16,AND(MONTH(N295)&gt;=Setup!$C$15,MONTH(N295)&lt;=Setup!$C$16),OR(MONTH(N295)&gt;=Setup!$C$15,MONTH(N295)&lt;=Setup!$C$16)),IF(Setup!$C$15&lt;=Setup!$C$16,AND(MONTH(WORKDAY(N295,-(Setup!$C$13+Setup!$G$32),Setup!$C$39:$C$50))&gt;=Setup!$C$15,MONTH(WORKDAY(N295,-(Setup!$C$13+Setup!$G$32),Setup!$C$39:$C$50))&lt;=Setup!$C$16),OR(MONTH(WORKDAY(N295,-(Setup!$C$13+Setup!$G$32),Setup!$C$39:$C$50))&gt;=Setup!$C$15,MONTH(WORKDAY(N295,-(Setup!$C$13+Setup!$G$32),Setup!$C$39:$C$50))&lt;=Setup!$C$16))),WORKDAY(N295,-(Setup!$C$13+Setup!$G$32+Setup!$C$14),Setup!$C$39:$C$50),WORKDAY(N295,-(Setup!$C$13+Setup!$G$32),Setup!$C$39:$C$50))+(290*100+13)/10000000)))</f>
        <v/>
      </c>
      <c r="AE295" t="str">
        <f>IF(O295="","",IF(O295&lt;Setup!$C$5-Setup!$C$6,"",IF(IF(ISNUMBER(Roster!$D295),Setup!$C$33&lt;=Roster!$D295,FALSE),"",IF(OR(IF(Setup!$C$15&lt;=Setup!$C$16,AND(MONTH(O295)&gt;=Setup!$C$15,MONTH(O295)&lt;=Setup!$C$16),OR(MONTH(O295)&gt;=Setup!$C$15,MONTH(O295)&lt;=Setup!$C$16)),IF(Setup!$C$15&lt;=Setup!$C$16,AND(MONTH(WORKDAY(O295,-(Setup!$C$13+Setup!$G$33),Setup!$C$39:$C$50))&gt;=Setup!$C$15,MONTH(WORKDAY(O295,-(Setup!$C$13+Setup!$G$33),Setup!$C$39:$C$50))&lt;=Setup!$C$16),OR(MONTH(WORKDAY(O295,-(Setup!$C$13+Setup!$G$33),Setup!$C$39:$C$50))&gt;=Setup!$C$15,MONTH(WORKDAY(O295,-(Setup!$C$13+Setup!$G$33),Setup!$C$39:$C$50))&lt;=Setup!$C$16))),WORKDAY(O295,-(Setup!$C$13+Setup!$G$33+Setup!$C$14),Setup!$C$39:$C$50),WORKDAY(O295,-(Setup!$C$13+Setup!$G$33),Setup!$C$39:$C$50))+(290*100+14)/10000000)))</f>
        <v/>
      </c>
      <c r="AF295" t="str">
        <f>IF(P295="","",IF(P295&lt;Setup!$C$5-Setup!$C$6,"",IF(IF(ISNUMBER(Roster!$D295),Setup!$C$34&lt;=Roster!$D295,FALSE),"",IF(OR(IF(Setup!$C$15&lt;=Setup!$C$16,AND(MONTH(P295)&gt;=Setup!$C$15,MONTH(P295)&lt;=Setup!$C$16),OR(MONTH(P295)&gt;=Setup!$C$15,MONTH(P295)&lt;=Setup!$C$16)),IF(Setup!$C$15&lt;=Setup!$C$16,AND(MONTH(WORKDAY(P295,-(Setup!$C$13+Setup!$G$34),Setup!$C$39:$C$50))&gt;=Setup!$C$15,MONTH(WORKDAY(P295,-(Setup!$C$13+Setup!$G$34),Setup!$C$39:$C$50))&lt;=Setup!$C$16),OR(MONTH(WORKDAY(P295,-(Setup!$C$13+Setup!$G$34),Setup!$C$39:$C$50))&gt;=Setup!$C$15,MONTH(WORKDAY(P295,-(Setup!$C$13+Setup!$G$34),Setup!$C$39:$C$50))&lt;=Setup!$C$16))),WORKDAY(P295,-(Setup!$C$13+Setup!$G$34+Setup!$C$14),Setup!$C$39:$C$50),WORKDAY(P295,-(Setup!$C$13+Setup!$G$34),Setup!$C$39:$C$50))+(290*100+15)/10000000)))</f>
        <v/>
      </c>
      <c r="AH295" t="str">
        <f t="shared" si="33"/>
        <v/>
      </c>
      <c r="AI295" t="str">
        <f t="shared" si="34"/>
        <v/>
      </c>
      <c r="AK295" t="str">
        <f ca="1">IF(290&gt;$AK$2,"",SMALL($R$6:$AF$505,290))</f>
        <v/>
      </c>
      <c r="AL295" t="str">
        <f t="shared" ca="1" si="35"/>
        <v/>
      </c>
      <c r="AM295" t="str">
        <f t="shared" ca="1" si="36"/>
        <v/>
      </c>
      <c r="AN295" t="str">
        <f t="shared" ca="1" si="37"/>
        <v/>
      </c>
      <c r="AP295" t="str">
        <f>IF(ISNUMBER(Roster!$B295),MAX(1,YEAR(Setup!$C$5)-YEAR(Roster!$B295)+IF(EDATE(Roster!$B295,12*(YEAR(Setup!$C$5)-YEAR(Roster!$B295)))&lt;Setup!$C$5,1,0)),"")</f>
        <v/>
      </c>
      <c r="AQ295" s="32" t="str">
        <f>IF(AP295="","",EDATE(Roster!$B295,12*AP295))</f>
        <v/>
      </c>
      <c r="AR295" t="str">
        <f>IF(AQ295="","",IF(AQ295&lt;DATE(YEAR(Setup!$C$5)+1,MONTH(Setup!$C$5),DAY(Setup!$C$5)),AQ295+290/1000,""))</f>
        <v/>
      </c>
      <c r="AS295" t="str">
        <f t="shared" si="38"/>
        <v/>
      </c>
      <c r="AT295" t="str">
        <f>IF(AS295="","",IF(ISNUMBER(Roster!$D295),Roster!$D295&gt;=AP295,FALSE))</f>
        <v/>
      </c>
      <c r="AU295" t="str">
        <f t="shared" si="39"/>
        <v/>
      </c>
      <c r="AV295" t="str">
        <f ca="1">IF(290&gt;$AV$2,"",SMALL($AR$6:$AR$505,290))</f>
        <v/>
      </c>
      <c r="AW295" t="str">
        <f t="shared" ca="1" si="40"/>
        <v/>
      </c>
    </row>
    <row r="296" spans="2:49" x14ac:dyDescent="0.2">
      <c r="B296" s="32" t="str">
        <f>IF(AND(ISNUMBER(Roster!$B296),Setup!$B$20="Yes",ISNUMBER(Setup!$C$20)),EDATE(Roster!$B296,12*Setup!$C$20),"")</f>
        <v/>
      </c>
      <c r="C296" s="32" t="str">
        <f>IF(AND(ISNUMBER(Roster!$B296),Setup!$B$21="Yes",ISNUMBER(Setup!$C$21)),EDATE(Roster!$B296,12*Setup!$C$21),"")</f>
        <v/>
      </c>
      <c r="D296" s="32" t="str">
        <f>IF(AND(ISNUMBER(Roster!$B296),Setup!$B$22="Yes",ISNUMBER(Setup!$C$22)),EDATE(Roster!$B296,12*Setup!$C$22),"")</f>
        <v/>
      </c>
      <c r="E296" s="32" t="str">
        <f>IF(AND(ISNUMBER(Roster!$B296),Setup!$B$23="Yes",ISNUMBER(Setup!$C$23)),EDATE(Roster!$B296,12*Setup!$C$23),"")</f>
        <v/>
      </c>
      <c r="F296" s="32" t="str">
        <f>IF(AND(ISNUMBER(Roster!$B296),Setup!$B$24="Yes",ISNUMBER(Setup!$C$24)),EDATE(Roster!$B296,12*Setup!$C$24),"")</f>
        <v/>
      </c>
      <c r="G296" s="32" t="str">
        <f>IF(AND(ISNUMBER(Roster!$B296),Setup!$B$25="Yes",ISNUMBER(Setup!$C$25)),EDATE(Roster!$B296,12*Setup!$C$25),"")</f>
        <v/>
      </c>
      <c r="H296" s="32" t="str">
        <f>IF(AND(ISNUMBER(Roster!$B296),Setup!$B$26="Yes",ISNUMBER(Setup!$C$26)),EDATE(Roster!$B296,12*Setup!$C$26),"")</f>
        <v/>
      </c>
      <c r="I296" s="32" t="str">
        <f>IF(AND(ISNUMBER(Roster!$B296),Setup!$B$27="Yes",ISNUMBER(Setup!$C$27)),EDATE(Roster!$B296,12*Setup!$C$27),"")</f>
        <v/>
      </c>
      <c r="J296" s="32" t="str">
        <f>IF(AND(ISNUMBER(Roster!$B296),Setup!$B$28="Yes",ISNUMBER(Setup!$C$28)),EDATE(Roster!$B296,12*Setup!$C$28),"")</f>
        <v/>
      </c>
      <c r="K296" s="32" t="str">
        <f>IF(AND(ISNUMBER(Roster!$B296),Setup!$B$29="Yes",ISNUMBER(Setup!$C$29)),EDATE(Roster!$B296,12*Setup!$C$29),"")</f>
        <v/>
      </c>
      <c r="L296" s="32" t="str">
        <f>IF(AND(ISNUMBER(Roster!$B296),Setup!$B$30="Yes",ISNUMBER(Setup!$C$30)),EDATE(Roster!$B296,12*Setup!$C$30),"")</f>
        <v/>
      </c>
      <c r="M296" s="32" t="str">
        <f>IF(AND(ISNUMBER(Roster!$B296),Setup!$B$31="Yes",ISNUMBER(Setup!$C$31)),EDATE(Roster!$B296,12*Setup!$C$31),"")</f>
        <v/>
      </c>
      <c r="N296" s="32" t="str">
        <f>IF(AND(ISNUMBER(Roster!$B296),Setup!$B$32="Yes",ISNUMBER(Setup!$C$32)),EDATE(Roster!$B296,12*Setup!$C$32),"")</f>
        <v/>
      </c>
      <c r="O296" s="32" t="str">
        <f>IF(AND(ISNUMBER(Roster!$B296),Setup!$B$33="Yes",ISNUMBER(Setup!$C$33)),EDATE(Roster!$B296,12*Setup!$C$33),"")</f>
        <v/>
      </c>
      <c r="P296" s="32" t="str">
        <f>IF(AND(ISNUMBER(Roster!$B296),Setup!$B$34="Yes",ISNUMBER(Setup!$C$34)),EDATE(Roster!$B296,12*Setup!$C$34),"")</f>
        <v/>
      </c>
      <c r="R296" t="str">
        <f>IF(B296="","",IF(B296&lt;Setup!$C$5-Setup!$C$6,"",IF(IF(ISNUMBER(Roster!$D296),Setup!$C$20&lt;=Roster!$D296,FALSE),"",IF(OR(IF(Setup!$C$15&lt;=Setup!$C$16,AND(MONTH(B296)&gt;=Setup!$C$15,MONTH(B296)&lt;=Setup!$C$16),OR(MONTH(B296)&gt;=Setup!$C$15,MONTH(B296)&lt;=Setup!$C$16)),IF(Setup!$C$15&lt;=Setup!$C$16,AND(MONTH(WORKDAY(B296,-(Setup!$C$13+Setup!$G$20),Setup!$C$39:$C$50))&gt;=Setup!$C$15,MONTH(WORKDAY(B296,-(Setup!$C$13+Setup!$G$20),Setup!$C$39:$C$50))&lt;=Setup!$C$16),OR(MONTH(WORKDAY(B296,-(Setup!$C$13+Setup!$G$20),Setup!$C$39:$C$50))&gt;=Setup!$C$15,MONTH(WORKDAY(B296,-(Setup!$C$13+Setup!$G$20),Setup!$C$39:$C$50))&lt;=Setup!$C$16))),WORKDAY(B296,-(Setup!$C$13+Setup!$G$20+Setup!$C$14),Setup!$C$39:$C$50),WORKDAY(B296,-(Setup!$C$13+Setup!$G$20),Setup!$C$39:$C$50))+(291*100+1)/10000000)))</f>
        <v/>
      </c>
      <c r="S296" t="str">
        <f>IF(C296="","",IF(C296&lt;Setup!$C$5-Setup!$C$6,"",IF(IF(ISNUMBER(Roster!$D296),Setup!$C$21&lt;=Roster!$D296,FALSE),"",IF(OR(IF(Setup!$C$15&lt;=Setup!$C$16,AND(MONTH(C296)&gt;=Setup!$C$15,MONTH(C296)&lt;=Setup!$C$16),OR(MONTH(C296)&gt;=Setup!$C$15,MONTH(C296)&lt;=Setup!$C$16)),IF(Setup!$C$15&lt;=Setup!$C$16,AND(MONTH(WORKDAY(C296,-(Setup!$C$13+Setup!$G$21),Setup!$C$39:$C$50))&gt;=Setup!$C$15,MONTH(WORKDAY(C296,-(Setup!$C$13+Setup!$G$21),Setup!$C$39:$C$50))&lt;=Setup!$C$16),OR(MONTH(WORKDAY(C296,-(Setup!$C$13+Setup!$G$21),Setup!$C$39:$C$50))&gt;=Setup!$C$15,MONTH(WORKDAY(C296,-(Setup!$C$13+Setup!$G$21),Setup!$C$39:$C$50))&lt;=Setup!$C$16))),WORKDAY(C296,-(Setup!$C$13+Setup!$G$21+Setup!$C$14),Setup!$C$39:$C$50),WORKDAY(C296,-(Setup!$C$13+Setup!$G$21),Setup!$C$39:$C$50))+(291*100+2)/10000000)))</f>
        <v/>
      </c>
      <c r="T296" t="str">
        <f>IF(D296="","",IF(D296&lt;Setup!$C$5-Setup!$C$6,"",IF(IF(ISNUMBER(Roster!$D296),Setup!$C$22&lt;=Roster!$D296,FALSE),"",IF(OR(IF(Setup!$C$15&lt;=Setup!$C$16,AND(MONTH(D296)&gt;=Setup!$C$15,MONTH(D296)&lt;=Setup!$C$16),OR(MONTH(D296)&gt;=Setup!$C$15,MONTH(D296)&lt;=Setup!$C$16)),IF(Setup!$C$15&lt;=Setup!$C$16,AND(MONTH(WORKDAY(D296,-(Setup!$C$13+Setup!$G$22),Setup!$C$39:$C$50))&gt;=Setup!$C$15,MONTH(WORKDAY(D296,-(Setup!$C$13+Setup!$G$22),Setup!$C$39:$C$50))&lt;=Setup!$C$16),OR(MONTH(WORKDAY(D296,-(Setup!$C$13+Setup!$G$22),Setup!$C$39:$C$50))&gt;=Setup!$C$15,MONTH(WORKDAY(D296,-(Setup!$C$13+Setup!$G$22),Setup!$C$39:$C$50))&lt;=Setup!$C$16))),WORKDAY(D296,-(Setup!$C$13+Setup!$G$22+Setup!$C$14),Setup!$C$39:$C$50),WORKDAY(D296,-(Setup!$C$13+Setup!$G$22),Setup!$C$39:$C$50))+(291*100+3)/10000000)))</f>
        <v/>
      </c>
      <c r="U296" t="str">
        <f>IF(E296="","",IF(E296&lt;Setup!$C$5-Setup!$C$6,"",IF(IF(ISNUMBER(Roster!$D296),Setup!$C$23&lt;=Roster!$D296,FALSE),"",IF(OR(IF(Setup!$C$15&lt;=Setup!$C$16,AND(MONTH(E296)&gt;=Setup!$C$15,MONTH(E296)&lt;=Setup!$C$16),OR(MONTH(E296)&gt;=Setup!$C$15,MONTH(E296)&lt;=Setup!$C$16)),IF(Setup!$C$15&lt;=Setup!$C$16,AND(MONTH(WORKDAY(E296,-(Setup!$C$13+Setup!$G$23),Setup!$C$39:$C$50))&gt;=Setup!$C$15,MONTH(WORKDAY(E296,-(Setup!$C$13+Setup!$G$23),Setup!$C$39:$C$50))&lt;=Setup!$C$16),OR(MONTH(WORKDAY(E296,-(Setup!$C$13+Setup!$G$23),Setup!$C$39:$C$50))&gt;=Setup!$C$15,MONTH(WORKDAY(E296,-(Setup!$C$13+Setup!$G$23),Setup!$C$39:$C$50))&lt;=Setup!$C$16))),WORKDAY(E296,-(Setup!$C$13+Setup!$G$23+Setup!$C$14),Setup!$C$39:$C$50),WORKDAY(E296,-(Setup!$C$13+Setup!$G$23),Setup!$C$39:$C$50))+(291*100+4)/10000000)))</f>
        <v/>
      </c>
      <c r="V296" t="str">
        <f>IF(F296="","",IF(F296&lt;Setup!$C$5-Setup!$C$6,"",IF(IF(ISNUMBER(Roster!$D296),Setup!$C$24&lt;=Roster!$D296,FALSE),"",IF(OR(IF(Setup!$C$15&lt;=Setup!$C$16,AND(MONTH(F296)&gt;=Setup!$C$15,MONTH(F296)&lt;=Setup!$C$16),OR(MONTH(F296)&gt;=Setup!$C$15,MONTH(F296)&lt;=Setup!$C$16)),IF(Setup!$C$15&lt;=Setup!$C$16,AND(MONTH(WORKDAY(F296,-(Setup!$C$13+Setup!$G$24),Setup!$C$39:$C$50))&gt;=Setup!$C$15,MONTH(WORKDAY(F296,-(Setup!$C$13+Setup!$G$24),Setup!$C$39:$C$50))&lt;=Setup!$C$16),OR(MONTH(WORKDAY(F296,-(Setup!$C$13+Setup!$G$24),Setup!$C$39:$C$50))&gt;=Setup!$C$15,MONTH(WORKDAY(F296,-(Setup!$C$13+Setup!$G$24),Setup!$C$39:$C$50))&lt;=Setup!$C$16))),WORKDAY(F296,-(Setup!$C$13+Setup!$G$24+Setup!$C$14),Setup!$C$39:$C$50),WORKDAY(F296,-(Setup!$C$13+Setup!$G$24),Setup!$C$39:$C$50))+(291*100+5)/10000000)))</f>
        <v/>
      </c>
      <c r="W296" t="str">
        <f>IF(G296="","",IF(G296&lt;Setup!$C$5-Setup!$C$6,"",IF(IF(ISNUMBER(Roster!$D296),Setup!$C$25&lt;=Roster!$D296,FALSE),"",IF(OR(IF(Setup!$C$15&lt;=Setup!$C$16,AND(MONTH(G296)&gt;=Setup!$C$15,MONTH(G296)&lt;=Setup!$C$16),OR(MONTH(G296)&gt;=Setup!$C$15,MONTH(G296)&lt;=Setup!$C$16)),IF(Setup!$C$15&lt;=Setup!$C$16,AND(MONTH(WORKDAY(G296,-(Setup!$C$13+Setup!$G$25),Setup!$C$39:$C$50))&gt;=Setup!$C$15,MONTH(WORKDAY(G296,-(Setup!$C$13+Setup!$G$25),Setup!$C$39:$C$50))&lt;=Setup!$C$16),OR(MONTH(WORKDAY(G296,-(Setup!$C$13+Setup!$G$25),Setup!$C$39:$C$50))&gt;=Setup!$C$15,MONTH(WORKDAY(G296,-(Setup!$C$13+Setup!$G$25),Setup!$C$39:$C$50))&lt;=Setup!$C$16))),WORKDAY(G296,-(Setup!$C$13+Setup!$G$25+Setup!$C$14),Setup!$C$39:$C$50),WORKDAY(G296,-(Setup!$C$13+Setup!$G$25),Setup!$C$39:$C$50))+(291*100+6)/10000000)))</f>
        <v/>
      </c>
      <c r="X296" t="str">
        <f>IF(H296="","",IF(H296&lt;Setup!$C$5-Setup!$C$6,"",IF(IF(ISNUMBER(Roster!$D296),Setup!$C$26&lt;=Roster!$D296,FALSE),"",IF(OR(IF(Setup!$C$15&lt;=Setup!$C$16,AND(MONTH(H296)&gt;=Setup!$C$15,MONTH(H296)&lt;=Setup!$C$16),OR(MONTH(H296)&gt;=Setup!$C$15,MONTH(H296)&lt;=Setup!$C$16)),IF(Setup!$C$15&lt;=Setup!$C$16,AND(MONTH(WORKDAY(H296,-(Setup!$C$13+Setup!$G$26),Setup!$C$39:$C$50))&gt;=Setup!$C$15,MONTH(WORKDAY(H296,-(Setup!$C$13+Setup!$G$26),Setup!$C$39:$C$50))&lt;=Setup!$C$16),OR(MONTH(WORKDAY(H296,-(Setup!$C$13+Setup!$G$26),Setup!$C$39:$C$50))&gt;=Setup!$C$15,MONTH(WORKDAY(H296,-(Setup!$C$13+Setup!$G$26),Setup!$C$39:$C$50))&lt;=Setup!$C$16))),WORKDAY(H296,-(Setup!$C$13+Setup!$G$26+Setup!$C$14),Setup!$C$39:$C$50),WORKDAY(H296,-(Setup!$C$13+Setup!$G$26),Setup!$C$39:$C$50))+(291*100+7)/10000000)))</f>
        <v/>
      </c>
      <c r="Y296" t="str">
        <f>IF(I296="","",IF(I296&lt;Setup!$C$5-Setup!$C$6,"",IF(IF(ISNUMBER(Roster!$D296),Setup!$C$27&lt;=Roster!$D296,FALSE),"",IF(OR(IF(Setup!$C$15&lt;=Setup!$C$16,AND(MONTH(I296)&gt;=Setup!$C$15,MONTH(I296)&lt;=Setup!$C$16),OR(MONTH(I296)&gt;=Setup!$C$15,MONTH(I296)&lt;=Setup!$C$16)),IF(Setup!$C$15&lt;=Setup!$C$16,AND(MONTH(WORKDAY(I296,-(Setup!$C$13+Setup!$G$27),Setup!$C$39:$C$50))&gt;=Setup!$C$15,MONTH(WORKDAY(I296,-(Setup!$C$13+Setup!$G$27),Setup!$C$39:$C$50))&lt;=Setup!$C$16),OR(MONTH(WORKDAY(I296,-(Setup!$C$13+Setup!$G$27),Setup!$C$39:$C$50))&gt;=Setup!$C$15,MONTH(WORKDAY(I296,-(Setup!$C$13+Setup!$G$27),Setup!$C$39:$C$50))&lt;=Setup!$C$16))),WORKDAY(I296,-(Setup!$C$13+Setup!$G$27+Setup!$C$14),Setup!$C$39:$C$50),WORKDAY(I296,-(Setup!$C$13+Setup!$G$27),Setup!$C$39:$C$50))+(291*100+8)/10000000)))</f>
        <v/>
      </c>
      <c r="Z296" t="str">
        <f>IF(J296="","",IF(J296&lt;Setup!$C$5-Setup!$C$6,"",IF(IF(ISNUMBER(Roster!$D296),Setup!$C$28&lt;=Roster!$D296,FALSE),"",IF(OR(IF(Setup!$C$15&lt;=Setup!$C$16,AND(MONTH(J296)&gt;=Setup!$C$15,MONTH(J296)&lt;=Setup!$C$16),OR(MONTH(J296)&gt;=Setup!$C$15,MONTH(J296)&lt;=Setup!$C$16)),IF(Setup!$C$15&lt;=Setup!$C$16,AND(MONTH(WORKDAY(J296,-(Setup!$C$13+Setup!$G$28),Setup!$C$39:$C$50))&gt;=Setup!$C$15,MONTH(WORKDAY(J296,-(Setup!$C$13+Setup!$G$28),Setup!$C$39:$C$50))&lt;=Setup!$C$16),OR(MONTH(WORKDAY(J296,-(Setup!$C$13+Setup!$G$28),Setup!$C$39:$C$50))&gt;=Setup!$C$15,MONTH(WORKDAY(J296,-(Setup!$C$13+Setup!$G$28),Setup!$C$39:$C$50))&lt;=Setup!$C$16))),WORKDAY(J296,-(Setup!$C$13+Setup!$G$28+Setup!$C$14),Setup!$C$39:$C$50),WORKDAY(J296,-(Setup!$C$13+Setup!$G$28),Setup!$C$39:$C$50))+(291*100+9)/10000000)))</f>
        <v/>
      </c>
      <c r="AA296" t="str">
        <f>IF(K296="","",IF(K296&lt;Setup!$C$5-Setup!$C$6,"",IF(IF(ISNUMBER(Roster!$D296),Setup!$C$29&lt;=Roster!$D296,FALSE),"",IF(OR(IF(Setup!$C$15&lt;=Setup!$C$16,AND(MONTH(K296)&gt;=Setup!$C$15,MONTH(K296)&lt;=Setup!$C$16),OR(MONTH(K296)&gt;=Setup!$C$15,MONTH(K296)&lt;=Setup!$C$16)),IF(Setup!$C$15&lt;=Setup!$C$16,AND(MONTH(WORKDAY(K296,-(Setup!$C$13+Setup!$G$29),Setup!$C$39:$C$50))&gt;=Setup!$C$15,MONTH(WORKDAY(K296,-(Setup!$C$13+Setup!$G$29),Setup!$C$39:$C$50))&lt;=Setup!$C$16),OR(MONTH(WORKDAY(K296,-(Setup!$C$13+Setup!$G$29),Setup!$C$39:$C$50))&gt;=Setup!$C$15,MONTH(WORKDAY(K296,-(Setup!$C$13+Setup!$G$29),Setup!$C$39:$C$50))&lt;=Setup!$C$16))),WORKDAY(K296,-(Setup!$C$13+Setup!$G$29+Setup!$C$14),Setup!$C$39:$C$50),WORKDAY(K296,-(Setup!$C$13+Setup!$G$29),Setup!$C$39:$C$50))+(291*100+10)/10000000)))</f>
        <v/>
      </c>
      <c r="AB296" t="str">
        <f>IF(L296="","",IF(L296&lt;Setup!$C$5-Setup!$C$6,"",IF(IF(ISNUMBER(Roster!$D296),Setup!$C$30&lt;=Roster!$D296,FALSE),"",IF(OR(IF(Setup!$C$15&lt;=Setup!$C$16,AND(MONTH(L296)&gt;=Setup!$C$15,MONTH(L296)&lt;=Setup!$C$16),OR(MONTH(L296)&gt;=Setup!$C$15,MONTH(L296)&lt;=Setup!$C$16)),IF(Setup!$C$15&lt;=Setup!$C$16,AND(MONTH(WORKDAY(L296,-(Setup!$C$13+Setup!$G$30),Setup!$C$39:$C$50))&gt;=Setup!$C$15,MONTH(WORKDAY(L296,-(Setup!$C$13+Setup!$G$30),Setup!$C$39:$C$50))&lt;=Setup!$C$16),OR(MONTH(WORKDAY(L296,-(Setup!$C$13+Setup!$G$30),Setup!$C$39:$C$50))&gt;=Setup!$C$15,MONTH(WORKDAY(L296,-(Setup!$C$13+Setup!$G$30),Setup!$C$39:$C$50))&lt;=Setup!$C$16))),WORKDAY(L296,-(Setup!$C$13+Setup!$G$30+Setup!$C$14),Setup!$C$39:$C$50),WORKDAY(L296,-(Setup!$C$13+Setup!$G$30),Setup!$C$39:$C$50))+(291*100+11)/10000000)))</f>
        <v/>
      </c>
      <c r="AC296" t="str">
        <f>IF(M296="","",IF(M296&lt;Setup!$C$5-Setup!$C$6,"",IF(IF(ISNUMBER(Roster!$D296),Setup!$C$31&lt;=Roster!$D296,FALSE),"",IF(OR(IF(Setup!$C$15&lt;=Setup!$C$16,AND(MONTH(M296)&gt;=Setup!$C$15,MONTH(M296)&lt;=Setup!$C$16),OR(MONTH(M296)&gt;=Setup!$C$15,MONTH(M296)&lt;=Setup!$C$16)),IF(Setup!$C$15&lt;=Setup!$C$16,AND(MONTH(WORKDAY(M296,-(Setup!$C$13+Setup!$G$31),Setup!$C$39:$C$50))&gt;=Setup!$C$15,MONTH(WORKDAY(M296,-(Setup!$C$13+Setup!$G$31),Setup!$C$39:$C$50))&lt;=Setup!$C$16),OR(MONTH(WORKDAY(M296,-(Setup!$C$13+Setup!$G$31),Setup!$C$39:$C$50))&gt;=Setup!$C$15,MONTH(WORKDAY(M296,-(Setup!$C$13+Setup!$G$31),Setup!$C$39:$C$50))&lt;=Setup!$C$16))),WORKDAY(M296,-(Setup!$C$13+Setup!$G$31+Setup!$C$14),Setup!$C$39:$C$50),WORKDAY(M296,-(Setup!$C$13+Setup!$G$31),Setup!$C$39:$C$50))+(291*100+12)/10000000)))</f>
        <v/>
      </c>
      <c r="AD296" t="str">
        <f>IF(N296="","",IF(N296&lt;Setup!$C$5-Setup!$C$6,"",IF(IF(ISNUMBER(Roster!$D296),Setup!$C$32&lt;=Roster!$D296,FALSE),"",IF(OR(IF(Setup!$C$15&lt;=Setup!$C$16,AND(MONTH(N296)&gt;=Setup!$C$15,MONTH(N296)&lt;=Setup!$C$16),OR(MONTH(N296)&gt;=Setup!$C$15,MONTH(N296)&lt;=Setup!$C$16)),IF(Setup!$C$15&lt;=Setup!$C$16,AND(MONTH(WORKDAY(N296,-(Setup!$C$13+Setup!$G$32),Setup!$C$39:$C$50))&gt;=Setup!$C$15,MONTH(WORKDAY(N296,-(Setup!$C$13+Setup!$G$32),Setup!$C$39:$C$50))&lt;=Setup!$C$16),OR(MONTH(WORKDAY(N296,-(Setup!$C$13+Setup!$G$32),Setup!$C$39:$C$50))&gt;=Setup!$C$15,MONTH(WORKDAY(N296,-(Setup!$C$13+Setup!$G$32),Setup!$C$39:$C$50))&lt;=Setup!$C$16))),WORKDAY(N296,-(Setup!$C$13+Setup!$G$32+Setup!$C$14),Setup!$C$39:$C$50),WORKDAY(N296,-(Setup!$C$13+Setup!$G$32),Setup!$C$39:$C$50))+(291*100+13)/10000000)))</f>
        <v/>
      </c>
      <c r="AE296" t="str">
        <f>IF(O296="","",IF(O296&lt;Setup!$C$5-Setup!$C$6,"",IF(IF(ISNUMBER(Roster!$D296),Setup!$C$33&lt;=Roster!$D296,FALSE),"",IF(OR(IF(Setup!$C$15&lt;=Setup!$C$16,AND(MONTH(O296)&gt;=Setup!$C$15,MONTH(O296)&lt;=Setup!$C$16),OR(MONTH(O296)&gt;=Setup!$C$15,MONTH(O296)&lt;=Setup!$C$16)),IF(Setup!$C$15&lt;=Setup!$C$16,AND(MONTH(WORKDAY(O296,-(Setup!$C$13+Setup!$G$33),Setup!$C$39:$C$50))&gt;=Setup!$C$15,MONTH(WORKDAY(O296,-(Setup!$C$13+Setup!$G$33),Setup!$C$39:$C$50))&lt;=Setup!$C$16),OR(MONTH(WORKDAY(O296,-(Setup!$C$13+Setup!$G$33),Setup!$C$39:$C$50))&gt;=Setup!$C$15,MONTH(WORKDAY(O296,-(Setup!$C$13+Setup!$G$33),Setup!$C$39:$C$50))&lt;=Setup!$C$16))),WORKDAY(O296,-(Setup!$C$13+Setup!$G$33+Setup!$C$14),Setup!$C$39:$C$50),WORKDAY(O296,-(Setup!$C$13+Setup!$G$33),Setup!$C$39:$C$50))+(291*100+14)/10000000)))</f>
        <v/>
      </c>
      <c r="AF296" t="str">
        <f>IF(P296="","",IF(P296&lt;Setup!$C$5-Setup!$C$6,"",IF(IF(ISNUMBER(Roster!$D296),Setup!$C$34&lt;=Roster!$D296,FALSE),"",IF(OR(IF(Setup!$C$15&lt;=Setup!$C$16,AND(MONTH(P296)&gt;=Setup!$C$15,MONTH(P296)&lt;=Setup!$C$16),OR(MONTH(P296)&gt;=Setup!$C$15,MONTH(P296)&lt;=Setup!$C$16)),IF(Setup!$C$15&lt;=Setup!$C$16,AND(MONTH(WORKDAY(P296,-(Setup!$C$13+Setup!$G$34),Setup!$C$39:$C$50))&gt;=Setup!$C$15,MONTH(WORKDAY(P296,-(Setup!$C$13+Setup!$G$34),Setup!$C$39:$C$50))&lt;=Setup!$C$16),OR(MONTH(WORKDAY(P296,-(Setup!$C$13+Setup!$G$34),Setup!$C$39:$C$50))&gt;=Setup!$C$15,MONTH(WORKDAY(P296,-(Setup!$C$13+Setup!$G$34),Setup!$C$39:$C$50))&lt;=Setup!$C$16))),WORKDAY(P296,-(Setup!$C$13+Setup!$G$34+Setup!$C$14),Setup!$C$39:$C$50),WORKDAY(P296,-(Setup!$C$13+Setup!$G$34),Setup!$C$39:$C$50))+(291*100+15)/10000000)))</f>
        <v/>
      </c>
      <c r="AH296" t="str">
        <f t="shared" si="33"/>
        <v/>
      </c>
      <c r="AI296" t="str">
        <f t="shared" si="34"/>
        <v/>
      </c>
      <c r="AK296" t="str">
        <f ca="1">IF(291&gt;$AK$2,"",SMALL($R$6:$AF$505,291))</f>
        <v/>
      </c>
      <c r="AL296" t="str">
        <f t="shared" ca="1" si="35"/>
        <v/>
      </c>
      <c r="AM296" t="str">
        <f t="shared" ca="1" si="36"/>
        <v/>
      </c>
      <c r="AN296" t="str">
        <f t="shared" ca="1" si="37"/>
        <v/>
      </c>
      <c r="AP296" t="str">
        <f>IF(ISNUMBER(Roster!$B296),MAX(1,YEAR(Setup!$C$5)-YEAR(Roster!$B296)+IF(EDATE(Roster!$B296,12*(YEAR(Setup!$C$5)-YEAR(Roster!$B296)))&lt;Setup!$C$5,1,0)),"")</f>
        <v/>
      </c>
      <c r="AQ296" s="32" t="str">
        <f>IF(AP296="","",EDATE(Roster!$B296,12*AP296))</f>
        <v/>
      </c>
      <c r="AR296" t="str">
        <f>IF(AQ296="","",IF(AQ296&lt;DATE(YEAR(Setup!$C$5)+1,MONTH(Setup!$C$5),DAY(Setup!$C$5)),AQ296+291/1000,""))</f>
        <v/>
      </c>
      <c r="AS296" t="str">
        <f t="shared" si="38"/>
        <v/>
      </c>
      <c r="AT296" t="str">
        <f>IF(AS296="","",IF(ISNUMBER(Roster!$D296),Roster!$D296&gt;=AP296,FALSE))</f>
        <v/>
      </c>
      <c r="AU296" t="str">
        <f t="shared" si="39"/>
        <v/>
      </c>
      <c r="AV296" t="str">
        <f ca="1">IF(291&gt;$AV$2,"",SMALL($AR$6:$AR$505,291))</f>
        <v/>
      </c>
      <c r="AW296" t="str">
        <f t="shared" ca="1" si="40"/>
        <v/>
      </c>
    </row>
    <row r="297" spans="2:49" x14ac:dyDescent="0.2">
      <c r="B297" s="32" t="str">
        <f>IF(AND(ISNUMBER(Roster!$B297),Setup!$B$20="Yes",ISNUMBER(Setup!$C$20)),EDATE(Roster!$B297,12*Setup!$C$20),"")</f>
        <v/>
      </c>
      <c r="C297" s="32" t="str">
        <f>IF(AND(ISNUMBER(Roster!$B297),Setup!$B$21="Yes",ISNUMBER(Setup!$C$21)),EDATE(Roster!$B297,12*Setup!$C$21),"")</f>
        <v/>
      </c>
      <c r="D297" s="32" t="str">
        <f>IF(AND(ISNUMBER(Roster!$B297),Setup!$B$22="Yes",ISNUMBER(Setup!$C$22)),EDATE(Roster!$B297,12*Setup!$C$22),"")</f>
        <v/>
      </c>
      <c r="E297" s="32" t="str">
        <f>IF(AND(ISNUMBER(Roster!$B297),Setup!$B$23="Yes",ISNUMBER(Setup!$C$23)),EDATE(Roster!$B297,12*Setup!$C$23),"")</f>
        <v/>
      </c>
      <c r="F297" s="32" t="str">
        <f>IF(AND(ISNUMBER(Roster!$B297),Setup!$B$24="Yes",ISNUMBER(Setup!$C$24)),EDATE(Roster!$B297,12*Setup!$C$24),"")</f>
        <v/>
      </c>
      <c r="G297" s="32" t="str">
        <f>IF(AND(ISNUMBER(Roster!$B297),Setup!$B$25="Yes",ISNUMBER(Setup!$C$25)),EDATE(Roster!$B297,12*Setup!$C$25),"")</f>
        <v/>
      </c>
      <c r="H297" s="32" t="str">
        <f>IF(AND(ISNUMBER(Roster!$B297),Setup!$B$26="Yes",ISNUMBER(Setup!$C$26)),EDATE(Roster!$B297,12*Setup!$C$26),"")</f>
        <v/>
      </c>
      <c r="I297" s="32" t="str">
        <f>IF(AND(ISNUMBER(Roster!$B297),Setup!$B$27="Yes",ISNUMBER(Setup!$C$27)),EDATE(Roster!$B297,12*Setup!$C$27),"")</f>
        <v/>
      </c>
      <c r="J297" s="32" t="str">
        <f>IF(AND(ISNUMBER(Roster!$B297),Setup!$B$28="Yes",ISNUMBER(Setup!$C$28)),EDATE(Roster!$B297,12*Setup!$C$28),"")</f>
        <v/>
      </c>
      <c r="K297" s="32" t="str">
        <f>IF(AND(ISNUMBER(Roster!$B297),Setup!$B$29="Yes",ISNUMBER(Setup!$C$29)),EDATE(Roster!$B297,12*Setup!$C$29),"")</f>
        <v/>
      </c>
      <c r="L297" s="32" t="str">
        <f>IF(AND(ISNUMBER(Roster!$B297),Setup!$B$30="Yes",ISNUMBER(Setup!$C$30)),EDATE(Roster!$B297,12*Setup!$C$30),"")</f>
        <v/>
      </c>
      <c r="M297" s="32" t="str">
        <f>IF(AND(ISNUMBER(Roster!$B297),Setup!$B$31="Yes",ISNUMBER(Setup!$C$31)),EDATE(Roster!$B297,12*Setup!$C$31),"")</f>
        <v/>
      </c>
      <c r="N297" s="32" t="str">
        <f>IF(AND(ISNUMBER(Roster!$B297),Setup!$B$32="Yes",ISNUMBER(Setup!$C$32)),EDATE(Roster!$B297,12*Setup!$C$32),"")</f>
        <v/>
      </c>
      <c r="O297" s="32" t="str">
        <f>IF(AND(ISNUMBER(Roster!$B297),Setup!$B$33="Yes",ISNUMBER(Setup!$C$33)),EDATE(Roster!$B297,12*Setup!$C$33),"")</f>
        <v/>
      </c>
      <c r="P297" s="32" t="str">
        <f>IF(AND(ISNUMBER(Roster!$B297),Setup!$B$34="Yes",ISNUMBER(Setup!$C$34)),EDATE(Roster!$B297,12*Setup!$C$34),"")</f>
        <v/>
      </c>
      <c r="R297" t="str">
        <f>IF(B297="","",IF(B297&lt;Setup!$C$5-Setup!$C$6,"",IF(IF(ISNUMBER(Roster!$D297),Setup!$C$20&lt;=Roster!$D297,FALSE),"",IF(OR(IF(Setup!$C$15&lt;=Setup!$C$16,AND(MONTH(B297)&gt;=Setup!$C$15,MONTH(B297)&lt;=Setup!$C$16),OR(MONTH(B297)&gt;=Setup!$C$15,MONTH(B297)&lt;=Setup!$C$16)),IF(Setup!$C$15&lt;=Setup!$C$16,AND(MONTH(WORKDAY(B297,-(Setup!$C$13+Setup!$G$20),Setup!$C$39:$C$50))&gt;=Setup!$C$15,MONTH(WORKDAY(B297,-(Setup!$C$13+Setup!$G$20),Setup!$C$39:$C$50))&lt;=Setup!$C$16),OR(MONTH(WORKDAY(B297,-(Setup!$C$13+Setup!$G$20),Setup!$C$39:$C$50))&gt;=Setup!$C$15,MONTH(WORKDAY(B297,-(Setup!$C$13+Setup!$G$20),Setup!$C$39:$C$50))&lt;=Setup!$C$16))),WORKDAY(B297,-(Setup!$C$13+Setup!$G$20+Setup!$C$14),Setup!$C$39:$C$50),WORKDAY(B297,-(Setup!$C$13+Setup!$G$20),Setup!$C$39:$C$50))+(292*100+1)/10000000)))</f>
        <v/>
      </c>
      <c r="S297" t="str">
        <f>IF(C297="","",IF(C297&lt;Setup!$C$5-Setup!$C$6,"",IF(IF(ISNUMBER(Roster!$D297),Setup!$C$21&lt;=Roster!$D297,FALSE),"",IF(OR(IF(Setup!$C$15&lt;=Setup!$C$16,AND(MONTH(C297)&gt;=Setup!$C$15,MONTH(C297)&lt;=Setup!$C$16),OR(MONTH(C297)&gt;=Setup!$C$15,MONTH(C297)&lt;=Setup!$C$16)),IF(Setup!$C$15&lt;=Setup!$C$16,AND(MONTH(WORKDAY(C297,-(Setup!$C$13+Setup!$G$21),Setup!$C$39:$C$50))&gt;=Setup!$C$15,MONTH(WORKDAY(C297,-(Setup!$C$13+Setup!$G$21),Setup!$C$39:$C$50))&lt;=Setup!$C$16),OR(MONTH(WORKDAY(C297,-(Setup!$C$13+Setup!$G$21),Setup!$C$39:$C$50))&gt;=Setup!$C$15,MONTH(WORKDAY(C297,-(Setup!$C$13+Setup!$G$21),Setup!$C$39:$C$50))&lt;=Setup!$C$16))),WORKDAY(C297,-(Setup!$C$13+Setup!$G$21+Setup!$C$14),Setup!$C$39:$C$50),WORKDAY(C297,-(Setup!$C$13+Setup!$G$21),Setup!$C$39:$C$50))+(292*100+2)/10000000)))</f>
        <v/>
      </c>
      <c r="T297" t="str">
        <f>IF(D297="","",IF(D297&lt;Setup!$C$5-Setup!$C$6,"",IF(IF(ISNUMBER(Roster!$D297),Setup!$C$22&lt;=Roster!$D297,FALSE),"",IF(OR(IF(Setup!$C$15&lt;=Setup!$C$16,AND(MONTH(D297)&gt;=Setup!$C$15,MONTH(D297)&lt;=Setup!$C$16),OR(MONTH(D297)&gt;=Setup!$C$15,MONTH(D297)&lt;=Setup!$C$16)),IF(Setup!$C$15&lt;=Setup!$C$16,AND(MONTH(WORKDAY(D297,-(Setup!$C$13+Setup!$G$22),Setup!$C$39:$C$50))&gt;=Setup!$C$15,MONTH(WORKDAY(D297,-(Setup!$C$13+Setup!$G$22),Setup!$C$39:$C$50))&lt;=Setup!$C$16),OR(MONTH(WORKDAY(D297,-(Setup!$C$13+Setup!$G$22),Setup!$C$39:$C$50))&gt;=Setup!$C$15,MONTH(WORKDAY(D297,-(Setup!$C$13+Setup!$G$22),Setup!$C$39:$C$50))&lt;=Setup!$C$16))),WORKDAY(D297,-(Setup!$C$13+Setup!$G$22+Setup!$C$14),Setup!$C$39:$C$50),WORKDAY(D297,-(Setup!$C$13+Setup!$G$22),Setup!$C$39:$C$50))+(292*100+3)/10000000)))</f>
        <v/>
      </c>
      <c r="U297" t="str">
        <f>IF(E297="","",IF(E297&lt;Setup!$C$5-Setup!$C$6,"",IF(IF(ISNUMBER(Roster!$D297),Setup!$C$23&lt;=Roster!$D297,FALSE),"",IF(OR(IF(Setup!$C$15&lt;=Setup!$C$16,AND(MONTH(E297)&gt;=Setup!$C$15,MONTH(E297)&lt;=Setup!$C$16),OR(MONTH(E297)&gt;=Setup!$C$15,MONTH(E297)&lt;=Setup!$C$16)),IF(Setup!$C$15&lt;=Setup!$C$16,AND(MONTH(WORKDAY(E297,-(Setup!$C$13+Setup!$G$23),Setup!$C$39:$C$50))&gt;=Setup!$C$15,MONTH(WORKDAY(E297,-(Setup!$C$13+Setup!$G$23),Setup!$C$39:$C$50))&lt;=Setup!$C$16),OR(MONTH(WORKDAY(E297,-(Setup!$C$13+Setup!$G$23),Setup!$C$39:$C$50))&gt;=Setup!$C$15,MONTH(WORKDAY(E297,-(Setup!$C$13+Setup!$G$23),Setup!$C$39:$C$50))&lt;=Setup!$C$16))),WORKDAY(E297,-(Setup!$C$13+Setup!$G$23+Setup!$C$14),Setup!$C$39:$C$50),WORKDAY(E297,-(Setup!$C$13+Setup!$G$23),Setup!$C$39:$C$50))+(292*100+4)/10000000)))</f>
        <v/>
      </c>
      <c r="V297" t="str">
        <f>IF(F297="","",IF(F297&lt;Setup!$C$5-Setup!$C$6,"",IF(IF(ISNUMBER(Roster!$D297),Setup!$C$24&lt;=Roster!$D297,FALSE),"",IF(OR(IF(Setup!$C$15&lt;=Setup!$C$16,AND(MONTH(F297)&gt;=Setup!$C$15,MONTH(F297)&lt;=Setup!$C$16),OR(MONTH(F297)&gt;=Setup!$C$15,MONTH(F297)&lt;=Setup!$C$16)),IF(Setup!$C$15&lt;=Setup!$C$16,AND(MONTH(WORKDAY(F297,-(Setup!$C$13+Setup!$G$24),Setup!$C$39:$C$50))&gt;=Setup!$C$15,MONTH(WORKDAY(F297,-(Setup!$C$13+Setup!$G$24),Setup!$C$39:$C$50))&lt;=Setup!$C$16),OR(MONTH(WORKDAY(F297,-(Setup!$C$13+Setup!$G$24),Setup!$C$39:$C$50))&gt;=Setup!$C$15,MONTH(WORKDAY(F297,-(Setup!$C$13+Setup!$G$24),Setup!$C$39:$C$50))&lt;=Setup!$C$16))),WORKDAY(F297,-(Setup!$C$13+Setup!$G$24+Setup!$C$14),Setup!$C$39:$C$50),WORKDAY(F297,-(Setup!$C$13+Setup!$G$24),Setup!$C$39:$C$50))+(292*100+5)/10000000)))</f>
        <v/>
      </c>
      <c r="W297" t="str">
        <f>IF(G297="","",IF(G297&lt;Setup!$C$5-Setup!$C$6,"",IF(IF(ISNUMBER(Roster!$D297),Setup!$C$25&lt;=Roster!$D297,FALSE),"",IF(OR(IF(Setup!$C$15&lt;=Setup!$C$16,AND(MONTH(G297)&gt;=Setup!$C$15,MONTH(G297)&lt;=Setup!$C$16),OR(MONTH(G297)&gt;=Setup!$C$15,MONTH(G297)&lt;=Setup!$C$16)),IF(Setup!$C$15&lt;=Setup!$C$16,AND(MONTH(WORKDAY(G297,-(Setup!$C$13+Setup!$G$25),Setup!$C$39:$C$50))&gt;=Setup!$C$15,MONTH(WORKDAY(G297,-(Setup!$C$13+Setup!$G$25),Setup!$C$39:$C$50))&lt;=Setup!$C$16),OR(MONTH(WORKDAY(G297,-(Setup!$C$13+Setup!$G$25),Setup!$C$39:$C$50))&gt;=Setup!$C$15,MONTH(WORKDAY(G297,-(Setup!$C$13+Setup!$G$25),Setup!$C$39:$C$50))&lt;=Setup!$C$16))),WORKDAY(G297,-(Setup!$C$13+Setup!$G$25+Setup!$C$14),Setup!$C$39:$C$50),WORKDAY(G297,-(Setup!$C$13+Setup!$G$25),Setup!$C$39:$C$50))+(292*100+6)/10000000)))</f>
        <v/>
      </c>
      <c r="X297" t="str">
        <f>IF(H297="","",IF(H297&lt;Setup!$C$5-Setup!$C$6,"",IF(IF(ISNUMBER(Roster!$D297),Setup!$C$26&lt;=Roster!$D297,FALSE),"",IF(OR(IF(Setup!$C$15&lt;=Setup!$C$16,AND(MONTH(H297)&gt;=Setup!$C$15,MONTH(H297)&lt;=Setup!$C$16),OR(MONTH(H297)&gt;=Setup!$C$15,MONTH(H297)&lt;=Setup!$C$16)),IF(Setup!$C$15&lt;=Setup!$C$16,AND(MONTH(WORKDAY(H297,-(Setup!$C$13+Setup!$G$26),Setup!$C$39:$C$50))&gt;=Setup!$C$15,MONTH(WORKDAY(H297,-(Setup!$C$13+Setup!$G$26),Setup!$C$39:$C$50))&lt;=Setup!$C$16),OR(MONTH(WORKDAY(H297,-(Setup!$C$13+Setup!$G$26),Setup!$C$39:$C$50))&gt;=Setup!$C$15,MONTH(WORKDAY(H297,-(Setup!$C$13+Setup!$G$26),Setup!$C$39:$C$50))&lt;=Setup!$C$16))),WORKDAY(H297,-(Setup!$C$13+Setup!$G$26+Setup!$C$14),Setup!$C$39:$C$50),WORKDAY(H297,-(Setup!$C$13+Setup!$G$26),Setup!$C$39:$C$50))+(292*100+7)/10000000)))</f>
        <v/>
      </c>
      <c r="Y297" t="str">
        <f>IF(I297="","",IF(I297&lt;Setup!$C$5-Setup!$C$6,"",IF(IF(ISNUMBER(Roster!$D297),Setup!$C$27&lt;=Roster!$D297,FALSE),"",IF(OR(IF(Setup!$C$15&lt;=Setup!$C$16,AND(MONTH(I297)&gt;=Setup!$C$15,MONTH(I297)&lt;=Setup!$C$16),OR(MONTH(I297)&gt;=Setup!$C$15,MONTH(I297)&lt;=Setup!$C$16)),IF(Setup!$C$15&lt;=Setup!$C$16,AND(MONTH(WORKDAY(I297,-(Setup!$C$13+Setup!$G$27),Setup!$C$39:$C$50))&gt;=Setup!$C$15,MONTH(WORKDAY(I297,-(Setup!$C$13+Setup!$G$27),Setup!$C$39:$C$50))&lt;=Setup!$C$16),OR(MONTH(WORKDAY(I297,-(Setup!$C$13+Setup!$G$27),Setup!$C$39:$C$50))&gt;=Setup!$C$15,MONTH(WORKDAY(I297,-(Setup!$C$13+Setup!$G$27),Setup!$C$39:$C$50))&lt;=Setup!$C$16))),WORKDAY(I297,-(Setup!$C$13+Setup!$G$27+Setup!$C$14),Setup!$C$39:$C$50),WORKDAY(I297,-(Setup!$C$13+Setup!$G$27),Setup!$C$39:$C$50))+(292*100+8)/10000000)))</f>
        <v/>
      </c>
      <c r="Z297" t="str">
        <f>IF(J297="","",IF(J297&lt;Setup!$C$5-Setup!$C$6,"",IF(IF(ISNUMBER(Roster!$D297),Setup!$C$28&lt;=Roster!$D297,FALSE),"",IF(OR(IF(Setup!$C$15&lt;=Setup!$C$16,AND(MONTH(J297)&gt;=Setup!$C$15,MONTH(J297)&lt;=Setup!$C$16),OR(MONTH(J297)&gt;=Setup!$C$15,MONTH(J297)&lt;=Setup!$C$16)),IF(Setup!$C$15&lt;=Setup!$C$16,AND(MONTH(WORKDAY(J297,-(Setup!$C$13+Setup!$G$28),Setup!$C$39:$C$50))&gt;=Setup!$C$15,MONTH(WORKDAY(J297,-(Setup!$C$13+Setup!$G$28),Setup!$C$39:$C$50))&lt;=Setup!$C$16),OR(MONTH(WORKDAY(J297,-(Setup!$C$13+Setup!$G$28),Setup!$C$39:$C$50))&gt;=Setup!$C$15,MONTH(WORKDAY(J297,-(Setup!$C$13+Setup!$G$28),Setup!$C$39:$C$50))&lt;=Setup!$C$16))),WORKDAY(J297,-(Setup!$C$13+Setup!$G$28+Setup!$C$14),Setup!$C$39:$C$50),WORKDAY(J297,-(Setup!$C$13+Setup!$G$28),Setup!$C$39:$C$50))+(292*100+9)/10000000)))</f>
        <v/>
      </c>
      <c r="AA297" t="str">
        <f>IF(K297="","",IF(K297&lt;Setup!$C$5-Setup!$C$6,"",IF(IF(ISNUMBER(Roster!$D297),Setup!$C$29&lt;=Roster!$D297,FALSE),"",IF(OR(IF(Setup!$C$15&lt;=Setup!$C$16,AND(MONTH(K297)&gt;=Setup!$C$15,MONTH(K297)&lt;=Setup!$C$16),OR(MONTH(K297)&gt;=Setup!$C$15,MONTH(K297)&lt;=Setup!$C$16)),IF(Setup!$C$15&lt;=Setup!$C$16,AND(MONTH(WORKDAY(K297,-(Setup!$C$13+Setup!$G$29),Setup!$C$39:$C$50))&gt;=Setup!$C$15,MONTH(WORKDAY(K297,-(Setup!$C$13+Setup!$G$29),Setup!$C$39:$C$50))&lt;=Setup!$C$16),OR(MONTH(WORKDAY(K297,-(Setup!$C$13+Setup!$G$29),Setup!$C$39:$C$50))&gt;=Setup!$C$15,MONTH(WORKDAY(K297,-(Setup!$C$13+Setup!$G$29),Setup!$C$39:$C$50))&lt;=Setup!$C$16))),WORKDAY(K297,-(Setup!$C$13+Setup!$G$29+Setup!$C$14),Setup!$C$39:$C$50),WORKDAY(K297,-(Setup!$C$13+Setup!$G$29),Setup!$C$39:$C$50))+(292*100+10)/10000000)))</f>
        <v/>
      </c>
      <c r="AB297" t="str">
        <f>IF(L297="","",IF(L297&lt;Setup!$C$5-Setup!$C$6,"",IF(IF(ISNUMBER(Roster!$D297),Setup!$C$30&lt;=Roster!$D297,FALSE),"",IF(OR(IF(Setup!$C$15&lt;=Setup!$C$16,AND(MONTH(L297)&gt;=Setup!$C$15,MONTH(L297)&lt;=Setup!$C$16),OR(MONTH(L297)&gt;=Setup!$C$15,MONTH(L297)&lt;=Setup!$C$16)),IF(Setup!$C$15&lt;=Setup!$C$16,AND(MONTH(WORKDAY(L297,-(Setup!$C$13+Setup!$G$30),Setup!$C$39:$C$50))&gt;=Setup!$C$15,MONTH(WORKDAY(L297,-(Setup!$C$13+Setup!$G$30),Setup!$C$39:$C$50))&lt;=Setup!$C$16),OR(MONTH(WORKDAY(L297,-(Setup!$C$13+Setup!$G$30),Setup!$C$39:$C$50))&gt;=Setup!$C$15,MONTH(WORKDAY(L297,-(Setup!$C$13+Setup!$G$30),Setup!$C$39:$C$50))&lt;=Setup!$C$16))),WORKDAY(L297,-(Setup!$C$13+Setup!$G$30+Setup!$C$14),Setup!$C$39:$C$50),WORKDAY(L297,-(Setup!$C$13+Setup!$G$30),Setup!$C$39:$C$50))+(292*100+11)/10000000)))</f>
        <v/>
      </c>
      <c r="AC297" t="str">
        <f>IF(M297="","",IF(M297&lt;Setup!$C$5-Setup!$C$6,"",IF(IF(ISNUMBER(Roster!$D297),Setup!$C$31&lt;=Roster!$D297,FALSE),"",IF(OR(IF(Setup!$C$15&lt;=Setup!$C$16,AND(MONTH(M297)&gt;=Setup!$C$15,MONTH(M297)&lt;=Setup!$C$16),OR(MONTH(M297)&gt;=Setup!$C$15,MONTH(M297)&lt;=Setup!$C$16)),IF(Setup!$C$15&lt;=Setup!$C$16,AND(MONTH(WORKDAY(M297,-(Setup!$C$13+Setup!$G$31),Setup!$C$39:$C$50))&gt;=Setup!$C$15,MONTH(WORKDAY(M297,-(Setup!$C$13+Setup!$G$31),Setup!$C$39:$C$50))&lt;=Setup!$C$16),OR(MONTH(WORKDAY(M297,-(Setup!$C$13+Setup!$G$31),Setup!$C$39:$C$50))&gt;=Setup!$C$15,MONTH(WORKDAY(M297,-(Setup!$C$13+Setup!$G$31),Setup!$C$39:$C$50))&lt;=Setup!$C$16))),WORKDAY(M297,-(Setup!$C$13+Setup!$G$31+Setup!$C$14),Setup!$C$39:$C$50),WORKDAY(M297,-(Setup!$C$13+Setup!$G$31),Setup!$C$39:$C$50))+(292*100+12)/10000000)))</f>
        <v/>
      </c>
      <c r="AD297" t="str">
        <f>IF(N297="","",IF(N297&lt;Setup!$C$5-Setup!$C$6,"",IF(IF(ISNUMBER(Roster!$D297),Setup!$C$32&lt;=Roster!$D297,FALSE),"",IF(OR(IF(Setup!$C$15&lt;=Setup!$C$16,AND(MONTH(N297)&gt;=Setup!$C$15,MONTH(N297)&lt;=Setup!$C$16),OR(MONTH(N297)&gt;=Setup!$C$15,MONTH(N297)&lt;=Setup!$C$16)),IF(Setup!$C$15&lt;=Setup!$C$16,AND(MONTH(WORKDAY(N297,-(Setup!$C$13+Setup!$G$32),Setup!$C$39:$C$50))&gt;=Setup!$C$15,MONTH(WORKDAY(N297,-(Setup!$C$13+Setup!$G$32),Setup!$C$39:$C$50))&lt;=Setup!$C$16),OR(MONTH(WORKDAY(N297,-(Setup!$C$13+Setup!$G$32),Setup!$C$39:$C$50))&gt;=Setup!$C$15,MONTH(WORKDAY(N297,-(Setup!$C$13+Setup!$G$32),Setup!$C$39:$C$50))&lt;=Setup!$C$16))),WORKDAY(N297,-(Setup!$C$13+Setup!$G$32+Setup!$C$14),Setup!$C$39:$C$50),WORKDAY(N297,-(Setup!$C$13+Setup!$G$32),Setup!$C$39:$C$50))+(292*100+13)/10000000)))</f>
        <v/>
      </c>
      <c r="AE297" t="str">
        <f>IF(O297="","",IF(O297&lt;Setup!$C$5-Setup!$C$6,"",IF(IF(ISNUMBER(Roster!$D297),Setup!$C$33&lt;=Roster!$D297,FALSE),"",IF(OR(IF(Setup!$C$15&lt;=Setup!$C$16,AND(MONTH(O297)&gt;=Setup!$C$15,MONTH(O297)&lt;=Setup!$C$16),OR(MONTH(O297)&gt;=Setup!$C$15,MONTH(O297)&lt;=Setup!$C$16)),IF(Setup!$C$15&lt;=Setup!$C$16,AND(MONTH(WORKDAY(O297,-(Setup!$C$13+Setup!$G$33),Setup!$C$39:$C$50))&gt;=Setup!$C$15,MONTH(WORKDAY(O297,-(Setup!$C$13+Setup!$G$33),Setup!$C$39:$C$50))&lt;=Setup!$C$16),OR(MONTH(WORKDAY(O297,-(Setup!$C$13+Setup!$G$33),Setup!$C$39:$C$50))&gt;=Setup!$C$15,MONTH(WORKDAY(O297,-(Setup!$C$13+Setup!$G$33),Setup!$C$39:$C$50))&lt;=Setup!$C$16))),WORKDAY(O297,-(Setup!$C$13+Setup!$G$33+Setup!$C$14),Setup!$C$39:$C$50),WORKDAY(O297,-(Setup!$C$13+Setup!$G$33),Setup!$C$39:$C$50))+(292*100+14)/10000000)))</f>
        <v/>
      </c>
      <c r="AF297" t="str">
        <f>IF(P297="","",IF(P297&lt;Setup!$C$5-Setup!$C$6,"",IF(IF(ISNUMBER(Roster!$D297),Setup!$C$34&lt;=Roster!$D297,FALSE),"",IF(OR(IF(Setup!$C$15&lt;=Setup!$C$16,AND(MONTH(P297)&gt;=Setup!$C$15,MONTH(P297)&lt;=Setup!$C$16),OR(MONTH(P297)&gt;=Setup!$C$15,MONTH(P297)&lt;=Setup!$C$16)),IF(Setup!$C$15&lt;=Setup!$C$16,AND(MONTH(WORKDAY(P297,-(Setup!$C$13+Setup!$G$34),Setup!$C$39:$C$50))&gt;=Setup!$C$15,MONTH(WORKDAY(P297,-(Setup!$C$13+Setup!$G$34),Setup!$C$39:$C$50))&lt;=Setup!$C$16),OR(MONTH(WORKDAY(P297,-(Setup!$C$13+Setup!$G$34),Setup!$C$39:$C$50))&gt;=Setup!$C$15,MONTH(WORKDAY(P297,-(Setup!$C$13+Setup!$G$34),Setup!$C$39:$C$50))&lt;=Setup!$C$16))),WORKDAY(P297,-(Setup!$C$13+Setup!$G$34+Setup!$C$14),Setup!$C$39:$C$50),WORKDAY(P297,-(Setup!$C$13+Setup!$G$34),Setup!$C$39:$C$50))+(292*100+15)/10000000)))</f>
        <v/>
      </c>
      <c r="AH297" t="str">
        <f t="shared" si="33"/>
        <v/>
      </c>
      <c r="AI297" t="str">
        <f t="shared" si="34"/>
        <v/>
      </c>
      <c r="AK297" t="str">
        <f ca="1">IF(292&gt;$AK$2,"",SMALL($R$6:$AF$505,292))</f>
        <v/>
      </c>
      <c r="AL297" t="str">
        <f t="shared" ca="1" si="35"/>
        <v/>
      </c>
      <c r="AM297" t="str">
        <f t="shared" ca="1" si="36"/>
        <v/>
      </c>
      <c r="AN297" t="str">
        <f t="shared" ca="1" si="37"/>
        <v/>
      </c>
      <c r="AP297" t="str">
        <f>IF(ISNUMBER(Roster!$B297),MAX(1,YEAR(Setup!$C$5)-YEAR(Roster!$B297)+IF(EDATE(Roster!$B297,12*(YEAR(Setup!$C$5)-YEAR(Roster!$B297)))&lt;Setup!$C$5,1,0)),"")</f>
        <v/>
      </c>
      <c r="AQ297" s="32" t="str">
        <f>IF(AP297="","",EDATE(Roster!$B297,12*AP297))</f>
        <v/>
      </c>
      <c r="AR297" t="str">
        <f>IF(AQ297="","",IF(AQ297&lt;DATE(YEAR(Setup!$C$5)+1,MONTH(Setup!$C$5),DAY(Setup!$C$5)),AQ297+292/1000,""))</f>
        <v/>
      </c>
      <c r="AS297" t="str">
        <f t="shared" si="38"/>
        <v/>
      </c>
      <c r="AT297" t="str">
        <f>IF(AS297="","",IF(ISNUMBER(Roster!$D297),Roster!$D297&gt;=AP297,FALSE))</f>
        <v/>
      </c>
      <c r="AU297" t="str">
        <f t="shared" si="39"/>
        <v/>
      </c>
      <c r="AV297" t="str">
        <f ca="1">IF(292&gt;$AV$2,"",SMALL($AR$6:$AR$505,292))</f>
        <v/>
      </c>
      <c r="AW297" t="str">
        <f t="shared" ca="1" si="40"/>
        <v/>
      </c>
    </row>
    <row r="298" spans="2:49" x14ac:dyDescent="0.2">
      <c r="B298" s="32" t="str">
        <f>IF(AND(ISNUMBER(Roster!$B298),Setup!$B$20="Yes",ISNUMBER(Setup!$C$20)),EDATE(Roster!$B298,12*Setup!$C$20),"")</f>
        <v/>
      </c>
      <c r="C298" s="32" t="str">
        <f>IF(AND(ISNUMBER(Roster!$B298),Setup!$B$21="Yes",ISNUMBER(Setup!$C$21)),EDATE(Roster!$B298,12*Setup!$C$21),"")</f>
        <v/>
      </c>
      <c r="D298" s="32" t="str">
        <f>IF(AND(ISNUMBER(Roster!$B298),Setup!$B$22="Yes",ISNUMBER(Setup!$C$22)),EDATE(Roster!$B298,12*Setup!$C$22),"")</f>
        <v/>
      </c>
      <c r="E298" s="32" t="str">
        <f>IF(AND(ISNUMBER(Roster!$B298),Setup!$B$23="Yes",ISNUMBER(Setup!$C$23)),EDATE(Roster!$B298,12*Setup!$C$23),"")</f>
        <v/>
      </c>
      <c r="F298" s="32" t="str">
        <f>IF(AND(ISNUMBER(Roster!$B298),Setup!$B$24="Yes",ISNUMBER(Setup!$C$24)),EDATE(Roster!$B298,12*Setup!$C$24),"")</f>
        <v/>
      </c>
      <c r="G298" s="32" t="str">
        <f>IF(AND(ISNUMBER(Roster!$B298),Setup!$B$25="Yes",ISNUMBER(Setup!$C$25)),EDATE(Roster!$B298,12*Setup!$C$25),"")</f>
        <v/>
      </c>
      <c r="H298" s="32" t="str">
        <f>IF(AND(ISNUMBER(Roster!$B298),Setup!$B$26="Yes",ISNUMBER(Setup!$C$26)),EDATE(Roster!$B298,12*Setup!$C$26),"")</f>
        <v/>
      </c>
      <c r="I298" s="32" t="str">
        <f>IF(AND(ISNUMBER(Roster!$B298),Setup!$B$27="Yes",ISNUMBER(Setup!$C$27)),EDATE(Roster!$B298,12*Setup!$C$27),"")</f>
        <v/>
      </c>
      <c r="J298" s="32" t="str">
        <f>IF(AND(ISNUMBER(Roster!$B298),Setup!$B$28="Yes",ISNUMBER(Setup!$C$28)),EDATE(Roster!$B298,12*Setup!$C$28),"")</f>
        <v/>
      </c>
      <c r="K298" s="32" t="str">
        <f>IF(AND(ISNUMBER(Roster!$B298),Setup!$B$29="Yes",ISNUMBER(Setup!$C$29)),EDATE(Roster!$B298,12*Setup!$C$29),"")</f>
        <v/>
      </c>
      <c r="L298" s="32" t="str">
        <f>IF(AND(ISNUMBER(Roster!$B298),Setup!$B$30="Yes",ISNUMBER(Setup!$C$30)),EDATE(Roster!$B298,12*Setup!$C$30),"")</f>
        <v/>
      </c>
      <c r="M298" s="32" t="str">
        <f>IF(AND(ISNUMBER(Roster!$B298),Setup!$B$31="Yes",ISNUMBER(Setup!$C$31)),EDATE(Roster!$B298,12*Setup!$C$31),"")</f>
        <v/>
      </c>
      <c r="N298" s="32" t="str">
        <f>IF(AND(ISNUMBER(Roster!$B298),Setup!$B$32="Yes",ISNUMBER(Setup!$C$32)),EDATE(Roster!$B298,12*Setup!$C$32),"")</f>
        <v/>
      </c>
      <c r="O298" s="32" t="str">
        <f>IF(AND(ISNUMBER(Roster!$B298),Setup!$B$33="Yes",ISNUMBER(Setup!$C$33)),EDATE(Roster!$B298,12*Setup!$C$33),"")</f>
        <v/>
      </c>
      <c r="P298" s="32" t="str">
        <f>IF(AND(ISNUMBER(Roster!$B298),Setup!$B$34="Yes",ISNUMBER(Setup!$C$34)),EDATE(Roster!$B298,12*Setup!$C$34),"")</f>
        <v/>
      </c>
      <c r="R298" t="str">
        <f>IF(B298="","",IF(B298&lt;Setup!$C$5-Setup!$C$6,"",IF(IF(ISNUMBER(Roster!$D298),Setup!$C$20&lt;=Roster!$D298,FALSE),"",IF(OR(IF(Setup!$C$15&lt;=Setup!$C$16,AND(MONTH(B298)&gt;=Setup!$C$15,MONTH(B298)&lt;=Setup!$C$16),OR(MONTH(B298)&gt;=Setup!$C$15,MONTH(B298)&lt;=Setup!$C$16)),IF(Setup!$C$15&lt;=Setup!$C$16,AND(MONTH(WORKDAY(B298,-(Setup!$C$13+Setup!$G$20),Setup!$C$39:$C$50))&gt;=Setup!$C$15,MONTH(WORKDAY(B298,-(Setup!$C$13+Setup!$G$20),Setup!$C$39:$C$50))&lt;=Setup!$C$16),OR(MONTH(WORKDAY(B298,-(Setup!$C$13+Setup!$G$20),Setup!$C$39:$C$50))&gt;=Setup!$C$15,MONTH(WORKDAY(B298,-(Setup!$C$13+Setup!$G$20),Setup!$C$39:$C$50))&lt;=Setup!$C$16))),WORKDAY(B298,-(Setup!$C$13+Setup!$G$20+Setup!$C$14),Setup!$C$39:$C$50),WORKDAY(B298,-(Setup!$C$13+Setup!$G$20),Setup!$C$39:$C$50))+(293*100+1)/10000000)))</f>
        <v/>
      </c>
      <c r="S298" t="str">
        <f>IF(C298="","",IF(C298&lt;Setup!$C$5-Setup!$C$6,"",IF(IF(ISNUMBER(Roster!$D298),Setup!$C$21&lt;=Roster!$D298,FALSE),"",IF(OR(IF(Setup!$C$15&lt;=Setup!$C$16,AND(MONTH(C298)&gt;=Setup!$C$15,MONTH(C298)&lt;=Setup!$C$16),OR(MONTH(C298)&gt;=Setup!$C$15,MONTH(C298)&lt;=Setup!$C$16)),IF(Setup!$C$15&lt;=Setup!$C$16,AND(MONTH(WORKDAY(C298,-(Setup!$C$13+Setup!$G$21),Setup!$C$39:$C$50))&gt;=Setup!$C$15,MONTH(WORKDAY(C298,-(Setup!$C$13+Setup!$G$21),Setup!$C$39:$C$50))&lt;=Setup!$C$16),OR(MONTH(WORKDAY(C298,-(Setup!$C$13+Setup!$G$21),Setup!$C$39:$C$50))&gt;=Setup!$C$15,MONTH(WORKDAY(C298,-(Setup!$C$13+Setup!$G$21),Setup!$C$39:$C$50))&lt;=Setup!$C$16))),WORKDAY(C298,-(Setup!$C$13+Setup!$G$21+Setup!$C$14),Setup!$C$39:$C$50),WORKDAY(C298,-(Setup!$C$13+Setup!$G$21),Setup!$C$39:$C$50))+(293*100+2)/10000000)))</f>
        <v/>
      </c>
      <c r="T298" t="str">
        <f>IF(D298="","",IF(D298&lt;Setup!$C$5-Setup!$C$6,"",IF(IF(ISNUMBER(Roster!$D298),Setup!$C$22&lt;=Roster!$D298,FALSE),"",IF(OR(IF(Setup!$C$15&lt;=Setup!$C$16,AND(MONTH(D298)&gt;=Setup!$C$15,MONTH(D298)&lt;=Setup!$C$16),OR(MONTH(D298)&gt;=Setup!$C$15,MONTH(D298)&lt;=Setup!$C$16)),IF(Setup!$C$15&lt;=Setup!$C$16,AND(MONTH(WORKDAY(D298,-(Setup!$C$13+Setup!$G$22),Setup!$C$39:$C$50))&gt;=Setup!$C$15,MONTH(WORKDAY(D298,-(Setup!$C$13+Setup!$G$22),Setup!$C$39:$C$50))&lt;=Setup!$C$16),OR(MONTH(WORKDAY(D298,-(Setup!$C$13+Setup!$G$22),Setup!$C$39:$C$50))&gt;=Setup!$C$15,MONTH(WORKDAY(D298,-(Setup!$C$13+Setup!$G$22),Setup!$C$39:$C$50))&lt;=Setup!$C$16))),WORKDAY(D298,-(Setup!$C$13+Setup!$G$22+Setup!$C$14),Setup!$C$39:$C$50),WORKDAY(D298,-(Setup!$C$13+Setup!$G$22),Setup!$C$39:$C$50))+(293*100+3)/10000000)))</f>
        <v/>
      </c>
      <c r="U298" t="str">
        <f>IF(E298="","",IF(E298&lt;Setup!$C$5-Setup!$C$6,"",IF(IF(ISNUMBER(Roster!$D298),Setup!$C$23&lt;=Roster!$D298,FALSE),"",IF(OR(IF(Setup!$C$15&lt;=Setup!$C$16,AND(MONTH(E298)&gt;=Setup!$C$15,MONTH(E298)&lt;=Setup!$C$16),OR(MONTH(E298)&gt;=Setup!$C$15,MONTH(E298)&lt;=Setup!$C$16)),IF(Setup!$C$15&lt;=Setup!$C$16,AND(MONTH(WORKDAY(E298,-(Setup!$C$13+Setup!$G$23),Setup!$C$39:$C$50))&gt;=Setup!$C$15,MONTH(WORKDAY(E298,-(Setup!$C$13+Setup!$G$23),Setup!$C$39:$C$50))&lt;=Setup!$C$16),OR(MONTH(WORKDAY(E298,-(Setup!$C$13+Setup!$G$23),Setup!$C$39:$C$50))&gt;=Setup!$C$15,MONTH(WORKDAY(E298,-(Setup!$C$13+Setup!$G$23),Setup!$C$39:$C$50))&lt;=Setup!$C$16))),WORKDAY(E298,-(Setup!$C$13+Setup!$G$23+Setup!$C$14),Setup!$C$39:$C$50),WORKDAY(E298,-(Setup!$C$13+Setup!$G$23),Setup!$C$39:$C$50))+(293*100+4)/10000000)))</f>
        <v/>
      </c>
      <c r="V298" t="str">
        <f>IF(F298="","",IF(F298&lt;Setup!$C$5-Setup!$C$6,"",IF(IF(ISNUMBER(Roster!$D298),Setup!$C$24&lt;=Roster!$D298,FALSE),"",IF(OR(IF(Setup!$C$15&lt;=Setup!$C$16,AND(MONTH(F298)&gt;=Setup!$C$15,MONTH(F298)&lt;=Setup!$C$16),OR(MONTH(F298)&gt;=Setup!$C$15,MONTH(F298)&lt;=Setup!$C$16)),IF(Setup!$C$15&lt;=Setup!$C$16,AND(MONTH(WORKDAY(F298,-(Setup!$C$13+Setup!$G$24),Setup!$C$39:$C$50))&gt;=Setup!$C$15,MONTH(WORKDAY(F298,-(Setup!$C$13+Setup!$G$24),Setup!$C$39:$C$50))&lt;=Setup!$C$16),OR(MONTH(WORKDAY(F298,-(Setup!$C$13+Setup!$G$24),Setup!$C$39:$C$50))&gt;=Setup!$C$15,MONTH(WORKDAY(F298,-(Setup!$C$13+Setup!$G$24),Setup!$C$39:$C$50))&lt;=Setup!$C$16))),WORKDAY(F298,-(Setup!$C$13+Setup!$G$24+Setup!$C$14),Setup!$C$39:$C$50),WORKDAY(F298,-(Setup!$C$13+Setup!$G$24),Setup!$C$39:$C$50))+(293*100+5)/10000000)))</f>
        <v/>
      </c>
      <c r="W298" t="str">
        <f>IF(G298="","",IF(G298&lt;Setup!$C$5-Setup!$C$6,"",IF(IF(ISNUMBER(Roster!$D298),Setup!$C$25&lt;=Roster!$D298,FALSE),"",IF(OR(IF(Setup!$C$15&lt;=Setup!$C$16,AND(MONTH(G298)&gt;=Setup!$C$15,MONTH(G298)&lt;=Setup!$C$16),OR(MONTH(G298)&gt;=Setup!$C$15,MONTH(G298)&lt;=Setup!$C$16)),IF(Setup!$C$15&lt;=Setup!$C$16,AND(MONTH(WORKDAY(G298,-(Setup!$C$13+Setup!$G$25),Setup!$C$39:$C$50))&gt;=Setup!$C$15,MONTH(WORKDAY(G298,-(Setup!$C$13+Setup!$G$25),Setup!$C$39:$C$50))&lt;=Setup!$C$16),OR(MONTH(WORKDAY(G298,-(Setup!$C$13+Setup!$G$25),Setup!$C$39:$C$50))&gt;=Setup!$C$15,MONTH(WORKDAY(G298,-(Setup!$C$13+Setup!$G$25),Setup!$C$39:$C$50))&lt;=Setup!$C$16))),WORKDAY(G298,-(Setup!$C$13+Setup!$G$25+Setup!$C$14),Setup!$C$39:$C$50),WORKDAY(G298,-(Setup!$C$13+Setup!$G$25),Setup!$C$39:$C$50))+(293*100+6)/10000000)))</f>
        <v/>
      </c>
      <c r="X298" t="str">
        <f>IF(H298="","",IF(H298&lt;Setup!$C$5-Setup!$C$6,"",IF(IF(ISNUMBER(Roster!$D298),Setup!$C$26&lt;=Roster!$D298,FALSE),"",IF(OR(IF(Setup!$C$15&lt;=Setup!$C$16,AND(MONTH(H298)&gt;=Setup!$C$15,MONTH(H298)&lt;=Setup!$C$16),OR(MONTH(H298)&gt;=Setup!$C$15,MONTH(H298)&lt;=Setup!$C$16)),IF(Setup!$C$15&lt;=Setup!$C$16,AND(MONTH(WORKDAY(H298,-(Setup!$C$13+Setup!$G$26),Setup!$C$39:$C$50))&gt;=Setup!$C$15,MONTH(WORKDAY(H298,-(Setup!$C$13+Setup!$G$26),Setup!$C$39:$C$50))&lt;=Setup!$C$16),OR(MONTH(WORKDAY(H298,-(Setup!$C$13+Setup!$G$26),Setup!$C$39:$C$50))&gt;=Setup!$C$15,MONTH(WORKDAY(H298,-(Setup!$C$13+Setup!$G$26),Setup!$C$39:$C$50))&lt;=Setup!$C$16))),WORKDAY(H298,-(Setup!$C$13+Setup!$G$26+Setup!$C$14),Setup!$C$39:$C$50),WORKDAY(H298,-(Setup!$C$13+Setup!$G$26),Setup!$C$39:$C$50))+(293*100+7)/10000000)))</f>
        <v/>
      </c>
      <c r="Y298" t="str">
        <f>IF(I298="","",IF(I298&lt;Setup!$C$5-Setup!$C$6,"",IF(IF(ISNUMBER(Roster!$D298),Setup!$C$27&lt;=Roster!$D298,FALSE),"",IF(OR(IF(Setup!$C$15&lt;=Setup!$C$16,AND(MONTH(I298)&gt;=Setup!$C$15,MONTH(I298)&lt;=Setup!$C$16),OR(MONTH(I298)&gt;=Setup!$C$15,MONTH(I298)&lt;=Setup!$C$16)),IF(Setup!$C$15&lt;=Setup!$C$16,AND(MONTH(WORKDAY(I298,-(Setup!$C$13+Setup!$G$27),Setup!$C$39:$C$50))&gt;=Setup!$C$15,MONTH(WORKDAY(I298,-(Setup!$C$13+Setup!$G$27),Setup!$C$39:$C$50))&lt;=Setup!$C$16),OR(MONTH(WORKDAY(I298,-(Setup!$C$13+Setup!$G$27),Setup!$C$39:$C$50))&gt;=Setup!$C$15,MONTH(WORKDAY(I298,-(Setup!$C$13+Setup!$G$27),Setup!$C$39:$C$50))&lt;=Setup!$C$16))),WORKDAY(I298,-(Setup!$C$13+Setup!$G$27+Setup!$C$14),Setup!$C$39:$C$50),WORKDAY(I298,-(Setup!$C$13+Setup!$G$27),Setup!$C$39:$C$50))+(293*100+8)/10000000)))</f>
        <v/>
      </c>
      <c r="Z298" t="str">
        <f>IF(J298="","",IF(J298&lt;Setup!$C$5-Setup!$C$6,"",IF(IF(ISNUMBER(Roster!$D298),Setup!$C$28&lt;=Roster!$D298,FALSE),"",IF(OR(IF(Setup!$C$15&lt;=Setup!$C$16,AND(MONTH(J298)&gt;=Setup!$C$15,MONTH(J298)&lt;=Setup!$C$16),OR(MONTH(J298)&gt;=Setup!$C$15,MONTH(J298)&lt;=Setup!$C$16)),IF(Setup!$C$15&lt;=Setup!$C$16,AND(MONTH(WORKDAY(J298,-(Setup!$C$13+Setup!$G$28),Setup!$C$39:$C$50))&gt;=Setup!$C$15,MONTH(WORKDAY(J298,-(Setup!$C$13+Setup!$G$28),Setup!$C$39:$C$50))&lt;=Setup!$C$16),OR(MONTH(WORKDAY(J298,-(Setup!$C$13+Setup!$G$28),Setup!$C$39:$C$50))&gt;=Setup!$C$15,MONTH(WORKDAY(J298,-(Setup!$C$13+Setup!$G$28),Setup!$C$39:$C$50))&lt;=Setup!$C$16))),WORKDAY(J298,-(Setup!$C$13+Setup!$G$28+Setup!$C$14),Setup!$C$39:$C$50),WORKDAY(J298,-(Setup!$C$13+Setup!$G$28),Setup!$C$39:$C$50))+(293*100+9)/10000000)))</f>
        <v/>
      </c>
      <c r="AA298" t="str">
        <f>IF(K298="","",IF(K298&lt;Setup!$C$5-Setup!$C$6,"",IF(IF(ISNUMBER(Roster!$D298),Setup!$C$29&lt;=Roster!$D298,FALSE),"",IF(OR(IF(Setup!$C$15&lt;=Setup!$C$16,AND(MONTH(K298)&gt;=Setup!$C$15,MONTH(K298)&lt;=Setup!$C$16),OR(MONTH(K298)&gt;=Setup!$C$15,MONTH(K298)&lt;=Setup!$C$16)),IF(Setup!$C$15&lt;=Setup!$C$16,AND(MONTH(WORKDAY(K298,-(Setup!$C$13+Setup!$G$29),Setup!$C$39:$C$50))&gt;=Setup!$C$15,MONTH(WORKDAY(K298,-(Setup!$C$13+Setup!$G$29),Setup!$C$39:$C$50))&lt;=Setup!$C$16),OR(MONTH(WORKDAY(K298,-(Setup!$C$13+Setup!$G$29),Setup!$C$39:$C$50))&gt;=Setup!$C$15,MONTH(WORKDAY(K298,-(Setup!$C$13+Setup!$G$29),Setup!$C$39:$C$50))&lt;=Setup!$C$16))),WORKDAY(K298,-(Setup!$C$13+Setup!$G$29+Setup!$C$14),Setup!$C$39:$C$50),WORKDAY(K298,-(Setup!$C$13+Setup!$G$29),Setup!$C$39:$C$50))+(293*100+10)/10000000)))</f>
        <v/>
      </c>
      <c r="AB298" t="str">
        <f>IF(L298="","",IF(L298&lt;Setup!$C$5-Setup!$C$6,"",IF(IF(ISNUMBER(Roster!$D298),Setup!$C$30&lt;=Roster!$D298,FALSE),"",IF(OR(IF(Setup!$C$15&lt;=Setup!$C$16,AND(MONTH(L298)&gt;=Setup!$C$15,MONTH(L298)&lt;=Setup!$C$16),OR(MONTH(L298)&gt;=Setup!$C$15,MONTH(L298)&lt;=Setup!$C$16)),IF(Setup!$C$15&lt;=Setup!$C$16,AND(MONTH(WORKDAY(L298,-(Setup!$C$13+Setup!$G$30),Setup!$C$39:$C$50))&gt;=Setup!$C$15,MONTH(WORKDAY(L298,-(Setup!$C$13+Setup!$G$30),Setup!$C$39:$C$50))&lt;=Setup!$C$16),OR(MONTH(WORKDAY(L298,-(Setup!$C$13+Setup!$G$30),Setup!$C$39:$C$50))&gt;=Setup!$C$15,MONTH(WORKDAY(L298,-(Setup!$C$13+Setup!$G$30),Setup!$C$39:$C$50))&lt;=Setup!$C$16))),WORKDAY(L298,-(Setup!$C$13+Setup!$G$30+Setup!$C$14),Setup!$C$39:$C$50),WORKDAY(L298,-(Setup!$C$13+Setup!$G$30),Setup!$C$39:$C$50))+(293*100+11)/10000000)))</f>
        <v/>
      </c>
      <c r="AC298" t="str">
        <f>IF(M298="","",IF(M298&lt;Setup!$C$5-Setup!$C$6,"",IF(IF(ISNUMBER(Roster!$D298),Setup!$C$31&lt;=Roster!$D298,FALSE),"",IF(OR(IF(Setup!$C$15&lt;=Setup!$C$16,AND(MONTH(M298)&gt;=Setup!$C$15,MONTH(M298)&lt;=Setup!$C$16),OR(MONTH(M298)&gt;=Setup!$C$15,MONTH(M298)&lt;=Setup!$C$16)),IF(Setup!$C$15&lt;=Setup!$C$16,AND(MONTH(WORKDAY(M298,-(Setup!$C$13+Setup!$G$31),Setup!$C$39:$C$50))&gt;=Setup!$C$15,MONTH(WORKDAY(M298,-(Setup!$C$13+Setup!$G$31),Setup!$C$39:$C$50))&lt;=Setup!$C$16),OR(MONTH(WORKDAY(M298,-(Setup!$C$13+Setup!$G$31),Setup!$C$39:$C$50))&gt;=Setup!$C$15,MONTH(WORKDAY(M298,-(Setup!$C$13+Setup!$G$31),Setup!$C$39:$C$50))&lt;=Setup!$C$16))),WORKDAY(M298,-(Setup!$C$13+Setup!$G$31+Setup!$C$14),Setup!$C$39:$C$50),WORKDAY(M298,-(Setup!$C$13+Setup!$G$31),Setup!$C$39:$C$50))+(293*100+12)/10000000)))</f>
        <v/>
      </c>
      <c r="AD298" t="str">
        <f>IF(N298="","",IF(N298&lt;Setup!$C$5-Setup!$C$6,"",IF(IF(ISNUMBER(Roster!$D298),Setup!$C$32&lt;=Roster!$D298,FALSE),"",IF(OR(IF(Setup!$C$15&lt;=Setup!$C$16,AND(MONTH(N298)&gt;=Setup!$C$15,MONTH(N298)&lt;=Setup!$C$16),OR(MONTH(N298)&gt;=Setup!$C$15,MONTH(N298)&lt;=Setup!$C$16)),IF(Setup!$C$15&lt;=Setup!$C$16,AND(MONTH(WORKDAY(N298,-(Setup!$C$13+Setup!$G$32),Setup!$C$39:$C$50))&gt;=Setup!$C$15,MONTH(WORKDAY(N298,-(Setup!$C$13+Setup!$G$32),Setup!$C$39:$C$50))&lt;=Setup!$C$16),OR(MONTH(WORKDAY(N298,-(Setup!$C$13+Setup!$G$32),Setup!$C$39:$C$50))&gt;=Setup!$C$15,MONTH(WORKDAY(N298,-(Setup!$C$13+Setup!$G$32),Setup!$C$39:$C$50))&lt;=Setup!$C$16))),WORKDAY(N298,-(Setup!$C$13+Setup!$G$32+Setup!$C$14),Setup!$C$39:$C$50),WORKDAY(N298,-(Setup!$C$13+Setup!$G$32),Setup!$C$39:$C$50))+(293*100+13)/10000000)))</f>
        <v/>
      </c>
      <c r="AE298" t="str">
        <f>IF(O298="","",IF(O298&lt;Setup!$C$5-Setup!$C$6,"",IF(IF(ISNUMBER(Roster!$D298),Setup!$C$33&lt;=Roster!$D298,FALSE),"",IF(OR(IF(Setup!$C$15&lt;=Setup!$C$16,AND(MONTH(O298)&gt;=Setup!$C$15,MONTH(O298)&lt;=Setup!$C$16),OR(MONTH(O298)&gt;=Setup!$C$15,MONTH(O298)&lt;=Setup!$C$16)),IF(Setup!$C$15&lt;=Setup!$C$16,AND(MONTH(WORKDAY(O298,-(Setup!$C$13+Setup!$G$33),Setup!$C$39:$C$50))&gt;=Setup!$C$15,MONTH(WORKDAY(O298,-(Setup!$C$13+Setup!$G$33),Setup!$C$39:$C$50))&lt;=Setup!$C$16),OR(MONTH(WORKDAY(O298,-(Setup!$C$13+Setup!$G$33),Setup!$C$39:$C$50))&gt;=Setup!$C$15,MONTH(WORKDAY(O298,-(Setup!$C$13+Setup!$G$33),Setup!$C$39:$C$50))&lt;=Setup!$C$16))),WORKDAY(O298,-(Setup!$C$13+Setup!$G$33+Setup!$C$14),Setup!$C$39:$C$50),WORKDAY(O298,-(Setup!$C$13+Setup!$G$33),Setup!$C$39:$C$50))+(293*100+14)/10000000)))</f>
        <v/>
      </c>
      <c r="AF298" t="str">
        <f>IF(P298="","",IF(P298&lt;Setup!$C$5-Setup!$C$6,"",IF(IF(ISNUMBER(Roster!$D298),Setup!$C$34&lt;=Roster!$D298,FALSE),"",IF(OR(IF(Setup!$C$15&lt;=Setup!$C$16,AND(MONTH(P298)&gt;=Setup!$C$15,MONTH(P298)&lt;=Setup!$C$16),OR(MONTH(P298)&gt;=Setup!$C$15,MONTH(P298)&lt;=Setup!$C$16)),IF(Setup!$C$15&lt;=Setup!$C$16,AND(MONTH(WORKDAY(P298,-(Setup!$C$13+Setup!$G$34),Setup!$C$39:$C$50))&gt;=Setup!$C$15,MONTH(WORKDAY(P298,-(Setup!$C$13+Setup!$G$34),Setup!$C$39:$C$50))&lt;=Setup!$C$16),OR(MONTH(WORKDAY(P298,-(Setup!$C$13+Setup!$G$34),Setup!$C$39:$C$50))&gt;=Setup!$C$15,MONTH(WORKDAY(P298,-(Setup!$C$13+Setup!$G$34),Setup!$C$39:$C$50))&lt;=Setup!$C$16))),WORKDAY(P298,-(Setup!$C$13+Setup!$G$34+Setup!$C$14),Setup!$C$39:$C$50),WORKDAY(P298,-(Setup!$C$13+Setup!$G$34),Setup!$C$39:$C$50))+(293*100+15)/10000000)))</f>
        <v/>
      </c>
      <c r="AH298" t="str">
        <f t="shared" si="33"/>
        <v/>
      </c>
      <c r="AI298" t="str">
        <f t="shared" si="34"/>
        <v/>
      </c>
      <c r="AK298" t="str">
        <f ca="1">IF(293&gt;$AK$2,"",SMALL($R$6:$AF$505,293))</f>
        <v/>
      </c>
      <c r="AL298" t="str">
        <f t="shared" ca="1" si="35"/>
        <v/>
      </c>
      <c r="AM298" t="str">
        <f t="shared" ca="1" si="36"/>
        <v/>
      </c>
      <c r="AN298" t="str">
        <f t="shared" ca="1" si="37"/>
        <v/>
      </c>
      <c r="AP298" t="str">
        <f>IF(ISNUMBER(Roster!$B298),MAX(1,YEAR(Setup!$C$5)-YEAR(Roster!$B298)+IF(EDATE(Roster!$B298,12*(YEAR(Setup!$C$5)-YEAR(Roster!$B298)))&lt;Setup!$C$5,1,0)),"")</f>
        <v/>
      </c>
      <c r="AQ298" s="32" t="str">
        <f>IF(AP298="","",EDATE(Roster!$B298,12*AP298))</f>
        <v/>
      </c>
      <c r="AR298" t="str">
        <f>IF(AQ298="","",IF(AQ298&lt;DATE(YEAR(Setup!$C$5)+1,MONTH(Setup!$C$5),DAY(Setup!$C$5)),AQ298+293/1000,""))</f>
        <v/>
      </c>
      <c r="AS298" t="str">
        <f t="shared" si="38"/>
        <v/>
      </c>
      <c r="AT298" t="str">
        <f>IF(AS298="","",IF(ISNUMBER(Roster!$D298),Roster!$D298&gt;=AP298,FALSE))</f>
        <v/>
      </c>
      <c r="AU298" t="str">
        <f t="shared" si="39"/>
        <v/>
      </c>
      <c r="AV298" t="str">
        <f ca="1">IF(293&gt;$AV$2,"",SMALL($AR$6:$AR$505,293))</f>
        <v/>
      </c>
      <c r="AW298" t="str">
        <f t="shared" ca="1" si="40"/>
        <v/>
      </c>
    </row>
    <row r="299" spans="2:49" x14ac:dyDescent="0.2">
      <c r="B299" s="32" t="str">
        <f>IF(AND(ISNUMBER(Roster!$B299),Setup!$B$20="Yes",ISNUMBER(Setup!$C$20)),EDATE(Roster!$B299,12*Setup!$C$20),"")</f>
        <v/>
      </c>
      <c r="C299" s="32" t="str">
        <f>IF(AND(ISNUMBER(Roster!$B299),Setup!$B$21="Yes",ISNUMBER(Setup!$C$21)),EDATE(Roster!$B299,12*Setup!$C$21),"")</f>
        <v/>
      </c>
      <c r="D299" s="32" t="str">
        <f>IF(AND(ISNUMBER(Roster!$B299),Setup!$B$22="Yes",ISNUMBER(Setup!$C$22)),EDATE(Roster!$B299,12*Setup!$C$22),"")</f>
        <v/>
      </c>
      <c r="E299" s="32" t="str">
        <f>IF(AND(ISNUMBER(Roster!$B299),Setup!$B$23="Yes",ISNUMBER(Setup!$C$23)),EDATE(Roster!$B299,12*Setup!$C$23),"")</f>
        <v/>
      </c>
      <c r="F299" s="32" t="str">
        <f>IF(AND(ISNUMBER(Roster!$B299),Setup!$B$24="Yes",ISNUMBER(Setup!$C$24)),EDATE(Roster!$B299,12*Setup!$C$24),"")</f>
        <v/>
      </c>
      <c r="G299" s="32" t="str">
        <f>IF(AND(ISNUMBER(Roster!$B299),Setup!$B$25="Yes",ISNUMBER(Setup!$C$25)),EDATE(Roster!$B299,12*Setup!$C$25),"")</f>
        <v/>
      </c>
      <c r="H299" s="32" t="str">
        <f>IF(AND(ISNUMBER(Roster!$B299),Setup!$B$26="Yes",ISNUMBER(Setup!$C$26)),EDATE(Roster!$B299,12*Setup!$C$26),"")</f>
        <v/>
      </c>
      <c r="I299" s="32" t="str">
        <f>IF(AND(ISNUMBER(Roster!$B299),Setup!$B$27="Yes",ISNUMBER(Setup!$C$27)),EDATE(Roster!$B299,12*Setup!$C$27),"")</f>
        <v/>
      </c>
      <c r="J299" s="32" t="str">
        <f>IF(AND(ISNUMBER(Roster!$B299),Setup!$B$28="Yes",ISNUMBER(Setup!$C$28)),EDATE(Roster!$B299,12*Setup!$C$28),"")</f>
        <v/>
      </c>
      <c r="K299" s="32" t="str">
        <f>IF(AND(ISNUMBER(Roster!$B299),Setup!$B$29="Yes",ISNUMBER(Setup!$C$29)),EDATE(Roster!$B299,12*Setup!$C$29),"")</f>
        <v/>
      </c>
      <c r="L299" s="32" t="str">
        <f>IF(AND(ISNUMBER(Roster!$B299),Setup!$B$30="Yes",ISNUMBER(Setup!$C$30)),EDATE(Roster!$B299,12*Setup!$C$30),"")</f>
        <v/>
      </c>
      <c r="M299" s="32" t="str">
        <f>IF(AND(ISNUMBER(Roster!$B299),Setup!$B$31="Yes",ISNUMBER(Setup!$C$31)),EDATE(Roster!$B299,12*Setup!$C$31),"")</f>
        <v/>
      </c>
      <c r="N299" s="32" t="str">
        <f>IF(AND(ISNUMBER(Roster!$B299),Setup!$B$32="Yes",ISNUMBER(Setup!$C$32)),EDATE(Roster!$B299,12*Setup!$C$32),"")</f>
        <v/>
      </c>
      <c r="O299" s="32" t="str">
        <f>IF(AND(ISNUMBER(Roster!$B299),Setup!$B$33="Yes",ISNUMBER(Setup!$C$33)),EDATE(Roster!$B299,12*Setup!$C$33),"")</f>
        <v/>
      </c>
      <c r="P299" s="32" t="str">
        <f>IF(AND(ISNUMBER(Roster!$B299),Setup!$B$34="Yes",ISNUMBER(Setup!$C$34)),EDATE(Roster!$B299,12*Setup!$C$34),"")</f>
        <v/>
      </c>
      <c r="R299" t="str">
        <f>IF(B299="","",IF(B299&lt;Setup!$C$5-Setup!$C$6,"",IF(IF(ISNUMBER(Roster!$D299),Setup!$C$20&lt;=Roster!$D299,FALSE),"",IF(OR(IF(Setup!$C$15&lt;=Setup!$C$16,AND(MONTH(B299)&gt;=Setup!$C$15,MONTH(B299)&lt;=Setup!$C$16),OR(MONTH(B299)&gt;=Setup!$C$15,MONTH(B299)&lt;=Setup!$C$16)),IF(Setup!$C$15&lt;=Setup!$C$16,AND(MONTH(WORKDAY(B299,-(Setup!$C$13+Setup!$G$20),Setup!$C$39:$C$50))&gt;=Setup!$C$15,MONTH(WORKDAY(B299,-(Setup!$C$13+Setup!$G$20),Setup!$C$39:$C$50))&lt;=Setup!$C$16),OR(MONTH(WORKDAY(B299,-(Setup!$C$13+Setup!$G$20),Setup!$C$39:$C$50))&gt;=Setup!$C$15,MONTH(WORKDAY(B299,-(Setup!$C$13+Setup!$G$20),Setup!$C$39:$C$50))&lt;=Setup!$C$16))),WORKDAY(B299,-(Setup!$C$13+Setup!$G$20+Setup!$C$14),Setup!$C$39:$C$50),WORKDAY(B299,-(Setup!$C$13+Setup!$G$20),Setup!$C$39:$C$50))+(294*100+1)/10000000)))</f>
        <v/>
      </c>
      <c r="S299" t="str">
        <f>IF(C299="","",IF(C299&lt;Setup!$C$5-Setup!$C$6,"",IF(IF(ISNUMBER(Roster!$D299),Setup!$C$21&lt;=Roster!$D299,FALSE),"",IF(OR(IF(Setup!$C$15&lt;=Setup!$C$16,AND(MONTH(C299)&gt;=Setup!$C$15,MONTH(C299)&lt;=Setup!$C$16),OR(MONTH(C299)&gt;=Setup!$C$15,MONTH(C299)&lt;=Setup!$C$16)),IF(Setup!$C$15&lt;=Setup!$C$16,AND(MONTH(WORKDAY(C299,-(Setup!$C$13+Setup!$G$21),Setup!$C$39:$C$50))&gt;=Setup!$C$15,MONTH(WORKDAY(C299,-(Setup!$C$13+Setup!$G$21),Setup!$C$39:$C$50))&lt;=Setup!$C$16),OR(MONTH(WORKDAY(C299,-(Setup!$C$13+Setup!$G$21),Setup!$C$39:$C$50))&gt;=Setup!$C$15,MONTH(WORKDAY(C299,-(Setup!$C$13+Setup!$G$21),Setup!$C$39:$C$50))&lt;=Setup!$C$16))),WORKDAY(C299,-(Setup!$C$13+Setup!$G$21+Setup!$C$14),Setup!$C$39:$C$50),WORKDAY(C299,-(Setup!$C$13+Setup!$G$21),Setup!$C$39:$C$50))+(294*100+2)/10000000)))</f>
        <v/>
      </c>
      <c r="T299" t="str">
        <f>IF(D299="","",IF(D299&lt;Setup!$C$5-Setup!$C$6,"",IF(IF(ISNUMBER(Roster!$D299),Setup!$C$22&lt;=Roster!$D299,FALSE),"",IF(OR(IF(Setup!$C$15&lt;=Setup!$C$16,AND(MONTH(D299)&gt;=Setup!$C$15,MONTH(D299)&lt;=Setup!$C$16),OR(MONTH(D299)&gt;=Setup!$C$15,MONTH(D299)&lt;=Setup!$C$16)),IF(Setup!$C$15&lt;=Setup!$C$16,AND(MONTH(WORKDAY(D299,-(Setup!$C$13+Setup!$G$22),Setup!$C$39:$C$50))&gt;=Setup!$C$15,MONTH(WORKDAY(D299,-(Setup!$C$13+Setup!$G$22),Setup!$C$39:$C$50))&lt;=Setup!$C$16),OR(MONTH(WORKDAY(D299,-(Setup!$C$13+Setup!$G$22),Setup!$C$39:$C$50))&gt;=Setup!$C$15,MONTH(WORKDAY(D299,-(Setup!$C$13+Setup!$G$22),Setup!$C$39:$C$50))&lt;=Setup!$C$16))),WORKDAY(D299,-(Setup!$C$13+Setup!$G$22+Setup!$C$14),Setup!$C$39:$C$50),WORKDAY(D299,-(Setup!$C$13+Setup!$G$22),Setup!$C$39:$C$50))+(294*100+3)/10000000)))</f>
        <v/>
      </c>
      <c r="U299" t="str">
        <f>IF(E299="","",IF(E299&lt;Setup!$C$5-Setup!$C$6,"",IF(IF(ISNUMBER(Roster!$D299),Setup!$C$23&lt;=Roster!$D299,FALSE),"",IF(OR(IF(Setup!$C$15&lt;=Setup!$C$16,AND(MONTH(E299)&gt;=Setup!$C$15,MONTH(E299)&lt;=Setup!$C$16),OR(MONTH(E299)&gt;=Setup!$C$15,MONTH(E299)&lt;=Setup!$C$16)),IF(Setup!$C$15&lt;=Setup!$C$16,AND(MONTH(WORKDAY(E299,-(Setup!$C$13+Setup!$G$23),Setup!$C$39:$C$50))&gt;=Setup!$C$15,MONTH(WORKDAY(E299,-(Setup!$C$13+Setup!$G$23),Setup!$C$39:$C$50))&lt;=Setup!$C$16),OR(MONTH(WORKDAY(E299,-(Setup!$C$13+Setup!$G$23),Setup!$C$39:$C$50))&gt;=Setup!$C$15,MONTH(WORKDAY(E299,-(Setup!$C$13+Setup!$G$23),Setup!$C$39:$C$50))&lt;=Setup!$C$16))),WORKDAY(E299,-(Setup!$C$13+Setup!$G$23+Setup!$C$14),Setup!$C$39:$C$50),WORKDAY(E299,-(Setup!$C$13+Setup!$G$23),Setup!$C$39:$C$50))+(294*100+4)/10000000)))</f>
        <v/>
      </c>
      <c r="V299" t="str">
        <f>IF(F299="","",IF(F299&lt;Setup!$C$5-Setup!$C$6,"",IF(IF(ISNUMBER(Roster!$D299),Setup!$C$24&lt;=Roster!$D299,FALSE),"",IF(OR(IF(Setup!$C$15&lt;=Setup!$C$16,AND(MONTH(F299)&gt;=Setup!$C$15,MONTH(F299)&lt;=Setup!$C$16),OR(MONTH(F299)&gt;=Setup!$C$15,MONTH(F299)&lt;=Setup!$C$16)),IF(Setup!$C$15&lt;=Setup!$C$16,AND(MONTH(WORKDAY(F299,-(Setup!$C$13+Setup!$G$24),Setup!$C$39:$C$50))&gt;=Setup!$C$15,MONTH(WORKDAY(F299,-(Setup!$C$13+Setup!$G$24),Setup!$C$39:$C$50))&lt;=Setup!$C$16),OR(MONTH(WORKDAY(F299,-(Setup!$C$13+Setup!$G$24),Setup!$C$39:$C$50))&gt;=Setup!$C$15,MONTH(WORKDAY(F299,-(Setup!$C$13+Setup!$G$24),Setup!$C$39:$C$50))&lt;=Setup!$C$16))),WORKDAY(F299,-(Setup!$C$13+Setup!$G$24+Setup!$C$14),Setup!$C$39:$C$50),WORKDAY(F299,-(Setup!$C$13+Setup!$G$24),Setup!$C$39:$C$50))+(294*100+5)/10000000)))</f>
        <v/>
      </c>
      <c r="W299" t="str">
        <f>IF(G299="","",IF(G299&lt;Setup!$C$5-Setup!$C$6,"",IF(IF(ISNUMBER(Roster!$D299),Setup!$C$25&lt;=Roster!$D299,FALSE),"",IF(OR(IF(Setup!$C$15&lt;=Setup!$C$16,AND(MONTH(G299)&gt;=Setup!$C$15,MONTH(G299)&lt;=Setup!$C$16),OR(MONTH(G299)&gt;=Setup!$C$15,MONTH(G299)&lt;=Setup!$C$16)),IF(Setup!$C$15&lt;=Setup!$C$16,AND(MONTH(WORKDAY(G299,-(Setup!$C$13+Setup!$G$25),Setup!$C$39:$C$50))&gt;=Setup!$C$15,MONTH(WORKDAY(G299,-(Setup!$C$13+Setup!$G$25),Setup!$C$39:$C$50))&lt;=Setup!$C$16),OR(MONTH(WORKDAY(G299,-(Setup!$C$13+Setup!$G$25),Setup!$C$39:$C$50))&gt;=Setup!$C$15,MONTH(WORKDAY(G299,-(Setup!$C$13+Setup!$G$25),Setup!$C$39:$C$50))&lt;=Setup!$C$16))),WORKDAY(G299,-(Setup!$C$13+Setup!$G$25+Setup!$C$14),Setup!$C$39:$C$50),WORKDAY(G299,-(Setup!$C$13+Setup!$G$25),Setup!$C$39:$C$50))+(294*100+6)/10000000)))</f>
        <v/>
      </c>
      <c r="X299" t="str">
        <f>IF(H299="","",IF(H299&lt;Setup!$C$5-Setup!$C$6,"",IF(IF(ISNUMBER(Roster!$D299),Setup!$C$26&lt;=Roster!$D299,FALSE),"",IF(OR(IF(Setup!$C$15&lt;=Setup!$C$16,AND(MONTH(H299)&gt;=Setup!$C$15,MONTH(H299)&lt;=Setup!$C$16),OR(MONTH(H299)&gt;=Setup!$C$15,MONTH(H299)&lt;=Setup!$C$16)),IF(Setup!$C$15&lt;=Setup!$C$16,AND(MONTH(WORKDAY(H299,-(Setup!$C$13+Setup!$G$26),Setup!$C$39:$C$50))&gt;=Setup!$C$15,MONTH(WORKDAY(H299,-(Setup!$C$13+Setup!$G$26),Setup!$C$39:$C$50))&lt;=Setup!$C$16),OR(MONTH(WORKDAY(H299,-(Setup!$C$13+Setup!$G$26),Setup!$C$39:$C$50))&gt;=Setup!$C$15,MONTH(WORKDAY(H299,-(Setup!$C$13+Setup!$G$26),Setup!$C$39:$C$50))&lt;=Setup!$C$16))),WORKDAY(H299,-(Setup!$C$13+Setup!$G$26+Setup!$C$14),Setup!$C$39:$C$50),WORKDAY(H299,-(Setup!$C$13+Setup!$G$26),Setup!$C$39:$C$50))+(294*100+7)/10000000)))</f>
        <v/>
      </c>
      <c r="Y299" t="str">
        <f>IF(I299="","",IF(I299&lt;Setup!$C$5-Setup!$C$6,"",IF(IF(ISNUMBER(Roster!$D299),Setup!$C$27&lt;=Roster!$D299,FALSE),"",IF(OR(IF(Setup!$C$15&lt;=Setup!$C$16,AND(MONTH(I299)&gt;=Setup!$C$15,MONTH(I299)&lt;=Setup!$C$16),OR(MONTH(I299)&gt;=Setup!$C$15,MONTH(I299)&lt;=Setup!$C$16)),IF(Setup!$C$15&lt;=Setup!$C$16,AND(MONTH(WORKDAY(I299,-(Setup!$C$13+Setup!$G$27),Setup!$C$39:$C$50))&gt;=Setup!$C$15,MONTH(WORKDAY(I299,-(Setup!$C$13+Setup!$G$27),Setup!$C$39:$C$50))&lt;=Setup!$C$16),OR(MONTH(WORKDAY(I299,-(Setup!$C$13+Setup!$G$27),Setup!$C$39:$C$50))&gt;=Setup!$C$15,MONTH(WORKDAY(I299,-(Setup!$C$13+Setup!$G$27),Setup!$C$39:$C$50))&lt;=Setup!$C$16))),WORKDAY(I299,-(Setup!$C$13+Setup!$G$27+Setup!$C$14),Setup!$C$39:$C$50),WORKDAY(I299,-(Setup!$C$13+Setup!$G$27),Setup!$C$39:$C$50))+(294*100+8)/10000000)))</f>
        <v/>
      </c>
      <c r="Z299" t="str">
        <f>IF(J299="","",IF(J299&lt;Setup!$C$5-Setup!$C$6,"",IF(IF(ISNUMBER(Roster!$D299),Setup!$C$28&lt;=Roster!$D299,FALSE),"",IF(OR(IF(Setup!$C$15&lt;=Setup!$C$16,AND(MONTH(J299)&gt;=Setup!$C$15,MONTH(J299)&lt;=Setup!$C$16),OR(MONTH(J299)&gt;=Setup!$C$15,MONTH(J299)&lt;=Setup!$C$16)),IF(Setup!$C$15&lt;=Setup!$C$16,AND(MONTH(WORKDAY(J299,-(Setup!$C$13+Setup!$G$28),Setup!$C$39:$C$50))&gt;=Setup!$C$15,MONTH(WORKDAY(J299,-(Setup!$C$13+Setup!$G$28),Setup!$C$39:$C$50))&lt;=Setup!$C$16),OR(MONTH(WORKDAY(J299,-(Setup!$C$13+Setup!$G$28),Setup!$C$39:$C$50))&gt;=Setup!$C$15,MONTH(WORKDAY(J299,-(Setup!$C$13+Setup!$G$28),Setup!$C$39:$C$50))&lt;=Setup!$C$16))),WORKDAY(J299,-(Setup!$C$13+Setup!$G$28+Setup!$C$14),Setup!$C$39:$C$50),WORKDAY(J299,-(Setup!$C$13+Setup!$G$28),Setup!$C$39:$C$50))+(294*100+9)/10000000)))</f>
        <v/>
      </c>
      <c r="AA299" t="str">
        <f>IF(K299="","",IF(K299&lt;Setup!$C$5-Setup!$C$6,"",IF(IF(ISNUMBER(Roster!$D299),Setup!$C$29&lt;=Roster!$D299,FALSE),"",IF(OR(IF(Setup!$C$15&lt;=Setup!$C$16,AND(MONTH(K299)&gt;=Setup!$C$15,MONTH(K299)&lt;=Setup!$C$16),OR(MONTH(K299)&gt;=Setup!$C$15,MONTH(K299)&lt;=Setup!$C$16)),IF(Setup!$C$15&lt;=Setup!$C$16,AND(MONTH(WORKDAY(K299,-(Setup!$C$13+Setup!$G$29),Setup!$C$39:$C$50))&gt;=Setup!$C$15,MONTH(WORKDAY(K299,-(Setup!$C$13+Setup!$G$29),Setup!$C$39:$C$50))&lt;=Setup!$C$16),OR(MONTH(WORKDAY(K299,-(Setup!$C$13+Setup!$G$29),Setup!$C$39:$C$50))&gt;=Setup!$C$15,MONTH(WORKDAY(K299,-(Setup!$C$13+Setup!$G$29),Setup!$C$39:$C$50))&lt;=Setup!$C$16))),WORKDAY(K299,-(Setup!$C$13+Setup!$G$29+Setup!$C$14),Setup!$C$39:$C$50),WORKDAY(K299,-(Setup!$C$13+Setup!$G$29),Setup!$C$39:$C$50))+(294*100+10)/10000000)))</f>
        <v/>
      </c>
      <c r="AB299" t="str">
        <f>IF(L299="","",IF(L299&lt;Setup!$C$5-Setup!$C$6,"",IF(IF(ISNUMBER(Roster!$D299),Setup!$C$30&lt;=Roster!$D299,FALSE),"",IF(OR(IF(Setup!$C$15&lt;=Setup!$C$16,AND(MONTH(L299)&gt;=Setup!$C$15,MONTH(L299)&lt;=Setup!$C$16),OR(MONTH(L299)&gt;=Setup!$C$15,MONTH(L299)&lt;=Setup!$C$16)),IF(Setup!$C$15&lt;=Setup!$C$16,AND(MONTH(WORKDAY(L299,-(Setup!$C$13+Setup!$G$30),Setup!$C$39:$C$50))&gt;=Setup!$C$15,MONTH(WORKDAY(L299,-(Setup!$C$13+Setup!$G$30),Setup!$C$39:$C$50))&lt;=Setup!$C$16),OR(MONTH(WORKDAY(L299,-(Setup!$C$13+Setup!$G$30),Setup!$C$39:$C$50))&gt;=Setup!$C$15,MONTH(WORKDAY(L299,-(Setup!$C$13+Setup!$G$30),Setup!$C$39:$C$50))&lt;=Setup!$C$16))),WORKDAY(L299,-(Setup!$C$13+Setup!$G$30+Setup!$C$14),Setup!$C$39:$C$50),WORKDAY(L299,-(Setup!$C$13+Setup!$G$30),Setup!$C$39:$C$50))+(294*100+11)/10000000)))</f>
        <v/>
      </c>
      <c r="AC299" t="str">
        <f>IF(M299="","",IF(M299&lt;Setup!$C$5-Setup!$C$6,"",IF(IF(ISNUMBER(Roster!$D299),Setup!$C$31&lt;=Roster!$D299,FALSE),"",IF(OR(IF(Setup!$C$15&lt;=Setup!$C$16,AND(MONTH(M299)&gt;=Setup!$C$15,MONTH(M299)&lt;=Setup!$C$16),OR(MONTH(M299)&gt;=Setup!$C$15,MONTH(M299)&lt;=Setup!$C$16)),IF(Setup!$C$15&lt;=Setup!$C$16,AND(MONTH(WORKDAY(M299,-(Setup!$C$13+Setup!$G$31),Setup!$C$39:$C$50))&gt;=Setup!$C$15,MONTH(WORKDAY(M299,-(Setup!$C$13+Setup!$G$31),Setup!$C$39:$C$50))&lt;=Setup!$C$16),OR(MONTH(WORKDAY(M299,-(Setup!$C$13+Setup!$G$31),Setup!$C$39:$C$50))&gt;=Setup!$C$15,MONTH(WORKDAY(M299,-(Setup!$C$13+Setup!$G$31),Setup!$C$39:$C$50))&lt;=Setup!$C$16))),WORKDAY(M299,-(Setup!$C$13+Setup!$G$31+Setup!$C$14),Setup!$C$39:$C$50),WORKDAY(M299,-(Setup!$C$13+Setup!$G$31),Setup!$C$39:$C$50))+(294*100+12)/10000000)))</f>
        <v/>
      </c>
      <c r="AD299" t="str">
        <f>IF(N299="","",IF(N299&lt;Setup!$C$5-Setup!$C$6,"",IF(IF(ISNUMBER(Roster!$D299),Setup!$C$32&lt;=Roster!$D299,FALSE),"",IF(OR(IF(Setup!$C$15&lt;=Setup!$C$16,AND(MONTH(N299)&gt;=Setup!$C$15,MONTH(N299)&lt;=Setup!$C$16),OR(MONTH(N299)&gt;=Setup!$C$15,MONTH(N299)&lt;=Setup!$C$16)),IF(Setup!$C$15&lt;=Setup!$C$16,AND(MONTH(WORKDAY(N299,-(Setup!$C$13+Setup!$G$32),Setup!$C$39:$C$50))&gt;=Setup!$C$15,MONTH(WORKDAY(N299,-(Setup!$C$13+Setup!$G$32),Setup!$C$39:$C$50))&lt;=Setup!$C$16),OR(MONTH(WORKDAY(N299,-(Setup!$C$13+Setup!$G$32),Setup!$C$39:$C$50))&gt;=Setup!$C$15,MONTH(WORKDAY(N299,-(Setup!$C$13+Setup!$G$32),Setup!$C$39:$C$50))&lt;=Setup!$C$16))),WORKDAY(N299,-(Setup!$C$13+Setup!$G$32+Setup!$C$14),Setup!$C$39:$C$50),WORKDAY(N299,-(Setup!$C$13+Setup!$G$32),Setup!$C$39:$C$50))+(294*100+13)/10000000)))</f>
        <v/>
      </c>
      <c r="AE299" t="str">
        <f>IF(O299="","",IF(O299&lt;Setup!$C$5-Setup!$C$6,"",IF(IF(ISNUMBER(Roster!$D299),Setup!$C$33&lt;=Roster!$D299,FALSE),"",IF(OR(IF(Setup!$C$15&lt;=Setup!$C$16,AND(MONTH(O299)&gt;=Setup!$C$15,MONTH(O299)&lt;=Setup!$C$16),OR(MONTH(O299)&gt;=Setup!$C$15,MONTH(O299)&lt;=Setup!$C$16)),IF(Setup!$C$15&lt;=Setup!$C$16,AND(MONTH(WORKDAY(O299,-(Setup!$C$13+Setup!$G$33),Setup!$C$39:$C$50))&gt;=Setup!$C$15,MONTH(WORKDAY(O299,-(Setup!$C$13+Setup!$G$33),Setup!$C$39:$C$50))&lt;=Setup!$C$16),OR(MONTH(WORKDAY(O299,-(Setup!$C$13+Setup!$G$33),Setup!$C$39:$C$50))&gt;=Setup!$C$15,MONTH(WORKDAY(O299,-(Setup!$C$13+Setup!$G$33),Setup!$C$39:$C$50))&lt;=Setup!$C$16))),WORKDAY(O299,-(Setup!$C$13+Setup!$G$33+Setup!$C$14),Setup!$C$39:$C$50),WORKDAY(O299,-(Setup!$C$13+Setup!$G$33),Setup!$C$39:$C$50))+(294*100+14)/10000000)))</f>
        <v/>
      </c>
      <c r="AF299" t="str">
        <f>IF(P299="","",IF(P299&lt;Setup!$C$5-Setup!$C$6,"",IF(IF(ISNUMBER(Roster!$D299),Setup!$C$34&lt;=Roster!$D299,FALSE),"",IF(OR(IF(Setup!$C$15&lt;=Setup!$C$16,AND(MONTH(P299)&gt;=Setup!$C$15,MONTH(P299)&lt;=Setup!$C$16),OR(MONTH(P299)&gt;=Setup!$C$15,MONTH(P299)&lt;=Setup!$C$16)),IF(Setup!$C$15&lt;=Setup!$C$16,AND(MONTH(WORKDAY(P299,-(Setup!$C$13+Setup!$G$34),Setup!$C$39:$C$50))&gt;=Setup!$C$15,MONTH(WORKDAY(P299,-(Setup!$C$13+Setup!$G$34),Setup!$C$39:$C$50))&lt;=Setup!$C$16),OR(MONTH(WORKDAY(P299,-(Setup!$C$13+Setup!$G$34),Setup!$C$39:$C$50))&gt;=Setup!$C$15,MONTH(WORKDAY(P299,-(Setup!$C$13+Setup!$G$34),Setup!$C$39:$C$50))&lt;=Setup!$C$16))),WORKDAY(P299,-(Setup!$C$13+Setup!$G$34+Setup!$C$14),Setup!$C$39:$C$50),WORKDAY(P299,-(Setup!$C$13+Setup!$G$34),Setup!$C$39:$C$50))+(294*100+15)/10000000)))</f>
        <v/>
      </c>
      <c r="AH299" t="str">
        <f t="shared" si="33"/>
        <v/>
      </c>
      <c r="AI299" t="str">
        <f t="shared" si="34"/>
        <v/>
      </c>
      <c r="AK299" t="str">
        <f ca="1">IF(294&gt;$AK$2,"",SMALL($R$6:$AF$505,294))</f>
        <v/>
      </c>
      <c r="AL299" t="str">
        <f t="shared" ca="1" si="35"/>
        <v/>
      </c>
      <c r="AM299" t="str">
        <f t="shared" ca="1" si="36"/>
        <v/>
      </c>
      <c r="AN299" t="str">
        <f t="shared" ca="1" si="37"/>
        <v/>
      </c>
      <c r="AP299" t="str">
        <f>IF(ISNUMBER(Roster!$B299),MAX(1,YEAR(Setup!$C$5)-YEAR(Roster!$B299)+IF(EDATE(Roster!$B299,12*(YEAR(Setup!$C$5)-YEAR(Roster!$B299)))&lt;Setup!$C$5,1,0)),"")</f>
        <v/>
      </c>
      <c r="AQ299" s="32" t="str">
        <f>IF(AP299="","",EDATE(Roster!$B299,12*AP299))</f>
        <v/>
      </c>
      <c r="AR299" t="str">
        <f>IF(AQ299="","",IF(AQ299&lt;DATE(YEAR(Setup!$C$5)+1,MONTH(Setup!$C$5),DAY(Setup!$C$5)),AQ299+294/1000,""))</f>
        <v/>
      </c>
      <c r="AS299" t="str">
        <f t="shared" si="38"/>
        <v/>
      </c>
      <c r="AT299" t="str">
        <f>IF(AS299="","",IF(ISNUMBER(Roster!$D299),Roster!$D299&gt;=AP299,FALSE))</f>
        <v/>
      </c>
      <c r="AU299" t="str">
        <f t="shared" si="39"/>
        <v/>
      </c>
      <c r="AV299" t="str">
        <f ca="1">IF(294&gt;$AV$2,"",SMALL($AR$6:$AR$505,294))</f>
        <v/>
      </c>
      <c r="AW299" t="str">
        <f t="shared" ca="1" si="40"/>
        <v/>
      </c>
    </row>
    <row r="300" spans="2:49" x14ac:dyDescent="0.2">
      <c r="B300" s="32" t="str">
        <f>IF(AND(ISNUMBER(Roster!$B300),Setup!$B$20="Yes",ISNUMBER(Setup!$C$20)),EDATE(Roster!$B300,12*Setup!$C$20),"")</f>
        <v/>
      </c>
      <c r="C300" s="32" t="str">
        <f>IF(AND(ISNUMBER(Roster!$B300),Setup!$B$21="Yes",ISNUMBER(Setup!$C$21)),EDATE(Roster!$B300,12*Setup!$C$21),"")</f>
        <v/>
      </c>
      <c r="D300" s="32" t="str">
        <f>IF(AND(ISNUMBER(Roster!$B300),Setup!$B$22="Yes",ISNUMBER(Setup!$C$22)),EDATE(Roster!$B300,12*Setup!$C$22),"")</f>
        <v/>
      </c>
      <c r="E300" s="32" t="str">
        <f>IF(AND(ISNUMBER(Roster!$B300),Setup!$B$23="Yes",ISNUMBER(Setup!$C$23)),EDATE(Roster!$B300,12*Setup!$C$23),"")</f>
        <v/>
      </c>
      <c r="F300" s="32" t="str">
        <f>IF(AND(ISNUMBER(Roster!$B300),Setup!$B$24="Yes",ISNUMBER(Setup!$C$24)),EDATE(Roster!$B300,12*Setup!$C$24),"")</f>
        <v/>
      </c>
      <c r="G300" s="32" t="str">
        <f>IF(AND(ISNUMBER(Roster!$B300),Setup!$B$25="Yes",ISNUMBER(Setup!$C$25)),EDATE(Roster!$B300,12*Setup!$C$25),"")</f>
        <v/>
      </c>
      <c r="H300" s="32" t="str">
        <f>IF(AND(ISNUMBER(Roster!$B300),Setup!$B$26="Yes",ISNUMBER(Setup!$C$26)),EDATE(Roster!$B300,12*Setup!$C$26),"")</f>
        <v/>
      </c>
      <c r="I300" s="32" t="str">
        <f>IF(AND(ISNUMBER(Roster!$B300),Setup!$B$27="Yes",ISNUMBER(Setup!$C$27)),EDATE(Roster!$B300,12*Setup!$C$27),"")</f>
        <v/>
      </c>
      <c r="J300" s="32" t="str">
        <f>IF(AND(ISNUMBER(Roster!$B300),Setup!$B$28="Yes",ISNUMBER(Setup!$C$28)),EDATE(Roster!$B300,12*Setup!$C$28),"")</f>
        <v/>
      </c>
      <c r="K300" s="32" t="str">
        <f>IF(AND(ISNUMBER(Roster!$B300),Setup!$B$29="Yes",ISNUMBER(Setup!$C$29)),EDATE(Roster!$B300,12*Setup!$C$29),"")</f>
        <v/>
      </c>
      <c r="L300" s="32" t="str">
        <f>IF(AND(ISNUMBER(Roster!$B300),Setup!$B$30="Yes",ISNUMBER(Setup!$C$30)),EDATE(Roster!$B300,12*Setup!$C$30),"")</f>
        <v/>
      </c>
      <c r="M300" s="32" t="str">
        <f>IF(AND(ISNUMBER(Roster!$B300),Setup!$B$31="Yes",ISNUMBER(Setup!$C$31)),EDATE(Roster!$B300,12*Setup!$C$31),"")</f>
        <v/>
      </c>
      <c r="N300" s="32" t="str">
        <f>IF(AND(ISNUMBER(Roster!$B300),Setup!$B$32="Yes",ISNUMBER(Setup!$C$32)),EDATE(Roster!$B300,12*Setup!$C$32),"")</f>
        <v/>
      </c>
      <c r="O300" s="32" t="str">
        <f>IF(AND(ISNUMBER(Roster!$B300),Setup!$B$33="Yes",ISNUMBER(Setup!$C$33)),EDATE(Roster!$B300,12*Setup!$C$33),"")</f>
        <v/>
      </c>
      <c r="P300" s="32" t="str">
        <f>IF(AND(ISNUMBER(Roster!$B300),Setup!$B$34="Yes",ISNUMBER(Setup!$C$34)),EDATE(Roster!$B300,12*Setup!$C$34),"")</f>
        <v/>
      </c>
      <c r="R300" t="str">
        <f>IF(B300="","",IF(B300&lt;Setup!$C$5-Setup!$C$6,"",IF(IF(ISNUMBER(Roster!$D300),Setup!$C$20&lt;=Roster!$D300,FALSE),"",IF(OR(IF(Setup!$C$15&lt;=Setup!$C$16,AND(MONTH(B300)&gt;=Setup!$C$15,MONTH(B300)&lt;=Setup!$C$16),OR(MONTH(B300)&gt;=Setup!$C$15,MONTH(B300)&lt;=Setup!$C$16)),IF(Setup!$C$15&lt;=Setup!$C$16,AND(MONTH(WORKDAY(B300,-(Setup!$C$13+Setup!$G$20),Setup!$C$39:$C$50))&gt;=Setup!$C$15,MONTH(WORKDAY(B300,-(Setup!$C$13+Setup!$G$20),Setup!$C$39:$C$50))&lt;=Setup!$C$16),OR(MONTH(WORKDAY(B300,-(Setup!$C$13+Setup!$G$20),Setup!$C$39:$C$50))&gt;=Setup!$C$15,MONTH(WORKDAY(B300,-(Setup!$C$13+Setup!$G$20),Setup!$C$39:$C$50))&lt;=Setup!$C$16))),WORKDAY(B300,-(Setup!$C$13+Setup!$G$20+Setup!$C$14),Setup!$C$39:$C$50),WORKDAY(B300,-(Setup!$C$13+Setup!$G$20),Setup!$C$39:$C$50))+(295*100+1)/10000000)))</f>
        <v/>
      </c>
      <c r="S300" t="str">
        <f>IF(C300="","",IF(C300&lt;Setup!$C$5-Setup!$C$6,"",IF(IF(ISNUMBER(Roster!$D300),Setup!$C$21&lt;=Roster!$D300,FALSE),"",IF(OR(IF(Setup!$C$15&lt;=Setup!$C$16,AND(MONTH(C300)&gt;=Setup!$C$15,MONTH(C300)&lt;=Setup!$C$16),OR(MONTH(C300)&gt;=Setup!$C$15,MONTH(C300)&lt;=Setup!$C$16)),IF(Setup!$C$15&lt;=Setup!$C$16,AND(MONTH(WORKDAY(C300,-(Setup!$C$13+Setup!$G$21),Setup!$C$39:$C$50))&gt;=Setup!$C$15,MONTH(WORKDAY(C300,-(Setup!$C$13+Setup!$G$21),Setup!$C$39:$C$50))&lt;=Setup!$C$16),OR(MONTH(WORKDAY(C300,-(Setup!$C$13+Setup!$G$21),Setup!$C$39:$C$50))&gt;=Setup!$C$15,MONTH(WORKDAY(C300,-(Setup!$C$13+Setup!$G$21),Setup!$C$39:$C$50))&lt;=Setup!$C$16))),WORKDAY(C300,-(Setup!$C$13+Setup!$G$21+Setup!$C$14),Setup!$C$39:$C$50),WORKDAY(C300,-(Setup!$C$13+Setup!$G$21),Setup!$C$39:$C$50))+(295*100+2)/10000000)))</f>
        <v/>
      </c>
      <c r="T300" t="str">
        <f>IF(D300="","",IF(D300&lt;Setup!$C$5-Setup!$C$6,"",IF(IF(ISNUMBER(Roster!$D300),Setup!$C$22&lt;=Roster!$D300,FALSE),"",IF(OR(IF(Setup!$C$15&lt;=Setup!$C$16,AND(MONTH(D300)&gt;=Setup!$C$15,MONTH(D300)&lt;=Setup!$C$16),OR(MONTH(D300)&gt;=Setup!$C$15,MONTH(D300)&lt;=Setup!$C$16)),IF(Setup!$C$15&lt;=Setup!$C$16,AND(MONTH(WORKDAY(D300,-(Setup!$C$13+Setup!$G$22),Setup!$C$39:$C$50))&gt;=Setup!$C$15,MONTH(WORKDAY(D300,-(Setup!$C$13+Setup!$G$22),Setup!$C$39:$C$50))&lt;=Setup!$C$16),OR(MONTH(WORKDAY(D300,-(Setup!$C$13+Setup!$G$22),Setup!$C$39:$C$50))&gt;=Setup!$C$15,MONTH(WORKDAY(D300,-(Setup!$C$13+Setup!$G$22),Setup!$C$39:$C$50))&lt;=Setup!$C$16))),WORKDAY(D300,-(Setup!$C$13+Setup!$G$22+Setup!$C$14),Setup!$C$39:$C$50),WORKDAY(D300,-(Setup!$C$13+Setup!$G$22),Setup!$C$39:$C$50))+(295*100+3)/10000000)))</f>
        <v/>
      </c>
      <c r="U300" t="str">
        <f>IF(E300="","",IF(E300&lt;Setup!$C$5-Setup!$C$6,"",IF(IF(ISNUMBER(Roster!$D300),Setup!$C$23&lt;=Roster!$D300,FALSE),"",IF(OR(IF(Setup!$C$15&lt;=Setup!$C$16,AND(MONTH(E300)&gt;=Setup!$C$15,MONTH(E300)&lt;=Setup!$C$16),OR(MONTH(E300)&gt;=Setup!$C$15,MONTH(E300)&lt;=Setup!$C$16)),IF(Setup!$C$15&lt;=Setup!$C$16,AND(MONTH(WORKDAY(E300,-(Setup!$C$13+Setup!$G$23),Setup!$C$39:$C$50))&gt;=Setup!$C$15,MONTH(WORKDAY(E300,-(Setup!$C$13+Setup!$G$23),Setup!$C$39:$C$50))&lt;=Setup!$C$16),OR(MONTH(WORKDAY(E300,-(Setup!$C$13+Setup!$G$23),Setup!$C$39:$C$50))&gt;=Setup!$C$15,MONTH(WORKDAY(E300,-(Setup!$C$13+Setup!$G$23),Setup!$C$39:$C$50))&lt;=Setup!$C$16))),WORKDAY(E300,-(Setup!$C$13+Setup!$G$23+Setup!$C$14),Setup!$C$39:$C$50),WORKDAY(E300,-(Setup!$C$13+Setup!$G$23),Setup!$C$39:$C$50))+(295*100+4)/10000000)))</f>
        <v/>
      </c>
      <c r="V300" t="str">
        <f>IF(F300="","",IF(F300&lt;Setup!$C$5-Setup!$C$6,"",IF(IF(ISNUMBER(Roster!$D300),Setup!$C$24&lt;=Roster!$D300,FALSE),"",IF(OR(IF(Setup!$C$15&lt;=Setup!$C$16,AND(MONTH(F300)&gt;=Setup!$C$15,MONTH(F300)&lt;=Setup!$C$16),OR(MONTH(F300)&gt;=Setup!$C$15,MONTH(F300)&lt;=Setup!$C$16)),IF(Setup!$C$15&lt;=Setup!$C$16,AND(MONTH(WORKDAY(F300,-(Setup!$C$13+Setup!$G$24),Setup!$C$39:$C$50))&gt;=Setup!$C$15,MONTH(WORKDAY(F300,-(Setup!$C$13+Setup!$G$24),Setup!$C$39:$C$50))&lt;=Setup!$C$16),OR(MONTH(WORKDAY(F300,-(Setup!$C$13+Setup!$G$24),Setup!$C$39:$C$50))&gt;=Setup!$C$15,MONTH(WORKDAY(F300,-(Setup!$C$13+Setup!$G$24),Setup!$C$39:$C$50))&lt;=Setup!$C$16))),WORKDAY(F300,-(Setup!$C$13+Setup!$G$24+Setup!$C$14),Setup!$C$39:$C$50),WORKDAY(F300,-(Setup!$C$13+Setup!$G$24),Setup!$C$39:$C$50))+(295*100+5)/10000000)))</f>
        <v/>
      </c>
      <c r="W300" t="str">
        <f>IF(G300="","",IF(G300&lt;Setup!$C$5-Setup!$C$6,"",IF(IF(ISNUMBER(Roster!$D300),Setup!$C$25&lt;=Roster!$D300,FALSE),"",IF(OR(IF(Setup!$C$15&lt;=Setup!$C$16,AND(MONTH(G300)&gt;=Setup!$C$15,MONTH(G300)&lt;=Setup!$C$16),OR(MONTH(G300)&gt;=Setup!$C$15,MONTH(G300)&lt;=Setup!$C$16)),IF(Setup!$C$15&lt;=Setup!$C$16,AND(MONTH(WORKDAY(G300,-(Setup!$C$13+Setup!$G$25),Setup!$C$39:$C$50))&gt;=Setup!$C$15,MONTH(WORKDAY(G300,-(Setup!$C$13+Setup!$G$25),Setup!$C$39:$C$50))&lt;=Setup!$C$16),OR(MONTH(WORKDAY(G300,-(Setup!$C$13+Setup!$G$25),Setup!$C$39:$C$50))&gt;=Setup!$C$15,MONTH(WORKDAY(G300,-(Setup!$C$13+Setup!$G$25),Setup!$C$39:$C$50))&lt;=Setup!$C$16))),WORKDAY(G300,-(Setup!$C$13+Setup!$G$25+Setup!$C$14),Setup!$C$39:$C$50),WORKDAY(G300,-(Setup!$C$13+Setup!$G$25),Setup!$C$39:$C$50))+(295*100+6)/10000000)))</f>
        <v/>
      </c>
      <c r="X300" t="str">
        <f>IF(H300="","",IF(H300&lt;Setup!$C$5-Setup!$C$6,"",IF(IF(ISNUMBER(Roster!$D300),Setup!$C$26&lt;=Roster!$D300,FALSE),"",IF(OR(IF(Setup!$C$15&lt;=Setup!$C$16,AND(MONTH(H300)&gt;=Setup!$C$15,MONTH(H300)&lt;=Setup!$C$16),OR(MONTH(H300)&gt;=Setup!$C$15,MONTH(H300)&lt;=Setup!$C$16)),IF(Setup!$C$15&lt;=Setup!$C$16,AND(MONTH(WORKDAY(H300,-(Setup!$C$13+Setup!$G$26),Setup!$C$39:$C$50))&gt;=Setup!$C$15,MONTH(WORKDAY(H300,-(Setup!$C$13+Setup!$G$26),Setup!$C$39:$C$50))&lt;=Setup!$C$16),OR(MONTH(WORKDAY(H300,-(Setup!$C$13+Setup!$G$26),Setup!$C$39:$C$50))&gt;=Setup!$C$15,MONTH(WORKDAY(H300,-(Setup!$C$13+Setup!$G$26),Setup!$C$39:$C$50))&lt;=Setup!$C$16))),WORKDAY(H300,-(Setup!$C$13+Setup!$G$26+Setup!$C$14),Setup!$C$39:$C$50),WORKDAY(H300,-(Setup!$C$13+Setup!$G$26),Setup!$C$39:$C$50))+(295*100+7)/10000000)))</f>
        <v/>
      </c>
      <c r="Y300" t="str">
        <f>IF(I300="","",IF(I300&lt;Setup!$C$5-Setup!$C$6,"",IF(IF(ISNUMBER(Roster!$D300),Setup!$C$27&lt;=Roster!$D300,FALSE),"",IF(OR(IF(Setup!$C$15&lt;=Setup!$C$16,AND(MONTH(I300)&gt;=Setup!$C$15,MONTH(I300)&lt;=Setup!$C$16),OR(MONTH(I300)&gt;=Setup!$C$15,MONTH(I300)&lt;=Setup!$C$16)),IF(Setup!$C$15&lt;=Setup!$C$16,AND(MONTH(WORKDAY(I300,-(Setup!$C$13+Setup!$G$27),Setup!$C$39:$C$50))&gt;=Setup!$C$15,MONTH(WORKDAY(I300,-(Setup!$C$13+Setup!$G$27),Setup!$C$39:$C$50))&lt;=Setup!$C$16),OR(MONTH(WORKDAY(I300,-(Setup!$C$13+Setup!$G$27),Setup!$C$39:$C$50))&gt;=Setup!$C$15,MONTH(WORKDAY(I300,-(Setup!$C$13+Setup!$G$27),Setup!$C$39:$C$50))&lt;=Setup!$C$16))),WORKDAY(I300,-(Setup!$C$13+Setup!$G$27+Setup!$C$14),Setup!$C$39:$C$50),WORKDAY(I300,-(Setup!$C$13+Setup!$G$27),Setup!$C$39:$C$50))+(295*100+8)/10000000)))</f>
        <v/>
      </c>
      <c r="Z300" t="str">
        <f>IF(J300="","",IF(J300&lt;Setup!$C$5-Setup!$C$6,"",IF(IF(ISNUMBER(Roster!$D300),Setup!$C$28&lt;=Roster!$D300,FALSE),"",IF(OR(IF(Setup!$C$15&lt;=Setup!$C$16,AND(MONTH(J300)&gt;=Setup!$C$15,MONTH(J300)&lt;=Setup!$C$16),OR(MONTH(J300)&gt;=Setup!$C$15,MONTH(J300)&lt;=Setup!$C$16)),IF(Setup!$C$15&lt;=Setup!$C$16,AND(MONTH(WORKDAY(J300,-(Setup!$C$13+Setup!$G$28),Setup!$C$39:$C$50))&gt;=Setup!$C$15,MONTH(WORKDAY(J300,-(Setup!$C$13+Setup!$G$28),Setup!$C$39:$C$50))&lt;=Setup!$C$16),OR(MONTH(WORKDAY(J300,-(Setup!$C$13+Setup!$G$28),Setup!$C$39:$C$50))&gt;=Setup!$C$15,MONTH(WORKDAY(J300,-(Setup!$C$13+Setup!$G$28),Setup!$C$39:$C$50))&lt;=Setup!$C$16))),WORKDAY(J300,-(Setup!$C$13+Setup!$G$28+Setup!$C$14),Setup!$C$39:$C$50),WORKDAY(J300,-(Setup!$C$13+Setup!$G$28),Setup!$C$39:$C$50))+(295*100+9)/10000000)))</f>
        <v/>
      </c>
      <c r="AA300" t="str">
        <f>IF(K300="","",IF(K300&lt;Setup!$C$5-Setup!$C$6,"",IF(IF(ISNUMBER(Roster!$D300),Setup!$C$29&lt;=Roster!$D300,FALSE),"",IF(OR(IF(Setup!$C$15&lt;=Setup!$C$16,AND(MONTH(K300)&gt;=Setup!$C$15,MONTH(K300)&lt;=Setup!$C$16),OR(MONTH(K300)&gt;=Setup!$C$15,MONTH(K300)&lt;=Setup!$C$16)),IF(Setup!$C$15&lt;=Setup!$C$16,AND(MONTH(WORKDAY(K300,-(Setup!$C$13+Setup!$G$29),Setup!$C$39:$C$50))&gt;=Setup!$C$15,MONTH(WORKDAY(K300,-(Setup!$C$13+Setup!$G$29),Setup!$C$39:$C$50))&lt;=Setup!$C$16),OR(MONTH(WORKDAY(K300,-(Setup!$C$13+Setup!$G$29),Setup!$C$39:$C$50))&gt;=Setup!$C$15,MONTH(WORKDAY(K300,-(Setup!$C$13+Setup!$G$29),Setup!$C$39:$C$50))&lt;=Setup!$C$16))),WORKDAY(K300,-(Setup!$C$13+Setup!$G$29+Setup!$C$14),Setup!$C$39:$C$50),WORKDAY(K300,-(Setup!$C$13+Setup!$G$29),Setup!$C$39:$C$50))+(295*100+10)/10000000)))</f>
        <v/>
      </c>
      <c r="AB300" t="str">
        <f>IF(L300="","",IF(L300&lt;Setup!$C$5-Setup!$C$6,"",IF(IF(ISNUMBER(Roster!$D300),Setup!$C$30&lt;=Roster!$D300,FALSE),"",IF(OR(IF(Setup!$C$15&lt;=Setup!$C$16,AND(MONTH(L300)&gt;=Setup!$C$15,MONTH(L300)&lt;=Setup!$C$16),OR(MONTH(L300)&gt;=Setup!$C$15,MONTH(L300)&lt;=Setup!$C$16)),IF(Setup!$C$15&lt;=Setup!$C$16,AND(MONTH(WORKDAY(L300,-(Setup!$C$13+Setup!$G$30),Setup!$C$39:$C$50))&gt;=Setup!$C$15,MONTH(WORKDAY(L300,-(Setup!$C$13+Setup!$G$30),Setup!$C$39:$C$50))&lt;=Setup!$C$16),OR(MONTH(WORKDAY(L300,-(Setup!$C$13+Setup!$G$30),Setup!$C$39:$C$50))&gt;=Setup!$C$15,MONTH(WORKDAY(L300,-(Setup!$C$13+Setup!$G$30),Setup!$C$39:$C$50))&lt;=Setup!$C$16))),WORKDAY(L300,-(Setup!$C$13+Setup!$G$30+Setup!$C$14),Setup!$C$39:$C$50),WORKDAY(L300,-(Setup!$C$13+Setup!$G$30),Setup!$C$39:$C$50))+(295*100+11)/10000000)))</f>
        <v/>
      </c>
      <c r="AC300" t="str">
        <f>IF(M300="","",IF(M300&lt;Setup!$C$5-Setup!$C$6,"",IF(IF(ISNUMBER(Roster!$D300),Setup!$C$31&lt;=Roster!$D300,FALSE),"",IF(OR(IF(Setup!$C$15&lt;=Setup!$C$16,AND(MONTH(M300)&gt;=Setup!$C$15,MONTH(M300)&lt;=Setup!$C$16),OR(MONTH(M300)&gt;=Setup!$C$15,MONTH(M300)&lt;=Setup!$C$16)),IF(Setup!$C$15&lt;=Setup!$C$16,AND(MONTH(WORKDAY(M300,-(Setup!$C$13+Setup!$G$31),Setup!$C$39:$C$50))&gt;=Setup!$C$15,MONTH(WORKDAY(M300,-(Setup!$C$13+Setup!$G$31),Setup!$C$39:$C$50))&lt;=Setup!$C$16),OR(MONTH(WORKDAY(M300,-(Setup!$C$13+Setup!$G$31),Setup!$C$39:$C$50))&gt;=Setup!$C$15,MONTH(WORKDAY(M300,-(Setup!$C$13+Setup!$G$31),Setup!$C$39:$C$50))&lt;=Setup!$C$16))),WORKDAY(M300,-(Setup!$C$13+Setup!$G$31+Setup!$C$14),Setup!$C$39:$C$50),WORKDAY(M300,-(Setup!$C$13+Setup!$G$31),Setup!$C$39:$C$50))+(295*100+12)/10000000)))</f>
        <v/>
      </c>
      <c r="AD300" t="str">
        <f>IF(N300="","",IF(N300&lt;Setup!$C$5-Setup!$C$6,"",IF(IF(ISNUMBER(Roster!$D300),Setup!$C$32&lt;=Roster!$D300,FALSE),"",IF(OR(IF(Setup!$C$15&lt;=Setup!$C$16,AND(MONTH(N300)&gt;=Setup!$C$15,MONTH(N300)&lt;=Setup!$C$16),OR(MONTH(N300)&gt;=Setup!$C$15,MONTH(N300)&lt;=Setup!$C$16)),IF(Setup!$C$15&lt;=Setup!$C$16,AND(MONTH(WORKDAY(N300,-(Setup!$C$13+Setup!$G$32),Setup!$C$39:$C$50))&gt;=Setup!$C$15,MONTH(WORKDAY(N300,-(Setup!$C$13+Setup!$G$32),Setup!$C$39:$C$50))&lt;=Setup!$C$16),OR(MONTH(WORKDAY(N300,-(Setup!$C$13+Setup!$G$32),Setup!$C$39:$C$50))&gt;=Setup!$C$15,MONTH(WORKDAY(N300,-(Setup!$C$13+Setup!$G$32),Setup!$C$39:$C$50))&lt;=Setup!$C$16))),WORKDAY(N300,-(Setup!$C$13+Setup!$G$32+Setup!$C$14),Setup!$C$39:$C$50),WORKDAY(N300,-(Setup!$C$13+Setup!$G$32),Setup!$C$39:$C$50))+(295*100+13)/10000000)))</f>
        <v/>
      </c>
      <c r="AE300" t="str">
        <f>IF(O300="","",IF(O300&lt;Setup!$C$5-Setup!$C$6,"",IF(IF(ISNUMBER(Roster!$D300),Setup!$C$33&lt;=Roster!$D300,FALSE),"",IF(OR(IF(Setup!$C$15&lt;=Setup!$C$16,AND(MONTH(O300)&gt;=Setup!$C$15,MONTH(O300)&lt;=Setup!$C$16),OR(MONTH(O300)&gt;=Setup!$C$15,MONTH(O300)&lt;=Setup!$C$16)),IF(Setup!$C$15&lt;=Setup!$C$16,AND(MONTH(WORKDAY(O300,-(Setup!$C$13+Setup!$G$33),Setup!$C$39:$C$50))&gt;=Setup!$C$15,MONTH(WORKDAY(O300,-(Setup!$C$13+Setup!$G$33),Setup!$C$39:$C$50))&lt;=Setup!$C$16),OR(MONTH(WORKDAY(O300,-(Setup!$C$13+Setup!$G$33),Setup!$C$39:$C$50))&gt;=Setup!$C$15,MONTH(WORKDAY(O300,-(Setup!$C$13+Setup!$G$33),Setup!$C$39:$C$50))&lt;=Setup!$C$16))),WORKDAY(O300,-(Setup!$C$13+Setup!$G$33+Setup!$C$14),Setup!$C$39:$C$50),WORKDAY(O300,-(Setup!$C$13+Setup!$G$33),Setup!$C$39:$C$50))+(295*100+14)/10000000)))</f>
        <v/>
      </c>
      <c r="AF300" t="str">
        <f>IF(P300="","",IF(P300&lt;Setup!$C$5-Setup!$C$6,"",IF(IF(ISNUMBER(Roster!$D300),Setup!$C$34&lt;=Roster!$D300,FALSE),"",IF(OR(IF(Setup!$C$15&lt;=Setup!$C$16,AND(MONTH(P300)&gt;=Setup!$C$15,MONTH(P300)&lt;=Setup!$C$16),OR(MONTH(P300)&gt;=Setup!$C$15,MONTH(P300)&lt;=Setup!$C$16)),IF(Setup!$C$15&lt;=Setup!$C$16,AND(MONTH(WORKDAY(P300,-(Setup!$C$13+Setup!$G$34),Setup!$C$39:$C$50))&gt;=Setup!$C$15,MONTH(WORKDAY(P300,-(Setup!$C$13+Setup!$G$34),Setup!$C$39:$C$50))&lt;=Setup!$C$16),OR(MONTH(WORKDAY(P300,-(Setup!$C$13+Setup!$G$34),Setup!$C$39:$C$50))&gt;=Setup!$C$15,MONTH(WORKDAY(P300,-(Setup!$C$13+Setup!$G$34),Setup!$C$39:$C$50))&lt;=Setup!$C$16))),WORKDAY(P300,-(Setup!$C$13+Setup!$G$34+Setup!$C$14),Setup!$C$39:$C$50),WORKDAY(P300,-(Setup!$C$13+Setup!$G$34),Setup!$C$39:$C$50))+(295*100+15)/10000000)))</f>
        <v/>
      </c>
      <c r="AH300" t="str">
        <f t="shared" si="33"/>
        <v/>
      </c>
      <c r="AI300" t="str">
        <f t="shared" si="34"/>
        <v/>
      </c>
      <c r="AK300" t="str">
        <f ca="1">IF(295&gt;$AK$2,"",SMALL($R$6:$AF$505,295))</f>
        <v/>
      </c>
      <c r="AL300" t="str">
        <f t="shared" ca="1" si="35"/>
        <v/>
      </c>
      <c r="AM300" t="str">
        <f t="shared" ca="1" si="36"/>
        <v/>
      </c>
      <c r="AN300" t="str">
        <f t="shared" ca="1" si="37"/>
        <v/>
      </c>
      <c r="AP300" t="str">
        <f>IF(ISNUMBER(Roster!$B300),MAX(1,YEAR(Setup!$C$5)-YEAR(Roster!$B300)+IF(EDATE(Roster!$B300,12*(YEAR(Setup!$C$5)-YEAR(Roster!$B300)))&lt;Setup!$C$5,1,0)),"")</f>
        <v/>
      </c>
      <c r="AQ300" s="32" t="str">
        <f>IF(AP300="","",EDATE(Roster!$B300,12*AP300))</f>
        <v/>
      </c>
      <c r="AR300" t="str">
        <f>IF(AQ300="","",IF(AQ300&lt;DATE(YEAR(Setup!$C$5)+1,MONTH(Setup!$C$5),DAY(Setup!$C$5)),AQ300+295/1000,""))</f>
        <v/>
      </c>
      <c r="AS300" t="str">
        <f t="shared" si="38"/>
        <v/>
      </c>
      <c r="AT300" t="str">
        <f>IF(AS300="","",IF(ISNUMBER(Roster!$D300),Roster!$D300&gt;=AP300,FALSE))</f>
        <v/>
      </c>
      <c r="AU300" t="str">
        <f t="shared" si="39"/>
        <v/>
      </c>
      <c r="AV300" t="str">
        <f ca="1">IF(295&gt;$AV$2,"",SMALL($AR$6:$AR$505,295))</f>
        <v/>
      </c>
      <c r="AW300" t="str">
        <f t="shared" ca="1" si="40"/>
        <v/>
      </c>
    </row>
    <row r="301" spans="2:49" x14ac:dyDescent="0.2">
      <c r="B301" s="32" t="str">
        <f>IF(AND(ISNUMBER(Roster!$B301),Setup!$B$20="Yes",ISNUMBER(Setup!$C$20)),EDATE(Roster!$B301,12*Setup!$C$20),"")</f>
        <v/>
      </c>
      <c r="C301" s="32" t="str">
        <f>IF(AND(ISNUMBER(Roster!$B301),Setup!$B$21="Yes",ISNUMBER(Setup!$C$21)),EDATE(Roster!$B301,12*Setup!$C$21),"")</f>
        <v/>
      </c>
      <c r="D301" s="32" t="str">
        <f>IF(AND(ISNUMBER(Roster!$B301),Setup!$B$22="Yes",ISNUMBER(Setup!$C$22)),EDATE(Roster!$B301,12*Setup!$C$22),"")</f>
        <v/>
      </c>
      <c r="E301" s="32" t="str">
        <f>IF(AND(ISNUMBER(Roster!$B301),Setup!$B$23="Yes",ISNUMBER(Setup!$C$23)),EDATE(Roster!$B301,12*Setup!$C$23),"")</f>
        <v/>
      </c>
      <c r="F301" s="32" t="str">
        <f>IF(AND(ISNUMBER(Roster!$B301),Setup!$B$24="Yes",ISNUMBER(Setup!$C$24)),EDATE(Roster!$B301,12*Setup!$C$24),"")</f>
        <v/>
      </c>
      <c r="G301" s="32" t="str">
        <f>IF(AND(ISNUMBER(Roster!$B301),Setup!$B$25="Yes",ISNUMBER(Setup!$C$25)),EDATE(Roster!$B301,12*Setup!$C$25),"")</f>
        <v/>
      </c>
      <c r="H301" s="32" t="str">
        <f>IF(AND(ISNUMBER(Roster!$B301),Setup!$B$26="Yes",ISNUMBER(Setup!$C$26)),EDATE(Roster!$B301,12*Setup!$C$26),"")</f>
        <v/>
      </c>
      <c r="I301" s="32" t="str">
        <f>IF(AND(ISNUMBER(Roster!$B301),Setup!$B$27="Yes",ISNUMBER(Setup!$C$27)),EDATE(Roster!$B301,12*Setup!$C$27),"")</f>
        <v/>
      </c>
      <c r="J301" s="32" t="str">
        <f>IF(AND(ISNUMBER(Roster!$B301),Setup!$B$28="Yes",ISNUMBER(Setup!$C$28)),EDATE(Roster!$B301,12*Setup!$C$28),"")</f>
        <v/>
      </c>
      <c r="K301" s="32" t="str">
        <f>IF(AND(ISNUMBER(Roster!$B301),Setup!$B$29="Yes",ISNUMBER(Setup!$C$29)),EDATE(Roster!$B301,12*Setup!$C$29),"")</f>
        <v/>
      </c>
      <c r="L301" s="32" t="str">
        <f>IF(AND(ISNUMBER(Roster!$B301),Setup!$B$30="Yes",ISNUMBER(Setup!$C$30)),EDATE(Roster!$B301,12*Setup!$C$30),"")</f>
        <v/>
      </c>
      <c r="M301" s="32" t="str">
        <f>IF(AND(ISNUMBER(Roster!$B301),Setup!$B$31="Yes",ISNUMBER(Setup!$C$31)),EDATE(Roster!$B301,12*Setup!$C$31),"")</f>
        <v/>
      </c>
      <c r="N301" s="32" t="str">
        <f>IF(AND(ISNUMBER(Roster!$B301),Setup!$B$32="Yes",ISNUMBER(Setup!$C$32)),EDATE(Roster!$B301,12*Setup!$C$32),"")</f>
        <v/>
      </c>
      <c r="O301" s="32" t="str">
        <f>IF(AND(ISNUMBER(Roster!$B301),Setup!$B$33="Yes",ISNUMBER(Setup!$C$33)),EDATE(Roster!$B301,12*Setup!$C$33),"")</f>
        <v/>
      </c>
      <c r="P301" s="32" t="str">
        <f>IF(AND(ISNUMBER(Roster!$B301),Setup!$B$34="Yes",ISNUMBER(Setup!$C$34)),EDATE(Roster!$B301,12*Setup!$C$34),"")</f>
        <v/>
      </c>
      <c r="R301" t="str">
        <f>IF(B301="","",IF(B301&lt;Setup!$C$5-Setup!$C$6,"",IF(IF(ISNUMBER(Roster!$D301),Setup!$C$20&lt;=Roster!$D301,FALSE),"",IF(OR(IF(Setup!$C$15&lt;=Setup!$C$16,AND(MONTH(B301)&gt;=Setup!$C$15,MONTH(B301)&lt;=Setup!$C$16),OR(MONTH(B301)&gt;=Setup!$C$15,MONTH(B301)&lt;=Setup!$C$16)),IF(Setup!$C$15&lt;=Setup!$C$16,AND(MONTH(WORKDAY(B301,-(Setup!$C$13+Setup!$G$20),Setup!$C$39:$C$50))&gt;=Setup!$C$15,MONTH(WORKDAY(B301,-(Setup!$C$13+Setup!$G$20),Setup!$C$39:$C$50))&lt;=Setup!$C$16),OR(MONTH(WORKDAY(B301,-(Setup!$C$13+Setup!$G$20),Setup!$C$39:$C$50))&gt;=Setup!$C$15,MONTH(WORKDAY(B301,-(Setup!$C$13+Setup!$G$20),Setup!$C$39:$C$50))&lt;=Setup!$C$16))),WORKDAY(B301,-(Setup!$C$13+Setup!$G$20+Setup!$C$14),Setup!$C$39:$C$50),WORKDAY(B301,-(Setup!$C$13+Setup!$G$20),Setup!$C$39:$C$50))+(296*100+1)/10000000)))</f>
        <v/>
      </c>
      <c r="S301" t="str">
        <f>IF(C301="","",IF(C301&lt;Setup!$C$5-Setup!$C$6,"",IF(IF(ISNUMBER(Roster!$D301),Setup!$C$21&lt;=Roster!$D301,FALSE),"",IF(OR(IF(Setup!$C$15&lt;=Setup!$C$16,AND(MONTH(C301)&gt;=Setup!$C$15,MONTH(C301)&lt;=Setup!$C$16),OR(MONTH(C301)&gt;=Setup!$C$15,MONTH(C301)&lt;=Setup!$C$16)),IF(Setup!$C$15&lt;=Setup!$C$16,AND(MONTH(WORKDAY(C301,-(Setup!$C$13+Setup!$G$21),Setup!$C$39:$C$50))&gt;=Setup!$C$15,MONTH(WORKDAY(C301,-(Setup!$C$13+Setup!$G$21),Setup!$C$39:$C$50))&lt;=Setup!$C$16),OR(MONTH(WORKDAY(C301,-(Setup!$C$13+Setup!$G$21),Setup!$C$39:$C$50))&gt;=Setup!$C$15,MONTH(WORKDAY(C301,-(Setup!$C$13+Setup!$G$21),Setup!$C$39:$C$50))&lt;=Setup!$C$16))),WORKDAY(C301,-(Setup!$C$13+Setup!$G$21+Setup!$C$14),Setup!$C$39:$C$50),WORKDAY(C301,-(Setup!$C$13+Setup!$G$21),Setup!$C$39:$C$50))+(296*100+2)/10000000)))</f>
        <v/>
      </c>
      <c r="T301" t="str">
        <f>IF(D301="","",IF(D301&lt;Setup!$C$5-Setup!$C$6,"",IF(IF(ISNUMBER(Roster!$D301),Setup!$C$22&lt;=Roster!$D301,FALSE),"",IF(OR(IF(Setup!$C$15&lt;=Setup!$C$16,AND(MONTH(D301)&gt;=Setup!$C$15,MONTH(D301)&lt;=Setup!$C$16),OR(MONTH(D301)&gt;=Setup!$C$15,MONTH(D301)&lt;=Setup!$C$16)),IF(Setup!$C$15&lt;=Setup!$C$16,AND(MONTH(WORKDAY(D301,-(Setup!$C$13+Setup!$G$22),Setup!$C$39:$C$50))&gt;=Setup!$C$15,MONTH(WORKDAY(D301,-(Setup!$C$13+Setup!$G$22),Setup!$C$39:$C$50))&lt;=Setup!$C$16),OR(MONTH(WORKDAY(D301,-(Setup!$C$13+Setup!$G$22),Setup!$C$39:$C$50))&gt;=Setup!$C$15,MONTH(WORKDAY(D301,-(Setup!$C$13+Setup!$G$22),Setup!$C$39:$C$50))&lt;=Setup!$C$16))),WORKDAY(D301,-(Setup!$C$13+Setup!$G$22+Setup!$C$14),Setup!$C$39:$C$50),WORKDAY(D301,-(Setup!$C$13+Setup!$G$22),Setup!$C$39:$C$50))+(296*100+3)/10000000)))</f>
        <v/>
      </c>
      <c r="U301" t="str">
        <f>IF(E301="","",IF(E301&lt;Setup!$C$5-Setup!$C$6,"",IF(IF(ISNUMBER(Roster!$D301),Setup!$C$23&lt;=Roster!$D301,FALSE),"",IF(OR(IF(Setup!$C$15&lt;=Setup!$C$16,AND(MONTH(E301)&gt;=Setup!$C$15,MONTH(E301)&lt;=Setup!$C$16),OR(MONTH(E301)&gt;=Setup!$C$15,MONTH(E301)&lt;=Setup!$C$16)),IF(Setup!$C$15&lt;=Setup!$C$16,AND(MONTH(WORKDAY(E301,-(Setup!$C$13+Setup!$G$23),Setup!$C$39:$C$50))&gt;=Setup!$C$15,MONTH(WORKDAY(E301,-(Setup!$C$13+Setup!$G$23),Setup!$C$39:$C$50))&lt;=Setup!$C$16),OR(MONTH(WORKDAY(E301,-(Setup!$C$13+Setup!$G$23),Setup!$C$39:$C$50))&gt;=Setup!$C$15,MONTH(WORKDAY(E301,-(Setup!$C$13+Setup!$G$23),Setup!$C$39:$C$50))&lt;=Setup!$C$16))),WORKDAY(E301,-(Setup!$C$13+Setup!$G$23+Setup!$C$14),Setup!$C$39:$C$50),WORKDAY(E301,-(Setup!$C$13+Setup!$G$23),Setup!$C$39:$C$50))+(296*100+4)/10000000)))</f>
        <v/>
      </c>
      <c r="V301" t="str">
        <f>IF(F301="","",IF(F301&lt;Setup!$C$5-Setup!$C$6,"",IF(IF(ISNUMBER(Roster!$D301),Setup!$C$24&lt;=Roster!$D301,FALSE),"",IF(OR(IF(Setup!$C$15&lt;=Setup!$C$16,AND(MONTH(F301)&gt;=Setup!$C$15,MONTH(F301)&lt;=Setup!$C$16),OR(MONTH(F301)&gt;=Setup!$C$15,MONTH(F301)&lt;=Setup!$C$16)),IF(Setup!$C$15&lt;=Setup!$C$16,AND(MONTH(WORKDAY(F301,-(Setup!$C$13+Setup!$G$24),Setup!$C$39:$C$50))&gt;=Setup!$C$15,MONTH(WORKDAY(F301,-(Setup!$C$13+Setup!$G$24),Setup!$C$39:$C$50))&lt;=Setup!$C$16),OR(MONTH(WORKDAY(F301,-(Setup!$C$13+Setup!$G$24),Setup!$C$39:$C$50))&gt;=Setup!$C$15,MONTH(WORKDAY(F301,-(Setup!$C$13+Setup!$G$24),Setup!$C$39:$C$50))&lt;=Setup!$C$16))),WORKDAY(F301,-(Setup!$C$13+Setup!$G$24+Setup!$C$14),Setup!$C$39:$C$50),WORKDAY(F301,-(Setup!$C$13+Setup!$G$24),Setup!$C$39:$C$50))+(296*100+5)/10000000)))</f>
        <v/>
      </c>
      <c r="W301" t="str">
        <f>IF(G301="","",IF(G301&lt;Setup!$C$5-Setup!$C$6,"",IF(IF(ISNUMBER(Roster!$D301),Setup!$C$25&lt;=Roster!$D301,FALSE),"",IF(OR(IF(Setup!$C$15&lt;=Setup!$C$16,AND(MONTH(G301)&gt;=Setup!$C$15,MONTH(G301)&lt;=Setup!$C$16),OR(MONTH(G301)&gt;=Setup!$C$15,MONTH(G301)&lt;=Setup!$C$16)),IF(Setup!$C$15&lt;=Setup!$C$16,AND(MONTH(WORKDAY(G301,-(Setup!$C$13+Setup!$G$25),Setup!$C$39:$C$50))&gt;=Setup!$C$15,MONTH(WORKDAY(G301,-(Setup!$C$13+Setup!$G$25),Setup!$C$39:$C$50))&lt;=Setup!$C$16),OR(MONTH(WORKDAY(G301,-(Setup!$C$13+Setup!$G$25),Setup!$C$39:$C$50))&gt;=Setup!$C$15,MONTH(WORKDAY(G301,-(Setup!$C$13+Setup!$G$25),Setup!$C$39:$C$50))&lt;=Setup!$C$16))),WORKDAY(G301,-(Setup!$C$13+Setup!$G$25+Setup!$C$14),Setup!$C$39:$C$50),WORKDAY(G301,-(Setup!$C$13+Setup!$G$25),Setup!$C$39:$C$50))+(296*100+6)/10000000)))</f>
        <v/>
      </c>
      <c r="X301" t="str">
        <f>IF(H301="","",IF(H301&lt;Setup!$C$5-Setup!$C$6,"",IF(IF(ISNUMBER(Roster!$D301),Setup!$C$26&lt;=Roster!$D301,FALSE),"",IF(OR(IF(Setup!$C$15&lt;=Setup!$C$16,AND(MONTH(H301)&gt;=Setup!$C$15,MONTH(H301)&lt;=Setup!$C$16),OR(MONTH(H301)&gt;=Setup!$C$15,MONTH(H301)&lt;=Setup!$C$16)),IF(Setup!$C$15&lt;=Setup!$C$16,AND(MONTH(WORKDAY(H301,-(Setup!$C$13+Setup!$G$26),Setup!$C$39:$C$50))&gt;=Setup!$C$15,MONTH(WORKDAY(H301,-(Setup!$C$13+Setup!$G$26),Setup!$C$39:$C$50))&lt;=Setup!$C$16),OR(MONTH(WORKDAY(H301,-(Setup!$C$13+Setup!$G$26),Setup!$C$39:$C$50))&gt;=Setup!$C$15,MONTH(WORKDAY(H301,-(Setup!$C$13+Setup!$G$26),Setup!$C$39:$C$50))&lt;=Setup!$C$16))),WORKDAY(H301,-(Setup!$C$13+Setup!$G$26+Setup!$C$14),Setup!$C$39:$C$50),WORKDAY(H301,-(Setup!$C$13+Setup!$G$26),Setup!$C$39:$C$50))+(296*100+7)/10000000)))</f>
        <v/>
      </c>
      <c r="Y301" t="str">
        <f>IF(I301="","",IF(I301&lt;Setup!$C$5-Setup!$C$6,"",IF(IF(ISNUMBER(Roster!$D301),Setup!$C$27&lt;=Roster!$D301,FALSE),"",IF(OR(IF(Setup!$C$15&lt;=Setup!$C$16,AND(MONTH(I301)&gt;=Setup!$C$15,MONTH(I301)&lt;=Setup!$C$16),OR(MONTH(I301)&gt;=Setup!$C$15,MONTH(I301)&lt;=Setup!$C$16)),IF(Setup!$C$15&lt;=Setup!$C$16,AND(MONTH(WORKDAY(I301,-(Setup!$C$13+Setup!$G$27),Setup!$C$39:$C$50))&gt;=Setup!$C$15,MONTH(WORKDAY(I301,-(Setup!$C$13+Setup!$G$27),Setup!$C$39:$C$50))&lt;=Setup!$C$16),OR(MONTH(WORKDAY(I301,-(Setup!$C$13+Setup!$G$27),Setup!$C$39:$C$50))&gt;=Setup!$C$15,MONTH(WORKDAY(I301,-(Setup!$C$13+Setup!$G$27),Setup!$C$39:$C$50))&lt;=Setup!$C$16))),WORKDAY(I301,-(Setup!$C$13+Setup!$G$27+Setup!$C$14),Setup!$C$39:$C$50),WORKDAY(I301,-(Setup!$C$13+Setup!$G$27),Setup!$C$39:$C$50))+(296*100+8)/10000000)))</f>
        <v/>
      </c>
      <c r="Z301" t="str">
        <f>IF(J301="","",IF(J301&lt;Setup!$C$5-Setup!$C$6,"",IF(IF(ISNUMBER(Roster!$D301),Setup!$C$28&lt;=Roster!$D301,FALSE),"",IF(OR(IF(Setup!$C$15&lt;=Setup!$C$16,AND(MONTH(J301)&gt;=Setup!$C$15,MONTH(J301)&lt;=Setup!$C$16),OR(MONTH(J301)&gt;=Setup!$C$15,MONTH(J301)&lt;=Setup!$C$16)),IF(Setup!$C$15&lt;=Setup!$C$16,AND(MONTH(WORKDAY(J301,-(Setup!$C$13+Setup!$G$28),Setup!$C$39:$C$50))&gt;=Setup!$C$15,MONTH(WORKDAY(J301,-(Setup!$C$13+Setup!$G$28),Setup!$C$39:$C$50))&lt;=Setup!$C$16),OR(MONTH(WORKDAY(J301,-(Setup!$C$13+Setup!$G$28),Setup!$C$39:$C$50))&gt;=Setup!$C$15,MONTH(WORKDAY(J301,-(Setup!$C$13+Setup!$G$28),Setup!$C$39:$C$50))&lt;=Setup!$C$16))),WORKDAY(J301,-(Setup!$C$13+Setup!$G$28+Setup!$C$14),Setup!$C$39:$C$50),WORKDAY(J301,-(Setup!$C$13+Setup!$G$28),Setup!$C$39:$C$50))+(296*100+9)/10000000)))</f>
        <v/>
      </c>
      <c r="AA301" t="str">
        <f>IF(K301="","",IF(K301&lt;Setup!$C$5-Setup!$C$6,"",IF(IF(ISNUMBER(Roster!$D301),Setup!$C$29&lt;=Roster!$D301,FALSE),"",IF(OR(IF(Setup!$C$15&lt;=Setup!$C$16,AND(MONTH(K301)&gt;=Setup!$C$15,MONTH(K301)&lt;=Setup!$C$16),OR(MONTH(K301)&gt;=Setup!$C$15,MONTH(K301)&lt;=Setup!$C$16)),IF(Setup!$C$15&lt;=Setup!$C$16,AND(MONTH(WORKDAY(K301,-(Setup!$C$13+Setup!$G$29),Setup!$C$39:$C$50))&gt;=Setup!$C$15,MONTH(WORKDAY(K301,-(Setup!$C$13+Setup!$G$29),Setup!$C$39:$C$50))&lt;=Setup!$C$16),OR(MONTH(WORKDAY(K301,-(Setup!$C$13+Setup!$G$29),Setup!$C$39:$C$50))&gt;=Setup!$C$15,MONTH(WORKDAY(K301,-(Setup!$C$13+Setup!$G$29),Setup!$C$39:$C$50))&lt;=Setup!$C$16))),WORKDAY(K301,-(Setup!$C$13+Setup!$G$29+Setup!$C$14),Setup!$C$39:$C$50),WORKDAY(K301,-(Setup!$C$13+Setup!$G$29),Setup!$C$39:$C$50))+(296*100+10)/10000000)))</f>
        <v/>
      </c>
      <c r="AB301" t="str">
        <f>IF(L301="","",IF(L301&lt;Setup!$C$5-Setup!$C$6,"",IF(IF(ISNUMBER(Roster!$D301),Setup!$C$30&lt;=Roster!$D301,FALSE),"",IF(OR(IF(Setup!$C$15&lt;=Setup!$C$16,AND(MONTH(L301)&gt;=Setup!$C$15,MONTH(L301)&lt;=Setup!$C$16),OR(MONTH(L301)&gt;=Setup!$C$15,MONTH(L301)&lt;=Setup!$C$16)),IF(Setup!$C$15&lt;=Setup!$C$16,AND(MONTH(WORKDAY(L301,-(Setup!$C$13+Setup!$G$30),Setup!$C$39:$C$50))&gt;=Setup!$C$15,MONTH(WORKDAY(L301,-(Setup!$C$13+Setup!$G$30),Setup!$C$39:$C$50))&lt;=Setup!$C$16),OR(MONTH(WORKDAY(L301,-(Setup!$C$13+Setup!$G$30),Setup!$C$39:$C$50))&gt;=Setup!$C$15,MONTH(WORKDAY(L301,-(Setup!$C$13+Setup!$G$30),Setup!$C$39:$C$50))&lt;=Setup!$C$16))),WORKDAY(L301,-(Setup!$C$13+Setup!$G$30+Setup!$C$14),Setup!$C$39:$C$50),WORKDAY(L301,-(Setup!$C$13+Setup!$G$30),Setup!$C$39:$C$50))+(296*100+11)/10000000)))</f>
        <v/>
      </c>
      <c r="AC301" t="str">
        <f>IF(M301="","",IF(M301&lt;Setup!$C$5-Setup!$C$6,"",IF(IF(ISNUMBER(Roster!$D301),Setup!$C$31&lt;=Roster!$D301,FALSE),"",IF(OR(IF(Setup!$C$15&lt;=Setup!$C$16,AND(MONTH(M301)&gt;=Setup!$C$15,MONTH(M301)&lt;=Setup!$C$16),OR(MONTH(M301)&gt;=Setup!$C$15,MONTH(M301)&lt;=Setup!$C$16)),IF(Setup!$C$15&lt;=Setup!$C$16,AND(MONTH(WORKDAY(M301,-(Setup!$C$13+Setup!$G$31),Setup!$C$39:$C$50))&gt;=Setup!$C$15,MONTH(WORKDAY(M301,-(Setup!$C$13+Setup!$G$31),Setup!$C$39:$C$50))&lt;=Setup!$C$16),OR(MONTH(WORKDAY(M301,-(Setup!$C$13+Setup!$G$31),Setup!$C$39:$C$50))&gt;=Setup!$C$15,MONTH(WORKDAY(M301,-(Setup!$C$13+Setup!$G$31),Setup!$C$39:$C$50))&lt;=Setup!$C$16))),WORKDAY(M301,-(Setup!$C$13+Setup!$G$31+Setup!$C$14),Setup!$C$39:$C$50),WORKDAY(M301,-(Setup!$C$13+Setup!$G$31),Setup!$C$39:$C$50))+(296*100+12)/10000000)))</f>
        <v/>
      </c>
      <c r="AD301" t="str">
        <f>IF(N301="","",IF(N301&lt;Setup!$C$5-Setup!$C$6,"",IF(IF(ISNUMBER(Roster!$D301),Setup!$C$32&lt;=Roster!$D301,FALSE),"",IF(OR(IF(Setup!$C$15&lt;=Setup!$C$16,AND(MONTH(N301)&gt;=Setup!$C$15,MONTH(N301)&lt;=Setup!$C$16),OR(MONTH(N301)&gt;=Setup!$C$15,MONTH(N301)&lt;=Setup!$C$16)),IF(Setup!$C$15&lt;=Setup!$C$16,AND(MONTH(WORKDAY(N301,-(Setup!$C$13+Setup!$G$32),Setup!$C$39:$C$50))&gt;=Setup!$C$15,MONTH(WORKDAY(N301,-(Setup!$C$13+Setup!$G$32),Setup!$C$39:$C$50))&lt;=Setup!$C$16),OR(MONTH(WORKDAY(N301,-(Setup!$C$13+Setup!$G$32),Setup!$C$39:$C$50))&gt;=Setup!$C$15,MONTH(WORKDAY(N301,-(Setup!$C$13+Setup!$G$32),Setup!$C$39:$C$50))&lt;=Setup!$C$16))),WORKDAY(N301,-(Setup!$C$13+Setup!$G$32+Setup!$C$14),Setup!$C$39:$C$50),WORKDAY(N301,-(Setup!$C$13+Setup!$G$32),Setup!$C$39:$C$50))+(296*100+13)/10000000)))</f>
        <v/>
      </c>
      <c r="AE301" t="str">
        <f>IF(O301="","",IF(O301&lt;Setup!$C$5-Setup!$C$6,"",IF(IF(ISNUMBER(Roster!$D301),Setup!$C$33&lt;=Roster!$D301,FALSE),"",IF(OR(IF(Setup!$C$15&lt;=Setup!$C$16,AND(MONTH(O301)&gt;=Setup!$C$15,MONTH(O301)&lt;=Setup!$C$16),OR(MONTH(O301)&gt;=Setup!$C$15,MONTH(O301)&lt;=Setup!$C$16)),IF(Setup!$C$15&lt;=Setup!$C$16,AND(MONTH(WORKDAY(O301,-(Setup!$C$13+Setup!$G$33),Setup!$C$39:$C$50))&gt;=Setup!$C$15,MONTH(WORKDAY(O301,-(Setup!$C$13+Setup!$G$33),Setup!$C$39:$C$50))&lt;=Setup!$C$16),OR(MONTH(WORKDAY(O301,-(Setup!$C$13+Setup!$G$33),Setup!$C$39:$C$50))&gt;=Setup!$C$15,MONTH(WORKDAY(O301,-(Setup!$C$13+Setup!$G$33),Setup!$C$39:$C$50))&lt;=Setup!$C$16))),WORKDAY(O301,-(Setup!$C$13+Setup!$G$33+Setup!$C$14),Setup!$C$39:$C$50),WORKDAY(O301,-(Setup!$C$13+Setup!$G$33),Setup!$C$39:$C$50))+(296*100+14)/10000000)))</f>
        <v/>
      </c>
      <c r="AF301" t="str">
        <f>IF(P301="","",IF(P301&lt;Setup!$C$5-Setup!$C$6,"",IF(IF(ISNUMBER(Roster!$D301),Setup!$C$34&lt;=Roster!$D301,FALSE),"",IF(OR(IF(Setup!$C$15&lt;=Setup!$C$16,AND(MONTH(P301)&gt;=Setup!$C$15,MONTH(P301)&lt;=Setup!$C$16),OR(MONTH(P301)&gt;=Setup!$C$15,MONTH(P301)&lt;=Setup!$C$16)),IF(Setup!$C$15&lt;=Setup!$C$16,AND(MONTH(WORKDAY(P301,-(Setup!$C$13+Setup!$G$34),Setup!$C$39:$C$50))&gt;=Setup!$C$15,MONTH(WORKDAY(P301,-(Setup!$C$13+Setup!$G$34),Setup!$C$39:$C$50))&lt;=Setup!$C$16),OR(MONTH(WORKDAY(P301,-(Setup!$C$13+Setup!$G$34),Setup!$C$39:$C$50))&gt;=Setup!$C$15,MONTH(WORKDAY(P301,-(Setup!$C$13+Setup!$G$34),Setup!$C$39:$C$50))&lt;=Setup!$C$16))),WORKDAY(P301,-(Setup!$C$13+Setup!$G$34+Setup!$C$14),Setup!$C$39:$C$50),WORKDAY(P301,-(Setup!$C$13+Setup!$G$34),Setup!$C$39:$C$50))+(296*100+15)/10000000)))</f>
        <v/>
      </c>
      <c r="AH301" t="str">
        <f t="shared" si="33"/>
        <v/>
      </c>
      <c r="AI301" t="str">
        <f t="shared" si="34"/>
        <v/>
      </c>
      <c r="AK301" t="str">
        <f ca="1">IF(296&gt;$AK$2,"",SMALL($R$6:$AF$505,296))</f>
        <v/>
      </c>
      <c r="AL301" t="str">
        <f t="shared" ca="1" si="35"/>
        <v/>
      </c>
      <c r="AM301" t="str">
        <f t="shared" ca="1" si="36"/>
        <v/>
      </c>
      <c r="AN301" t="str">
        <f t="shared" ca="1" si="37"/>
        <v/>
      </c>
      <c r="AP301" t="str">
        <f>IF(ISNUMBER(Roster!$B301),MAX(1,YEAR(Setup!$C$5)-YEAR(Roster!$B301)+IF(EDATE(Roster!$B301,12*(YEAR(Setup!$C$5)-YEAR(Roster!$B301)))&lt;Setup!$C$5,1,0)),"")</f>
        <v/>
      </c>
      <c r="AQ301" s="32" t="str">
        <f>IF(AP301="","",EDATE(Roster!$B301,12*AP301))</f>
        <v/>
      </c>
      <c r="AR301" t="str">
        <f>IF(AQ301="","",IF(AQ301&lt;DATE(YEAR(Setup!$C$5)+1,MONTH(Setup!$C$5),DAY(Setup!$C$5)),AQ301+296/1000,""))</f>
        <v/>
      </c>
      <c r="AS301" t="str">
        <f t="shared" si="38"/>
        <v/>
      </c>
      <c r="AT301" t="str">
        <f>IF(AS301="","",IF(ISNUMBER(Roster!$D301),Roster!$D301&gt;=AP301,FALSE))</f>
        <v/>
      </c>
      <c r="AU301" t="str">
        <f t="shared" si="39"/>
        <v/>
      </c>
      <c r="AV301" t="str">
        <f ca="1">IF(296&gt;$AV$2,"",SMALL($AR$6:$AR$505,296))</f>
        <v/>
      </c>
      <c r="AW301" t="str">
        <f t="shared" ca="1" si="40"/>
        <v/>
      </c>
    </row>
    <row r="302" spans="2:49" x14ac:dyDescent="0.2">
      <c r="B302" s="32" t="str">
        <f>IF(AND(ISNUMBER(Roster!$B302),Setup!$B$20="Yes",ISNUMBER(Setup!$C$20)),EDATE(Roster!$B302,12*Setup!$C$20),"")</f>
        <v/>
      </c>
      <c r="C302" s="32" t="str">
        <f>IF(AND(ISNUMBER(Roster!$B302),Setup!$B$21="Yes",ISNUMBER(Setup!$C$21)),EDATE(Roster!$B302,12*Setup!$C$21),"")</f>
        <v/>
      </c>
      <c r="D302" s="32" t="str">
        <f>IF(AND(ISNUMBER(Roster!$B302),Setup!$B$22="Yes",ISNUMBER(Setup!$C$22)),EDATE(Roster!$B302,12*Setup!$C$22),"")</f>
        <v/>
      </c>
      <c r="E302" s="32" t="str">
        <f>IF(AND(ISNUMBER(Roster!$B302),Setup!$B$23="Yes",ISNUMBER(Setup!$C$23)),EDATE(Roster!$B302,12*Setup!$C$23),"")</f>
        <v/>
      </c>
      <c r="F302" s="32" t="str">
        <f>IF(AND(ISNUMBER(Roster!$B302),Setup!$B$24="Yes",ISNUMBER(Setup!$C$24)),EDATE(Roster!$B302,12*Setup!$C$24),"")</f>
        <v/>
      </c>
      <c r="G302" s="32" t="str">
        <f>IF(AND(ISNUMBER(Roster!$B302),Setup!$B$25="Yes",ISNUMBER(Setup!$C$25)),EDATE(Roster!$B302,12*Setup!$C$25),"")</f>
        <v/>
      </c>
      <c r="H302" s="32" t="str">
        <f>IF(AND(ISNUMBER(Roster!$B302),Setup!$B$26="Yes",ISNUMBER(Setup!$C$26)),EDATE(Roster!$B302,12*Setup!$C$26),"")</f>
        <v/>
      </c>
      <c r="I302" s="32" t="str">
        <f>IF(AND(ISNUMBER(Roster!$B302),Setup!$B$27="Yes",ISNUMBER(Setup!$C$27)),EDATE(Roster!$B302,12*Setup!$C$27),"")</f>
        <v/>
      </c>
      <c r="J302" s="32" t="str">
        <f>IF(AND(ISNUMBER(Roster!$B302),Setup!$B$28="Yes",ISNUMBER(Setup!$C$28)),EDATE(Roster!$B302,12*Setup!$C$28),"")</f>
        <v/>
      </c>
      <c r="K302" s="32" t="str">
        <f>IF(AND(ISNUMBER(Roster!$B302),Setup!$B$29="Yes",ISNUMBER(Setup!$C$29)),EDATE(Roster!$B302,12*Setup!$C$29),"")</f>
        <v/>
      </c>
      <c r="L302" s="32" t="str">
        <f>IF(AND(ISNUMBER(Roster!$B302),Setup!$B$30="Yes",ISNUMBER(Setup!$C$30)),EDATE(Roster!$B302,12*Setup!$C$30),"")</f>
        <v/>
      </c>
      <c r="M302" s="32" t="str">
        <f>IF(AND(ISNUMBER(Roster!$B302),Setup!$B$31="Yes",ISNUMBER(Setup!$C$31)),EDATE(Roster!$B302,12*Setup!$C$31),"")</f>
        <v/>
      </c>
      <c r="N302" s="32" t="str">
        <f>IF(AND(ISNUMBER(Roster!$B302),Setup!$B$32="Yes",ISNUMBER(Setup!$C$32)),EDATE(Roster!$B302,12*Setup!$C$32),"")</f>
        <v/>
      </c>
      <c r="O302" s="32" t="str">
        <f>IF(AND(ISNUMBER(Roster!$B302),Setup!$B$33="Yes",ISNUMBER(Setup!$C$33)),EDATE(Roster!$B302,12*Setup!$C$33),"")</f>
        <v/>
      </c>
      <c r="P302" s="32" t="str">
        <f>IF(AND(ISNUMBER(Roster!$B302),Setup!$B$34="Yes",ISNUMBER(Setup!$C$34)),EDATE(Roster!$B302,12*Setup!$C$34),"")</f>
        <v/>
      </c>
      <c r="R302" t="str">
        <f>IF(B302="","",IF(B302&lt;Setup!$C$5-Setup!$C$6,"",IF(IF(ISNUMBER(Roster!$D302),Setup!$C$20&lt;=Roster!$D302,FALSE),"",IF(OR(IF(Setup!$C$15&lt;=Setup!$C$16,AND(MONTH(B302)&gt;=Setup!$C$15,MONTH(B302)&lt;=Setup!$C$16),OR(MONTH(B302)&gt;=Setup!$C$15,MONTH(B302)&lt;=Setup!$C$16)),IF(Setup!$C$15&lt;=Setup!$C$16,AND(MONTH(WORKDAY(B302,-(Setup!$C$13+Setup!$G$20),Setup!$C$39:$C$50))&gt;=Setup!$C$15,MONTH(WORKDAY(B302,-(Setup!$C$13+Setup!$G$20),Setup!$C$39:$C$50))&lt;=Setup!$C$16),OR(MONTH(WORKDAY(B302,-(Setup!$C$13+Setup!$G$20),Setup!$C$39:$C$50))&gt;=Setup!$C$15,MONTH(WORKDAY(B302,-(Setup!$C$13+Setup!$G$20),Setup!$C$39:$C$50))&lt;=Setup!$C$16))),WORKDAY(B302,-(Setup!$C$13+Setup!$G$20+Setup!$C$14),Setup!$C$39:$C$50),WORKDAY(B302,-(Setup!$C$13+Setup!$G$20),Setup!$C$39:$C$50))+(297*100+1)/10000000)))</f>
        <v/>
      </c>
      <c r="S302" t="str">
        <f>IF(C302="","",IF(C302&lt;Setup!$C$5-Setup!$C$6,"",IF(IF(ISNUMBER(Roster!$D302),Setup!$C$21&lt;=Roster!$D302,FALSE),"",IF(OR(IF(Setup!$C$15&lt;=Setup!$C$16,AND(MONTH(C302)&gt;=Setup!$C$15,MONTH(C302)&lt;=Setup!$C$16),OR(MONTH(C302)&gt;=Setup!$C$15,MONTH(C302)&lt;=Setup!$C$16)),IF(Setup!$C$15&lt;=Setup!$C$16,AND(MONTH(WORKDAY(C302,-(Setup!$C$13+Setup!$G$21),Setup!$C$39:$C$50))&gt;=Setup!$C$15,MONTH(WORKDAY(C302,-(Setup!$C$13+Setup!$G$21),Setup!$C$39:$C$50))&lt;=Setup!$C$16),OR(MONTH(WORKDAY(C302,-(Setup!$C$13+Setup!$G$21),Setup!$C$39:$C$50))&gt;=Setup!$C$15,MONTH(WORKDAY(C302,-(Setup!$C$13+Setup!$G$21),Setup!$C$39:$C$50))&lt;=Setup!$C$16))),WORKDAY(C302,-(Setup!$C$13+Setup!$G$21+Setup!$C$14),Setup!$C$39:$C$50),WORKDAY(C302,-(Setup!$C$13+Setup!$G$21),Setup!$C$39:$C$50))+(297*100+2)/10000000)))</f>
        <v/>
      </c>
      <c r="T302" t="str">
        <f>IF(D302="","",IF(D302&lt;Setup!$C$5-Setup!$C$6,"",IF(IF(ISNUMBER(Roster!$D302),Setup!$C$22&lt;=Roster!$D302,FALSE),"",IF(OR(IF(Setup!$C$15&lt;=Setup!$C$16,AND(MONTH(D302)&gt;=Setup!$C$15,MONTH(D302)&lt;=Setup!$C$16),OR(MONTH(D302)&gt;=Setup!$C$15,MONTH(D302)&lt;=Setup!$C$16)),IF(Setup!$C$15&lt;=Setup!$C$16,AND(MONTH(WORKDAY(D302,-(Setup!$C$13+Setup!$G$22),Setup!$C$39:$C$50))&gt;=Setup!$C$15,MONTH(WORKDAY(D302,-(Setup!$C$13+Setup!$G$22),Setup!$C$39:$C$50))&lt;=Setup!$C$16),OR(MONTH(WORKDAY(D302,-(Setup!$C$13+Setup!$G$22),Setup!$C$39:$C$50))&gt;=Setup!$C$15,MONTH(WORKDAY(D302,-(Setup!$C$13+Setup!$G$22),Setup!$C$39:$C$50))&lt;=Setup!$C$16))),WORKDAY(D302,-(Setup!$C$13+Setup!$G$22+Setup!$C$14),Setup!$C$39:$C$50),WORKDAY(D302,-(Setup!$C$13+Setup!$G$22),Setup!$C$39:$C$50))+(297*100+3)/10000000)))</f>
        <v/>
      </c>
      <c r="U302" t="str">
        <f>IF(E302="","",IF(E302&lt;Setup!$C$5-Setup!$C$6,"",IF(IF(ISNUMBER(Roster!$D302),Setup!$C$23&lt;=Roster!$D302,FALSE),"",IF(OR(IF(Setup!$C$15&lt;=Setup!$C$16,AND(MONTH(E302)&gt;=Setup!$C$15,MONTH(E302)&lt;=Setup!$C$16),OR(MONTH(E302)&gt;=Setup!$C$15,MONTH(E302)&lt;=Setup!$C$16)),IF(Setup!$C$15&lt;=Setup!$C$16,AND(MONTH(WORKDAY(E302,-(Setup!$C$13+Setup!$G$23),Setup!$C$39:$C$50))&gt;=Setup!$C$15,MONTH(WORKDAY(E302,-(Setup!$C$13+Setup!$G$23),Setup!$C$39:$C$50))&lt;=Setup!$C$16),OR(MONTH(WORKDAY(E302,-(Setup!$C$13+Setup!$G$23),Setup!$C$39:$C$50))&gt;=Setup!$C$15,MONTH(WORKDAY(E302,-(Setup!$C$13+Setup!$G$23),Setup!$C$39:$C$50))&lt;=Setup!$C$16))),WORKDAY(E302,-(Setup!$C$13+Setup!$G$23+Setup!$C$14),Setup!$C$39:$C$50),WORKDAY(E302,-(Setup!$C$13+Setup!$G$23),Setup!$C$39:$C$50))+(297*100+4)/10000000)))</f>
        <v/>
      </c>
      <c r="V302" t="str">
        <f>IF(F302="","",IF(F302&lt;Setup!$C$5-Setup!$C$6,"",IF(IF(ISNUMBER(Roster!$D302),Setup!$C$24&lt;=Roster!$D302,FALSE),"",IF(OR(IF(Setup!$C$15&lt;=Setup!$C$16,AND(MONTH(F302)&gt;=Setup!$C$15,MONTH(F302)&lt;=Setup!$C$16),OR(MONTH(F302)&gt;=Setup!$C$15,MONTH(F302)&lt;=Setup!$C$16)),IF(Setup!$C$15&lt;=Setup!$C$16,AND(MONTH(WORKDAY(F302,-(Setup!$C$13+Setup!$G$24),Setup!$C$39:$C$50))&gt;=Setup!$C$15,MONTH(WORKDAY(F302,-(Setup!$C$13+Setup!$G$24),Setup!$C$39:$C$50))&lt;=Setup!$C$16),OR(MONTH(WORKDAY(F302,-(Setup!$C$13+Setup!$G$24),Setup!$C$39:$C$50))&gt;=Setup!$C$15,MONTH(WORKDAY(F302,-(Setup!$C$13+Setup!$G$24),Setup!$C$39:$C$50))&lt;=Setup!$C$16))),WORKDAY(F302,-(Setup!$C$13+Setup!$G$24+Setup!$C$14),Setup!$C$39:$C$50),WORKDAY(F302,-(Setup!$C$13+Setup!$G$24),Setup!$C$39:$C$50))+(297*100+5)/10000000)))</f>
        <v/>
      </c>
      <c r="W302" t="str">
        <f>IF(G302="","",IF(G302&lt;Setup!$C$5-Setup!$C$6,"",IF(IF(ISNUMBER(Roster!$D302),Setup!$C$25&lt;=Roster!$D302,FALSE),"",IF(OR(IF(Setup!$C$15&lt;=Setup!$C$16,AND(MONTH(G302)&gt;=Setup!$C$15,MONTH(G302)&lt;=Setup!$C$16),OR(MONTH(G302)&gt;=Setup!$C$15,MONTH(G302)&lt;=Setup!$C$16)),IF(Setup!$C$15&lt;=Setup!$C$16,AND(MONTH(WORKDAY(G302,-(Setup!$C$13+Setup!$G$25),Setup!$C$39:$C$50))&gt;=Setup!$C$15,MONTH(WORKDAY(G302,-(Setup!$C$13+Setup!$G$25),Setup!$C$39:$C$50))&lt;=Setup!$C$16),OR(MONTH(WORKDAY(G302,-(Setup!$C$13+Setup!$G$25),Setup!$C$39:$C$50))&gt;=Setup!$C$15,MONTH(WORKDAY(G302,-(Setup!$C$13+Setup!$G$25),Setup!$C$39:$C$50))&lt;=Setup!$C$16))),WORKDAY(G302,-(Setup!$C$13+Setup!$G$25+Setup!$C$14),Setup!$C$39:$C$50),WORKDAY(G302,-(Setup!$C$13+Setup!$G$25),Setup!$C$39:$C$50))+(297*100+6)/10000000)))</f>
        <v/>
      </c>
      <c r="X302" t="str">
        <f>IF(H302="","",IF(H302&lt;Setup!$C$5-Setup!$C$6,"",IF(IF(ISNUMBER(Roster!$D302),Setup!$C$26&lt;=Roster!$D302,FALSE),"",IF(OR(IF(Setup!$C$15&lt;=Setup!$C$16,AND(MONTH(H302)&gt;=Setup!$C$15,MONTH(H302)&lt;=Setup!$C$16),OR(MONTH(H302)&gt;=Setup!$C$15,MONTH(H302)&lt;=Setup!$C$16)),IF(Setup!$C$15&lt;=Setup!$C$16,AND(MONTH(WORKDAY(H302,-(Setup!$C$13+Setup!$G$26),Setup!$C$39:$C$50))&gt;=Setup!$C$15,MONTH(WORKDAY(H302,-(Setup!$C$13+Setup!$G$26),Setup!$C$39:$C$50))&lt;=Setup!$C$16),OR(MONTH(WORKDAY(H302,-(Setup!$C$13+Setup!$G$26),Setup!$C$39:$C$50))&gt;=Setup!$C$15,MONTH(WORKDAY(H302,-(Setup!$C$13+Setup!$G$26),Setup!$C$39:$C$50))&lt;=Setup!$C$16))),WORKDAY(H302,-(Setup!$C$13+Setup!$G$26+Setup!$C$14),Setup!$C$39:$C$50),WORKDAY(H302,-(Setup!$C$13+Setup!$G$26),Setup!$C$39:$C$50))+(297*100+7)/10000000)))</f>
        <v/>
      </c>
      <c r="Y302" t="str">
        <f>IF(I302="","",IF(I302&lt;Setup!$C$5-Setup!$C$6,"",IF(IF(ISNUMBER(Roster!$D302),Setup!$C$27&lt;=Roster!$D302,FALSE),"",IF(OR(IF(Setup!$C$15&lt;=Setup!$C$16,AND(MONTH(I302)&gt;=Setup!$C$15,MONTH(I302)&lt;=Setup!$C$16),OR(MONTH(I302)&gt;=Setup!$C$15,MONTH(I302)&lt;=Setup!$C$16)),IF(Setup!$C$15&lt;=Setup!$C$16,AND(MONTH(WORKDAY(I302,-(Setup!$C$13+Setup!$G$27),Setup!$C$39:$C$50))&gt;=Setup!$C$15,MONTH(WORKDAY(I302,-(Setup!$C$13+Setup!$G$27),Setup!$C$39:$C$50))&lt;=Setup!$C$16),OR(MONTH(WORKDAY(I302,-(Setup!$C$13+Setup!$G$27),Setup!$C$39:$C$50))&gt;=Setup!$C$15,MONTH(WORKDAY(I302,-(Setup!$C$13+Setup!$G$27),Setup!$C$39:$C$50))&lt;=Setup!$C$16))),WORKDAY(I302,-(Setup!$C$13+Setup!$G$27+Setup!$C$14),Setup!$C$39:$C$50),WORKDAY(I302,-(Setup!$C$13+Setup!$G$27),Setup!$C$39:$C$50))+(297*100+8)/10000000)))</f>
        <v/>
      </c>
      <c r="Z302" t="str">
        <f>IF(J302="","",IF(J302&lt;Setup!$C$5-Setup!$C$6,"",IF(IF(ISNUMBER(Roster!$D302),Setup!$C$28&lt;=Roster!$D302,FALSE),"",IF(OR(IF(Setup!$C$15&lt;=Setup!$C$16,AND(MONTH(J302)&gt;=Setup!$C$15,MONTH(J302)&lt;=Setup!$C$16),OR(MONTH(J302)&gt;=Setup!$C$15,MONTH(J302)&lt;=Setup!$C$16)),IF(Setup!$C$15&lt;=Setup!$C$16,AND(MONTH(WORKDAY(J302,-(Setup!$C$13+Setup!$G$28),Setup!$C$39:$C$50))&gt;=Setup!$C$15,MONTH(WORKDAY(J302,-(Setup!$C$13+Setup!$G$28),Setup!$C$39:$C$50))&lt;=Setup!$C$16),OR(MONTH(WORKDAY(J302,-(Setup!$C$13+Setup!$G$28),Setup!$C$39:$C$50))&gt;=Setup!$C$15,MONTH(WORKDAY(J302,-(Setup!$C$13+Setup!$G$28),Setup!$C$39:$C$50))&lt;=Setup!$C$16))),WORKDAY(J302,-(Setup!$C$13+Setup!$G$28+Setup!$C$14),Setup!$C$39:$C$50),WORKDAY(J302,-(Setup!$C$13+Setup!$G$28),Setup!$C$39:$C$50))+(297*100+9)/10000000)))</f>
        <v/>
      </c>
      <c r="AA302" t="str">
        <f>IF(K302="","",IF(K302&lt;Setup!$C$5-Setup!$C$6,"",IF(IF(ISNUMBER(Roster!$D302),Setup!$C$29&lt;=Roster!$D302,FALSE),"",IF(OR(IF(Setup!$C$15&lt;=Setup!$C$16,AND(MONTH(K302)&gt;=Setup!$C$15,MONTH(K302)&lt;=Setup!$C$16),OR(MONTH(K302)&gt;=Setup!$C$15,MONTH(K302)&lt;=Setup!$C$16)),IF(Setup!$C$15&lt;=Setup!$C$16,AND(MONTH(WORKDAY(K302,-(Setup!$C$13+Setup!$G$29),Setup!$C$39:$C$50))&gt;=Setup!$C$15,MONTH(WORKDAY(K302,-(Setup!$C$13+Setup!$G$29),Setup!$C$39:$C$50))&lt;=Setup!$C$16),OR(MONTH(WORKDAY(K302,-(Setup!$C$13+Setup!$G$29),Setup!$C$39:$C$50))&gt;=Setup!$C$15,MONTH(WORKDAY(K302,-(Setup!$C$13+Setup!$G$29),Setup!$C$39:$C$50))&lt;=Setup!$C$16))),WORKDAY(K302,-(Setup!$C$13+Setup!$G$29+Setup!$C$14),Setup!$C$39:$C$50),WORKDAY(K302,-(Setup!$C$13+Setup!$G$29),Setup!$C$39:$C$50))+(297*100+10)/10000000)))</f>
        <v/>
      </c>
      <c r="AB302" t="str">
        <f>IF(L302="","",IF(L302&lt;Setup!$C$5-Setup!$C$6,"",IF(IF(ISNUMBER(Roster!$D302),Setup!$C$30&lt;=Roster!$D302,FALSE),"",IF(OR(IF(Setup!$C$15&lt;=Setup!$C$16,AND(MONTH(L302)&gt;=Setup!$C$15,MONTH(L302)&lt;=Setup!$C$16),OR(MONTH(L302)&gt;=Setup!$C$15,MONTH(L302)&lt;=Setup!$C$16)),IF(Setup!$C$15&lt;=Setup!$C$16,AND(MONTH(WORKDAY(L302,-(Setup!$C$13+Setup!$G$30),Setup!$C$39:$C$50))&gt;=Setup!$C$15,MONTH(WORKDAY(L302,-(Setup!$C$13+Setup!$G$30),Setup!$C$39:$C$50))&lt;=Setup!$C$16),OR(MONTH(WORKDAY(L302,-(Setup!$C$13+Setup!$G$30),Setup!$C$39:$C$50))&gt;=Setup!$C$15,MONTH(WORKDAY(L302,-(Setup!$C$13+Setup!$G$30),Setup!$C$39:$C$50))&lt;=Setup!$C$16))),WORKDAY(L302,-(Setup!$C$13+Setup!$G$30+Setup!$C$14),Setup!$C$39:$C$50),WORKDAY(L302,-(Setup!$C$13+Setup!$G$30),Setup!$C$39:$C$50))+(297*100+11)/10000000)))</f>
        <v/>
      </c>
      <c r="AC302" t="str">
        <f>IF(M302="","",IF(M302&lt;Setup!$C$5-Setup!$C$6,"",IF(IF(ISNUMBER(Roster!$D302),Setup!$C$31&lt;=Roster!$D302,FALSE),"",IF(OR(IF(Setup!$C$15&lt;=Setup!$C$16,AND(MONTH(M302)&gt;=Setup!$C$15,MONTH(M302)&lt;=Setup!$C$16),OR(MONTH(M302)&gt;=Setup!$C$15,MONTH(M302)&lt;=Setup!$C$16)),IF(Setup!$C$15&lt;=Setup!$C$16,AND(MONTH(WORKDAY(M302,-(Setup!$C$13+Setup!$G$31),Setup!$C$39:$C$50))&gt;=Setup!$C$15,MONTH(WORKDAY(M302,-(Setup!$C$13+Setup!$G$31),Setup!$C$39:$C$50))&lt;=Setup!$C$16),OR(MONTH(WORKDAY(M302,-(Setup!$C$13+Setup!$G$31),Setup!$C$39:$C$50))&gt;=Setup!$C$15,MONTH(WORKDAY(M302,-(Setup!$C$13+Setup!$G$31),Setup!$C$39:$C$50))&lt;=Setup!$C$16))),WORKDAY(M302,-(Setup!$C$13+Setup!$G$31+Setup!$C$14),Setup!$C$39:$C$50),WORKDAY(M302,-(Setup!$C$13+Setup!$G$31),Setup!$C$39:$C$50))+(297*100+12)/10000000)))</f>
        <v/>
      </c>
      <c r="AD302" t="str">
        <f>IF(N302="","",IF(N302&lt;Setup!$C$5-Setup!$C$6,"",IF(IF(ISNUMBER(Roster!$D302),Setup!$C$32&lt;=Roster!$D302,FALSE),"",IF(OR(IF(Setup!$C$15&lt;=Setup!$C$16,AND(MONTH(N302)&gt;=Setup!$C$15,MONTH(N302)&lt;=Setup!$C$16),OR(MONTH(N302)&gt;=Setup!$C$15,MONTH(N302)&lt;=Setup!$C$16)),IF(Setup!$C$15&lt;=Setup!$C$16,AND(MONTH(WORKDAY(N302,-(Setup!$C$13+Setup!$G$32),Setup!$C$39:$C$50))&gt;=Setup!$C$15,MONTH(WORKDAY(N302,-(Setup!$C$13+Setup!$G$32),Setup!$C$39:$C$50))&lt;=Setup!$C$16),OR(MONTH(WORKDAY(N302,-(Setup!$C$13+Setup!$G$32),Setup!$C$39:$C$50))&gt;=Setup!$C$15,MONTH(WORKDAY(N302,-(Setup!$C$13+Setup!$G$32),Setup!$C$39:$C$50))&lt;=Setup!$C$16))),WORKDAY(N302,-(Setup!$C$13+Setup!$G$32+Setup!$C$14),Setup!$C$39:$C$50),WORKDAY(N302,-(Setup!$C$13+Setup!$G$32),Setup!$C$39:$C$50))+(297*100+13)/10000000)))</f>
        <v/>
      </c>
      <c r="AE302" t="str">
        <f>IF(O302="","",IF(O302&lt;Setup!$C$5-Setup!$C$6,"",IF(IF(ISNUMBER(Roster!$D302),Setup!$C$33&lt;=Roster!$D302,FALSE),"",IF(OR(IF(Setup!$C$15&lt;=Setup!$C$16,AND(MONTH(O302)&gt;=Setup!$C$15,MONTH(O302)&lt;=Setup!$C$16),OR(MONTH(O302)&gt;=Setup!$C$15,MONTH(O302)&lt;=Setup!$C$16)),IF(Setup!$C$15&lt;=Setup!$C$16,AND(MONTH(WORKDAY(O302,-(Setup!$C$13+Setup!$G$33),Setup!$C$39:$C$50))&gt;=Setup!$C$15,MONTH(WORKDAY(O302,-(Setup!$C$13+Setup!$G$33),Setup!$C$39:$C$50))&lt;=Setup!$C$16),OR(MONTH(WORKDAY(O302,-(Setup!$C$13+Setup!$G$33),Setup!$C$39:$C$50))&gt;=Setup!$C$15,MONTH(WORKDAY(O302,-(Setup!$C$13+Setup!$G$33),Setup!$C$39:$C$50))&lt;=Setup!$C$16))),WORKDAY(O302,-(Setup!$C$13+Setup!$G$33+Setup!$C$14),Setup!$C$39:$C$50),WORKDAY(O302,-(Setup!$C$13+Setup!$G$33),Setup!$C$39:$C$50))+(297*100+14)/10000000)))</f>
        <v/>
      </c>
      <c r="AF302" t="str">
        <f>IF(P302="","",IF(P302&lt;Setup!$C$5-Setup!$C$6,"",IF(IF(ISNUMBER(Roster!$D302),Setup!$C$34&lt;=Roster!$D302,FALSE),"",IF(OR(IF(Setup!$C$15&lt;=Setup!$C$16,AND(MONTH(P302)&gt;=Setup!$C$15,MONTH(P302)&lt;=Setup!$C$16),OR(MONTH(P302)&gt;=Setup!$C$15,MONTH(P302)&lt;=Setup!$C$16)),IF(Setup!$C$15&lt;=Setup!$C$16,AND(MONTH(WORKDAY(P302,-(Setup!$C$13+Setup!$G$34),Setup!$C$39:$C$50))&gt;=Setup!$C$15,MONTH(WORKDAY(P302,-(Setup!$C$13+Setup!$G$34),Setup!$C$39:$C$50))&lt;=Setup!$C$16),OR(MONTH(WORKDAY(P302,-(Setup!$C$13+Setup!$G$34),Setup!$C$39:$C$50))&gt;=Setup!$C$15,MONTH(WORKDAY(P302,-(Setup!$C$13+Setup!$G$34),Setup!$C$39:$C$50))&lt;=Setup!$C$16))),WORKDAY(P302,-(Setup!$C$13+Setup!$G$34+Setup!$C$14),Setup!$C$39:$C$50),WORKDAY(P302,-(Setup!$C$13+Setup!$G$34),Setup!$C$39:$C$50))+(297*100+15)/10000000)))</f>
        <v/>
      </c>
      <c r="AH302" t="str">
        <f t="shared" si="33"/>
        <v/>
      </c>
      <c r="AI302" t="str">
        <f t="shared" si="34"/>
        <v/>
      </c>
      <c r="AK302" t="str">
        <f ca="1">IF(297&gt;$AK$2,"",SMALL($R$6:$AF$505,297))</f>
        <v/>
      </c>
      <c r="AL302" t="str">
        <f t="shared" ca="1" si="35"/>
        <v/>
      </c>
      <c r="AM302" t="str">
        <f t="shared" ca="1" si="36"/>
        <v/>
      </c>
      <c r="AN302" t="str">
        <f t="shared" ca="1" si="37"/>
        <v/>
      </c>
      <c r="AP302" t="str">
        <f>IF(ISNUMBER(Roster!$B302),MAX(1,YEAR(Setup!$C$5)-YEAR(Roster!$B302)+IF(EDATE(Roster!$B302,12*(YEAR(Setup!$C$5)-YEAR(Roster!$B302)))&lt;Setup!$C$5,1,0)),"")</f>
        <v/>
      </c>
      <c r="AQ302" s="32" t="str">
        <f>IF(AP302="","",EDATE(Roster!$B302,12*AP302))</f>
        <v/>
      </c>
      <c r="AR302" t="str">
        <f>IF(AQ302="","",IF(AQ302&lt;DATE(YEAR(Setup!$C$5)+1,MONTH(Setup!$C$5),DAY(Setup!$C$5)),AQ302+297/1000,""))</f>
        <v/>
      </c>
      <c r="AS302" t="str">
        <f t="shared" si="38"/>
        <v/>
      </c>
      <c r="AT302" t="str">
        <f>IF(AS302="","",IF(ISNUMBER(Roster!$D302),Roster!$D302&gt;=AP302,FALSE))</f>
        <v/>
      </c>
      <c r="AU302" t="str">
        <f t="shared" si="39"/>
        <v/>
      </c>
      <c r="AV302" t="str">
        <f ca="1">IF(297&gt;$AV$2,"",SMALL($AR$6:$AR$505,297))</f>
        <v/>
      </c>
      <c r="AW302" t="str">
        <f t="shared" ca="1" si="40"/>
        <v/>
      </c>
    </row>
    <row r="303" spans="2:49" x14ac:dyDescent="0.2">
      <c r="B303" s="32" t="str">
        <f>IF(AND(ISNUMBER(Roster!$B303),Setup!$B$20="Yes",ISNUMBER(Setup!$C$20)),EDATE(Roster!$B303,12*Setup!$C$20),"")</f>
        <v/>
      </c>
      <c r="C303" s="32" t="str">
        <f>IF(AND(ISNUMBER(Roster!$B303),Setup!$B$21="Yes",ISNUMBER(Setup!$C$21)),EDATE(Roster!$B303,12*Setup!$C$21),"")</f>
        <v/>
      </c>
      <c r="D303" s="32" t="str">
        <f>IF(AND(ISNUMBER(Roster!$B303),Setup!$B$22="Yes",ISNUMBER(Setup!$C$22)),EDATE(Roster!$B303,12*Setup!$C$22),"")</f>
        <v/>
      </c>
      <c r="E303" s="32" t="str">
        <f>IF(AND(ISNUMBER(Roster!$B303),Setup!$B$23="Yes",ISNUMBER(Setup!$C$23)),EDATE(Roster!$B303,12*Setup!$C$23),"")</f>
        <v/>
      </c>
      <c r="F303" s="32" t="str">
        <f>IF(AND(ISNUMBER(Roster!$B303),Setup!$B$24="Yes",ISNUMBER(Setup!$C$24)),EDATE(Roster!$B303,12*Setup!$C$24),"")</f>
        <v/>
      </c>
      <c r="G303" s="32" t="str">
        <f>IF(AND(ISNUMBER(Roster!$B303),Setup!$B$25="Yes",ISNUMBER(Setup!$C$25)),EDATE(Roster!$B303,12*Setup!$C$25),"")</f>
        <v/>
      </c>
      <c r="H303" s="32" t="str">
        <f>IF(AND(ISNUMBER(Roster!$B303),Setup!$B$26="Yes",ISNUMBER(Setup!$C$26)),EDATE(Roster!$B303,12*Setup!$C$26),"")</f>
        <v/>
      </c>
      <c r="I303" s="32" t="str">
        <f>IF(AND(ISNUMBER(Roster!$B303),Setup!$B$27="Yes",ISNUMBER(Setup!$C$27)),EDATE(Roster!$B303,12*Setup!$C$27),"")</f>
        <v/>
      </c>
      <c r="J303" s="32" t="str">
        <f>IF(AND(ISNUMBER(Roster!$B303),Setup!$B$28="Yes",ISNUMBER(Setup!$C$28)),EDATE(Roster!$B303,12*Setup!$C$28),"")</f>
        <v/>
      </c>
      <c r="K303" s="32" t="str">
        <f>IF(AND(ISNUMBER(Roster!$B303),Setup!$B$29="Yes",ISNUMBER(Setup!$C$29)),EDATE(Roster!$B303,12*Setup!$C$29),"")</f>
        <v/>
      </c>
      <c r="L303" s="32" t="str">
        <f>IF(AND(ISNUMBER(Roster!$B303),Setup!$B$30="Yes",ISNUMBER(Setup!$C$30)),EDATE(Roster!$B303,12*Setup!$C$30),"")</f>
        <v/>
      </c>
      <c r="M303" s="32" t="str">
        <f>IF(AND(ISNUMBER(Roster!$B303),Setup!$B$31="Yes",ISNUMBER(Setup!$C$31)),EDATE(Roster!$B303,12*Setup!$C$31),"")</f>
        <v/>
      </c>
      <c r="N303" s="32" t="str">
        <f>IF(AND(ISNUMBER(Roster!$B303),Setup!$B$32="Yes",ISNUMBER(Setup!$C$32)),EDATE(Roster!$B303,12*Setup!$C$32),"")</f>
        <v/>
      </c>
      <c r="O303" s="32" t="str">
        <f>IF(AND(ISNUMBER(Roster!$B303),Setup!$B$33="Yes",ISNUMBER(Setup!$C$33)),EDATE(Roster!$B303,12*Setup!$C$33),"")</f>
        <v/>
      </c>
      <c r="P303" s="32" t="str">
        <f>IF(AND(ISNUMBER(Roster!$B303),Setup!$B$34="Yes",ISNUMBER(Setup!$C$34)),EDATE(Roster!$B303,12*Setup!$C$34),"")</f>
        <v/>
      </c>
      <c r="R303" t="str">
        <f>IF(B303="","",IF(B303&lt;Setup!$C$5-Setup!$C$6,"",IF(IF(ISNUMBER(Roster!$D303),Setup!$C$20&lt;=Roster!$D303,FALSE),"",IF(OR(IF(Setup!$C$15&lt;=Setup!$C$16,AND(MONTH(B303)&gt;=Setup!$C$15,MONTH(B303)&lt;=Setup!$C$16),OR(MONTH(B303)&gt;=Setup!$C$15,MONTH(B303)&lt;=Setup!$C$16)),IF(Setup!$C$15&lt;=Setup!$C$16,AND(MONTH(WORKDAY(B303,-(Setup!$C$13+Setup!$G$20),Setup!$C$39:$C$50))&gt;=Setup!$C$15,MONTH(WORKDAY(B303,-(Setup!$C$13+Setup!$G$20),Setup!$C$39:$C$50))&lt;=Setup!$C$16),OR(MONTH(WORKDAY(B303,-(Setup!$C$13+Setup!$G$20),Setup!$C$39:$C$50))&gt;=Setup!$C$15,MONTH(WORKDAY(B303,-(Setup!$C$13+Setup!$G$20),Setup!$C$39:$C$50))&lt;=Setup!$C$16))),WORKDAY(B303,-(Setup!$C$13+Setup!$G$20+Setup!$C$14),Setup!$C$39:$C$50),WORKDAY(B303,-(Setup!$C$13+Setup!$G$20),Setup!$C$39:$C$50))+(298*100+1)/10000000)))</f>
        <v/>
      </c>
      <c r="S303" t="str">
        <f>IF(C303="","",IF(C303&lt;Setup!$C$5-Setup!$C$6,"",IF(IF(ISNUMBER(Roster!$D303),Setup!$C$21&lt;=Roster!$D303,FALSE),"",IF(OR(IF(Setup!$C$15&lt;=Setup!$C$16,AND(MONTH(C303)&gt;=Setup!$C$15,MONTH(C303)&lt;=Setup!$C$16),OR(MONTH(C303)&gt;=Setup!$C$15,MONTH(C303)&lt;=Setup!$C$16)),IF(Setup!$C$15&lt;=Setup!$C$16,AND(MONTH(WORKDAY(C303,-(Setup!$C$13+Setup!$G$21),Setup!$C$39:$C$50))&gt;=Setup!$C$15,MONTH(WORKDAY(C303,-(Setup!$C$13+Setup!$G$21),Setup!$C$39:$C$50))&lt;=Setup!$C$16),OR(MONTH(WORKDAY(C303,-(Setup!$C$13+Setup!$G$21),Setup!$C$39:$C$50))&gt;=Setup!$C$15,MONTH(WORKDAY(C303,-(Setup!$C$13+Setup!$G$21),Setup!$C$39:$C$50))&lt;=Setup!$C$16))),WORKDAY(C303,-(Setup!$C$13+Setup!$G$21+Setup!$C$14),Setup!$C$39:$C$50),WORKDAY(C303,-(Setup!$C$13+Setup!$G$21),Setup!$C$39:$C$50))+(298*100+2)/10000000)))</f>
        <v/>
      </c>
      <c r="T303" t="str">
        <f>IF(D303="","",IF(D303&lt;Setup!$C$5-Setup!$C$6,"",IF(IF(ISNUMBER(Roster!$D303),Setup!$C$22&lt;=Roster!$D303,FALSE),"",IF(OR(IF(Setup!$C$15&lt;=Setup!$C$16,AND(MONTH(D303)&gt;=Setup!$C$15,MONTH(D303)&lt;=Setup!$C$16),OR(MONTH(D303)&gt;=Setup!$C$15,MONTH(D303)&lt;=Setup!$C$16)),IF(Setup!$C$15&lt;=Setup!$C$16,AND(MONTH(WORKDAY(D303,-(Setup!$C$13+Setup!$G$22),Setup!$C$39:$C$50))&gt;=Setup!$C$15,MONTH(WORKDAY(D303,-(Setup!$C$13+Setup!$G$22),Setup!$C$39:$C$50))&lt;=Setup!$C$16),OR(MONTH(WORKDAY(D303,-(Setup!$C$13+Setup!$G$22),Setup!$C$39:$C$50))&gt;=Setup!$C$15,MONTH(WORKDAY(D303,-(Setup!$C$13+Setup!$G$22),Setup!$C$39:$C$50))&lt;=Setup!$C$16))),WORKDAY(D303,-(Setup!$C$13+Setup!$G$22+Setup!$C$14),Setup!$C$39:$C$50),WORKDAY(D303,-(Setup!$C$13+Setup!$G$22),Setup!$C$39:$C$50))+(298*100+3)/10000000)))</f>
        <v/>
      </c>
      <c r="U303" t="str">
        <f>IF(E303="","",IF(E303&lt;Setup!$C$5-Setup!$C$6,"",IF(IF(ISNUMBER(Roster!$D303),Setup!$C$23&lt;=Roster!$D303,FALSE),"",IF(OR(IF(Setup!$C$15&lt;=Setup!$C$16,AND(MONTH(E303)&gt;=Setup!$C$15,MONTH(E303)&lt;=Setup!$C$16),OR(MONTH(E303)&gt;=Setup!$C$15,MONTH(E303)&lt;=Setup!$C$16)),IF(Setup!$C$15&lt;=Setup!$C$16,AND(MONTH(WORKDAY(E303,-(Setup!$C$13+Setup!$G$23),Setup!$C$39:$C$50))&gt;=Setup!$C$15,MONTH(WORKDAY(E303,-(Setup!$C$13+Setup!$G$23),Setup!$C$39:$C$50))&lt;=Setup!$C$16),OR(MONTH(WORKDAY(E303,-(Setup!$C$13+Setup!$G$23),Setup!$C$39:$C$50))&gt;=Setup!$C$15,MONTH(WORKDAY(E303,-(Setup!$C$13+Setup!$G$23),Setup!$C$39:$C$50))&lt;=Setup!$C$16))),WORKDAY(E303,-(Setup!$C$13+Setup!$G$23+Setup!$C$14),Setup!$C$39:$C$50),WORKDAY(E303,-(Setup!$C$13+Setup!$G$23),Setup!$C$39:$C$50))+(298*100+4)/10000000)))</f>
        <v/>
      </c>
      <c r="V303" t="str">
        <f>IF(F303="","",IF(F303&lt;Setup!$C$5-Setup!$C$6,"",IF(IF(ISNUMBER(Roster!$D303),Setup!$C$24&lt;=Roster!$D303,FALSE),"",IF(OR(IF(Setup!$C$15&lt;=Setup!$C$16,AND(MONTH(F303)&gt;=Setup!$C$15,MONTH(F303)&lt;=Setup!$C$16),OR(MONTH(F303)&gt;=Setup!$C$15,MONTH(F303)&lt;=Setup!$C$16)),IF(Setup!$C$15&lt;=Setup!$C$16,AND(MONTH(WORKDAY(F303,-(Setup!$C$13+Setup!$G$24),Setup!$C$39:$C$50))&gt;=Setup!$C$15,MONTH(WORKDAY(F303,-(Setup!$C$13+Setup!$G$24),Setup!$C$39:$C$50))&lt;=Setup!$C$16),OR(MONTH(WORKDAY(F303,-(Setup!$C$13+Setup!$G$24),Setup!$C$39:$C$50))&gt;=Setup!$C$15,MONTH(WORKDAY(F303,-(Setup!$C$13+Setup!$G$24),Setup!$C$39:$C$50))&lt;=Setup!$C$16))),WORKDAY(F303,-(Setup!$C$13+Setup!$G$24+Setup!$C$14),Setup!$C$39:$C$50),WORKDAY(F303,-(Setup!$C$13+Setup!$G$24),Setup!$C$39:$C$50))+(298*100+5)/10000000)))</f>
        <v/>
      </c>
      <c r="W303" t="str">
        <f>IF(G303="","",IF(G303&lt;Setup!$C$5-Setup!$C$6,"",IF(IF(ISNUMBER(Roster!$D303),Setup!$C$25&lt;=Roster!$D303,FALSE),"",IF(OR(IF(Setup!$C$15&lt;=Setup!$C$16,AND(MONTH(G303)&gt;=Setup!$C$15,MONTH(G303)&lt;=Setup!$C$16),OR(MONTH(G303)&gt;=Setup!$C$15,MONTH(G303)&lt;=Setup!$C$16)),IF(Setup!$C$15&lt;=Setup!$C$16,AND(MONTH(WORKDAY(G303,-(Setup!$C$13+Setup!$G$25),Setup!$C$39:$C$50))&gt;=Setup!$C$15,MONTH(WORKDAY(G303,-(Setup!$C$13+Setup!$G$25),Setup!$C$39:$C$50))&lt;=Setup!$C$16),OR(MONTH(WORKDAY(G303,-(Setup!$C$13+Setup!$G$25),Setup!$C$39:$C$50))&gt;=Setup!$C$15,MONTH(WORKDAY(G303,-(Setup!$C$13+Setup!$G$25),Setup!$C$39:$C$50))&lt;=Setup!$C$16))),WORKDAY(G303,-(Setup!$C$13+Setup!$G$25+Setup!$C$14),Setup!$C$39:$C$50),WORKDAY(G303,-(Setup!$C$13+Setup!$G$25),Setup!$C$39:$C$50))+(298*100+6)/10000000)))</f>
        <v/>
      </c>
      <c r="X303" t="str">
        <f>IF(H303="","",IF(H303&lt;Setup!$C$5-Setup!$C$6,"",IF(IF(ISNUMBER(Roster!$D303),Setup!$C$26&lt;=Roster!$D303,FALSE),"",IF(OR(IF(Setup!$C$15&lt;=Setup!$C$16,AND(MONTH(H303)&gt;=Setup!$C$15,MONTH(H303)&lt;=Setup!$C$16),OR(MONTH(H303)&gt;=Setup!$C$15,MONTH(H303)&lt;=Setup!$C$16)),IF(Setup!$C$15&lt;=Setup!$C$16,AND(MONTH(WORKDAY(H303,-(Setup!$C$13+Setup!$G$26),Setup!$C$39:$C$50))&gt;=Setup!$C$15,MONTH(WORKDAY(H303,-(Setup!$C$13+Setup!$G$26),Setup!$C$39:$C$50))&lt;=Setup!$C$16),OR(MONTH(WORKDAY(H303,-(Setup!$C$13+Setup!$G$26),Setup!$C$39:$C$50))&gt;=Setup!$C$15,MONTH(WORKDAY(H303,-(Setup!$C$13+Setup!$G$26),Setup!$C$39:$C$50))&lt;=Setup!$C$16))),WORKDAY(H303,-(Setup!$C$13+Setup!$G$26+Setup!$C$14),Setup!$C$39:$C$50),WORKDAY(H303,-(Setup!$C$13+Setup!$G$26),Setup!$C$39:$C$50))+(298*100+7)/10000000)))</f>
        <v/>
      </c>
      <c r="Y303" t="str">
        <f>IF(I303="","",IF(I303&lt;Setup!$C$5-Setup!$C$6,"",IF(IF(ISNUMBER(Roster!$D303),Setup!$C$27&lt;=Roster!$D303,FALSE),"",IF(OR(IF(Setup!$C$15&lt;=Setup!$C$16,AND(MONTH(I303)&gt;=Setup!$C$15,MONTH(I303)&lt;=Setup!$C$16),OR(MONTH(I303)&gt;=Setup!$C$15,MONTH(I303)&lt;=Setup!$C$16)),IF(Setup!$C$15&lt;=Setup!$C$16,AND(MONTH(WORKDAY(I303,-(Setup!$C$13+Setup!$G$27),Setup!$C$39:$C$50))&gt;=Setup!$C$15,MONTH(WORKDAY(I303,-(Setup!$C$13+Setup!$G$27),Setup!$C$39:$C$50))&lt;=Setup!$C$16),OR(MONTH(WORKDAY(I303,-(Setup!$C$13+Setup!$G$27),Setup!$C$39:$C$50))&gt;=Setup!$C$15,MONTH(WORKDAY(I303,-(Setup!$C$13+Setup!$G$27),Setup!$C$39:$C$50))&lt;=Setup!$C$16))),WORKDAY(I303,-(Setup!$C$13+Setup!$G$27+Setup!$C$14),Setup!$C$39:$C$50),WORKDAY(I303,-(Setup!$C$13+Setup!$G$27),Setup!$C$39:$C$50))+(298*100+8)/10000000)))</f>
        <v/>
      </c>
      <c r="Z303" t="str">
        <f>IF(J303="","",IF(J303&lt;Setup!$C$5-Setup!$C$6,"",IF(IF(ISNUMBER(Roster!$D303),Setup!$C$28&lt;=Roster!$D303,FALSE),"",IF(OR(IF(Setup!$C$15&lt;=Setup!$C$16,AND(MONTH(J303)&gt;=Setup!$C$15,MONTH(J303)&lt;=Setup!$C$16),OR(MONTH(J303)&gt;=Setup!$C$15,MONTH(J303)&lt;=Setup!$C$16)),IF(Setup!$C$15&lt;=Setup!$C$16,AND(MONTH(WORKDAY(J303,-(Setup!$C$13+Setup!$G$28),Setup!$C$39:$C$50))&gt;=Setup!$C$15,MONTH(WORKDAY(J303,-(Setup!$C$13+Setup!$G$28),Setup!$C$39:$C$50))&lt;=Setup!$C$16),OR(MONTH(WORKDAY(J303,-(Setup!$C$13+Setup!$G$28),Setup!$C$39:$C$50))&gt;=Setup!$C$15,MONTH(WORKDAY(J303,-(Setup!$C$13+Setup!$G$28),Setup!$C$39:$C$50))&lt;=Setup!$C$16))),WORKDAY(J303,-(Setup!$C$13+Setup!$G$28+Setup!$C$14),Setup!$C$39:$C$50),WORKDAY(J303,-(Setup!$C$13+Setup!$G$28),Setup!$C$39:$C$50))+(298*100+9)/10000000)))</f>
        <v/>
      </c>
      <c r="AA303" t="str">
        <f>IF(K303="","",IF(K303&lt;Setup!$C$5-Setup!$C$6,"",IF(IF(ISNUMBER(Roster!$D303),Setup!$C$29&lt;=Roster!$D303,FALSE),"",IF(OR(IF(Setup!$C$15&lt;=Setup!$C$16,AND(MONTH(K303)&gt;=Setup!$C$15,MONTH(K303)&lt;=Setup!$C$16),OR(MONTH(K303)&gt;=Setup!$C$15,MONTH(K303)&lt;=Setup!$C$16)),IF(Setup!$C$15&lt;=Setup!$C$16,AND(MONTH(WORKDAY(K303,-(Setup!$C$13+Setup!$G$29),Setup!$C$39:$C$50))&gt;=Setup!$C$15,MONTH(WORKDAY(K303,-(Setup!$C$13+Setup!$G$29),Setup!$C$39:$C$50))&lt;=Setup!$C$16),OR(MONTH(WORKDAY(K303,-(Setup!$C$13+Setup!$G$29),Setup!$C$39:$C$50))&gt;=Setup!$C$15,MONTH(WORKDAY(K303,-(Setup!$C$13+Setup!$G$29),Setup!$C$39:$C$50))&lt;=Setup!$C$16))),WORKDAY(K303,-(Setup!$C$13+Setup!$G$29+Setup!$C$14),Setup!$C$39:$C$50),WORKDAY(K303,-(Setup!$C$13+Setup!$G$29),Setup!$C$39:$C$50))+(298*100+10)/10000000)))</f>
        <v/>
      </c>
      <c r="AB303" t="str">
        <f>IF(L303="","",IF(L303&lt;Setup!$C$5-Setup!$C$6,"",IF(IF(ISNUMBER(Roster!$D303),Setup!$C$30&lt;=Roster!$D303,FALSE),"",IF(OR(IF(Setup!$C$15&lt;=Setup!$C$16,AND(MONTH(L303)&gt;=Setup!$C$15,MONTH(L303)&lt;=Setup!$C$16),OR(MONTH(L303)&gt;=Setup!$C$15,MONTH(L303)&lt;=Setup!$C$16)),IF(Setup!$C$15&lt;=Setup!$C$16,AND(MONTH(WORKDAY(L303,-(Setup!$C$13+Setup!$G$30),Setup!$C$39:$C$50))&gt;=Setup!$C$15,MONTH(WORKDAY(L303,-(Setup!$C$13+Setup!$G$30),Setup!$C$39:$C$50))&lt;=Setup!$C$16),OR(MONTH(WORKDAY(L303,-(Setup!$C$13+Setup!$G$30),Setup!$C$39:$C$50))&gt;=Setup!$C$15,MONTH(WORKDAY(L303,-(Setup!$C$13+Setup!$G$30),Setup!$C$39:$C$50))&lt;=Setup!$C$16))),WORKDAY(L303,-(Setup!$C$13+Setup!$G$30+Setup!$C$14),Setup!$C$39:$C$50),WORKDAY(L303,-(Setup!$C$13+Setup!$G$30),Setup!$C$39:$C$50))+(298*100+11)/10000000)))</f>
        <v/>
      </c>
      <c r="AC303" t="str">
        <f>IF(M303="","",IF(M303&lt;Setup!$C$5-Setup!$C$6,"",IF(IF(ISNUMBER(Roster!$D303),Setup!$C$31&lt;=Roster!$D303,FALSE),"",IF(OR(IF(Setup!$C$15&lt;=Setup!$C$16,AND(MONTH(M303)&gt;=Setup!$C$15,MONTH(M303)&lt;=Setup!$C$16),OR(MONTH(M303)&gt;=Setup!$C$15,MONTH(M303)&lt;=Setup!$C$16)),IF(Setup!$C$15&lt;=Setup!$C$16,AND(MONTH(WORKDAY(M303,-(Setup!$C$13+Setup!$G$31),Setup!$C$39:$C$50))&gt;=Setup!$C$15,MONTH(WORKDAY(M303,-(Setup!$C$13+Setup!$G$31),Setup!$C$39:$C$50))&lt;=Setup!$C$16),OR(MONTH(WORKDAY(M303,-(Setup!$C$13+Setup!$G$31),Setup!$C$39:$C$50))&gt;=Setup!$C$15,MONTH(WORKDAY(M303,-(Setup!$C$13+Setup!$G$31),Setup!$C$39:$C$50))&lt;=Setup!$C$16))),WORKDAY(M303,-(Setup!$C$13+Setup!$G$31+Setup!$C$14),Setup!$C$39:$C$50),WORKDAY(M303,-(Setup!$C$13+Setup!$G$31),Setup!$C$39:$C$50))+(298*100+12)/10000000)))</f>
        <v/>
      </c>
      <c r="AD303" t="str">
        <f>IF(N303="","",IF(N303&lt;Setup!$C$5-Setup!$C$6,"",IF(IF(ISNUMBER(Roster!$D303),Setup!$C$32&lt;=Roster!$D303,FALSE),"",IF(OR(IF(Setup!$C$15&lt;=Setup!$C$16,AND(MONTH(N303)&gt;=Setup!$C$15,MONTH(N303)&lt;=Setup!$C$16),OR(MONTH(N303)&gt;=Setup!$C$15,MONTH(N303)&lt;=Setup!$C$16)),IF(Setup!$C$15&lt;=Setup!$C$16,AND(MONTH(WORKDAY(N303,-(Setup!$C$13+Setup!$G$32),Setup!$C$39:$C$50))&gt;=Setup!$C$15,MONTH(WORKDAY(N303,-(Setup!$C$13+Setup!$G$32),Setup!$C$39:$C$50))&lt;=Setup!$C$16),OR(MONTH(WORKDAY(N303,-(Setup!$C$13+Setup!$G$32),Setup!$C$39:$C$50))&gt;=Setup!$C$15,MONTH(WORKDAY(N303,-(Setup!$C$13+Setup!$G$32),Setup!$C$39:$C$50))&lt;=Setup!$C$16))),WORKDAY(N303,-(Setup!$C$13+Setup!$G$32+Setup!$C$14),Setup!$C$39:$C$50),WORKDAY(N303,-(Setup!$C$13+Setup!$G$32),Setup!$C$39:$C$50))+(298*100+13)/10000000)))</f>
        <v/>
      </c>
      <c r="AE303" t="str">
        <f>IF(O303="","",IF(O303&lt;Setup!$C$5-Setup!$C$6,"",IF(IF(ISNUMBER(Roster!$D303),Setup!$C$33&lt;=Roster!$D303,FALSE),"",IF(OR(IF(Setup!$C$15&lt;=Setup!$C$16,AND(MONTH(O303)&gt;=Setup!$C$15,MONTH(O303)&lt;=Setup!$C$16),OR(MONTH(O303)&gt;=Setup!$C$15,MONTH(O303)&lt;=Setup!$C$16)),IF(Setup!$C$15&lt;=Setup!$C$16,AND(MONTH(WORKDAY(O303,-(Setup!$C$13+Setup!$G$33),Setup!$C$39:$C$50))&gt;=Setup!$C$15,MONTH(WORKDAY(O303,-(Setup!$C$13+Setup!$G$33),Setup!$C$39:$C$50))&lt;=Setup!$C$16),OR(MONTH(WORKDAY(O303,-(Setup!$C$13+Setup!$G$33),Setup!$C$39:$C$50))&gt;=Setup!$C$15,MONTH(WORKDAY(O303,-(Setup!$C$13+Setup!$G$33),Setup!$C$39:$C$50))&lt;=Setup!$C$16))),WORKDAY(O303,-(Setup!$C$13+Setup!$G$33+Setup!$C$14),Setup!$C$39:$C$50),WORKDAY(O303,-(Setup!$C$13+Setup!$G$33),Setup!$C$39:$C$50))+(298*100+14)/10000000)))</f>
        <v/>
      </c>
      <c r="AF303" t="str">
        <f>IF(P303="","",IF(P303&lt;Setup!$C$5-Setup!$C$6,"",IF(IF(ISNUMBER(Roster!$D303),Setup!$C$34&lt;=Roster!$D303,FALSE),"",IF(OR(IF(Setup!$C$15&lt;=Setup!$C$16,AND(MONTH(P303)&gt;=Setup!$C$15,MONTH(P303)&lt;=Setup!$C$16),OR(MONTH(P303)&gt;=Setup!$C$15,MONTH(P303)&lt;=Setup!$C$16)),IF(Setup!$C$15&lt;=Setup!$C$16,AND(MONTH(WORKDAY(P303,-(Setup!$C$13+Setup!$G$34),Setup!$C$39:$C$50))&gt;=Setup!$C$15,MONTH(WORKDAY(P303,-(Setup!$C$13+Setup!$G$34),Setup!$C$39:$C$50))&lt;=Setup!$C$16),OR(MONTH(WORKDAY(P303,-(Setup!$C$13+Setup!$G$34),Setup!$C$39:$C$50))&gt;=Setup!$C$15,MONTH(WORKDAY(P303,-(Setup!$C$13+Setup!$G$34),Setup!$C$39:$C$50))&lt;=Setup!$C$16))),WORKDAY(P303,-(Setup!$C$13+Setup!$G$34+Setup!$C$14),Setup!$C$39:$C$50),WORKDAY(P303,-(Setup!$C$13+Setup!$G$34),Setup!$C$39:$C$50))+(298*100+15)/10000000)))</f>
        <v/>
      </c>
      <c r="AH303" t="str">
        <f t="shared" si="33"/>
        <v/>
      </c>
      <c r="AI303" t="str">
        <f t="shared" si="34"/>
        <v/>
      </c>
      <c r="AK303" t="str">
        <f ca="1">IF(298&gt;$AK$2,"",SMALL($R$6:$AF$505,298))</f>
        <v/>
      </c>
      <c r="AL303" t="str">
        <f t="shared" ca="1" si="35"/>
        <v/>
      </c>
      <c r="AM303" t="str">
        <f t="shared" ca="1" si="36"/>
        <v/>
      </c>
      <c r="AN303" t="str">
        <f t="shared" ca="1" si="37"/>
        <v/>
      </c>
      <c r="AP303" t="str">
        <f>IF(ISNUMBER(Roster!$B303),MAX(1,YEAR(Setup!$C$5)-YEAR(Roster!$B303)+IF(EDATE(Roster!$B303,12*(YEAR(Setup!$C$5)-YEAR(Roster!$B303)))&lt;Setup!$C$5,1,0)),"")</f>
        <v/>
      </c>
      <c r="AQ303" s="32" t="str">
        <f>IF(AP303="","",EDATE(Roster!$B303,12*AP303))</f>
        <v/>
      </c>
      <c r="AR303" t="str">
        <f>IF(AQ303="","",IF(AQ303&lt;DATE(YEAR(Setup!$C$5)+1,MONTH(Setup!$C$5),DAY(Setup!$C$5)),AQ303+298/1000,""))</f>
        <v/>
      </c>
      <c r="AS303" t="str">
        <f t="shared" si="38"/>
        <v/>
      </c>
      <c r="AT303" t="str">
        <f>IF(AS303="","",IF(ISNUMBER(Roster!$D303),Roster!$D303&gt;=AP303,FALSE))</f>
        <v/>
      </c>
      <c r="AU303" t="str">
        <f t="shared" si="39"/>
        <v/>
      </c>
      <c r="AV303" t="str">
        <f ca="1">IF(298&gt;$AV$2,"",SMALL($AR$6:$AR$505,298))</f>
        <v/>
      </c>
      <c r="AW303" t="str">
        <f t="shared" ca="1" si="40"/>
        <v/>
      </c>
    </row>
    <row r="304" spans="2:49" x14ac:dyDescent="0.2">
      <c r="B304" s="32" t="str">
        <f>IF(AND(ISNUMBER(Roster!$B304),Setup!$B$20="Yes",ISNUMBER(Setup!$C$20)),EDATE(Roster!$B304,12*Setup!$C$20),"")</f>
        <v/>
      </c>
      <c r="C304" s="32" t="str">
        <f>IF(AND(ISNUMBER(Roster!$B304),Setup!$B$21="Yes",ISNUMBER(Setup!$C$21)),EDATE(Roster!$B304,12*Setup!$C$21),"")</f>
        <v/>
      </c>
      <c r="D304" s="32" t="str">
        <f>IF(AND(ISNUMBER(Roster!$B304),Setup!$B$22="Yes",ISNUMBER(Setup!$C$22)),EDATE(Roster!$B304,12*Setup!$C$22),"")</f>
        <v/>
      </c>
      <c r="E304" s="32" t="str">
        <f>IF(AND(ISNUMBER(Roster!$B304),Setup!$B$23="Yes",ISNUMBER(Setup!$C$23)),EDATE(Roster!$B304,12*Setup!$C$23),"")</f>
        <v/>
      </c>
      <c r="F304" s="32" t="str">
        <f>IF(AND(ISNUMBER(Roster!$B304),Setup!$B$24="Yes",ISNUMBER(Setup!$C$24)),EDATE(Roster!$B304,12*Setup!$C$24),"")</f>
        <v/>
      </c>
      <c r="G304" s="32" t="str">
        <f>IF(AND(ISNUMBER(Roster!$B304),Setup!$B$25="Yes",ISNUMBER(Setup!$C$25)),EDATE(Roster!$B304,12*Setup!$C$25),"")</f>
        <v/>
      </c>
      <c r="H304" s="32" t="str">
        <f>IF(AND(ISNUMBER(Roster!$B304),Setup!$B$26="Yes",ISNUMBER(Setup!$C$26)),EDATE(Roster!$B304,12*Setup!$C$26),"")</f>
        <v/>
      </c>
      <c r="I304" s="32" t="str">
        <f>IF(AND(ISNUMBER(Roster!$B304),Setup!$B$27="Yes",ISNUMBER(Setup!$C$27)),EDATE(Roster!$B304,12*Setup!$C$27),"")</f>
        <v/>
      </c>
      <c r="J304" s="32" t="str">
        <f>IF(AND(ISNUMBER(Roster!$B304),Setup!$B$28="Yes",ISNUMBER(Setup!$C$28)),EDATE(Roster!$B304,12*Setup!$C$28),"")</f>
        <v/>
      </c>
      <c r="K304" s="32" t="str">
        <f>IF(AND(ISNUMBER(Roster!$B304),Setup!$B$29="Yes",ISNUMBER(Setup!$C$29)),EDATE(Roster!$B304,12*Setup!$C$29),"")</f>
        <v/>
      </c>
      <c r="L304" s="32" t="str">
        <f>IF(AND(ISNUMBER(Roster!$B304),Setup!$B$30="Yes",ISNUMBER(Setup!$C$30)),EDATE(Roster!$B304,12*Setup!$C$30),"")</f>
        <v/>
      </c>
      <c r="M304" s="32" t="str">
        <f>IF(AND(ISNUMBER(Roster!$B304),Setup!$B$31="Yes",ISNUMBER(Setup!$C$31)),EDATE(Roster!$B304,12*Setup!$C$31),"")</f>
        <v/>
      </c>
      <c r="N304" s="32" t="str">
        <f>IF(AND(ISNUMBER(Roster!$B304),Setup!$B$32="Yes",ISNUMBER(Setup!$C$32)),EDATE(Roster!$B304,12*Setup!$C$32),"")</f>
        <v/>
      </c>
      <c r="O304" s="32" t="str">
        <f>IF(AND(ISNUMBER(Roster!$B304),Setup!$B$33="Yes",ISNUMBER(Setup!$C$33)),EDATE(Roster!$B304,12*Setup!$C$33),"")</f>
        <v/>
      </c>
      <c r="P304" s="32" t="str">
        <f>IF(AND(ISNUMBER(Roster!$B304),Setup!$B$34="Yes",ISNUMBER(Setup!$C$34)),EDATE(Roster!$B304,12*Setup!$C$34),"")</f>
        <v/>
      </c>
      <c r="R304" t="str">
        <f>IF(B304="","",IF(B304&lt;Setup!$C$5-Setup!$C$6,"",IF(IF(ISNUMBER(Roster!$D304),Setup!$C$20&lt;=Roster!$D304,FALSE),"",IF(OR(IF(Setup!$C$15&lt;=Setup!$C$16,AND(MONTH(B304)&gt;=Setup!$C$15,MONTH(B304)&lt;=Setup!$C$16),OR(MONTH(B304)&gt;=Setup!$C$15,MONTH(B304)&lt;=Setup!$C$16)),IF(Setup!$C$15&lt;=Setup!$C$16,AND(MONTH(WORKDAY(B304,-(Setup!$C$13+Setup!$G$20),Setup!$C$39:$C$50))&gt;=Setup!$C$15,MONTH(WORKDAY(B304,-(Setup!$C$13+Setup!$G$20),Setup!$C$39:$C$50))&lt;=Setup!$C$16),OR(MONTH(WORKDAY(B304,-(Setup!$C$13+Setup!$G$20),Setup!$C$39:$C$50))&gt;=Setup!$C$15,MONTH(WORKDAY(B304,-(Setup!$C$13+Setup!$G$20),Setup!$C$39:$C$50))&lt;=Setup!$C$16))),WORKDAY(B304,-(Setup!$C$13+Setup!$G$20+Setup!$C$14),Setup!$C$39:$C$50),WORKDAY(B304,-(Setup!$C$13+Setup!$G$20),Setup!$C$39:$C$50))+(299*100+1)/10000000)))</f>
        <v/>
      </c>
      <c r="S304" t="str">
        <f>IF(C304="","",IF(C304&lt;Setup!$C$5-Setup!$C$6,"",IF(IF(ISNUMBER(Roster!$D304),Setup!$C$21&lt;=Roster!$D304,FALSE),"",IF(OR(IF(Setup!$C$15&lt;=Setup!$C$16,AND(MONTH(C304)&gt;=Setup!$C$15,MONTH(C304)&lt;=Setup!$C$16),OR(MONTH(C304)&gt;=Setup!$C$15,MONTH(C304)&lt;=Setup!$C$16)),IF(Setup!$C$15&lt;=Setup!$C$16,AND(MONTH(WORKDAY(C304,-(Setup!$C$13+Setup!$G$21),Setup!$C$39:$C$50))&gt;=Setup!$C$15,MONTH(WORKDAY(C304,-(Setup!$C$13+Setup!$G$21),Setup!$C$39:$C$50))&lt;=Setup!$C$16),OR(MONTH(WORKDAY(C304,-(Setup!$C$13+Setup!$G$21),Setup!$C$39:$C$50))&gt;=Setup!$C$15,MONTH(WORKDAY(C304,-(Setup!$C$13+Setup!$G$21),Setup!$C$39:$C$50))&lt;=Setup!$C$16))),WORKDAY(C304,-(Setup!$C$13+Setup!$G$21+Setup!$C$14),Setup!$C$39:$C$50),WORKDAY(C304,-(Setup!$C$13+Setup!$G$21),Setup!$C$39:$C$50))+(299*100+2)/10000000)))</f>
        <v/>
      </c>
      <c r="T304" t="str">
        <f>IF(D304="","",IF(D304&lt;Setup!$C$5-Setup!$C$6,"",IF(IF(ISNUMBER(Roster!$D304),Setup!$C$22&lt;=Roster!$D304,FALSE),"",IF(OR(IF(Setup!$C$15&lt;=Setup!$C$16,AND(MONTH(D304)&gt;=Setup!$C$15,MONTH(D304)&lt;=Setup!$C$16),OR(MONTH(D304)&gt;=Setup!$C$15,MONTH(D304)&lt;=Setup!$C$16)),IF(Setup!$C$15&lt;=Setup!$C$16,AND(MONTH(WORKDAY(D304,-(Setup!$C$13+Setup!$G$22),Setup!$C$39:$C$50))&gt;=Setup!$C$15,MONTH(WORKDAY(D304,-(Setup!$C$13+Setup!$G$22),Setup!$C$39:$C$50))&lt;=Setup!$C$16),OR(MONTH(WORKDAY(D304,-(Setup!$C$13+Setup!$G$22),Setup!$C$39:$C$50))&gt;=Setup!$C$15,MONTH(WORKDAY(D304,-(Setup!$C$13+Setup!$G$22),Setup!$C$39:$C$50))&lt;=Setup!$C$16))),WORKDAY(D304,-(Setup!$C$13+Setup!$G$22+Setup!$C$14),Setup!$C$39:$C$50),WORKDAY(D304,-(Setup!$C$13+Setup!$G$22),Setup!$C$39:$C$50))+(299*100+3)/10000000)))</f>
        <v/>
      </c>
      <c r="U304" t="str">
        <f>IF(E304="","",IF(E304&lt;Setup!$C$5-Setup!$C$6,"",IF(IF(ISNUMBER(Roster!$D304),Setup!$C$23&lt;=Roster!$D304,FALSE),"",IF(OR(IF(Setup!$C$15&lt;=Setup!$C$16,AND(MONTH(E304)&gt;=Setup!$C$15,MONTH(E304)&lt;=Setup!$C$16),OR(MONTH(E304)&gt;=Setup!$C$15,MONTH(E304)&lt;=Setup!$C$16)),IF(Setup!$C$15&lt;=Setup!$C$16,AND(MONTH(WORKDAY(E304,-(Setup!$C$13+Setup!$G$23),Setup!$C$39:$C$50))&gt;=Setup!$C$15,MONTH(WORKDAY(E304,-(Setup!$C$13+Setup!$G$23),Setup!$C$39:$C$50))&lt;=Setup!$C$16),OR(MONTH(WORKDAY(E304,-(Setup!$C$13+Setup!$G$23),Setup!$C$39:$C$50))&gt;=Setup!$C$15,MONTH(WORKDAY(E304,-(Setup!$C$13+Setup!$G$23),Setup!$C$39:$C$50))&lt;=Setup!$C$16))),WORKDAY(E304,-(Setup!$C$13+Setup!$G$23+Setup!$C$14),Setup!$C$39:$C$50),WORKDAY(E304,-(Setup!$C$13+Setup!$G$23),Setup!$C$39:$C$50))+(299*100+4)/10000000)))</f>
        <v/>
      </c>
      <c r="V304" t="str">
        <f>IF(F304="","",IF(F304&lt;Setup!$C$5-Setup!$C$6,"",IF(IF(ISNUMBER(Roster!$D304),Setup!$C$24&lt;=Roster!$D304,FALSE),"",IF(OR(IF(Setup!$C$15&lt;=Setup!$C$16,AND(MONTH(F304)&gt;=Setup!$C$15,MONTH(F304)&lt;=Setup!$C$16),OR(MONTH(F304)&gt;=Setup!$C$15,MONTH(F304)&lt;=Setup!$C$16)),IF(Setup!$C$15&lt;=Setup!$C$16,AND(MONTH(WORKDAY(F304,-(Setup!$C$13+Setup!$G$24),Setup!$C$39:$C$50))&gt;=Setup!$C$15,MONTH(WORKDAY(F304,-(Setup!$C$13+Setup!$G$24),Setup!$C$39:$C$50))&lt;=Setup!$C$16),OR(MONTH(WORKDAY(F304,-(Setup!$C$13+Setup!$G$24),Setup!$C$39:$C$50))&gt;=Setup!$C$15,MONTH(WORKDAY(F304,-(Setup!$C$13+Setup!$G$24),Setup!$C$39:$C$50))&lt;=Setup!$C$16))),WORKDAY(F304,-(Setup!$C$13+Setup!$G$24+Setup!$C$14),Setup!$C$39:$C$50),WORKDAY(F304,-(Setup!$C$13+Setup!$G$24),Setup!$C$39:$C$50))+(299*100+5)/10000000)))</f>
        <v/>
      </c>
      <c r="W304" t="str">
        <f>IF(G304="","",IF(G304&lt;Setup!$C$5-Setup!$C$6,"",IF(IF(ISNUMBER(Roster!$D304),Setup!$C$25&lt;=Roster!$D304,FALSE),"",IF(OR(IF(Setup!$C$15&lt;=Setup!$C$16,AND(MONTH(G304)&gt;=Setup!$C$15,MONTH(G304)&lt;=Setup!$C$16),OR(MONTH(G304)&gt;=Setup!$C$15,MONTH(G304)&lt;=Setup!$C$16)),IF(Setup!$C$15&lt;=Setup!$C$16,AND(MONTH(WORKDAY(G304,-(Setup!$C$13+Setup!$G$25),Setup!$C$39:$C$50))&gt;=Setup!$C$15,MONTH(WORKDAY(G304,-(Setup!$C$13+Setup!$G$25),Setup!$C$39:$C$50))&lt;=Setup!$C$16),OR(MONTH(WORKDAY(G304,-(Setup!$C$13+Setup!$G$25),Setup!$C$39:$C$50))&gt;=Setup!$C$15,MONTH(WORKDAY(G304,-(Setup!$C$13+Setup!$G$25),Setup!$C$39:$C$50))&lt;=Setup!$C$16))),WORKDAY(G304,-(Setup!$C$13+Setup!$G$25+Setup!$C$14),Setup!$C$39:$C$50),WORKDAY(G304,-(Setup!$C$13+Setup!$G$25),Setup!$C$39:$C$50))+(299*100+6)/10000000)))</f>
        <v/>
      </c>
      <c r="X304" t="str">
        <f>IF(H304="","",IF(H304&lt;Setup!$C$5-Setup!$C$6,"",IF(IF(ISNUMBER(Roster!$D304),Setup!$C$26&lt;=Roster!$D304,FALSE),"",IF(OR(IF(Setup!$C$15&lt;=Setup!$C$16,AND(MONTH(H304)&gt;=Setup!$C$15,MONTH(H304)&lt;=Setup!$C$16),OR(MONTH(H304)&gt;=Setup!$C$15,MONTH(H304)&lt;=Setup!$C$16)),IF(Setup!$C$15&lt;=Setup!$C$16,AND(MONTH(WORKDAY(H304,-(Setup!$C$13+Setup!$G$26),Setup!$C$39:$C$50))&gt;=Setup!$C$15,MONTH(WORKDAY(H304,-(Setup!$C$13+Setup!$G$26),Setup!$C$39:$C$50))&lt;=Setup!$C$16),OR(MONTH(WORKDAY(H304,-(Setup!$C$13+Setup!$G$26),Setup!$C$39:$C$50))&gt;=Setup!$C$15,MONTH(WORKDAY(H304,-(Setup!$C$13+Setup!$G$26),Setup!$C$39:$C$50))&lt;=Setup!$C$16))),WORKDAY(H304,-(Setup!$C$13+Setup!$G$26+Setup!$C$14),Setup!$C$39:$C$50),WORKDAY(H304,-(Setup!$C$13+Setup!$G$26),Setup!$C$39:$C$50))+(299*100+7)/10000000)))</f>
        <v/>
      </c>
      <c r="Y304" t="str">
        <f>IF(I304="","",IF(I304&lt;Setup!$C$5-Setup!$C$6,"",IF(IF(ISNUMBER(Roster!$D304),Setup!$C$27&lt;=Roster!$D304,FALSE),"",IF(OR(IF(Setup!$C$15&lt;=Setup!$C$16,AND(MONTH(I304)&gt;=Setup!$C$15,MONTH(I304)&lt;=Setup!$C$16),OR(MONTH(I304)&gt;=Setup!$C$15,MONTH(I304)&lt;=Setup!$C$16)),IF(Setup!$C$15&lt;=Setup!$C$16,AND(MONTH(WORKDAY(I304,-(Setup!$C$13+Setup!$G$27),Setup!$C$39:$C$50))&gt;=Setup!$C$15,MONTH(WORKDAY(I304,-(Setup!$C$13+Setup!$G$27),Setup!$C$39:$C$50))&lt;=Setup!$C$16),OR(MONTH(WORKDAY(I304,-(Setup!$C$13+Setup!$G$27),Setup!$C$39:$C$50))&gt;=Setup!$C$15,MONTH(WORKDAY(I304,-(Setup!$C$13+Setup!$G$27),Setup!$C$39:$C$50))&lt;=Setup!$C$16))),WORKDAY(I304,-(Setup!$C$13+Setup!$G$27+Setup!$C$14),Setup!$C$39:$C$50),WORKDAY(I304,-(Setup!$C$13+Setup!$G$27),Setup!$C$39:$C$50))+(299*100+8)/10000000)))</f>
        <v/>
      </c>
      <c r="Z304" t="str">
        <f>IF(J304="","",IF(J304&lt;Setup!$C$5-Setup!$C$6,"",IF(IF(ISNUMBER(Roster!$D304),Setup!$C$28&lt;=Roster!$D304,FALSE),"",IF(OR(IF(Setup!$C$15&lt;=Setup!$C$16,AND(MONTH(J304)&gt;=Setup!$C$15,MONTH(J304)&lt;=Setup!$C$16),OR(MONTH(J304)&gt;=Setup!$C$15,MONTH(J304)&lt;=Setup!$C$16)),IF(Setup!$C$15&lt;=Setup!$C$16,AND(MONTH(WORKDAY(J304,-(Setup!$C$13+Setup!$G$28),Setup!$C$39:$C$50))&gt;=Setup!$C$15,MONTH(WORKDAY(J304,-(Setup!$C$13+Setup!$G$28),Setup!$C$39:$C$50))&lt;=Setup!$C$16),OR(MONTH(WORKDAY(J304,-(Setup!$C$13+Setup!$G$28),Setup!$C$39:$C$50))&gt;=Setup!$C$15,MONTH(WORKDAY(J304,-(Setup!$C$13+Setup!$G$28),Setup!$C$39:$C$50))&lt;=Setup!$C$16))),WORKDAY(J304,-(Setup!$C$13+Setup!$G$28+Setup!$C$14),Setup!$C$39:$C$50),WORKDAY(J304,-(Setup!$C$13+Setup!$G$28),Setup!$C$39:$C$50))+(299*100+9)/10000000)))</f>
        <v/>
      </c>
      <c r="AA304" t="str">
        <f>IF(K304="","",IF(K304&lt;Setup!$C$5-Setup!$C$6,"",IF(IF(ISNUMBER(Roster!$D304),Setup!$C$29&lt;=Roster!$D304,FALSE),"",IF(OR(IF(Setup!$C$15&lt;=Setup!$C$16,AND(MONTH(K304)&gt;=Setup!$C$15,MONTH(K304)&lt;=Setup!$C$16),OR(MONTH(K304)&gt;=Setup!$C$15,MONTH(K304)&lt;=Setup!$C$16)),IF(Setup!$C$15&lt;=Setup!$C$16,AND(MONTH(WORKDAY(K304,-(Setup!$C$13+Setup!$G$29),Setup!$C$39:$C$50))&gt;=Setup!$C$15,MONTH(WORKDAY(K304,-(Setup!$C$13+Setup!$G$29),Setup!$C$39:$C$50))&lt;=Setup!$C$16),OR(MONTH(WORKDAY(K304,-(Setup!$C$13+Setup!$G$29),Setup!$C$39:$C$50))&gt;=Setup!$C$15,MONTH(WORKDAY(K304,-(Setup!$C$13+Setup!$G$29),Setup!$C$39:$C$50))&lt;=Setup!$C$16))),WORKDAY(K304,-(Setup!$C$13+Setup!$G$29+Setup!$C$14),Setup!$C$39:$C$50),WORKDAY(K304,-(Setup!$C$13+Setup!$G$29),Setup!$C$39:$C$50))+(299*100+10)/10000000)))</f>
        <v/>
      </c>
      <c r="AB304" t="str">
        <f>IF(L304="","",IF(L304&lt;Setup!$C$5-Setup!$C$6,"",IF(IF(ISNUMBER(Roster!$D304),Setup!$C$30&lt;=Roster!$D304,FALSE),"",IF(OR(IF(Setup!$C$15&lt;=Setup!$C$16,AND(MONTH(L304)&gt;=Setup!$C$15,MONTH(L304)&lt;=Setup!$C$16),OR(MONTH(L304)&gt;=Setup!$C$15,MONTH(L304)&lt;=Setup!$C$16)),IF(Setup!$C$15&lt;=Setup!$C$16,AND(MONTH(WORKDAY(L304,-(Setup!$C$13+Setup!$G$30),Setup!$C$39:$C$50))&gt;=Setup!$C$15,MONTH(WORKDAY(L304,-(Setup!$C$13+Setup!$G$30),Setup!$C$39:$C$50))&lt;=Setup!$C$16),OR(MONTH(WORKDAY(L304,-(Setup!$C$13+Setup!$G$30),Setup!$C$39:$C$50))&gt;=Setup!$C$15,MONTH(WORKDAY(L304,-(Setup!$C$13+Setup!$G$30),Setup!$C$39:$C$50))&lt;=Setup!$C$16))),WORKDAY(L304,-(Setup!$C$13+Setup!$G$30+Setup!$C$14),Setup!$C$39:$C$50),WORKDAY(L304,-(Setup!$C$13+Setup!$G$30),Setup!$C$39:$C$50))+(299*100+11)/10000000)))</f>
        <v/>
      </c>
      <c r="AC304" t="str">
        <f>IF(M304="","",IF(M304&lt;Setup!$C$5-Setup!$C$6,"",IF(IF(ISNUMBER(Roster!$D304),Setup!$C$31&lt;=Roster!$D304,FALSE),"",IF(OR(IF(Setup!$C$15&lt;=Setup!$C$16,AND(MONTH(M304)&gt;=Setup!$C$15,MONTH(M304)&lt;=Setup!$C$16),OR(MONTH(M304)&gt;=Setup!$C$15,MONTH(M304)&lt;=Setup!$C$16)),IF(Setup!$C$15&lt;=Setup!$C$16,AND(MONTH(WORKDAY(M304,-(Setup!$C$13+Setup!$G$31),Setup!$C$39:$C$50))&gt;=Setup!$C$15,MONTH(WORKDAY(M304,-(Setup!$C$13+Setup!$G$31),Setup!$C$39:$C$50))&lt;=Setup!$C$16),OR(MONTH(WORKDAY(M304,-(Setup!$C$13+Setup!$G$31),Setup!$C$39:$C$50))&gt;=Setup!$C$15,MONTH(WORKDAY(M304,-(Setup!$C$13+Setup!$G$31),Setup!$C$39:$C$50))&lt;=Setup!$C$16))),WORKDAY(M304,-(Setup!$C$13+Setup!$G$31+Setup!$C$14),Setup!$C$39:$C$50),WORKDAY(M304,-(Setup!$C$13+Setup!$G$31),Setup!$C$39:$C$50))+(299*100+12)/10000000)))</f>
        <v/>
      </c>
      <c r="AD304" t="str">
        <f>IF(N304="","",IF(N304&lt;Setup!$C$5-Setup!$C$6,"",IF(IF(ISNUMBER(Roster!$D304),Setup!$C$32&lt;=Roster!$D304,FALSE),"",IF(OR(IF(Setup!$C$15&lt;=Setup!$C$16,AND(MONTH(N304)&gt;=Setup!$C$15,MONTH(N304)&lt;=Setup!$C$16),OR(MONTH(N304)&gt;=Setup!$C$15,MONTH(N304)&lt;=Setup!$C$16)),IF(Setup!$C$15&lt;=Setup!$C$16,AND(MONTH(WORKDAY(N304,-(Setup!$C$13+Setup!$G$32),Setup!$C$39:$C$50))&gt;=Setup!$C$15,MONTH(WORKDAY(N304,-(Setup!$C$13+Setup!$G$32),Setup!$C$39:$C$50))&lt;=Setup!$C$16),OR(MONTH(WORKDAY(N304,-(Setup!$C$13+Setup!$G$32),Setup!$C$39:$C$50))&gt;=Setup!$C$15,MONTH(WORKDAY(N304,-(Setup!$C$13+Setup!$G$32),Setup!$C$39:$C$50))&lt;=Setup!$C$16))),WORKDAY(N304,-(Setup!$C$13+Setup!$G$32+Setup!$C$14),Setup!$C$39:$C$50),WORKDAY(N304,-(Setup!$C$13+Setup!$G$32),Setup!$C$39:$C$50))+(299*100+13)/10000000)))</f>
        <v/>
      </c>
      <c r="AE304" t="str">
        <f>IF(O304="","",IF(O304&lt;Setup!$C$5-Setup!$C$6,"",IF(IF(ISNUMBER(Roster!$D304),Setup!$C$33&lt;=Roster!$D304,FALSE),"",IF(OR(IF(Setup!$C$15&lt;=Setup!$C$16,AND(MONTH(O304)&gt;=Setup!$C$15,MONTH(O304)&lt;=Setup!$C$16),OR(MONTH(O304)&gt;=Setup!$C$15,MONTH(O304)&lt;=Setup!$C$16)),IF(Setup!$C$15&lt;=Setup!$C$16,AND(MONTH(WORKDAY(O304,-(Setup!$C$13+Setup!$G$33),Setup!$C$39:$C$50))&gt;=Setup!$C$15,MONTH(WORKDAY(O304,-(Setup!$C$13+Setup!$G$33),Setup!$C$39:$C$50))&lt;=Setup!$C$16),OR(MONTH(WORKDAY(O304,-(Setup!$C$13+Setup!$G$33),Setup!$C$39:$C$50))&gt;=Setup!$C$15,MONTH(WORKDAY(O304,-(Setup!$C$13+Setup!$G$33),Setup!$C$39:$C$50))&lt;=Setup!$C$16))),WORKDAY(O304,-(Setup!$C$13+Setup!$G$33+Setup!$C$14),Setup!$C$39:$C$50),WORKDAY(O304,-(Setup!$C$13+Setup!$G$33),Setup!$C$39:$C$50))+(299*100+14)/10000000)))</f>
        <v/>
      </c>
      <c r="AF304" t="str">
        <f>IF(P304="","",IF(P304&lt;Setup!$C$5-Setup!$C$6,"",IF(IF(ISNUMBER(Roster!$D304),Setup!$C$34&lt;=Roster!$D304,FALSE),"",IF(OR(IF(Setup!$C$15&lt;=Setup!$C$16,AND(MONTH(P304)&gt;=Setup!$C$15,MONTH(P304)&lt;=Setup!$C$16),OR(MONTH(P304)&gt;=Setup!$C$15,MONTH(P304)&lt;=Setup!$C$16)),IF(Setup!$C$15&lt;=Setup!$C$16,AND(MONTH(WORKDAY(P304,-(Setup!$C$13+Setup!$G$34),Setup!$C$39:$C$50))&gt;=Setup!$C$15,MONTH(WORKDAY(P304,-(Setup!$C$13+Setup!$G$34),Setup!$C$39:$C$50))&lt;=Setup!$C$16),OR(MONTH(WORKDAY(P304,-(Setup!$C$13+Setup!$G$34),Setup!$C$39:$C$50))&gt;=Setup!$C$15,MONTH(WORKDAY(P304,-(Setup!$C$13+Setup!$G$34),Setup!$C$39:$C$50))&lt;=Setup!$C$16))),WORKDAY(P304,-(Setup!$C$13+Setup!$G$34+Setup!$C$14),Setup!$C$39:$C$50),WORKDAY(P304,-(Setup!$C$13+Setup!$G$34),Setup!$C$39:$C$50))+(299*100+15)/10000000)))</f>
        <v/>
      </c>
      <c r="AH304" t="str">
        <f t="shared" si="33"/>
        <v/>
      </c>
      <c r="AI304" t="str">
        <f t="shared" si="34"/>
        <v/>
      </c>
      <c r="AK304" t="str">
        <f ca="1">IF(299&gt;$AK$2,"",SMALL($R$6:$AF$505,299))</f>
        <v/>
      </c>
      <c r="AL304" t="str">
        <f t="shared" ca="1" si="35"/>
        <v/>
      </c>
      <c r="AM304" t="str">
        <f t="shared" ca="1" si="36"/>
        <v/>
      </c>
      <c r="AN304" t="str">
        <f t="shared" ca="1" si="37"/>
        <v/>
      </c>
      <c r="AP304" t="str">
        <f>IF(ISNUMBER(Roster!$B304),MAX(1,YEAR(Setup!$C$5)-YEAR(Roster!$B304)+IF(EDATE(Roster!$B304,12*(YEAR(Setup!$C$5)-YEAR(Roster!$B304)))&lt;Setup!$C$5,1,0)),"")</f>
        <v/>
      </c>
      <c r="AQ304" s="32" t="str">
        <f>IF(AP304="","",EDATE(Roster!$B304,12*AP304))</f>
        <v/>
      </c>
      <c r="AR304" t="str">
        <f>IF(AQ304="","",IF(AQ304&lt;DATE(YEAR(Setup!$C$5)+1,MONTH(Setup!$C$5),DAY(Setup!$C$5)),AQ304+299/1000,""))</f>
        <v/>
      </c>
      <c r="AS304" t="str">
        <f t="shared" si="38"/>
        <v/>
      </c>
      <c r="AT304" t="str">
        <f>IF(AS304="","",IF(ISNUMBER(Roster!$D304),Roster!$D304&gt;=AP304,FALSE))</f>
        <v/>
      </c>
      <c r="AU304" t="str">
        <f t="shared" si="39"/>
        <v/>
      </c>
      <c r="AV304" t="str">
        <f ca="1">IF(299&gt;$AV$2,"",SMALL($AR$6:$AR$505,299))</f>
        <v/>
      </c>
      <c r="AW304" t="str">
        <f t="shared" ca="1" si="40"/>
        <v/>
      </c>
    </row>
    <row r="305" spans="2:49" x14ac:dyDescent="0.2">
      <c r="B305" s="32" t="str">
        <f>IF(AND(ISNUMBER(Roster!$B305),Setup!$B$20="Yes",ISNUMBER(Setup!$C$20)),EDATE(Roster!$B305,12*Setup!$C$20),"")</f>
        <v/>
      </c>
      <c r="C305" s="32" t="str">
        <f>IF(AND(ISNUMBER(Roster!$B305),Setup!$B$21="Yes",ISNUMBER(Setup!$C$21)),EDATE(Roster!$B305,12*Setup!$C$21),"")</f>
        <v/>
      </c>
      <c r="D305" s="32" t="str">
        <f>IF(AND(ISNUMBER(Roster!$B305),Setup!$B$22="Yes",ISNUMBER(Setup!$C$22)),EDATE(Roster!$B305,12*Setup!$C$22),"")</f>
        <v/>
      </c>
      <c r="E305" s="32" t="str">
        <f>IF(AND(ISNUMBER(Roster!$B305),Setup!$B$23="Yes",ISNUMBER(Setup!$C$23)),EDATE(Roster!$B305,12*Setup!$C$23),"")</f>
        <v/>
      </c>
      <c r="F305" s="32" t="str">
        <f>IF(AND(ISNUMBER(Roster!$B305),Setup!$B$24="Yes",ISNUMBER(Setup!$C$24)),EDATE(Roster!$B305,12*Setup!$C$24),"")</f>
        <v/>
      </c>
      <c r="G305" s="32" t="str">
        <f>IF(AND(ISNUMBER(Roster!$B305),Setup!$B$25="Yes",ISNUMBER(Setup!$C$25)),EDATE(Roster!$B305,12*Setup!$C$25),"")</f>
        <v/>
      </c>
      <c r="H305" s="32" t="str">
        <f>IF(AND(ISNUMBER(Roster!$B305),Setup!$B$26="Yes",ISNUMBER(Setup!$C$26)),EDATE(Roster!$B305,12*Setup!$C$26),"")</f>
        <v/>
      </c>
      <c r="I305" s="32" t="str">
        <f>IF(AND(ISNUMBER(Roster!$B305),Setup!$B$27="Yes",ISNUMBER(Setup!$C$27)),EDATE(Roster!$B305,12*Setup!$C$27),"")</f>
        <v/>
      </c>
      <c r="J305" s="32" t="str">
        <f>IF(AND(ISNUMBER(Roster!$B305),Setup!$B$28="Yes",ISNUMBER(Setup!$C$28)),EDATE(Roster!$B305,12*Setup!$C$28),"")</f>
        <v/>
      </c>
      <c r="K305" s="32" t="str">
        <f>IF(AND(ISNUMBER(Roster!$B305),Setup!$B$29="Yes",ISNUMBER(Setup!$C$29)),EDATE(Roster!$B305,12*Setup!$C$29),"")</f>
        <v/>
      </c>
      <c r="L305" s="32" t="str">
        <f>IF(AND(ISNUMBER(Roster!$B305),Setup!$B$30="Yes",ISNUMBER(Setup!$C$30)),EDATE(Roster!$B305,12*Setup!$C$30),"")</f>
        <v/>
      </c>
      <c r="M305" s="32" t="str">
        <f>IF(AND(ISNUMBER(Roster!$B305),Setup!$B$31="Yes",ISNUMBER(Setup!$C$31)),EDATE(Roster!$B305,12*Setup!$C$31),"")</f>
        <v/>
      </c>
      <c r="N305" s="32" t="str">
        <f>IF(AND(ISNUMBER(Roster!$B305),Setup!$B$32="Yes",ISNUMBER(Setup!$C$32)),EDATE(Roster!$B305,12*Setup!$C$32),"")</f>
        <v/>
      </c>
      <c r="O305" s="32" t="str">
        <f>IF(AND(ISNUMBER(Roster!$B305),Setup!$B$33="Yes",ISNUMBER(Setup!$C$33)),EDATE(Roster!$B305,12*Setup!$C$33),"")</f>
        <v/>
      </c>
      <c r="P305" s="32" t="str">
        <f>IF(AND(ISNUMBER(Roster!$B305),Setup!$B$34="Yes",ISNUMBER(Setup!$C$34)),EDATE(Roster!$B305,12*Setup!$C$34),"")</f>
        <v/>
      </c>
      <c r="R305" t="str">
        <f>IF(B305="","",IF(B305&lt;Setup!$C$5-Setup!$C$6,"",IF(IF(ISNUMBER(Roster!$D305),Setup!$C$20&lt;=Roster!$D305,FALSE),"",IF(OR(IF(Setup!$C$15&lt;=Setup!$C$16,AND(MONTH(B305)&gt;=Setup!$C$15,MONTH(B305)&lt;=Setup!$C$16),OR(MONTH(B305)&gt;=Setup!$C$15,MONTH(B305)&lt;=Setup!$C$16)),IF(Setup!$C$15&lt;=Setup!$C$16,AND(MONTH(WORKDAY(B305,-(Setup!$C$13+Setup!$G$20),Setup!$C$39:$C$50))&gt;=Setup!$C$15,MONTH(WORKDAY(B305,-(Setup!$C$13+Setup!$G$20),Setup!$C$39:$C$50))&lt;=Setup!$C$16),OR(MONTH(WORKDAY(B305,-(Setup!$C$13+Setup!$G$20),Setup!$C$39:$C$50))&gt;=Setup!$C$15,MONTH(WORKDAY(B305,-(Setup!$C$13+Setup!$G$20),Setup!$C$39:$C$50))&lt;=Setup!$C$16))),WORKDAY(B305,-(Setup!$C$13+Setup!$G$20+Setup!$C$14),Setup!$C$39:$C$50),WORKDAY(B305,-(Setup!$C$13+Setup!$G$20),Setup!$C$39:$C$50))+(300*100+1)/10000000)))</f>
        <v/>
      </c>
      <c r="S305" t="str">
        <f>IF(C305="","",IF(C305&lt;Setup!$C$5-Setup!$C$6,"",IF(IF(ISNUMBER(Roster!$D305),Setup!$C$21&lt;=Roster!$D305,FALSE),"",IF(OR(IF(Setup!$C$15&lt;=Setup!$C$16,AND(MONTH(C305)&gt;=Setup!$C$15,MONTH(C305)&lt;=Setup!$C$16),OR(MONTH(C305)&gt;=Setup!$C$15,MONTH(C305)&lt;=Setup!$C$16)),IF(Setup!$C$15&lt;=Setup!$C$16,AND(MONTH(WORKDAY(C305,-(Setup!$C$13+Setup!$G$21),Setup!$C$39:$C$50))&gt;=Setup!$C$15,MONTH(WORKDAY(C305,-(Setup!$C$13+Setup!$G$21),Setup!$C$39:$C$50))&lt;=Setup!$C$16),OR(MONTH(WORKDAY(C305,-(Setup!$C$13+Setup!$G$21),Setup!$C$39:$C$50))&gt;=Setup!$C$15,MONTH(WORKDAY(C305,-(Setup!$C$13+Setup!$G$21),Setup!$C$39:$C$50))&lt;=Setup!$C$16))),WORKDAY(C305,-(Setup!$C$13+Setup!$G$21+Setup!$C$14),Setup!$C$39:$C$50),WORKDAY(C305,-(Setup!$C$13+Setup!$G$21),Setup!$C$39:$C$50))+(300*100+2)/10000000)))</f>
        <v/>
      </c>
      <c r="T305" t="str">
        <f>IF(D305="","",IF(D305&lt;Setup!$C$5-Setup!$C$6,"",IF(IF(ISNUMBER(Roster!$D305),Setup!$C$22&lt;=Roster!$D305,FALSE),"",IF(OR(IF(Setup!$C$15&lt;=Setup!$C$16,AND(MONTH(D305)&gt;=Setup!$C$15,MONTH(D305)&lt;=Setup!$C$16),OR(MONTH(D305)&gt;=Setup!$C$15,MONTH(D305)&lt;=Setup!$C$16)),IF(Setup!$C$15&lt;=Setup!$C$16,AND(MONTH(WORKDAY(D305,-(Setup!$C$13+Setup!$G$22),Setup!$C$39:$C$50))&gt;=Setup!$C$15,MONTH(WORKDAY(D305,-(Setup!$C$13+Setup!$G$22),Setup!$C$39:$C$50))&lt;=Setup!$C$16),OR(MONTH(WORKDAY(D305,-(Setup!$C$13+Setup!$G$22),Setup!$C$39:$C$50))&gt;=Setup!$C$15,MONTH(WORKDAY(D305,-(Setup!$C$13+Setup!$G$22),Setup!$C$39:$C$50))&lt;=Setup!$C$16))),WORKDAY(D305,-(Setup!$C$13+Setup!$G$22+Setup!$C$14),Setup!$C$39:$C$50),WORKDAY(D305,-(Setup!$C$13+Setup!$G$22),Setup!$C$39:$C$50))+(300*100+3)/10000000)))</f>
        <v/>
      </c>
      <c r="U305" t="str">
        <f>IF(E305="","",IF(E305&lt;Setup!$C$5-Setup!$C$6,"",IF(IF(ISNUMBER(Roster!$D305),Setup!$C$23&lt;=Roster!$D305,FALSE),"",IF(OR(IF(Setup!$C$15&lt;=Setup!$C$16,AND(MONTH(E305)&gt;=Setup!$C$15,MONTH(E305)&lt;=Setup!$C$16),OR(MONTH(E305)&gt;=Setup!$C$15,MONTH(E305)&lt;=Setup!$C$16)),IF(Setup!$C$15&lt;=Setup!$C$16,AND(MONTH(WORKDAY(E305,-(Setup!$C$13+Setup!$G$23),Setup!$C$39:$C$50))&gt;=Setup!$C$15,MONTH(WORKDAY(E305,-(Setup!$C$13+Setup!$G$23),Setup!$C$39:$C$50))&lt;=Setup!$C$16),OR(MONTH(WORKDAY(E305,-(Setup!$C$13+Setup!$G$23),Setup!$C$39:$C$50))&gt;=Setup!$C$15,MONTH(WORKDAY(E305,-(Setup!$C$13+Setup!$G$23),Setup!$C$39:$C$50))&lt;=Setup!$C$16))),WORKDAY(E305,-(Setup!$C$13+Setup!$G$23+Setup!$C$14),Setup!$C$39:$C$50),WORKDAY(E305,-(Setup!$C$13+Setup!$G$23),Setup!$C$39:$C$50))+(300*100+4)/10000000)))</f>
        <v/>
      </c>
      <c r="V305" t="str">
        <f>IF(F305="","",IF(F305&lt;Setup!$C$5-Setup!$C$6,"",IF(IF(ISNUMBER(Roster!$D305),Setup!$C$24&lt;=Roster!$D305,FALSE),"",IF(OR(IF(Setup!$C$15&lt;=Setup!$C$16,AND(MONTH(F305)&gt;=Setup!$C$15,MONTH(F305)&lt;=Setup!$C$16),OR(MONTH(F305)&gt;=Setup!$C$15,MONTH(F305)&lt;=Setup!$C$16)),IF(Setup!$C$15&lt;=Setup!$C$16,AND(MONTH(WORKDAY(F305,-(Setup!$C$13+Setup!$G$24),Setup!$C$39:$C$50))&gt;=Setup!$C$15,MONTH(WORKDAY(F305,-(Setup!$C$13+Setup!$G$24),Setup!$C$39:$C$50))&lt;=Setup!$C$16),OR(MONTH(WORKDAY(F305,-(Setup!$C$13+Setup!$G$24),Setup!$C$39:$C$50))&gt;=Setup!$C$15,MONTH(WORKDAY(F305,-(Setup!$C$13+Setup!$G$24),Setup!$C$39:$C$50))&lt;=Setup!$C$16))),WORKDAY(F305,-(Setup!$C$13+Setup!$G$24+Setup!$C$14),Setup!$C$39:$C$50),WORKDAY(F305,-(Setup!$C$13+Setup!$G$24),Setup!$C$39:$C$50))+(300*100+5)/10000000)))</f>
        <v/>
      </c>
      <c r="W305" t="str">
        <f>IF(G305="","",IF(G305&lt;Setup!$C$5-Setup!$C$6,"",IF(IF(ISNUMBER(Roster!$D305),Setup!$C$25&lt;=Roster!$D305,FALSE),"",IF(OR(IF(Setup!$C$15&lt;=Setup!$C$16,AND(MONTH(G305)&gt;=Setup!$C$15,MONTH(G305)&lt;=Setup!$C$16),OR(MONTH(G305)&gt;=Setup!$C$15,MONTH(G305)&lt;=Setup!$C$16)),IF(Setup!$C$15&lt;=Setup!$C$16,AND(MONTH(WORKDAY(G305,-(Setup!$C$13+Setup!$G$25),Setup!$C$39:$C$50))&gt;=Setup!$C$15,MONTH(WORKDAY(G305,-(Setup!$C$13+Setup!$G$25),Setup!$C$39:$C$50))&lt;=Setup!$C$16),OR(MONTH(WORKDAY(G305,-(Setup!$C$13+Setup!$G$25),Setup!$C$39:$C$50))&gt;=Setup!$C$15,MONTH(WORKDAY(G305,-(Setup!$C$13+Setup!$G$25),Setup!$C$39:$C$50))&lt;=Setup!$C$16))),WORKDAY(G305,-(Setup!$C$13+Setup!$G$25+Setup!$C$14),Setup!$C$39:$C$50),WORKDAY(G305,-(Setup!$C$13+Setup!$G$25),Setup!$C$39:$C$50))+(300*100+6)/10000000)))</f>
        <v/>
      </c>
      <c r="X305" t="str">
        <f>IF(H305="","",IF(H305&lt;Setup!$C$5-Setup!$C$6,"",IF(IF(ISNUMBER(Roster!$D305),Setup!$C$26&lt;=Roster!$D305,FALSE),"",IF(OR(IF(Setup!$C$15&lt;=Setup!$C$16,AND(MONTH(H305)&gt;=Setup!$C$15,MONTH(H305)&lt;=Setup!$C$16),OR(MONTH(H305)&gt;=Setup!$C$15,MONTH(H305)&lt;=Setup!$C$16)),IF(Setup!$C$15&lt;=Setup!$C$16,AND(MONTH(WORKDAY(H305,-(Setup!$C$13+Setup!$G$26),Setup!$C$39:$C$50))&gt;=Setup!$C$15,MONTH(WORKDAY(H305,-(Setup!$C$13+Setup!$G$26),Setup!$C$39:$C$50))&lt;=Setup!$C$16),OR(MONTH(WORKDAY(H305,-(Setup!$C$13+Setup!$G$26),Setup!$C$39:$C$50))&gt;=Setup!$C$15,MONTH(WORKDAY(H305,-(Setup!$C$13+Setup!$G$26),Setup!$C$39:$C$50))&lt;=Setup!$C$16))),WORKDAY(H305,-(Setup!$C$13+Setup!$G$26+Setup!$C$14),Setup!$C$39:$C$50),WORKDAY(H305,-(Setup!$C$13+Setup!$G$26),Setup!$C$39:$C$50))+(300*100+7)/10000000)))</f>
        <v/>
      </c>
      <c r="Y305" t="str">
        <f>IF(I305="","",IF(I305&lt;Setup!$C$5-Setup!$C$6,"",IF(IF(ISNUMBER(Roster!$D305),Setup!$C$27&lt;=Roster!$D305,FALSE),"",IF(OR(IF(Setup!$C$15&lt;=Setup!$C$16,AND(MONTH(I305)&gt;=Setup!$C$15,MONTH(I305)&lt;=Setup!$C$16),OR(MONTH(I305)&gt;=Setup!$C$15,MONTH(I305)&lt;=Setup!$C$16)),IF(Setup!$C$15&lt;=Setup!$C$16,AND(MONTH(WORKDAY(I305,-(Setup!$C$13+Setup!$G$27),Setup!$C$39:$C$50))&gt;=Setup!$C$15,MONTH(WORKDAY(I305,-(Setup!$C$13+Setup!$G$27),Setup!$C$39:$C$50))&lt;=Setup!$C$16),OR(MONTH(WORKDAY(I305,-(Setup!$C$13+Setup!$G$27),Setup!$C$39:$C$50))&gt;=Setup!$C$15,MONTH(WORKDAY(I305,-(Setup!$C$13+Setup!$G$27),Setup!$C$39:$C$50))&lt;=Setup!$C$16))),WORKDAY(I305,-(Setup!$C$13+Setup!$G$27+Setup!$C$14),Setup!$C$39:$C$50),WORKDAY(I305,-(Setup!$C$13+Setup!$G$27),Setup!$C$39:$C$50))+(300*100+8)/10000000)))</f>
        <v/>
      </c>
      <c r="Z305" t="str">
        <f>IF(J305="","",IF(J305&lt;Setup!$C$5-Setup!$C$6,"",IF(IF(ISNUMBER(Roster!$D305),Setup!$C$28&lt;=Roster!$D305,FALSE),"",IF(OR(IF(Setup!$C$15&lt;=Setup!$C$16,AND(MONTH(J305)&gt;=Setup!$C$15,MONTH(J305)&lt;=Setup!$C$16),OR(MONTH(J305)&gt;=Setup!$C$15,MONTH(J305)&lt;=Setup!$C$16)),IF(Setup!$C$15&lt;=Setup!$C$16,AND(MONTH(WORKDAY(J305,-(Setup!$C$13+Setup!$G$28),Setup!$C$39:$C$50))&gt;=Setup!$C$15,MONTH(WORKDAY(J305,-(Setup!$C$13+Setup!$G$28),Setup!$C$39:$C$50))&lt;=Setup!$C$16),OR(MONTH(WORKDAY(J305,-(Setup!$C$13+Setup!$G$28),Setup!$C$39:$C$50))&gt;=Setup!$C$15,MONTH(WORKDAY(J305,-(Setup!$C$13+Setup!$G$28),Setup!$C$39:$C$50))&lt;=Setup!$C$16))),WORKDAY(J305,-(Setup!$C$13+Setup!$G$28+Setup!$C$14),Setup!$C$39:$C$50),WORKDAY(J305,-(Setup!$C$13+Setup!$G$28),Setup!$C$39:$C$50))+(300*100+9)/10000000)))</f>
        <v/>
      </c>
      <c r="AA305" t="str">
        <f>IF(K305="","",IF(K305&lt;Setup!$C$5-Setup!$C$6,"",IF(IF(ISNUMBER(Roster!$D305),Setup!$C$29&lt;=Roster!$D305,FALSE),"",IF(OR(IF(Setup!$C$15&lt;=Setup!$C$16,AND(MONTH(K305)&gt;=Setup!$C$15,MONTH(K305)&lt;=Setup!$C$16),OR(MONTH(K305)&gt;=Setup!$C$15,MONTH(K305)&lt;=Setup!$C$16)),IF(Setup!$C$15&lt;=Setup!$C$16,AND(MONTH(WORKDAY(K305,-(Setup!$C$13+Setup!$G$29),Setup!$C$39:$C$50))&gt;=Setup!$C$15,MONTH(WORKDAY(K305,-(Setup!$C$13+Setup!$G$29),Setup!$C$39:$C$50))&lt;=Setup!$C$16),OR(MONTH(WORKDAY(K305,-(Setup!$C$13+Setup!$G$29),Setup!$C$39:$C$50))&gt;=Setup!$C$15,MONTH(WORKDAY(K305,-(Setup!$C$13+Setup!$G$29),Setup!$C$39:$C$50))&lt;=Setup!$C$16))),WORKDAY(K305,-(Setup!$C$13+Setup!$G$29+Setup!$C$14),Setup!$C$39:$C$50),WORKDAY(K305,-(Setup!$C$13+Setup!$G$29),Setup!$C$39:$C$50))+(300*100+10)/10000000)))</f>
        <v/>
      </c>
      <c r="AB305" t="str">
        <f>IF(L305="","",IF(L305&lt;Setup!$C$5-Setup!$C$6,"",IF(IF(ISNUMBER(Roster!$D305),Setup!$C$30&lt;=Roster!$D305,FALSE),"",IF(OR(IF(Setup!$C$15&lt;=Setup!$C$16,AND(MONTH(L305)&gt;=Setup!$C$15,MONTH(L305)&lt;=Setup!$C$16),OR(MONTH(L305)&gt;=Setup!$C$15,MONTH(L305)&lt;=Setup!$C$16)),IF(Setup!$C$15&lt;=Setup!$C$16,AND(MONTH(WORKDAY(L305,-(Setup!$C$13+Setup!$G$30),Setup!$C$39:$C$50))&gt;=Setup!$C$15,MONTH(WORKDAY(L305,-(Setup!$C$13+Setup!$G$30),Setup!$C$39:$C$50))&lt;=Setup!$C$16),OR(MONTH(WORKDAY(L305,-(Setup!$C$13+Setup!$G$30),Setup!$C$39:$C$50))&gt;=Setup!$C$15,MONTH(WORKDAY(L305,-(Setup!$C$13+Setup!$G$30),Setup!$C$39:$C$50))&lt;=Setup!$C$16))),WORKDAY(L305,-(Setup!$C$13+Setup!$G$30+Setup!$C$14),Setup!$C$39:$C$50),WORKDAY(L305,-(Setup!$C$13+Setup!$G$30),Setup!$C$39:$C$50))+(300*100+11)/10000000)))</f>
        <v/>
      </c>
      <c r="AC305" t="str">
        <f>IF(M305="","",IF(M305&lt;Setup!$C$5-Setup!$C$6,"",IF(IF(ISNUMBER(Roster!$D305),Setup!$C$31&lt;=Roster!$D305,FALSE),"",IF(OR(IF(Setup!$C$15&lt;=Setup!$C$16,AND(MONTH(M305)&gt;=Setup!$C$15,MONTH(M305)&lt;=Setup!$C$16),OR(MONTH(M305)&gt;=Setup!$C$15,MONTH(M305)&lt;=Setup!$C$16)),IF(Setup!$C$15&lt;=Setup!$C$16,AND(MONTH(WORKDAY(M305,-(Setup!$C$13+Setup!$G$31),Setup!$C$39:$C$50))&gt;=Setup!$C$15,MONTH(WORKDAY(M305,-(Setup!$C$13+Setup!$G$31),Setup!$C$39:$C$50))&lt;=Setup!$C$16),OR(MONTH(WORKDAY(M305,-(Setup!$C$13+Setup!$G$31),Setup!$C$39:$C$50))&gt;=Setup!$C$15,MONTH(WORKDAY(M305,-(Setup!$C$13+Setup!$G$31),Setup!$C$39:$C$50))&lt;=Setup!$C$16))),WORKDAY(M305,-(Setup!$C$13+Setup!$G$31+Setup!$C$14),Setup!$C$39:$C$50),WORKDAY(M305,-(Setup!$C$13+Setup!$G$31),Setup!$C$39:$C$50))+(300*100+12)/10000000)))</f>
        <v/>
      </c>
      <c r="AD305" t="str">
        <f>IF(N305="","",IF(N305&lt;Setup!$C$5-Setup!$C$6,"",IF(IF(ISNUMBER(Roster!$D305),Setup!$C$32&lt;=Roster!$D305,FALSE),"",IF(OR(IF(Setup!$C$15&lt;=Setup!$C$16,AND(MONTH(N305)&gt;=Setup!$C$15,MONTH(N305)&lt;=Setup!$C$16),OR(MONTH(N305)&gt;=Setup!$C$15,MONTH(N305)&lt;=Setup!$C$16)),IF(Setup!$C$15&lt;=Setup!$C$16,AND(MONTH(WORKDAY(N305,-(Setup!$C$13+Setup!$G$32),Setup!$C$39:$C$50))&gt;=Setup!$C$15,MONTH(WORKDAY(N305,-(Setup!$C$13+Setup!$G$32),Setup!$C$39:$C$50))&lt;=Setup!$C$16),OR(MONTH(WORKDAY(N305,-(Setup!$C$13+Setup!$G$32),Setup!$C$39:$C$50))&gt;=Setup!$C$15,MONTH(WORKDAY(N305,-(Setup!$C$13+Setup!$G$32),Setup!$C$39:$C$50))&lt;=Setup!$C$16))),WORKDAY(N305,-(Setup!$C$13+Setup!$G$32+Setup!$C$14),Setup!$C$39:$C$50),WORKDAY(N305,-(Setup!$C$13+Setup!$G$32),Setup!$C$39:$C$50))+(300*100+13)/10000000)))</f>
        <v/>
      </c>
      <c r="AE305" t="str">
        <f>IF(O305="","",IF(O305&lt;Setup!$C$5-Setup!$C$6,"",IF(IF(ISNUMBER(Roster!$D305),Setup!$C$33&lt;=Roster!$D305,FALSE),"",IF(OR(IF(Setup!$C$15&lt;=Setup!$C$16,AND(MONTH(O305)&gt;=Setup!$C$15,MONTH(O305)&lt;=Setup!$C$16),OR(MONTH(O305)&gt;=Setup!$C$15,MONTH(O305)&lt;=Setup!$C$16)),IF(Setup!$C$15&lt;=Setup!$C$16,AND(MONTH(WORKDAY(O305,-(Setup!$C$13+Setup!$G$33),Setup!$C$39:$C$50))&gt;=Setup!$C$15,MONTH(WORKDAY(O305,-(Setup!$C$13+Setup!$G$33),Setup!$C$39:$C$50))&lt;=Setup!$C$16),OR(MONTH(WORKDAY(O305,-(Setup!$C$13+Setup!$G$33),Setup!$C$39:$C$50))&gt;=Setup!$C$15,MONTH(WORKDAY(O305,-(Setup!$C$13+Setup!$G$33),Setup!$C$39:$C$50))&lt;=Setup!$C$16))),WORKDAY(O305,-(Setup!$C$13+Setup!$G$33+Setup!$C$14),Setup!$C$39:$C$50),WORKDAY(O305,-(Setup!$C$13+Setup!$G$33),Setup!$C$39:$C$50))+(300*100+14)/10000000)))</f>
        <v/>
      </c>
      <c r="AF305" t="str">
        <f>IF(P305="","",IF(P305&lt;Setup!$C$5-Setup!$C$6,"",IF(IF(ISNUMBER(Roster!$D305),Setup!$C$34&lt;=Roster!$D305,FALSE),"",IF(OR(IF(Setup!$C$15&lt;=Setup!$C$16,AND(MONTH(P305)&gt;=Setup!$C$15,MONTH(P305)&lt;=Setup!$C$16),OR(MONTH(P305)&gt;=Setup!$C$15,MONTH(P305)&lt;=Setup!$C$16)),IF(Setup!$C$15&lt;=Setup!$C$16,AND(MONTH(WORKDAY(P305,-(Setup!$C$13+Setup!$G$34),Setup!$C$39:$C$50))&gt;=Setup!$C$15,MONTH(WORKDAY(P305,-(Setup!$C$13+Setup!$G$34),Setup!$C$39:$C$50))&lt;=Setup!$C$16),OR(MONTH(WORKDAY(P305,-(Setup!$C$13+Setup!$G$34),Setup!$C$39:$C$50))&gt;=Setup!$C$15,MONTH(WORKDAY(P305,-(Setup!$C$13+Setup!$G$34),Setup!$C$39:$C$50))&lt;=Setup!$C$16))),WORKDAY(P305,-(Setup!$C$13+Setup!$G$34+Setup!$C$14),Setup!$C$39:$C$50),WORKDAY(P305,-(Setup!$C$13+Setup!$G$34),Setup!$C$39:$C$50))+(300*100+15)/10000000)))</f>
        <v/>
      </c>
      <c r="AH305" t="str">
        <f t="shared" si="33"/>
        <v/>
      </c>
      <c r="AI305" t="str">
        <f t="shared" si="34"/>
        <v/>
      </c>
      <c r="AK305" t="str">
        <f ca="1">IF(300&gt;$AK$2,"",SMALL($R$6:$AF$505,300))</f>
        <v/>
      </c>
      <c r="AL305" t="str">
        <f t="shared" ca="1" si="35"/>
        <v/>
      </c>
      <c r="AM305" t="str">
        <f t="shared" ca="1" si="36"/>
        <v/>
      </c>
      <c r="AN305" t="str">
        <f t="shared" ca="1" si="37"/>
        <v/>
      </c>
      <c r="AP305" t="str">
        <f>IF(ISNUMBER(Roster!$B305),MAX(1,YEAR(Setup!$C$5)-YEAR(Roster!$B305)+IF(EDATE(Roster!$B305,12*(YEAR(Setup!$C$5)-YEAR(Roster!$B305)))&lt;Setup!$C$5,1,0)),"")</f>
        <v/>
      </c>
      <c r="AQ305" s="32" t="str">
        <f>IF(AP305="","",EDATE(Roster!$B305,12*AP305))</f>
        <v/>
      </c>
      <c r="AR305" t="str">
        <f>IF(AQ305="","",IF(AQ305&lt;DATE(YEAR(Setup!$C$5)+1,MONTH(Setup!$C$5),DAY(Setup!$C$5)),AQ305+300/1000,""))</f>
        <v/>
      </c>
      <c r="AS305" t="str">
        <f t="shared" si="38"/>
        <v/>
      </c>
      <c r="AT305" t="str">
        <f>IF(AS305="","",IF(ISNUMBER(Roster!$D305),Roster!$D305&gt;=AP305,FALSE))</f>
        <v/>
      </c>
      <c r="AU305" t="str">
        <f t="shared" si="39"/>
        <v/>
      </c>
      <c r="AV305" t="str">
        <f ca="1">IF(300&gt;$AV$2,"",SMALL($AR$6:$AR$505,300))</f>
        <v/>
      </c>
      <c r="AW305" t="str">
        <f t="shared" ca="1" si="40"/>
        <v/>
      </c>
    </row>
    <row r="306" spans="2:49" x14ac:dyDescent="0.2">
      <c r="B306" s="32" t="str">
        <f>IF(AND(ISNUMBER(Roster!$B306),Setup!$B$20="Yes",ISNUMBER(Setup!$C$20)),EDATE(Roster!$B306,12*Setup!$C$20),"")</f>
        <v/>
      </c>
      <c r="C306" s="32" t="str">
        <f>IF(AND(ISNUMBER(Roster!$B306),Setup!$B$21="Yes",ISNUMBER(Setup!$C$21)),EDATE(Roster!$B306,12*Setup!$C$21),"")</f>
        <v/>
      </c>
      <c r="D306" s="32" t="str">
        <f>IF(AND(ISNUMBER(Roster!$B306),Setup!$B$22="Yes",ISNUMBER(Setup!$C$22)),EDATE(Roster!$B306,12*Setup!$C$22),"")</f>
        <v/>
      </c>
      <c r="E306" s="32" t="str">
        <f>IF(AND(ISNUMBER(Roster!$B306),Setup!$B$23="Yes",ISNUMBER(Setup!$C$23)),EDATE(Roster!$B306,12*Setup!$C$23),"")</f>
        <v/>
      </c>
      <c r="F306" s="32" t="str">
        <f>IF(AND(ISNUMBER(Roster!$B306),Setup!$B$24="Yes",ISNUMBER(Setup!$C$24)),EDATE(Roster!$B306,12*Setup!$C$24),"")</f>
        <v/>
      </c>
      <c r="G306" s="32" t="str">
        <f>IF(AND(ISNUMBER(Roster!$B306),Setup!$B$25="Yes",ISNUMBER(Setup!$C$25)),EDATE(Roster!$B306,12*Setup!$C$25),"")</f>
        <v/>
      </c>
      <c r="H306" s="32" t="str">
        <f>IF(AND(ISNUMBER(Roster!$B306),Setup!$B$26="Yes",ISNUMBER(Setup!$C$26)),EDATE(Roster!$B306,12*Setup!$C$26),"")</f>
        <v/>
      </c>
      <c r="I306" s="32" t="str">
        <f>IF(AND(ISNUMBER(Roster!$B306),Setup!$B$27="Yes",ISNUMBER(Setup!$C$27)),EDATE(Roster!$B306,12*Setup!$C$27),"")</f>
        <v/>
      </c>
      <c r="J306" s="32" t="str">
        <f>IF(AND(ISNUMBER(Roster!$B306),Setup!$B$28="Yes",ISNUMBER(Setup!$C$28)),EDATE(Roster!$B306,12*Setup!$C$28),"")</f>
        <v/>
      </c>
      <c r="K306" s="32" t="str">
        <f>IF(AND(ISNUMBER(Roster!$B306),Setup!$B$29="Yes",ISNUMBER(Setup!$C$29)),EDATE(Roster!$B306,12*Setup!$C$29),"")</f>
        <v/>
      </c>
      <c r="L306" s="32" t="str">
        <f>IF(AND(ISNUMBER(Roster!$B306),Setup!$B$30="Yes",ISNUMBER(Setup!$C$30)),EDATE(Roster!$B306,12*Setup!$C$30),"")</f>
        <v/>
      </c>
      <c r="M306" s="32" t="str">
        <f>IF(AND(ISNUMBER(Roster!$B306),Setup!$B$31="Yes",ISNUMBER(Setup!$C$31)),EDATE(Roster!$B306,12*Setup!$C$31),"")</f>
        <v/>
      </c>
      <c r="N306" s="32" t="str">
        <f>IF(AND(ISNUMBER(Roster!$B306),Setup!$B$32="Yes",ISNUMBER(Setup!$C$32)),EDATE(Roster!$B306,12*Setup!$C$32),"")</f>
        <v/>
      </c>
      <c r="O306" s="32" t="str">
        <f>IF(AND(ISNUMBER(Roster!$B306),Setup!$B$33="Yes",ISNUMBER(Setup!$C$33)),EDATE(Roster!$B306,12*Setup!$C$33),"")</f>
        <v/>
      </c>
      <c r="P306" s="32" t="str">
        <f>IF(AND(ISNUMBER(Roster!$B306),Setup!$B$34="Yes",ISNUMBER(Setup!$C$34)),EDATE(Roster!$B306,12*Setup!$C$34),"")</f>
        <v/>
      </c>
      <c r="R306" t="str">
        <f>IF(B306="","",IF(B306&lt;Setup!$C$5-Setup!$C$6,"",IF(IF(ISNUMBER(Roster!$D306),Setup!$C$20&lt;=Roster!$D306,FALSE),"",IF(OR(IF(Setup!$C$15&lt;=Setup!$C$16,AND(MONTH(B306)&gt;=Setup!$C$15,MONTH(B306)&lt;=Setup!$C$16),OR(MONTH(B306)&gt;=Setup!$C$15,MONTH(B306)&lt;=Setup!$C$16)),IF(Setup!$C$15&lt;=Setup!$C$16,AND(MONTH(WORKDAY(B306,-(Setup!$C$13+Setup!$G$20),Setup!$C$39:$C$50))&gt;=Setup!$C$15,MONTH(WORKDAY(B306,-(Setup!$C$13+Setup!$G$20),Setup!$C$39:$C$50))&lt;=Setup!$C$16),OR(MONTH(WORKDAY(B306,-(Setup!$C$13+Setup!$G$20),Setup!$C$39:$C$50))&gt;=Setup!$C$15,MONTH(WORKDAY(B306,-(Setup!$C$13+Setup!$G$20),Setup!$C$39:$C$50))&lt;=Setup!$C$16))),WORKDAY(B306,-(Setup!$C$13+Setup!$G$20+Setup!$C$14),Setup!$C$39:$C$50),WORKDAY(B306,-(Setup!$C$13+Setup!$G$20),Setup!$C$39:$C$50))+(301*100+1)/10000000)))</f>
        <v/>
      </c>
      <c r="S306" t="str">
        <f>IF(C306="","",IF(C306&lt;Setup!$C$5-Setup!$C$6,"",IF(IF(ISNUMBER(Roster!$D306),Setup!$C$21&lt;=Roster!$D306,FALSE),"",IF(OR(IF(Setup!$C$15&lt;=Setup!$C$16,AND(MONTH(C306)&gt;=Setup!$C$15,MONTH(C306)&lt;=Setup!$C$16),OR(MONTH(C306)&gt;=Setup!$C$15,MONTH(C306)&lt;=Setup!$C$16)),IF(Setup!$C$15&lt;=Setup!$C$16,AND(MONTH(WORKDAY(C306,-(Setup!$C$13+Setup!$G$21),Setup!$C$39:$C$50))&gt;=Setup!$C$15,MONTH(WORKDAY(C306,-(Setup!$C$13+Setup!$G$21),Setup!$C$39:$C$50))&lt;=Setup!$C$16),OR(MONTH(WORKDAY(C306,-(Setup!$C$13+Setup!$G$21),Setup!$C$39:$C$50))&gt;=Setup!$C$15,MONTH(WORKDAY(C306,-(Setup!$C$13+Setup!$G$21),Setup!$C$39:$C$50))&lt;=Setup!$C$16))),WORKDAY(C306,-(Setup!$C$13+Setup!$G$21+Setup!$C$14),Setup!$C$39:$C$50),WORKDAY(C306,-(Setup!$C$13+Setup!$G$21),Setup!$C$39:$C$50))+(301*100+2)/10000000)))</f>
        <v/>
      </c>
      <c r="T306" t="str">
        <f>IF(D306="","",IF(D306&lt;Setup!$C$5-Setup!$C$6,"",IF(IF(ISNUMBER(Roster!$D306),Setup!$C$22&lt;=Roster!$D306,FALSE),"",IF(OR(IF(Setup!$C$15&lt;=Setup!$C$16,AND(MONTH(D306)&gt;=Setup!$C$15,MONTH(D306)&lt;=Setup!$C$16),OR(MONTH(D306)&gt;=Setup!$C$15,MONTH(D306)&lt;=Setup!$C$16)),IF(Setup!$C$15&lt;=Setup!$C$16,AND(MONTH(WORKDAY(D306,-(Setup!$C$13+Setup!$G$22),Setup!$C$39:$C$50))&gt;=Setup!$C$15,MONTH(WORKDAY(D306,-(Setup!$C$13+Setup!$G$22),Setup!$C$39:$C$50))&lt;=Setup!$C$16),OR(MONTH(WORKDAY(D306,-(Setup!$C$13+Setup!$G$22),Setup!$C$39:$C$50))&gt;=Setup!$C$15,MONTH(WORKDAY(D306,-(Setup!$C$13+Setup!$G$22),Setup!$C$39:$C$50))&lt;=Setup!$C$16))),WORKDAY(D306,-(Setup!$C$13+Setup!$G$22+Setup!$C$14),Setup!$C$39:$C$50),WORKDAY(D306,-(Setup!$C$13+Setup!$G$22),Setup!$C$39:$C$50))+(301*100+3)/10000000)))</f>
        <v/>
      </c>
      <c r="U306" t="str">
        <f>IF(E306="","",IF(E306&lt;Setup!$C$5-Setup!$C$6,"",IF(IF(ISNUMBER(Roster!$D306),Setup!$C$23&lt;=Roster!$D306,FALSE),"",IF(OR(IF(Setup!$C$15&lt;=Setup!$C$16,AND(MONTH(E306)&gt;=Setup!$C$15,MONTH(E306)&lt;=Setup!$C$16),OR(MONTH(E306)&gt;=Setup!$C$15,MONTH(E306)&lt;=Setup!$C$16)),IF(Setup!$C$15&lt;=Setup!$C$16,AND(MONTH(WORKDAY(E306,-(Setup!$C$13+Setup!$G$23),Setup!$C$39:$C$50))&gt;=Setup!$C$15,MONTH(WORKDAY(E306,-(Setup!$C$13+Setup!$G$23),Setup!$C$39:$C$50))&lt;=Setup!$C$16),OR(MONTH(WORKDAY(E306,-(Setup!$C$13+Setup!$G$23),Setup!$C$39:$C$50))&gt;=Setup!$C$15,MONTH(WORKDAY(E306,-(Setup!$C$13+Setup!$G$23),Setup!$C$39:$C$50))&lt;=Setup!$C$16))),WORKDAY(E306,-(Setup!$C$13+Setup!$G$23+Setup!$C$14),Setup!$C$39:$C$50),WORKDAY(E306,-(Setup!$C$13+Setup!$G$23),Setup!$C$39:$C$50))+(301*100+4)/10000000)))</f>
        <v/>
      </c>
      <c r="V306" t="str">
        <f>IF(F306="","",IF(F306&lt;Setup!$C$5-Setup!$C$6,"",IF(IF(ISNUMBER(Roster!$D306),Setup!$C$24&lt;=Roster!$D306,FALSE),"",IF(OR(IF(Setup!$C$15&lt;=Setup!$C$16,AND(MONTH(F306)&gt;=Setup!$C$15,MONTH(F306)&lt;=Setup!$C$16),OR(MONTH(F306)&gt;=Setup!$C$15,MONTH(F306)&lt;=Setup!$C$16)),IF(Setup!$C$15&lt;=Setup!$C$16,AND(MONTH(WORKDAY(F306,-(Setup!$C$13+Setup!$G$24),Setup!$C$39:$C$50))&gt;=Setup!$C$15,MONTH(WORKDAY(F306,-(Setup!$C$13+Setup!$G$24),Setup!$C$39:$C$50))&lt;=Setup!$C$16),OR(MONTH(WORKDAY(F306,-(Setup!$C$13+Setup!$G$24),Setup!$C$39:$C$50))&gt;=Setup!$C$15,MONTH(WORKDAY(F306,-(Setup!$C$13+Setup!$G$24),Setup!$C$39:$C$50))&lt;=Setup!$C$16))),WORKDAY(F306,-(Setup!$C$13+Setup!$G$24+Setup!$C$14),Setup!$C$39:$C$50),WORKDAY(F306,-(Setup!$C$13+Setup!$G$24),Setup!$C$39:$C$50))+(301*100+5)/10000000)))</f>
        <v/>
      </c>
      <c r="W306" t="str">
        <f>IF(G306="","",IF(G306&lt;Setup!$C$5-Setup!$C$6,"",IF(IF(ISNUMBER(Roster!$D306),Setup!$C$25&lt;=Roster!$D306,FALSE),"",IF(OR(IF(Setup!$C$15&lt;=Setup!$C$16,AND(MONTH(G306)&gt;=Setup!$C$15,MONTH(G306)&lt;=Setup!$C$16),OR(MONTH(G306)&gt;=Setup!$C$15,MONTH(G306)&lt;=Setup!$C$16)),IF(Setup!$C$15&lt;=Setup!$C$16,AND(MONTH(WORKDAY(G306,-(Setup!$C$13+Setup!$G$25),Setup!$C$39:$C$50))&gt;=Setup!$C$15,MONTH(WORKDAY(G306,-(Setup!$C$13+Setup!$G$25),Setup!$C$39:$C$50))&lt;=Setup!$C$16),OR(MONTH(WORKDAY(G306,-(Setup!$C$13+Setup!$G$25),Setup!$C$39:$C$50))&gt;=Setup!$C$15,MONTH(WORKDAY(G306,-(Setup!$C$13+Setup!$G$25),Setup!$C$39:$C$50))&lt;=Setup!$C$16))),WORKDAY(G306,-(Setup!$C$13+Setup!$G$25+Setup!$C$14),Setup!$C$39:$C$50),WORKDAY(G306,-(Setup!$C$13+Setup!$G$25),Setup!$C$39:$C$50))+(301*100+6)/10000000)))</f>
        <v/>
      </c>
      <c r="X306" t="str">
        <f>IF(H306="","",IF(H306&lt;Setup!$C$5-Setup!$C$6,"",IF(IF(ISNUMBER(Roster!$D306),Setup!$C$26&lt;=Roster!$D306,FALSE),"",IF(OR(IF(Setup!$C$15&lt;=Setup!$C$16,AND(MONTH(H306)&gt;=Setup!$C$15,MONTH(H306)&lt;=Setup!$C$16),OR(MONTH(H306)&gt;=Setup!$C$15,MONTH(H306)&lt;=Setup!$C$16)),IF(Setup!$C$15&lt;=Setup!$C$16,AND(MONTH(WORKDAY(H306,-(Setup!$C$13+Setup!$G$26),Setup!$C$39:$C$50))&gt;=Setup!$C$15,MONTH(WORKDAY(H306,-(Setup!$C$13+Setup!$G$26),Setup!$C$39:$C$50))&lt;=Setup!$C$16),OR(MONTH(WORKDAY(H306,-(Setup!$C$13+Setup!$G$26),Setup!$C$39:$C$50))&gt;=Setup!$C$15,MONTH(WORKDAY(H306,-(Setup!$C$13+Setup!$G$26),Setup!$C$39:$C$50))&lt;=Setup!$C$16))),WORKDAY(H306,-(Setup!$C$13+Setup!$G$26+Setup!$C$14),Setup!$C$39:$C$50),WORKDAY(H306,-(Setup!$C$13+Setup!$G$26),Setup!$C$39:$C$50))+(301*100+7)/10000000)))</f>
        <v/>
      </c>
      <c r="Y306" t="str">
        <f>IF(I306="","",IF(I306&lt;Setup!$C$5-Setup!$C$6,"",IF(IF(ISNUMBER(Roster!$D306),Setup!$C$27&lt;=Roster!$D306,FALSE),"",IF(OR(IF(Setup!$C$15&lt;=Setup!$C$16,AND(MONTH(I306)&gt;=Setup!$C$15,MONTH(I306)&lt;=Setup!$C$16),OR(MONTH(I306)&gt;=Setup!$C$15,MONTH(I306)&lt;=Setup!$C$16)),IF(Setup!$C$15&lt;=Setup!$C$16,AND(MONTH(WORKDAY(I306,-(Setup!$C$13+Setup!$G$27),Setup!$C$39:$C$50))&gt;=Setup!$C$15,MONTH(WORKDAY(I306,-(Setup!$C$13+Setup!$G$27),Setup!$C$39:$C$50))&lt;=Setup!$C$16),OR(MONTH(WORKDAY(I306,-(Setup!$C$13+Setup!$G$27),Setup!$C$39:$C$50))&gt;=Setup!$C$15,MONTH(WORKDAY(I306,-(Setup!$C$13+Setup!$G$27),Setup!$C$39:$C$50))&lt;=Setup!$C$16))),WORKDAY(I306,-(Setup!$C$13+Setup!$G$27+Setup!$C$14),Setup!$C$39:$C$50),WORKDAY(I306,-(Setup!$C$13+Setup!$G$27),Setup!$C$39:$C$50))+(301*100+8)/10000000)))</f>
        <v/>
      </c>
      <c r="Z306" t="str">
        <f>IF(J306="","",IF(J306&lt;Setup!$C$5-Setup!$C$6,"",IF(IF(ISNUMBER(Roster!$D306),Setup!$C$28&lt;=Roster!$D306,FALSE),"",IF(OR(IF(Setup!$C$15&lt;=Setup!$C$16,AND(MONTH(J306)&gt;=Setup!$C$15,MONTH(J306)&lt;=Setup!$C$16),OR(MONTH(J306)&gt;=Setup!$C$15,MONTH(J306)&lt;=Setup!$C$16)),IF(Setup!$C$15&lt;=Setup!$C$16,AND(MONTH(WORKDAY(J306,-(Setup!$C$13+Setup!$G$28),Setup!$C$39:$C$50))&gt;=Setup!$C$15,MONTH(WORKDAY(J306,-(Setup!$C$13+Setup!$G$28),Setup!$C$39:$C$50))&lt;=Setup!$C$16),OR(MONTH(WORKDAY(J306,-(Setup!$C$13+Setup!$G$28),Setup!$C$39:$C$50))&gt;=Setup!$C$15,MONTH(WORKDAY(J306,-(Setup!$C$13+Setup!$G$28),Setup!$C$39:$C$50))&lt;=Setup!$C$16))),WORKDAY(J306,-(Setup!$C$13+Setup!$G$28+Setup!$C$14),Setup!$C$39:$C$50),WORKDAY(J306,-(Setup!$C$13+Setup!$G$28),Setup!$C$39:$C$50))+(301*100+9)/10000000)))</f>
        <v/>
      </c>
      <c r="AA306" t="str">
        <f>IF(K306="","",IF(K306&lt;Setup!$C$5-Setup!$C$6,"",IF(IF(ISNUMBER(Roster!$D306),Setup!$C$29&lt;=Roster!$D306,FALSE),"",IF(OR(IF(Setup!$C$15&lt;=Setup!$C$16,AND(MONTH(K306)&gt;=Setup!$C$15,MONTH(K306)&lt;=Setup!$C$16),OR(MONTH(K306)&gt;=Setup!$C$15,MONTH(K306)&lt;=Setup!$C$16)),IF(Setup!$C$15&lt;=Setup!$C$16,AND(MONTH(WORKDAY(K306,-(Setup!$C$13+Setup!$G$29),Setup!$C$39:$C$50))&gt;=Setup!$C$15,MONTH(WORKDAY(K306,-(Setup!$C$13+Setup!$G$29),Setup!$C$39:$C$50))&lt;=Setup!$C$16),OR(MONTH(WORKDAY(K306,-(Setup!$C$13+Setup!$G$29),Setup!$C$39:$C$50))&gt;=Setup!$C$15,MONTH(WORKDAY(K306,-(Setup!$C$13+Setup!$G$29),Setup!$C$39:$C$50))&lt;=Setup!$C$16))),WORKDAY(K306,-(Setup!$C$13+Setup!$G$29+Setup!$C$14),Setup!$C$39:$C$50),WORKDAY(K306,-(Setup!$C$13+Setup!$G$29),Setup!$C$39:$C$50))+(301*100+10)/10000000)))</f>
        <v/>
      </c>
      <c r="AB306" t="str">
        <f>IF(L306="","",IF(L306&lt;Setup!$C$5-Setup!$C$6,"",IF(IF(ISNUMBER(Roster!$D306),Setup!$C$30&lt;=Roster!$D306,FALSE),"",IF(OR(IF(Setup!$C$15&lt;=Setup!$C$16,AND(MONTH(L306)&gt;=Setup!$C$15,MONTH(L306)&lt;=Setup!$C$16),OR(MONTH(L306)&gt;=Setup!$C$15,MONTH(L306)&lt;=Setup!$C$16)),IF(Setup!$C$15&lt;=Setup!$C$16,AND(MONTH(WORKDAY(L306,-(Setup!$C$13+Setup!$G$30),Setup!$C$39:$C$50))&gt;=Setup!$C$15,MONTH(WORKDAY(L306,-(Setup!$C$13+Setup!$G$30),Setup!$C$39:$C$50))&lt;=Setup!$C$16),OR(MONTH(WORKDAY(L306,-(Setup!$C$13+Setup!$G$30),Setup!$C$39:$C$50))&gt;=Setup!$C$15,MONTH(WORKDAY(L306,-(Setup!$C$13+Setup!$G$30),Setup!$C$39:$C$50))&lt;=Setup!$C$16))),WORKDAY(L306,-(Setup!$C$13+Setup!$G$30+Setup!$C$14),Setup!$C$39:$C$50),WORKDAY(L306,-(Setup!$C$13+Setup!$G$30),Setup!$C$39:$C$50))+(301*100+11)/10000000)))</f>
        <v/>
      </c>
      <c r="AC306" t="str">
        <f>IF(M306="","",IF(M306&lt;Setup!$C$5-Setup!$C$6,"",IF(IF(ISNUMBER(Roster!$D306),Setup!$C$31&lt;=Roster!$D306,FALSE),"",IF(OR(IF(Setup!$C$15&lt;=Setup!$C$16,AND(MONTH(M306)&gt;=Setup!$C$15,MONTH(M306)&lt;=Setup!$C$16),OR(MONTH(M306)&gt;=Setup!$C$15,MONTH(M306)&lt;=Setup!$C$16)),IF(Setup!$C$15&lt;=Setup!$C$16,AND(MONTH(WORKDAY(M306,-(Setup!$C$13+Setup!$G$31),Setup!$C$39:$C$50))&gt;=Setup!$C$15,MONTH(WORKDAY(M306,-(Setup!$C$13+Setup!$G$31),Setup!$C$39:$C$50))&lt;=Setup!$C$16),OR(MONTH(WORKDAY(M306,-(Setup!$C$13+Setup!$G$31),Setup!$C$39:$C$50))&gt;=Setup!$C$15,MONTH(WORKDAY(M306,-(Setup!$C$13+Setup!$G$31),Setup!$C$39:$C$50))&lt;=Setup!$C$16))),WORKDAY(M306,-(Setup!$C$13+Setup!$G$31+Setup!$C$14),Setup!$C$39:$C$50),WORKDAY(M306,-(Setup!$C$13+Setup!$G$31),Setup!$C$39:$C$50))+(301*100+12)/10000000)))</f>
        <v/>
      </c>
      <c r="AD306" t="str">
        <f>IF(N306="","",IF(N306&lt;Setup!$C$5-Setup!$C$6,"",IF(IF(ISNUMBER(Roster!$D306),Setup!$C$32&lt;=Roster!$D306,FALSE),"",IF(OR(IF(Setup!$C$15&lt;=Setup!$C$16,AND(MONTH(N306)&gt;=Setup!$C$15,MONTH(N306)&lt;=Setup!$C$16),OR(MONTH(N306)&gt;=Setup!$C$15,MONTH(N306)&lt;=Setup!$C$16)),IF(Setup!$C$15&lt;=Setup!$C$16,AND(MONTH(WORKDAY(N306,-(Setup!$C$13+Setup!$G$32),Setup!$C$39:$C$50))&gt;=Setup!$C$15,MONTH(WORKDAY(N306,-(Setup!$C$13+Setup!$G$32),Setup!$C$39:$C$50))&lt;=Setup!$C$16),OR(MONTH(WORKDAY(N306,-(Setup!$C$13+Setup!$G$32),Setup!$C$39:$C$50))&gt;=Setup!$C$15,MONTH(WORKDAY(N306,-(Setup!$C$13+Setup!$G$32),Setup!$C$39:$C$50))&lt;=Setup!$C$16))),WORKDAY(N306,-(Setup!$C$13+Setup!$G$32+Setup!$C$14),Setup!$C$39:$C$50),WORKDAY(N306,-(Setup!$C$13+Setup!$G$32),Setup!$C$39:$C$50))+(301*100+13)/10000000)))</f>
        <v/>
      </c>
      <c r="AE306" t="str">
        <f>IF(O306="","",IF(O306&lt;Setup!$C$5-Setup!$C$6,"",IF(IF(ISNUMBER(Roster!$D306),Setup!$C$33&lt;=Roster!$D306,FALSE),"",IF(OR(IF(Setup!$C$15&lt;=Setup!$C$16,AND(MONTH(O306)&gt;=Setup!$C$15,MONTH(O306)&lt;=Setup!$C$16),OR(MONTH(O306)&gt;=Setup!$C$15,MONTH(O306)&lt;=Setup!$C$16)),IF(Setup!$C$15&lt;=Setup!$C$16,AND(MONTH(WORKDAY(O306,-(Setup!$C$13+Setup!$G$33),Setup!$C$39:$C$50))&gt;=Setup!$C$15,MONTH(WORKDAY(O306,-(Setup!$C$13+Setup!$G$33),Setup!$C$39:$C$50))&lt;=Setup!$C$16),OR(MONTH(WORKDAY(O306,-(Setup!$C$13+Setup!$G$33),Setup!$C$39:$C$50))&gt;=Setup!$C$15,MONTH(WORKDAY(O306,-(Setup!$C$13+Setup!$G$33),Setup!$C$39:$C$50))&lt;=Setup!$C$16))),WORKDAY(O306,-(Setup!$C$13+Setup!$G$33+Setup!$C$14),Setup!$C$39:$C$50),WORKDAY(O306,-(Setup!$C$13+Setup!$G$33),Setup!$C$39:$C$50))+(301*100+14)/10000000)))</f>
        <v/>
      </c>
      <c r="AF306" t="str">
        <f>IF(P306="","",IF(P306&lt;Setup!$C$5-Setup!$C$6,"",IF(IF(ISNUMBER(Roster!$D306),Setup!$C$34&lt;=Roster!$D306,FALSE),"",IF(OR(IF(Setup!$C$15&lt;=Setup!$C$16,AND(MONTH(P306)&gt;=Setup!$C$15,MONTH(P306)&lt;=Setup!$C$16),OR(MONTH(P306)&gt;=Setup!$C$15,MONTH(P306)&lt;=Setup!$C$16)),IF(Setup!$C$15&lt;=Setup!$C$16,AND(MONTH(WORKDAY(P306,-(Setup!$C$13+Setup!$G$34),Setup!$C$39:$C$50))&gt;=Setup!$C$15,MONTH(WORKDAY(P306,-(Setup!$C$13+Setup!$G$34),Setup!$C$39:$C$50))&lt;=Setup!$C$16),OR(MONTH(WORKDAY(P306,-(Setup!$C$13+Setup!$G$34),Setup!$C$39:$C$50))&gt;=Setup!$C$15,MONTH(WORKDAY(P306,-(Setup!$C$13+Setup!$G$34),Setup!$C$39:$C$50))&lt;=Setup!$C$16))),WORKDAY(P306,-(Setup!$C$13+Setup!$G$34+Setup!$C$14),Setup!$C$39:$C$50),WORKDAY(P306,-(Setup!$C$13+Setup!$G$34),Setup!$C$39:$C$50))+(301*100+15)/10000000)))</f>
        <v/>
      </c>
      <c r="AH306" t="str">
        <f t="shared" si="33"/>
        <v/>
      </c>
      <c r="AI306" t="str">
        <f t="shared" si="34"/>
        <v/>
      </c>
      <c r="AP306" t="str">
        <f>IF(ISNUMBER(Roster!$B306),MAX(1,YEAR(Setup!$C$5)-YEAR(Roster!$B306)+IF(EDATE(Roster!$B306,12*(YEAR(Setup!$C$5)-YEAR(Roster!$B306)))&lt;Setup!$C$5,1,0)),"")</f>
        <v/>
      </c>
      <c r="AQ306" s="32" t="str">
        <f>IF(AP306="","",EDATE(Roster!$B306,12*AP306))</f>
        <v/>
      </c>
      <c r="AR306" t="str">
        <f>IF(AQ306="","",IF(AQ306&lt;DATE(YEAR(Setup!$C$5)+1,MONTH(Setup!$C$5),DAY(Setup!$C$5)),AQ306+301/1000,""))</f>
        <v/>
      </c>
      <c r="AS306" t="str">
        <f t="shared" si="38"/>
        <v/>
      </c>
      <c r="AT306" t="str">
        <f>IF(AS306="","",IF(ISNUMBER(Roster!$D306),Roster!$D306&gt;=AP306,FALSE))</f>
        <v/>
      </c>
      <c r="AU306" t="str">
        <f t="shared" si="39"/>
        <v/>
      </c>
      <c r="AV306" t="str">
        <f ca="1">IF(301&gt;$AV$2,"",SMALL($AR$6:$AR$505,301))</f>
        <v/>
      </c>
      <c r="AW306" t="str">
        <f t="shared" ca="1" si="40"/>
        <v/>
      </c>
    </row>
    <row r="307" spans="2:49" x14ac:dyDescent="0.2">
      <c r="B307" s="32" t="str">
        <f>IF(AND(ISNUMBER(Roster!$B307),Setup!$B$20="Yes",ISNUMBER(Setup!$C$20)),EDATE(Roster!$B307,12*Setup!$C$20),"")</f>
        <v/>
      </c>
      <c r="C307" s="32" t="str">
        <f>IF(AND(ISNUMBER(Roster!$B307),Setup!$B$21="Yes",ISNUMBER(Setup!$C$21)),EDATE(Roster!$B307,12*Setup!$C$21),"")</f>
        <v/>
      </c>
      <c r="D307" s="32" t="str">
        <f>IF(AND(ISNUMBER(Roster!$B307),Setup!$B$22="Yes",ISNUMBER(Setup!$C$22)),EDATE(Roster!$B307,12*Setup!$C$22),"")</f>
        <v/>
      </c>
      <c r="E307" s="32" t="str">
        <f>IF(AND(ISNUMBER(Roster!$B307),Setup!$B$23="Yes",ISNUMBER(Setup!$C$23)),EDATE(Roster!$B307,12*Setup!$C$23),"")</f>
        <v/>
      </c>
      <c r="F307" s="32" t="str">
        <f>IF(AND(ISNUMBER(Roster!$B307),Setup!$B$24="Yes",ISNUMBER(Setup!$C$24)),EDATE(Roster!$B307,12*Setup!$C$24),"")</f>
        <v/>
      </c>
      <c r="G307" s="32" t="str">
        <f>IF(AND(ISNUMBER(Roster!$B307),Setup!$B$25="Yes",ISNUMBER(Setup!$C$25)),EDATE(Roster!$B307,12*Setup!$C$25),"")</f>
        <v/>
      </c>
      <c r="H307" s="32" t="str">
        <f>IF(AND(ISNUMBER(Roster!$B307),Setup!$B$26="Yes",ISNUMBER(Setup!$C$26)),EDATE(Roster!$B307,12*Setup!$C$26),"")</f>
        <v/>
      </c>
      <c r="I307" s="32" t="str">
        <f>IF(AND(ISNUMBER(Roster!$B307),Setup!$B$27="Yes",ISNUMBER(Setup!$C$27)),EDATE(Roster!$B307,12*Setup!$C$27),"")</f>
        <v/>
      </c>
      <c r="J307" s="32" t="str">
        <f>IF(AND(ISNUMBER(Roster!$B307),Setup!$B$28="Yes",ISNUMBER(Setup!$C$28)),EDATE(Roster!$B307,12*Setup!$C$28),"")</f>
        <v/>
      </c>
      <c r="K307" s="32" t="str">
        <f>IF(AND(ISNUMBER(Roster!$B307),Setup!$B$29="Yes",ISNUMBER(Setup!$C$29)),EDATE(Roster!$B307,12*Setup!$C$29),"")</f>
        <v/>
      </c>
      <c r="L307" s="32" t="str">
        <f>IF(AND(ISNUMBER(Roster!$B307),Setup!$B$30="Yes",ISNUMBER(Setup!$C$30)),EDATE(Roster!$B307,12*Setup!$C$30),"")</f>
        <v/>
      </c>
      <c r="M307" s="32" t="str">
        <f>IF(AND(ISNUMBER(Roster!$B307),Setup!$B$31="Yes",ISNUMBER(Setup!$C$31)),EDATE(Roster!$B307,12*Setup!$C$31),"")</f>
        <v/>
      </c>
      <c r="N307" s="32" t="str">
        <f>IF(AND(ISNUMBER(Roster!$B307),Setup!$B$32="Yes",ISNUMBER(Setup!$C$32)),EDATE(Roster!$B307,12*Setup!$C$32),"")</f>
        <v/>
      </c>
      <c r="O307" s="32" t="str">
        <f>IF(AND(ISNUMBER(Roster!$B307),Setup!$B$33="Yes",ISNUMBER(Setup!$C$33)),EDATE(Roster!$B307,12*Setup!$C$33),"")</f>
        <v/>
      </c>
      <c r="P307" s="32" t="str">
        <f>IF(AND(ISNUMBER(Roster!$B307),Setup!$B$34="Yes",ISNUMBER(Setup!$C$34)),EDATE(Roster!$B307,12*Setup!$C$34),"")</f>
        <v/>
      </c>
      <c r="R307" t="str">
        <f>IF(B307="","",IF(B307&lt;Setup!$C$5-Setup!$C$6,"",IF(IF(ISNUMBER(Roster!$D307),Setup!$C$20&lt;=Roster!$D307,FALSE),"",IF(OR(IF(Setup!$C$15&lt;=Setup!$C$16,AND(MONTH(B307)&gt;=Setup!$C$15,MONTH(B307)&lt;=Setup!$C$16),OR(MONTH(B307)&gt;=Setup!$C$15,MONTH(B307)&lt;=Setup!$C$16)),IF(Setup!$C$15&lt;=Setup!$C$16,AND(MONTH(WORKDAY(B307,-(Setup!$C$13+Setup!$G$20),Setup!$C$39:$C$50))&gt;=Setup!$C$15,MONTH(WORKDAY(B307,-(Setup!$C$13+Setup!$G$20),Setup!$C$39:$C$50))&lt;=Setup!$C$16),OR(MONTH(WORKDAY(B307,-(Setup!$C$13+Setup!$G$20),Setup!$C$39:$C$50))&gt;=Setup!$C$15,MONTH(WORKDAY(B307,-(Setup!$C$13+Setup!$G$20),Setup!$C$39:$C$50))&lt;=Setup!$C$16))),WORKDAY(B307,-(Setup!$C$13+Setup!$G$20+Setup!$C$14),Setup!$C$39:$C$50),WORKDAY(B307,-(Setup!$C$13+Setup!$G$20),Setup!$C$39:$C$50))+(302*100+1)/10000000)))</f>
        <v/>
      </c>
      <c r="S307" t="str">
        <f>IF(C307="","",IF(C307&lt;Setup!$C$5-Setup!$C$6,"",IF(IF(ISNUMBER(Roster!$D307),Setup!$C$21&lt;=Roster!$D307,FALSE),"",IF(OR(IF(Setup!$C$15&lt;=Setup!$C$16,AND(MONTH(C307)&gt;=Setup!$C$15,MONTH(C307)&lt;=Setup!$C$16),OR(MONTH(C307)&gt;=Setup!$C$15,MONTH(C307)&lt;=Setup!$C$16)),IF(Setup!$C$15&lt;=Setup!$C$16,AND(MONTH(WORKDAY(C307,-(Setup!$C$13+Setup!$G$21),Setup!$C$39:$C$50))&gt;=Setup!$C$15,MONTH(WORKDAY(C307,-(Setup!$C$13+Setup!$G$21),Setup!$C$39:$C$50))&lt;=Setup!$C$16),OR(MONTH(WORKDAY(C307,-(Setup!$C$13+Setup!$G$21),Setup!$C$39:$C$50))&gt;=Setup!$C$15,MONTH(WORKDAY(C307,-(Setup!$C$13+Setup!$G$21),Setup!$C$39:$C$50))&lt;=Setup!$C$16))),WORKDAY(C307,-(Setup!$C$13+Setup!$G$21+Setup!$C$14),Setup!$C$39:$C$50),WORKDAY(C307,-(Setup!$C$13+Setup!$G$21),Setup!$C$39:$C$50))+(302*100+2)/10000000)))</f>
        <v/>
      </c>
      <c r="T307" t="str">
        <f>IF(D307="","",IF(D307&lt;Setup!$C$5-Setup!$C$6,"",IF(IF(ISNUMBER(Roster!$D307),Setup!$C$22&lt;=Roster!$D307,FALSE),"",IF(OR(IF(Setup!$C$15&lt;=Setup!$C$16,AND(MONTH(D307)&gt;=Setup!$C$15,MONTH(D307)&lt;=Setup!$C$16),OR(MONTH(D307)&gt;=Setup!$C$15,MONTH(D307)&lt;=Setup!$C$16)),IF(Setup!$C$15&lt;=Setup!$C$16,AND(MONTH(WORKDAY(D307,-(Setup!$C$13+Setup!$G$22),Setup!$C$39:$C$50))&gt;=Setup!$C$15,MONTH(WORKDAY(D307,-(Setup!$C$13+Setup!$G$22),Setup!$C$39:$C$50))&lt;=Setup!$C$16),OR(MONTH(WORKDAY(D307,-(Setup!$C$13+Setup!$G$22),Setup!$C$39:$C$50))&gt;=Setup!$C$15,MONTH(WORKDAY(D307,-(Setup!$C$13+Setup!$G$22),Setup!$C$39:$C$50))&lt;=Setup!$C$16))),WORKDAY(D307,-(Setup!$C$13+Setup!$G$22+Setup!$C$14),Setup!$C$39:$C$50),WORKDAY(D307,-(Setup!$C$13+Setup!$G$22),Setup!$C$39:$C$50))+(302*100+3)/10000000)))</f>
        <v/>
      </c>
      <c r="U307" t="str">
        <f>IF(E307="","",IF(E307&lt;Setup!$C$5-Setup!$C$6,"",IF(IF(ISNUMBER(Roster!$D307),Setup!$C$23&lt;=Roster!$D307,FALSE),"",IF(OR(IF(Setup!$C$15&lt;=Setup!$C$16,AND(MONTH(E307)&gt;=Setup!$C$15,MONTH(E307)&lt;=Setup!$C$16),OR(MONTH(E307)&gt;=Setup!$C$15,MONTH(E307)&lt;=Setup!$C$16)),IF(Setup!$C$15&lt;=Setup!$C$16,AND(MONTH(WORKDAY(E307,-(Setup!$C$13+Setup!$G$23),Setup!$C$39:$C$50))&gt;=Setup!$C$15,MONTH(WORKDAY(E307,-(Setup!$C$13+Setup!$G$23),Setup!$C$39:$C$50))&lt;=Setup!$C$16),OR(MONTH(WORKDAY(E307,-(Setup!$C$13+Setup!$G$23),Setup!$C$39:$C$50))&gt;=Setup!$C$15,MONTH(WORKDAY(E307,-(Setup!$C$13+Setup!$G$23),Setup!$C$39:$C$50))&lt;=Setup!$C$16))),WORKDAY(E307,-(Setup!$C$13+Setup!$G$23+Setup!$C$14),Setup!$C$39:$C$50),WORKDAY(E307,-(Setup!$C$13+Setup!$G$23),Setup!$C$39:$C$50))+(302*100+4)/10000000)))</f>
        <v/>
      </c>
      <c r="V307" t="str">
        <f>IF(F307="","",IF(F307&lt;Setup!$C$5-Setup!$C$6,"",IF(IF(ISNUMBER(Roster!$D307),Setup!$C$24&lt;=Roster!$D307,FALSE),"",IF(OR(IF(Setup!$C$15&lt;=Setup!$C$16,AND(MONTH(F307)&gt;=Setup!$C$15,MONTH(F307)&lt;=Setup!$C$16),OR(MONTH(F307)&gt;=Setup!$C$15,MONTH(F307)&lt;=Setup!$C$16)),IF(Setup!$C$15&lt;=Setup!$C$16,AND(MONTH(WORKDAY(F307,-(Setup!$C$13+Setup!$G$24),Setup!$C$39:$C$50))&gt;=Setup!$C$15,MONTH(WORKDAY(F307,-(Setup!$C$13+Setup!$G$24),Setup!$C$39:$C$50))&lt;=Setup!$C$16),OR(MONTH(WORKDAY(F307,-(Setup!$C$13+Setup!$G$24),Setup!$C$39:$C$50))&gt;=Setup!$C$15,MONTH(WORKDAY(F307,-(Setup!$C$13+Setup!$G$24),Setup!$C$39:$C$50))&lt;=Setup!$C$16))),WORKDAY(F307,-(Setup!$C$13+Setup!$G$24+Setup!$C$14),Setup!$C$39:$C$50),WORKDAY(F307,-(Setup!$C$13+Setup!$G$24),Setup!$C$39:$C$50))+(302*100+5)/10000000)))</f>
        <v/>
      </c>
      <c r="W307" t="str">
        <f>IF(G307="","",IF(G307&lt;Setup!$C$5-Setup!$C$6,"",IF(IF(ISNUMBER(Roster!$D307),Setup!$C$25&lt;=Roster!$D307,FALSE),"",IF(OR(IF(Setup!$C$15&lt;=Setup!$C$16,AND(MONTH(G307)&gt;=Setup!$C$15,MONTH(G307)&lt;=Setup!$C$16),OR(MONTH(G307)&gt;=Setup!$C$15,MONTH(G307)&lt;=Setup!$C$16)),IF(Setup!$C$15&lt;=Setup!$C$16,AND(MONTH(WORKDAY(G307,-(Setup!$C$13+Setup!$G$25),Setup!$C$39:$C$50))&gt;=Setup!$C$15,MONTH(WORKDAY(G307,-(Setup!$C$13+Setup!$G$25),Setup!$C$39:$C$50))&lt;=Setup!$C$16),OR(MONTH(WORKDAY(G307,-(Setup!$C$13+Setup!$G$25),Setup!$C$39:$C$50))&gt;=Setup!$C$15,MONTH(WORKDAY(G307,-(Setup!$C$13+Setup!$G$25),Setup!$C$39:$C$50))&lt;=Setup!$C$16))),WORKDAY(G307,-(Setup!$C$13+Setup!$G$25+Setup!$C$14),Setup!$C$39:$C$50),WORKDAY(G307,-(Setup!$C$13+Setup!$G$25),Setup!$C$39:$C$50))+(302*100+6)/10000000)))</f>
        <v/>
      </c>
      <c r="X307" t="str">
        <f>IF(H307="","",IF(H307&lt;Setup!$C$5-Setup!$C$6,"",IF(IF(ISNUMBER(Roster!$D307),Setup!$C$26&lt;=Roster!$D307,FALSE),"",IF(OR(IF(Setup!$C$15&lt;=Setup!$C$16,AND(MONTH(H307)&gt;=Setup!$C$15,MONTH(H307)&lt;=Setup!$C$16),OR(MONTH(H307)&gt;=Setup!$C$15,MONTH(H307)&lt;=Setup!$C$16)),IF(Setup!$C$15&lt;=Setup!$C$16,AND(MONTH(WORKDAY(H307,-(Setup!$C$13+Setup!$G$26),Setup!$C$39:$C$50))&gt;=Setup!$C$15,MONTH(WORKDAY(H307,-(Setup!$C$13+Setup!$G$26),Setup!$C$39:$C$50))&lt;=Setup!$C$16),OR(MONTH(WORKDAY(H307,-(Setup!$C$13+Setup!$G$26),Setup!$C$39:$C$50))&gt;=Setup!$C$15,MONTH(WORKDAY(H307,-(Setup!$C$13+Setup!$G$26),Setup!$C$39:$C$50))&lt;=Setup!$C$16))),WORKDAY(H307,-(Setup!$C$13+Setup!$G$26+Setup!$C$14),Setup!$C$39:$C$50),WORKDAY(H307,-(Setup!$C$13+Setup!$G$26),Setup!$C$39:$C$50))+(302*100+7)/10000000)))</f>
        <v/>
      </c>
      <c r="Y307" t="str">
        <f>IF(I307="","",IF(I307&lt;Setup!$C$5-Setup!$C$6,"",IF(IF(ISNUMBER(Roster!$D307),Setup!$C$27&lt;=Roster!$D307,FALSE),"",IF(OR(IF(Setup!$C$15&lt;=Setup!$C$16,AND(MONTH(I307)&gt;=Setup!$C$15,MONTH(I307)&lt;=Setup!$C$16),OR(MONTH(I307)&gt;=Setup!$C$15,MONTH(I307)&lt;=Setup!$C$16)),IF(Setup!$C$15&lt;=Setup!$C$16,AND(MONTH(WORKDAY(I307,-(Setup!$C$13+Setup!$G$27),Setup!$C$39:$C$50))&gt;=Setup!$C$15,MONTH(WORKDAY(I307,-(Setup!$C$13+Setup!$G$27),Setup!$C$39:$C$50))&lt;=Setup!$C$16),OR(MONTH(WORKDAY(I307,-(Setup!$C$13+Setup!$G$27),Setup!$C$39:$C$50))&gt;=Setup!$C$15,MONTH(WORKDAY(I307,-(Setup!$C$13+Setup!$G$27),Setup!$C$39:$C$50))&lt;=Setup!$C$16))),WORKDAY(I307,-(Setup!$C$13+Setup!$G$27+Setup!$C$14),Setup!$C$39:$C$50),WORKDAY(I307,-(Setup!$C$13+Setup!$G$27),Setup!$C$39:$C$50))+(302*100+8)/10000000)))</f>
        <v/>
      </c>
      <c r="Z307" t="str">
        <f>IF(J307="","",IF(J307&lt;Setup!$C$5-Setup!$C$6,"",IF(IF(ISNUMBER(Roster!$D307),Setup!$C$28&lt;=Roster!$D307,FALSE),"",IF(OR(IF(Setup!$C$15&lt;=Setup!$C$16,AND(MONTH(J307)&gt;=Setup!$C$15,MONTH(J307)&lt;=Setup!$C$16),OR(MONTH(J307)&gt;=Setup!$C$15,MONTH(J307)&lt;=Setup!$C$16)),IF(Setup!$C$15&lt;=Setup!$C$16,AND(MONTH(WORKDAY(J307,-(Setup!$C$13+Setup!$G$28),Setup!$C$39:$C$50))&gt;=Setup!$C$15,MONTH(WORKDAY(J307,-(Setup!$C$13+Setup!$G$28),Setup!$C$39:$C$50))&lt;=Setup!$C$16),OR(MONTH(WORKDAY(J307,-(Setup!$C$13+Setup!$G$28),Setup!$C$39:$C$50))&gt;=Setup!$C$15,MONTH(WORKDAY(J307,-(Setup!$C$13+Setup!$G$28),Setup!$C$39:$C$50))&lt;=Setup!$C$16))),WORKDAY(J307,-(Setup!$C$13+Setup!$G$28+Setup!$C$14),Setup!$C$39:$C$50),WORKDAY(J307,-(Setup!$C$13+Setup!$G$28),Setup!$C$39:$C$50))+(302*100+9)/10000000)))</f>
        <v/>
      </c>
      <c r="AA307" t="str">
        <f>IF(K307="","",IF(K307&lt;Setup!$C$5-Setup!$C$6,"",IF(IF(ISNUMBER(Roster!$D307),Setup!$C$29&lt;=Roster!$D307,FALSE),"",IF(OR(IF(Setup!$C$15&lt;=Setup!$C$16,AND(MONTH(K307)&gt;=Setup!$C$15,MONTH(K307)&lt;=Setup!$C$16),OR(MONTH(K307)&gt;=Setup!$C$15,MONTH(K307)&lt;=Setup!$C$16)),IF(Setup!$C$15&lt;=Setup!$C$16,AND(MONTH(WORKDAY(K307,-(Setup!$C$13+Setup!$G$29),Setup!$C$39:$C$50))&gt;=Setup!$C$15,MONTH(WORKDAY(K307,-(Setup!$C$13+Setup!$G$29),Setup!$C$39:$C$50))&lt;=Setup!$C$16),OR(MONTH(WORKDAY(K307,-(Setup!$C$13+Setup!$G$29),Setup!$C$39:$C$50))&gt;=Setup!$C$15,MONTH(WORKDAY(K307,-(Setup!$C$13+Setup!$G$29),Setup!$C$39:$C$50))&lt;=Setup!$C$16))),WORKDAY(K307,-(Setup!$C$13+Setup!$G$29+Setup!$C$14),Setup!$C$39:$C$50),WORKDAY(K307,-(Setup!$C$13+Setup!$G$29),Setup!$C$39:$C$50))+(302*100+10)/10000000)))</f>
        <v/>
      </c>
      <c r="AB307" t="str">
        <f>IF(L307="","",IF(L307&lt;Setup!$C$5-Setup!$C$6,"",IF(IF(ISNUMBER(Roster!$D307),Setup!$C$30&lt;=Roster!$D307,FALSE),"",IF(OR(IF(Setup!$C$15&lt;=Setup!$C$16,AND(MONTH(L307)&gt;=Setup!$C$15,MONTH(L307)&lt;=Setup!$C$16),OR(MONTH(L307)&gt;=Setup!$C$15,MONTH(L307)&lt;=Setup!$C$16)),IF(Setup!$C$15&lt;=Setup!$C$16,AND(MONTH(WORKDAY(L307,-(Setup!$C$13+Setup!$G$30),Setup!$C$39:$C$50))&gt;=Setup!$C$15,MONTH(WORKDAY(L307,-(Setup!$C$13+Setup!$G$30),Setup!$C$39:$C$50))&lt;=Setup!$C$16),OR(MONTH(WORKDAY(L307,-(Setup!$C$13+Setup!$G$30),Setup!$C$39:$C$50))&gt;=Setup!$C$15,MONTH(WORKDAY(L307,-(Setup!$C$13+Setup!$G$30),Setup!$C$39:$C$50))&lt;=Setup!$C$16))),WORKDAY(L307,-(Setup!$C$13+Setup!$G$30+Setup!$C$14),Setup!$C$39:$C$50),WORKDAY(L307,-(Setup!$C$13+Setup!$G$30),Setup!$C$39:$C$50))+(302*100+11)/10000000)))</f>
        <v/>
      </c>
      <c r="AC307" t="str">
        <f>IF(M307="","",IF(M307&lt;Setup!$C$5-Setup!$C$6,"",IF(IF(ISNUMBER(Roster!$D307),Setup!$C$31&lt;=Roster!$D307,FALSE),"",IF(OR(IF(Setup!$C$15&lt;=Setup!$C$16,AND(MONTH(M307)&gt;=Setup!$C$15,MONTH(M307)&lt;=Setup!$C$16),OR(MONTH(M307)&gt;=Setup!$C$15,MONTH(M307)&lt;=Setup!$C$16)),IF(Setup!$C$15&lt;=Setup!$C$16,AND(MONTH(WORKDAY(M307,-(Setup!$C$13+Setup!$G$31),Setup!$C$39:$C$50))&gt;=Setup!$C$15,MONTH(WORKDAY(M307,-(Setup!$C$13+Setup!$G$31),Setup!$C$39:$C$50))&lt;=Setup!$C$16),OR(MONTH(WORKDAY(M307,-(Setup!$C$13+Setup!$G$31),Setup!$C$39:$C$50))&gt;=Setup!$C$15,MONTH(WORKDAY(M307,-(Setup!$C$13+Setup!$G$31),Setup!$C$39:$C$50))&lt;=Setup!$C$16))),WORKDAY(M307,-(Setup!$C$13+Setup!$G$31+Setup!$C$14),Setup!$C$39:$C$50),WORKDAY(M307,-(Setup!$C$13+Setup!$G$31),Setup!$C$39:$C$50))+(302*100+12)/10000000)))</f>
        <v/>
      </c>
      <c r="AD307" t="str">
        <f>IF(N307="","",IF(N307&lt;Setup!$C$5-Setup!$C$6,"",IF(IF(ISNUMBER(Roster!$D307),Setup!$C$32&lt;=Roster!$D307,FALSE),"",IF(OR(IF(Setup!$C$15&lt;=Setup!$C$16,AND(MONTH(N307)&gt;=Setup!$C$15,MONTH(N307)&lt;=Setup!$C$16),OR(MONTH(N307)&gt;=Setup!$C$15,MONTH(N307)&lt;=Setup!$C$16)),IF(Setup!$C$15&lt;=Setup!$C$16,AND(MONTH(WORKDAY(N307,-(Setup!$C$13+Setup!$G$32),Setup!$C$39:$C$50))&gt;=Setup!$C$15,MONTH(WORKDAY(N307,-(Setup!$C$13+Setup!$G$32),Setup!$C$39:$C$50))&lt;=Setup!$C$16),OR(MONTH(WORKDAY(N307,-(Setup!$C$13+Setup!$G$32),Setup!$C$39:$C$50))&gt;=Setup!$C$15,MONTH(WORKDAY(N307,-(Setup!$C$13+Setup!$G$32),Setup!$C$39:$C$50))&lt;=Setup!$C$16))),WORKDAY(N307,-(Setup!$C$13+Setup!$G$32+Setup!$C$14),Setup!$C$39:$C$50),WORKDAY(N307,-(Setup!$C$13+Setup!$G$32),Setup!$C$39:$C$50))+(302*100+13)/10000000)))</f>
        <v/>
      </c>
      <c r="AE307" t="str">
        <f>IF(O307="","",IF(O307&lt;Setup!$C$5-Setup!$C$6,"",IF(IF(ISNUMBER(Roster!$D307),Setup!$C$33&lt;=Roster!$D307,FALSE),"",IF(OR(IF(Setup!$C$15&lt;=Setup!$C$16,AND(MONTH(O307)&gt;=Setup!$C$15,MONTH(O307)&lt;=Setup!$C$16),OR(MONTH(O307)&gt;=Setup!$C$15,MONTH(O307)&lt;=Setup!$C$16)),IF(Setup!$C$15&lt;=Setup!$C$16,AND(MONTH(WORKDAY(O307,-(Setup!$C$13+Setup!$G$33),Setup!$C$39:$C$50))&gt;=Setup!$C$15,MONTH(WORKDAY(O307,-(Setup!$C$13+Setup!$G$33),Setup!$C$39:$C$50))&lt;=Setup!$C$16),OR(MONTH(WORKDAY(O307,-(Setup!$C$13+Setup!$G$33),Setup!$C$39:$C$50))&gt;=Setup!$C$15,MONTH(WORKDAY(O307,-(Setup!$C$13+Setup!$G$33),Setup!$C$39:$C$50))&lt;=Setup!$C$16))),WORKDAY(O307,-(Setup!$C$13+Setup!$G$33+Setup!$C$14),Setup!$C$39:$C$50),WORKDAY(O307,-(Setup!$C$13+Setup!$G$33),Setup!$C$39:$C$50))+(302*100+14)/10000000)))</f>
        <v/>
      </c>
      <c r="AF307" t="str">
        <f>IF(P307="","",IF(P307&lt;Setup!$C$5-Setup!$C$6,"",IF(IF(ISNUMBER(Roster!$D307),Setup!$C$34&lt;=Roster!$D307,FALSE),"",IF(OR(IF(Setup!$C$15&lt;=Setup!$C$16,AND(MONTH(P307)&gt;=Setup!$C$15,MONTH(P307)&lt;=Setup!$C$16),OR(MONTH(P307)&gt;=Setup!$C$15,MONTH(P307)&lt;=Setup!$C$16)),IF(Setup!$C$15&lt;=Setup!$C$16,AND(MONTH(WORKDAY(P307,-(Setup!$C$13+Setup!$G$34),Setup!$C$39:$C$50))&gt;=Setup!$C$15,MONTH(WORKDAY(P307,-(Setup!$C$13+Setup!$G$34),Setup!$C$39:$C$50))&lt;=Setup!$C$16),OR(MONTH(WORKDAY(P307,-(Setup!$C$13+Setup!$G$34),Setup!$C$39:$C$50))&gt;=Setup!$C$15,MONTH(WORKDAY(P307,-(Setup!$C$13+Setup!$G$34),Setup!$C$39:$C$50))&lt;=Setup!$C$16))),WORKDAY(P307,-(Setup!$C$13+Setup!$G$34+Setup!$C$14),Setup!$C$39:$C$50),WORKDAY(P307,-(Setup!$C$13+Setup!$G$34),Setup!$C$39:$C$50))+(302*100+15)/10000000)))</f>
        <v/>
      </c>
      <c r="AH307" t="str">
        <f t="shared" si="33"/>
        <v/>
      </c>
      <c r="AI307" t="str">
        <f t="shared" si="34"/>
        <v/>
      </c>
      <c r="AP307" t="str">
        <f>IF(ISNUMBER(Roster!$B307),MAX(1,YEAR(Setup!$C$5)-YEAR(Roster!$B307)+IF(EDATE(Roster!$B307,12*(YEAR(Setup!$C$5)-YEAR(Roster!$B307)))&lt;Setup!$C$5,1,0)),"")</f>
        <v/>
      </c>
      <c r="AQ307" s="32" t="str">
        <f>IF(AP307="","",EDATE(Roster!$B307,12*AP307))</f>
        <v/>
      </c>
      <c r="AR307" t="str">
        <f>IF(AQ307="","",IF(AQ307&lt;DATE(YEAR(Setup!$C$5)+1,MONTH(Setup!$C$5),DAY(Setup!$C$5)),AQ307+302/1000,""))</f>
        <v/>
      </c>
      <c r="AS307" t="str">
        <f t="shared" si="38"/>
        <v/>
      </c>
      <c r="AT307" t="str">
        <f>IF(AS307="","",IF(ISNUMBER(Roster!$D307),Roster!$D307&gt;=AP307,FALSE))</f>
        <v/>
      </c>
      <c r="AU307" t="str">
        <f t="shared" si="39"/>
        <v/>
      </c>
      <c r="AV307" t="str">
        <f ca="1">IF(302&gt;$AV$2,"",SMALL($AR$6:$AR$505,302))</f>
        <v/>
      </c>
      <c r="AW307" t="str">
        <f t="shared" ca="1" si="40"/>
        <v/>
      </c>
    </row>
    <row r="308" spans="2:49" x14ac:dyDescent="0.2">
      <c r="B308" s="32" t="str">
        <f>IF(AND(ISNUMBER(Roster!$B308),Setup!$B$20="Yes",ISNUMBER(Setup!$C$20)),EDATE(Roster!$B308,12*Setup!$C$20),"")</f>
        <v/>
      </c>
      <c r="C308" s="32" t="str">
        <f>IF(AND(ISNUMBER(Roster!$B308),Setup!$B$21="Yes",ISNUMBER(Setup!$C$21)),EDATE(Roster!$B308,12*Setup!$C$21),"")</f>
        <v/>
      </c>
      <c r="D308" s="32" t="str">
        <f>IF(AND(ISNUMBER(Roster!$B308),Setup!$B$22="Yes",ISNUMBER(Setup!$C$22)),EDATE(Roster!$B308,12*Setup!$C$22),"")</f>
        <v/>
      </c>
      <c r="E308" s="32" t="str">
        <f>IF(AND(ISNUMBER(Roster!$B308),Setup!$B$23="Yes",ISNUMBER(Setup!$C$23)),EDATE(Roster!$B308,12*Setup!$C$23),"")</f>
        <v/>
      </c>
      <c r="F308" s="32" t="str">
        <f>IF(AND(ISNUMBER(Roster!$B308),Setup!$B$24="Yes",ISNUMBER(Setup!$C$24)),EDATE(Roster!$B308,12*Setup!$C$24),"")</f>
        <v/>
      </c>
      <c r="G308" s="32" t="str">
        <f>IF(AND(ISNUMBER(Roster!$B308),Setup!$B$25="Yes",ISNUMBER(Setup!$C$25)),EDATE(Roster!$B308,12*Setup!$C$25),"")</f>
        <v/>
      </c>
      <c r="H308" s="32" t="str">
        <f>IF(AND(ISNUMBER(Roster!$B308),Setup!$B$26="Yes",ISNUMBER(Setup!$C$26)),EDATE(Roster!$B308,12*Setup!$C$26),"")</f>
        <v/>
      </c>
      <c r="I308" s="32" t="str">
        <f>IF(AND(ISNUMBER(Roster!$B308),Setup!$B$27="Yes",ISNUMBER(Setup!$C$27)),EDATE(Roster!$B308,12*Setup!$C$27),"")</f>
        <v/>
      </c>
      <c r="J308" s="32" t="str">
        <f>IF(AND(ISNUMBER(Roster!$B308),Setup!$B$28="Yes",ISNUMBER(Setup!$C$28)),EDATE(Roster!$B308,12*Setup!$C$28),"")</f>
        <v/>
      </c>
      <c r="K308" s="32" t="str">
        <f>IF(AND(ISNUMBER(Roster!$B308),Setup!$B$29="Yes",ISNUMBER(Setup!$C$29)),EDATE(Roster!$B308,12*Setup!$C$29),"")</f>
        <v/>
      </c>
      <c r="L308" s="32" t="str">
        <f>IF(AND(ISNUMBER(Roster!$B308),Setup!$B$30="Yes",ISNUMBER(Setup!$C$30)),EDATE(Roster!$B308,12*Setup!$C$30),"")</f>
        <v/>
      </c>
      <c r="M308" s="32" t="str">
        <f>IF(AND(ISNUMBER(Roster!$B308),Setup!$B$31="Yes",ISNUMBER(Setup!$C$31)),EDATE(Roster!$B308,12*Setup!$C$31),"")</f>
        <v/>
      </c>
      <c r="N308" s="32" t="str">
        <f>IF(AND(ISNUMBER(Roster!$B308),Setup!$B$32="Yes",ISNUMBER(Setup!$C$32)),EDATE(Roster!$B308,12*Setup!$C$32),"")</f>
        <v/>
      </c>
      <c r="O308" s="32" t="str">
        <f>IF(AND(ISNUMBER(Roster!$B308),Setup!$B$33="Yes",ISNUMBER(Setup!$C$33)),EDATE(Roster!$B308,12*Setup!$C$33),"")</f>
        <v/>
      </c>
      <c r="P308" s="32" t="str">
        <f>IF(AND(ISNUMBER(Roster!$B308),Setup!$B$34="Yes",ISNUMBER(Setup!$C$34)),EDATE(Roster!$B308,12*Setup!$C$34),"")</f>
        <v/>
      </c>
      <c r="R308" t="str">
        <f>IF(B308="","",IF(B308&lt;Setup!$C$5-Setup!$C$6,"",IF(IF(ISNUMBER(Roster!$D308),Setup!$C$20&lt;=Roster!$D308,FALSE),"",IF(OR(IF(Setup!$C$15&lt;=Setup!$C$16,AND(MONTH(B308)&gt;=Setup!$C$15,MONTH(B308)&lt;=Setup!$C$16),OR(MONTH(B308)&gt;=Setup!$C$15,MONTH(B308)&lt;=Setup!$C$16)),IF(Setup!$C$15&lt;=Setup!$C$16,AND(MONTH(WORKDAY(B308,-(Setup!$C$13+Setup!$G$20),Setup!$C$39:$C$50))&gt;=Setup!$C$15,MONTH(WORKDAY(B308,-(Setup!$C$13+Setup!$G$20),Setup!$C$39:$C$50))&lt;=Setup!$C$16),OR(MONTH(WORKDAY(B308,-(Setup!$C$13+Setup!$G$20),Setup!$C$39:$C$50))&gt;=Setup!$C$15,MONTH(WORKDAY(B308,-(Setup!$C$13+Setup!$G$20),Setup!$C$39:$C$50))&lt;=Setup!$C$16))),WORKDAY(B308,-(Setup!$C$13+Setup!$G$20+Setup!$C$14),Setup!$C$39:$C$50),WORKDAY(B308,-(Setup!$C$13+Setup!$G$20),Setup!$C$39:$C$50))+(303*100+1)/10000000)))</f>
        <v/>
      </c>
      <c r="S308" t="str">
        <f>IF(C308="","",IF(C308&lt;Setup!$C$5-Setup!$C$6,"",IF(IF(ISNUMBER(Roster!$D308),Setup!$C$21&lt;=Roster!$D308,FALSE),"",IF(OR(IF(Setup!$C$15&lt;=Setup!$C$16,AND(MONTH(C308)&gt;=Setup!$C$15,MONTH(C308)&lt;=Setup!$C$16),OR(MONTH(C308)&gt;=Setup!$C$15,MONTH(C308)&lt;=Setup!$C$16)),IF(Setup!$C$15&lt;=Setup!$C$16,AND(MONTH(WORKDAY(C308,-(Setup!$C$13+Setup!$G$21),Setup!$C$39:$C$50))&gt;=Setup!$C$15,MONTH(WORKDAY(C308,-(Setup!$C$13+Setup!$G$21),Setup!$C$39:$C$50))&lt;=Setup!$C$16),OR(MONTH(WORKDAY(C308,-(Setup!$C$13+Setup!$G$21),Setup!$C$39:$C$50))&gt;=Setup!$C$15,MONTH(WORKDAY(C308,-(Setup!$C$13+Setup!$G$21),Setup!$C$39:$C$50))&lt;=Setup!$C$16))),WORKDAY(C308,-(Setup!$C$13+Setup!$G$21+Setup!$C$14),Setup!$C$39:$C$50),WORKDAY(C308,-(Setup!$C$13+Setup!$G$21),Setup!$C$39:$C$50))+(303*100+2)/10000000)))</f>
        <v/>
      </c>
      <c r="T308" t="str">
        <f>IF(D308="","",IF(D308&lt;Setup!$C$5-Setup!$C$6,"",IF(IF(ISNUMBER(Roster!$D308),Setup!$C$22&lt;=Roster!$D308,FALSE),"",IF(OR(IF(Setup!$C$15&lt;=Setup!$C$16,AND(MONTH(D308)&gt;=Setup!$C$15,MONTH(D308)&lt;=Setup!$C$16),OR(MONTH(D308)&gt;=Setup!$C$15,MONTH(D308)&lt;=Setup!$C$16)),IF(Setup!$C$15&lt;=Setup!$C$16,AND(MONTH(WORKDAY(D308,-(Setup!$C$13+Setup!$G$22),Setup!$C$39:$C$50))&gt;=Setup!$C$15,MONTH(WORKDAY(D308,-(Setup!$C$13+Setup!$G$22),Setup!$C$39:$C$50))&lt;=Setup!$C$16),OR(MONTH(WORKDAY(D308,-(Setup!$C$13+Setup!$G$22),Setup!$C$39:$C$50))&gt;=Setup!$C$15,MONTH(WORKDAY(D308,-(Setup!$C$13+Setup!$G$22),Setup!$C$39:$C$50))&lt;=Setup!$C$16))),WORKDAY(D308,-(Setup!$C$13+Setup!$G$22+Setup!$C$14),Setup!$C$39:$C$50),WORKDAY(D308,-(Setup!$C$13+Setup!$G$22),Setup!$C$39:$C$50))+(303*100+3)/10000000)))</f>
        <v/>
      </c>
      <c r="U308" t="str">
        <f>IF(E308="","",IF(E308&lt;Setup!$C$5-Setup!$C$6,"",IF(IF(ISNUMBER(Roster!$D308),Setup!$C$23&lt;=Roster!$D308,FALSE),"",IF(OR(IF(Setup!$C$15&lt;=Setup!$C$16,AND(MONTH(E308)&gt;=Setup!$C$15,MONTH(E308)&lt;=Setup!$C$16),OR(MONTH(E308)&gt;=Setup!$C$15,MONTH(E308)&lt;=Setup!$C$16)),IF(Setup!$C$15&lt;=Setup!$C$16,AND(MONTH(WORKDAY(E308,-(Setup!$C$13+Setup!$G$23),Setup!$C$39:$C$50))&gt;=Setup!$C$15,MONTH(WORKDAY(E308,-(Setup!$C$13+Setup!$G$23),Setup!$C$39:$C$50))&lt;=Setup!$C$16),OR(MONTH(WORKDAY(E308,-(Setup!$C$13+Setup!$G$23),Setup!$C$39:$C$50))&gt;=Setup!$C$15,MONTH(WORKDAY(E308,-(Setup!$C$13+Setup!$G$23),Setup!$C$39:$C$50))&lt;=Setup!$C$16))),WORKDAY(E308,-(Setup!$C$13+Setup!$G$23+Setup!$C$14),Setup!$C$39:$C$50),WORKDAY(E308,-(Setup!$C$13+Setup!$G$23),Setup!$C$39:$C$50))+(303*100+4)/10000000)))</f>
        <v/>
      </c>
      <c r="V308" t="str">
        <f>IF(F308="","",IF(F308&lt;Setup!$C$5-Setup!$C$6,"",IF(IF(ISNUMBER(Roster!$D308),Setup!$C$24&lt;=Roster!$D308,FALSE),"",IF(OR(IF(Setup!$C$15&lt;=Setup!$C$16,AND(MONTH(F308)&gt;=Setup!$C$15,MONTH(F308)&lt;=Setup!$C$16),OR(MONTH(F308)&gt;=Setup!$C$15,MONTH(F308)&lt;=Setup!$C$16)),IF(Setup!$C$15&lt;=Setup!$C$16,AND(MONTH(WORKDAY(F308,-(Setup!$C$13+Setup!$G$24),Setup!$C$39:$C$50))&gt;=Setup!$C$15,MONTH(WORKDAY(F308,-(Setup!$C$13+Setup!$G$24),Setup!$C$39:$C$50))&lt;=Setup!$C$16),OR(MONTH(WORKDAY(F308,-(Setup!$C$13+Setup!$G$24),Setup!$C$39:$C$50))&gt;=Setup!$C$15,MONTH(WORKDAY(F308,-(Setup!$C$13+Setup!$G$24),Setup!$C$39:$C$50))&lt;=Setup!$C$16))),WORKDAY(F308,-(Setup!$C$13+Setup!$G$24+Setup!$C$14),Setup!$C$39:$C$50),WORKDAY(F308,-(Setup!$C$13+Setup!$G$24),Setup!$C$39:$C$50))+(303*100+5)/10000000)))</f>
        <v/>
      </c>
      <c r="W308" t="str">
        <f>IF(G308="","",IF(G308&lt;Setup!$C$5-Setup!$C$6,"",IF(IF(ISNUMBER(Roster!$D308),Setup!$C$25&lt;=Roster!$D308,FALSE),"",IF(OR(IF(Setup!$C$15&lt;=Setup!$C$16,AND(MONTH(G308)&gt;=Setup!$C$15,MONTH(G308)&lt;=Setup!$C$16),OR(MONTH(G308)&gt;=Setup!$C$15,MONTH(G308)&lt;=Setup!$C$16)),IF(Setup!$C$15&lt;=Setup!$C$16,AND(MONTH(WORKDAY(G308,-(Setup!$C$13+Setup!$G$25),Setup!$C$39:$C$50))&gt;=Setup!$C$15,MONTH(WORKDAY(G308,-(Setup!$C$13+Setup!$G$25),Setup!$C$39:$C$50))&lt;=Setup!$C$16),OR(MONTH(WORKDAY(G308,-(Setup!$C$13+Setup!$G$25),Setup!$C$39:$C$50))&gt;=Setup!$C$15,MONTH(WORKDAY(G308,-(Setup!$C$13+Setup!$G$25),Setup!$C$39:$C$50))&lt;=Setup!$C$16))),WORKDAY(G308,-(Setup!$C$13+Setup!$G$25+Setup!$C$14),Setup!$C$39:$C$50),WORKDAY(G308,-(Setup!$C$13+Setup!$G$25),Setup!$C$39:$C$50))+(303*100+6)/10000000)))</f>
        <v/>
      </c>
      <c r="X308" t="str">
        <f>IF(H308="","",IF(H308&lt;Setup!$C$5-Setup!$C$6,"",IF(IF(ISNUMBER(Roster!$D308),Setup!$C$26&lt;=Roster!$D308,FALSE),"",IF(OR(IF(Setup!$C$15&lt;=Setup!$C$16,AND(MONTH(H308)&gt;=Setup!$C$15,MONTH(H308)&lt;=Setup!$C$16),OR(MONTH(H308)&gt;=Setup!$C$15,MONTH(H308)&lt;=Setup!$C$16)),IF(Setup!$C$15&lt;=Setup!$C$16,AND(MONTH(WORKDAY(H308,-(Setup!$C$13+Setup!$G$26),Setup!$C$39:$C$50))&gt;=Setup!$C$15,MONTH(WORKDAY(H308,-(Setup!$C$13+Setup!$G$26),Setup!$C$39:$C$50))&lt;=Setup!$C$16),OR(MONTH(WORKDAY(H308,-(Setup!$C$13+Setup!$G$26),Setup!$C$39:$C$50))&gt;=Setup!$C$15,MONTH(WORKDAY(H308,-(Setup!$C$13+Setup!$G$26),Setup!$C$39:$C$50))&lt;=Setup!$C$16))),WORKDAY(H308,-(Setup!$C$13+Setup!$G$26+Setup!$C$14),Setup!$C$39:$C$50),WORKDAY(H308,-(Setup!$C$13+Setup!$G$26),Setup!$C$39:$C$50))+(303*100+7)/10000000)))</f>
        <v/>
      </c>
      <c r="Y308" t="str">
        <f>IF(I308="","",IF(I308&lt;Setup!$C$5-Setup!$C$6,"",IF(IF(ISNUMBER(Roster!$D308),Setup!$C$27&lt;=Roster!$D308,FALSE),"",IF(OR(IF(Setup!$C$15&lt;=Setup!$C$16,AND(MONTH(I308)&gt;=Setup!$C$15,MONTH(I308)&lt;=Setup!$C$16),OR(MONTH(I308)&gt;=Setup!$C$15,MONTH(I308)&lt;=Setup!$C$16)),IF(Setup!$C$15&lt;=Setup!$C$16,AND(MONTH(WORKDAY(I308,-(Setup!$C$13+Setup!$G$27),Setup!$C$39:$C$50))&gt;=Setup!$C$15,MONTH(WORKDAY(I308,-(Setup!$C$13+Setup!$G$27),Setup!$C$39:$C$50))&lt;=Setup!$C$16),OR(MONTH(WORKDAY(I308,-(Setup!$C$13+Setup!$G$27),Setup!$C$39:$C$50))&gt;=Setup!$C$15,MONTH(WORKDAY(I308,-(Setup!$C$13+Setup!$G$27),Setup!$C$39:$C$50))&lt;=Setup!$C$16))),WORKDAY(I308,-(Setup!$C$13+Setup!$G$27+Setup!$C$14),Setup!$C$39:$C$50),WORKDAY(I308,-(Setup!$C$13+Setup!$G$27),Setup!$C$39:$C$50))+(303*100+8)/10000000)))</f>
        <v/>
      </c>
      <c r="Z308" t="str">
        <f>IF(J308="","",IF(J308&lt;Setup!$C$5-Setup!$C$6,"",IF(IF(ISNUMBER(Roster!$D308),Setup!$C$28&lt;=Roster!$D308,FALSE),"",IF(OR(IF(Setup!$C$15&lt;=Setup!$C$16,AND(MONTH(J308)&gt;=Setup!$C$15,MONTH(J308)&lt;=Setup!$C$16),OR(MONTH(J308)&gt;=Setup!$C$15,MONTH(J308)&lt;=Setup!$C$16)),IF(Setup!$C$15&lt;=Setup!$C$16,AND(MONTH(WORKDAY(J308,-(Setup!$C$13+Setup!$G$28),Setup!$C$39:$C$50))&gt;=Setup!$C$15,MONTH(WORKDAY(J308,-(Setup!$C$13+Setup!$G$28),Setup!$C$39:$C$50))&lt;=Setup!$C$16),OR(MONTH(WORKDAY(J308,-(Setup!$C$13+Setup!$G$28),Setup!$C$39:$C$50))&gt;=Setup!$C$15,MONTH(WORKDAY(J308,-(Setup!$C$13+Setup!$G$28),Setup!$C$39:$C$50))&lt;=Setup!$C$16))),WORKDAY(J308,-(Setup!$C$13+Setup!$G$28+Setup!$C$14),Setup!$C$39:$C$50),WORKDAY(J308,-(Setup!$C$13+Setup!$G$28),Setup!$C$39:$C$50))+(303*100+9)/10000000)))</f>
        <v/>
      </c>
      <c r="AA308" t="str">
        <f>IF(K308="","",IF(K308&lt;Setup!$C$5-Setup!$C$6,"",IF(IF(ISNUMBER(Roster!$D308),Setup!$C$29&lt;=Roster!$D308,FALSE),"",IF(OR(IF(Setup!$C$15&lt;=Setup!$C$16,AND(MONTH(K308)&gt;=Setup!$C$15,MONTH(K308)&lt;=Setup!$C$16),OR(MONTH(K308)&gt;=Setup!$C$15,MONTH(K308)&lt;=Setup!$C$16)),IF(Setup!$C$15&lt;=Setup!$C$16,AND(MONTH(WORKDAY(K308,-(Setup!$C$13+Setup!$G$29),Setup!$C$39:$C$50))&gt;=Setup!$C$15,MONTH(WORKDAY(K308,-(Setup!$C$13+Setup!$G$29),Setup!$C$39:$C$50))&lt;=Setup!$C$16),OR(MONTH(WORKDAY(K308,-(Setup!$C$13+Setup!$G$29),Setup!$C$39:$C$50))&gt;=Setup!$C$15,MONTH(WORKDAY(K308,-(Setup!$C$13+Setup!$G$29),Setup!$C$39:$C$50))&lt;=Setup!$C$16))),WORKDAY(K308,-(Setup!$C$13+Setup!$G$29+Setup!$C$14),Setup!$C$39:$C$50),WORKDAY(K308,-(Setup!$C$13+Setup!$G$29),Setup!$C$39:$C$50))+(303*100+10)/10000000)))</f>
        <v/>
      </c>
      <c r="AB308" t="str">
        <f>IF(L308="","",IF(L308&lt;Setup!$C$5-Setup!$C$6,"",IF(IF(ISNUMBER(Roster!$D308),Setup!$C$30&lt;=Roster!$D308,FALSE),"",IF(OR(IF(Setup!$C$15&lt;=Setup!$C$16,AND(MONTH(L308)&gt;=Setup!$C$15,MONTH(L308)&lt;=Setup!$C$16),OR(MONTH(L308)&gt;=Setup!$C$15,MONTH(L308)&lt;=Setup!$C$16)),IF(Setup!$C$15&lt;=Setup!$C$16,AND(MONTH(WORKDAY(L308,-(Setup!$C$13+Setup!$G$30),Setup!$C$39:$C$50))&gt;=Setup!$C$15,MONTH(WORKDAY(L308,-(Setup!$C$13+Setup!$G$30),Setup!$C$39:$C$50))&lt;=Setup!$C$16),OR(MONTH(WORKDAY(L308,-(Setup!$C$13+Setup!$G$30),Setup!$C$39:$C$50))&gt;=Setup!$C$15,MONTH(WORKDAY(L308,-(Setup!$C$13+Setup!$G$30),Setup!$C$39:$C$50))&lt;=Setup!$C$16))),WORKDAY(L308,-(Setup!$C$13+Setup!$G$30+Setup!$C$14),Setup!$C$39:$C$50),WORKDAY(L308,-(Setup!$C$13+Setup!$G$30),Setup!$C$39:$C$50))+(303*100+11)/10000000)))</f>
        <v/>
      </c>
      <c r="AC308" t="str">
        <f>IF(M308="","",IF(M308&lt;Setup!$C$5-Setup!$C$6,"",IF(IF(ISNUMBER(Roster!$D308),Setup!$C$31&lt;=Roster!$D308,FALSE),"",IF(OR(IF(Setup!$C$15&lt;=Setup!$C$16,AND(MONTH(M308)&gt;=Setup!$C$15,MONTH(M308)&lt;=Setup!$C$16),OR(MONTH(M308)&gt;=Setup!$C$15,MONTH(M308)&lt;=Setup!$C$16)),IF(Setup!$C$15&lt;=Setup!$C$16,AND(MONTH(WORKDAY(M308,-(Setup!$C$13+Setup!$G$31),Setup!$C$39:$C$50))&gt;=Setup!$C$15,MONTH(WORKDAY(M308,-(Setup!$C$13+Setup!$G$31),Setup!$C$39:$C$50))&lt;=Setup!$C$16),OR(MONTH(WORKDAY(M308,-(Setup!$C$13+Setup!$G$31),Setup!$C$39:$C$50))&gt;=Setup!$C$15,MONTH(WORKDAY(M308,-(Setup!$C$13+Setup!$G$31),Setup!$C$39:$C$50))&lt;=Setup!$C$16))),WORKDAY(M308,-(Setup!$C$13+Setup!$G$31+Setup!$C$14),Setup!$C$39:$C$50),WORKDAY(M308,-(Setup!$C$13+Setup!$G$31),Setup!$C$39:$C$50))+(303*100+12)/10000000)))</f>
        <v/>
      </c>
      <c r="AD308" t="str">
        <f>IF(N308="","",IF(N308&lt;Setup!$C$5-Setup!$C$6,"",IF(IF(ISNUMBER(Roster!$D308),Setup!$C$32&lt;=Roster!$D308,FALSE),"",IF(OR(IF(Setup!$C$15&lt;=Setup!$C$16,AND(MONTH(N308)&gt;=Setup!$C$15,MONTH(N308)&lt;=Setup!$C$16),OR(MONTH(N308)&gt;=Setup!$C$15,MONTH(N308)&lt;=Setup!$C$16)),IF(Setup!$C$15&lt;=Setup!$C$16,AND(MONTH(WORKDAY(N308,-(Setup!$C$13+Setup!$G$32),Setup!$C$39:$C$50))&gt;=Setup!$C$15,MONTH(WORKDAY(N308,-(Setup!$C$13+Setup!$G$32),Setup!$C$39:$C$50))&lt;=Setup!$C$16),OR(MONTH(WORKDAY(N308,-(Setup!$C$13+Setup!$G$32),Setup!$C$39:$C$50))&gt;=Setup!$C$15,MONTH(WORKDAY(N308,-(Setup!$C$13+Setup!$G$32),Setup!$C$39:$C$50))&lt;=Setup!$C$16))),WORKDAY(N308,-(Setup!$C$13+Setup!$G$32+Setup!$C$14),Setup!$C$39:$C$50),WORKDAY(N308,-(Setup!$C$13+Setup!$G$32),Setup!$C$39:$C$50))+(303*100+13)/10000000)))</f>
        <v/>
      </c>
      <c r="AE308" t="str">
        <f>IF(O308="","",IF(O308&lt;Setup!$C$5-Setup!$C$6,"",IF(IF(ISNUMBER(Roster!$D308),Setup!$C$33&lt;=Roster!$D308,FALSE),"",IF(OR(IF(Setup!$C$15&lt;=Setup!$C$16,AND(MONTH(O308)&gt;=Setup!$C$15,MONTH(O308)&lt;=Setup!$C$16),OR(MONTH(O308)&gt;=Setup!$C$15,MONTH(O308)&lt;=Setup!$C$16)),IF(Setup!$C$15&lt;=Setup!$C$16,AND(MONTH(WORKDAY(O308,-(Setup!$C$13+Setup!$G$33),Setup!$C$39:$C$50))&gt;=Setup!$C$15,MONTH(WORKDAY(O308,-(Setup!$C$13+Setup!$G$33),Setup!$C$39:$C$50))&lt;=Setup!$C$16),OR(MONTH(WORKDAY(O308,-(Setup!$C$13+Setup!$G$33),Setup!$C$39:$C$50))&gt;=Setup!$C$15,MONTH(WORKDAY(O308,-(Setup!$C$13+Setup!$G$33),Setup!$C$39:$C$50))&lt;=Setup!$C$16))),WORKDAY(O308,-(Setup!$C$13+Setup!$G$33+Setup!$C$14),Setup!$C$39:$C$50),WORKDAY(O308,-(Setup!$C$13+Setup!$G$33),Setup!$C$39:$C$50))+(303*100+14)/10000000)))</f>
        <v/>
      </c>
      <c r="AF308" t="str">
        <f>IF(P308="","",IF(P308&lt;Setup!$C$5-Setup!$C$6,"",IF(IF(ISNUMBER(Roster!$D308),Setup!$C$34&lt;=Roster!$D308,FALSE),"",IF(OR(IF(Setup!$C$15&lt;=Setup!$C$16,AND(MONTH(P308)&gt;=Setup!$C$15,MONTH(P308)&lt;=Setup!$C$16),OR(MONTH(P308)&gt;=Setup!$C$15,MONTH(P308)&lt;=Setup!$C$16)),IF(Setup!$C$15&lt;=Setup!$C$16,AND(MONTH(WORKDAY(P308,-(Setup!$C$13+Setup!$G$34),Setup!$C$39:$C$50))&gt;=Setup!$C$15,MONTH(WORKDAY(P308,-(Setup!$C$13+Setup!$G$34),Setup!$C$39:$C$50))&lt;=Setup!$C$16),OR(MONTH(WORKDAY(P308,-(Setup!$C$13+Setup!$G$34),Setup!$C$39:$C$50))&gt;=Setup!$C$15,MONTH(WORKDAY(P308,-(Setup!$C$13+Setup!$G$34),Setup!$C$39:$C$50))&lt;=Setup!$C$16))),WORKDAY(P308,-(Setup!$C$13+Setup!$G$34+Setup!$C$14),Setup!$C$39:$C$50),WORKDAY(P308,-(Setup!$C$13+Setup!$G$34),Setup!$C$39:$C$50))+(303*100+15)/10000000)))</f>
        <v/>
      </c>
      <c r="AH308" t="str">
        <f t="shared" si="33"/>
        <v/>
      </c>
      <c r="AI308" t="str">
        <f t="shared" si="34"/>
        <v/>
      </c>
      <c r="AP308" t="str">
        <f>IF(ISNUMBER(Roster!$B308),MAX(1,YEAR(Setup!$C$5)-YEAR(Roster!$B308)+IF(EDATE(Roster!$B308,12*(YEAR(Setup!$C$5)-YEAR(Roster!$B308)))&lt;Setup!$C$5,1,0)),"")</f>
        <v/>
      </c>
      <c r="AQ308" s="32" t="str">
        <f>IF(AP308="","",EDATE(Roster!$B308,12*AP308))</f>
        <v/>
      </c>
      <c r="AR308" t="str">
        <f>IF(AQ308="","",IF(AQ308&lt;DATE(YEAR(Setup!$C$5)+1,MONTH(Setup!$C$5),DAY(Setup!$C$5)),AQ308+303/1000,""))</f>
        <v/>
      </c>
      <c r="AS308" t="str">
        <f t="shared" si="38"/>
        <v/>
      </c>
      <c r="AT308" t="str">
        <f>IF(AS308="","",IF(ISNUMBER(Roster!$D308),Roster!$D308&gt;=AP308,FALSE))</f>
        <v/>
      </c>
      <c r="AU308" t="str">
        <f t="shared" si="39"/>
        <v/>
      </c>
      <c r="AV308" t="str">
        <f ca="1">IF(303&gt;$AV$2,"",SMALL($AR$6:$AR$505,303))</f>
        <v/>
      </c>
      <c r="AW308" t="str">
        <f t="shared" ca="1" si="40"/>
        <v/>
      </c>
    </row>
    <row r="309" spans="2:49" x14ac:dyDescent="0.2">
      <c r="B309" s="32" t="str">
        <f>IF(AND(ISNUMBER(Roster!$B309),Setup!$B$20="Yes",ISNUMBER(Setup!$C$20)),EDATE(Roster!$B309,12*Setup!$C$20),"")</f>
        <v/>
      </c>
      <c r="C309" s="32" t="str">
        <f>IF(AND(ISNUMBER(Roster!$B309),Setup!$B$21="Yes",ISNUMBER(Setup!$C$21)),EDATE(Roster!$B309,12*Setup!$C$21),"")</f>
        <v/>
      </c>
      <c r="D309" s="32" t="str">
        <f>IF(AND(ISNUMBER(Roster!$B309),Setup!$B$22="Yes",ISNUMBER(Setup!$C$22)),EDATE(Roster!$B309,12*Setup!$C$22),"")</f>
        <v/>
      </c>
      <c r="E309" s="32" t="str">
        <f>IF(AND(ISNUMBER(Roster!$B309),Setup!$B$23="Yes",ISNUMBER(Setup!$C$23)),EDATE(Roster!$B309,12*Setup!$C$23),"")</f>
        <v/>
      </c>
      <c r="F309" s="32" t="str">
        <f>IF(AND(ISNUMBER(Roster!$B309),Setup!$B$24="Yes",ISNUMBER(Setup!$C$24)),EDATE(Roster!$B309,12*Setup!$C$24),"")</f>
        <v/>
      </c>
      <c r="G309" s="32" t="str">
        <f>IF(AND(ISNUMBER(Roster!$B309),Setup!$B$25="Yes",ISNUMBER(Setup!$C$25)),EDATE(Roster!$B309,12*Setup!$C$25),"")</f>
        <v/>
      </c>
      <c r="H309" s="32" t="str">
        <f>IF(AND(ISNUMBER(Roster!$B309),Setup!$B$26="Yes",ISNUMBER(Setup!$C$26)),EDATE(Roster!$B309,12*Setup!$C$26),"")</f>
        <v/>
      </c>
      <c r="I309" s="32" t="str">
        <f>IF(AND(ISNUMBER(Roster!$B309),Setup!$B$27="Yes",ISNUMBER(Setup!$C$27)),EDATE(Roster!$B309,12*Setup!$C$27),"")</f>
        <v/>
      </c>
      <c r="J309" s="32" t="str">
        <f>IF(AND(ISNUMBER(Roster!$B309),Setup!$B$28="Yes",ISNUMBER(Setup!$C$28)),EDATE(Roster!$B309,12*Setup!$C$28),"")</f>
        <v/>
      </c>
      <c r="K309" s="32" t="str">
        <f>IF(AND(ISNUMBER(Roster!$B309),Setup!$B$29="Yes",ISNUMBER(Setup!$C$29)),EDATE(Roster!$B309,12*Setup!$C$29),"")</f>
        <v/>
      </c>
      <c r="L309" s="32" t="str">
        <f>IF(AND(ISNUMBER(Roster!$B309),Setup!$B$30="Yes",ISNUMBER(Setup!$C$30)),EDATE(Roster!$B309,12*Setup!$C$30),"")</f>
        <v/>
      </c>
      <c r="M309" s="32" t="str">
        <f>IF(AND(ISNUMBER(Roster!$B309),Setup!$B$31="Yes",ISNUMBER(Setup!$C$31)),EDATE(Roster!$B309,12*Setup!$C$31),"")</f>
        <v/>
      </c>
      <c r="N309" s="32" t="str">
        <f>IF(AND(ISNUMBER(Roster!$B309),Setup!$B$32="Yes",ISNUMBER(Setup!$C$32)),EDATE(Roster!$B309,12*Setup!$C$32),"")</f>
        <v/>
      </c>
      <c r="O309" s="32" t="str">
        <f>IF(AND(ISNUMBER(Roster!$B309),Setup!$B$33="Yes",ISNUMBER(Setup!$C$33)),EDATE(Roster!$B309,12*Setup!$C$33),"")</f>
        <v/>
      </c>
      <c r="P309" s="32" t="str">
        <f>IF(AND(ISNUMBER(Roster!$B309),Setup!$B$34="Yes",ISNUMBER(Setup!$C$34)),EDATE(Roster!$B309,12*Setup!$C$34),"")</f>
        <v/>
      </c>
      <c r="R309" t="str">
        <f>IF(B309="","",IF(B309&lt;Setup!$C$5-Setup!$C$6,"",IF(IF(ISNUMBER(Roster!$D309),Setup!$C$20&lt;=Roster!$D309,FALSE),"",IF(OR(IF(Setup!$C$15&lt;=Setup!$C$16,AND(MONTH(B309)&gt;=Setup!$C$15,MONTH(B309)&lt;=Setup!$C$16),OR(MONTH(B309)&gt;=Setup!$C$15,MONTH(B309)&lt;=Setup!$C$16)),IF(Setup!$C$15&lt;=Setup!$C$16,AND(MONTH(WORKDAY(B309,-(Setup!$C$13+Setup!$G$20),Setup!$C$39:$C$50))&gt;=Setup!$C$15,MONTH(WORKDAY(B309,-(Setup!$C$13+Setup!$G$20),Setup!$C$39:$C$50))&lt;=Setup!$C$16),OR(MONTH(WORKDAY(B309,-(Setup!$C$13+Setup!$G$20),Setup!$C$39:$C$50))&gt;=Setup!$C$15,MONTH(WORKDAY(B309,-(Setup!$C$13+Setup!$G$20),Setup!$C$39:$C$50))&lt;=Setup!$C$16))),WORKDAY(B309,-(Setup!$C$13+Setup!$G$20+Setup!$C$14),Setup!$C$39:$C$50),WORKDAY(B309,-(Setup!$C$13+Setup!$G$20),Setup!$C$39:$C$50))+(304*100+1)/10000000)))</f>
        <v/>
      </c>
      <c r="S309" t="str">
        <f>IF(C309="","",IF(C309&lt;Setup!$C$5-Setup!$C$6,"",IF(IF(ISNUMBER(Roster!$D309),Setup!$C$21&lt;=Roster!$D309,FALSE),"",IF(OR(IF(Setup!$C$15&lt;=Setup!$C$16,AND(MONTH(C309)&gt;=Setup!$C$15,MONTH(C309)&lt;=Setup!$C$16),OR(MONTH(C309)&gt;=Setup!$C$15,MONTH(C309)&lt;=Setup!$C$16)),IF(Setup!$C$15&lt;=Setup!$C$16,AND(MONTH(WORKDAY(C309,-(Setup!$C$13+Setup!$G$21),Setup!$C$39:$C$50))&gt;=Setup!$C$15,MONTH(WORKDAY(C309,-(Setup!$C$13+Setup!$G$21),Setup!$C$39:$C$50))&lt;=Setup!$C$16),OR(MONTH(WORKDAY(C309,-(Setup!$C$13+Setup!$G$21),Setup!$C$39:$C$50))&gt;=Setup!$C$15,MONTH(WORKDAY(C309,-(Setup!$C$13+Setup!$G$21),Setup!$C$39:$C$50))&lt;=Setup!$C$16))),WORKDAY(C309,-(Setup!$C$13+Setup!$G$21+Setup!$C$14),Setup!$C$39:$C$50),WORKDAY(C309,-(Setup!$C$13+Setup!$G$21),Setup!$C$39:$C$50))+(304*100+2)/10000000)))</f>
        <v/>
      </c>
      <c r="T309" t="str">
        <f>IF(D309="","",IF(D309&lt;Setup!$C$5-Setup!$C$6,"",IF(IF(ISNUMBER(Roster!$D309),Setup!$C$22&lt;=Roster!$D309,FALSE),"",IF(OR(IF(Setup!$C$15&lt;=Setup!$C$16,AND(MONTH(D309)&gt;=Setup!$C$15,MONTH(D309)&lt;=Setup!$C$16),OR(MONTH(D309)&gt;=Setup!$C$15,MONTH(D309)&lt;=Setup!$C$16)),IF(Setup!$C$15&lt;=Setup!$C$16,AND(MONTH(WORKDAY(D309,-(Setup!$C$13+Setup!$G$22),Setup!$C$39:$C$50))&gt;=Setup!$C$15,MONTH(WORKDAY(D309,-(Setup!$C$13+Setup!$G$22),Setup!$C$39:$C$50))&lt;=Setup!$C$16),OR(MONTH(WORKDAY(D309,-(Setup!$C$13+Setup!$G$22),Setup!$C$39:$C$50))&gt;=Setup!$C$15,MONTH(WORKDAY(D309,-(Setup!$C$13+Setup!$G$22),Setup!$C$39:$C$50))&lt;=Setup!$C$16))),WORKDAY(D309,-(Setup!$C$13+Setup!$G$22+Setup!$C$14),Setup!$C$39:$C$50),WORKDAY(D309,-(Setup!$C$13+Setup!$G$22),Setup!$C$39:$C$50))+(304*100+3)/10000000)))</f>
        <v/>
      </c>
      <c r="U309" t="str">
        <f>IF(E309="","",IF(E309&lt;Setup!$C$5-Setup!$C$6,"",IF(IF(ISNUMBER(Roster!$D309),Setup!$C$23&lt;=Roster!$D309,FALSE),"",IF(OR(IF(Setup!$C$15&lt;=Setup!$C$16,AND(MONTH(E309)&gt;=Setup!$C$15,MONTH(E309)&lt;=Setup!$C$16),OR(MONTH(E309)&gt;=Setup!$C$15,MONTH(E309)&lt;=Setup!$C$16)),IF(Setup!$C$15&lt;=Setup!$C$16,AND(MONTH(WORKDAY(E309,-(Setup!$C$13+Setup!$G$23),Setup!$C$39:$C$50))&gt;=Setup!$C$15,MONTH(WORKDAY(E309,-(Setup!$C$13+Setup!$G$23),Setup!$C$39:$C$50))&lt;=Setup!$C$16),OR(MONTH(WORKDAY(E309,-(Setup!$C$13+Setup!$G$23),Setup!$C$39:$C$50))&gt;=Setup!$C$15,MONTH(WORKDAY(E309,-(Setup!$C$13+Setup!$G$23),Setup!$C$39:$C$50))&lt;=Setup!$C$16))),WORKDAY(E309,-(Setup!$C$13+Setup!$G$23+Setup!$C$14),Setup!$C$39:$C$50),WORKDAY(E309,-(Setup!$C$13+Setup!$G$23),Setup!$C$39:$C$50))+(304*100+4)/10000000)))</f>
        <v/>
      </c>
      <c r="V309" t="str">
        <f>IF(F309="","",IF(F309&lt;Setup!$C$5-Setup!$C$6,"",IF(IF(ISNUMBER(Roster!$D309),Setup!$C$24&lt;=Roster!$D309,FALSE),"",IF(OR(IF(Setup!$C$15&lt;=Setup!$C$16,AND(MONTH(F309)&gt;=Setup!$C$15,MONTH(F309)&lt;=Setup!$C$16),OR(MONTH(F309)&gt;=Setup!$C$15,MONTH(F309)&lt;=Setup!$C$16)),IF(Setup!$C$15&lt;=Setup!$C$16,AND(MONTH(WORKDAY(F309,-(Setup!$C$13+Setup!$G$24),Setup!$C$39:$C$50))&gt;=Setup!$C$15,MONTH(WORKDAY(F309,-(Setup!$C$13+Setup!$G$24),Setup!$C$39:$C$50))&lt;=Setup!$C$16),OR(MONTH(WORKDAY(F309,-(Setup!$C$13+Setup!$G$24),Setup!$C$39:$C$50))&gt;=Setup!$C$15,MONTH(WORKDAY(F309,-(Setup!$C$13+Setup!$G$24),Setup!$C$39:$C$50))&lt;=Setup!$C$16))),WORKDAY(F309,-(Setup!$C$13+Setup!$G$24+Setup!$C$14),Setup!$C$39:$C$50),WORKDAY(F309,-(Setup!$C$13+Setup!$G$24),Setup!$C$39:$C$50))+(304*100+5)/10000000)))</f>
        <v/>
      </c>
      <c r="W309" t="str">
        <f>IF(G309="","",IF(G309&lt;Setup!$C$5-Setup!$C$6,"",IF(IF(ISNUMBER(Roster!$D309),Setup!$C$25&lt;=Roster!$D309,FALSE),"",IF(OR(IF(Setup!$C$15&lt;=Setup!$C$16,AND(MONTH(G309)&gt;=Setup!$C$15,MONTH(G309)&lt;=Setup!$C$16),OR(MONTH(G309)&gt;=Setup!$C$15,MONTH(G309)&lt;=Setup!$C$16)),IF(Setup!$C$15&lt;=Setup!$C$16,AND(MONTH(WORKDAY(G309,-(Setup!$C$13+Setup!$G$25),Setup!$C$39:$C$50))&gt;=Setup!$C$15,MONTH(WORKDAY(G309,-(Setup!$C$13+Setup!$G$25),Setup!$C$39:$C$50))&lt;=Setup!$C$16),OR(MONTH(WORKDAY(G309,-(Setup!$C$13+Setup!$G$25),Setup!$C$39:$C$50))&gt;=Setup!$C$15,MONTH(WORKDAY(G309,-(Setup!$C$13+Setup!$G$25),Setup!$C$39:$C$50))&lt;=Setup!$C$16))),WORKDAY(G309,-(Setup!$C$13+Setup!$G$25+Setup!$C$14),Setup!$C$39:$C$50),WORKDAY(G309,-(Setup!$C$13+Setup!$G$25),Setup!$C$39:$C$50))+(304*100+6)/10000000)))</f>
        <v/>
      </c>
      <c r="X309" t="str">
        <f>IF(H309="","",IF(H309&lt;Setup!$C$5-Setup!$C$6,"",IF(IF(ISNUMBER(Roster!$D309),Setup!$C$26&lt;=Roster!$D309,FALSE),"",IF(OR(IF(Setup!$C$15&lt;=Setup!$C$16,AND(MONTH(H309)&gt;=Setup!$C$15,MONTH(H309)&lt;=Setup!$C$16),OR(MONTH(H309)&gt;=Setup!$C$15,MONTH(H309)&lt;=Setup!$C$16)),IF(Setup!$C$15&lt;=Setup!$C$16,AND(MONTH(WORKDAY(H309,-(Setup!$C$13+Setup!$G$26),Setup!$C$39:$C$50))&gt;=Setup!$C$15,MONTH(WORKDAY(H309,-(Setup!$C$13+Setup!$G$26),Setup!$C$39:$C$50))&lt;=Setup!$C$16),OR(MONTH(WORKDAY(H309,-(Setup!$C$13+Setup!$G$26),Setup!$C$39:$C$50))&gt;=Setup!$C$15,MONTH(WORKDAY(H309,-(Setup!$C$13+Setup!$G$26),Setup!$C$39:$C$50))&lt;=Setup!$C$16))),WORKDAY(H309,-(Setup!$C$13+Setup!$G$26+Setup!$C$14),Setup!$C$39:$C$50),WORKDAY(H309,-(Setup!$C$13+Setup!$G$26),Setup!$C$39:$C$50))+(304*100+7)/10000000)))</f>
        <v/>
      </c>
      <c r="Y309" t="str">
        <f>IF(I309="","",IF(I309&lt;Setup!$C$5-Setup!$C$6,"",IF(IF(ISNUMBER(Roster!$D309),Setup!$C$27&lt;=Roster!$D309,FALSE),"",IF(OR(IF(Setup!$C$15&lt;=Setup!$C$16,AND(MONTH(I309)&gt;=Setup!$C$15,MONTH(I309)&lt;=Setup!$C$16),OR(MONTH(I309)&gt;=Setup!$C$15,MONTH(I309)&lt;=Setup!$C$16)),IF(Setup!$C$15&lt;=Setup!$C$16,AND(MONTH(WORKDAY(I309,-(Setup!$C$13+Setup!$G$27),Setup!$C$39:$C$50))&gt;=Setup!$C$15,MONTH(WORKDAY(I309,-(Setup!$C$13+Setup!$G$27),Setup!$C$39:$C$50))&lt;=Setup!$C$16),OR(MONTH(WORKDAY(I309,-(Setup!$C$13+Setup!$G$27),Setup!$C$39:$C$50))&gt;=Setup!$C$15,MONTH(WORKDAY(I309,-(Setup!$C$13+Setup!$G$27),Setup!$C$39:$C$50))&lt;=Setup!$C$16))),WORKDAY(I309,-(Setup!$C$13+Setup!$G$27+Setup!$C$14),Setup!$C$39:$C$50),WORKDAY(I309,-(Setup!$C$13+Setup!$G$27),Setup!$C$39:$C$50))+(304*100+8)/10000000)))</f>
        <v/>
      </c>
      <c r="Z309" t="str">
        <f>IF(J309="","",IF(J309&lt;Setup!$C$5-Setup!$C$6,"",IF(IF(ISNUMBER(Roster!$D309),Setup!$C$28&lt;=Roster!$D309,FALSE),"",IF(OR(IF(Setup!$C$15&lt;=Setup!$C$16,AND(MONTH(J309)&gt;=Setup!$C$15,MONTH(J309)&lt;=Setup!$C$16),OR(MONTH(J309)&gt;=Setup!$C$15,MONTH(J309)&lt;=Setup!$C$16)),IF(Setup!$C$15&lt;=Setup!$C$16,AND(MONTH(WORKDAY(J309,-(Setup!$C$13+Setup!$G$28),Setup!$C$39:$C$50))&gt;=Setup!$C$15,MONTH(WORKDAY(J309,-(Setup!$C$13+Setup!$G$28),Setup!$C$39:$C$50))&lt;=Setup!$C$16),OR(MONTH(WORKDAY(J309,-(Setup!$C$13+Setup!$G$28),Setup!$C$39:$C$50))&gt;=Setup!$C$15,MONTH(WORKDAY(J309,-(Setup!$C$13+Setup!$G$28),Setup!$C$39:$C$50))&lt;=Setup!$C$16))),WORKDAY(J309,-(Setup!$C$13+Setup!$G$28+Setup!$C$14),Setup!$C$39:$C$50),WORKDAY(J309,-(Setup!$C$13+Setup!$G$28),Setup!$C$39:$C$50))+(304*100+9)/10000000)))</f>
        <v/>
      </c>
      <c r="AA309" t="str">
        <f>IF(K309="","",IF(K309&lt;Setup!$C$5-Setup!$C$6,"",IF(IF(ISNUMBER(Roster!$D309),Setup!$C$29&lt;=Roster!$D309,FALSE),"",IF(OR(IF(Setup!$C$15&lt;=Setup!$C$16,AND(MONTH(K309)&gt;=Setup!$C$15,MONTH(K309)&lt;=Setup!$C$16),OR(MONTH(K309)&gt;=Setup!$C$15,MONTH(K309)&lt;=Setup!$C$16)),IF(Setup!$C$15&lt;=Setup!$C$16,AND(MONTH(WORKDAY(K309,-(Setup!$C$13+Setup!$G$29),Setup!$C$39:$C$50))&gt;=Setup!$C$15,MONTH(WORKDAY(K309,-(Setup!$C$13+Setup!$G$29),Setup!$C$39:$C$50))&lt;=Setup!$C$16),OR(MONTH(WORKDAY(K309,-(Setup!$C$13+Setup!$G$29),Setup!$C$39:$C$50))&gt;=Setup!$C$15,MONTH(WORKDAY(K309,-(Setup!$C$13+Setup!$G$29),Setup!$C$39:$C$50))&lt;=Setup!$C$16))),WORKDAY(K309,-(Setup!$C$13+Setup!$G$29+Setup!$C$14),Setup!$C$39:$C$50),WORKDAY(K309,-(Setup!$C$13+Setup!$G$29),Setup!$C$39:$C$50))+(304*100+10)/10000000)))</f>
        <v/>
      </c>
      <c r="AB309" t="str">
        <f>IF(L309="","",IF(L309&lt;Setup!$C$5-Setup!$C$6,"",IF(IF(ISNUMBER(Roster!$D309),Setup!$C$30&lt;=Roster!$D309,FALSE),"",IF(OR(IF(Setup!$C$15&lt;=Setup!$C$16,AND(MONTH(L309)&gt;=Setup!$C$15,MONTH(L309)&lt;=Setup!$C$16),OR(MONTH(L309)&gt;=Setup!$C$15,MONTH(L309)&lt;=Setup!$C$16)),IF(Setup!$C$15&lt;=Setup!$C$16,AND(MONTH(WORKDAY(L309,-(Setup!$C$13+Setup!$G$30),Setup!$C$39:$C$50))&gt;=Setup!$C$15,MONTH(WORKDAY(L309,-(Setup!$C$13+Setup!$G$30),Setup!$C$39:$C$50))&lt;=Setup!$C$16),OR(MONTH(WORKDAY(L309,-(Setup!$C$13+Setup!$G$30),Setup!$C$39:$C$50))&gt;=Setup!$C$15,MONTH(WORKDAY(L309,-(Setup!$C$13+Setup!$G$30),Setup!$C$39:$C$50))&lt;=Setup!$C$16))),WORKDAY(L309,-(Setup!$C$13+Setup!$G$30+Setup!$C$14),Setup!$C$39:$C$50),WORKDAY(L309,-(Setup!$C$13+Setup!$G$30),Setup!$C$39:$C$50))+(304*100+11)/10000000)))</f>
        <v/>
      </c>
      <c r="AC309" t="str">
        <f>IF(M309="","",IF(M309&lt;Setup!$C$5-Setup!$C$6,"",IF(IF(ISNUMBER(Roster!$D309),Setup!$C$31&lt;=Roster!$D309,FALSE),"",IF(OR(IF(Setup!$C$15&lt;=Setup!$C$16,AND(MONTH(M309)&gt;=Setup!$C$15,MONTH(M309)&lt;=Setup!$C$16),OR(MONTH(M309)&gt;=Setup!$C$15,MONTH(M309)&lt;=Setup!$C$16)),IF(Setup!$C$15&lt;=Setup!$C$16,AND(MONTH(WORKDAY(M309,-(Setup!$C$13+Setup!$G$31),Setup!$C$39:$C$50))&gt;=Setup!$C$15,MONTH(WORKDAY(M309,-(Setup!$C$13+Setup!$G$31),Setup!$C$39:$C$50))&lt;=Setup!$C$16),OR(MONTH(WORKDAY(M309,-(Setup!$C$13+Setup!$G$31),Setup!$C$39:$C$50))&gt;=Setup!$C$15,MONTH(WORKDAY(M309,-(Setup!$C$13+Setup!$G$31),Setup!$C$39:$C$50))&lt;=Setup!$C$16))),WORKDAY(M309,-(Setup!$C$13+Setup!$G$31+Setup!$C$14),Setup!$C$39:$C$50),WORKDAY(M309,-(Setup!$C$13+Setup!$G$31),Setup!$C$39:$C$50))+(304*100+12)/10000000)))</f>
        <v/>
      </c>
      <c r="AD309" t="str">
        <f>IF(N309="","",IF(N309&lt;Setup!$C$5-Setup!$C$6,"",IF(IF(ISNUMBER(Roster!$D309),Setup!$C$32&lt;=Roster!$D309,FALSE),"",IF(OR(IF(Setup!$C$15&lt;=Setup!$C$16,AND(MONTH(N309)&gt;=Setup!$C$15,MONTH(N309)&lt;=Setup!$C$16),OR(MONTH(N309)&gt;=Setup!$C$15,MONTH(N309)&lt;=Setup!$C$16)),IF(Setup!$C$15&lt;=Setup!$C$16,AND(MONTH(WORKDAY(N309,-(Setup!$C$13+Setup!$G$32),Setup!$C$39:$C$50))&gt;=Setup!$C$15,MONTH(WORKDAY(N309,-(Setup!$C$13+Setup!$G$32),Setup!$C$39:$C$50))&lt;=Setup!$C$16),OR(MONTH(WORKDAY(N309,-(Setup!$C$13+Setup!$G$32),Setup!$C$39:$C$50))&gt;=Setup!$C$15,MONTH(WORKDAY(N309,-(Setup!$C$13+Setup!$G$32),Setup!$C$39:$C$50))&lt;=Setup!$C$16))),WORKDAY(N309,-(Setup!$C$13+Setup!$G$32+Setup!$C$14),Setup!$C$39:$C$50),WORKDAY(N309,-(Setup!$C$13+Setup!$G$32),Setup!$C$39:$C$50))+(304*100+13)/10000000)))</f>
        <v/>
      </c>
      <c r="AE309" t="str">
        <f>IF(O309="","",IF(O309&lt;Setup!$C$5-Setup!$C$6,"",IF(IF(ISNUMBER(Roster!$D309),Setup!$C$33&lt;=Roster!$D309,FALSE),"",IF(OR(IF(Setup!$C$15&lt;=Setup!$C$16,AND(MONTH(O309)&gt;=Setup!$C$15,MONTH(O309)&lt;=Setup!$C$16),OR(MONTH(O309)&gt;=Setup!$C$15,MONTH(O309)&lt;=Setup!$C$16)),IF(Setup!$C$15&lt;=Setup!$C$16,AND(MONTH(WORKDAY(O309,-(Setup!$C$13+Setup!$G$33),Setup!$C$39:$C$50))&gt;=Setup!$C$15,MONTH(WORKDAY(O309,-(Setup!$C$13+Setup!$G$33),Setup!$C$39:$C$50))&lt;=Setup!$C$16),OR(MONTH(WORKDAY(O309,-(Setup!$C$13+Setup!$G$33),Setup!$C$39:$C$50))&gt;=Setup!$C$15,MONTH(WORKDAY(O309,-(Setup!$C$13+Setup!$G$33),Setup!$C$39:$C$50))&lt;=Setup!$C$16))),WORKDAY(O309,-(Setup!$C$13+Setup!$G$33+Setup!$C$14),Setup!$C$39:$C$50),WORKDAY(O309,-(Setup!$C$13+Setup!$G$33),Setup!$C$39:$C$50))+(304*100+14)/10000000)))</f>
        <v/>
      </c>
      <c r="AF309" t="str">
        <f>IF(P309="","",IF(P309&lt;Setup!$C$5-Setup!$C$6,"",IF(IF(ISNUMBER(Roster!$D309),Setup!$C$34&lt;=Roster!$D309,FALSE),"",IF(OR(IF(Setup!$C$15&lt;=Setup!$C$16,AND(MONTH(P309)&gt;=Setup!$C$15,MONTH(P309)&lt;=Setup!$C$16),OR(MONTH(P309)&gt;=Setup!$C$15,MONTH(P309)&lt;=Setup!$C$16)),IF(Setup!$C$15&lt;=Setup!$C$16,AND(MONTH(WORKDAY(P309,-(Setup!$C$13+Setup!$G$34),Setup!$C$39:$C$50))&gt;=Setup!$C$15,MONTH(WORKDAY(P309,-(Setup!$C$13+Setup!$G$34),Setup!$C$39:$C$50))&lt;=Setup!$C$16),OR(MONTH(WORKDAY(P309,-(Setup!$C$13+Setup!$G$34),Setup!$C$39:$C$50))&gt;=Setup!$C$15,MONTH(WORKDAY(P309,-(Setup!$C$13+Setup!$G$34),Setup!$C$39:$C$50))&lt;=Setup!$C$16))),WORKDAY(P309,-(Setup!$C$13+Setup!$G$34+Setup!$C$14),Setup!$C$39:$C$50),WORKDAY(P309,-(Setup!$C$13+Setup!$G$34),Setup!$C$39:$C$50))+(304*100+15)/10000000)))</f>
        <v/>
      </c>
      <c r="AH309" t="str">
        <f t="shared" si="33"/>
        <v/>
      </c>
      <c r="AI309" t="str">
        <f t="shared" si="34"/>
        <v/>
      </c>
      <c r="AP309" t="str">
        <f>IF(ISNUMBER(Roster!$B309),MAX(1,YEAR(Setup!$C$5)-YEAR(Roster!$B309)+IF(EDATE(Roster!$B309,12*(YEAR(Setup!$C$5)-YEAR(Roster!$B309)))&lt;Setup!$C$5,1,0)),"")</f>
        <v/>
      </c>
      <c r="AQ309" s="32" t="str">
        <f>IF(AP309="","",EDATE(Roster!$B309,12*AP309))</f>
        <v/>
      </c>
      <c r="AR309" t="str">
        <f>IF(AQ309="","",IF(AQ309&lt;DATE(YEAR(Setup!$C$5)+1,MONTH(Setup!$C$5),DAY(Setup!$C$5)),AQ309+304/1000,""))</f>
        <v/>
      </c>
      <c r="AS309" t="str">
        <f t="shared" si="38"/>
        <v/>
      </c>
      <c r="AT309" t="str">
        <f>IF(AS309="","",IF(ISNUMBER(Roster!$D309),Roster!$D309&gt;=AP309,FALSE))</f>
        <v/>
      </c>
      <c r="AU309" t="str">
        <f t="shared" si="39"/>
        <v/>
      </c>
      <c r="AV309" t="str">
        <f ca="1">IF(304&gt;$AV$2,"",SMALL($AR$6:$AR$505,304))</f>
        <v/>
      </c>
      <c r="AW309" t="str">
        <f t="shared" ca="1" si="40"/>
        <v/>
      </c>
    </row>
    <row r="310" spans="2:49" x14ac:dyDescent="0.2">
      <c r="B310" s="32" t="str">
        <f>IF(AND(ISNUMBER(Roster!$B310),Setup!$B$20="Yes",ISNUMBER(Setup!$C$20)),EDATE(Roster!$B310,12*Setup!$C$20),"")</f>
        <v/>
      </c>
      <c r="C310" s="32" t="str">
        <f>IF(AND(ISNUMBER(Roster!$B310),Setup!$B$21="Yes",ISNUMBER(Setup!$C$21)),EDATE(Roster!$B310,12*Setup!$C$21),"")</f>
        <v/>
      </c>
      <c r="D310" s="32" t="str">
        <f>IF(AND(ISNUMBER(Roster!$B310),Setup!$B$22="Yes",ISNUMBER(Setup!$C$22)),EDATE(Roster!$B310,12*Setup!$C$22),"")</f>
        <v/>
      </c>
      <c r="E310" s="32" t="str">
        <f>IF(AND(ISNUMBER(Roster!$B310),Setup!$B$23="Yes",ISNUMBER(Setup!$C$23)),EDATE(Roster!$B310,12*Setup!$C$23),"")</f>
        <v/>
      </c>
      <c r="F310" s="32" t="str">
        <f>IF(AND(ISNUMBER(Roster!$B310),Setup!$B$24="Yes",ISNUMBER(Setup!$C$24)),EDATE(Roster!$B310,12*Setup!$C$24),"")</f>
        <v/>
      </c>
      <c r="G310" s="32" t="str">
        <f>IF(AND(ISNUMBER(Roster!$B310),Setup!$B$25="Yes",ISNUMBER(Setup!$C$25)),EDATE(Roster!$B310,12*Setup!$C$25),"")</f>
        <v/>
      </c>
      <c r="H310" s="32" t="str">
        <f>IF(AND(ISNUMBER(Roster!$B310),Setup!$B$26="Yes",ISNUMBER(Setup!$C$26)),EDATE(Roster!$B310,12*Setup!$C$26),"")</f>
        <v/>
      </c>
      <c r="I310" s="32" t="str">
        <f>IF(AND(ISNUMBER(Roster!$B310),Setup!$B$27="Yes",ISNUMBER(Setup!$C$27)),EDATE(Roster!$B310,12*Setup!$C$27),"")</f>
        <v/>
      </c>
      <c r="J310" s="32" t="str">
        <f>IF(AND(ISNUMBER(Roster!$B310),Setup!$B$28="Yes",ISNUMBER(Setup!$C$28)),EDATE(Roster!$B310,12*Setup!$C$28),"")</f>
        <v/>
      </c>
      <c r="K310" s="32" t="str">
        <f>IF(AND(ISNUMBER(Roster!$B310),Setup!$B$29="Yes",ISNUMBER(Setup!$C$29)),EDATE(Roster!$B310,12*Setup!$C$29),"")</f>
        <v/>
      </c>
      <c r="L310" s="32" t="str">
        <f>IF(AND(ISNUMBER(Roster!$B310),Setup!$B$30="Yes",ISNUMBER(Setup!$C$30)),EDATE(Roster!$B310,12*Setup!$C$30),"")</f>
        <v/>
      </c>
      <c r="M310" s="32" t="str">
        <f>IF(AND(ISNUMBER(Roster!$B310),Setup!$B$31="Yes",ISNUMBER(Setup!$C$31)),EDATE(Roster!$B310,12*Setup!$C$31),"")</f>
        <v/>
      </c>
      <c r="N310" s="32" t="str">
        <f>IF(AND(ISNUMBER(Roster!$B310),Setup!$B$32="Yes",ISNUMBER(Setup!$C$32)),EDATE(Roster!$B310,12*Setup!$C$32),"")</f>
        <v/>
      </c>
      <c r="O310" s="32" t="str">
        <f>IF(AND(ISNUMBER(Roster!$B310),Setup!$B$33="Yes",ISNUMBER(Setup!$C$33)),EDATE(Roster!$B310,12*Setup!$C$33),"")</f>
        <v/>
      </c>
      <c r="P310" s="32" t="str">
        <f>IF(AND(ISNUMBER(Roster!$B310),Setup!$B$34="Yes",ISNUMBER(Setup!$C$34)),EDATE(Roster!$B310,12*Setup!$C$34),"")</f>
        <v/>
      </c>
      <c r="R310" t="str">
        <f>IF(B310="","",IF(B310&lt;Setup!$C$5-Setup!$C$6,"",IF(IF(ISNUMBER(Roster!$D310),Setup!$C$20&lt;=Roster!$D310,FALSE),"",IF(OR(IF(Setup!$C$15&lt;=Setup!$C$16,AND(MONTH(B310)&gt;=Setup!$C$15,MONTH(B310)&lt;=Setup!$C$16),OR(MONTH(B310)&gt;=Setup!$C$15,MONTH(B310)&lt;=Setup!$C$16)),IF(Setup!$C$15&lt;=Setup!$C$16,AND(MONTH(WORKDAY(B310,-(Setup!$C$13+Setup!$G$20),Setup!$C$39:$C$50))&gt;=Setup!$C$15,MONTH(WORKDAY(B310,-(Setup!$C$13+Setup!$G$20),Setup!$C$39:$C$50))&lt;=Setup!$C$16),OR(MONTH(WORKDAY(B310,-(Setup!$C$13+Setup!$G$20),Setup!$C$39:$C$50))&gt;=Setup!$C$15,MONTH(WORKDAY(B310,-(Setup!$C$13+Setup!$G$20),Setup!$C$39:$C$50))&lt;=Setup!$C$16))),WORKDAY(B310,-(Setup!$C$13+Setup!$G$20+Setup!$C$14),Setup!$C$39:$C$50),WORKDAY(B310,-(Setup!$C$13+Setup!$G$20),Setup!$C$39:$C$50))+(305*100+1)/10000000)))</f>
        <v/>
      </c>
      <c r="S310" t="str">
        <f>IF(C310="","",IF(C310&lt;Setup!$C$5-Setup!$C$6,"",IF(IF(ISNUMBER(Roster!$D310),Setup!$C$21&lt;=Roster!$D310,FALSE),"",IF(OR(IF(Setup!$C$15&lt;=Setup!$C$16,AND(MONTH(C310)&gt;=Setup!$C$15,MONTH(C310)&lt;=Setup!$C$16),OR(MONTH(C310)&gt;=Setup!$C$15,MONTH(C310)&lt;=Setup!$C$16)),IF(Setup!$C$15&lt;=Setup!$C$16,AND(MONTH(WORKDAY(C310,-(Setup!$C$13+Setup!$G$21),Setup!$C$39:$C$50))&gt;=Setup!$C$15,MONTH(WORKDAY(C310,-(Setup!$C$13+Setup!$G$21),Setup!$C$39:$C$50))&lt;=Setup!$C$16),OR(MONTH(WORKDAY(C310,-(Setup!$C$13+Setup!$G$21),Setup!$C$39:$C$50))&gt;=Setup!$C$15,MONTH(WORKDAY(C310,-(Setup!$C$13+Setup!$G$21),Setup!$C$39:$C$50))&lt;=Setup!$C$16))),WORKDAY(C310,-(Setup!$C$13+Setup!$G$21+Setup!$C$14),Setup!$C$39:$C$50),WORKDAY(C310,-(Setup!$C$13+Setup!$G$21),Setup!$C$39:$C$50))+(305*100+2)/10000000)))</f>
        <v/>
      </c>
      <c r="T310" t="str">
        <f>IF(D310="","",IF(D310&lt;Setup!$C$5-Setup!$C$6,"",IF(IF(ISNUMBER(Roster!$D310),Setup!$C$22&lt;=Roster!$D310,FALSE),"",IF(OR(IF(Setup!$C$15&lt;=Setup!$C$16,AND(MONTH(D310)&gt;=Setup!$C$15,MONTH(D310)&lt;=Setup!$C$16),OR(MONTH(D310)&gt;=Setup!$C$15,MONTH(D310)&lt;=Setup!$C$16)),IF(Setup!$C$15&lt;=Setup!$C$16,AND(MONTH(WORKDAY(D310,-(Setup!$C$13+Setup!$G$22),Setup!$C$39:$C$50))&gt;=Setup!$C$15,MONTH(WORKDAY(D310,-(Setup!$C$13+Setup!$G$22),Setup!$C$39:$C$50))&lt;=Setup!$C$16),OR(MONTH(WORKDAY(D310,-(Setup!$C$13+Setup!$G$22),Setup!$C$39:$C$50))&gt;=Setup!$C$15,MONTH(WORKDAY(D310,-(Setup!$C$13+Setup!$G$22),Setup!$C$39:$C$50))&lt;=Setup!$C$16))),WORKDAY(D310,-(Setup!$C$13+Setup!$G$22+Setup!$C$14),Setup!$C$39:$C$50),WORKDAY(D310,-(Setup!$C$13+Setup!$G$22),Setup!$C$39:$C$50))+(305*100+3)/10000000)))</f>
        <v/>
      </c>
      <c r="U310" t="str">
        <f>IF(E310="","",IF(E310&lt;Setup!$C$5-Setup!$C$6,"",IF(IF(ISNUMBER(Roster!$D310),Setup!$C$23&lt;=Roster!$D310,FALSE),"",IF(OR(IF(Setup!$C$15&lt;=Setup!$C$16,AND(MONTH(E310)&gt;=Setup!$C$15,MONTH(E310)&lt;=Setup!$C$16),OR(MONTH(E310)&gt;=Setup!$C$15,MONTH(E310)&lt;=Setup!$C$16)),IF(Setup!$C$15&lt;=Setup!$C$16,AND(MONTH(WORKDAY(E310,-(Setup!$C$13+Setup!$G$23),Setup!$C$39:$C$50))&gt;=Setup!$C$15,MONTH(WORKDAY(E310,-(Setup!$C$13+Setup!$G$23),Setup!$C$39:$C$50))&lt;=Setup!$C$16),OR(MONTH(WORKDAY(E310,-(Setup!$C$13+Setup!$G$23),Setup!$C$39:$C$50))&gt;=Setup!$C$15,MONTH(WORKDAY(E310,-(Setup!$C$13+Setup!$G$23),Setup!$C$39:$C$50))&lt;=Setup!$C$16))),WORKDAY(E310,-(Setup!$C$13+Setup!$G$23+Setup!$C$14),Setup!$C$39:$C$50),WORKDAY(E310,-(Setup!$C$13+Setup!$G$23),Setup!$C$39:$C$50))+(305*100+4)/10000000)))</f>
        <v/>
      </c>
      <c r="V310" t="str">
        <f>IF(F310="","",IF(F310&lt;Setup!$C$5-Setup!$C$6,"",IF(IF(ISNUMBER(Roster!$D310),Setup!$C$24&lt;=Roster!$D310,FALSE),"",IF(OR(IF(Setup!$C$15&lt;=Setup!$C$16,AND(MONTH(F310)&gt;=Setup!$C$15,MONTH(F310)&lt;=Setup!$C$16),OR(MONTH(F310)&gt;=Setup!$C$15,MONTH(F310)&lt;=Setup!$C$16)),IF(Setup!$C$15&lt;=Setup!$C$16,AND(MONTH(WORKDAY(F310,-(Setup!$C$13+Setup!$G$24),Setup!$C$39:$C$50))&gt;=Setup!$C$15,MONTH(WORKDAY(F310,-(Setup!$C$13+Setup!$G$24),Setup!$C$39:$C$50))&lt;=Setup!$C$16),OR(MONTH(WORKDAY(F310,-(Setup!$C$13+Setup!$G$24),Setup!$C$39:$C$50))&gt;=Setup!$C$15,MONTH(WORKDAY(F310,-(Setup!$C$13+Setup!$G$24),Setup!$C$39:$C$50))&lt;=Setup!$C$16))),WORKDAY(F310,-(Setup!$C$13+Setup!$G$24+Setup!$C$14),Setup!$C$39:$C$50),WORKDAY(F310,-(Setup!$C$13+Setup!$G$24),Setup!$C$39:$C$50))+(305*100+5)/10000000)))</f>
        <v/>
      </c>
      <c r="W310" t="str">
        <f>IF(G310="","",IF(G310&lt;Setup!$C$5-Setup!$C$6,"",IF(IF(ISNUMBER(Roster!$D310),Setup!$C$25&lt;=Roster!$D310,FALSE),"",IF(OR(IF(Setup!$C$15&lt;=Setup!$C$16,AND(MONTH(G310)&gt;=Setup!$C$15,MONTH(G310)&lt;=Setup!$C$16),OR(MONTH(G310)&gt;=Setup!$C$15,MONTH(G310)&lt;=Setup!$C$16)),IF(Setup!$C$15&lt;=Setup!$C$16,AND(MONTH(WORKDAY(G310,-(Setup!$C$13+Setup!$G$25),Setup!$C$39:$C$50))&gt;=Setup!$C$15,MONTH(WORKDAY(G310,-(Setup!$C$13+Setup!$G$25),Setup!$C$39:$C$50))&lt;=Setup!$C$16),OR(MONTH(WORKDAY(G310,-(Setup!$C$13+Setup!$G$25),Setup!$C$39:$C$50))&gt;=Setup!$C$15,MONTH(WORKDAY(G310,-(Setup!$C$13+Setup!$G$25),Setup!$C$39:$C$50))&lt;=Setup!$C$16))),WORKDAY(G310,-(Setup!$C$13+Setup!$G$25+Setup!$C$14),Setup!$C$39:$C$50),WORKDAY(G310,-(Setup!$C$13+Setup!$G$25),Setup!$C$39:$C$50))+(305*100+6)/10000000)))</f>
        <v/>
      </c>
      <c r="X310" t="str">
        <f>IF(H310="","",IF(H310&lt;Setup!$C$5-Setup!$C$6,"",IF(IF(ISNUMBER(Roster!$D310),Setup!$C$26&lt;=Roster!$D310,FALSE),"",IF(OR(IF(Setup!$C$15&lt;=Setup!$C$16,AND(MONTH(H310)&gt;=Setup!$C$15,MONTH(H310)&lt;=Setup!$C$16),OR(MONTH(H310)&gt;=Setup!$C$15,MONTH(H310)&lt;=Setup!$C$16)),IF(Setup!$C$15&lt;=Setup!$C$16,AND(MONTH(WORKDAY(H310,-(Setup!$C$13+Setup!$G$26),Setup!$C$39:$C$50))&gt;=Setup!$C$15,MONTH(WORKDAY(H310,-(Setup!$C$13+Setup!$G$26),Setup!$C$39:$C$50))&lt;=Setup!$C$16),OR(MONTH(WORKDAY(H310,-(Setup!$C$13+Setup!$G$26),Setup!$C$39:$C$50))&gt;=Setup!$C$15,MONTH(WORKDAY(H310,-(Setup!$C$13+Setup!$G$26),Setup!$C$39:$C$50))&lt;=Setup!$C$16))),WORKDAY(H310,-(Setup!$C$13+Setup!$G$26+Setup!$C$14),Setup!$C$39:$C$50),WORKDAY(H310,-(Setup!$C$13+Setup!$G$26),Setup!$C$39:$C$50))+(305*100+7)/10000000)))</f>
        <v/>
      </c>
      <c r="Y310" t="str">
        <f>IF(I310="","",IF(I310&lt;Setup!$C$5-Setup!$C$6,"",IF(IF(ISNUMBER(Roster!$D310),Setup!$C$27&lt;=Roster!$D310,FALSE),"",IF(OR(IF(Setup!$C$15&lt;=Setup!$C$16,AND(MONTH(I310)&gt;=Setup!$C$15,MONTH(I310)&lt;=Setup!$C$16),OR(MONTH(I310)&gt;=Setup!$C$15,MONTH(I310)&lt;=Setup!$C$16)),IF(Setup!$C$15&lt;=Setup!$C$16,AND(MONTH(WORKDAY(I310,-(Setup!$C$13+Setup!$G$27),Setup!$C$39:$C$50))&gt;=Setup!$C$15,MONTH(WORKDAY(I310,-(Setup!$C$13+Setup!$G$27),Setup!$C$39:$C$50))&lt;=Setup!$C$16),OR(MONTH(WORKDAY(I310,-(Setup!$C$13+Setup!$G$27),Setup!$C$39:$C$50))&gt;=Setup!$C$15,MONTH(WORKDAY(I310,-(Setup!$C$13+Setup!$G$27),Setup!$C$39:$C$50))&lt;=Setup!$C$16))),WORKDAY(I310,-(Setup!$C$13+Setup!$G$27+Setup!$C$14),Setup!$C$39:$C$50),WORKDAY(I310,-(Setup!$C$13+Setup!$G$27),Setup!$C$39:$C$50))+(305*100+8)/10000000)))</f>
        <v/>
      </c>
      <c r="Z310" t="str">
        <f>IF(J310="","",IF(J310&lt;Setup!$C$5-Setup!$C$6,"",IF(IF(ISNUMBER(Roster!$D310),Setup!$C$28&lt;=Roster!$D310,FALSE),"",IF(OR(IF(Setup!$C$15&lt;=Setup!$C$16,AND(MONTH(J310)&gt;=Setup!$C$15,MONTH(J310)&lt;=Setup!$C$16),OR(MONTH(J310)&gt;=Setup!$C$15,MONTH(J310)&lt;=Setup!$C$16)),IF(Setup!$C$15&lt;=Setup!$C$16,AND(MONTH(WORKDAY(J310,-(Setup!$C$13+Setup!$G$28),Setup!$C$39:$C$50))&gt;=Setup!$C$15,MONTH(WORKDAY(J310,-(Setup!$C$13+Setup!$G$28),Setup!$C$39:$C$50))&lt;=Setup!$C$16),OR(MONTH(WORKDAY(J310,-(Setup!$C$13+Setup!$G$28),Setup!$C$39:$C$50))&gt;=Setup!$C$15,MONTH(WORKDAY(J310,-(Setup!$C$13+Setup!$G$28),Setup!$C$39:$C$50))&lt;=Setup!$C$16))),WORKDAY(J310,-(Setup!$C$13+Setup!$G$28+Setup!$C$14),Setup!$C$39:$C$50),WORKDAY(J310,-(Setup!$C$13+Setup!$G$28),Setup!$C$39:$C$50))+(305*100+9)/10000000)))</f>
        <v/>
      </c>
      <c r="AA310" t="str">
        <f>IF(K310="","",IF(K310&lt;Setup!$C$5-Setup!$C$6,"",IF(IF(ISNUMBER(Roster!$D310),Setup!$C$29&lt;=Roster!$D310,FALSE),"",IF(OR(IF(Setup!$C$15&lt;=Setup!$C$16,AND(MONTH(K310)&gt;=Setup!$C$15,MONTH(K310)&lt;=Setup!$C$16),OR(MONTH(K310)&gt;=Setup!$C$15,MONTH(K310)&lt;=Setup!$C$16)),IF(Setup!$C$15&lt;=Setup!$C$16,AND(MONTH(WORKDAY(K310,-(Setup!$C$13+Setup!$G$29),Setup!$C$39:$C$50))&gt;=Setup!$C$15,MONTH(WORKDAY(K310,-(Setup!$C$13+Setup!$G$29),Setup!$C$39:$C$50))&lt;=Setup!$C$16),OR(MONTH(WORKDAY(K310,-(Setup!$C$13+Setup!$G$29),Setup!$C$39:$C$50))&gt;=Setup!$C$15,MONTH(WORKDAY(K310,-(Setup!$C$13+Setup!$G$29),Setup!$C$39:$C$50))&lt;=Setup!$C$16))),WORKDAY(K310,-(Setup!$C$13+Setup!$G$29+Setup!$C$14),Setup!$C$39:$C$50),WORKDAY(K310,-(Setup!$C$13+Setup!$G$29),Setup!$C$39:$C$50))+(305*100+10)/10000000)))</f>
        <v/>
      </c>
      <c r="AB310" t="str">
        <f>IF(L310="","",IF(L310&lt;Setup!$C$5-Setup!$C$6,"",IF(IF(ISNUMBER(Roster!$D310),Setup!$C$30&lt;=Roster!$D310,FALSE),"",IF(OR(IF(Setup!$C$15&lt;=Setup!$C$16,AND(MONTH(L310)&gt;=Setup!$C$15,MONTH(L310)&lt;=Setup!$C$16),OR(MONTH(L310)&gt;=Setup!$C$15,MONTH(L310)&lt;=Setup!$C$16)),IF(Setup!$C$15&lt;=Setup!$C$16,AND(MONTH(WORKDAY(L310,-(Setup!$C$13+Setup!$G$30),Setup!$C$39:$C$50))&gt;=Setup!$C$15,MONTH(WORKDAY(L310,-(Setup!$C$13+Setup!$G$30),Setup!$C$39:$C$50))&lt;=Setup!$C$16),OR(MONTH(WORKDAY(L310,-(Setup!$C$13+Setup!$G$30),Setup!$C$39:$C$50))&gt;=Setup!$C$15,MONTH(WORKDAY(L310,-(Setup!$C$13+Setup!$G$30),Setup!$C$39:$C$50))&lt;=Setup!$C$16))),WORKDAY(L310,-(Setup!$C$13+Setup!$G$30+Setup!$C$14),Setup!$C$39:$C$50),WORKDAY(L310,-(Setup!$C$13+Setup!$G$30),Setup!$C$39:$C$50))+(305*100+11)/10000000)))</f>
        <v/>
      </c>
      <c r="AC310" t="str">
        <f>IF(M310="","",IF(M310&lt;Setup!$C$5-Setup!$C$6,"",IF(IF(ISNUMBER(Roster!$D310),Setup!$C$31&lt;=Roster!$D310,FALSE),"",IF(OR(IF(Setup!$C$15&lt;=Setup!$C$16,AND(MONTH(M310)&gt;=Setup!$C$15,MONTH(M310)&lt;=Setup!$C$16),OR(MONTH(M310)&gt;=Setup!$C$15,MONTH(M310)&lt;=Setup!$C$16)),IF(Setup!$C$15&lt;=Setup!$C$16,AND(MONTH(WORKDAY(M310,-(Setup!$C$13+Setup!$G$31),Setup!$C$39:$C$50))&gt;=Setup!$C$15,MONTH(WORKDAY(M310,-(Setup!$C$13+Setup!$G$31),Setup!$C$39:$C$50))&lt;=Setup!$C$16),OR(MONTH(WORKDAY(M310,-(Setup!$C$13+Setup!$G$31),Setup!$C$39:$C$50))&gt;=Setup!$C$15,MONTH(WORKDAY(M310,-(Setup!$C$13+Setup!$G$31),Setup!$C$39:$C$50))&lt;=Setup!$C$16))),WORKDAY(M310,-(Setup!$C$13+Setup!$G$31+Setup!$C$14),Setup!$C$39:$C$50),WORKDAY(M310,-(Setup!$C$13+Setup!$G$31),Setup!$C$39:$C$50))+(305*100+12)/10000000)))</f>
        <v/>
      </c>
      <c r="AD310" t="str">
        <f>IF(N310="","",IF(N310&lt;Setup!$C$5-Setup!$C$6,"",IF(IF(ISNUMBER(Roster!$D310),Setup!$C$32&lt;=Roster!$D310,FALSE),"",IF(OR(IF(Setup!$C$15&lt;=Setup!$C$16,AND(MONTH(N310)&gt;=Setup!$C$15,MONTH(N310)&lt;=Setup!$C$16),OR(MONTH(N310)&gt;=Setup!$C$15,MONTH(N310)&lt;=Setup!$C$16)),IF(Setup!$C$15&lt;=Setup!$C$16,AND(MONTH(WORKDAY(N310,-(Setup!$C$13+Setup!$G$32),Setup!$C$39:$C$50))&gt;=Setup!$C$15,MONTH(WORKDAY(N310,-(Setup!$C$13+Setup!$G$32),Setup!$C$39:$C$50))&lt;=Setup!$C$16),OR(MONTH(WORKDAY(N310,-(Setup!$C$13+Setup!$G$32),Setup!$C$39:$C$50))&gt;=Setup!$C$15,MONTH(WORKDAY(N310,-(Setup!$C$13+Setup!$G$32),Setup!$C$39:$C$50))&lt;=Setup!$C$16))),WORKDAY(N310,-(Setup!$C$13+Setup!$G$32+Setup!$C$14),Setup!$C$39:$C$50),WORKDAY(N310,-(Setup!$C$13+Setup!$G$32),Setup!$C$39:$C$50))+(305*100+13)/10000000)))</f>
        <v/>
      </c>
      <c r="AE310" t="str">
        <f>IF(O310="","",IF(O310&lt;Setup!$C$5-Setup!$C$6,"",IF(IF(ISNUMBER(Roster!$D310),Setup!$C$33&lt;=Roster!$D310,FALSE),"",IF(OR(IF(Setup!$C$15&lt;=Setup!$C$16,AND(MONTH(O310)&gt;=Setup!$C$15,MONTH(O310)&lt;=Setup!$C$16),OR(MONTH(O310)&gt;=Setup!$C$15,MONTH(O310)&lt;=Setup!$C$16)),IF(Setup!$C$15&lt;=Setup!$C$16,AND(MONTH(WORKDAY(O310,-(Setup!$C$13+Setup!$G$33),Setup!$C$39:$C$50))&gt;=Setup!$C$15,MONTH(WORKDAY(O310,-(Setup!$C$13+Setup!$G$33),Setup!$C$39:$C$50))&lt;=Setup!$C$16),OR(MONTH(WORKDAY(O310,-(Setup!$C$13+Setup!$G$33),Setup!$C$39:$C$50))&gt;=Setup!$C$15,MONTH(WORKDAY(O310,-(Setup!$C$13+Setup!$G$33),Setup!$C$39:$C$50))&lt;=Setup!$C$16))),WORKDAY(O310,-(Setup!$C$13+Setup!$G$33+Setup!$C$14),Setup!$C$39:$C$50),WORKDAY(O310,-(Setup!$C$13+Setup!$G$33),Setup!$C$39:$C$50))+(305*100+14)/10000000)))</f>
        <v/>
      </c>
      <c r="AF310" t="str">
        <f>IF(P310="","",IF(P310&lt;Setup!$C$5-Setup!$C$6,"",IF(IF(ISNUMBER(Roster!$D310),Setup!$C$34&lt;=Roster!$D310,FALSE),"",IF(OR(IF(Setup!$C$15&lt;=Setup!$C$16,AND(MONTH(P310)&gt;=Setup!$C$15,MONTH(P310)&lt;=Setup!$C$16),OR(MONTH(P310)&gt;=Setup!$C$15,MONTH(P310)&lt;=Setup!$C$16)),IF(Setup!$C$15&lt;=Setup!$C$16,AND(MONTH(WORKDAY(P310,-(Setup!$C$13+Setup!$G$34),Setup!$C$39:$C$50))&gt;=Setup!$C$15,MONTH(WORKDAY(P310,-(Setup!$C$13+Setup!$G$34),Setup!$C$39:$C$50))&lt;=Setup!$C$16),OR(MONTH(WORKDAY(P310,-(Setup!$C$13+Setup!$G$34),Setup!$C$39:$C$50))&gt;=Setup!$C$15,MONTH(WORKDAY(P310,-(Setup!$C$13+Setup!$G$34),Setup!$C$39:$C$50))&lt;=Setup!$C$16))),WORKDAY(P310,-(Setup!$C$13+Setup!$G$34+Setup!$C$14),Setup!$C$39:$C$50),WORKDAY(P310,-(Setup!$C$13+Setup!$G$34),Setup!$C$39:$C$50))+(305*100+15)/10000000)))</f>
        <v/>
      </c>
      <c r="AH310" t="str">
        <f t="shared" si="33"/>
        <v/>
      </c>
      <c r="AI310" t="str">
        <f t="shared" si="34"/>
        <v/>
      </c>
      <c r="AP310" t="str">
        <f>IF(ISNUMBER(Roster!$B310),MAX(1,YEAR(Setup!$C$5)-YEAR(Roster!$B310)+IF(EDATE(Roster!$B310,12*(YEAR(Setup!$C$5)-YEAR(Roster!$B310)))&lt;Setup!$C$5,1,0)),"")</f>
        <v/>
      </c>
      <c r="AQ310" s="32" t="str">
        <f>IF(AP310="","",EDATE(Roster!$B310,12*AP310))</f>
        <v/>
      </c>
      <c r="AR310" t="str">
        <f>IF(AQ310="","",IF(AQ310&lt;DATE(YEAR(Setup!$C$5)+1,MONTH(Setup!$C$5),DAY(Setup!$C$5)),AQ310+305/1000,""))</f>
        <v/>
      </c>
      <c r="AS310" t="str">
        <f t="shared" si="38"/>
        <v/>
      </c>
      <c r="AT310" t="str">
        <f>IF(AS310="","",IF(ISNUMBER(Roster!$D310),Roster!$D310&gt;=AP310,FALSE))</f>
        <v/>
      </c>
      <c r="AU310" t="str">
        <f t="shared" si="39"/>
        <v/>
      </c>
      <c r="AV310" t="str">
        <f ca="1">IF(305&gt;$AV$2,"",SMALL($AR$6:$AR$505,305))</f>
        <v/>
      </c>
      <c r="AW310" t="str">
        <f t="shared" ca="1" si="40"/>
        <v/>
      </c>
    </row>
    <row r="311" spans="2:49" x14ac:dyDescent="0.2">
      <c r="B311" s="32" t="str">
        <f>IF(AND(ISNUMBER(Roster!$B311),Setup!$B$20="Yes",ISNUMBER(Setup!$C$20)),EDATE(Roster!$B311,12*Setup!$C$20),"")</f>
        <v/>
      </c>
      <c r="C311" s="32" t="str">
        <f>IF(AND(ISNUMBER(Roster!$B311),Setup!$B$21="Yes",ISNUMBER(Setup!$C$21)),EDATE(Roster!$B311,12*Setup!$C$21),"")</f>
        <v/>
      </c>
      <c r="D311" s="32" t="str">
        <f>IF(AND(ISNUMBER(Roster!$B311),Setup!$B$22="Yes",ISNUMBER(Setup!$C$22)),EDATE(Roster!$B311,12*Setup!$C$22),"")</f>
        <v/>
      </c>
      <c r="E311" s="32" t="str">
        <f>IF(AND(ISNUMBER(Roster!$B311),Setup!$B$23="Yes",ISNUMBER(Setup!$C$23)),EDATE(Roster!$B311,12*Setup!$C$23),"")</f>
        <v/>
      </c>
      <c r="F311" s="32" t="str">
        <f>IF(AND(ISNUMBER(Roster!$B311),Setup!$B$24="Yes",ISNUMBER(Setup!$C$24)),EDATE(Roster!$B311,12*Setup!$C$24),"")</f>
        <v/>
      </c>
      <c r="G311" s="32" t="str">
        <f>IF(AND(ISNUMBER(Roster!$B311),Setup!$B$25="Yes",ISNUMBER(Setup!$C$25)),EDATE(Roster!$B311,12*Setup!$C$25),"")</f>
        <v/>
      </c>
      <c r="H311" s="32" t="str">
        <f>IF(AND(ISNUMBER(Roster!$B311),Setup!$B$26="Yes",ISNUMBER(Setup!$C$26)),EDATE(Roster!$B311,12*Setup!$C$26),"")</f>
        <v/>
      </c>
      <c r="I311" s="32" t="str">
        <f>IF(AND(ISNUMBER(Roster!$B311),Setup!$B$27="Yes",ISNUMBER(Setup!$C$27)),EDATE(Roster!$B311,12*Setup!$C$27),"")</f>
        <v/>
      </c>
      <c r="J311" s="32" t="str">
        <f>IF(AND(ISNUMBER(Roster!$B311),Setup!$B$28="Yes",ISNUMBER(Setup!$C$28)),EDATE(Roster!$B311,12*Setup!$C$28),"")</f>
        <v/>
      </c>
      <c r="K311" s="32" t="str">
        <f>IF(AND(ISNUMBER(Roster!$B311),Setup!$B$29="Yes",ISNUMBER(Setup!$C$29)),EDATE(Roster!$B311,12*Setup!$C$29),"")</f>
        <v/>
      </c>
      <c r="L311" s="32" t="str">
        <f>IF(AND(ISNUMBER(Roster!$B311),Setup!$B$30="Yes",ISNUMBER(Setup!$C$30)),EDATE(Roster!$B311,12*Setup!$C$30),"")</f>
        <v/>
      </c>
      <c r="M311" s="32" t="str">
        <f>IF(AND(ISNUMBER(Roster!$B311),Setup!$B$31="Yes",ISNUMBER(Setup!$C$31)),EDATE(Roster!$B311,12*Setup!$C$31),"")</f>
        <v/>
      </c>
      <c r="N311" s="32" t="str">
        <f>IF(AND(ISNUMBER(Roster!$B311),Setup!$B$32="Yes",ISNUMBER(Setup!$C$32)),EDATE(Roster!$B311,12*Setup!$C$32),"")</f>
        <v/>
      </c>
      <c r="O311" s="32" t="str">
        <f>IF(AND(ISNUMBER(Roster!$B311),Setup!$B$33="Yes",ISNUMBER(Setup!$C$33)),EDATE(Roster!$B311,12*Setup!$C$33),"")</f>
        <v/>
      </c>
      <c r="P311" s="32" t="str">
        <f>IF(AND(ISNUMBER(Roster!$B311),Setup!$B$34="Yes",ISNUMBER(Setup!$C$34)),EDATE(Roster!$B311,12*Setup!$C$34),"")</f>
        <v/>
      </c>
      <c r="R311" t="str">
        <f>IF(B311="","",IF(B311&lt;Setup!$C$5-Setup!$C$6,"",IF(IF(ISNUMBER(Roster!$D311),Setup!$C$20&lt;=Roster!$D311,FALSE),"",IF(OR(IF(Setup!$C$15&lt;=Setup!$C$16,AND(MONTH(B311)&gt;=Setup!$C$15,MONTH(B311)&lt;=Setup!$C$16),OR(MONTH(B311)&gt;=Setup!$C$15,MONTH(B311)&lt;=Setup!$C$16)),IF(Setup!$C$15&lt;=Setup!$C$16,AND(MONTH(WORKDAY(B311,-(Setup!$C$13+Setup!$G$20),Setup!$C$39:$C$50))&gt;=Setup!$C$15,MONTH(WORKDAY(B311,-(Setup!$C$13+Setup!$G$20),Setup!$C$39:$C$50))&lt;=Setup!$C$16),OR(MONTH(WORKDAY(B311,-(Setup!$C$13+Setup!$G$20),Setup!$C$39:$C$50))&gt;=Setup!$C$15,MONTH(WORKDAY(B311,-(Setup!$C$13+Setup!$G$20),Setup!$C$39:$C$50))&lt;=Setup!$C$16))),WORKDAY(B311,-(Setup!$C$13+Setup!$G$20+Setup!$C$14),Setup!$C$39:$C$50),WORKDAY(B311,-(Setup!$C$13+Setup!$G$20),Setup!$C$39:$C$50))+(306*100+1)/10000000)))</f>
        <v/>
      </c>
      <c r="S311" t="str">
        <f>IF(C311="","",IF(C311&lt;Setup!$C$5-Setup!$C$6,"",IF(IF(ISNUMBER(Roster!$D311),Setup!$C$21&lt;=Roster!$D311,FALSE),"",IF(OR(IF(Setup!$C$15&lt;=Setup!$C$16,AND(MONTH(C311)&gt;=Setup!$C$15,MONTH(C311)&lt;=Setup!$C$16),OR(MONTH(C311)&gt;=Setup!$C$15,MONTH(C311)&lt;=Setup!$C$16)),IF(Setup!$C$15&lt;=Setup!$C$16,AND(MONTH(WORKDAY(C311,-(Setup!$C$13+Setup!$G$21),Setup!$C$39:$C$50))&gt;=Setup!$C$15,MONTH(WORKDAY(C311,-(Setup!$C$13+Setup!$G$21),Setup!$C$39:$C$50))&lt;=Setup!$C$16),OR(MONTH(WORKDAY(C311,-(Setup!$C$13+Setup!$G$21),Setup!$C$39:$C$50))&gt;=Setup!$C$15,MONTH(WORKDAY(C311,-(Setup!$C$13+Setup!$G$21),Setup!$C$39:$C$50))&lt;=Setup!$C$16))),WORKDAY(C311,-(Setup!$C$13+Setup!$G$21+Setup!$C$14),Setup!$C$39:$C$50),WORKDAY(C311,-(Setup!$C$13+Setup!$G$21),Setup!$C$39:$C$50))+(306*100+2)/10000000)))</f>
        <v/>
      </c>
      <c r="T311" t="str">
        <f>IF(D311="","",IF(D311&lt;Setup!$C$5-Setup!$C$6,"",IF(IF(ISNUMBER(Roster!$D311),Setup!$C$22&lt;=Roster!$D311,FALSE),"",IF(OR(IF(Setup!$C$15&lt;=Setup!$C$16,AND(MONTH(D311)&gt;=Setup!$C$15,MONTH(D311)&lt;=Setup!$C$16),OR(MONTH(D311)&gt;=Setup!$C$15,MONTH(D311)&lt;=Setup!$C$16)),IF(Setup!$C$15&lt;=Setup!$C$16,AND(MONTH(WORKDAY(D311,-(Setup!$C$13+Setup!$G$22),Setup!$C$39:$C$50))&gt;=Setup!$C$15,MONTH(WORKDAY(D311,-(Setup!$C$13+Setup!$G$22),Setup!$C$39:$C$50))&lt;=Setup!$C$16),OR(MONTH(WORKDAY(D311,-(Setup!$C$13+Setup!$G$22),Setup!$C$39:$C$50))&gt;=Setup!$C$15,MONTH(WORKDAY(D311,-(Setup!$C$13+Setup!$G$22),Setup!$C$39:$C$50))&lt;=Setup!$C$16))),WORKDAY(D311,-(Setup!$C$13+Setup!$G$22+Setup!$C$14),Setup!$C$39:$C$50),WORKDAY(D311,-(Setup!$C$13+Setup!$G$22),Setup!$C$39:$C$50))+(306*100+3)/10000000)))</f>
        <v/>
      </c>
      <c r="U311" t="str">
        <f>IF(E311="","",IF(E311&lt;Setup!$C$5-Setup!$C$6,"",IF(IF(ISNUMBER(Roster!$D311),Setup!$C$23&lt;=Roster!$D311,FALSE),"",IF(OR(IF(Setup!$C$15&lt;=Setup!$C$16,AND(MONTH(E311)&gt;=Setup!$C$15,MONTH(E311)&lt;=Setup!$C$16),OR(MONTH(E311)&gt;=Setup!$C$15,MONTH(E311)&lt;=Setup!$C$16)),IF(Setup!$C$15&lt;=Setup!$C$16,AND(MONTH(WORKDAY(E311,-(Setup!$C$13+Setup!$G$23),Setup!$C$39:$C$50))&gt;=Setup!$C$15,MONTH(WORKDAY(E311,-(Setup!$C$13+Setup!$G$23),Setup!$C$39:$C$50))&lt;=Setup!$C$16),OR(MONTH(WORKDAY(E311,-(Setup!$C$13+Setup!$G$23),Setup!$C$39:$C$50))&gt;=Setup!$C$15,MONTH(WORKDAY(E311,-(Setup!$C$13+Setup!$G$23),Setup!$C$39:$C$50))&lt;=Setup!$C$16))),WORKDAY(E311,-(Setup!$C$13+Setup!$G$23+Setup!$C$14),Setup!$C$39:$C$50),WORKDAY(E311,-(Setup!$C$13+Setup!$G$23),Setup!$C$39:$C$50))+(306*100+4)/10000000)))</f>
        <v/>
      </c>
      <c r="V311" t="str">
        <f>IF(F311="","",IF(F311&lt;Setup!$C$5-Setup!$C$6,"",IF(IF(ISNUMBER(Roster!$D311),Setup!$C$24&lt;=Roster!$D311,FALSE),"",IF(OR(IF(Setup!$C$15&lt;=Setup!$C$16,AND(MONTH(F311)&gt;=Setup!$C$15,MONTH(F311)&lt;=Setup!$C$16),OR(MONTH(F311)&gt;=Setup!$C$15,MONTH(F311)&lt;=Setup!$C$16)),IF(Setup!$C$15&lt;=Setup!$C$16,AND(MONTH(WORKDAY(F311,-(Setup!$C$13+Setup!$G$24),Setup!$C$39:$C$50))&gt;=Setup!$C$15,MONTH(WORKDAY(F311,-(Setup!$C$13+Setup!$G$24),Setup!$C$39:$C$50))&lt;=Setup!$C$16),OR(MONTH(WORKDAY(F311,-(Setup!$C$13+Setup!$G$24),Setup!$C$39:$C$50))&gt;=Setup!$C$15,MONTH(WORKDAY(F311,-(Setup!$C$13+Setup!$G$24),Setup!$C$39:$C$50))&lt;=Setup!$C$16))),WORKDAY(F311,-(Setup!$C$13+Setup!$G$24+Setup!$C$14),Setup!$C$39:$C$50),WORKDAY(F311,-(Setup!$C$13+Setup!$G$24),Setup!$C$39:$C$50))+(306*100+5)/10000000)))</f>
        <v/>
      </c>
      <c r="W311" t="str">
        <f>IF(G311="","",IF(G311&lt;Setup!$C$5-Setup!$C$6,"",IF(IF(ISNUMBER(Roster!$D311),Setup!$C$25&lt;=Roster!$D311,FALSE),"",IF(OR(IF(Setup!$C$15&lt;=Setup!$C$16,AND(MONTH(G311)&gt;=Setup!$C$15,MONTH(G311)&lt;=Setup!$C$16),OR(MONTH(G311)&gt;=Setup!$C$15,MONTH(G311)&lt;=Setup!$C$16)),IF(Setup!$C$15&lt;=Setup!$C$16,AND(MONTH(WORKDAY(G311,-(Setup!$C$13+Setup!$G$25),Setup!$C$39:$C$50))&gt;=Setup!$C$15,MONTH(WORKDAY(G311,-(Setup!$C$13+Setup!$G$25),Setup!$C$39:$C$50))&lt;=Setup!$C$16),OR(MONTH(WORKDAY(G311,-(Setup!$C$13+Setup!$G$25),Setup!$C$39:$C$50))&gt;=Setup!$C$15,MONTH(WORKDAY(G311,-(Setup!$C$13+Setup!$G$25),Setup!$C$39:$C$50))&lt;=Setup!$C$16))),WORKDAY(G311,-(Setup!$C$13+Setup!$G$25+Setup!$C$14),Setup!$C$39:$C$50),WORKDAY(G311,-(Setup!$C$13+Setup!$G$25),Setup!$C$39:$C$50))+(306*100+6)/10000000)))</f>
        <v/>
      </c>
      <c r="X311" t="str">
        <f>IF(H311="","",IF(H311&lt;Setup!$C$5-Setup!$C$6,"",IF(IF(ISNUMBER(Roster!$D311),Setup!$C$26&lt;=Roster!$D311,FALSE),"",IF(OR(IF(Setup!$C$15&lt;=Setup!$C$16,AND(MONTH(H311)&gt;=Setup!$C$15,MONTH(H311)&lt;=Setup!$C$16),OR(MONTH(H311)&gt;=Setup!$C$15,MONTH(H311)&lt;=Setup!$C$16)),IF(Setup!$C$15&lt;=Setup!$C$16,AND(MONTH(WORKDAY(H311,-(Setup!$C$13+Setup!$G$26),Setup!$C$39:$C$50))&gt;=Setup!$C$15,MONTH(WORKDAY(H311,-(Setup!$C$13+Setup!$G$26),Setup!$C$39:$C$50))&lt;=Setup!$C$16),OR(MONTH(WORKDAY(H311,-(Setup!$C$13+Setup!$G$26),Setup!$C$39:$C$50))&gt;=Setup!$C$15,MONTH(WORKDAY(H311,-(Setup!$C$13+Setup!$G$26),Setup!$C$39:$C$50))&lt;=Setup!$C$16))),WORKDAY(H311,-(Setup!$C$13+Setup!$G$26+Setup!$C$14),Setup!$C$39:$C$50),WORKDAY(H311,-(Setup!$C$13+Setup!$G$26),Setup!$C$39:$C$50))+(306*100+7)/10000000)))</f>
        <v/>
      </c>
      <c r="Y311" t="str">
        <f>IF(I311="","",IF(I311&lt;Setup!$C$5-Setup!$C$6,"",IF(IF(ISNUMBER(Roster!$D311),Setup!$C$27&lt;=Roster!$D311,FALSE),"",IF(OR(IF(Setup!$C$15&lt;=Setup!$C$16,AND(MONTH(I311)&gt;=Setup!$C$15,MONTH(I311)&lt;=Setup!$C$16),OR(MONTH(I311)&gt;=Setup!$C$15,MONTH(I311)&lt;=Setup!$C$16)),IF(Setup!$C$15&lt;=Setup!$C$16,AND(MONTH(WORKDAY(I311,-(Setup!$C$13+Setup!$G$27),Setup!$C$39:$C$50))&gt;=Setup!$C$15,MONTH(WORKDAY(I311,-(Setup!$C$13+Setup!$G$27),Setup!$C$39:$C$50))&lt;=Setup!$C$16),OR(MONTH(WORKDAY(I311,-(Setup!$C$13+Setup!$G$27),Setup!$C$39:$C$50))&gt;=Setup!$C$15,MONTH(WORKDAY(I311,-(Setup!$C$13+Setup!$G$27),Setup!$C$39:$C$50))&lt;=Setup!$C$16))),WORKDAY(I311,-(Setup!$C$13+Setup!$G$27+Setup!$C$14),Setup!$C$39:$C$50),WORKDAY(I311,-(Setup!$C$13+Setup!$G$27),Setup!$C$39:$C$50))+(306*100+8)/10000000)))</f>
        <v/>
      </c>
      <c r="Z311" t="str">
        <f>IF(J311="","",IF(J311&lt;Setup!$C$5-Setup!$C$6,"",IF(IF(ISNUMBER(Roster!$D311),Setup!$C$28&lt;=Roster!$D311,FALSE),"",IF(OR(IF(Setup!$C$15&lt;=Setup!$C$16,AND(MONTH(J311)&gt;=Setup!$C$15,MONTH(J311)&lt;=Setup!$C$16),OR(MONTH(J311)&gt;=Setup!$C$15,MONTH(J311)&lt;=Setup!$C$16)),IF(Setup!$C$15&lt;=Setup!$C$16,AND(MONTH(WORKDAY(J311,-(Setup!$C$13+Setup!$G$28),Setup!$C$39:$C$50))&gt;=Setup!$C$15,MONTH(WORKDAY(J311,-(Setup!$C$13+Setup!$G$28),Setup!$C$39:$C$50))&lt;=Setup!$C$16),OR(MONTH(WORKDAY(J311,-(Setup!$C$13+Setup!$G$28),Setup!$C$39:$C$50))&gt;=Setup!$C$15,MONTH(WORKDAY(J311,-(Setup!$C$13+Setup!$G$28),Setup!$C$39:$C$50))&lt;=Setup!$C$16))),WORKDAY(J311,-(Setup!$C$13+Setup!$G$28+Setup!$C$14),Setup!$C$39:$C$50),WORKDAY(J311,-(Setup!$C$13+Setup!$G$28),Setup!$C$39:$C$50))+(306*100+9)/10000000)))</f>
        <v/>
      </c>
      <c r="AA311" t="str">
        <f>IF(K311="","",IF(K311&lt;Setup!$C$5-Setup!$C$6,"",IF(IF(ISNUMBER(Roster!$D311),Setup!$C$29&lt;=Roster!$D311,FALSE),"",IF(OR(IF(Setup!$C$15&lt;=Setup!$C$16,AND(MONTH(K311)&gt;=Setup!$C$15,MONTH(K311)&lt;=Setup!$C$16),OR(MONTH(K311)&gt;=Setup!$C$15,MONTH(K311)&lt;=Setup!$C$16)),IF(Setup!$C$15&lt;=Setup!$C$16,AND(MONTH(WORKDAY(K311,-(Setup!$C$13+Setup!$G$29),Setup!$C$39:$C$50))&gt;=Setup!$C$15,MONTH(WORKDAY(K311,-(Setup!$C$13+Setup!$G$29),Setup!$C$39:$C$50))&lt;=Setup!$C$16),OR(MONTH(WORKDAY(K311,-(Setup!$C$13+Setup!$G$29),Setup!$C$39:$C$50))&gt;=Setup!$C$15,MONTH(WORKDAY(K311,-(Setup!$C$13+Setup!$G$29),Setup!$C$39:$C$50))&lt;=Setup!$C$16))),WORKDAY(K311,-(Setup!$C$13+Setup!$G$29+Setup!$C$14),Setup!$C$39:$C$50),WORKDAY(K311,-(Setup!$C$13+Setup!$G$29),Setup!$C$39:$C$50))+(306*100+10)/10000000)))</f>
        <v/>
      </c>
      <c r="AB311" t="str">
        <f>IF(L311="","",IF(L311&lt;Setup!$C$5-Setup!$C$6,"",IF(IF(ISNUMBER(Roster!$D311),Setup!$C$30&lt;=Roster!$D311,FALSE),"",IF(OR(IF(Setup!$C$15&lt;=Setup!$C$16,AND(MONTH(L311)&gt;=Setup!$C$15,MONTH(L311)&lt;=Setup!$C$16),OR(MONTH(L311)&gt;=Setup!$C$15,MONTH(L311)&lt;=Setup!$C$16)),IF(Setup!$C$15&lt;=Setup!$C$16,AND(MONTH(WORKDAY(L311,-(Setup!$C$13+Setup!$G$30),Setup!$C$39:$C$50))&gt;=Setup!$C$15,MONTH(WORKDAY(L311,-(Setup!$C$13+Setup!$G$30),Setup!$C$39:$C$50))&lt;=Setup!$C$16),OR(MONTH(WORKDAY(L311,-(Setup!$C$13+Setup!$G$30),Setup!$C$39:$C$50))&gt;=Setup!$C$15,MONTH(WORKDAY(L311,-(Setup!$C$13+Setup!$G$30),Setup!$C$39:$C$50))&lt;=Setup!$C$16))),WORKDAY(L311,-(Setup!$C$13+Setup!$G$30+Setup!$C$14),Setup!$C$39:$C$50),WORKDAY(L311,-(Setup!$C$13+Setup!$G$30),Setup!$C$39:$C$50))+(306*100+11)/10000000)))</f>
        <v/>
      </c>
      <c r="AC311" t="str">
        <f>IF(M311="","",IF(M311&lt;Setup!$C$5-Setup!$C$6,"",IF(IF(ISNUMBER(Roster!$D311),Setup!$C$31&lt;=Roster!$D311,FALSE),"",IF(OR(IF(Setup!$C$15&lt;=Setup!$C$16,AND(MONTH(M311)&gt;=Setup!$C$15,MONTH(M311)&lt;=Setup!$C$16),OR(MONTH(M311)&gt;=Setup!$C$15,MONTH(M311)&lt;=Setup!$C$16)),IF(Setup!$C$15&lt;=Setup!$C$16,AND(MONTH(WORKDAY(M311,-(Setup!$C$13+Setup!$G$31),Setup!$C$39:$C$50))&gt;=Setup!$C$15,MONTH(WORKDAY(M311,-(Setup!$C$13+Setup!$G$31),Setup!$C$39:$C$50))&lt;=Setup!$C$16),OR(MONTH(WORKDAY(M311,-(Setup!$C$13+Setup!$G$31),Setup!$C$39:$C$50))&gt;=Setup!$C$15,MONTH(WORKDAY(M311,-(Setup!$C$13+Setup!$G$31),Setup!$C$39:$C$50))&lt;=Setup!$C$16))),WORKDAY(M311,-(Setup!$C$13+Setup!$G$31+Setup!$C$14),Setup!$C$39:$C$50),WORKDAY(M311,-(Setup!$C$13+Setup!$G$31),Setup!$C$39:$C$50))+(306*100+12)/10000000)))</f>
        <v/>
      </c>
      <c r="AD311" t="str">
        <f>IF(N311="","",IF(N311&lt;Setup!$C$5-Setup!$C$6,"",IF(IF(ISNUMBER(Roster!$D311),Setup!$C$32&lt;=Roster!$D311,FALSE),"",IF(OR(IF(Setup!$C$15&lt;=Setup!$C$16,AND(MONTH(N311)&gt;=Setup!$C$15,MONTH(N311)&lt;=Setup!$C$16),OR(MONTH(N311)&gt;=Setup!$C$15,MONTH(N311)&lt;=Setup!$C$16)),IF(Setup!$C$15&lt;=Setup!$C$16,AND(MONTH(WORKDAY(N311,-(Setup!$C$13+Setup!$G$32),Setup!$C$39:$C$50))&gt;=Setup!$C$15,MONTH(WORKDAY(N311,-(Setup!$C$13+Setup!$G$32),Setup!$C$39:$C$50))&lt;=Setup!$C$16),OR(MONTH(WORKDAY(N311,-(Setup!$C$13+Setup!$G$32),Setup!$C$39:$C$50))&gt;=Setup!$C$15,MONTH(WORKDAY(N311,-(Setup!$C$13+Setup!$G$32),Setup!$C$39:$C$50))&lt;=Setup!$C$16))),WORKDAY(N311,-(Setup!$C$13+Setup!$G$32+Setup!$C$14),Setup!$C$39:$C$50),WORKDAY(N311,-(Setup!$C$13+Setup!$G$32),Setup!$C$39:$C$50))+(306*100+13)/10000000)))</f>
        <v/>
      </c>
      <c r="AE311" t="str">
        <f>IF(O311="","",IF(O311&lt;Setup!$C$5-Setup!$C$6,"",IF(IF(ISNUMBER(Roster!$D311),Setup!$C$33&lt;=Roster!$D311,FALSE),"",IF(OR(IF(Setup!$C$15&lt;=Setup!$C$16,AND(MONTH(O311)&gt;=Setup!$C$15,MONTH(O311)&lt;=Setup!$C$16),OR(MONTH(O311)&gt;=Setup!$C$15,MONTH(O311)&lt;=Setup!$C$16)),IF(Setup!$C$15&lt;=Setup!$C$16,AND(MONTH(WORKDAY(O311,-(Setup!$C$13+Setup!$G$33),Setup!$C$39:$C$50))&gt;=Setup!$C$15,MONTH(WORKDAY(O311,-(Setup!$C$13+Setup!$G$33),Setup!$C$39:$C$50))&lt;=Setup!$C$16),OR(MONTH(WORKDAY(O311,-(Setup!$C$13+Setup!$G$33),Setup!$C$39:$C$50))&gt;=Setup!$C$15,MONTH(WORKDAY(O311,-(Setup!$C$13+Setup!$G$33),Setup!$C$39:$C$50))&lt;=Setup!$C$16))),WORKDAY(O311,-(Setup!$C$13+Setup!$G$33+Setup!$C$14),Setup!$C$39:$C$50),WORKDAY(O311,-(Setup!$C$13+Setup!$G$33),Setup!$C$39:$C$50))+(306*100+14)/10000000)))</f>
        <v/>
      </c>
      <c r="AF311" t="str">
        <f>IF(P311="","",IF(P311&lt;Setup!$C$5-Setup!$C$6,"",IF(IF(ISNUMBER(Roster!$D311),Setup!$C$34&lt;=Roster!$D311,FALSE),"",IF(OR(IF(Setup!$C$15&lt;=Setup!$C$16,AND(MONTH(P311)&gt;=Setup!$C$15,MONTH(P311)&lt;=Setup!$C$16),OR(MONTH(P311)&gt;=Setup!$C$15,MONTH(P311)&lt;=Setup!$C$16)),IF(Setup!$C$15&lt;=Setup!$C$16,AND(MONTH(WORKDAY(P311,-(Setup!$C$13+Setup!$G$34),Setup!$C$39:$C$50))&gt;=Setup!$C$15,MONTH(WORKDAY(P311,-(Setup!$C$13+Setup!$G$34),Setup!$C$39:$C$50))&lt;=Setup!$C$16),OR(MONTH(WORKDAY(P311,-(Setup!$C$13+Setup!$G$34),Setup!$C$39:$C$50))&gt;=Setup!$C$15,MONTH(WORKDAY(P311,-(Setup!$C$13+Setup!$G$34),Setup!$C$39:$C$50))&lt;=Setup!$C$16))),WORKDAY(P311,-(Setup!$C$13+Setup!$G$34+Setup!$C$14),Setup!$C$39:$C$50),WORKDAY(P311,-(Setup!$C$13+Setup!$G$34),Setup!$C$39:$C$50))+(306*100+15)/10000000)))</f>
        <v/>
      </c>
      <c r="AH311" t="str">
        <f t="shared" si="33"/>
        <v/>
      </c>
      <c r="AI311" t="str">
        <f t="shared" si="34"/>
        <v/>
      </c>
      <c r="AP311" t="str">
        <f>IF(ISNUMBER(Roster!$B311),MAX(1,YEAR(Setup!$C$5)-YEAR(Roster!$B311)+IF(EDATE(Roster!$B311,12*(YEAR(Setup!$C$5)-YEAR(Roster!$B311)))&lt;Setup!$C$5,1,0)),"")</f>
        <v/>
      </c>
      <c r="AQ311" s="32" t="str">
        <f>IF(AP311="","",EDATE(Roster!$B311,12*AP311))</f>
        <v/>
      </c>
      <c r="AR311" t="str">
        <f>IF(AQ311="","",IF(AQ311&lt;DATE(YEAR(Setup!$C$5)+1,MONTH(Setup!$C$5),DAY(Setup!$C$5)),AQ311+306/1000,""))</f>
        <v/>
      </c>
      <c r="AS311" t="str">
        <f t="shared" si="38"/>
        <v/>
      </c>
      <c r="AT311" t="str">
        <f>IF(AS311="","",IF(ISNUMBER(Roster!$D311),Roster!$D311&gt;=AP311,FALSE))</f>
        <v/>
      </c>
      <c r="AU311" t="str">
        <f t="shared" si="39"/>
        <v/>
      </c>
      <c r="AV311" t="str">
        <f ca="1">IF(306&gt;$AV$2,"",SMALL($AR$6:$AR$505,306))</f>
        <v/>
      </c>
      <c r="AW311" t="str">
        <f t="shared" ca="1" si="40"/>
        <v/>
      </c>
    </row>
    <row r="312" spans="2:49" x14ac:dyDescent="0.2">
      <c r="B312" s="32" t="str">
        <f>IF(AND(ISNUMBER(Roster!$B312),Setup!$B$20="Yes",ISNUMBER(Setup!$C$20)),EDATE(Roster!$B312,12*Setup!$C$20),"")</f>
        <v/>
      </c>
      <c r="C312" s="32" t="str">
        <f>IF(AND(ISNUMBER(Roster!$B312),Setup!$B$21="Yes",ISNUMBER(Setup!$C$21)),EDATE(Roster!$B312,12*Setup!$C$21),"")</f>
        <v/>
      </c>
      <c r="D312" s="32" t="str">
        <f>IF(AND(ISNUMBER(Roster!$B312),Setup!$B$22="Yes",ISNUMBER(Setup!$C$22)),EDATE(Roster!$B312,12*Setup!$C$22),"")</f>
        <v/>
      </c>
      <c r="E312" s="32" t="str">
        <f>IF(AND(ISNUMBER(Roster!$B312),Setup!$B$23="Yes",ISNUMBER(Setup!$C$23)),EDATE(Roster!$B312,12*Setup!$C$23),"")</f>
        <v/>
      </c>
      <c r="F312" s="32" t="str">
        <f>IF(AND(ISNUMBER(Roster!$B312),Setup!$B$24="Yes",ISNUMBER(Setup!$C$24)),EDATE(Roster!$B312,12*Setup!$C$24),"")</f>
        <v/>
      </c>
      <c r="G312" s="32" t="str">
        <f>IF(AND(ISNUMBER(Roster!$B312),Setup!$B$25="Yes",ISNUMBER(Setup!$C$25)),EDATE(Roster!$B312,12*Setup!$C$25),"")</f>
        <v/>
      </c>
      <c r="H312" s="32" t="str">
        <f>IF(AND(ISNUMBER(Roster!$B312),Setup!$B$26="Yes",ISNUMBER(Setup!$C$26)),EDATE(Roster!$B312,12*Setup!$C$26),"")</f>
        <v/>
      </c>
      <c r="I312" s="32" t="str">
        <f>IF(AND(ISNUMBER(Roster!$B312),Setup!$B$27="Yes",ISNUMBER(Setup!$C$27)),EDATE(Roster!$B312,12*Setup!$C$27),"")</f>
        <v/>
      </c>
      <c r="J312" s="32" t="str">
        <f>IF(AND(ISNUMBER(Roster!$B312),Setup!$B$28="Yes",ISNUMBER(Setup!$C$28)),EDATE(Roster!$B312,12*Setup!$C$28),"")</f>
        <v/>
      </c>
      <c r="K312" s="32" t="str">
        <f>IF(AND(ISNUMBER(Roster!$B312),Setup!$B$29="Yes",ISNUMBER(Setup!$C$29)),EDATE(Roster!$B312,12*Setup!$C$29),"")</f>
        <v/>
      </c>
      <c r="L312" s="32" t="str">
        <f>IF(AND(ISNUMBER(Roster!$B312),Setup!$B$30="Yes",ISNUMBER(Setup!$C$30)),EDATE(Roster!$B312,12*Setup!$C$30),"")</f>
        <v/>
      </c>
      <c r="M312" s="32" t="str">
        <f>IF(AND(ISNUMBER(Roster!$B312),Setup!$B$31="Yes",ISNUMBER(Setup!$C$31)),EDATE(Roster!$B312,12*Setup!$C$31),"")</f>
        <v/>
      </c>
      <c r="N312" s="32" t="str">
        <f>IF(AND(ISNUMBER(Roster!$B312),Setup!$B$32="Yes",ISNUMBER(Setup!$C$32)),EDATE(Roster!$B312,12*Setup!$C$32),"")</f>
        <v/>
      </c>
      <c r="O312" s="32" t="str">
        <f>IF(AND(ISNUMBER(Roster!$B312),Setup!$B$33="Yes",ISNUMBER(Setup!$C$33)),EDATE(Roster!$B312,12*Setup!$C$33),"")</f>
        <v/>
      </c>
      <c r="P312" s="32" t="str">
        <f>IF(AND(ISNUMBER(Roster!$B312),Setup!$B$34="Yes",ISNUMBER(Setup!$C$34)),EDATE(Roster!$B312,12*Setup!$C$34),"")</f>
        <v/>
      </c>
      <c r="R312" t="str">
        <f>IF(B312="","",IF(B312&lt;Setup!$C$5-Setup!$C$6,"",IF(IF(ISNUMBER(Roster!$D312),Setup!$C$20&lt;=Roster!$D312,FALSE),"",IF(OR(IF(Setup!$C$15&lt;=Setup!$C$16,AND(MONTH(B312)&gt;=Setup!$C$15,MONTH(B312)&lt;=Setup!$C$16),OR(MONTH(B312)&gt;=Setup!$C$15,MONTH(B312)&lt;=Setup!$C$16)),IF(Setup!$C$15&lt;=Setup!$C$16,AND(MONTH(WORKDAY(B312,-(Setup!$C$13+Setup!$G$20),Setup!$C$39:$C$50))&gt;=Setup!$C$15,MONTH(WORKDAY(B312,-(Setup!$C$13+Setup!$G$20),Setup!$C$39:$C$50))&lt;=Setup!$C$16),OR(MONTH(WORKDAY(B312,-(Setup!$C$13+Setup!$G$20),Setup!$C$39:$C$50))&gt;=Setup!$C$15,MONTH(WORKDAY(B312,-(Setup!$C$13+Setup!$G$20),Setup!$C$39:$C$50))&lt;=Setup!$C$16))),WORKDAY(B312,-(Setup!$C$13+Setup!$G$20+Setup!$C$14),Setup!$C$39:$C$50),WORKDAY(B312,-(Setup!$C$13+Setup!$G$20),Setup!$C$39:$C$50))+(307*100+1)/10000000)))</f>
        <v/>
      </c>
      <c r="S312" t="str">
        <f>IF(C312="","",IF(C312&lt;Setup!$C$5-Setup!$C$6,"",IF(IF(ISNUMBER(Roster!$D312),Setup!$C$21&lt;=Roster!$D312,FALSE),"",IF(OR(IF(Setup!$C$15&lt;=Setup!$C$16,AND(MONTH(C312)&gt;=Setup!$C$15,MONTH(C312)&lt;=Setup!$C$16),OR(MONTH(C312)&gt;=Setup!$C$15,MONTH(C312)&lt;=Setup!$C$16)),IF(Setup!$C$15&lt;=Setup!$C$16,AND(MONTH(WORKDAY(C312,-(Setup!$C$13+Setup!$G$21),Setup!$C$39:$C$50))&gt;=Setup!$C$15,MONTH(WORKDAY(C312,-(Setup!$C$13+Setup!$G$21),Setup!$C$39:$C$50))&lt;=Setup!$C$16),OR(MONTH(WORKDAY(C312,-(Setup!$C$13+Setup!$G$21),Setup!$C$39:$C$50))&gt;=Setup!$C$15,MONTH(WORKDAY(C312,-(Setup!$C$13+Setup!$G$21),Setup!$C$39:$C$50))&lt;=Setup!$C$16))),WORKDAY(C312,-(Setup!$C$13+Setup!$G$21+Setup!$C$14),Setup!$C$39:$C$50),WORKDAY(C312,-(Setup!$C$13+Setup!$G$21),Setup!$C$39:$C$50))+(307*100+2)/10000000)))</f>
        <v/>
      </c>
      <c r="T312" t="str">
        <f>IF(D312="","",IF(D312&lt;Setup!$C$5-Setup!$C$6,"",IF(IF(ISNUMBER(Roster!$D312),Setup!$C$22&lt;=Roster!$D312,FALSE),"",IF(OR(IF(Setup!$C$15&lt;=Setup!$C$16,AND(MONTH(D312)&gt;=Setup!$C$15,MONTH(D312)&lt;=Setup!$C$16),OR(MONTH(D312)&gt;=Setup!$C$15,MONTH(D312)&lt;=Setup!$C$16)),IF(Setup!$C$15&lt;=Setup!$C$16,AND(MONTH(WORKDAY(D312,-(Setup!$C$13+Setup!$G$22),Setup!$C$39:$C$50))&gt;=Setup!$C$15,MONTH(WORKDAY(D312,-(Setup!$C$13+Setup!$G$22),Setup!$C$39:$C$50))&lt;=Setup!$C$16),OR(MONTH(WORKDAY(D312,-(Setup!$C$13+Setup!$G$22),Setup!$C$39:$C$50))&gt;=Setup!$C$15,MONTH(WORKDAY(D312,-(Setup!$C$13+Setup!$G$22),Setup!$C$39:$C$50))&lt;=Setup!$C$16))),WORKDAY(D312,-(Setup!$C$13+Setup!$G$22+Setup!$C$14),Setup!$C$39:$C$50),WORKDAY(D312,-(Setup!$C$13+Setup!$G$22),Setup!$C$39:$C$50))+(307*100+3)/10000000)))</f>
        <v/>
      </c>
      <c r="U312" t="str">
        <f>IF(E312="","",IF(E312&lt;Setup!$C$5-Setup!$C$6,"",IF(IF(ISNUMBER(Roster!$D312),Setup!$C$23&lt;=Roster!$D312,FALSE),"",IF(OR(IF(Setup!$C$15&lt;=Setup!$C$16,AND(MONTH(E312)&gt;=Setup!$C$15,MONTH(E312)&lt;=Setup!$C$16),OR(MONTH(E312)&gt;=Setup!$C$15,MONTH(E312)&lt;=Setup!$C$16)),IF(Setup!$C$15&lt;=Setup!$C$16,AND(MONTH(WORKDAY(E312,-(Setup!$C$13+Setup!$G$23),Setup!$C$39:$C$50))&gt;=Setup!$C$15,MONTH(WORKDAY(E312,-(Setup!$C$13+Setup!$G$23),Setup!$C$39:$C$50))&lt;=Setup!$C$16),OR(MONTH(WORKDAY(E312,-(Setup!$C$13+Setup!$G$23),Setup!$C$39:$C$50))&gt;=Setup!$C$15,MONTH(WORKDAY(E312,-(Setup!$C$13+Setup!$G$23),Setup!$C$39:$C$50))&lt;=Setup!$C$16))),WORKDAY(E312,-(Setup!$C$13+Setup!$G$23+Setup!$C$14),Setup!$C$39:$C$50),WORKDAY(E312,-(Setup!$C$13+Setup!$G$23),Setup!$C$39:$C$50))+(307*100+4)/10000000)))</f>
        <v/>
      </c>
      <c r="V312" t="str">
        <f>IF(F312="","",IF(F312&lt;Setup!$C$5-Setup!$C$6,"",IF(IF(ISNUMBER(Roster!$D312),Setup!$C$24&lt;=Roster!$D312,FALSE),"",IF(OR(IF(Setup!$C$15&lt;=Setup!$C$16,AND(MONTH(F312)&gt;=Setup!$C$15,MONTH(F312)&lt;=Setup!$C$16),OR(MONTH(F312)&gt;=Setup!$C$15,MONTH(F312)&lt;=Setup!$C$16)),IF(Setup!$C$15&lt;=Setup!$C$16,AND(MONTH(WORKDAY(F312,-(Setup!$C$13+Setup!$G$24),Setup!$C$39:$C$50))&gt;=Setup!$C$15,MONTH(WORKDAY(F312,-(Setup!$C$13+Setup!$G$24),Setup!$C$39:$C$50))&lt;=Setup!$C$16),OR(MONTH(WORKDAY(F312,-(Setup!$C$13+Setup!$G$24),Setup!$C$39:$C$50))&gt;=Setup!$C$15,MONTH(WORKDAY(F312,-(Setup!$C$13+Setup!$G$24),Setup!$C$39:$C$50))&lt;=Setup!$C$16))),WORKDAY(F312,-(Setup!$C$13+Setup!$G$24+Setup!$C$14),Setup!$C$39:$C$50),WORKDAY(F312,-(Setup!$C$13+Setup!$G$24),Setup!$C$39:$C$50))+(307*100+5)/10000000)))</f>
        <v/>
      </c>
      <c r="W312" t="str">
        <f>IF(G312="","",IF(G312&lt;Setup!$C$5-Setup!$C$6,"",IF(IF(ISNUMBER(Roster!$D312),Setup!$C$25&lt;=Roster!$D312,FALSE),"",IF(OR(IF(Setup!$C$15&lt;=Setup!$C$16,AND(MONTH(G312)&gt;=Setup!$C$15,MONTH(G312)&lt;=Setup!$C$16),OR(MONTH(G312)&gt;=Setup!$C$15,MONTH(G312)&lt;=Setup!$C$16)),IF(Setup!$C$15&lt;=Setup!$C$16,AND(MONTH(WORKDAY(G312,-(Setup!$C$13+Setup!$G$25),Setup!$C$39:$C$50))&gt;=Setup!$C$15,MONTH(WORKDAY(G312,-(Setup!$C$13+Setup!$G$25),Setup!$C$39:$C$50))&lt;=Setup!$C$16),OR(MONTH(WORKDAY(G312,-(Setup!$C$13+Setup!$G$25),Setup!$C$39:$C$50))&gt;=Setup!$C$15,MONTH(WORKDAY(G312,-(Setup!$C$13+Setup!$G$25),Setup!$C$39:$C$50))&lt;=Setup!$C$16))),WORKDAY(G312,-(Setup!$C$13+Setup!$G$25+Setup!$C$14),Setup!$C$39:$C$50),WORKDAY(G312,-(Setup!$C$13+Setup!$G$25),Setup!$C$39:$C$50))+(307*100+6)/10000000)))</f>
        <v/>
      </c>
      <c r="X312" t="str">
        <f>IF(H312="","",IF(H312&lt;Setup!$C$5-Setup!$C$6,"",IF(IF(ISNUMBER(Roster!$D312),Setup!$C$26&lt;=Roster!$D312,FALSE),"",IF(OR(IF(Setup!$C$15&lt;=Setup!$C$16,AND(MONTH(H312)&gt;=Setup!$C$15,MONTH(H312)&lt;=Setup!$C$16),OR(MONTH(H312)&gt;=Setup!$C$15,MONTH(H312)&lt;=Setup!$C$16)),IF(Setup!$C$15&lt;=Setup!$C$16,AND(MONTH(WORKDAY(H312,-(Setup!$C$13+Setup!$G$26),Setup!$C$39:$C$50))&gt;=Setup!$C$15,MONTH(WORKDAY(H312,-(Setup!$C$13+Setup!$G$26),Setup!$C$39:$C$50))&lt;=Setup!$C$16),OR(MONTH(WORKDAY(H312,-(Setup!$C$13+Setup!$G$26),Setup!$C$39:$C$50))&gt;=Setup!$C$15,MONTH(WORKDAY(H312,-(Setup!$C$13+Setup!$G$26),Setup!$C$39:$C$50))&lt;=Setup!$C$16))),WORKDAY(H312,-(Setup!$C$13+Setup!$G$26+Setup!$C$14),Setup!$C$39:$C$50),WORKDAY(H312,-(Setup!$C$13+Setup!$G$26),Setup!$C$39:$C$50))+(307*100+7)/10000000)))</f>
        <v/>
      </c>
      <c r="Y312" t="str">
        <f>IF(I312="","",IF(I312&lt;Setup!$C$5-Setup!$C$6,"",IF(IF(ISNUMBER(Roster!$D312),Setup!$C$27&lt;=Roster!$D312,FALSE),"",IF(OR(IF(Setup!$C$15&lt;=Setup!$C$16,AND(MONTH(I312)&gt;=Setup!$C$15,MONTH(I312)&lt;=Setup!$C$16),OR(MONTH(I312)&gt;=Setup!$C$15,MONTH(I312)&lt;=Setup!$C$16)),IF(Setup!$C$15&lt;=Setup!$C$16,AND(MONTH(WORKDAY(I312,-(Setup!$C$13+Setup!$G$27),Setup!$C$39:$C$50))&gt;=Setup!$C$15,MONTH(WORKDAY(I312,-(Setup!$C$13+Setup!$G$27),Setup!$C$39:$C$50))&lt;=Setup!$C$16),OR(MONTH(WORKDAY(I312,-(Setup!$C$13+Setup!$G$27),Setup!$C$39:$C$50))&gt;=Setup!$C$15,MONTH(WORKDAY(I312,-(Setup!$C$13+Setup!$G$27),Setup!$C$39:$C$50))&lt;=Setup!$C$16))),WORKDAY(I312,-(Setup!$C$13+Setup!$G$27+Setup!$C$14),Setup!$C$39:$C$50),WORKDAY(I312,-(Setup!$C$13+Setup!$G$27),Setup!$C$39:$C$50))+(307*100+8)/10000000)))</f>
        <v/>
      </c>
      <c r="Z312" t="str">
        <f>IF(J312="","",IF(J312&lt;Setup!$C$5-Setup!$C$6,"",IF(IF(ISNUMBER(Roster!$D312),Setup!$C$28&lt;=Roster!$D312,FALSE),"",IF(OR(IF(Setup!$C$15&lt;=Setup!$C$16,AND(MONTH(J312)&gt;=Setup!$C$15,MONTH(J312)&lt;=Setup!$C$16),OR(MONTH(J312)&gt;=Setup!$C$15,MONTH(J312)&lt;=Setup!$C$16)),IF(Setup!$C$15&lt;=Setup!$C$16,AND(MONTH(WORKDAY(J312,-(Setup!$C$13+Setup!$G$28),Setup!$C$39:$C$50))&gt;=Setup!$C$15,MONTH(WORKDAY(J312,-(Setup!$C$13+Setup!$G$28),Setup!$C$39:$C$50))&lt;=Setup!$C$16),OR(MONTH(WORKDAY(J312,-(Setup!$C$13+Setup!$G$28),Setup!$C$39:$C$50))&gt;=Setup!$C$15,MONTH(WORKDAY(J312,-(Setup!$C$13+Setup!$G$28),Setup!$C$39:$C$50))&lt;=Setup!$C$16))),WORKDAY(J312,-(Setup!$C$13+Setup!$G$28+Setup!$C$14),Setup!$C$39:$C$50),WORKDAY(J312,-(Setup!$C$13+Setup!$G$28),Setup!$C$39:$C$50))+(307*100+9)/10000000)))</f>
        <v/>
      </c>
      <c r="AA312" t="str">
        <f>IF(K312="","",IF(K312&lt;Setup!$C$5-Setup!$C$6,"",IF(IF(ISNUMBER(Roster!$D312),Setup!$C$29&lt;=Roster!$D312,FALSE),"",IF(OR(IF(Setup!$C$15&lt;=Setup!$C$16,AND(MONTH(K312)&gt;=Setup!$C$15,MONTH(K312)&lt;=Setup!$C$16),OR(MONTH(K312)&gt;=Setup!$C$15,MONTH(K312)&lt;=Setup!$C$16)),IF(Setup!$C$15&lt;=Setup!$C$16,AND(MONTH(WORKDAY(K312,-(Setup!$C$13+Setup!$G$29),Setup!$C$39:$C$50))&gt;=Setup!$C$15,MONTH(WORKDAY(K312,-(Setup!$C$13+Setup!$G$29),Setup!$C$39:$C$50))&lt;=Setup!$C$16),OR(MONTH(WORKDAY(K312,-(Setup!$C$13+Setup!$G$29),Setup!$C$39:$C$50))&gt;=Setup!$C$15,MONTH(WORKDAY(K312,-(Setup!$C$13+Setup!$G$29),Setup!$C$39:$C$50))&lt;=Setup!$C$16))),WORKDAY(K312,-(Setup!$C$13+Setup!$G$29+Setup!$C$14),Setup!$C$39:$C$50),WORKDAY(K312,-(Setup!$C$13+Setup!$G$29),Setup!$C$39:$C$50))+(307*100+10)/10000000)))</f>
        <v/>
      </c>
      <c r="AB312" t="str">
        <f>IF(L312="","",IF(L312&lt;Setup!$C$5-Setup!$C$6,"",IF(IF(ISNUMBER(Roster!$D312),Setup!$C$30&lt;=Roster!$D312,FALSE),"",IF(OR(IF(Setup!$C$15&lt;=Setup!$C$16,AND(MONTH(L312)&gt;=Setup!$C$15,MONTH(L312)&lt;=Setup!$C$16),OR(MONTH(L312)&gt;=Setup!$C$15,MONTH(L312)&lt;=Setup!$C$16)),IF(Setup!$C$15&lt;=Setup!$C$16,AND(MONTH(WORKDAY(L312,-(Setup!$C$13+Setup!$G$30),Setup!$C$39:$C$50))&gt;=Setup!$C$15,MONTH(WORKDAY(L312,-(Setup!$C$13+Setup!$G$30),Setup!$C$39:$C$50))&lt;=Setup!$C$16),OR(MONTH(WORKDAY(L312,-(Setup!$C$13+Setup!$G$30),Setup!$C$39:$C$50))&gt;=Setup!$C$15,MONTH(WORKDAY(L312,-(Setup!$C$13+Setup!$G$30),Setup!$C$39:$C$50))&lt;=Setup!$C$16))),WORKDAY(L312,-(Setup!$C$13+Setup!$G$30+Setup!$C$14),Setup!$C$39:$C$50),WORKDAY(L312,-(Setup!$C$13+Setup!$G$30),Setup!$C$39:$C$50))+(307*100+11)/10000000)))</f>
        <v/>
      </c>
      <c r="AC312" t="str">
        <f>IF(M312="","",IF(M312&lt;Setup!$C$5-Setup!$C$6,"",IF(IF(ISNUMBER(Roster!$D312),Setup!$C$31&lt;=Roster!$D312,FALSE),"",IF(OR(IF(Setup!$C$15&lt;=Setup!$C$16,AND(MONTH(M312)&gt;=Setup!$C$15,MONTH(M312)&lt;=Setup!$C$16),OR(MONTH(M312)&gt;=Setup!$C$15,MONTH(M312)&lt;=Setup!$C$16)),IF(Setup!$C$15&lt;=Setup!$C$16,AND(MONTH(WORKDAY(M312,-(Setup!$C$13+Setup!$G$31),Setup!$C$39:$C$50))&gt;=Setup!$C$15,MONTH(WORKDAY(M312,-(Setup!$C$13+Setup!$G$31),Setup!$C$39:$C$50))&lt;=Setup!$C$16),OR(MONTH(WORKDAY(M312,-(Setup!$C$13+Setup!$G$31),Setup!$C$39:$C$50))&gt;=Setup!$C$15,MONTH(WORKDAY(M312,-(Setup!$C$13+Setup!$G$31),Setup!$C$39:$C$50))&lt;=Setup!$C$16))),WORKDAY(M312,-(Setup!$C$13+Setup!$G$31+Setup!$C$14),Setup!$C$39:$C$50),WORKDAY(M312,-(Setup!$C$13+Setup!$G$31),Setup!$C$39:$C$50))+(307*100+12)/10000000)))</f>
        <v/>
      </c>
      <c r="AD312" t="str">
        <f>IF(N312="","",IF(N312&lt;Setup!$C$5-Setup!$C$6,"",IF(IF(ISNUMBER(Roster!$D312),Setup!$C$32&lt;=Roster!$D312,FALSE),"",IF(OR(IF(Setup!$C$15&lt;=Setup!$C$16,AND(MONTH(N312)&gt;=Setup!$C$15,MONTH(N312)&lt;=Setup!$C$16),OR(MONTH(N312)&gt;=Setup!$C$15,MONTH(N312)&lt;=Setup!$C$16)),IF(Setup!$C$15&lt;=Setup!$C$16,AND(MONTH(WORKDAY(N312,-(Setup!$C$13+Setup!$G$32),Setup!$C$39:$C$50))&gt;=Setup!$C$15,MONTH(WORKDAY(N312,-(Setup!$C$13+Setup!$G$32),Setup!$C$39:$C$50))&lt;=Setup!$C$16),OR(MONTH(WORKDAY(N312,-(Setup!$C$13+Setup!$G$32),Setup!$C$39:$C$50))&gt;=Setup!$C$15,MONTH(WORKDAY(N312,-(Setup!$C$13+Setup!$G$32),Setup!$C$39:$C$50))&lt;=Setup!$C$16))),WORKDAY(N312,-(Setup!$C$13+Setup!$G$32+Setup!$C$14),Setup!$C$39:$C$50),WORKDAY(N312,-(Setup!$C$13+Setup!$G$32),Setup!$C$39:$C$50))+(307*100+13)/10000000)))</f>
        <v/>
      </c>
      <c r="AE312" t="str">
        <f>IF(O312="","",IF(O312&lt;Setup!$C$5-Setup!$C$6,"",IF(IF(ISNUMBER(Roster!$D312),Setup!$C$33&lt;=Roster!$D312,FALSE),"",IF(OR(IF(Setup!$C$15&lt;=Setup!$C$16,AND(MONTH(O312)&gt;=Setup!$C$15,MONTH(O312)&lt;=Setup!$C$16),OR(MONTH(O312)&gt;=Setup!$C$15,MONTH(O312)&lt;=Setup!$C$16)),IF(Setup!$C$15&lt;=Setup!$C$16,AND(MONTH(WORKDAY(O312,-(Setup!$C$13+Setup!$G$33),Setup!$C$39:$C$50))&gt;=Setup!$C$15,MONTH(WORKDAY(O312,-(Setup!$C$13+Setup!$G$33),Setup!$C$39:$C$50))&lt;=Setup!$C$16),OR(MONTH(WORKDAY(O312,-(Setup!$C$13+Setup!$G$33),Setup!$C$39:$C$50))&gt;=Setup!$C$15,MONTH(WORKDAY(O312,-(Setup!$C$13+Setup!$G$33),Setup!$C$39:$C$50))&lt;=Setup!$C$16))),WORKDAY(O312,-(Setup!$C$13+Setup!$G$33+Setup!$C$14),Setup!$C$39:$C$50),WORKDAY(O312,-(Setup!$C$13+Setup!$G$33),Setup!$C$39:$C$50))+(307*100+14)/10000000)))</f>
        <v/>
      </c>
      <c r="AF312" t="str">
        <f>IF(P312="","",IF(P312&lt;Setup!$C$5-Setup!$C$6,"",IF(IF(ISNUMBER(Roster!$D312),Setup!$C$34&lt;=Roster!$D312,FALSE),"",IF(OR(IF(Setup!$C$15&lt;=Setup!$C$16,AND(MONTH(P312)&gt;=Setup!$C$15,MONTH(P312)&lt;=Setup!$C$16),OR(MONTH(P312)&gt;=Setup!$C$15,MONTH(P312)&lt;=Setup!$C$16)),IF(Setup!$C$15&lt;=Setup!$C$16,AND(MONTH(WORKDAY(P312,-(Setup!$C$13+Setup!$G$34),Setup!$C$39:$C$50))&gt;=Setup!$C$15,MONTH(WORKDAY(P312,-(Setup!$C$13+Setup!$G$34),Setup!$C$39:$C$50))&lt;=Setup!$C$16),OR(MONTH(WORKDAY(P312,-(Setup!$C$13+Setup!$G$34),Setup!$C$39:$C$50))&gt;=Setup!$C$15,MONTH(WORKDAY(P312,-(Setup!$C$13+Setup!$G$34),Setup!$C$39:$C$50))&lt;=Setup!$C$16))),WORKDAY(P312,-(Setup!$C$13+Setup!$G$34+Setup!$C$14),Setup!$C$39:$C$50),WORKDAY(P312,-(Setup!$C$13+Setup!$G$34),Setup!$C$39:$C$50))+(307*100+15)/10000000)))</f>
        <v/>
      </c>
      <c r="AH312" t="str">
        <f t="shared" si="33"/>
        <v/>
      </c>
      <c r="AI312" t="str">
        <f t="shared" si="34"/>
        <v/>
      </c>
      <c r="AP312" t="str">
        <f>IF(ISNUMBER(Roster!$B312),MAX(1,YEAR(Setup!$C$5)-YEAR(Roster!$B312)+IF(EDATE(Roster!$B312,12*(YEAR(Setup!$C$5)-YEAR(Roster!$B312)))&lt;Setup!$C$5,1,0)),"")</f>
        <v/>
      </c>
      <c r="AQ312" s="32" t="str">
        <f>IF(AP312="","",EDATE(Roster!$B312,12*AP312))</f>
        <v/>
      </c>
      <c r="AR312" t="str">
        <f>IF(AQ312="","",IF(AQ312&lt;DATE(YEAR(Setup!$C$5)+1,MONTH(Setup!$C$5),DAY(Setup!$C$5)),AQ312+307/1000,""))</f>
        <v/>
      </c>
      <c r="AS312" t="str">
        <f t="shared" si="38"/>
        <v/>
      </c>
      <c r="AT312" t="str">
        <f>IF(AS312="","",IF(ISNUMBER(Roster!$D312),Roster!$D312&gt;=AP312,FALSE))</f>
        <v/>
      </c>
      <c r="AU312" t="str">
        <f t="shared" si="39"/>
        <v/>
      </c>
      <c r="AV312" t="str">
        <f ca="1">IF(307&gt;$AV$2,"",SMALL($AR$6:$AR$505,307))</f>
        <v/>
      </c>
      <c r="AW312" t="str">
        <f t="shared" ca="1" si="40"/>
        <v/>
      </c>
    </row>
    <row r="313" spans="2:49" x14ac:dyDescent="0.2">
      <c r="B313" s="32" t="str">
        <f>IF(AND(ISNUMBER(Roster!$B313),Setup!$B$20="Yes",ISNUMBER(Setup!$C$20)),EDATE(Roster!$B313,12*Setup!$C$20),"")</f>
        <v/>
      </c>
      <c r="C313" s="32" t="str">
        <f>IF(AND(ISNUMBER(Roster!$B313),Setup!$B$21="Yes",ISNUMBER(Setup!$C$21)),EDATE(Roster!$B313,12*Setup!$C$21),"")</f>
        <v/>
      </c>
      <c r="D313" s="32" t="str">
        <f>IF(AND(ISNUMBER(Roster!$B313),Setup!$B$22="Yes",ISNUMBER(Setup!$C$22)),EDATE(Roster!$B313,12*Setup!$C$22),"")</f>
        <v/>
      </c>
      <c r="E313" s="32" t="str">
        <f>IF(AND(ISNUMBER(Roster!$B313),Setup!$B$23="Yes",ISNUMBER(Setup!$C$23)),EDATE(Roster!$B313,12*Setup!$C$23),"")</f>
        <v/>
      </c>
      <c r="F313" s="32" t="str">
        <f>IF(AND(ISNUMBER(Roster!$B313),Setup!$B$24="Yes",ISNUMBER(Setup!$C$24)),EDATE(Roster!$B313,12*Setup!$C$24),"")</f>
        <v/>
      </c>
      <c r="G313" s="32" t="str">
        <f>IF(AND(ISNUMBER(Roster!$B313),Setup!$B$25="Yes",ISNUMBER(Setup!$C$25)),EDATE(Roster!$B313,12*Setup!$C$25),"")</f>
        <v/>
      </c>
      <c r="H313" s="32" t="str">
        <f>IF(AND(ISNUMBER(Roster!$B313),Setup!$B$26="Yes",ISNUMBER(Setup!$C$26)),EDATE(Roster!$B313,12*Setup!$C$26),"")</f>
        <v/>
      </c>
      <c r="I313" s="32" t="str">
        <f>IF(AND(ISNUMBER(Roster!$B313),Setup!$B$27="Yes",ISNUMBER(Setup!$C$27)),EDATE(Roster!$B313,12*Setup!$C$27),"")</f>
        <v/>
      </c>
      <c r="J313" s="32" t="str">
        <f>IF(AND(ISNUMBER(Roster!$B313),Setup!$B$28="Yes",ISNUMBER(Setup!$C$28)),EDATE(Roster!$B313,12*Setup!$C$28),"")</f>
        <v/>
      </c>
      <c r="K313" s="32" t="str">
        <f>IF(AND(ISNUMBER(Roster!$B313),Setup!$B$29="Yes",ISNUMBER(Setup!$C$29)),EDATE(Roster!$B313,12*Setup!$C$29),"")</f>
        <v/>
      </c>
      <c r="L313" s="32" t="str">
        <f>IF(AND(ISNUMBER(Roster!$B313),Setup!$B$30="Yes",ISNUMBER(Setup!$C$30)),EDATE(Roster!$B313,12*Setup!$C$30),"")</f>
        <v/>
      </c>
      <c r="M313" s="32" t="str">
        <f>IF(AND(ISNUMBER(Roster!$B313),Setup!$B$31="Yes",ISNUMBER(Setup!$C$31)),EDATE(Roster!$B313,12*Setup!$C$31),"")</f>
        <v/>
      </c>
      <c r="N313" s="32" t="str">
        <f>IF(AND(ISNUMBER(Roster!$B313),Setup!$B$32="Yes",ISNUMBER(Setup!$C$32)),EDATE(Roster!$B313,12*Setup!$C$32),"")</f>
        <v/>
      </c>
      <c r="O313" s="32" t="str">
        <f>IF(AND(ISNUMBER(Roster!$B313),Setup!$B$33="Yes",ISNUMBER(Setup!$C$33)),EDATE(Roster!$B313,12*Setup!$C$33),"")</f>
        <v/>
      </c>
      <c r="P313" s="32" t="str">
        <f>IF(AND(ISNUMBER(Roster!$B313),Setup!$B$34="Yes",ISNUMBER(Setup!$C$34)),EDATE(Roster!$B313,12*Setup!$C$34),"")</f>
        <v/>
      </c>
      <c r="R313" t="str">
        <f>IF(B313="","",IF(B313&lt;Setup!$C$5-Setup!$C$6,"",IF(IF(ISNUMBER(Roster!$D313),Setup!$C$20&lt;=Roster!$D313,FALSE),"",IF(OR(IF(Setup!$C$15&lt;=Setup!$C$16,AND(MONTH(B313)&gt;=Setup!$C$15,MONTH(B313)&lt;=Setup!$C$16),OR(MONTH(B313)&gt;=Setup!$C$15,MONTH(B313)&lt;=Setup!$C$16)),IF(Setup!$C$15&lt;=Setup!$C$16,AND(MONTH(WORKDAY(B313,-(Setup!$C$13+Setup!$G$20),Setup!$C$39:$C$50))&gt;=Setup!$C$15,MONTH(WORKDAY(B313,-(Setup!$C$13+Setup!$G$20),Setup!$C$39:$C$50))&lt;=Setup!$C$16),OR(MONTH(WORKDAY(B313,-(Setup!$C$13+Setup!$G$20),Setup!$C$39:$C$50))&gt;=Setup!$C$15,MONTH(WORKDAY(B313,-(Setup!$C$13+Setup!$G$20),Setup!$C$39:$C$50))&lt;=Setup!$C$16))),WORKDAY(B313,-(Setup!$C$13+Setup!$G$20+Setup!$C$14),Setup!$C$39:$C$50),WORKDAY(B313,-(Setup!$C$13+Setup!$G$20),Setup!$C$39:$C$50))+(308*100+1)/10000000)))</f>
        <v/>
      </c>
      <c r="S313" t="str">
        <f>IF(C313="","",IF(C313&lt;Setup!$C$5-Setup!$C$6,"",IF(IF(ISNUMBER(Roster!$D313),Setup!$C$21&lt;=Roster!$D313,FALSE),"",IF(OR(IF(Setup!$C$15&lt;=Setup!$C$16,AND(MONTH(C313)&gt;=Setup!$C$15,MONTH(C313)&lt;=Setup!$C$16),OR(MONTH(C313)&gt;=Setup!$C$15,MONTH(C313)&lt;=Setup!$C$16)),IF(Setup!$C$15&lt;=Setup!$C$16,AND(MONTH(WORKDAY(C313,-(Setup!$C$13+Setup!$G$21),Setup!$C$39:$C$50))&gt;=Setup!$C$15,MONTH(WORKDAY(C313,-(Setup!$C$13+Setup!$G$21),Setup!$C$39:$C$50))&lt;=Setup!$C$16),OR(MONTH(WORKDAY(C313,-(Setup!$C$13+Setup!$G$21),Setup!$C$39:$C$50))&gt;=Setup!$C$15,MONTH(WORKDAY(C313,-(Setup!$C$13+Setup!$G$21),Setup!$C$39:$C$50))&lt;=Setup!$C$16))),WORKDAY(C313,-(Setup!$C$13+Setup!$G$21+Setup!$C$14),Setup!$C$39:$C$50),WORKDAY(C313,-(Setup!$C$13+Setup!$G$21),Setup!$C$39:$C$50))+(308*100+2)/10000000)))</f>
        <v/>
      </c>
      <c r="T313" t="str">
        <f>IF(D313="","",IF(D313&lt;Setup!$C$5-Setup!$C$6,"",IF(IF(ISNUMBER(Roster!$D313),Setup!$C$22&lt;=Roster!$D313,FALSE),"",IF(OR(IF(Setup!$C$15&lt;=Setup!$C$16,AND(MONTH(D313)&gt;=Setup!$C$15,MONTH(D313)&lt;=Setup!$C$16),OR(MONTH(D313)&gt;=Setup!$C$15,MONTH(D313)&lt;=Setup!$C$16)),IF(Setup!$C$15&lt;=Setup!$C$16,AND(MONTH(WORKDAY(D313,-(Setup!$C$13+Setup!$G$22),Setup!$C$39:$C$50))&gt;=Setup!$C$15,MONTH(WORKDAY(D313,-(Setup!$C$13+Setup!$G$22),Setup!$C$39:$C$50))&lt;=Setup!$C$16),OR(MONTH(WORKDAY(D313,-(Setup!$C$13+Setup!$G$22),Setup!$C$39:$C$50))&gt;=Setup!$C$15,MONTH(WORKDAY(D313,-(Setup!$C$13+Setup!$G$22),Setup!$C$39:$C$50))&lt;=Setup!$C$16))),WORKDAY(D313,-(Setup!$C$13+Setup!$G$22+Setup!$C$14),Setup!$C$39:$C$50),WORKDAY(D313,-(Setup!$C$13+Setup!$G$22),Setup!$C$39:$C$50))+(308*100+3)/10000000)))</f>
        <v/>
      </c>
      <c r="U313" t="str">
        <f>IF(E313="","",IF(E313&lt;Setup!$C$5-Setup!$C$6,"",IF(IF(ISNUMBER(Roster!$D313),Setup!$C$23&lt;=Roster!$D313,FALSE),"",IF(OR(IF(Setup!$C$15&lt;=Setup!$C$16,AND(MONTH(E313)&gt;=Setup!$C$15,MONTH(E313)&lt;=Setup!$C$16),OR(MONTH(E313)&gt;=Setup!$C$15,MONTH(E313)&lt;=Setup!$C$16)),IF(Setup!$C$15&lt;=Setup!$C$16,AND(MONTH(WORKDAY(E313,-(Setup!$C$13+Setup!$G$23),Setup!$C$39:$C$50))&gt;=Setup!$C$15,MONTH(WORKDAY(E313,-(Setup!$C$13+Setup!$G$23),Setup!$C$39:$C$50))&lt;=Setup!$C$16),OR(MONTH(WORKDAY(E313,-(Setup!$C$13+Setup!$G$23),Setup!$C$39:$C$50))&gt;=Setup!$C$15,MONTH(WORKDAY(E313,-(Setup!$C$13+Setup!$G$23),Setup!$C$39:$C$50))&lt;=Setup!$C$16))),WORKDAY(E313,-(Setup!$C$13+Setup!$G$23+Setup!$C$14),Setup!$C$39:$C$50),WORKDAY(E313,-(Setup!$C$13+Setup!$G$23),Setup!$C$39:$C$50))+(308*100+4)/10000000)))</f>
        <v/>
      </c>
      <c r="V313" t="str">
        <f>IF(F313="","",IF(F313&lt;Setup!$C$5-Setup!$C$6,"",IF(IF(ISNUMBER(Roster!$D313),Setup!$C$24&lt;=Roster!$D313,FALSE),"",IF(OR(IF(Setup!$C$15&lt;=Setup!$C$16,AND(MONTH(F313)&gt;=Setup!$C$15,MONTH(F313)&lt;=Setup!$C$16),OR(MONTH(F313)&gt;=Setup!$C$15,MONTH(F313)&lt;=Setup!$C$16)),IF(Setup!$C$15&lt;=Setup!$C$16,AND(MONTH(WORKDAY(F313,-(Setup!$C$13+Setup!$G$24),Setup!$C$39:$C$50))&gt;=Setup!$C$15,MONTH(WORKDAY(F313,-(Setup!$C$13+Setup!$G$24),Setup!$C$39:$C$50))&lt;=Setup!$C$16),OR(MONTH(WORKDAY(F313,-(Setup!$C$13+Setup!$G$24),Setup!$C$39:$C$50))&gt;=Setup!$C$15,MONTH(WORKDAY(F313,-(Setup!$C$13+Setup!$G$24),Setup!$C$39:$C$50))&lt;=Setup!$C$16))),WORKDAY(F313,-(Setup!$C$13+Setup!$G$24+Setup!$C$14),Setup!$C$39:$C$50),WORKDAY(F313,-(Setup!$C$13+Setup!$G$24),Setup!$C$39:$C$50))+(308*100+5)/10000000)))</f>
        <v/>
      </c>
      <c r="W313" t="str">
        <f>IF(G313="","",IF(G313&lt;Setup!$C$5-Setup!$C$6,"",IF(IF(ISNUMBER(Roster!$D313),Setup!$C$25&lt;=Roster!$D313,FALSE),"",IF(OR(IF(Setup!$C$15&lt;=Setup!$C$16,AND(MONTH(G313)&gt;=Setup!$C$15,MONTH(G313)&lt;=Setup!$C$16),OR(MONTH(G313)&gt;=Setup!$C$15,MONTH(G313)&lt;=Setup!$C$16)),IF(Setup!$C$15&lt;=Setup!$C$16,AND(MONTH(WORKDAY(G313,-(Setup!$C$13+Setup!$G$25),Setup!$C$39:$C$50))&gt;=Setup!$C$15,MONTH(WORKDAY(G313,-(Setup!$C$13+Setup!$G$25),Setup!$C$39:$C$50))&lt;=Setup!$C$16),OR(MONTH(WORKDAY(G313,-(Setup!$C$13+Setup!$G$25),Setup!$C$39:$C$50))&gt;=Setup!$C$15,MONTH(WORKDAY(G313,-(Setup!$C$13+Setup!$G$25),Setup!$C$39:$C$50))&lt;=Setup!$C$16))),WORKDAY(G313,-(Setup!$C$13+Setup!$G$25+Setup!$C$14),Setup!$C$39:$C$50),WORKDAY(G313,-(Setup!$C$13+Setup!$G$25),Setup!$C$39:$C$50))+(308*100+6)/10000000)))</f>
        <v/>
      </c>
      <c r="X313" t="str">
        <f>IF(H313="","",IF(H313&lt;Setup!$C$5-Setup!$C$6,"",IF(IF(ISNUMBER(Roster!$D313),Setup!$C$26&lt;=Roster!$D313,FALSE),"",IF(OR(IF(Setup!$C$15&lt;=Setup!$C$16,AND(MONTH(H313)&gt;=Setup!$C$15,MONTH(H313)&lt;=Setup!$C$16),OR(MONTH(H313)&gt;=Setup!$C$15,MONTH(H313)&lt;=Setup!$C$16)),IF(Setup!$C$15&lt;=Setup!$C$16,AND(MONTH(WORKDAY(H313,-(Setup!$C$13+Setup!$G$26),Setup!$C$39:$C$50))&gt;=Setup!$C$15,MONTH(WORKDAY(H313,-(Setup!$C$13+Setup!$G$26),Setup!$C$39:$C$50))&lt;=Setup!$C$16),OR(MONTH(WORKDAY(H313,-(Setup!$C$13+Setup!$G$26),Setup!$C$39:$C$50))&gt;=Setup!$C$15,MONTH(WORKDAY(H313,-(Setup!$C$13+Setup!$G$26),Setup!$C$39:$C$50))&lt;=Setup!$C$16))),WORKDAY(H313,-(Setup!$C$13+Setup!$G$26+Setup!$C$14),Setup!$C$39:$C$50),WORKDAY(H313,-(Setup!$C$13+Setup!$G$26),Setup!$C$39:$C$50))+(308*100+7)/10000000)))</f>
        <v/>
      </c>
      <c r="Y313" t="str">
        <f>IF(I313="","",IF(I313&lt;Setup!$C$5-Setup!$C$6,"",IF(IF(ISNUMBER(Roster!$D313),Setup!$C$27&lt;=Roster!$D313,FALSE),"",IF(OR(IF(Setup!$C$15&lt;=Setup!$C$16,AND(MONTH(I313)&gt;=Setup!$C$15,MONTH(I313)&lt;=Setup!$C$16),OR(MONTH(I313)&gt;=Setup!$C$15,MONTH(I313)&lt;=Setup!$C$16)),IF(Setup!$C$15&lt;=Setup!$C$16,AND(MONTH(WORKDAY(I313,-(Setup!$C$13+Setup!$G$27),Setup!$C$39:$C$50))&gt;=Setup!$C$15,MONTH(WORKDAY(I313,-(Setup!$C$13+Setup!$G$27),Setup!$C$39:$C$50))&lt;=Setup!$C$16),OR(MONTH(WORKDAY(I313,-(Setup!$C$13+Setup!$G$27),Setup!$C$39:$C$50))&gt;=Setup!$C$15,MONTH(WORKDAY(I313,-(Setup!$C$13+Setup!$G$27),Setup!$C$39:$C$50))&lt;=Setup!$C$16))),WORKDAY(I313,-(Setup!$C$13+Setup!$G$27+Setup!$C$14),Setup!$C$39:$C$50),WORKDAY(I313,-(Setup!$C$13+Setup!$G$27),Setup!$C$39:$C$50))+(308*100+8)/10000000)))</f>
        <v/>
      </c>
      <c r="Z313" t="str">
        <f>IF(J313="","",IF(J313&lt;Setup!$C$5-Setup!$C$6,"",IF(IF(ISNUMBER(Roster!$D313),Setup!$C$28&lt;=Roster!$D313,FALSE),"",IF(OR(IF(Setup!$C$15&lt;=Setup!$C$16,AND(MONTH(J313)&gt;=Setup!$C$15,MONTH(J313)&lt;=Setup!$C$16),OR(MONTH(J313)&gt;=Setup!$C$15,MONTH(J313)&lt;=Setup!$C$16)),IF(Setup!$C$15&lt;=Setup!$C$16,AND(MONTH(WORKDAY(J313,-(Setup!$C$13+Setup!$G$28),Setup!$C$39:$C$50))&gt;=Setup!$C$15,MONTH(WORKDAY(J313,-(Setup!$C$13+Setup!$G$28),Setup!$C$39:$C$50))&lt;=Setup!$C$16),OR(MONTH(WORKDAY(J313,-(Setup!$C$13+Setup!$G$28),Setup!$C$39:$C$50))&gt;=Setup!$C$15,MONTH(WORKDAY(J313,-(Setup!$C$13+Setup!$G$28),Setup!$C$39:$C$50))&lt;=Setup!$C$16))),WORKDAY(J313,-(Setup!$C$13+Setup!$G$28+Setup!$C$14),Setup!$C$39:$C$50),WORKDAY(J313,-(Setup!$C$13+Setup!$G$28),Setup!$C$39:$C$50))+(308*100+9)/10000000)))</f>
        <v/>
      </c>
      <c r="AA313" t="str">
        <f>IF(K313="","",IF(K313&lt;Setup!$C$5-Setup!$C$6,"",IF(IF(ISNUMBER(Roster!$D313),Setup!$C$29&lt;=Roster!$D313,FALSE),"",IF(OR(IF(Setup!$C$15&lt;=Setup!$C$16,AND(MONTH(K313)&gt;=Setup!$C$15,MONTH(K313)&lt;=Setup!$C$16),OR(MONTH(K313)&gt;=Setup!$C$15,MONTH(K313)&lt;=Setup!$C$16)),IF(Setup!$C$15&lt;=Setup!$C$16,AND(MONTH(WORKDAY(K313,-(Setup!$C$13+Setup!$G$29),Setup!$C$39:$C$50))&gt;=Setup!$C$15,MONTH(WORKDAY(K313,-(Setup!$C$13+Setup!$G$29),Setup!$C$39:$C$50))&lt;=Setup!$C$16),OR(MONTH(WORKDAY(K313,-(Setup!$C$13+Setup!$G$29),Setup!$C$39:$C$50))&gt;=Setup!$C$15,MONTH(WORKDAY(K313,-(Setup!$C$13+Setup!$G$29),Setup!$C$39:$C$50))&lt;=Setup!$C$16))),WORKDAY(K313,-(Setup!$C$13+Setup!$G$29+Setup!$C$14),Setup!$C$39:$C$50),WORKDAY(K313,-(Setup!$C$13+Setup!$G$29),Setup!$C$39:$C$50))+(308*100+10)/10000000)))</f>
        <v/>
      </c>
      <c r="AB313" t="str">
        <f>IF(L313="","",IF(L313&lt;Setup!$C$5-Setup!$C$6,"",IF(IF(ISNUMBER(Roster!$D313),Setup!$C$30&lt;=Roster!$D313,FALSE),"",IF(OR(IF(Setup!$C$15&lt;=Setup!$C$16,AND(MONTH(L313)&gt;=Setup!$C$15,MONTH(L313)&lt;=Setup!$C$16),OR(MONTH(L313)&gt;=Setup!$C$15,MONTH(L313)&lt;=Setup!$C$16)),IF(Setup!$C$15&lt;=Setup!$C$16,AND(MONTH(WORKDAY(L313,-(Setup!$C$13+Setup!$G$30),Setup!$C$39:$C$50))&gt;=Setup!$C$15,MONTH(WORKDAY(L313,-(Setup!$C$13+Setup!$G$30),Setup!$C$39:$C$50))&lt;=Setup!$C$16),OR(MONTH(WORKDAY(L313,-(Setup!$C$13+Setup!$G$30),Setup!$C$39:$C$50))&gt;=Setup!$C$15,MONTH(WORKDAY(L313,-(Setup!$C$13+Setup!$G$30),Setup!$C$39:$C$50))&lt;=Setup!$C$16))),WORKDAY(L313,-(Setup!$C$13+Setup!$G$30+Setup!$C$14),Setup!$C$39:$C$50),WORKDAY(L313,-(Setup!$C$13+Setup!$G$30),Setup!$C$39:$C$50))+(308*100+11)/10000000)))</f>
        <v/>
      </c>
      <c r="AC313" t="str">
        <f>IF(M313="","",IF(M313&lt;Setup!$C$5-Setup!$C$6,"",IF(IF(ISNUMBER(Roster!$D313),Setup!$C$31&lt;=Roster!$D313,FALSE),"",IF(OR(IF(Setup!$C$15&lt;=Setup!$C$16,AND(MONTH(M313)&gt;=Setup!$C$15,MONTH(M313)&lt;=Setup!$C$16),OR(MONTH(M313)&gt;=Setup!$C$15,MONTH(M313)&lt;=Setup!$C$16)),IF(Setup!$C$15&lt;=Setup!$C$16,AND(MONTH(WORKDAY(M313,-(Setup!$C$13+Setup!$G$31),Setup!$C$39:$C$50))&gt;=Setup!$C$15,MONTH(WORKDAY(M313,-(Setup!$C$13+Setup!$G$31),Setup!$C$39:$C$50))&lt;=Setup!$C$16),OR(MONTH(WORKDAY(M313,-(Setup!$C$13+Setup!$G$31),Setup!$C$39:$C$50))&gt;=Setup!$C$15,MONTH(WORKDAY(M313,-(Setup!$C$13+Setup!$G$31),Setup!$C$39:$C$50))&lt;=Setup!$C$16))),WORKDAY(M313,-(Setup!$C$13+Setup!$G$31+Setup!$C$14),Setup!$C$39:$C$50),WORKDAY(M313,-(Setup!$C$13+Setup!$G$31),Setup!$C$39:$C$50))+(308*100+12)/10000000)))</f>
        <v/>
      </c>
      <c r="AD313" t="str">
        <f>IF(N313="","",IF(N313&lt;Setup!$C$5-Setup!$C$6,"",IF(IF(ISNUMBER(Roster!$D313),Setup!$C$32&lt;=Roster!$D313,FALSE),"",IF(OR(IF(Setup!$C$15&lt;=Setup!$C$16,AND(MONTH(N313)&gt;=Setup!$C$15,MONTH(N313)&lt;=Setup!$C$16),OR(MONTH(N313)&gt;=Setup!$C$15,MONTH(N313)&lt;=Setup!$C$16)),IF(Setup!$C$15&lt;=Setup!$C$16,AND(MONTH(WORKDAY(N313,-(Setup!$C$13+Setup!$G$32),Setup!$C$39:$C$50))&gt;=Setup!$C$15,MONTH(WORKDAY(N313,-(Setup!$C$13+Setup!$G$32),Setup!$C$39:$C$50))&lt;=Setup!$C$16),OR(MONTH(WORKDAY(N313,-(Setup!$C$13+Setup!$G$32),Setup!$C$39:$C$50))&gt;=Setup!$C$15,MONTH(WORKDAY(N313,-(Setup!$C$13+Setup!$G$32),Setup!$C$39:$C$50))&lt;=Setup!$C$16))),WORKDAY(N313,-(Setup!$C$13+Setup!$G$32+Setup!$C$14),Setup!$C$39:$C$50),WORKDAY(N313,-(Setup!$C$13+Setup!$G$32),Setup!$C$39:$C$50))+(308*100+13)/10000000)))</f>
        <v/>
      </c>
      <c r="AE313" t="str">
        <f>IF(O313="","",IF(O313&lt;Setup!$C$5-Setup!$C$6,"",IF(IF(ISNUMBER(Roster!$D313),Setup!$C$33&lt;=Roster!$D313,FALSE),"",IF(OR(IF(Setup!$C$15&lt;=Setup!$C$16,AND(MONTH(O313)&gt;=Setup!$C$15,MONTH(O313)&lt;=Setup!$C$16),OR(MONTH(O313)&gt;=Setup!$C$15,MONTH(O313)&lt;=Setup!$C$16)),IF(Setup!$C$15&lt;=Setup!$C$16,AND(MONTH(WORKDAY(O313,-(Setup!$C$13+Setup!$G$33),Setup!$C$39:$C$50))&gt;=Setup!$C$15,MONTH(WORKDAY(O313,-(Setup!$C$13+Setup!$G$33),Setup!$C$39:$C$50))&lt;=Setup!$C$16),OR(MONTH(WORKDAY(O313,-(Setup!$C$13+Setup!$G$33),Setup!$C$39:$C$50))&gt;=Setup!$C$15,MONTH(WORKDAY(O313,-(Setup!$C$13+Setup!$G$33),Setup!$C$39:$C$50))&lt;=Setup!$C$16))),WORKDAY(O313,-(Setup!$C$13+Setup!$G$33+Setup!$C$14),Setup!$C$39:$C$50),WORKDAY(O313,-(Setup!$C$13+Setup!$G$33),Setup!$C$39:$C$50))+(308*100+14)/10000000)))</f>
        <v/>
      </c>
      <c r="AF313" t="str">
        <f>IF(P313="","",IF(P313&lt;Setup!$C$5-Setup!$C$6,"",IF(IF(ISNUMBER(Roster!$D313),Setup!$C$34&lt;=Roster!$D313,FALSE),"",IF(OR(IF(Setup!$C$15&lt;=Setup!$C$16,AND(MONTH(P313)&gt;=Setup!$C$15,MONTH(P313)&lt;=Setup!$C$16),OR(MONTH(P313)&gt;=Setup!$C$15,MONTH(P313)&lt;=Setup!$C$16)),IF(Setup!$C$15&lt;=Setup!$C$16,AND(MONTH(WORKDAY(P313,-(Setup!$C$13+Setup!$G$34),Setup!$C$39:$C$50))&gt;=Setup!$C$15,MONTH(WORKDAY(P313,-(Setup!$C$13+Setup!$G$34),Setup!$C$39:$C$50))&lt;=Setup!$C$16),OR(MONTH(WORKDAY(P313,-(Setup!$C$13+Setup!$G$34),Setup!$C$39:$C$50))&gt;=Setup!$C$15,MONTH(WORKDAY(P313,-(Setup!$C$13+Setup!$G$34),Setup!$C$39:$C$50))&lt;=Setup!$C$16))),WORKDAY(P313,-(Setup!$C$13+Setup!$G$34+Setup!$C$14),Setup!$C$39:$C$50),WORKDAY(P313,-(Setup!$C$13+Setup!$G$34),Setup!$C$39:$C$50))+(308*100+15)/10000000)))</f>
        <v/>
      </c>
      <c r="AH313" t="str">
        <f t="shared" si="33"/>
        <v/>
      </c>
      <c r="AI313" t="str">
        <f t="shared" si="34"/>
        <v/>
      </c>
      <c r="AP313" t="str">
        <f>IF(ISNUMBER(Roster!$B313),MAX(1,YEAR(Setup!$C$5)-YEAR(Roster!$B313)+IF(EDATE(Roster!$B313,12*(YEAR(Setup!$C$5)-YEAR(Roster!$B313)))&lt;Setup!$C$5,1,0)),"")</f>
        <v/>
      </c>
      <c r="AQ313" s="32" t="str">
        <f>IF(AP313="","",EDATE(Roster!$B313,12*AP313))</f>
        <v/>
      </c>
      <c r="AR313" t="str">
        <f>IF(AQ313="","",IF(AQ313&lt;DATE(YEAR(Setup!$C$5)+1,MONTH(Setup!$C$5),DAY(Setup!$C$5)),AQ313+308/1000,""))</f>
        <v/>
      </c>
      <c r="AS313" t="str">
        <f t="shared" si="38"/>
        <v/>
      </c>
      <c r="AT313" t="str">
        <f>IF(AS313="","",IF(ISNUMBER(Roster!$D313),Roster!$D313&gt;=AP313,FALSE))</f>
        <v/>
      </c>
      <c r="AU313" t="str">
        <f t="shared" si="39"/>
        <v/>
      </c>
      <c r="AV313" t="str">
        <f ca="1">IF(308&gt;$AV$2,"",SMALL($AR$6:$AR$505,308))</f>
        <v/>
      </c>
      <c r="AW313" t="str">
        <f t="shared" ca="1" si="40"/>
        <v/>
      </c>
    </row>
    <row r="314" spans="2:49" x14ac:dyDescent="0.2">
      <c r="B314" s="32" t="str">
        <f>IF(AND(ISNUMBER(Roster!$B314),Setup!$B$20="Yes",ISNUMBER(Setup!$C$20)),EDATE(Roster!$B314,12*Setup!$C$20),"")</f>
        <v/>
      </c>
      <c r="C314" s="32" t="str">
        <f>IF(AND(ISNUMBER(Roster!$B314),Setup!$B$21="Yes",ISNUMBER(Setup!$C$21)),EDATE(Roster!$B314,12*Setup!$C$21),"")</f>
        <v/>
      </c>
      <c r="D314" s="32" t="str">
        <f>IF(AND(ISNUMBER(Roster!$B314),Setup!$B$22="Yes",ISNUMBER(Setup!$C$22)),EDATE(Roster!$B314,12*Setup!$C$22),"")</f>
        <v/>
      </c>
      <c r="E314" s="32" t="str">
        <f>IF(AND(ISNUMBER(Roster!$B314),Setup!$B$23="Yes",ISNUMBER(Setup!$C$23)),EDATE(Roster!$B314,12*Setup!$C$23),"")</f>
        <v/>
      </c>
      <c r="F314" s="32" t="str">
        <f>IF(AND(ISNUMBER(Roster!$B314),Setup!$B$24="Yes",ISNUMBER(Setup!$C$24)),EDATE(Roster!$B314,12*Setup!$C$24),"")</f>
        <v/>
      </c>
      <c r="G314" s="32" t="str">
        <f>IF(AND(ISNUMBER(Roster!$B314),Setup!$B$25="Yes",ISNUMBER(Setup!$C$25)),EDATE(Roster!$B314,12*Setup!$C$25),"")</f>
        <v/>
      </c>
      <c r="H314" s="32" t="str">
        <f>IF(AND(ISNUMBER(Roster!$B314),Setup!$B$26="Yes",ISNUMBER(Setup!$C$26)),EDATE(Roster!$B314,12*Setup!$C$26),"")</f>
        <v/>
      </c>
      <c r="I314" s="32" t="str">
        <f>IF(AND(ISNUMBER(Roster!$B314),Setup!$B$27="Yes",ISNUMBER(Setup!$C$27)),EDATE(Roster!$B314,12*Setup!$C$27),"")</f>
        <v/>
      </c>
      <c r="J314" s="32" t="str">
        <f>IF(AND(ISNUMBER(Roster!$B314),Setup!$B$28="Yes",ISNUMBER(Setup!$C$28)),EDATE(Roster!$B314,12*Setup!$C$28),"")</f>
        <v/>
      </c>
      <c r="K314" s="32" t="str">
        <f>IF(AND(ISNUMBER(Roster!$B314),Setup!$B$29="Yes",ISNUMBER(Setup!$C$29)),EDATE(Roster!$B314,12*Setup!$C$29),"")</f>
        <v/>
      </c>
      <c r="L314" s="32" t="str">
        <f>IF(AND(ISNUMBER(Roster!$B314),Setup!$B$30="Yes",ISNUMBER(Setup!$C$30)),EDATE(Roster!$B314,12*Setup!$C$30),"")</f>
        <v/>
      </c>
      <c r="M314" s="32" t="str">
        <f>IF(AND(ISNUMBER(Roster!$B314),Setup!$B$31="Yes",ISNUMBER(Setup!$C$31)),EDATE(Roster!$B314,12*Setup!$C$31),"")</f>
        <v/>
      </c>
      <c r="N314" s="32" t="str">
        <f>IF(AND(ISNUMBER(Roster!$B314),Setup!$B$32="Yes",ISNUMBER(Setup!$C$32)),EDATE(Roster!$B314,12*Setup!$C$32),"")</f>
        <v/>
      </c>
      <c r="O314" s="32" t="str">
        <f>IF(AND(ISNUMBER(Roster!$B314),Setup!$B$33="Yes",ISNUMBER(Setup!$C$33)),EDATE(Roster!$B314,12*Setup!$C$33),"")</f>
        <v/>
      </c>
      <c r="P314" s="32" t="str">
        <f>IF(AND(ISNUMBER(Roster!$B314),Setup!$B$34="Yes",ISNUMBER(Setup!$C$34)),EDATE(Roster!$B314,12*Setup!$C$34),"")</f>
        <v/>
      </c>
      <c r="R314" t="str">
        <f>IF(B314="","",IF(B314&lt;Setup!$C$5-Setup!$C$6,"",IF(IF(ISNUMBER(Roster!$D314),Setup!$C$20&lt;=Roster!$D314,FALSE),"",IF(OR(IF(Setup!$C$15&lt;=Setup!$C$16,AND(MONTH(B314)&gt;=Setup!$C$15,MONTH(B314)&lt;=Setup!$C$16),OR(MONTH(B314)&gt;=Setup!$C$15,MONTH(B314)&lt;=Setup!$C$16)),IF(Setup!$C$15&lt;=Setup!$C$16,AND(MONTH(WORKDAY(B314,-(Setup!$C$13+Setup!$G$20),Setup!$C$39:$C$50))&gt;=Setup!$C$15,MONTH(WORKDAY(B314,-(Setup!$C$13+Setup!$G$20),Setup!$C$39:$C$50))&lt;=Setup!$C$16),OR(MONTH(WORKDAY(B314,-(Setup!$C$13+Setup!$G$20),Setup!$C$39:$C$50))&gt;=Setup!$C$15,MONTH(WORKDAY(B314,-(Setup!$C$13+Setup!$G$20),Setup!$C$39:$C$50))&lt;=Setup!$C$16))),WORKDAY(B314,-(Setup!$C$13+Setup!$G$20+Setup!$C$14),Setup!$C$39:$C$50),WORKDAY(B314,-(Setup!$C$13+Setup!$G$20),Setup!$C$39:$C$50))+(309*100+1)/10000000)))</f>
        <v/>
      </c>
      <c r="S314" t="str">
        <f>IF(C314="","",IF(C314&lt;Setup!$C$5-Setup!$C$6,"",IF(IF(ISNUMBER(Roster!$D314),Setup!$C$21&lt;=Roster!$D314,FALSE),"",IF(OR(IF(Setup!$C$15&lt;=Setup!$C$16,AND(MONTH(C314)&gt;=Setup!$C$15,MONTH(C314)&lt;=Setup!$C$16),OR(MONTH(C314)&gt;=Setup!$C$15,MONTH(C314)&lt;=Setup!$C$16)),IF(Setup!$C$15&lt;=Setup!$C$16,AND(MONTH(WORKDAY(C314,-(Setup!$C$13+Setup!$G$21),Setup!$C$39:$C$50))&gt;=Setup!$C$15,MONTH(WORKDAY(C314,-(Setup!$C$13+Setup!$G$21),Setup!$C$39:$C$50))&lt;=Setup!$C$16),OR(MONTH(WORKDAY(C314,-(Setup!$C$13+Setup!$G$21),Setup!$C$39:$C$50))&gt;=Setup!$C$15,MONTH(WORKDAY(C314,-(Setup!$C$13+Setup!$G$21),Setup!$C$39:$C$50))&lt;=Setup!$C$16))),WORKDAY(C314,-(Setup!$C$13+Setup!$G$21+Setup!$C$14),Setup!$C$39:$C$50),WORKDAY(C314,-(Setup!$C$13+Setup!$G$21),Setup!$C$39:$C$50))+(309*100+2)/10000000)))</f>
        <v/>
      </c>
      <c r="T314" t="str">
        <f>IF(D314="","",IF(D314&lt;Setup!$C$5-Setup!$C$6,"",IF(IF(ISNUMBER(Roster!$D314),Setup!$C$22&lt;=Roster!$D314,FALSE),"",IF(OR(IF(Setup!$C$15&lt;=Setup!$C$16,AND(MONTH(D314)&gt;=Setup!$C$15,MONTH(D314)&lt;=Setup!$C$16),OR(MONTH(D314)&gt;=Setup!$C$15,MONTH(D314)&lt;=Setup!$C$16)),IF(Setup!$C$15&lt;=Setup!$C$16,AND(MONTH(WORKDAY(D314,-(Setup!$C$13+Setup!$G$22),Setup!$C$39:$C$50))&gt;=Setup!$C$15,MONTH(WORKDAY(D314,-(Setup!$C$13+Setup!$G$22),Setup!$C$39:$C$50))&lt;=Setup!$C$16),OR(MONTH(WORKDAY(D314,-(Setup!$C$13+Setup!$G$22),Setup!$C$39:$C$50))&gt;=Setup!$C$15,MONTH(WORKDAY(D314,-(Setup!$C$13+Setup!$G$22),Setup!$C$39:$C$50))&lt;=Setup!$C$16))),WORKDAY(D314,-(Setup!$C$13+Setup!$G$22+Setup!$C$14),Setup!$C$39:$C$50),WORKDAY(D314,-(Setup!$C$13+Setup!$G$22),Setup!$C$39:$C$50))+(309*100+3)/10000000)))</f>
        <v/>
      </c>
      <c r="U314" t="str">
        <f>IF(E314="","",IF(E314&lt;Setup!$C$5-Setup!$C$6,"",IF(IF(ISNUMBER(Roster!$D314),Setup!$C$23&lt;=Roster!$D314,FALSE),"",IF(OR(IF(Setup!$C$15&lt;=Setup!$C$16,AND(MONTH(E314)&gt;=Setup!$C$15,MONTH(E314)&lt;=Setup!$C$16),OR(MONTH(E314)&gt;=Setup!$C$15,MONTH(E314)&lt;=Setup!$C$16)),IF(Setup!$C$15&lt;=Setup!$C$16,AND(MONTH(WORKDAY(E314,-(Setup!$C$13+Setup!$G$23),Setup!$C$39:$C$50))&gt;=Setup!$C$15,MONTH(WORKDAY(E314,-(Setup!$C$13+Setup!$G$23),Setup!$C$39:$C$50))&lt;=Setup!$C$16),OR(MONTH(WORKDAY(E314,-(Setup!$C$13+Setup!$G$23),Setup!$C$39:$C$50))&gt;=Setup!$C$15,MONTH(WORKDAY(E314,-(Setup!$C$13+Setup!$G$23),Setup!$C$39:$C$50))&lt;=Setup!$C$16))),WORKDAY(E314,-(Setup!$C$13+Setup!$G$23+Setup!$C$14),Setup!$C$39:$C$50),WORKDAY(E314,-(Setup!$C$13+Setup!$G$23),Setup!$C$39:$C$50))+(309*100+4)/10000000)))</f>
        <v/>
      </c>
      <c r="V314" t="str">
        <f>IF(F314="","",IF(F314&lt;Setup!$C$5-Setup!$C$6,"",IF(IF(ISNUMBER(Roster!$D314),Setup!$C$24&lt;=Roster!$D314,FALSE),"",IF(OR(IF(Setup!$C$15&lt;=Setup!$C$16,AND(MONTH(F314)&gt;=Setup!$C$15,MONTH(F314)&lt;=Setup!$C$16),OR(MONTH(F314)&gt;=Setup!$C$15,MONTH(F314)&lt;=Setup!$C$16)),IF(Setup!$C$15&lt;=Setup!$C$16,AND(MONTH(WORKDAY(F314,-(Setup!$C$13+Setup!$G$24),Setup!$C$39:$C$50))&gt;=Setup!$C$15,MONTH(WORKDAY(F314,-(Setup!$C$13+Setup!$G$24),Setup!$C$39:$C$50))&lt;=Setup!$C$16),OR(MONTH(WORKDAY(F314,-(Setup!$C$13+Setup!$G$24),Setup!$C$39:$C$50))&gt;=Setup!$C$15,MONTH(WORKDAY(F314,-(Setup!$C$13+Setup!$G$24),Setup!$C$39:$C$50))&lt;=Setup!$C$16))),WORKDAY(F314,-(Setup!$C$13+Setup!$G$24+Setup!$C$14),Setup!$C$39:$C$50),WORKDAY(F314,-(Setup!$C$13+Setup!$G$24),Setup!$C$39:$C$50))+(309*100+5)/10000000)))</f>
        <v/>
      </c>
      <c r="W314" t="str">
        <f>IF(G314="","",IF(G314&lt;Setup!$C$5-Setup!$C$6,"",IF(IF(ISNUMBER(Roster!$D314),Setup!$C$25&lt;=Roster!$D314,FALSE),"",IF(OR(IF(Setup!$C$15&lt;=Setup!$C$16,AND(MONTH(G314)&gt;=Setup!$C$15,MONTH(G314)&lt;=Setup!$C$16),OR(MONTH(G314)&gt;=Setup!$C$15,MONTH(G314)&lt;=Setup!$C$16)),IF(Setup!$C$15&lt;=Setup!$C$16,AND(MONTH(WORKDAY(G314,-(Setup!$C$13+Setup!$G$25),Setup!$C$39:$C$50))&gt;=Setup!$C$15,MONTH(WORKDAY(G314,-(Setup!$C$13+Setup!$G$25),Setup!$C$39:$C$50))&lt;=Setup!$C$16),OR(MONTH(WORKDAY(G314,-(Setup!$C$13+Setup!$G$25),Setup!$C$39:$C$50))&gt;=Setup!$C$15,MONTH(WORKDAY(G314,-(Setup!$C$13+Setup!$G$25),Setup!$C$39:$C$50))&lt;=Setup!$C$16))),WORKDAY(G314,-(Setup!$C$13+Setup!$G$25+Setup!$C$14),Setup!$C$39:$C$50),WORKDAY(G314,-(Setup!$C$13+Setup!$G$25),Setup!$C$39:$C$50))+(309*100+6)/10000000)))</f>
        <v/>
      </c>
      <c r="X314" t="str">
        <f>IF(H314="","",IF(H314&lt;Setup!$C$5-Setup!$C$6,"",IF(IF(ISNUMBER(Roster!$D314),Setup!$C$26&lt;=Roster!$D314,FALSE),"",IF(OR(IF(Setup!$C$15&lt;=Setup!$C$16,AND(MONTH(H314)&gt;=Setup!$C$15,MONTH(H314)&lt;=Setup!$C$16),OR(MONTH(H314)&gt;=Setup!$C$15,MONTH(H314)&lt;=Setup!$C$16)),IF(Setup!$C$15&lt;=Setup!$C$16,AND(MONTH(WORKDAY(H314,-(Setup!$C$13+Setup!$G$26),Setup!$C$39:$C$50))&gt;=Setup!$C$15,MONTH(WORKDAY(H314,-(Setup!$C$13+Setup!$G$26),Setup!$C$39:$C$50))&lt;=Setup!$C$16),OR(MONTH(WORKDAY(H314,-(Setup!$C$13+Setup!$G$26),Setup!$C$39:$C$50))&gt;=Setup!$C$15,MONTH(WORKDAY(H314,-(Setup!$C$13+Setup!$G$26),Setup!$C$39:$C$50))&lt;=Setup!$C$16))),WORKDAY(H314,-(Setup!$C$13+Setup!$G$26+Setup!$C$14),Setup!$C$39:$C$50),WORKDAY(H314,-(Setup!$C$13+Setup!$G$26),Setup!$C$39:$C$50))+(309*100+7)/10000000)))</f>
        <v/>
      </c>
      <c r="Y314" t="str">
        <f>IF(I314="","",IF(I314&lt;Setup!$C$5-Setup!$C$6,"",IF(IF(ISNUMBER(Roster!$D314),Setup!$C$27&lt;=Roster!$D314,FALSE),"",IF(OR(IF(Setup!$C$15&lt;=Setup!$C$16,AND(MONTH(I314)&gt;=Setup!$C$15,MONTH(I314)&lt;=Setup!$C$16),OR(MONTH(I314)&gt;=Setup!$C$15,MONTH(I314)&lt;=Setup!$C$16)),IF(Setup!$C$15&lt;=Setup!$C$16,AND(MONTH(WORKDAY(I314,-(Setup!$C$13+Setup!$G$27),Setup!$C$39:$C$50))&gt;=Setup!$C$15,MONTH(WORKDAY(I314,-(Setup!$C$13+Setup!$G$27),Setup!$C$39:$C$50))&lt;=Setup!$C$16),OR(MONTH(WORKDAY(I314,-(Setup!$C$13+Setup!$G$27),Setup!$C$39:$C$50))&gt;=Setup!$C$15,MONTH(WORKDAY(I314,-(Setup!$C$13+Setup!$G$27),Setup!$C$39:$C$50))&lt;=Setup!$C$16))),WORKDAY(I314,-(Setup!$C$13+Setup!$G$27+Setup!$C$14),Setup!$C$39:$C$50),WORKDAY(I314,-(Setup!$C$13+Setup!$G$27),Setup!$C$39:$C$50))+(309*100+8)/10000000)))</f>
        <v/>
      </c>
      <c r="Z314" t="str">
        <f>IF(J314="","",IF(J314&lt;Setup!$C$5-Setup!$C$6,"",IF(IF(ISNUMBER(Roster!$D314),Setup!$C$28&lt;=Roster!$D314,FALSE),"",IF(OR(IF(Setup!$C$15&lt;=Setup!$C$16,AND(MONTH(J314)&gt;=Setup!$C$15,MONTH(J314)&lt;=Setup!$C$16),OR(MONTH(J314)&gt;=Setup!$C$15,MONTH(J314)&lt;=Setup!$C$16)),IF(Setup!$C$15&lt;=Setup!$C$16,AND(MONTH(WORKDAY(J314,-(Setup!$C$13+Setup!$G$28),Setup!$C$39:$C$50))&gt;=Setup!$C$15,MONTH(WORKDAY(J314,-(Setup!$C$13+Setup!$G$28),Setup!$C$39:$C$50))&lt;=Setup!$C$16),OR(MONTH(WORKDAY(J314,-(Setup!$C$13+Setup!$G$28),Setup!$C$39:$C$50))&gt;=Setup!$C$15,MONTH(WORKDAY(J314,-(Setup!$C$13+Setup!$G$28),Setup!$C$39:$C$50))&lt;=Setup!$C$16))),WORKDAY(J314,-(Setup!$C$13+Setup!$G$28+Setup!$C$14),Setup!$C$39:$C$50),WORKDAY(J314,-(Setup!$C$13+Setup!$G$28),Setup!$C$39:$C$50))+(309*100+9)/10000000)))</f>
        <v/>
      </c>
      <c r="AA314" t="str">
        <f>IF(K314="","",IF(K314&lt;Setup!$C$5-Setup!$C$6,"",IF(IF(ISNUMBER(Roster!$D314),Setup!$C$29&lt;=Roster!$D314,FALSE),"",IF(OR(IF(Setup!$C$15&lt;=Setup!$C$16,AND(MONTH(K314)&gt;=Setup!$C$15,MONTH(K314)&lt;=Setup!$C$16),OR(MONTH(K314)&gt;=Setup!$C$15,MONTH(K314)&lt;=Setup!$C$16)),IF(Setup!$C$15&lt;=Setup!$C$16,AND(MONTH(WORKDAY(K314,-(Setup!$C$13+Setup!$G$29),Setup!$C$39:$C$50))&gt;=Setup!$C$15,MONTH(WORKDAY(K314,-(Setup!$C$13+Setup!$G$29),Setup!$C$39:$C$50))&lt;=Setup!$C$16),OR(MONTH(WORKDAY(K314,-(Setup!$C$13+Setup!$G$29),Setup!$C$39:$C$50))&gt;=Setup!$C$15,MONTH(WORKDAY(K314,-(Setup!$C$13+Setup!$G$29),Setup!$C$39:$C$50))&lt;=Setup!$C$16))),WORKDAY(K314,-(Setup!$C$13+Setup!$G$29+Setup!$C$14),Setup!$C$39:$C$50),WORKDAY(K314,-(Setup!$C$13+Setup!$G$29),Setup!$C$39:$C$50))+(309*100+10)/10000000)))</f>
        <v/>
      </c>
      <c r="AB314" t="str">
        <f>IF(L314="","",IF(L314&lt;Setup!$C$5-Setup!$C$6,"",IF(IF(ISNUMBER(Roster!$D314),Setup!$C$30&lt;=Roster!$D314,FALSE),"",IF(OR(IF(Setup!$C$15&lt;=Setup!$C$16,AND(MONTH(L314)&gt;=Setup!$C$15,MONTH(L314)&lt;=Setup!$C$16),OR(MONTH(L314)&gt;=Setup!$C$15,MONTH(L314)&lt;=Setup!$C$16)),IF(Setup!$C$15&lt;=Setup!$C$16,AND(MONTH(WORKDAY(L314,-(Setup!$C$13+Setup!$G$30),Setup!$C$39:$C$50))&gt;=Setup!$C$15,MONTH(WORKDAY(L314,-(Setup!$C$13+Setup!$G$30),Setup!$C$39:$C$50))&lt;=Setup!$C$16),OR(MONTH(WORKDAY(L314,-(Setup!$C$13+Setup!$G$30),Setup!$C$39:$C$50))&gt;=Setup!$C$15,MONTH(WORKDAY(L314,-(Setup!$C$13+Setup!$G$30),Setup!$C$39:$C$50))&lt;=Setup!$C$16))),WORKDAY(L314,-(Setup!$C$13+Setup!$G$30+Setup!$C$14),Setup!$C$39:$C$50),WORKDAY(L314,-(Setup!$C$13+Setup!$G$30),Setup!$C$39:$C$50))+(309*100+11)/10000000)))</f>
        <v/>
      </c>
      <c r="AC314" t="str">
        <f>IF(M314="","",IF(M314&lt;Setup!$C$5-Setup!$C$6,"",IF(IF(ISNUMBER(Roster!$D314),Setup!$C$31&lt;=Roster!$D314,FALSE),"",IF(OR(IF(Setup!$C$15&lt;=Setup!$C$16,AND(MONTH(M314)&gt;=Setup!$C$15,MONTH(M314)&lt;=Setup!$C$16),OR(MONTH(M314)&gt;=Setup!$C$15,MONTH(M314)&lt;=Setup!$C$16)),IF(Setup!$C$15&lt;=Setup!$C$16,AND(MONTH(WORKDAY(M314,-(Setup!$C$13+Setup!$G$31),Setup!$C$39:$C$50))&gt;=Setup!$C$15,MONTH(WORKDAY(M314,-(Setup!$C$13+Setup!$G$31),Setup!$C$39:$C$50))&lt;=Setup!$C$16),OR(MONTH(WORKDAY(M314,-(Setup!$C$13+Setup!$G$31),Setup!$C$39:$C$50))&gt;=Setup!$C$15,MONTH(WORKDAY(M314,-(Setup!$C$13+Setup!$G$31),Setup!$C$39:$C$50))&lt;=Setup!$C$16))),WORKDAY(M314,-(Setup!$C$13+Setup!$G$31+Setup!$C$14),Setup!$C$39:$C$50),WORKDAY(M314,-(Setup!$C$13+Setup!$G$31),Setup!$C$39:$C$50))+(309*100+12)/10000000)))</f>
        <v/>
      </c>
      <c r="AD314" t="str">
        <f>IF(N314="","",IF(N314&lt;Setup!$C$5-Setup!$C$6,"",IF(IF(ISNUMBER(Roster!$D314),Setup!$C$32&lt;=Roster!$D314,FALSE),"",IF(OR(IF(Setup!$C$15&lt;=Setup!$C$16,AND(MONTH(N314)&gt;=Setup!$C$15,MONTH(N314)&lt;=Setup!$C$16),OR(MONTH(N314)&gt;=Setup!$C$15,MONTH(N314)&lt;=Setup!$C$16)),IF(Setup!$C$15&lt;=Setup!$C$16,AND(MONTH(WORKDAY(N314,-(Setup!$C$13+Setup!$G$32),Setup!$C$39:$C$50))&gt;=Setup!$C$15,MONTH(WORKDAY(N314,-(Setup!$C$13+Setup!$G$32),Setup!$C$39:$C$50))&lt;=Setup!$C$16),OR(MONTH(WORKDAY(N314,-(Setup!$C$13+Setup!$G$32),Setup!$C$39:$C$50))&gt;=Setup!$C$15,MONTH(WORKDAY(N314,-(Setup!$C$13+Setup!$G$32),Setup!$C$39:$C$50))&lt;=Setup!$C$16))),WORKDAY(N314,-(Setup!$C$13+Setup!$G$32+Setup!$C$14),Setup!$C$39:$C$50),WORKDAY(N314,-(Setup!$C$13+Setup!$G$32),Setup!$C$39:$C$50))+(309*100+13)/10000000)))</f>
        <v/>
      </c>
      <c r="AE314" t="str">
        <f>IF(O314="","",IF(O314&lt;Setup!$C$5-Setup!$C$6,"",IF(IF(ISNUMBER(Roster!$D314),Setup!$C$33&lt;=Roster!$D314,FALSE),"",IF(OR(IF(Setup!$C$15&lt;=Setup!$C$16,AND(MONTH(O314)&gt;=Setup!$C$15,MONTH(O314)&lt;=Setup!$C$16),OR(MONTH(O314)&gt;=Setup!$C$15,MONTH(O314)&lt;=Setup!$C$16)),IF(Setup!$C$15&lt;=Setup!$C$16,AND(MONTH(WORKDAY(O314,-(Setup!$C$13+Setup!$G$33),Setup!$C$39:$C$50))&gt;=Setup!$C$15,MONTH(WORKDAY(O314,-(Setup!$C$13+Setup!$G$33),Setup!$C$39:$C$50))&lt;=Setup!$C$16),OR(MONTH(WORKDAY(O314,-(Setup!$C$13+Setup!$G$33),Setup!$C$39:$C$50))&gt;=Setup!$C$15,MONTH(WORKDAY(O314,-(Setup!$C$13+Setup!$G$33),Setup!$C$39:$C$50))&lt;=Setup!$C$16))),WORKDAY(O314,-(Setup!$C$13+Setup!$G$33+Setup!$C$14),Setup!$C$39:$C$50),WORKDAY(O314,-(Setup!$C$13+Setup!$G$33),Setup!$C$39:$C$50))+(309*100+14)/10000000)))</f>
        <v/>
      </c>
      <c r="AF314" t="str">
        <f>IF(P314="","",IF(P314&lt;Setup!$C$5-Setup!$C$6,"",IF(IF(ISNUMBER(Roster!$D314),Setup!$C$34&lt;=Roster!$D314,FALSE),"",IF(OR(IF(Setup!$C$15&lt;=Setup!$C$16,AND(MONTH(P314)&gt;=Setup!$C$15,MONTH(P314)&lt;=Setup!$C$16),OR(MONTH(P314)&gt;=Setup!$C$15,MONTH(P314)&lt;=Setup!$C$16)),IF(Setup!$C$15&lt;=Setup!$C$16,AND(MONTH(WORKDAY(P314,-(Setup!$C$13+Setup!$G$34),Setup!$C$39:$C$50))&gt;=Setup!$C$15,MONTH(WORKDAY(P314,-(Setup!$C$13+Setup!$G$34),Setup!$C$39:$C$50))&lt;=Setup!$C$16),OR(MONTH(WORKDAY(P314,-(Setup!$C$13+Setup!$G$34),Setup!$C$39:$C$50))&gt;=Setup!$C$15,MONTH(WORKDAY(P314,-(Setup!$C$13+Setup!$G$34),Setup!$C$39:$C$50))&lt;=Setup!$C$16))),WORKDAY(P314,-(Setup!$C$13+Setup!$G$34+Setup!$C$14),Setup!$C$39:$C$50),WORKDAY(P314,-(Setup!$C$13+Setup!$G$34),Setup!$C$39:$C$50))+(309*100+15)/10000000)))</f>
        <v/>
      </c>
      <c r="AH314" t="str">
        <f t="shared" si="33"/>
        <v/>
      </c>
      <c r="AI314" t="str">
        <f t="shared" si="34"/>
        <v/>
      </c>
      <c r="AP314" t="str">
        <f>IF(ISNUMBER(Roster!$B314),MAX(1,YEAR(Setup!$C$5)-YEAR(Roster!$B314)+IF(EDATE(Roster!$B314,12*(YEAR(Setup!$C$5)-YEAR(Roster!$B314)))&lt;Setup!$C$5,1,0)),"")</f>
        <v/>
      </c>
      <c r="AQ314" s="32" t="str">
        <f>IF(AP314="","",EDATE(Roster!$B314,12*AP314))</f>
        <v/>
      </c>
      <c r="AR314" t="str">
        <f>IF(AQ314="","",IF(AQ314&lt;DATE(YEAR(Setup!$C$5)+1,MONTH(Setup!$C$5),DAY(Setup!$C$5)),AQ314+309/1000,""))</f>
        <v/>
      </c>
      <c r="AS314" t="str">
        <f t="shared" si="38"/>
        <v/>
      </c>
      <c r="AT314" t="str">
        <f>IF(AS314="","",IF(ISNUMBER(Roster!$D314),Roster!$D314&gt;=AP314,FALSE))</f>
        <v/>
      </c>
      <c r="AU314" t="str">
        <f t="shared" si="39"/>
        <v/>
      </c>
      <c r="AV314" t="str">
        <f ca="1">IF(309&gt;$AV$2,"",SMALL($AR$6:$AR$505,309))</f>
        <v/>
      </c>
      <c r="AW314" t="str">
        <f t="shared" ca="1" si="40"/>
        <v/>
      </c>
    </row>
    <row r="315" spans="2:49" x14ac:dyDescent="0.2">
      <c r="B315" s="32" t="str">
        <f>IF(AND(ISNUMBER(Roster!$B315),Setup!$B$20="Yes",ISNUMBER(Setup!$C$20)),EDATE(Roster!$B315,12*Setup!$C$20),"")</f>
        <v/>
      </c>
      <c r="C315" s="32" t="str">
        <f>IF(AND(ISNUMBER(Roster!$B315),Setup!$B$21="Yes",ISNUMBER(Setup!$C$21)),EDATE(Roster!$B315,12*Setup!$C$21),"")</f>
        <v/>
      </c>
      <c r="D315" s="32" t="str">
        <f>IF(AND(ISNUMBER(Roster!$B315),Setup!$B$22="Yes",ISNUMBER(Setup!$C$22)),EDATE(Roster!$B315,12*Setup!$C$22),"")</f>
        <v/>
      </c>
      <c r="E315" s="32" t="str">
        <f>IF(AND(ISNUMBER(Roster!$B315),Setup!$B$23="Yes",ISNUMBER(Setup!$C$23)),EDATE(Roster!$B315,12*Setup!$C$23),"")</f>
        <v/>
      </c>
      <c r="F315" s="32" t="str">
        <f>IF(AND(ISNUMBER(Roster!$B315),Setup!$B$24="Yes",ISNUMBER(Setup!$C$24)),EDATE(Roster!$B315,12*Setup!$C$24),"")</f>
        <v/>
      </c>
      <c r="G315" s="32" t="str">
        <f>IF(AND(ISNUMBER(Roster!$B315),Setup!$B$25="Yes",ISNUMBER(Setup!$C$25)),EDATE(Roster!$B315,12*Setup!$C$25),"")</f>
        <v/>
      </c>
      <c r="H315" s="32" t="str">
        <f>IF(AND(ISNUMBER(Roster!$B315),Setup!$B$26="Yes",ISNUMBER(Setup!$C$26)),EDATE(Roster!$B315,12*Setup!$C$26),"")</f>
        <v/>
      </c>
      <c r="I315" s="32" t="str">
        <f>IF(AND(ISNUMBER(Roster!$B315),Setup!$B$27="Yes",ISNUMBER(Setup!$C$27)),EDATE(Roster!$B315,12*Setup!$C$27),"")</f>
        <v/>
      </c>
      <c r="J315" s="32" t="str">
        <f>IF(AND(ISNUMBER(Roster!$B315),Setup!$B$28="Yes",ISNUMBER(Setup!$C$28)),EDATE(Roster!$B315,12*Setup!$C$28),"")</f>
        <v/>
      </c>
      <c r="K315" s="32" t="str">
        <f>IF(AND(ISNUMBER(Roster!$B315),Setup!$B$29="Yes",ISNUMBER(Setup!$C$29)),EDATE(Roster!$B315,12*Setup!$C$29),"")</f>
        <v/>
      </c>
      <c r="L315" s="32" t="str">
        <f>IF(AND(ISNUMBER(Roster!$B315),Setup!$B$30="Yes",ISNUMBER(Setup!$C$30)),EDATE(Roster!$B315,12*Setup!$C$30),"")</f>
        <v/>
      </c>
      <c r="M315" s="32" t="str">
        <f>IF(AND(ISNUMBER(Roster!$B315),Setup!$B$31="Yes",ISNUMBER(Setup!$C$31)),EDATE(Roster!$B315,12*Setup!$C$31),"")</f>
        <v/>
      </c>
      <c r="N315" s="32" t="str">
        <f>IF(AND(ISNUMBER(Roster!$B315),Setup!$B$32="Yes",ISNUMBER(Setup!$C$32)),EDATE(Roster!$B315,12*Setup!$C$32),"")</f>
        <v/>
      </c>
      <c r="O315" s="32" t="str">
        <f>IF(AND(ISNUMBER(Roster!$B315),Setup!$B$33="Yes",ISNUMBER(Setup!$C$33)),EDATE(Roster!$B315,12*Setup!$C$33),"")</f>
        <v/>
      </c>
      <c r="P315" s="32" t="str">
        <f>IF(AND(ISNUMBER(Roster!$B315),Setup!$B$34="Yes",ISNUMBER(Setup!$C$34)),EDATE(Roster!$B315,12*Setup!$C$34),"")</f>
        <v/>
      </c>
      <c r="R315" t="str">
        <f>IF(B315="","",IF(B315&lt;Setup!$C$5-Setup!$C$6,"",IF(IF(ISNUMBER(Roster!$D315),Setup!$C$20&lt;=Roster!$D315,FALSE),"",IF(OR(IF(Setup!$C$15&lt;=Setup!$C$16,AND(MONTH(B315)&gt;=Setup!$C$15,MONTH(B315)&lt;=Setup!$C$16),OR(MONTH(B315)&gt;=Setup!$C$15,MONTH(B315)&lt;=Setup!$C$16)),IF(Setup!$C$15&lt;=Setup!$C$16,AND(MONTH(WORKDAY(B315,-(Setup!$C$13+Setup!$G$20),Setup!$C$39:$C$50))&gt;=Setup!$C$15,MONTH(WORKDAY(B315,-(Setup!$C$13+Setup!$G$20),Setup!$C$39:$C$50))&lt;=Setup!$C$16),OR(MONTH(WORKDAY(B315,-(Setup!$C$13+Setup!$G$20),Setup!$C$39:$C$50))&gt;=Setup!$C$15,MONTH(WORKDAY(B315,-(Setup!$C$13+Setup!$G$20),Setup!$C$39:$C$50))&lt;=Setup!$C$16))),WORKDAY(B315,-(Setup!$C$13+Setup!$G$20+Setup!$C$14),Setup!$C$39:$C$50),WORKDAY(B315,-(Setup!$C$13+Setup!$G$20),Setup!$C$39:$C$50))+(310*100+1)/10000000)))</f>
        <v/>
      </c>
      <c r="S315" t="str">
        <f>IF(C315="","",IF(C315&lt;Setup!$C$5-Setup!$C$6,"",IF(IF(ISNUMBER(Roster!$D315),Setup!$C$21&lt;=Roster!$D315,FALSE),"",IF(OR(IF(Setup!$C$15&lt;=Setup!$C$16,AND(MONTH(C315)&gt;=Setup!$C$15,MONTH(C315)&lt;=Setup!$C$16),OR(MONTH(C315)&gt;=Setup!$C$15,MONTH(C315)&lt;=Setup!$C$16)),IF(Setup!$C$15&lt;=Setup!$C$16,AND(MONTH(WORKDAY(C315,-(Setup!$C$13+Setup!$G$21),Setup!$C$39:$C$50))&gt;=Setup!$C$15,MONTH(WORKDAY(C315,-(Setup!$C$13+Setup!$G$21),Setup!$C$39:$C$50))&lt;=Setup!$C$16),OR(MONTH(WORKDAY(C315,-(Setup!$C$13+Setup!$G$21),Setup!$C$39:$C$50))&gt;=Setup!$C$15,MONTH(WORKDAY(C315,-(Setup!$C$13+Setup!$G$21),Setup!$C$39:$C$50))&lt;=Setup!$C$16))),WORKDAY(C315,-(Setup!$C$13+Setup!$G$21+Setup!$C$14),Setup!$C$39:$C$50),WORKDAY(C315,-(Setup!$C$13+Setup!$G$21),Setup!$C$39:$C$50))+(310*100+2)/10000000)))</f>
        <v/>
      </c>
      <c r="T315" t="str">
        <f>IF(D315="","",IF(D315&lt;Setup!$C$5-Setup!$C$6,"",IF(IF(ISNUMBER(Roster!$D315),Setup!$C$22&lt;=Roster!$D315,FALSE),"",IF(OR(IF(Setup!$C$15&lt;=Setup!$C$16,AND(MONTH(D315)&gt;=Setup!$C$15,MONTH(D315)&lt;=Setup!$C$16),OR(MONTH(D315)&gt;=Setup!$C$15,MONTH(D315)&lt;=Setup!$C$16)),IF(Setup!$C$15&lt;=Setup!$C$16,AND(MONTH(WORKDAY(D315,-(Setup!$C$13+Setup!$G$22),Setup!$C$39:$C$50))&gt;=Setup!$C$15,MONTH(WORKDAY(D315,-(Setup!$C$13+Setup!$G$22),Setup!$C$39:$C$50))&lt;=Setup!$C$16),OR(MONTH(WORKDAY(D315,-(Setup!$C$13+Setup!$G$22),Setup!$C$39:$C$50))&gt;=Setup!$C$15,MONTH(WORKDAY(D315,-(Setup!$C$13+Setup!$G$22),Setup!$C$39:$C$50))&lt;=Setup!$C$16))),WORKDAY(D315,-(Setup!$C$13+Setup!$G$22+Setup!$C$14),Setup!$C$39:$C$50),WORKDAY(D315,-(Setup!$C$13+Setup!$G$22),Setup!$C$39:$C$50))+(310*100+3)/10000000)))</f>
        <v/>
      </c>
      <c r="U315" t="str">
        <f>IF(E315="","",IF(E315&lt;Setup!$C$5-Setup!$C$6,"",IF(IF(ISNUMBER(Roster!$D315),Setup!$C$23&lt;=Roster!$D315,FALSE),"",IF(OR(IF(Setup!$C$15&lt;=Setup!$C$16,AND(MONTH(E315)&gt;=Setup!$C$15,MONTH(E315)&lt;=Setup!$C$16),OR(MONTH(E315)&gt;=Setup!$C$15,MONTH(E315)&lt;=Setup!$C$16)),IF(Setup!$C$15&lt;=Setup!$C$16,AND(MONTH(WORKDAY(E315,-(Setup!$C$13+Setup!$G$23),Setup!$C$39:$C$50))&gt;=Setup!$C$15,MONTH(WORKDAY(E315,-(Setup!$C$13+Setup!$G$23),Setup!$C$39:$C$50))&lt;=Setup!$C$16),OR(MONTH(WORKDAY(E315,-(Setup!$C$13+Setup!$G$23),Setup!$C$39:$C$50))&gt;=Setup!$C$15,MONTH(WORKDAY(E315,-(Setup!$C$13+Setup!$G$23),Setup!$C$39:$C$50))&lt;=Setup!$C$16))),WORKDAY(E315,-(Setup!$C$13+Setup!$G$23+Setup!$C$14),Setup!$C$39:$C$50),WORKDAY(E315,-(Setup!$C$13+Setup!$G$23),Setup!$C$39:$C$50))+(310*100+4)/10000000)))</f>
        <v/>
      </c>
      <c r="V315" t="str">
        <f>IF(F315="","",IF(F315&lt;Setup!$C$5-Setup!$C$6,"",IF(IF(ISNUMBER(Roster!$D315),Setup!$C$24&lt;=Roster!$D315,FALSE),"",IF(OR(IF(Setup!$C$15&lt;=Setup!$C$16,AND(MONTH(F315)&gt;=Setup!$C$15,MONTH(F315)&lt;=Setup!$C$16),OR(MONTH(F315)&gt;=Setup!$C$15,MONTH(F315)&lt;=Setup!$C$16)),IF(Setup!$C$15&lt;=Setup!$C$16,AND(MONTH(WORKDAY(F315,-(Setup!$C$13+Setup!$G$24),Setup!$C$39:$C$50))&gt;=Setup!$C$15,MONTH(WORKDAY(F315,-(Setup!$C$13+Setup!$G$24),Setup!$C$39:$C$50))&lt;=Setup!$C$16),OR(MONTH(WORKDAY(F315,-(Setup!$C$13+Setup!$G$24),Setup!$C$39:$C$50))&gt;=Setup!$C$15,MONTH(WORKDAY(F315,-(Setup!$C$13+Setup!$G$24),Setup!$C$39:$C$50))&lt;=Setup!$C$16))),WORKDAY(F315,-(Setup!$C$13+Setup!$G$24+Setup!$C$14),Setup!$C$39:$C$50),WORKDAY(F315,-(Setup!$C$13+Setup!$G$24),Setup!$C$39:$C$50))+(310*100+5)/10000000)))</f>
        <v/>
      </c>
      <c r="W315" t="str">
        <f>IF(G315="","",IF(G315&lt;Setup!$C$5-Setup!$C$6,"",IF(IF(ISNUMBER(Roster!$D315),Setup!$C$25&lt;=Roster!$D315,FALSE),"",IF(OR(IF(Setup!$C$15&lt;=Setup!$C$16,AND(MONTH(G315)&gt;=Setup!$C$15,MONTH(G315)&lt;=Setup!$C$16),OR(MONTH(G315)&gt;=Setup!$C$15,MONTH(G315)&lt;=Setup!$C$16)),IF(Setup!$C$15&lt;=Setup!$C$16,AND(MONTH(WORKDAY(G315,-(Setup!$C$13+Setup!$G$25),Setup!$C$39:$C$50))&gt;=Setup!$C$15,MONTH(WORKDAY(G315,-(Setup!$C$13+Setup!$G$25),Setup!$C$39:$C$50))&lt;=Setup!$C$16),OR(MONTH(WORKDAY(G315,-(Setup!$C$13+Setup!$G$25),Setup!$C$39:$C$50))&gt;=Setup!$C$15,MONTH(WORKDAY(G315,-(Setup!$C$13+Setup!$G$25),Setup!$C$39:$C$50))&lt;=Setup!$C$16))),WORKDAY(G315,-(Setup!$C$13+Setup!$G$25+Setup!$C$14),Setup!$C$39:$C$50),WORKDAY(G315,-(Setup!$C$13+Setup!$G$25),Setup!$C$39:$C$50))+(310*100+6)/10000000)))</f>
        <v/>
      </c>
      <c r="X315" t="str">
        <f>IF(H315="","",IF(H315&lt;Setup!$C$5-Setup!$C$6,"",IF(IF(ISNUMBER(Roster!$D315),Setup!$C$26&lt;=Roster!$D315,FALSE),"",IF(OR(IF(Setup!$C$15&lt;=Setup!$C$16,AND(MONTH(H315)&gt;=Setup!$C$15,MONTH(H315)&lt;=Setup!$C$16),OR(MONTH(H315)&gt;=Setup!$C$15,MONTH(H315)&lt;=Setup!$C$16)),IF(Setup!$C$15&lt;=Setup!$C$16,AND(MONTH(WORKDAY(H315,-(Setup!$C$13+Setup!$G$26),Setup!$C$39:$C$50))&gt;=Setup!$C$15,MONTH(WORKDAY(H315,-(Setup!$C$13+Setup!$G$26),Setup!$C$39:$C$50))&lt;=Setup!$C$16),OR(MONTH(WORKDAY(H315,-(Setup!$C$13+Setup!$G$26),Setup!$C$39:$C$50))&gt;=Setup!$C$15,MONTH(WORKDAY(H315,-(Setup!$C$13+Setup!$G$26),Setup!$C$39:$C$50))&lt;=Setup!$C$16))),WORKDAY(H315,-(Setup!$C$13+Setup!$G$26+Setup!$C$14),Setup!$C$39:$C$50),WORKDAY(H315,-(Setup!$C$13+Setup!$G$26),Setup!$C$39:$C$50))+(310*100+7)/10000000)))</f>
        <v/>
      </c>
      <c r="Y315" t="str">
        <f>IF(I315="","",IF(I315&lt;Setup!$C$5-Setup!$C$6,"",IF(IF(ISNUMBER(Roster!$D315),Setup!$C$27&lt;=Roster!$D315,FALSE),"",IF(OR(IF(Setup!$C$15&lt;=Setup!$C$16,AND(MONTH(I315)&gt;=Setup!$C$15,MONTH(I315)&lt;=Setup!$C$16),OR(MONTH(I315)&gt;=Setup!$C$15,MONTH(I315)&lt;=Setup!$C$16)),IF(Setup!$C$15&lt;=Setup!$C$16,AND(MONTH(WORKDAY(I315,-(Setup!$C$13+Setup!$G$27),Setup!$C$39:$C$50))&gt;=Setup!$C$15,MONTH(WORKDAY(I315,-(Setup!$C$13+Setup!$G$27),Setup!$C$39:$C$50))&lt;=Setup!$C$16),OR(MONTH(WORKDAY(I315,-(Setup!$C$13+Setup!$G$27),Setup!$C$39:$C$50))&gt;=Setup!$C$15,MONTH(WORKDAY(I315,-(Setup!$C$13+Setup!$G$27),Setup!$C$39:$C$50))&lt;=Setup!$C$16))),WORKDAY(I315,-(Setup!$C$13+Setup!$G$27+Setup!$C$14),Setup!$C$39:$C$50),WORKDAY(I315,-(Setup!$C$13+Setup!$G$27),Setup!$C$39:$C$50))+(310*100+8)/10000000)))</f>
        <v/>
      </c>
      <c r="Z315" t="str">
        <f>IF(J315="","",IF(J315&lt;Setup!$C$5-Setup!$C$6,"",IF(IF(ISNUMBER(Roster!$D315),Setup!$C$28&lt;=Roster!$D315,FALSE),"",IF(OR(IF(Setup!$C$15&lt;=Setup!$C$16,AND(MONTH(J315)&gt;=Setup!$C$15,MONTH(J315)&lt;=Setup!$C$16),OR(MONTH(J315)&gt;=Setup!$C$15,MONTH(J315)&lt;=Setup!$C$16)),IF(Setup!$C$15&lt;=Setup!$C$16,AND(MONTH(WORKDAY(J315,-(Setup!$C$13+Setup!$G$28),Setup!$C$39:$C$50))&gt;=Setup!$C$15,MONTH(WORKDAY(J315,-(Setup!$C$13+Setup!$G$28),Setup!$C$39:$C$50))&lt;=Setup!$C$16),OR(MONTH(WORKDAY(J315,-(Setup!$C$13+Setup!$G$28),Setup!$C$39:$C$50))&gt;=Setup!$C$15,MONTH(WORKDAY(J315,-(Setup!$C$13+Setup!$G$28),Setup!$C$39:$C$50))&lt;=Setup!$C$16))),WORKDAY(J315,-(Setup!$C$13+Setup!$G$28+Setup!$C$14),Setup!$C$39:$C$50),WORKDAY(J315,-(Setup!$C$13+Setup!$G$28),Setup!$C$39:$C$50))+(310*100+9)/10000000)))</f>
        <v/>
      </c>
      <c r="AA315" t="str">
        <f>IF(K315="","",IF(K315&lt;Setup!$C$5-Setup!$C$6,"",IF(IF(ISNUMBER(Roster!$D315),Setup!$C$29&lt;=Roster!$D315,FALSE),"",IF(OR(IF(Setup!$C$15&lt;=Setup!$C$16,AND(MONTH(K315)&gt;=Setup!$C$15,MONTH(K315)&lt;=Setup!$C$16),OR(MONTH(K315)&gt;=Setup!$C$15,MONTH(K315)&lt;=Setup!$C$16)),IF(Setup!$C$15&lt;=Setup!$C$16,AND(MONTH(WORKDAY(K315,-(Setup!$C$13+Setup!$G$29),Setup!$C$39:$C$50))&gt;=Setup!$C$15,MONTH(WORKDAY(K315,-(Setup!$C$13+Setup!$G$29),Setup!$C$39:$C$50))&lt;=Setup!$C$16),OR(MONTH(WORKDAY(K315,-(Setup!$C$13+Setup!$G$29),Setup!$C$39:$C$50))&gt;=Setup!$C$15,MONTH(WORKDAY(K315,-(Setup!$C$13+Setup!$G$29),Setup!$C$39:$C$50))&lt;=Setup!$C$16))),WORKDAY(K315,-(Setup!$C$13+Setup!$G$29+Setup!$C$14),Setup!$C$39:$C$50),WORKDAY(K315,-(Setup!$C$13+Setup!$G$29),Setup!$C$39:$C$50))+(310*100+10)/10000000)))</f>
        <v/>
      </c>
      <c r="AB315" t="str">
        <f>IF(L315="","",IF(L315&lt;Setup!$C$5-Setup!$C$6,"",IF(IF(ISNUMBER(Roster!$D315),Setup!$C$30&lt;=Roster!$D315,FALSE),"",IF(OR(IF(Setup!$C$15&lt;=Setup!$C$16,AND(MONTH(L315)&gt;=Setup!$C$15,MONTH(L315)&lt;=Setup!$C$16),OR(MONTH(L315)&gt;=Setup!$C$15,MONTH(L315)&lt;=Setup!$C$16)),IF(Setup!$C$15&lt;=Setup!$C$16,AND(MONTH(WORKDAY(L315,-(Setup!$C$13+Setup!$G$30),Setup!$C$39:$C$50))&gt;=Setup!$C$15,MONTH(WORKDAY(L315,-(Setup!$C$13+Setup!$G$30),Setup!$C$39:$C$50))&lt;=Setup!$C$16),OR(MONTH(WORKDAY(L315,-(Setup!$C$13+Setup!$G$30),Setup!$C$39:$C$50))&gt;=Setup!$C$15,MONTH(WORKDAY(L315,-(Setup!$C$13+Setup!$G$30),Setup!$C$39:$C$50))&lt;=Setup!$C$16))),WORKDAY(L315,-(Setup!$C$13+Setup!$G$30+Setup!$C$14),Setup!$C$39:$C$50),WORKDAY(L315,-(Setup!$C$13+Setup!$G$30),Setup!$C$39:$C$50))+(310*100+11)/10000000)))</f>
        <v/>
      </c>
      <c r="AC315" t="str">
        <f>IF(M315="","",IF(M315&lt;Setup!$C$5-Setup!$C$6,"",IF(IF(ISNUMBER(Roster!$D315),Setup!$C$31&lt;=Roster!$D315,FALSE),"",IF(OR(IF(Setup!$C$15&lt;=Setup!$C$16,AND(MONTH(M315)&gt;=Setup!$C$15,MONTH(M315)&lt;=Setup!$C$16),OR(MONTH(M315)&gt;=Setup!$C$15,MONTH(M315)&lt;=Setup!$C$16)),IF(Setup!$C$15&lt;=Setup!$C$16,AND(MONTH(WORKDAY(M315,-(Setup!$C$13+Setup!$G$31),Setup!$C$39:$C$50))&gt;=Setup!$C$15,MONTH(WORKDAY(M315,-(Setup!$C$13+Setup!$G$31),Setup!$C$39:$C$50))&lt;=Setup!$C$16),OR(MONTH(WORKDAY(M315,-(Setup!$C$13+Setup!$G$31),Setup!$C$39:$C$50))&gt;=Setup!$C$15,MONTH(WORKDAY(M315,-(Setup!$C$13+Setup!$G$31),Setup!$C$39:$C$50))&lt;=Setup!$C$16))),WORKDAY(M315,-(Setup!$C$13+Setup!$G$31+Setup!$C$14),Setup!$C$39:$C$50),WORKDAY(M315,-(Setup!$C$13+Setup!$G$31),Setup!$C$39:$C$50))+(310*100+12)/10000000)))</f>
        <v/>
      </c>
      <c r="AD315" t="str">
        <f>IF(N315="","",IF(N315&lt;Setup!$C$5-Setup!$C$6,"",IF(IF(ISNUMBER(Roster!$D315),Setup!$C$32&lt;=Roster!$D315,FALSE),"",IF(OR(IF(Setup!$C$15&lt;=Setup!$C$16,AND(MONTH(N315)&gt;=Setup!$C$15,MONTH(N315)&lt;=Setup!$C$16),OR(MONTH(N315)&gt;=Setup!$C$15,MONTH(N315)&lt;=Setup!$C$16)),IF(Setup!$C$15&lt;=Setup!$C$16,AND(MONTH(WORKDAY(N315,-(Setup!$C$13+Setup!$G$32),Setup!$C$39:$C$50))&gt;=Setup!$C$15,MONTH(WORKDAY(N315,-(Setup!$C$13+Setup!$G$32),Setup!$C$39:$C$50))&lt;=Setup!$C$16),OR(MONTH(WORKDAY(N315,-(Setup!$C$13+Setup!$G$32),Setup!$C$39:$C$50))&gt;=Setup!$C$15,MONTH(WORKDAY(N315,-(Setup!$C$13+Setup!$G$32),Setup!$C$39:$C$50))&lt;=Setup!$C$16))),WORKDAY(N315,-(Setup!$C$13+Setup!$G$32+Setup!$C$14),Setup!$C$39:$C$50),WORKDAY(N315,-(Setup!$C$13+Setup!$G$32),Setup!$C$39:$C$50))+(310*100+13)/10000000)))</f>
        <v/>
      </c>
      <c r="AE315" t="str">
        <f>IF(O315="","",IF(O315&lt;Setup!$C$5-Setup!$C$6,"",IF(IF(ISNUMBER(Roster!$D315),Setup!$C$33&lt;=Roster!$D315,FALSE),"",IF(OR(IF(Setup!$C$15&lt;=Setup!$C$16,AND(MONTH(O315)&gt;=Setup!$C$15,MONTH(O315)&lt;=Setup!$C$16),OR(MONTH(O315)&gt;=Setup!$C$15,MONTH(O315)&lt;=Setup!$C$16)),IF(Setup!$C$15&lt;=Setup!$C$16,AND(MONTH(WORKDAY(O315,-(Setup!$C$13+Setup!$G$33),Setup!$C$39:$C$50))&gt;=Setup!$C$15,MONTH(WORKDAY(O315,-(Setup!$C$13+Setup!$G$33),Setup!$C$39:$C$50))&lt;=Setup!$C$16),OR(MONTH(WORKDAY(O315,-(Setup!$C$13+Setup!$G$33),Setup!$C$39:$C$50))&gt;=Setup!$C$15,MONTH(WORKDAY(O315,-(Setup!$C$13+Setup!$G$33),Setup!$C$39:$C$50))&lt;=Setup!$C$16))),WORKDAY(O315,-(Setup!$C$13+Setup!$G$33+Setup!$C$14),Setup!$C$39:$C$50),WORKDAY(O315,-(Setup!$C$13+Setup!$G$33),Setup!$C$39:$C$50))+(310*100+14)/10000000)))</f>
        <v/>
      </c>
      <c r="AF315" t="str">
        <f>IF(P315="","",IF(P315&lt;Setup!$C$5-Setup!$C$6,"",IF(IF(ISNUMBER(Roster!$D315),Setup!$C$34&lt;=Roster!$D315,FALSE),"",IF(OR(IF(Setup!$C$15&lt;=Setup!$C$16,AND(MONTH(P315)&gt;=Setup!$C$15,MONTH(P315)&lt;=Setup!$C$16),OR(MONTH(P315)&gt;=Setup!$C$15,MONTH(P315)&lt;=Setup!$C$16)),IF(Setup!$C$15&lt;=Setup!$C$16,AND(MONTH(WORKDAY(P315,-(Setup!$C$13+Setup!$G$34),Setup!$C$39:$C$50))&gt;=Setup!$C$15,MONTH(WORKDAY(P315,-(Setup!$C$13+Setup!$G$34),Setup!$C$39:$C$50))&lt;=Setup!$C$16),OR(MONTH(WORKDAY(P315,-(Setup!$C$13+Setup!$G$34),Setup!$C$39:$C$50))&gt;=Setup!$C$15,MONTH(WORKDAY(P315,-(Setup!$C$13+Setup!$G$34),Setup!$C$39:$C$50))&lt;=Setup!$C$16))),WORKDAY(P315,-(Setup!$C$13+Setup!$G$34+Setup!$C$14),Setup!$C$39:$C$50),WORKDAY(P315,-(Setup!$C$13+Setup!$G$34),Setup!$C$39:$C$50))+(310*100+15)/10000000)))</f>
        <v/>
      </c>
      <c r="AH315" t="str">
        <f t="shared" si="33"/>
        <v/>
      </c>
      <c r="AI315" t="str">
        <f t="shared" si="34"/>
        <v/>
      </c>
      <c r="AP315" t="str">
        <f>IF(ISNUMBER(Roster!$B315),MAX(1,YEAR(Setup!$C$5)-YEAR(Roster!$B315)+IF(EDATE(Roster!$B315,12*(YEAR(Setup!$C$5)-YEAR(Roster!$B315)))&lt;Setup!$C$5,1,0)),"")</f>
        <v/>
      </c>
      <c r="AQ315" s="32" t="str">
        <f>IF(AP315="","",EDATE(Roster!$B315,12*AP315))</f>
        <v/>
      </c>
      <c r="AR315" t="str">
        <f>IF(AQ315="","",IF(AQ315&lt;DATE(YEAR(Setup!$C$5)+1,MONTH(Setup!$C$5),DAY(Setup!$C$5)),AQ315+310/1000,""))</f>
        <v/>
      </c>
      <c r="AS315" t="str">
        <f t="shared" si="38"/>
        <v/>
      </c>
      <c r="AT315" t="str">
        <f>IF(AS315="","",IF(ISNUMBER(Roster!$D315),Roster!$D315&gt;=AP315,FALSE))</f>
        <v/>
      </c>
      <c r="AU315" t="str">
        <f t="shared" si="39"/>
        <v/>
      </c>
      <c r="AV315" t="str">
        <f ca="1">IF(310&gt;$AV$2,"",SMALL($AR$6:$AR$505,310))</f>
        <v/>
      </c>
      <c r="AW315" t="str">
        <f t="shared" ca="1" si="40"/>
        <v/>
      </c>
    </row>
    <row r="316" spans="2:49" x14ac:dyDescent="0.2">
      <c r="B316" s="32" t="str">
        <f>IF(AND(ISNUMBER(Roster!$B316),Setup!$B$20="Yes",ISNUMBER(Setup!$C$20)),EDATE(Roster!$B316,12*Setup!$C$20),"")</f>
        <v/>
      </c>
      <c r="C316" s="32" t="str">
        <f>IF(AND(ISNUMBER(Roster!$B316),Setup!$B$21="Yes",ISNUMBER(Setup!$C$21)),EDATE(Roster!$B316,12*Setup!$C$21),"")</f>
        <v/>
      </c>
      <c r="D316" s="32" t="str">
        <f>IF(AND(ISNUMBER(Roster!$B316),Setup!$B$22="Yes",ISNUMBER(Setup!$C$22)),EDATE(Roster!$B316,12*Setup!$C$22),"")</f>
        <v/>
      </c>
      <c r="E316" s="32" t="str">
        <f>IF(AND(ISNUMBER(Roster!$B316),Setup!$B$23="Yes",ISNUMBER(Setup!$C$23)),EDATE(Roster!$B316,12*Setup!$C$23),"")</f>
        <v/>
      </c>
      <c r="F316" s="32" t="str">
        <f>IF(AND(ISNUMBER(Roster!$B316),Setup!$B$24="Yes",ISNUMBER(Setup!$C$24)),EDATE(Roster!$B316,12*Setup!$C$24),"")</f>
        <v/>
      </c>
      <c r="G316" s="32" t="str">
        <f>IF(AND(ISNUMBER(Roster!$B316),Setup!$B$25="Yes",ISNUMBER(Setup!$C$25)),EDATE(Roster!$B316,12*Setup!$C$25),"")</f>
        <v/>
      </c>
      <c r="H316" s="32" t="str">
        <f>IF(AND(ISNUMBER(Roster!$B316),Setup!$B$26="Yes",ISNUMBER(Setup!$C$26)),EDATE(Roster!$B316,12*Setup!$C$26),"")</f>
        <v/>
      </c>
      <c r="I316" s="32" t="str">
        <f>IF(AND(ISNUMBER(Roster!$B316),Setup!$B$27="Yes",ISNUMBER(Setup!$C$27)),EDATE(Roster!$B316,12*Setup!$C$27),"")</f>
        <v/>
      </c>
      <c r="J316" s="32" t="str">
        <f>IF(AND(ISNUMBER(Roster!$B316),Setup!$B$28="Yes",ISNUMBER(Setup!$C$28)),EDATE(Roster!$B316,12*Setup!$C$28),"")</f>
        <v/>
      </c>
      <c r="K316" s="32" t="str">
        <f>IF(AND(ISNUMBER(Roster!$B316),Setup!$B$29="Yes",ISNUMBER(Setup!$C$29)),EDATE(Roster!$B316,12*Setup!$C$29),"")</f>
        <v/>
      </c>
      <c r="L316" s="32" t="str">
        <f>IF(AND(ISNUMBER(Roster!$B316),Setup!$B$30="Yes",ISNUMBER(Setup!$C$30)),EDATE(Roster!$B316,12*Setup!$C$30),"")</f>
        <v/>
      </c>
      <c r="M316" s="32" t="str">
        <f>IF(AND(ISNUMBER(Roster!$B316),Setup!$B$31="Yes",ISNUMBER(Setup!$C$31)),EDATE(Roster!$B316,12*Setup!$C$31),"")</f>
        <v/>
      </c>
      <c r="N316" s="32" t="str">
        <f>IF(AND(ISNUMBER(Roster!$B316),Setup!$B$32="Yes",ISNUMBER(Setup!$C$32)),EDATE(Roster!$B316,12*Setup!$C$32),"")</f>
        <v/>
      </c>
      <c r="O316" s="32" t="str">
        <f>IF(AND(ISNUMBER(Roster!$B316),Setup!$B$33="Yes",ISNUMBER(Setup!$C$33)),EDATE(Roster!$B316,12*Setup!$C$33),"")</f>
        <v/>
      </c>
      <c r="P316" s="32" t="str">
        <f>IF(AND(ISNUMBER(Roster!$B316),Setup!$B$34="Yes",ISNUMBER(Setup!$C$34)),EDATE(Roster!$B316,12*Setup!$C$34),"")</f>
        <v/>
      </c>
      <c r="R316" t="str">
        <f>IF(B316="","",IF(B316&lt;Setup!$C$5-Setup!$C$6,"",IF(IF(ISNUMBER(Roster!$D316),Setup!$C$20&lt;=Roster!$D316,FALSE),"",IF(OR(IF(Setup!$C$15&lt;=Setup!$C$16,AND(MONTH(B316)&gt;=Setup!$C$15,MONTH(B316)&lt;=Setup!$C$16),OR(MONTH(B316)&gt;=Setup!$C$15,MONTH(B316)&lt;=Setup!$C$16)),IF(Setup!$C$15&lt;=Setup!$C$16,AND(MONTH(WORKDAY(B316,-(Setup!$C$13+Setup!$G$20),Setup!$C$39:$C$50))&gt;=Setup!$C$15,MONTH(WORKDAY(B316,-(Setup!$C$13+Setup!$G$20),Setup!$C$39:$C$50))&lt;=Setup!$C$16),OR(MONTH(WORKDAY(B316,-(Setup!$C$13+Setup!$G$20),Setup!$C$39:$C$50))&gt;=Setup!$C$15,MONTH(WORKDAY(B316,-(Setup!$C$13+Setup!$G$20),Setup!$C$39:$C$50))&lt;=Setup!$C$16))),WORKDAY(B316,-(Setup!$C$13+Setup!$G$20+Setup!$C$14),Setup!$C$39:$C$50),WORKDAY(B316,-(Setup!$C$13+Setup!$G$20),Setup!$C$39:$C$50))+(311*100+1)/10000000)))</f>
        <v/>
      </c>
      <c r="S316" t="str">
        <f>IF(C316="","",IF(C316&lt;Setup!$C$5-Setup!$C$6,"",IF(IF(ISNUMBER(Roster!$D316),Setup!$C$21&lt;=Roster!$D316,FALSE),"",IF(OR(IF(Setup!$C$15&lt;=Setup!$C$16,AND(MONTH(C316)&gt;=Setup!$C$15,MONTH(C316)&lt;=Setup!$C$16),OR(MONTH(C316)&gt;=Setup!$C$15,MONTH(C316)&lt;=Setup!$C$16)),IF(Setup!$C$15&lt;=Setup!$C$16,AND(MONTH(WORKDAY(C316,-(Setup!$C$13+Setup!$G$21),Setup!$C$39:$C$50))&gt;=Setup!$C$15,MONTH(WORKDAY(C316,-(Setup!$C$13+Setup!$G$21),Setup!$C$39:$C$50))&lt;=Setup!$C$16),OR(MONTH(WORKDAY(C316,-(Setup!$C$13+Setup!$G$21),Setup!$C$39:$C$50))&gt;=Setup!$C$15,MONTH(WORKDAY(C316,-(Setup!$C$13+Setup!$G$21),Setup!$C$39:$C$50))&lt;=Setup!$C$16))),WORKDAY(C316,-(Setup!$C$13+Setup!$G$21+Setup!$C$14),Setup!$C$39:$C$50),WORKDAY(C316,-(Setup!$C$13+Setup!$G$21),Setup!$C$39:$C$50))+(311*100+2)/10000000)))</f>
        <v/>
      </c>
      <c r="T316" t="str">
        <f>IF(D316="","",IF(D316&lt;Setup!$C$5-Setup!$C$6,"",IF(IF(ISNUMBER(Roster!$D316),Setup!$C$22&lt;=Roster!$D316,FALSE),"",IF(OR(IF(Setup!$C$15&lt;=Setup!$C$16,AND(MONTH(D316)&gt;=Setup!$C$15,MONTH(D316)&lt;=Setup!$C$16),OR(MONTH(D316)&gt;=Setup!$C$15,MONTH(D316)&lt;=Setup!$C$16)),IF(Setup!$C$15&lt;=Setup!$C$16,AND(MONTH(WORKDAY(D316,-(Setup!$C$13+Setup!$G$22),Setup!$C$39:$C$50))&gt;=Setup!$C$15,MONTH(WORKDAY(D316,-(Setup!$C$13+Setup!$G$22),Setup!$C$39:$C$50))&lt;=Setup!$C$16),OR(MONTH(WORKDAY(D316,-(Setup!$C$13+Setup!$G$22),Setup!$C$39:$C$50))&gt;=Setup!$C$15,MONTH(WORKDAY(D316,-(Setup!$C$13+Setup!$G$22),Setup!$C$39:$C$50))&lt;=Setup!$C$16))),WORKDAY(D316,-(Setup!$C$13+Setup!$G$22+Setup!$C$14),Setup!$C$39:$C$50),WORKDAY(D316,-(Setup!$C$13+Setup!$G$22),Setup!$C$39:$C$50))+(311*100+3)/10000000)))</f>
        <v/>
      </c>
      <c r="U316" t="str">
        <f>IF(E316="","",IF(E316&lt;Setup!$C$5-Setup!$C$6,"",IF(IF(ISNUMBER(Roster!$D316),Setup!$C$23&lt;=Roster!$D316,FALSE),"",IF(OR(IF(Setup!$C$15&lt;=Setup!$C$16,AND(MONTH(E316)&gt;=Setup!$C$15,MONTH(E316)&lt;=Setup!$C$16),OR(MONTH(E316)&gt;=Setup!$C$15,MONTH(E316)&lt;=Setup!$C$16)),IF(Setup!$C$15&lt;=Setup!$C$16,AND(MONTH(WORKDAY(E316,-(Setup!$C$13+Setup!$G$23),Setup!$C$39:$C$50))&gt;=Setup!$C$15,MONTH(WORKDAY(E316,-(Setup!$C$13+Setup!$G$23),Setup!$C$39:$C$50))&lt;=Setup!$C$16),OR(MONTH(WORKDAY(E316,-(Setup!$C$13+Setup!$G$23),Setup!$C$39:$C$50))&gt;=Setup!$C$15,MONTH(WORKDAY(E316,-(Setup!$C$13+Setup!$G$23),Setup!$C$39:$C$50))&lt;=Setup!$C$16))),WORKDAY(E316,-(Setup!$C$13+Setup!$G$23+Setup!$C$14),Setup!$C$39:$C$50),WORKDAY(E316,-(Setup!$C$13+Setup!$G$23),Setup!$C$39:$C$50))+(311*100+4)/10000000)))</f>
        <v/>
      </c>
      <c r="V316" t="str">
        <f>IF(F316="","",IF(F316&lt;Setup!$C$5-Setup!$C$6,"",IF(IF(ISNUMBER(Roster!$D316),Setup!$C$24&lt;=Roster!$D316,FALSE),"",IF(OR(IF(Setup!$C$15&lt;=Setup!$C$16,AND(MONTH(F316)&gt;=Setup!$C$15,MONTH(F316)&lt;=Setup!$C$16),OR(MONTH(F316)&gt;=Setup!$C$15,MONTH(F316)&lt;=Setup!$C$16)),IF(Setup!$C$15&lt;=Setup!$C$16,AND(MONTH(WORKDAY(F316,-(Setup!$C$13+Setup!$G$24),Setup!$C$39:$C$50))&gt;=Setup!$C$15,MONTH(WORKDAY(F316,-(Setup!$C$13+Setup!$G$24),Setup!$C$39:$C$50))&lt;=Setup!$C$16),OR(MONTH(WORKDAY(F316,-(Setup!$C$13+Setup!$G$24),Setup!$C$39:$C$50))&gt;=Setup!$C$15,MONTH(WORKDAY(F316,-(Setup!$C$13+Setup!$G$24),Setup!$C$39:$C$50))&lt;=Setup!$C$16))),WORKDAY(F316,-(Setup!$C$13+Setup!$G$24+Setup!$C$14),Setup!$C$39:$C$50),WORKDAY(F316,-(Setup!$C$13+Setup!$G$24),Setup!$C$39:$C$50))+(311*100+5)/10000000)))</f>
        <v/>
      </c>
      <c r="W316" t="str">
        <f>IF(G316="","",IF(G316&lt;Setup!$C$5-Setup!$C$6,"",IF(IF(ISNUMBER(Roster!$D316),Setup!$C$25&lt;=Roster!$D316,FALSE),"",IF(OR(IF(Setup!$C$15&lt;=Setup!$C$16,AND(MONTH(G316)&gt;=Setup!$C$15,MONTH(G316)&lt;=Setup!$C$16),OR(MONTH(G316)&gt;=Setup!$C$15,MONTH(G316)&lt;=Setup!$C$16)),IF(Setup!$C$15&lt;=Setup!$C$16,AND(MONTH(WORKDAY(G316,-(Setup!$C$13+Setup!$G$25),Setup!$C$39:$C$50))&gt;=Setup!$C$15,MONTH(WORKDAY(G316,-(Setup!$C$13+Setup!$G$25),Setup!$C$39:$C$50))&lt;=Setup!$C$16),OR(MONTH(WORKDAY(G316,-(Setup!$C$13+Setup!$G$25),Setup!$C$39:$C$50))&gt;=Setup!$C$15,MONTH(WORKDAY(G316,-(Setup!$C$13+Setup!$G$25),Setup!$C$39:$C$50))&lt;=Setup!$C$16))),WORKDAY(G316,-(Setup!$C$13+Setup!$G$25+Setup!$C$14),Setup!$C$39:$C$50),WORKDAY(G316,-(Setup!$C$13+Setup!$G$25),Setup!$C$39:$C$50))+(311*100+6)/10000000)))</f>
        <v/>
      </c>
      <c r="X316" t="str">
        <f>IF(H316="","",IF(H316&lt;Setup!$C$5-Setup!$C$6,"",IF(IF(ISNUMBER(Roster!$D316),Setup!$C$26&lt;=Roster!$D316,FALSE),"",IF(OR(IF(Setup!$C$15&lt;=Setup!$C$16,AND(MONTH(H316)&gt;=Setup!$C$15,MONTH(H316)&lt;=Setup!$C$16),OR(MONTH(H316)&gt;=Setup!$C$15,MONTH(H316)&lt;=Setup!$C$16)),IF(Setup!$C$15&lt;=Setup!$C$16,AND(MONTH(WORKDAY(H316,-(Setup!$C$13+Setup!$G$26),Setup!$C$39:$C$50))&gt;=Setup!$C$15,MONTH(WORKDAY(H316,-(Setup!$C$13+Setup!$G$26),Setup!$C$39:$C$50))&lt;=Setup!$C$16),OR(MONTH(WORKDAY(H316,-(Setup!$C$13+Setup!$G$26),Setup!$C$39:$C$50))&gt;=Setup!$C$15,MONTH(WORKDAY(H316,-(Setup!$C$13+Setup!$G$26),Setup!$C$39:$C$50))&lt;=Setup!$C$16))),WORKDAY(H316,-(Setup!$C$13+Setup!$G$26+Setup!$C$14),Setup!$C$39:$C$50),WORKDAY(H316,-(Setup!$C$13+Setup!$G$26),Setup!$C$39:$C$50))+(311*100+7)/10000000)))</f>
        <v/>
      </c>
      <c r="Y316" t="str">
        <f>IF(I316="","",IF(I316&lt;Setup!$C$5-Setup!$C$6,"",IF(IF(ISNUMBER(Roster!$D316),Setup!$C$27&lt;=Roster!$D316,FALSE),"",IF(OR(IF(Setup!$C$15&lt;=Setup!$C$16,AND(MONTH(I316)&gt;=Setup!$C$15,MONTH(I316)&lt;=Setup!$C$16),OR(MONTH(I316)&gt;=Setup!$C$15,MONTH(I316)&lt;=Setup!$C$16)),IF(Setup!$C$15&lt;=Setup!$C$16,AND(MONTH(WORKDAY(I316,-(Setup!$C$13+Setup!$G$27),Setup!$C$39:$C$50))&gt;=Setup!$C$15,MONTH(WORKDAY(I316,-(Setup!$C$13+Setup!$G$27),Setup!$C$39:$C$50))&lt;=Setup!$C$16),OR(MONTH(WORKDAY(I316,-(Setup!$C$13+Setup!$G$27),Setup!$C$39:$C$50))&gt;=Setup!$C$15,MONTH(WORKDAY(I316,-(Setup!$C$13+Setup!$G$27),Setup!$C$39:$C$50))&lt;=Setup!$C$16))),WORKDAY(I316,-(Setup!$C$13+Setup!$G$27+Setup!$C$14),Setup!$C$39:$C$50),WORKDAY(I316,-(Setup!$C$13+Setup!$G$27),Setup!$C$39:$C$50))+(311*100+8)/10000000)))</f>
        <v/>
      </c>
      <c r="Z316" t="str">
        <f>IF(J316="","",IF(J316&lt;Setup!$C$5-Setup!$C$6,"",IF(IF(ISNUMBER(Roster!$D316),Setup!$C$28&lt;=Roster!$D316,FALSE),"",IF(OR(IF(Setup!$C$15&lt;=Setup!$C$16,AND(MONTH(J316)&gt;=Setup!$C$15,MONTH(J316)&lt;=Setup!$C$16),OR(MONTH(J316)&gt;=Setup!$C$15,MONTH(J316)&lt;=Setup!$C$16)),IF(Setup!$C$15&lt;=Setup!$C$16,AND(MONTH(WORKDAY(J316,-(Setup!$C$13+Setup!$G$28),Setup!$C$39:$C$50))&gt;=Setup!$C$15,MONTH(WORKDAY(J316,-(Setup!$C$13+Setup!$G$28),Setup!$C$39:$C$50))&lt;=Setup!$C$16),OR(MONTH(WORKDAY(J316,-(Setup!$C$13+Setup!$G$28),Setup!$C$39:$C$50))&gt;=Setup!$C$15,MONTH(WORKDAY(J316,-(Setup!$C$13+Setup!$G$28),Setup!$C$39:$C$50))&lt;=Setup!$C$16))),WORKDAY(J316,-(Setup!$C$13+Setup!$G$28+Setup!$C$14),Setup!$C$39:$C$50),WORKDAY(J316,-(Setup!$C$13+Setup!$G$28),Setup!$C$39:$C$50))+(311*100+9)/10000000)))</f>
        <v/>
      </c>
      <c r="AA316" t="str">
        <f>IF(K316="","",IF(K316&lt;Setup!$C$5-Setup!$C$6,"",IF(IF(ISNUMBER(Roster!$D316),Setup!$C$29&lt;=Roster!$D316,FALSE),"",IF(OR(IF(Setup!$C$15&lt;=Setup!$C$16,AND(MONTH(K316)&gt;=Setup!$C$15,MONTH(K316)&lt;=Setup!$C$16),OR(MONTH(K316)&gt;=Setup!$C$15,MONTH(K316)&lt;=Setup!$C$16)),IF(Setup!$C$15&lt;=Setup!$C$16,AND(MONTH(WORKDAY(K316,-(Setup!$C$13+Setup!$G$29),Setup!$C$39:$C$50))&gt;=Setup!$C$15,MONTH(WORKDAY(K316,-(Setup!$C$13+Setup!$G$29),Setup!$C$39:$C$50))&lt;=Setup!$C$16),OR(MONTH(WORKDAY(K316,-(Setup!$C$13+Setup!$G$29),Setup!$C$39:$C$50))&gt;=Setup!$C$15,MONTH(WORKDAY(K316,-(Setup!$C$13+Setup!$G$29),Setup!$C$39:$C$50))&lt;=Setup!$C$16))),WORKDAY(K316,-(Setup!$C$13+Setup!$G$29+Setup!$C$14),Setup!$C$39:$C$50),WORKDAY(K316,-(Setup!$C$13+Setup!$G$29),Setup!$C$39:$C$50))+(311*100+10)/10000000)))</f>
        <v/>
      </c>
      <c r="AB316" t="str">
        <f>IF(L316="","",IF(L316&lt;Setup!$C$5-Setup!$C$6,"",IF(IF(ISNUMBER(Roster!$D316),Setup!$C$30&lt;=Roster!$D316,FALSE),"",IF(OR(IF(Setup!$C$15&lt;=Setup!$C$16,AND(MONTH(L316)&gt;=Setup!$C$15,MONTH(L316)&lt;=Setup!$C$16),OR(MONTH(L316)&gt;=Setup!$C$15,MONTH(L316)&lt;=Setup!$C$16)),IF(Setup!$C$15&lt;=Setup!$C$16,AND(MONTH(WORKDAY(L316,-(Setup!$C$13+Setup!$G$30),Setup!$C$39:$C$50))&gt;=Setup!$C$15,MONTH(WORKDAY(L316,-(Setup!$C$13+Setup!$G$30),Setup!$C$39:$C$50))&lt;=Setup!$C$16),OR(MONTH(WORKDAY(L316,-(Setup!$C$13+Setup!$G$30),Setup!$C$39:$C$50))&gt;=Setup!$C$15,MONTH(WORKDAY(L316,-(Setup!$C$13+Setup!$G$30),Setup!$C$39:$C$50))&lt;=Setup!$C$16))),WORKDAY(L316,-(Setup!$C$13+Setup!$G$30+Setup!$C$14),Setup!$C$39:$C$50),WORKDAY(L316,-(Setup!$C$13+Setup!$G$30),Setup!$C$39:$C$50))+(311*100+11)/10000000)))</f>
        <v/>
      </c>
      <c r="AC316" t="str">
        <f>IF(M316="","",IF(M316&lt;Setup!$C$5-Setup!$C$6,"",IF(IF(ISNUMBER(Roster!$D316),Setup!$C$31&lt;=Roster!$D316,FALSE),"",IF(OR(IF(Setup!$C$15&lt;=Setup!$C$16,AND(MONTH(M316)&gt;=Setup!$C$15,MONTH(M316)&lt;=Setup!$C$16),OR(MONTH(M316)&gt;=Setup!$C$15,MONTH(M316)&lt;=Setup!$C$16)),IF(Setup!$C$15&lt;=Setup!$C$16,AND(MONTH(WORKDAY(M316,-(Setup!$C$13+Setup!$G$31),Setup!$C$39:$C$50))&gt;=Setup!$C$15,MONTH(WORKDAY(M316,-(Setup!$C$13+Setup!$G$31),Setup!$C$39:$C$50))&lt;=Setup!$C$16),OR(MONTH(WORKDAY(M316,-(Setup!$C$13+Setup!$G$31),Setup!$C$39:$C$50))&gt;=Setup!$C$15,MONTH(WORKDAY(M316,-(Setup!$C$13+Setup!$G$31),Setup!$C$39:$C$50))&lt;=Setup!$C$16))),WORKDAY(M316,-(Setup!$C$13+Setup!$G$31+Setup!$C$14),Setup!$C$39:$C$50),WORKDAY(M316,-(Setup!$C$13+Setup!$G$31),Setup!$C$39:$C$50))+(311*100+12)/10000000)))</f>
        <v/>
      </c>
      <c r="AD316" t="str">
        <f>IF(N316="","",IF(N316&lt;Setup!$C$5-Setup!$C$6,"",IF(IF(ISNUMBER(Roster!$D316),Setup!$C$32&lt;=Roster!$D316,FALSE),"",IF(OR(IF(Setup!$C$15&lt;=Setup!$C$16,AND(MONTH(N316)&gt;=Setup!$C$15,MONTH(N316)&lt;=Setup!$C$16),OR(MONTH(N316)&gt;=Setup!$C$15,MONTH(N316)&lt;=Setup!$C$16)),IF(Setup!$C$15&lt;=Setup!$C$16,AND(MONTH(WORKDAY(N316,-(Setup!$C$13+Setup!$G$32),Setup!$C$39:$C$50))&gt;=Setup!$C$15,MONTH(WORKDAY(N316,-(Setup!$C$13+Setup!$G$32),Setup!$C$39:$C$50))&lt;=Setup!$C$16),OR(MONTH(WORKDAY(N316,-(Setup!$C$13+Setup!$G$32),Setup!$C$39:$C$50))&gt;=Setup!$C$15,MONTH(WORKDAY(N316,-(Setup!$C$13+Setup!$G$32),Setup!$C$39:$C$50))&lt;=Setup!$C$16))),WORKDAY(N316,-(Setup!$C$13+Setup!$G$32+Setup!$C$14),Setup!$C$39:$C$50),WORKDAY(N316,-(Setup!$C$13+Setup!$G$32),Setup!$C$39:$C$50))+(311*100+13)/10000000)))</f>
        <v/>
      </c>
      <c r="AE316" t="str">
        <f>IF(O316="","",IF(O316&lt;Setup!$C$5-Setup!$C$6,"",IF(IF(ISNUMBER(Roster!$D316),Setup!$C$33&lt;=Roster!$D316,FALSE),"",IF(OR(IF(Setup!$C$15&lt;=Setup!$C$16,AND(MONTH(O316)&gt;=Setup!$C$15,MONTH(O316)&lt;=Setup!$C$16),OR(MONTH(O316)&gt;=Setup!$C$15,MONTH(O316)&lt;=Setup!$C$16)),IF(Setup!$C$15&lt;=Setup!$C$16,AND(MONTH(WORKDAY(O316,-(Setup!$C$13+Setup!$G$33),Setup!$C$39:$C$50))&gt;=Setup!$C$15,MONTH(WORKDAY(O316,-(Setup!$C$13+Setup!$G$33),Setup!$C$39:$C$50))&lt;=Setup!$C$16),OR(MONTH(WORKDAY(O316,-(Setup!$C$13+Setup!$G$33),Setup!$C$39:$C$50))&gt;=Setup!$C$15,MONTH(WORKDAY(O316,-(Setup!$C$13+Setup!$G$33),Setup!$C$39:$C$50))&lt;=Setup!$C$16))),WORKDAY(O316,-(Setup!$C$13+Setup!$G$33+Setup!$C$14),Setup!$C$39:$C$50),WORKDAY(O316,-(Setup!$C$13+Setup!$G$33),Setup!$C$39:$C$50))+(311*100+14)/10000000)))</f>
        <v/>
      </c>
      <c r="AF316" t="str">
        <f>IF(P316="","",IF(P316&lt;Setup!$C$5-Setup!$C$6,"",IF(IF(ISNUMBER(Roster!$D316),Setup!$C$34&lt;=Roster!$D316,FALSE),"",IF(OR(IF(Setup!$C$15&lt;=Setup!$C$16,AND(MONTH(P316)&gt;=Setup!$C$15,MONTH(P316)&lt;=Setup!$C$16),OR(MONTH(P316)&gt;=Setup!$C$15,MONTH(P316)&lt;=Setup!$C$16)),IF(Setup!$C$15&lt;=Setup!$C$16,AND(MONTH(WORKDAY(P316,-(Setup!$C$13+Setup!$G$34),Setup!$C$39:$C$50))&gt;=Setup!$C$15,MONTH(WORKDAY(P316,-(Setup!$C$13+Setup!$G$34),Setup!$C$39:$C$50))&lt;=Setup!$C$16),OR(MONTH(WORKDAY(P316,-(Setup!$C$13+Setup!$G$34),Setup!$C$39:$C$50))&gt;=Setup!$C$15,MONTH(WORKDAY(P316,-(Setup!$C$13+Setup!$G$34),Setup!$C$39:$C$50))&lt;=Setup!$C$16))),WORKDAY(P316,-(Setup!$C$13+Setup!$G$34+Setup!$C$14),Setup!$C$39:$C$50),WORKDAY(P316,-(Setup!$C$13+Setup!$G$34),Setup!$C$39:$C$50))+(311*100+15)/10000000)))</f>
        <v/>
      </c>
      <c r="AH316" t="str">
        <f t="shared" si="33"/>
        <v/>
      </c>
      <c r="AI316" t="str">
        <f t="shared" si="34"/>
        <v/>
      </c>
      <c r="AP316" t="str">
        <f>IF(ISNUMBER(Roster!$B316),MAX(1,YEAR(Setup!$C$5)-YEAR(Roster!$B316)+IF(EDATE(Roster!$B316,12*(YEAR(Setup!$C$5)-YEAR(Roster!$B316)))&lt;Setup!$C$5,1,0)),"")</f>
        <v/>
      </c>
      <c r="AQ316" s="32" t="str">
        <f>IF(AP316="","",EDATE(Roster!$B316,12*AP316))</f>
        <v/>
      </c>
      <c r="AR316" t="str">
        <f>IF(AQ316="","",IF(AQ316&lt;DATE(YEAR(Setup!$C$5)+1,MONTH(Setup!$C$5),DAY(Setup!$C$5)),AQ316+311/1000,""))</f>
        <v/>
      </c>
      <c r="AS316" t="str">
        <f t="shared" si="38"/>
        <v/>
      </c>
      <c r="AT316" t="str">
        <f>IF(AS316="","",IF(ISNUMBER(Roster!$D316),Roster!$D316&gt;=AP316,FALSE))</f>
        <v/>
      </c>
      <c r="AU316" t="str">
        <f t="shared" si="39"/>
        <v/>
      </c>
      <c r="AV316" t="str">
        <f ca="1">IF(311&gt;$AV$2,"",SMALL($AR$6:$AR$505,311))</f>
        <v/>
      </c>
      <c r="AW316" t="str">
        <f t="shared" ca="1" si="40"/>
        <v/>
      </c>
    </row>
    <row r="317" spans="2:49" x14ac:dyDescent="0.2">
      <c r="B317" s="32" t="str">
        <f>IF(AND(ISNUMBER(Roster!$B317),Setup!$B$20="Yes",ISNUMBER(Setup!$C$20)),EDATE(Roster!$B317,12*Setup!$C$20),"")</f>
        <v/>
      </c>
      <c r="C317" s="32" t="str">
        <f>IF(AND(ISNUMBER(Roster!$B317),Setup!$B$21="Yes",ISNUMBER(Setup!$C$21)),EDATE(Roster!$B317,12*Setup!$C$21),"")</f>
        <v/>
      </c>
      <c r="D317" s="32" t="str">
        <f>IF(AND(ISNUMBER(Roster!$B317),Setup!$B$22="Yes",ISNUMBER(Setup!$C$22)),EDATE(Roster!$B317,12*Setup!$C$22),"")</f>
        <v/>
      </c>
      <c r="E317" s="32" t="str">
        <f>IF(AND(ISNUMBER(Roster!$B317),Setup!$B$23="Yes",ISNUMBER(Setup!$C$23)),EDATE(Roster!$B317,12*Setup!$C$23),"")</f>
        <v/>
      </c>
      <c r="F317" s="32" t="str">
        <f>IF(AND(ISNUMBER(Roster!$B317),Setup!$B$24="Yes",ISNUMBER(Setup!$C$24)),EDATE(Roster!$B317,12*Setup!$C$24),"")</f>
        <v/>
      </c>
      <c r="G317" s="32" t="str">
        <f>IF(AND(ISNUMBER(Roster!$B317),Setup!$B$25="Yes",ISNUMBER(Setup!$C$25)),EDATE(Roster!$B317,12*Setup!$C$25),"")</f>
        <v/>
      </c>
      <c r="H317" s="32" t="str">
        <f>IF(AND(ISNUMBER(Roster!$B317),Setup!$B$26="Yes",ISNUMBER(Setup!$C$26)),EDATE(Roster!$B317,12*Setup!$C$26),"")</f>
        <v/>
      </c>
      <c r="I317" s="32" t="str">
        <f>IF(AND(ISNUMBER(Roster!$B317),Setup!$B$27="Yes",ISNUMBER(Setup!$C$27)),EDATE(Roster!$B317,12*Setup!$C$27),"")</f>
        <v/>
      </c>
      <c r="J317" s="32" t="str">
        <f>IF(AND(ISNUMBER(Roster!$B317),Setup!$B$28="Yes",ISNUMBER(Setup!$C$28)),EDATE(Roster!$B317,12*Setup!$C$28),"")</f>
        <v/>
      </c>
      <c r="K317" s="32" t="str">
        <f>IF(AND(ISNUMBER(Roster!$B317),Setup!$B$29="Yes",ISNUMBER(Setup!$C$29)),EDATE(Roster!$B317,12*Setup!$C$29),"")</f>
        <v/>
      </c>
      <c r="L317" s="32" t="str">
        <f>IF(AND(ISNUMBER(Roster!$B317),Setup!$B$30="Yes",ISNUMBER(Setup!$C$30)),EDATE(Roster!$B317,12*Setup!$C$30),"")</f>
        <v/>
      </c>
      <c r="M317" s="32" t="str">
        <f>IF(AND(ISNUMBER(Roster!$B317),Setup!$B$31="Yes",ISNUMBER(Setup!$C$31)),EDATE(Roster!$B317,12*Setup!$C$31),"")</f>
        <v/>
      </c>
      <c r="N317" s="32" t="str">
        <f>IF(AND(ISNUMBER(Roster!$B317),Setup!$B$32="Yes",ISNUMBER(Setup!$C$32)),EDATE(Roster!$B317,12*Setup!$C$32),"")</f>
        <v/>
      </c>
      <c r="O317" s="32" t="str">
        <f>IF(AND(ISNUMBER(Roster!$B317),Setup!$B$33="Yes",ISNUMBER(Setup!$C$33)),EDATE(Roster!$B317,12*Setup!$C$33),"")</f>
        <v/>
      </c>
      <c r="P317" s="32" t="str">
        <f>IF(AND(ISNUMBER(Roster!$B317),Setup!$B$34="Yes",ISNUMBER(Setup!$C$34)),EDATE(Roster!$B317,12*Setup!$C$34),"")</f>
        <v/>
      </c>
      <c r="R317" t="str">
        <f>IF(B317="","",IF(B317&lt;Setup!$C$5-Setup!$C$6,"",IF(IF(ISNUMBER(Roster!$D317),Setup!$C$20&lt;=Roster!$D317,FALSE),"",IF(OR(IF(Setup!$C$15&lt;=Setup!$C$16,AND(MONTH(B317)&gt;=Setup!$C$15,MONTH(B317)&lt;=Setup!$C$16),OR(MONTH(B317)&gt;=Setup!$C$15,MONTH(B317)&lt;=Setup!$C$16)),IF(Setup!$C$15&lt;=Setup!$C$16,AND(MONTH(WORKDAY(B317,-(Setup!$C$13+Setup!$G$20),Setup!$C$39:$C$50))&gt;=Setup!$C$15,MONTH(WORKDAY(B317,-(Setup!$C$13+Setup!$G$20),Setup!$C$39:$C$50))&lt;=Setup!$C$16),OR(MONTH(WORKDAY(B317,-(Setup!$C$13+Setup!$G$20),Setup!$C$39:$C$50))&gt;=Setup!$C$15,MONTH(WORKDAY(B317,-(Setup!$C$13+Setup!$G$20),Setup!$C$39:$C$50))&lt;=Setup!$C$16))),WORKDAY(B317,-(Setup!$C$13+Setup!$G$20+Setup!$C$14),Setup!$C$39:$C$50),WORKDAY(B317,-(Setup!$C$13+Setup!$G$20),Setup!$C$39:$C$50))+(312*100+1)/10000000)))</f>
        <v/>
      </c>
      <c r="S317" t="str">
        <f>IF(C317="","",IF(C317&lt;Setup!$C$5-Setup!$C$6,"",IF(IF(ISNUMBER(Roster!$D317),Setup!$C$21&lt;=Roster!$D317,FALSE),"",IF(OR(IF(Setup!$C$15&lt;=Setup!$C$16,AND(MONTH(C317)&gt;=Setup!$C$15,MONTH(C317)&lt;=Setup!$C$16),OR(MONTH(C317)&gt;=Setup!$C$15,MONTH(C317)&lt;=Setup!$C$16)),IF(Setup!$C$15&lt;=Setup!$C$16,AND(MONTH(WORKDAY(C317,-(Setup!$C$13+Setup!$G$21),Setup!$C$39:$C$50))&gt;=Setup!$C$15,MONTH(WORKDAY(C317,-(Setup!$C$13+Setup!$G$21),Setup!$C$39:$C$50))&lt;=Setup!$C$16),OR(MONTH(WORKDAY(C317,-(Setup!$C$13+Setup!$G$21),Setup!$C$39:$C$50))&gt;=Setup!$C$15,MONTH(WORKDAY(C317,-(Setup!$C$13+Setup!$G$21),Setup!$C$39:$C$50))&lt;=Setup!$C$16))),WORKDAY(C317,-(Setup!$C$13+Setup!$G$21+Setup!$C$14),Setup!$C$39:$C$50),WORKDAY(C317,-(Setup!$C$13+Setup!$G$21),Setup!$C$39:$C$50))+(312*100+2)/10000000)))</f>
        <v/>
      </c>
      <c r="T317" t="str">
        <f>IF(D317="","",IF(D317&lt;Setup!$C$5-Setup!$C$6,"",IF(IF(ISNUMBER(Roster!$D317),Setup!$C$22&lt;=Roster!$D317,FALSE),"",IF(OR(IF(Setup!$C$15&lt;=Setup!$C$16,AND(MONTH(D317)&gt;=Setup!$C$15,MONTH(D317)&lt;=Setup!$C$16),OR(MONTH(D317)&gt;=Setup!$C$15,MONTH(D317)&lt;=Setup!$C$16)),IF(Setup!$C$15&lt;=Setup!$C$16,AND(MONTH(WORKDAY(D317,-(Setup!$C$13+Setup!$G$22),Setup!$C$39:$C$50))&gt;=Setup!$C$15,MONTH(WORKDAY(D317,-(Setup!$C$13+Setup!$G$22),Setup!$C$39:$C$50))&lt;=Setup!$C$16),OR(MONTH(WORKDAY(D317,-(Setup!$C$13+Setup!$G$22),Setup!$C$39:$C$50))&gt;=Setup!$C$15,MONTH(WORKDAY(D317,-(Setup!$C$13+Setup!$G$22),Setup!$C$39:$C$50))&lt;=Setup!$C$16))),WORKDAY(D317,-(Setup!$C$13+Setup!$G$22+Setup!$C$14),Setup!$C$39:$C$50),WORKDAY(D317,-(Setup!$C$13+Setup!$G$22),Setup!$C$39:$C$50))+(312*100+3)/10000000)))</f>
        <v/>
      </c>
      <c r="U317" t="str">
        <f>IF(E317="","",IF(E317&lt;Setup!$C$5-Setup!$C$6,"",IF(IF(ISNUMBER(Roster!$D317),Setup!$C$23&lt;=Roster!$D317,FALSE),"",IF(OR(IF(Setup!$C$15&lt;=Setup!$C$16,AND(MONTH(E317)&gt;=Setup!$C$15,MONTH(E317)&lt;=Setup!$C$16),OR(MONTH(E317)&gt;=Setup!$C$15,MONTH(E317)&lt;=Setup!$C$16)),IF(Setup!$C$15&lt;=Setup!$C$16,AND(MONTH(WORKDAY(E317,-(Setup!$C$13+Setup!$G$23),Setup!$C$39:$C$50))&gt;=Setup!$C$15,MONTH(WORKDAY(E317,-(Setup!$C$13+Setup!$G$23),Setup!$C$39:$C$50))&lt;=Setup!$C$16),OR(MONTH(WORKDAY(E317,-(Setup!$C$13+Setup!$G$23),Setup!$C$39:$C$50))&gt;=Setup!$C$15,MONTH(WORKDAY(E317,-(Setup!$C$13+Setup!$G$23),Setup!$C$39:$C$50))&lt;=Setup!$C$16))),WORKDAY(E317,-(Setup!$C$13+Setup!$G$23+Setup!$C$14),Setup!$C$39:$C$50),WORKDAY(E317,-(Setup!$C$13+Setup!$G$23),Setup!$C$39:$C$50))+(312*100+4)/10000000)))</f>
        <v/>
      </c>
      <c r="V317" t="str">
        <f>IF(F317="","",IF(F317&lt;Setup!$C$5-Setup!$C$6,"",IF(IF(ISNUMBER(Roster!$D317),Setup!$C$24&lt;=Roster!$D317,FALSE),"",IF(OR(IF(Setup!$C$15&lt;=Setup!$C$16,AND(MONTH(F317)&gt;=Setup!$C$15,MONTH(F317)&lt;=Setup!$C$16),OR(MONTH(F317)&gt;=Setup!$C$15,MONTH(F317)&lt;=Setup!$C$16)),IF(Setup!$C$15&lt;=Setup!$C$16,AND(MONTH(WORKDAY(F317,-(Setup!$C$13+Setup!$G$24),Setup!$C$39:$C$50))&gt;=Setup!$C$15,MONTH(WORKDAY(F317,-(Setup!$C$13+Setup!$G$24),Setup!$C$39:$C$50))&lt;=Setup!$C$16),OR(MONTH(WORKDAY(F317,-(Setup!$C$13+Setup!$G$24),Setup!$C$39:$C$50))&gt;=Setup!$C$15,MONTH(WORKDAY(F317,-(Setup!$C$13+Setup!$G$24),Setup!$C$39:$C$50))&lt;=Setup!$C$16))),WORKDAY(F317,-(Setup!$C$13+Setup!$G$24+Setup!$C$14),Setup!$C$39:$C$50),WORKDAY(F317,-(Setup!$C$13+Setup!$G$24),Setup!$C$39:$C$50))+(312*100+5)/10000000)))</f>
        <v/>
      </c>
      <c r="W317" t="str">
        <f>IF(G317="","",IF(G317&lt;Setup!$C$5-Setup!$C$6,"",IF(IF(ISNUMBER(Roster!$D317),Setup!$C$25&lt;=Roster!$D317,FALSE),"",IF(OR(IF(Setup!$C$15&lt;=Setup!$C$16,AND(MONTH(G317)&gt;=Setup!$C$15,MONTH(G317)&lt;=Setup!$C$16),OR(MONTH(G317)&gt;=Setup!$C$15,MONTH(G317)&lt;=Setup!$C$16)),IF(Setup!$C$15&lt;=Setup!$C$16,AND(MONTH(WORKDAY(G317,-(Setup!$C$13+Setup!$G$25),Setup!$C$39:$C$50))&gt;=Setup!$C$15,MONTH(WORKDAY(G317,-(Setup!$C$13+Setup!$G$25),Setup!$C$39:$C$50))&lt;=Setup!$C$16),OR(MONTH(WORKDAY(G317,-(Setup!$C$13+Setup!$G$25),Setup!$C$39:$C$50))&gt;=Setup!$C$15,MONTH(WORKDAY(G317,-(Setup!$C$13+Setup!$G$25),Setup!$C$39:$C$50))&lt;=Setup!$C$16))),WORKDAY(G317,-(Setup!$C$13+Setup!$G$25+Setup!$C$14),Setup!$C$39:$C$50),WORKDAY(G317,-(Setup!$C$13+Setup!$G$25),Setup!$C$39:$C$50))+(312*100+6)/10000000)))</f>
        <v/>
      </c>
      <c r="X317" t="str">
        <f>IF(H317="","",IF(H317&lt;Setup!$C$5-Setup!$C$6,"",IF(IF(ISNUMBER(Roster!$D317),Setup!$C$26&lt;=Roster!$D317,FALSE),"",IF(OR(IF(Setup!$C$15&lt;=Setup!$C$16,AND(MONTH(H317)&gt;=Setup!$C$15,MONTH(H317)&lt;=Setup!$C$16),OR(MONTH(H317)&gt;=Setup!$C$15,MONTH(H317)&lt;=Setup!$C$16)),IF(Setup!$C$15&lt;=Setup!$C$16,AND(MONTH(WORKDAY(H317,-(Setup!$C$13+Setup!$G$26),Setup!$C$39:$C$50))&gt;=Setup!$C$15,MONTH(WORKDAY(H317,-(Setup!$C$13+Setup!$G$26),Setup!$C$39:$C$50))&lt;=Setup!$C$16),OR(MONTH(WORKDAY(H317,-(Setup!$C$13+Setup!$G$26),Setup!$C$39:$C$50))&gt;=Setup!$C$15,MONTH(WORKDAY(H317,-(Setup!$C$13+Setup!$G$26),Setup!$C$39:$C$50))&lt;=Setup!$C$16))),WORKDAY(H317,-(Setup!$C$13+Setup!$G$26+Setup!$C$14),Setup!$C$39:$C$50),WORKDAY(H317,-(Setup!$C$13+Setup!$G$26),Setup!$C$39:$C$50))+(312*100+7)/10000000)))</f>
        <v/>
      </c>
      <c r="Y317" t="str">
        <f>IF(I317="","",IF(I317&lt;Setup!$C$5-Setup!$C$6,"",IF(IF(ISNUMBER(Roster!$D317),Setup!$C$27&lt;=Roster!$D317,FALSE),"",IF(OR(IF(Setup!$C$15&lt;=Setup!$C$16,AND(MONTH(I317)&gt;=Setup!$C$15,MONTH(I317)&lt;=Setup!$C$16),OR(MONTH(I317)&gt;=Setup!$C$15,MONTH(I317)&lt;=Setup!$C$16)),IF(Setup!$C$15&lt;=Setup!$C$16,AND(MONTH(WORKDAY(I317,-(Setup!$C$13+Setup!$G$27),Setup!$C$39:$C$50))&gt;=Setup!$C$15,MONTH(WORKDAY(I317,-(Setup!$C$13+Setup!$G$27),Setup!$C$39:$C$50))&lt;=Setup!$C$16),OR(MONTH(WORKDAY(I317,-(Setup!$C$13+Setup!$G$27),Setup!$C$39:$C$50))&gt;=Setup!$C$15,MONTH(WORKDAY(I317,-(Setup!$C$13+Setup!$G$27),Setup!$C$39:$C$50))&lt;=Setup!$C$16))),WORKDAY(I317,-(Setup!$C$13+Setup!$G$27+Setup!$C$14),Setup!$C$39:$C$50),WORKDAY(I317,-(Setup!$C$13+Setup!$G$27),Setup!$C$39:$C$50))+(312*100+8)/10000000)))</f>
        <v/>
      </c>
      <c r="Z317" t="str">
        <f>IF(J317="","",IF(J317&lt;Setup!$C$5-Setup!$C$6,"",IF(IF(ISNUMBER(Roster!$D317),Setup!$C$28&lt;=Roster!$D317,FALSE),"",IF(OR(IF(Setup!$C$15&lt;=Setup!$C$16,AND(MONTH(J317)&gt;=Setup!$C$15,MONTH(J317)&lt;=Setup!$C$16),OR(MONTH(J317)&gt;=Setup!$C$15,MONTH(J317)&lt;=Setup!$C$16)),IF(Setup!$C$15&lt;=Setup!$C$16,AND(MONTH(WORKDAY(J317,-(Setup!$C$13+Setup!$G$28),Setup!$C$39:$C$50))&gt;=Setup!$C$15,MONTH(WORKDAY(J317,-(Setup!$C$13+Setup!$G$28),Setup!$C$39:$C$50))&lt;=Setup!$C$16),OR(MONTH(WORKDAY(J317,-(Setup!$C$13+Setup!$G$28),Setup!$C$39:$C$50))&gt;=Setup!$C$15,MONTH(WORKDAY(J317,-(Setup!$C$13+Setup!$G$28),Setup!$C$39:$C$50))&lt;=Setup!$C$16))),WORKDAY(J317,-(Setup!$C$13+Setup!$G$28+Setup!$C$14),Setup!$C$39:$C$50),WORKDAY(J317,-(Setup!$C$13+Setup!$G$28),Setup!$C$39:$C$50))+(312*100+9)/10000000)))</f>
        <v/>
      </c>
      <c r="AA317" t="str">
        <f>IF(K317="","",IF(K317&lt;Setup!$C$5-Setup!$C$6,"",IF(IF(ISNUMBER(Roster!$D317),Setup!$C$29&lt;=Roster!$D317,FALSE),"",IF(OR(IF(Setup!$C$15&lt;=Setup!$C$16,AND(MONTH(K317)&gt;=Setup!$C$15,MONTH(K317)&lt;=Setup!$C$16),OR(MONTH(K317)&gt;=Setup!$C$15,MONTH(K317)&lt;=Setup!$C$16)),IF(Setup!$C$15&lt;=Setup!$C$16,AND(MONTH(WORKDAY(K317,-(Setup!$C$13+Setup!$G$29),Setup!$C$39:$C$50))&gt;=Setup!$C$15,MONTH(WORKDAY(K317,-(Setup!$C$13+Setup!$G$29),Setup!$C$39:$C$50))&lt;=Setup!$C$16),OR(MONTH(WORKDAY(K317,-(Setup!$C$13+Setup!$G$29),Setup!$C$39:$C$50))&gt;=Setup!$C$15,MONTH(WORKDAY(K317,-(Setup!$C$13+Setup!$G$29),Setup!$C$39:$C$50))&lt;=Setup!$C$16))),WORKDAY(K317,-(Setup!$C$13+Setup!$G$29+Setup!$C$14),Setup!$C$39:$C$50),WORKDAY(K317,-(Setup!$C$13+Setup!$G$29),Setup!$C$39:$C$50))+(312*100+10)/10000000)))</f>
        <v/>
      </c>
      <c r="AB317" t="str">
        <f>IF(L317="","",IF(L317&lt;Setup!$C$5-Setup!$C$6,"",IF(IF(ISNUMBER(Roster!$D317),Setup!$C$30&lt;=Roster!$D317,FALSE),"",IF(OR(IF(Setup!$C$15&lt;=Setup!$C$16,AND(MONTH(L317)&gt;=Setup!$C$15,MONTH(L317)&lt;=Setup!$C$16),OR(MONTH(L317)&gt;=Setup!$C$15,MONTH(L317)&lt;=Setup!$C$16)),IF(Setup!$C$15&lt;=Setup!$C$16,AND(MONTH(WORKDAY(L317,-(Setup!$C$13+Setup!$G$30),Setup!$C$39:$C$50))&gt;=Setup!$C$15,MONTH(WORKDAY(L317,-(Setup!$C$13+Setup!$G$30),Setup!$C$39:$C$50))&lt;=Setup!$C$16),OR(MONTH(WORKDAY(L317,-(Setup!$C$13+Setup!$G$30),Setup!$C$39:$C$50))&gt;=Setup!$C$15,MONTH(WORKDAY(L317,-(Setup!$C$13+Setup!$G$30),Setup!$C$39:$C$50))&lt;=Setup!$C$16))),WORKDAY(L317,-(Setup!$C$13+Setup!$G$30+Setup!$C$14),Setup!$C$39:$C$50),WORKDAY(L317,-(Setup!$C$13+Setup!$G$30),Setup!$C$39:$C$50))+(312*100+11)/10000000)))</f>
        <v/>
      </c>
      <c r="AC317" t="str">
        <f>IF(M317="","",IF(M317&lt;Setup!$C$5-Setup!$C$6,"",IF(IF(ISNUMBER(Roster!$D317),Setup!$C$31&lt;=Roster!$D317,FALSE),"",IF(OR(IF(Setup!$C$15&lt;=Setup!$C$16,AND(MONTH(M317)&gt;=Setup!$C$15,MONTH(M317)&lt;=Setup!$C$16),OR(MONTH(M317)&gt;=Setup!$C$15,MONTH(M317)&lt;=Setup!$C$16)),IF(Setup!$C$15&lt;=Setup!$C$16,AND(MONTH(WORKDAY(M317,-(Setup!$C$13+Setup!$G$31),Setup!$C$39:$C$50))&gt;=Setup!$C$15,MONTH(WORKDAY(M317,-(Setup!$C$13+Setup!$G$31),Setup!$C$39:$C$50))&lt;=Setup!$C$16),OR(MONTH(WORKDAY(M317,-(Setup!$C$13+Setup!$G$31),Setup!$C$39:$C$50))&gt;=Setup!$C$15,MONTH(WORKDAY(M317,-(Setup!$C$13+Setup!$G$31),Setup!$C$39:$C$50))&lt;=Setup!$C$16))),WORKDAY(M317,-(Setup!$C$13+Setup!$G$31+Setup!$C$14),Setup!$C$39:$C$50),WORKDAY(M317,-(Setup!$C$13+Setup!$G$31),Setup!$C$39:$C$50))+(312*100+12)/10000000)))</f>
        <v/>
      </c>
      <c r="AD317" t="str">
        <f>IF(N317="","",IF(N317&lt;Setup!$C$5-Setup!$C$6,"",IF(IF(ISNUMBER(Roster!$D317),Setup!$C$32&lt;=Roster!$D317,FALSE),"",IF(OR(IF(Setup!$C$15&lt;=Setup!$C$16,AND(MONTH(N317)&gt;=Setup!$C$15,MONTH(N317)&lt;=Setup!$C$16),OR(MONTH(N317)&gt;=Setup!$C$15,MONTH(N317)&lt;=Setup!$C$16)),IF(Setup!$C$15&lt;=Setup!$C$16,AND(MONTH(WORKDAY(N317,-(Setup!$C$13+Setup!$G$32),Setup!$C$39:$C$50))&gt;=Setup!$C$15,MONTH(WORKDAY(N317,-(Setup!$C$13+Setup!$G$32),Setup!$C$39:$C$50))&lt;=Setup!$C$16),OR(MONTH(WORKDAY(N317,-(Setup!$C$13+Setup!$G$32),Setup!$C$39:$C$50))&gt;=Setup!$C$15,MONTH(WORKDAY(N317,-(Setup!$C$13+Setup!$G$32),Setup!$C$39:$C$50))&lt;=Setup!$C$16))),WORKDAY(N317,-(Setup!$C$13+Setup!$G$32+Setup!$C$14),Setup!$C$39:$C$50),WORKDAY(N317,-(Setup!$C$13+Setup!$G$32),Setup!$C$39:$C$50))+(312*100+13)/10000000)))</f>
        <v/>
      </c>
      <c r="AE317" t="str">
        <f>IF(O317="","",IF(O317&lt;Setup!$C$5-Setup!$C$6,"",IF(IF(ISNUMBER(Roster!$D317),Setup!$C$33&lt;=Roster!$D317,FALSE),"",IF(OR(IF(Setup!$C$15&lt;=Setup!$C$16,AND(MONTH(O317)&gt;=Setup!$C$15,MONTH(O317)&lt;=Setup!$C$16),OR(MONTH(O317)&gt;=Setup!$C$15,MONTH(O317)&lt;=Setup!$C$16)),IF(Setup!$C$15&lt;=Setup!$C$16,AND(MONTH(WORKDAY(O317,-(Setup!$C$13+Setup!$G$33),Setup!$C$39:$C$50))&gt;=Setup!$C$15,MONTH(WORKDAY(O317,-(Setup!$C$13+Setup!$G$33),Setup!$C$39:$C$50))&lt;=Setup!$C$16),OR(MONTH(WORKDAY(O317,-(Setup!$C$13+Setup!$G$33),Setup!$C$39:$C$50))&gt;=Setup!$C$15,MONTH(WORKDAY(O317,-(Setup!$C$13+Setup!$G$33),Setup!$C$39:$C$50))&lt;=Setup!$C$16))),WORKDAY(O317,-(Setup!$C$13+Setup!$G$33+Setup!$C$14),Setup!$C$39:$C$50),WORKDAY(O317,-(Setup!$C$13+Setup!$G$33),Setup!$C$39:$C$50))+(312*100+14)/10000000)))</f>
        <v/>
      </c>
      <c r="AF317" t="str">
        <f>IF(P317="","",IF(P317&lt;Setup!$C$5-Setup!$C$6,"",IF(IF(ISNUMBER(Roster!$D317),Setup!$C$34&lt;=Roster!$D317,FALSE),"",IF(OR(IF(Setup!$C$15&lt;=Setup!$C$16,AND(MONTH(P317)&gt;=Setup!$C$15,MONTH(P317)&lt;=Setup!$C$16),OR(MONTH(P317)&gt;=Setup!$C$15,MONTH(P317)&lt;=Setup!$C$16)),IF(Setup!$C$15&lt;=Setup!$C$16,AND(MONTH(WORKDAY(P317,-(Setup!$C$13+Setup!$G$34),Setup!$C$39:$C$50))&gt;=Setup!$C$15,MONTH(WORKDAY(P317,-(Setup!$C$13+Setup!$G$34),Setup!$C$39:$C$50))&lt;=Setup!$C$16),OR(MONTH(WORKDAY(P317,-(Setup!$C$13+Setup!$G$34),Setup!$C$39:$C$50))&gt;=Setup!$C$15,MONTH(WORKDAY(P317,-(Setup!$C$13+Setup!$G$34),Setup!$C$39:$C$50))&lt;=Setup!$C$16))),WORKDAY(P317,-(Setup!$C$13+Setup!$G$34+Setup!$C$14),Setup!$C$39:$C$50),WORKDAY(P317,-(Setup!$C$13+Setup!$G$34),Setup!$C$39:$C$50))+(312*100+15)/10000000)))</f>
        <v/>
      </c>
      <c r="AH317" t="str">
        <f t="shared" si="33"/>
        <v/>
      </c>
      <c r="AI317" t="str">
        <f t="shared" si="34"/>
        <v/>
      </c>
      <c r="AP317" t="str">
        <f>IF(ISNUMBER(Roster!$B317),MAX(1,YEAR(Setup!$C$5)-YEAR(Roster!$B317)+IF(EDATE(Roster!$B317,12*(YEAR(Setup!$C$5)-YEAR(Roster!$B317)))&lt;Setup!$C$5,1,0)),"")</f>
        <v/>
      </c>
      <c r="AQ317" s="32" t="str">
        <f>IF(AP317="","",EDATE(Roster!$B317,12*AP317))</f>
        <v/>
      </c>
      <c r="AR317" t="str">
        <f>IF(AQ317="","",IF(AQ317&lt;DATE(YEAR(Setup!$C$5)+1,MONTH(Setup!$C$5),DAY(Setup!$C$5)),AQ317+312/1000,""))</f>
        <v/>
      </c>
      <c r="AS317" t="str">
        <f t="shared" si="38"/>
        <v/>
      </c>
      <c r="AT317" t="str">
        <f>IF(AS317="","",IF(ISNUMBER(Roster!$D317),Roster!$D317&gt;=AP317,FALSE))</f>
        <v/>
      </c>
      <c r="AU317" t="str">
        <f t="shared" si="39"/>
        <v/>
      </c>
      <c r="AV317" t="str">
        <f ca="1">IF(312&gt;$AV$2,"",SMALL($AR$6:$AR$505,312))</f>
        <v/>
      </c>
      <c r="AW317" t="str">
        <f t="shared" ca="1" si="40"/>
        <v/>
      </c>
    </row>
    <row r="318" spans="2:49" x14ac:dyDescent="0.2">
      <c r="B318" s="32" t="str">
        <f>IF(AND(ISNUMBER(Roster!$B318),Setup!$B$20="Yes",ISNUMBER(Setup!$C$20)),EDATE(Roster!$B318,12*Setup!$C$20),"")</f>
        <v/>
      </c>
      <c r="C318" s="32" t="str">
        <f>IF(AND(ISNUMBER(Roster!$B318),Setup!$B$21="Yes",ISNUMBER(Setup!$C$21)),EDATE(Roster!$B318,12*Setup!$C$21),"")</f>
        <v/>
      </c>
      <c r="D318" s="32" t="str">
        <f>IF(AND(ISNUMBER(Roster!$B318),Setup!$B$22="Yes",ISNUMBER(Setup!$C$22)),EDATE(Roster!$B318,12*Setup!$C$22),"")</f>
        <v/>
      </c>
      <c r="E318" s="32" t="str">
        <f>IF(AND(ISNUMBER(Roster!$B318),Setup!$B$23="Yes",ISNUMBER(Setup!$C$23)),EDATE(Roster!$B318,12*Setup!$C$23),"")</f>
        <v/>
      </c>
      <c r="F318" s="32" t="str">
        <f>IF(AND(ISNUMBER(Roster!$B318),Setup!$B$24="Yes",ISNUMBER(Setup!$C$24)),EDATE(Roster!$B318,12*Setup!$C$24),"")</f>
        <v/>
      </c>
      <c r="G318" s="32" t="str">
        <f>IF(AND(ISNUMBER(Roster!$B318),Setup!$B$25="Yes",ISNUMBER(Setup!$C$25)),EDATE(Roster!$B318,12*Setup!$C$25),"")</f>
        <v/>
      </c>
      <c r="H318" s="32" t="str">
        <f>IF(AND(ISNUMBER(Roster!$B318),Setup!$B$26="Yes",ISNUMBER(Setup!$C$26)),EDATE(Roster!$B318,12*Setup!$C$26),"")</f>
        <v/>
      </c>
      <c r="I318" s="32" t="str">
        <f>IF(AND(ISNUMBER(Roster!$B318),Setup!$B$27="Yes",ISNUMBER(Setup!$C$27)),EDATE(Roster!$B318,12*Setup!$C$27),"")</f>
        <v/>
      </c>
      <c r="J318" s="32" t="str">
        <f>IF(AND(ISNUMBER(Roster!$B318),Setup!$B$28="Yes",ISNUMBER(Setup!$C$28)),EDATE(Roster!$B318,12*Setup!$C$28),"")</f>
        <v/>
      </c>
      <c r="K318" s="32" t="str">
        <f>IF(AND(ISNUMBER(Roster!$B318),Setup!$B$29="Yes",ISNUMBER(Setup!$C$29)),EDATE(Roster!$B318,12*Setup!$C$29),"")</f>
        <v/>
      </c>
      <c r="L318" s="32" t="str">
        <f>IF(AND(ISNUMBER(Roster!$B318),Setup!$B$30="Yes",ISNUMBER(Setup!$C$30)),EDATE(Roster!$B318,12*Setup!$C$30),"")</f>
        <v/>
      </c>
      <c r="M318" s="32" t="str">
        <f>IF(AND(ISNUMBER(Roster!$B318),Setup!$B$31="Yes",ISNUMBER(Setup!$C$31)),EDATE(Roster!$B318,12*Setup!$C$31),"")</f>
        <v/>
      </c>
      <c r="N318" s="32" t="str">
        <f>IF(AND(ISNUMBER(Roster!$B318),Setup!$B$32="Yes",ISNUMBER(Setup!$C$32)),EDATE(Roster!$B318,12*Setup!$C$32),"")</f>
        <v/>
      </c>
      <c r="O318" s="32" t="str">
        <f>IF(AND(ISNUMBER(Roster!$B318),Setup!$B$33="Yes",ISNUMBER(Setup!$C$33)),EDATE(Roster!$B318,12*Setup!$C$33),"")</f>
        <v/>
      </c>
      <c r="P318" s="32" t="str">
        <f>IF(AND(ISNUMBER(Roster!$B318),Setup!$B$34="Yes",ISNUMBER(Setup!$C$34)),EDATE(Roster!$B318,12*Setup!$C$34),"")</f>
        <v/>
      </c>
      <c r="R318" t="str">
        <f>IF(B318="","",IF(B318&lt;Setup!$C$5-Setup!$C$6,"",IF(IF(ISNUMBER(Roster!$D318),Setup!$C$20&lt;=Roster!$D318,FALSE),"",IF(OR(IF(Setup!$C$15&lt;=Setup!$C$16,AND(MONTH(B318)&gt;=Setup!$C$15,MONTH(B318)&lt;=Setup!$C$16),OR(MONTH(B318)&gt;=Setup!$C$15,MONTH(B318)&lt;=Setup!$C$16)),IF(Setup!$C$15&lt;=Setup!$C$16,AND(MONTH(WORKDAY(B318,-(Setup!$C$13+Setup!$G$20),Setup!$C$39:$C$50))&gt;=Setup!$C$15,MONTH(WORKDAY(B318,-(Setup!$C$13+Setup!$G$20),Setup!$C$39:$C$50))&lt;=Setup!$C$16),OR(MONTH(WORKDAY(B318,-(Setup!$C$13+Setup!$G$20),Setup!$C$39:$C$50))&gt;=Setup!$C$15,MONTH(WORKDAY(B318,-(Setup!$C$13+Setup!$G$20),Setup!$C$39:$C$50))&lt;=Setup!$C$16))),WORKDAY(B318,-(Setup!$C$13+Setup!$G$20+Setup!$C$14),Setup!$C$39:$C$50),WORKDAY(B318,-(Setup!$C$13+Setup!$G$20),Setup!$C$39:$C$50))+(313*100+1)/10000000)))</f>
        <v/>
      </c>
      <c r="S318" t="str">
        <f>IF(C318="","",IF(C318&lt;Setup!$C$5-Setup!$C$6,"",IF(IF(ISNUMBER(Roster!$D318),Setup!$C$21&lt;=Roster!$D318,FALSE),"",IF(OR(IF(Setup!$C$15&lt;=Setup!$C$16,AND(MONTH(C318)&gt;=Setup!$C$15,MONTH(C318)&lt;=Setup!$C$16),OR(MONTH(C318)&gt;=Setup!$C$15,MONTH(C318)&lt;=Setup!$C$16)),IF(Setup!$C$15&lt;=Setup!$C$16,AND(MONTH(WORKDAY(C318,-(Setup!$C$13+Setup!$G$21),Setup!$C$39:$C$50))&gt;=Setup!$C$15,MONTH(WORKDAY(C318,-(Setup!$C$13+Setup!$G$21),Setup!$C$39:$C$50))&lt;=Setup!$C$16),OR(MONTH(WORKDAY(C318,-(Setup!$C$13+Setup!$G$21),Setup!$C$39:$C$50))&gt;=Setup!$C$15,MONTH(WORKDAY(C318,-(Setup!$C$13+Setup!$G$21),Setup!$C$39:$C$50))&lt;=Setup!$C$16))),WORKDAY(C318,-(Setup!$C$13+Setup!$G$21+Setup!$C$14),Setup!$C$39:$C$50),WORKDAY(C318,-(Setup!$C$13+Setup!$G$21),Setup!$C$39:$C$50))+(313*100+2)/10000000)))</f>
        <v/>
      </c>
      <c r="T318" t="str">
        <f>IF(D318="","",IF(D318&lt;Setup!$C$5-Setup!$C$6,"",IF(IF(ISNUMBER(Roster!$D318),Setup!$C$22&lt;=Roster!$D318,FALSE),"",IF(OR(IF(Setup!$C$15&lt;=Setup!$C$16,AND(MONTH(D318)&gt;=Setup!$C$15,MONTH(D318)&lt;=Setup!$C$16),OR(MONTH(D318)&gt;=Setup!$C$15,MONTH(D318)&lt;=Setup!$C$16)),IF(Setup!$C$15&lt;=Setup!$C$16,AND(MONTH(WORKDAY(D318,-(Setup!$C$13+Setup!$G$22),Setup!$C$39:$C$50))&gt;=Setup!$C$15,MONTH(WORKDAY(D318,-(Setup!$C$13+Setup!$G$22),Setup!$C$39:$C$50))&lt;=Setup!$C$16),OR(MONTH(WORKDAY(D318,-(Setup!$C$13+Setup!$G$22),Setup!$C$39:$C$50))&gt;=Setup!$C$15,MONTH(WORKDAY(D318,-(Setup!$C$13+Setup!$G$22),Setup!$C$39:$C$50))&lt;=Setup!$C$16))),WORKDAY(D318,-(Setup!$C$13+Setup!$G$22+Setup!$C$14),Setup!$C$39:$C$50),WORKDAY(D318,-(Setup!$C$13+Setup!$G$22),Setup!$C$39:$C$50))+(313*100+3)/10000000)))</f>
        <v/>
      </c>
      <c r="U318" t="str">
        <f>IF(E318="","",IF(E318&lt;Setup!$C$5-Setup!$C$6,"",IF(IF(ISNUMBER(Roster!$D318),Setup!$C$23&lt;=Roster!$D318,FALSE),"",IF(OR(IF(Setup!$C$15&lt;=Setup!$C$16,AND(MONTH(E318)&gt;=Setup!$C$15,MONTH(E318)&lt;=Setup!$C$16),OR(MONTH(E318)&gt;=Setup!$C$15,MONTH(E318)&lt;=Setup!$C$16)),IF(Setup!$C$15&lt;=Setup!$C$16,AND(MONTH(WORKDAY(E318,-(Setup!$C$13+Setup!$G$23),Setup!$C$39:$C$50))&gt;=Setup!$C$15,MONTH(WORKDAY(E318,-(Setup!$C$13+Setup!$G$23),Setup!$C$39:$C$50))&lt;=Setup!$C$16),OR(MONTH(WORKDAY(E318,-(Setup!$C$13+Setup!$G$23),Setup!$C$39:$C$50))&gt;=Setup!$C$15,MONTH(WORKDAY(E318,-(Setup!$C$13+Setup!$G$23),Setup!$C$39:$C$50))&lt;=Setup!$C$16))),WORKDAY(E318,-(Setup!$C$13+Setup!$G$23+Setup!$C$14),Setup!$C$39:$C$50),WORKDAY(E318,-(Setup!$C$13+Setup!$G$23),Setup!$C$39:$C$50))+(313*100+4)/10000000)))</f>
        <v/>
      </c>
      <c r="V318" t="str">
        <f>IF(F318="","",IF(F318&lt;Setup!$C$5-Setup!$C$6,"",IF(IF(ISNUMBER(Roster!$D318),Setup!$C$24&lt;=Roster!$D318,FALSE),"",IF(OR(IF(Setup!$C$15&lt;=Setup!$C$16,AND(MONTH(F318)&gt;=Setup!$C$15,MONTH(F318)&lt;=Setup!$C$16),OR(MONTH(F318)&gt;=Setup!$C$15,MONTH(F318)&lt;=Setup!$C$16)),IF(Setup!$C$15&lt;=Setup!$C$16,AND(MONTH(WORKDAY(F318,-(Setup!$C$13+Setup!$G$24),Setup!$C$39:$C$50))&gt;=Setup!$C$15,MONTH(WORKDAY(F318,-(Setup!$C$13+Setup!$G$24),Setup!$C$39:$C$50))&lt;=Setup!$C$16),OR(MONTH(WORKDAY(F318,-(Setup!$C$13+Setup!$G$24),Setup!$C$39:$C$50))&gt;=Setup!$C$15,MONTH(WORKDAY(F318,-(Setup!$C$13+Setup!$G$24),Setup!$C$39:$C$50))&lt;=Setup!$C$16))),WORKDAY(F318,-(Setup!$C$13+Setup!$G$24+Setup!$C$14),Setup!$C$39:$C$50),WORKDAY(F318,-(Setup!$C$13+Setup!$G$24),Setup!$C$39:$C$50))+(313*100+5)/10000000)))</f>
        <v/>
      </c>
      <c r="W318" t="str">
        <f>IF(G318="","",IF(G318&lt;Setup!$C$5-Setup!$C$6,"",IF(IF(ISNUMBER(Roster!$D318),Setup!$C$25&lt;=Roster!$D318,FALSE),"",IF(OR(IF(Setup!$C$15&lt;=Setup!$C$16,AND(MONTH(G318)&gt;=Setup!$C$15,MONTH(G318)&lt;=Setup!$C$16),OR(MONTH(G318)&gt;=Setup!$C$15,MONTH(G318)&lt;=Setup!$C$16)),IF(Setup!$C$15&lt;=Setup!$C$16,AND(MONTH(WORKDAY(G318,-(Setup!$C$13+Setup!$G$25),Setup!$C$39:$C$50))&gt;=Setup!$C$15,MONTH(WORKDAY(G318,-(Setup!$C$13+Setup!$G$25),Setup!$C$39:$C$50))&lt;=Setup!$C$16),OR(MONTH(WORKDAY(G318,-(Setup!$C$13+Setup!$G$25),Setup!$C$39:$C$50))&gt;=Setup!$C$15,MONTH(WORKDAY(G318,-(Setup!$C$13+Setup!$G$25),Setup!$C$39:$C$50))&lt;=Setup!$C$16))),WORKDAY(G318,-(Setup!$C$13+Setup!$G$25+Setup!$C$14),Setup!$C$39:$C$50),WORKDAY(G318,-(Setup!$C$13+Setup!$G$25),Setup!$C$39:$C$50))+(313*100+6)/10000000)))</f>
        <v/>
      </c>
      <c r="X318" t="str">
        <f>IF(H318="","",IF(H318&lt;Setup!$C$5-Setup!$C$6,"",IF(IF(ISNUMBER(Roster!$D318),Setup!$C$26&lt;=Roster!$D318,FALSE),"",IF(OR(IF(Setup!$C$15&lt;=Setup!$C$16,AND(MONTH(H318)&gt;=Setup!$C$15,MONTH(H318)&lt;=Setup!$C$16),OR(MONTH(H318)&gt;=Setup!$C$15,MONTH(H318)&lt;=Setup!$C$16)),IF(Setup!$C$15&lt;=Setup!$C$16,AND(MONTH(WORKDAY(H318,-(Setup!$C$13+Setup!$G$26),Setup!$C$39:$C$50))&gt;=Setup!$C$15,MONTH(WORKDAY(H318,-(Setup!$C$13+Setup!$G$26),Setup!$C$39:$C$50))&lt;=Setup!$C$16),OR(MONTH(WORKDAY(H318,-(Setup!$C$13+Setup!$G$26),Setup!$C$39:$C$50))&gt;=Setup!$C$15,MONTH(WORKDAY(H318,-(Setup!$C$13+Setup!$G$26),Setup!$C$39:$C$50))&lt;=Setup!$C$16))),WORKDAY(H318,-(Setup!$C$13+Setup!$G$26+Setup!$C$14),Setup!$C$39:$C$50),WORKDAY(H318,-(Setup!$C$13+Setup!$G$26),Setup!$C$39:$C$50))+(313*100+7)/10000000)))</f>
        <v/>
      </c>
      <c r="Y318" t="str">
        <f>IF(I318="","",IF(I318&lt;Setup!$C$5-Setup!$C$6,"",IF(IF(ISNUMBER(Roster!$D318),Setup!$C$27&lt;=Roster!$D318,FALSE),"",IF(OR(IF(Setup!$C$15&lt;=Setup!$C$16,AND(MONTH(I318)&gt;=Setup!$C$15,MONTH(I318)&lt;=Setup!$C$16),OR(MONTH(I318)&gt;=Setup!$C$15,MONTH(I318)&lt;=Setup!$C$16)),IF(Setup!$C$15&lt;=Setup!$C$16,AND(MONTH(WORKDAY(I318,-(Setup!$C$13+Setup!$G$27),Setup!$C$39:$C$50))&gt;=Setup!$C$15,MONTH(WORKDAY(I318,-(Setup!$C$13+Setup!$G$27),Setup!$C$39:$C$50))&lt;=Setup!$C$16),OR(MONTH(WORKDAY(I318,-(Setup!$C$13+Setup!$G$27),Setup!$C$39:$C$50))&gt;=Setup!$C$15,MONTH(WORKDAY(I318,-(Setup!$C$13+Setup!$G$27),Setup!$C$39:$C$50))&lt;=Setup!$C$16))),WORKDAY(I318,-(Setup!$C$13+Setup!$G$27+Setup!$C$14),Setup!$C$39:$C$50),WORKDAY(I318,-(Setup!$C$13+Setup!$G$27),Setup!$C$39:$C$50))+(313*100+8)/10000000)))</f>
        <v/>
      </c>
      <c r="Z318" t="str">
        <f>IF(J318="","",IF(J318&lt;Setup!$C$5-Setup!$C$6,"",IF(IF(ISNUMBER(Roster!$D318),Setup!$C$28&lt;=Roster!$D318,FALSE),"",IF(OR(IF(Setup!$C$15&lt;=Setup!$C$16,AND(MONTH(J318)&gt;=Setup!$C$15,MONTH(J318)&lt;=Setup!$C$16),OR(MONTH(J318)&gt;=Setup!$C$15,MONTH(J318)&lt;=Setup!$C$16)),IF(Setup!$C$15&lt;=Setup!$C$16,AND(MONTH(WORKDAY(J318,-(Setup!$C$13+Setup!$G$28),Setup!$C$39:$C$50))&gt;=Setup!$C$15,MONTH(WORKDAY(J318,-(Setup!$C$13+Setup!$G$28),Setup!$C$39:$C$50))&lt;=Setup!$C$16),OR(MONTH(WORKDAY(J318,-(Setup!$C$13+Setup!$G$28),Setup!$C$39:$C$50))&gt;=Setup!$C$15,MONTH(WORKDAY(J318,-(Setup!$C$13+Setup!$G$28),Setup!$C$39:$C$50))&lt;=Setup!$C$16))),WORKDAY(J318,-(Setup!$C$13+Setup!$G$28+Setup!$C$14),Setup!$C$39:$C$50),WORKDAY(J318,-(Setup!$C$13+Setup!$G$28),Setup!$C$39:$C$50))+(313*100+9)/10000000)))</f>
        <v/>
      </c>
      <c r="AA318" t="str">
        <f>IF(K318="","",IF(K318&lt;Setup!$C$5-Setup!$C$6,"",IF(IF(ISNUMBER(Roster!$D318),Setup!$C$29&lt;=Roster!$D318,FALSE),"",IF(OR(IF(Setup!$C$15&lt;=Setup!$C$16,AND(MONTH(K318)&gt;=Setup!$C$15,MONTH(K318)&lt;=Setup!$C$16),OR(MONTH(K318)&gt;=Setup!$C$15,MONTH(K318)&lt;=Setup!$C$16)),IF(Setup!$C$15&lt;=Setup!$C$16,AND(MONTH(WORKDAY(K318,-(Setup!$C$13+Setup!$G$29),Setup!$C$39:$C$50))&gt;=Setup!$C$15,MONTH(WORKDAY(K318,-(Setup!$C$13+Setup!$G$29),Setup!$C$39:$C$50))&lt;=Setup!$C$16),OR(MONTH(WORKDAY(K318,-(Setup!$C$13+Setup!$G$29),Setup!$C$39:$C$50))&gt;=Setup!$C$15,MONTH(WORKDAY(K318,-(Setup!$C$13+Setup!$G$29),Setup!$C$39:$C$50))&lt;=Setup!$C$16))),WORKDAY(K318,-(Setup!$C$13+Setup!$G$29+Setup!$C$14),Setup!$C$39:$C$50),WORKDAY(K318,-(Setup!$C$13+Setup!$G$29),Setup!$C$39:$C$50))+(313*100+10)/10000000)))</f>
        <v/>
      </c>
      <c r="AB318" t="str">
        <f>IF(L318="","",IF(L318&lt;Setup!$C$5-Setup!$C$6,"",IF(IF(ISNUMBER(Roster!$D318),Setup!$C$30&lt;=Roster!$D318,FALSE),"",IF(OR(IF(Setup!$C$15&lt;=Setup!$C$16,AND(MONTH(L318)&gt;=Setup!$C$15,MONTH(L318)&lt;=Setup!$C$16),OR(MONTH(L318)&gt;=Setup!$C$15,MONTH(L318)&lt;=Setup!$C$16)),IF(Setup!$C$15&lt;=Setup!$C$16,AND(MONTH(WORKDAY(L318,-(Setup!$C$13+Setup!$G$30),Setup!$C$39:$C$50))&gt;=Setup!$C$15,MONTH(WORKDAY(L318,-(Setup!$C$13+Setup!$G$30),Setup!$C$39:$C$50))&lt;=Setup!$C$16),OR(MONTH(WORKDAY(L318,-(Setup!$C$13+Setup!$G$30),Setup!$C$39:$C$50))&gt;=Setup!$C$15,MONTH(WORKDAY(L318,-(Setup!$C$13+Setup!$G$30),Setup!$C$39:$C$50))&lt;=Setup!$C$16))),WORKDAY(L318,-(Setup!$C$13+Setup!$G$30+Setup!$C$14),Setup!$C$39:$C$50),WORKDAY(L318,-(Setup!$C$13+Setup!$G$30),Setup!$C$39:$C$50))+(313*100+11)/10000000)))</f>
        <v/>
      </c>
      <c r="AC318" t="str">
        <f>IF(M318="","",IF(M318&lt;Setup!$C$5-Setup!$C$6,"",IF(IF(ISNUMBER(Roster!$D318),Setup!$C$31&lt;=Roster!$D318,FALSE),"",IF(OR(IF(Setup!$C$15&lt;=Setup!$C$16,AND(MONTH(M318)&gt;=Setup!$C$15,MONTH(M318)&lt;=Setup!$C$16),OR(MONTH(M318)&gt;=Setup!$C$15,MONTH(M318)&lt;=Setup!$C$16)),IF(Setup!$C$15&lt;=Setup!$C$16,AND(MONTH(WORKDAY(M318,-(Setup!$C$13+Setup!$G$31),Setup!$C$39:$C$50))&gt;=Setup!$C$15,MONTH(WORKDAY(M318,-(Setup!$C$13+Setup!$G$31),Setup!$C$39:$C$50))&lt;=Setup!$C$16),OR(MONTH(WORKDAY(M318,-(Setup!$C$13+Setup!$G$31),Setup!$C$39:$C$50))&gt;=Setup!$C$15,MONTH(WORKDAY(M318,-(Setup!$C$13+Setup!$G$31),Setup!$C$39:$C$50))&lt;=Setup!$C$16))),WORKDAY(M318,-(Setup!$C$13+Setup!$G$31+Setup!$C$14),Setup!$C$39:$C$50),WORKDAY(M318,-(Setup!$C$13+Setup!$G$31),Setup!$C$39:$C$50))+(313*100+12)/10000000)))</f>
        <v/>
      </c>
      <c r="AD318" t="str">
        <f>IF(N318="","",IF(N318&lt;Setup!$C$5-Setup!$C$6,"",IF(IF(ISNUMBER(Roster!$D318),Setup!$C$32&lt;=Roster!$D318,FALSE),"",IF(OR(IF(Setup!$C$15&lt;=Setup!$C$16,AND(MONTH(N318)&gt;=Setup!$C$15,MONTH(N318)&lt;=Setup!$C$16),OR(MONTH(N318)&gt;=Setup!$C$15,MONTH(N318)&lt;=Setup!$C$16)),IF(Setup!$C$15&lt;=Setup!$C$16,AND(MONTH(WORKDAY(N318,-(Setup!$C$13+Setup!$G$32),Setup!$C$39:$C$50))&gt;=Setup!$C$15,MONTH(WORKDAY(N318,-(Setup!$C$13+Setup!$G$32),Setup!$C$39:$C$50))&lt;=Setup!$C$16),OR(MONTH(WORKDAY(N318,-(Setup!$C$13+Setup!$G$32),Setup!$C$39:$C$50))&gt;=Setup!$C$15,MONTH(WORKDAY(N318,-(Setup!$C$13+Setup!$G$32),Setup!$C$39:$C$50))&lt;=Setup!$C$16))),WORKDAY(N318,-(Setup!$C$13+Setup!$G$32+Setup!$C$14),Setup!$C$39:$C$50),WORKDAY(N318,-(Setup!$C$13+Setup!$G$32),Setup!$C$39:$C$50))+(313*100+13)/10000000)))</f>
        <v/>
      </c>
      <c r="AE318" t="str">
        <f>IF(O318="","",IF(O318&lt;Setup!$C$5-Setup!$C$6,"",IF(IF(ISNUMBER(Roster!$D318),Setup!$C$33&lt;=Roster!$D318,FALSE),"",IF(OR(IF(Setup!$C$15&lt;=Setup!$C$16,AND(MONTH(O318)&gt;=Setup!$C$15,MONTH(O318)&lt;=Setup!$C$16),OR(MONTH(O318)&gt;=Setup!$C$15,MONTH(O318)&lt;=Setup!$C$16)),IF(Setup!$C$15&lt;=Setup!$C$16,AND(MONTH(WORKDAY(O318,-(Setup!$C$13+Setup!$G$33),Setup!$C$39:$C$50))&gt;=Setup!$C$15,MONTH(WORKDAY(O318,-(Setup!$C$13+Setup!$G$33),Setup!$C$39:$C$50))&lt;=Setup!$C$16),OR(MONTH(WORKDAY(O318,-(Setup!$C$13+Setup!$G$33),Setup!$C$39:$C$50))&gt;=Setup!$C$15,MONTH(WORKDAY(O318,-(Setup!$C$13+Setup!$G$33),Setup!$C$39:$C$50))&lt;=Setup!$C$16))),WORKDAY(O318,-(Setup!$C$13+Setup!$G$33+Setup!$C$14),Setup!$C$39:$C$50),WORKDAY(O318,-(Setup!$C$13+Setup!$G$33),Setup!$C$39:$C$50))+(313*100+14)/10000000)))</f>
        <v/>
      </c>
      <c r="AF318" t="str">
        <f>IF(P318="","",IF(P318&lt;Setup!$C$5-Setup!$C$6,"",IF(IF(ISNUMBER(Roster!$D318),Setup!$C$34&lt;=Roster!$D318,FALSE),"",IF(OR(IF(Setup!$C$15&lt;=Setup!$C$16,AND(MONTH(P318)&gt;=Setup!$C$15,MONTH(P318)&lt;=Setup!$C$16),OR(MONTH(P318)&gt;=Setup!$C$15,MONTH(P318)&lt;=Setup!$C$16)),IF(Setup!$C$15&lt;=Setup!$C$16,AND(MONTH(WORKDAY(P318,-(Setup!$C$13+Setup!$G$34),Setup!$C$39:$C$50))&gt;=Setup!$C$15,MONTH(WORKDAY(P318,-(Setup!$C$13+Setup!$G$34),Setup!$C$39:$C$50))&lt;=Setup!$C$16),OR(MONTH(WORKDAY(P318,-(Setup!$C$13+Setup!$G$34),Setup!$C$39:$C$50))&gt;=Setup!$C$15,MONTH(WORKDAY(P318,-(Setup!$C$13+Setup!$G$34),Setup!$C$39:$C$50))&lt;=Setup!$C$16))),WORKDAY(P318,-(Setup!$C$13+Setup!$G$34+Setup!$C$14),Setup!$C$39:$C$50),WORKDAY(P318,-(Setup!$C$13+Setup!$G$34),Setup!$C$39:$C$50))+(313*100+15)/10000000)))</f>
        <v/>
      </c>
      <c r="AH318" t="str">
        <f t="shared" si="33"/>
        <v/>
      </c>
      <c r="AI318" t="str">
        <f t="shared" si="34"/>
        <v/>
      </c>
      <c r="AP318" t="str">
        <f>IF(ISNUMBER(Roster!$B318),MAX(1,YEAR(Setup!$C$5)-YEAR(Roster!$B318)+IF(EDATE(Roster!$B318,12*(YEAR(Setup!$C$5)-YEAR(Roster!$B318)))&lt;Setup!$C$5,1,0)),"")</f>
        <v/>
      </c>
      <c r="AQ318" s="32" t="str">
        <f>IF(AP318="","",EDATE(Roster!$B318,12*AP318))</f>
        <v/>
      </c>
      <c r="AR318" t="str">
        <f>IF(AQ318="","",IF(AQ318&lt;DATE(YEAR(Setup!$C$5)+1,MONTH(Setup!$C$5),DAY(Setup!$C$5)),AQ318+313/1000,""))</f>
        <v/>
      </c>
      <c r="AS318" t="str">
        <f t="shared" si="38"/>
        <v/>
      </c>
      <c r="AT318" t="str">
        <f>IF(AS318="","",IF(ISNUMBER(Roster!$D318),Roster!$D318&gt;=AP318,FALSE))</f>
        <v/>
      </c>
      <c r="AU318" t="str">
        <f t="shared" si="39"/>
        <v/>
      </c>
      <c r="AV318" t="str">
        <f ca="1">IF(313&gt;$AV$2,"",SMALL($AR$6:$AR$505,313))</f>
        <v/>
      </c>
      <c r="AW318" t="str">
        <f t="shared" ca="1" si="40"/>
        <v/>
      </c>
    </row>
    <row r="319" spans="2:49" x14ac:dyDescent="0.2">
      <c r="B319" s="32" t="str">
        <f>IF(AND(ISNUMBER(Roster!$B319),Setup!$B$20="Yes",ISNUMBER(Setup!$C$20)),EDATE(Roster!$B319,12*Setup!$C$20),"")</f>
        <v/>
      </c>
      <c r="C319" s="32" t="str">
        <f>IF(AND(ISNUMBER(Roster!$B319),Setup!$B$21="Yes",ISNUMBER(Setup!$C$21)),EDATE(Roster!$B319,12*Setup!$C$21),"")</f>
        <v/>
      </c>
      <c r="D319" s="32" t="str">
        <f>IF(AND(ISNUMBER(Roster!$B319),Setup!$B$22="Yes",ISNUMBER(Setup!$C$22)),EDATE(Roster!$B319,12*Setup!$C$22),"")</f>
        <v/>
      </c>
      <c r="E319" s="32" t="str">
        <f>IF(AND(ISNUMBER(Roster!$B319),Setup!$B$23="Yes",ISNUMBER(Setup!$C$23)),EDATE(Roster!$B319,12*Setup!$C$23),"")</f>
        <v/>
      </c>
      <c r="F319" s="32" t="str">
        <f>IF(AND(ISNUMBER(Roster!$B319),Setup!$B$24="Yes",ISNUMBER(Setup!$C$24)),EDATE(Roster!$B319,12*Setup!$C$24),"")</f>
        <v/>
      </c>
      <c r="G319" s="32" t="str">
        <f>IF(AND(ISNUMBER(Roster!$B319),Setup!$B$25="Yes",ISNUMBER(Setup!$C$25)),EDATE(Roster!$B319,12*Setup!$C$25),"")</f>
        <v/>
      </c>
      <c r="H319" s="32" t="str">
        <f>IF(AND(ISNUMBER(Roster!$B319),Setup!$B$26="Yes",ISNUMBER(Setup!$C$26)),EDATE(Roster!$B319,12*Setup!$C$26),"")</f>
        <v/>
      </c>
      <c r="I319" s="32" t="str">
        <f>IF(AND(ISNUMBER(Roster!$B319),Setup!$B$27="Yes",ISNUMBER(Setup!$C$27)),EDATE(Roster!$B319,12*Setup!$C$27),"")</f>
        <v/>
      </c>
      <c r="J319" s="32" t="str">
        <f>IF(AND(ISNUMBER(Roster!$B319),Setup!$B$28="Yes",ISNUMBER(Setup!$C$28)),EDATE(Roster!$B319,12*Setup!$C$28),"")</f>
        <v/>
      </c>
      <c r="K319" s="32" t="str">
        <f>IF(AND(ISNUMBER(Roster!$B319),Setup!$B$29="Yes",ISNUMBER(Setup!$C$29)),EDATE(Roster!$B319,12*Setup!$C$29),"")</f>
        <v/>
      </c>
      <c r="L319" s="32" t="str">
        <f>IF(AND(ISNUMBER(Roster!$B319),Setup!$B$30="Yes",ISNUMBER(Setup!$C$30)),EDATE(Roster!$B319,12*Setup!$C$30),"")</f>
        <v/>
      </c>
      <c r="M319" s="32" t="str">
        <f>IF(AND(ISNUMBER(Roster!$B319),Setup!$B$31="Yes",ISNUMBER(Setup!$C$31)),EDATE(Roster!$B319,12*Setup!$C$31),"")</f>
        <v/>
      </c>
      <c r="N319" s="32" t="str">
        <f>IF(AND(ISNUMBER(Roster!$B319),Setup!$B$32="Yes",ISNUMBER(Setup!$C$32)),EDATE(Roster!$B319,12*Setup!$C$32),"")</f>
        <v/>
      </c>
      <c r="O319" s="32" t="str">
        <f>IF(AND(ISNUMBER(Roster!$B319),Setup!$B$33="Yes",ISNUMBER(Setup!$C$33)),EDATE(Roster!$B319,12*Setup!$C$33),"")</f>
        <v/>
      </c>
      <c r="P319" s="32" t="str">
        <f>IF(AND(ISNUMBER(Roster!$B319),Setup!$B$34="Yes",ISNUMBER(Setup!$C$34)),EDATE(Roster!$B319,12*Setup!$C$34),"")</f>
        <v/>
      </c>
      <c r="R319" t="str">
        <f>IF(B319="","",IF(B319&lt;Setup!$C$5-Setup!$C$6,"",IF(IF(ISNUMBER(Roster!$D319),Setup!$C$20&lt;=Roster!$D319,FALSE),"",IF(OR(IF(Setup!$C$15&lt;=Setup!$C$16,AND(MONTH(B319)&gt;=Setup!$C$15,MONTH(B319)&lt;=Setup!$C$16),OR(MONTH(B319)&gt;=Setup!$C$15,MONTH(B319)&lt;=Setup!$C$16)),IF(Setup!$C$15&lt;=Setup!$C$16,AND(MONTH(WORKDAY(B319,-(Setup!$C$13+Setup!$G$20),Setup!$C$39:$C$50))&gt;=Setup!$C$15,MONTH(WORKDAY(B319,-(Setup!$C$13+Setup!$G$20),Setup!$C$39:$C$50))&lt;=Setup!$C$16),OR(MONTH(WORKDAY(B319,-(Setup!$C$13+Setup!$G$20),Setup!$C$39:$C$50))&gt;=Setup!$C$15,MONTH(WORKDAY(B319,-(Setup!$C$13+Setup!$G$20),Setup!$C$39:$C$50))&lt;=Setup!$C$16))),WORKDAY(B319,-(Setup!$C$13+Setup!$G$20+Setup!$C$14),Setup!$C$39:$C$50),WORKDAY(B319,-(Setup!$C$13+Setup!$G$20),Setup!$C$39:$C$50))+(314*100+1)/10000000)))</f>
        <v/>
      </c>
      <c r="S319" t="str">
        <f>IF(C319="","",IF(C319&lt;Setup!$C$5-Setup!$C$6,"",IF(IF(ISNUMBER(Roster!$D319),Setup!$C$21&lt;=Roster!$D319,FALSE),"",IF(OR(IF(Setup!$C$15&lt;=Setup!$C$16,AND(MONTH(C319)&gt;=Setup!$C$15,MONTH(C319)&lt;=Setup!$C$16),OR(MONTH(C319)&gt;=Setup!$C$15,MONTH(C319)&lt;=Setup!$C$16)),IF(Setup!$C$15&lt;=Setup!$C$16,AND(MONTH(WORKDAY(C319,-(Setup!$C$13+Setup!$G$21),Setup!$C$39:$C$50))&gt;=Setup!$C$15,MONTH(WORKDAY(C319,-(Setup!$C$13+Setup!$G$21),Setup!$C$39:$C$50))&lt;=Setup!$C$16),OR(MONTH(WORKDAY(C319,-(Setup!$C$13+Setup!$G$21),Setup!$C$39:$C$50))&gt;=Setup!$C$15,MONTH(WORKDAY(C319,-(Setup!$C$13+Setup!$G$21),Setup!$C$39:$C$50))&lt;=Setup!$C$16))),WORKDAY(C319,-(Setup!$C$13+Setup!$G$21+Setup!$C$14),Setup!$C$39:$C$50),WORKDAY(C319,-(Setup!$C$13+Setup!$G$21),Setup!$C$39:$C$50))+(314*100+2)/10000000)))</f>
        <v/>
      </c>
      <c r="T319" t="str">
        <f>IF(D319="","",IF(D319&lt;Setup!$C$5-Setup!$C$6,"",IF(IF(ISNUMBER(Roster!$D319),Setup!$C$22&lt;=Roster!$D319,FALSE),"",IF(OR(IF(Setup!$C$15&lt;=Setup!$C$16,AND(MONTH(D319)&gt;=Setup!$C$15,MONTH(D319)&lt;=Setup!$C$16),OR(MONTH(D319)&gt;=Setup!$C$15,MONTH(D319)&lt;=Setup!$C$16)),IF(Setup!$C$15&lt;=Setup!$C$16,AND(MONTH(WORKDAY(D319,-(Setup!$C$13+Setup!$G$22),Setup!$C$39:$C$50))&gt;=Setup!$C$15,MONTH(WORKDAY(D319,-(Setup!$C$13+Setup!$G$22),Setup!$C$39:$C$50))&lt;=Setup!$C$16),OR(MONTH(WORKDAY(D319,-(Setup!$C$13+Setup!$G$22),Setup!$C$39:$C$50))&gt;=Setup!$C$15,MONTH(WORKDAY(D319,-(Setup!$C$13+Setup!$G$22),Setup!$C$39:$C$50))&lt;=Setup!$C$16))),WORKDAY(D319,-(Setup!$C$13+Setup!$G$22+Setup!$C$14),Setup!$C$39:$C$50),WORKDAY(D319,-(Setup!$C$13+Setup!$G$22),Setup!$C$39:$C$50))+(314*100+3)/10000000)))</f>
        <v/>
      </c>
      <c r="U319" t="str">
        <f>IF(E319="","",IF(E319&lt;Setup!$C$5-Setup!$C$6,"",IF(IF(ISNUMBER(Roster!$D319),Setup!$C$23&lt;=Roster!$D319,FALSE),"",IF(OR(IF(Setup!$C$15&lt;=Setup!$C$16,AND(MONTH(E319)&gt;=Setup!$C$15,MONTH(E319)&lt;=Setup!$C$16),OR(MONTH(E319)&gt;=Setup!$C$15,MONTH(E319)&lt;=Setup!$C$16)),IF(Setup!$C$15&lt;=Setup!$C$16,AND(MONTH(WORKDAY(E319,-(Setup!$C$13+Setup!$G$23),Setup!$C$39:$C$50))&gt;=Setup!$C$15,MONTH(WORKDAY(E319,-(Setup!$C$13+Setup!$G$23),Setup!$C$39:$C$50))&lt;=Setup!$C$16),OR(MONTH(WORKDAY(E319,-(Setup!$C$13+Setup!$G$23),Setup!$C$39:$C$50))&gt;=Setup!$C$15,MONTH(WORKDAY(E319,-(Setup!$C$13+Setup!$G$23),Setup!$C$39:$C$50))&lt;=Setup!$C$16))),WORKDAY(E319,-(Setup!$C$13+Setup!$G$23+Setup!$C$14),Setup!$C$39:$C$50),WORKDAY(E319,-(Setup!$C$13+Setup!$G$23),Setup!$C$39:$C$50))+(314*100+4)/10000000)))</f>
        <v/>
      </c>
      <c r="V319" t="str">
        <f>IF(F319="","",IF(F319&lt;Setup!$C$5-Setup!$C$6,"",IF(IF(ISNUMBER(Roster!$D319),Setup!$C$24&lt;=Roster!$D319,FALSE),"",IF(OR(IF(Setup!$C$15&lt;=Setup!$C$16,AND(MONTH(F319)&gt;=Setup!$C$15,MONTH(F319)&lt;=Setup!$C$16),OR(MONTH(F319)&gt;=Setup!$C$15,MONTH(F319)&lt;=Setup!$C$16)),IF(Setup!$C$15&lt;=Setup!$C$16,AND(MONTH(WORKDAY(F319,-(Setup!$C$13+Setup!$G$24),Setup!$C$39:$C$50))&gt;=Setup!$C$15,MONTH(WORKDAY(F319,-(Setup!$C$13+Setup!$G$24),Setup!$C$39:$C$50))&lt;=Setup!$C$16),OR(MONTH(WORKDAY(F319,-(Setup!$C$13+Setup!$G$24),Setup!$C$39:$C$50))&gt;=Setup!$C$15,MONTH(WORKDAY(F319,-(Setup!$C$13+Setup!$G$24),Setup!$C$39:$C$50))&lt;=Setup!$C$16))),WORKDAY(F319,-(Setup!$C$13+Setup!$G$24+Setup!$C$14),Setup!$C$39:$C$50),WORKDAY(F319,-(Setup!$C$13+Setup!$G$24),Setup!$C$39:$C$50))+(314*100+5)/10000000)))</f>
        <v/>
      </c>
      <c r="W319" t="str">
        <f>IF(G319="","",IF(G319&lt;Setup!$C$5-Setup!$C$6,"",IF(IF(ISNUMBER(Roster!$D319),Setup!$C$25&lt;=Roster!$D319,FALSE),"",IF(OR(IF(Setup!$C$15&lt;=Setup!$C$16,AND(MONTH(G319)&gt;=Setup!$C$15,MONTH(G319)&lt;=Setup!$C$16),OR(MONTH(G319)&gt;=Setup!$C$15,MONTH(G319)&lt;=Setup!$C$16)),IF(Setup!$C$15&lt;=Setup!$C$16,AND(MONTH(WORKDAY(G319,-(Setup!$C$13+Setup!$G$25),Setup!$C$39:$C$50))&gt;=Setup!$C$15,MONTH(WORKDAY(G319,-(Setup!$C$13+Setup!$G$25),Setup!$C$39:$C$50))&lt;=Setup!$C$16),OR(MONTH(WORKDAY(G319,-(Setup!$C$13+Setup!$G$25),Setup!$C$39:$C$50))&gt;=Setup!$C$15,MONTH(WORKDAY(G319,-(Setup!$C$13+Setup!$G$25),Setup!$C$39:$C$50))&lt;=Setup!$C$16))),WORKDAY(G319,-(Setup!$C$13+Setup!$G$25+Setup!$C$14),Setup!$C$39:$C$50),WORKDAY(G319,-(Setup!$C$13+Setup!$G$25),Setup!$C$39:$C$50))+(314*100+6)/10000000)))</f>
        <v/>
      </c>
      <c r="X319" t="str">
        <f>IF(H319="","",IF(H319&lt;Setup!$C$5-Setup!$C$6,"",IF(IF(ISNUMBER(Roster!$D319),Setup!$C$26&lt;=Roster!$D319,FALSE),"",IF(OR(IF(Setup!$C$15&lt;=Setup!$C$16,AND(MONTH(H319)&gt;=Setup!$C$15,MONTH(H319)&lt;=Setup!$C$16),OR(MONTH(H319)&gt;=Setup!$C$15,MONTH(H319)&lt;=Setup!$C$16)),IF(Setup!$C$15&lt;=Setup!$C$16,AND(MONTH(WORKDAY(H319,-(Setup!$C$13+Setup!$G$26),Setup!$C$39:$C$50))&gt;=Setup!$C$15,MONTH(WORKDAY(H319,-(Setup!$C$13+Setup!$G$26),Setup!$C$39:$C$50))&lt;=Setup!$C$16),OR(MONTH(WORKDAY(H319,-(Setup!$C$13+Setup!$G$26),Setup!$C$39:$C$50))&gt;=Setup!$C$15,MONTH(WORKDAY(H319,-(Setup!$C$13+Setup!$G$26),Setup!$C$39:$C$50))&lt;=Setup!$C$16))),WORKDAY(H319,-(Setup!$C$13+Setup!$G$26+Setup!$C$14),Setup!$C$39:$C$50),WORKDAY(H319,-(Setup!$C$13+Setup!$G$26),Setup!$C$39:$C$50))+(314*100+7)/10000000)))</f>
        <v/>
      </c>
      <c r="Y319" t="str">
        <f>IF(I319="","",IF(I319&lt;Setup!$C$5-Setup!$C$6,"",IF(IF(ISNUMBER(Roster!$D319),Setup!$C$27&lt;=Roster!$D319,FALSE),"",IF(OR(IF(Setup!$C$15&lt;=Setup!$C$16,AND(MONTH(I319)&gt;=Setup!$C$15,MONTH(I319)&lt;=Setup!$C$16),OR(MONTH(I319)&gt;=Setup!$C$15,MONTH(I319)&lt;=Setup!$C$16)),IF(Setup!$C$15&lt;=Setup!$C$16,AND(MONTH(WORKDAY(I319,-(Setup!$C$13+Setup!$G$27),Setup!$C$39:$C$50))&gt;=Setup!$C$15,MONTH(WORKDAY(I319,-(Setup!$C$13+Setup!$G$27),Setup!$C$39:$C$50))&lt;=Setup!$C$16),OR(MONTH(WORKDAY(I319,-(Setup!$C$13+Setup!$G$27),Setup!$C$39:$C$50))&gt;=Setup!$C$15,MONTH(WORKDAY(I319,-(Setup!$C$13+Setup!$G$27),Setup!$C$39:$C$50))&lt;=Setup!$C$16))),WORKDAY(I319,-(Setup!$C$13+Setup!$G$27+Setup!$C$14),Setup!$C$39:$C$50),WORKDAY(I319,-(Setup!$C$13+Setup!$G$27),Setup!$C$39:$C$50))+(314*100+8)/10000000)))</f>
        <v/>
      </c>
      <c r="Z319" t="str">
        <f>IF(J319="","",IF(J319&lt;Setup!$C$5-Setup!$C$6,"",IF(IF(ISNUMBER(Roster!$D319),Setup!$C$28&lt;=Roster!$D319,FALSE),"",IF(OR(IF(Setup!$C$15&lt;=Setup!$C$16,AND(MONTH(J319)&gt;=Setup!$C$15,MONTH(J319)&lt;=Setup!$C$16),OR(MONTH(J319)&gt;=Setup!$C$15,MONTH(J319)&lt;=Setup!$C$16)),IF(Setup!$C$15&lt;=Setup!$C$16,AND(MONTH(WORKDAY(J319,-(Setup!$C$13+Setup!$G$28),Setup!$C$39:$C$50))&gt;=Setup!$C$15,MONTH(WORKDAY(J319,-(Setup!$C$13+Setup!$G$28),Setup!$C$39:$C$50))&lt;=Setup!$C$16),OR(MONTH(WORKDAY(J319,-(Setup!$C$13+Setup!$G$28),Setup!$C$39:$C$50))&gt;=Setup!$C$15,MONTH(WORKDAY(J319,-(Setup!$C$13+Setup!$G$28),Setup!$C$39:$C$50))&lt;=Setup!$C$16))),WORKDAY(J319,-(Setup!$C$13+Setup!$G$28+Setup!$C$14),Setup!$C$39:$C$50),WORKDAY(J319,-(Setup!$C$13+Setup!$G$28),Setup!$C$39:$C$50))+(314*100+9)/10000000)))</f>
        <v/>
      </c>
      <c r="AA319" t="str">
        <f>IF(K319="","",IF(K319&lt;Setup!$C$5-Setup!$C$6,"",IF(IF(ISNUMBER(Roster!$D319),Setup!$C$29&lt;=Roster!$D319,FALSE),"",IF(OR(IF(Setup!$C$15&lt;=Setup!$C$16,AND(MONTH(K319)&gt;=Setup!$C$15,MONTH(K319)&lt;=Setup!$C$16),OR(MONTH(K319)&gt;=Setup!$C$15,MONTH(K319)&lt;=Setup!$C$16)),IF(Setup!$C$15&lt;=Setup!$C$16,AND(MONTH(WORKDAY(K319,-(Setup!$C$13+Setup!$G$29),Setup!$C$39:$C$50))&gt;=Setup!$C$15,MONTH(WORKDAY(K319,-(Setup!$C$13+Setup!$G$29),Setup!$C$39:$C$50))&lt;=Setup!$C$16),OR(MONTH(WORKDAY(K319,-(Setup!$C$13+Setup!$G$29),Setup!$C$39:$C$50))&gt;=Setup!$C$15,MONTH(WORKDAY(K319,-(Setup!$C$13+Setup!$G$29),Setup!$C$39:$C$50))&lt;=Setup!$C$16))),WORKDAY(K319,-(Setup!$C$13+Setup!$G$29+Setup!$C$14),Setup!$C$39:$C$50),WORKDAY(K319,-(Setup!$C$13+Setup!$G$29),Setup!$C$39:$C$50))+(314*100+10)/10000000)))</f>
        <v/>
      </c>
      <c r="AB319" t="str">
        <f>IF(L319="","",IF(L319&lt;Setup!$C$5-Setup!$C$6,"",IF(IF(ISNUMBER(Roster!$D319),Setup!$C$30&lt;=Roster!$D319,FALSE),"",IF(OR(IF(Setup!$C$15&lt;=Setup!$C$16,AND(MONTH(L319)&gt;=Setup!$C$15,MONTH(L319)&lt;=Setup!$C$16),OR(MONTH(L319)&gt;=Setup!$C$15,MONTH(L319)&lt;=Setup!$C$16)),IF(Setup!$C$15&lt;=Setup!$C$16,AND(MONTH(WORKDAY(L319,-(Setup!$C$13+Setup!$G$30),Setup!$C$39:$C$50))&gt;=Setup!$C$15,MONTH(WORKDAY(L319,-(Setup!$C$13+Setup!$G$30),Setup!$C$39:$C$50))&lt;=Setup!$C$16),OR(MONTH(WORKDAY(L319,-(Setup!$C$13+Setup!$G$30),Setup!$C$39:$C$50))&gt;=Setup!$C$15,MONTH(WORKDAY(L319,-(Setup!$C$13+Setup!$G$30),Setup!$C$39:$C$50))&lt;=Setup!$C$16))),WORKDAY(L319,-(Setup!$C$13+Setup!$G$30+Setup!$C$14),Setup!$C$39:$C$50),WORKDAY(L319,-(Setup!$C$13+Setup!$G$30),Setup!$C$39:$C$50))+(314*100+11)/10000000)))</f>
        <v/>
      </c>
      <c r="AC319" t="str">
        <f>IF(M319="","",IF(M319&lt;Setup!$C$5-Setup!$C$6,"",IF(IF(ISNUMBER(Roster!$D319),Setup!$C$31&lt;=Roster!$D319,FALSE),"",IF(OR(IF(Setup!$C$15&lt;=Setup!$C$16,AND(MONTH(M319)&gt;=Setup!$C$15,MONTH(M319)&lt;=Setup!$C$16),OR(MONTH(M319)&gt;=Setup!$C$15,MONTH(M319)&lt;=Setup!$C$16)),IF(Setup!$C$15&lt;=Setup!$C$16,AND(MONTH(WORKDAY(M319,-(Setup!$C$13+Setup!$G$31),Setup!$C$39:$C$50))&gt;=Setup!$C$15,MONTH(WORKDAY(M319,-(Setup!$C$13+Setup!$G$31),Setup!$C$39:$C$50))&lt;=Setup!$C$16),OR(MONTH(WORKDAY(M319,-(Setup!$C$13+Setup!$G$31),Setup!$C$39:$C$50))&gt;=Setup!$C$15,MONTH(WORKDAY(M319,-(Setup!$C$13+Setup!$G$31),Setup!$C$39:$C$50))&lt;=Setup!$C$16))),WORKDAY(M319,-(Setup!$C$13+Setup!$G$31+Setup!$C$14),Setup!$C$39:$C$50),WORKDAY(M319,-(Setup!$C$13+Setup!$G$31),Setup!$C$39:$C$50))+(314*100+12)/10000000)))</f>
        <v/>
      </c>
      <c r="AD319" t="str">
        <f>IF(N319="","",IF(N319&lt;Setup!$C$5-Setup!$C$6,"",IF(IF(ISNUMBER(Roster!$D319),Setup!$C$32&lt;=Roster!$D319,FALSE),"",IF(OR(IF(Setup!$C$15&lt;=Setup!$C$16,AND(MONTH(N319)&gt;=Setup!$C$15,MONTH(N319)&lt;=Setup!$C$16),OR(MONTH(N319)&gt;=Setup!$C$15,MONTH(N319)&lt;=Setup!$C$16)),IF(Setup!$C$15&lt;=Setup!$C$16,AND(MONTH(WORKDAY(N319,-(Setup!$C$13+Setup!$G$32),Setup!$C$39:$C$50))&gt;=Setup!$C$15,MONTH(WORKDAY(N319,-(Setup!$C$13+Setup!$G$32),Setup!$C$39:$C$50))&lt;=Setup!$C$16),OR(MONTH(WORKDAY(N319,-(Setup!$C$13+Setup!$G$32),Setup!$C$39:$C$50))&gt;=Setup!$C$15,MONTH(WORKDAY(N319,-(Setup!$C$13+Setup!$G$32),Setup!$C$39:$C$50))&lt;=Setup!$C$16))),WORKDAY(N319,-(Setup!$C$13+Setup!$G$32+Setup!$C$14),Setup!$C$39:$C$50),WORKDAY(N319,-(Setup!$C$13+Setup!$G$32),Setup!$C$39:$C$50))+(314*100+13)/10000000)))</f>
        <v/>
      </c>
      <c r="AE319" t="str">
        <f>IF(O319="","",IF(O319&lt;Setup!$C$5-Setup!$C$6,"",IF(IF(ISNUMBER(Roster!$D319),Setup!$C$33&lt;=Roster!$D319,FALSE),"",IF(OR(IF(Setup!$C$15&lt;=Setup!$C$16,AND(MONTH(O319)&gt;=Setup!$C$15,MONTH(O319)&lt;=Setup!$C$16),OR(MONTH(O319)&gt;=Setup!$C$15,MONTH(O319)&lt;=Setup!$C$16)),IF(Setup!$C$15&lt;=Setup!$C$16,AND(MONTH(WORKDAY(O319,-(Setup!$C$13+Setup!$G$33),Setup!$C$39:$C$50))&gt;=Setup!$C$15,MONTH(WORKDAY(O319,-(Setup!$C$13+Setup!$G$33),Setup!$C$39:$C$50))&lt;=Setup!$C$16),OR(MONTH(WORKDAY(O319,-(Setup!$C$13+Setup!$G$33),Setup!$C$39:$C$50))&gt;=Setup!$C$15,MONTH(WORKDAY(O319,-(Setup!$C$13+Setup!$G$33),Setup!$C$39:$C$50))&lt;=Setup!$C$16))),WORKDAY(O319,-(Setup!$C$13+Setup!$G$33+Setup!$C$14),Setup!$C$39:$C$50),WORKDAY(O319,-(Setup!$C$13+Setup!$G$33),Setup!$C$39:$C$50))+(314*100+14)/10000000)))</f>
        <v/>
      </c>
      <c r="AF319" t="str">
        <f>IF(P319="","",IF(P319&lt;Setup!$C$5-Setup!$C$6,"",IF(IF(ISNUMBER(Roster!$D319),Setup!$C$34&lt;=Roster!$D319,FALSE),"",IF(OR(IF(Setup!$C$15&lt;=Setup!$C$16,AND(MONTH(P319)&gt;=Setup!$C$15,MONTH(P319)&lt;=Setup!$C$16),OR(MONTH(P319)&gt;=Setup!$C$15,MONTH(P319)&lt;=Setup!$C$16)),IF(Setup!$C$15&lt;=Setup!$C$16,AND(MONTH(WORKDAY(P319,-(Setup!$C$13+Setup!$G$34),Setup!$C$39:$C$50))&gt;=Setup!$C$15,MONTH(WORKDAY(P319,-(Setup!$C$13+Setup!$G$34),Setup!$C$39:$C$50))&lt;=Setup!$C$16),OR(MONTH(WORKDAY(P319,-(Setup!$C$13+Setup!$G$34),Setup!$C$39:$C$50))&gt;=Setup!$C$15,MONTH(WORKDAY(P319,-(Setup!$C$13+Setup!$G$34),Setup!$C$39:$C$50))&lt;=Setup!$C$16))),WORKDAY(P319,-(Setup!$C$13+Setup!$G$34+Setup!$C$14),Setup!$C$39:$C$50),WORKDAY(P319,-(Setup!$C$13+Setup!$G$34),Setup!$C$39:$C$50))+(314*100+15)/10000000)))</f>
        <v/>
      </c>
      <c r="AH319" t="str">
        <f t="shared" si="33"/>
        <v/>
      </c>
      <c r="AI319" t="str">
        <f t="shared" si="34"/>
        <v/>
      </c>
      <c r="AP319" t="str">
        <f>IF(ISNUMBER(Roster!$B319),MAX(1,YEAR(Setup!$C$5)-YEAR(Roster!$B319)+IF(EDATE(Roster!$B319,12*(YEAR(Setup!$C$5)-YEAR(Roster!$B319)))&lt;Setup!$C$5,1,0)),"")</f>
        <v/>
      </c>
      <c r="AQ319" s="32" t="str">
        <f>IF(AP319="","",EDATE(Roster!$B319,12*AP319))</f>
        <v/>
      </c>
      <c r="AR319" t="str">
        <f>IF(AQ319="","",IF(AQ319&lt;DATE(YEAR(Setup!$C$5)+1,MONTH(Setup!$C$5),DAY(Setup!$C$5)),AQ319+314/1000,""))</f>
        <v/>
      </c>
      <c r="AS319" t="str">
        <f t="shared" si="38"/>
        <v/>
      </c>
      <c r="AT319" t="str">
        <f>IF(AS319="","",IF(ISNUMBER(Roster!$D319),Roster!$D319&gt;=AP319,FALSE))</f>
        <v/>
      </c>
      <c r="AU319" t="str">
        <f t="shared" si="39"/>
        <v/>
      </c>
      <c r="AV319" t="str">
        <f ca="1">IF(314&gt;$AV$2,"",SMALL($AR$6:$AR$505,314))</f>
        <v/>
      </c>
      <c r="AW319" t="str">
        <f t="shared" ca="1" si="40"/>
        <v/>
      </c>
    </row>
    <row r="320" spans="2:49" x14ac:dyDescent="0.2">
      <c r="B320" s="32" t="str">
        <f>IF(AND(ISNUMBER(Roster!$B320),Setup!$B$20="Yes",ISNUMBER(Setup!$C$20)),EDATE(Roster!$B320,12*Setup!$C$20),"")</f>
        <v/>
      </c>
      <c r="C320" s="32" t="str">
        <f>IF(AND(ISNUMBER(Roster!$B320),Setup!$B$21="Yes",ISNUMBER(Setup!$C$21)),EDATE(Roster!$B320,12*Setup!$C$21),"")</f>
        <v/>
      </c>
      <c r="D320" s="32" t="str">
        <f>IF(AND(ISNUMBER(Roster!$B320),Setup!$B$22="Yes",ISNUMBER(Setup!$C$22)),EDATE(Roster!$B320,12*Setup!$C$22),"")</f>
        <v/>
      </c>
      <c r="E320" s="32" t="str">
        <f>IF(AND(ISNUMBER(Roster!$B320),Setup!$B$23="Yes",ISNUMBER(Setup!$C$23)),EDATE(Roster!$B320,12*Setup!$C$23),"")</f>
        <v/>
      </c>
      <c r="F320" s="32" t="str">
        <f>IF(AND(ISNUMBER(Roster!$B320),Setup!$B$24="Yes",ISNUMBER(Setup!$C$24)),EDATE(Roster!$B320,12*Setup!$C$24),"")</f>
        <v/>
      </c>
      <c r="G320" s="32" t="str">
        <f>IF(AND(ISNUMBER(Roster!$B320),Setup!$B$25="Yes",ISNUMBER(Setup!$C$25)),EDATE(Roster!$B320,12*Setup!$C$25),"")</f>
        <v/>
      </c>
      <c r="H320" s="32" t="str">
        <f>IF(AND(ISNUMBER(Roster!$B320),Setup!$B$26="Yes",ISNUMBER(Setup!$C$26)),EDATE(Roster!$B320,12*Setup!$C$26),"")</f>
        <v/>
      </c>
      <c r="I320" s="32" t="str">
        <f>IF(AND(ISNUMBER(Roster!$B320),Setup!$B$27="Yes",ISNUMBER(Setup!$C$27)),EDATE(Roster!$B320,12*Setup!$C$27),"")</f>
        <v/>
      </c>
      <c r="J320" s="32" t="str">
        <f>IF(AND(ISNUMBER(Roster!$B320),Setup!$B$28="Yes",ISNUMBER(Setup!$C$28)),EDATE(Roster!$B320,12*Setup!$C$28),"")</f>
        <v/>
      </c>
      <c r="K320" s="32" t="str">
        <f>IF(AND(ISNUMBER(Roster!$B320),Setup!$B$29="Yes",ISNUMBER(Setup!$C$29)),EDATE(Roster!$B320,12*Setup!$C$29),"")</f>
        <v/>
      </c>
      <c r="L320" s="32" t="str">
        <f>IF(AND(ISNUMBER(Roster!$B320),Setup!$B$30="Yes",ISNUMBER(Setup!$C$30)),EDATE(Roster!$B320,12*Setup!$C$30),"")</f>
        <v/>
      </c>
      <c r="M320" s="32" t="str">
        <f>IF(AND(ISNUMBER(Roster!$B320),Setup!$B$31="Yes",ISNUMBER(Setup!$C$31)),EDATE(Roster!$B320,12*Setup!$C$31),"")</f>
        <v/>
      </c>
      <c r="N320" s="32" t="str">
        <f>IF(AND(ISNUMBER(Roster!$B320),Setup!$B$32="Yes",ISNUMBER(Setup!$C$32)),EDATE(Roster!$B320,12*Setup!$C$32),"")</f>
        <v/>
      </c>
      <c r="O320" s="32" t="str">
        <f>IF(AND(ISNUMBER(Roster!$B320),Setup!$B$33="Yes",ISNUMBER(Setup!$C$33)),EDATE(Roster!$B320,12*Setup!$C$33),"")</f>
        <v/>
      </c>
      <c r="P320" s="32" t="str">
        <f>IF(AND(ISNUMBER(Roster!$B320),Setup!$B$34="Yes",ISNUMBER(Setup!$C$34)),EDATE(Roster!$B320,12*Setup!$C$34),"")</f>
        <v/>
      </c>
      <c r="R320" t="str">
        <f>IF(B320="","",IF(B320&lt;Setup!$C$5-Setup!$C$6,"",IF(IF(ISNUMBER(Roster!$D320),Setup!$C$20&lt;=Roster!$D320,FALSE),"",IF(OR(IF(Setup!$C$15&lt;=Setup!$C$16,AND(MONTH(B320)&gt;=Setup!$C$15,MONTH(B320)&lt;=Setup!$C$16),OR(MONTH(B320)&gt;=Setup!$C$15,MONTH(B320)&lt;=Setup!$C$16)),IF(Setup!$C$15&lt;=Setup!$C$16,AND(MONTH(WORKDAY(B320,-(Setup!$C$13+Setup!$G$20),Setup!$C$39:$C$50))&gt;=Setup!$C$15,MONTH(WORKDAY(B320,-(Setup!$C$13+Setup!$G$20),Setup!$C$39:$C$50))&lt;=Setup!$C$16),OR(MONTH(WORKDAY(B320,-(Setup!$C$13+Setup!$G$20),Setup!$C$39:$C$50))&gt;=Setup!$C$15,MONTH(WORKDAY(B320,-(Setup!$C$13+Setup!$G$20),Setup!$C$39:$C$50))&lt;=Setup!$C$16))),WORKDAY(B320,-(Setup!$C$13+Setup!$G$20+Setup!$C$14),Setup!$C$39:$C$50),WORKDAY(B320,-(Setup!$C$13+Setup!$G$20),Setup!$C$39:$C$50))+(315*100+1)/10000000)))</f>
        <v/>
      </c>
      <c r="S320" t="str">
        <f>IF(C320="","",IF(C320&lt;Setup!$C$5-Setup!$C$6,"",IF(IF(ISNUMBER(Roster!$D320),Setup!$C$21&lt;=Roster!$D320,FALSE),"",IF(OR(IF(Setup!$C$15&lt;=Setup!$C$16,AND(MONTH(C320)&gt;=Setup!$C$15,MONTH(C320)&lt;=Setup!$C$16),OR(MONTH(C320)&gt;=Setup!$C$15,MONTH(C320)&lt;=Setup!$C$16)),IF(Setup!$C$15&lt;=Setup!$C$16,AND(MONTH(WORKDAY(C320,-(Setup!$C$13+Setup!$G$21),Setup!$C$39:$C$50))&gt;=Setup!$C$15,MONTH(WORKDAY(C320,-(Setup!$C$13+Setup!$G$21),Setup!$C$39:$C$50))&lt;=Setup!$C$16),OR(MONTH(WORKDAY(C320,-(Setup!$C$13+Setup!$G$21),Setup!$C$39:$C$50))&gt;=Setup!$C$15,MONTH(WORKDAY(C320,-(Setup!$C$13+Setup!$G$21),Setup!$C$39:$C$50))&lt;=Setup!$C$16))),WORKDAY(C320,-(Setup!$C$13+Setup!$G$21+Setup!$C$14),Setup!$C$39:$C$50),WORKDAY(C320,-(Setup!$C$13+Setup!$G$21),Setup!$C$39:$C$50))+(315*100+2)/10000000)))</f>
        <v/>
      </c>
      <c r="T320" t="str">
        <f>IF(D320="","",IF(D320&lt;Setup!$C$5-Setup!$C$6,"",IF(IF(ISNUMBER(Roster!$D320),Setup!$C$22&lt;=Roster!$D320,FALSE),"",IF(OR(IF(Setup!$C$15&lt;=Setup!$C$16,AND(MONTH(D320)&gt;=Setup!$C$15,MONTH(D320)&lt;=Setup!$C$16),OR(MONTH(D320)&gt;=Setup!$C$15,MONTH(D320)&lt;=Setup!$C$16)),IF(Setup!$C$15&lt;=Setup!$C$16,AND(MONTH(WORKDAY(D320,-(Setup!$C$13+Setup!$G$22),Setup!$C$39:$C$50))&gt;=Setup!$C$15,MONTH(WORKDAY(D320,-(Setup!$C$13+Setup!$G$22),Setup!$C$39:$C$50))&lt;=Setup!$C$16),OR(MONTH(WORKDAY(D320,-(Setup!$C$13+Setup!$G$22),Setup!$C$39:$C$50))&gt;=Setup!$C$15,MONTH(WORKDAY(D320,-(Setup!$C$13+Setup!$G$22),Setup!$C$39:$C$50))&lt;=Setup!$C$16))),WORKDAY(D320,-(Setup!$C$13+Setup!$G$22+Setup!$C$14),Setup!$C$39:$C$50),WORKDAY(D320,-(Setup!$C$13+Setup!$G$22),Setup!$C$39:$C$50))+(315*100+3)/10000000)))</f>
        <v/>
      </c>
      <c r="U320" t="str">
        <f>IF(E320="","",IF(E320&lt;Setup!$C$5-Setup!$C$6,"",IF(IF(ISNUMBER(Roster!$D320),Setup!$C$23&lt;=Roster!$D320,FALSE),"",IF(OR(IF(Setup!$C$15&lt;=Setup!$C$16,AND(MONTH(E320)&gt;=Setup!$C$15,MONTH(E320)&lt;=Setup!$C$16),OR(MONTH(E320)&gt;=Setup!$C$15,MONTH(E320)&lt;=Setup!$C$16)),IF(Setup!$C$15&lt;=Setup!$C$16,AND(MONTH(WORKDAY(E320,-(Setup!$C$13+Setup!$G$23),Setup!$C$39:$C$50))&gt;=Setup!$C$15,MONTH(WORKDAY(E320,-(Setup!$C$13+Setup!$G$23),Setup!$C$39:$C$50))&lt;=Setup!$C$16),OR(MONTH(WORKDAY(E320,-(Setup!$C$13+Setup!$G$23),Setup!$C$39:$C$50))&gt;=Setup!$C$15,MONTH(WORKDAY(E320,-(Setup!$C$13+Setup!$G$23),Setup!$C$39:$C$50))&lt;=Setup!$C$16))),WORKDAY(E320,-(Setup!$C$13+Setup!$G$23+Setup!$C$14),Setup!$C$39:$C$50),WORKDAY(E320,-(Setup!$C$13+Setup!$G$23),Setup!$C$39:$C$50))+(315*100+4)/10000000)))</f>
        <v/>
      </c>
      <c r="V320" t="str">
        <f>IF(F320="","",IF(F320&lt;Setup!$C$5-Setup!$C$6,"",IF(IF(ISNUMBER(Roster!$D320),Setup!$C$24&lt;=Roster!$D320,FALSE),"",IF(OR(IF(Setup!$C$15&lt;=Setup!$C$16,AND(MONTH(F320)&gt;=Setup!$C$15,MONTH(F320)&lt;=Setup!$C$16),OR(MONTH(F320)&gt;=Setup!$C$15,MONTH(F320)&lt;=Setup!$C$16)),IF(Setup!$C$15&lt;=Setup!$C$16,AND(MONTH(WORKDAY(F320,-(Setup!$C$13+Setup!$G$24),Setup!$C$39:$C$50))&gt;=Setup!$C$15,MONTH(WORKDAY(F320,-(Setup!$C$13+Setup!$G$24),Setup!$C$39:$C$50))&lt;=Setup!$C$16),OR(MONTH(WORKDAY(F320,-(Setup!$C$13+Setup!$G$24),Setup!$C$39:$C$50))&gt;=Setup!$C$15,MONTH(WORKDAY(F320,-(Setup!$C$13+Setup!$G$24),Setup!$C$39:$C$50))&lt;=Setup!$C$16))),WORKDAY(F320,-(Setup!$C$13+Setup!$G$24+Setup!$C$14),Setup!$C$39:$C$50),WORKDAY(F320,-(Setup!$C$13+Setup!$G$24),Setup!$C$39:$C$50))+(315*100+5)/10000000)))</f>
        <v/>
      </c>
      <c r="W320" t="str">
        <f>IF(G320="","",IF(G320&lt;Setup!$C$5-Setup!$C$6,"",IF(IF(ISNUMBER(Roster!$D320),Setup!$C$25&lt;=Roster!$D320,FALSE),"",IF(OR(IF(Setup!$C$15&lt;=Setup!$C$16,AND(MONTH(G320)&gt;=Setup!$C$15,MONTH(G320)&lt;=Setup!$C$16),OR(MONTH(G320)&gt;=Setup!$C$15,MONTH(G320)&lt;=Setup!$C$16)),IF(Setup!$C$15&lt;=Setup!$C$16,AND(MONTH(WORKDAY(G320,-(Setup!$C$13+Setup!$G$25),Setup!$C$39:$C$50))&gt;=Setup!$C$15,MONTH(WORKDAY(G320,-(Setup!$C$13+Setup!$G$25),Setup!$C$39:$C$50))&lt;=Setup!$C$16),OR(MONTH(WORKDAY(G320,-(Setup!$C$13+Setup!$G$25),Setup!$C$39:$C$50))&gt;=Setup!$C$15,MONTH(WORKDAY(G320,-(Setup!$C$13+Setup!$G$25),Setup!$C$39:$C$50))&lt;=Setup!$C$16))),WORKDAY(G320,-(Setup!$C$13+Setup!$G$25+Setup!$C$14),Setup!$C$39:$C$50),WORKDAY(G320,-(Setup!$C$13+Setup!$G$25),Setup!$C$39:$C$50))+(315*100+6)/10000000)))</f>
        <v/>
      </c>
      <c r="X320" t="str">
        <f>IF(H320="","",IF(H320&lt;Setup!$C$5-Setup!$C$6,"",IF(IF(ISNUMBER(Roster!$D320),Setup!$C$26&lt;=Roster!$D320,FALSE),"",IF(OR(IF(Setup!$C$15&lt;=Setup!$C$16,AND(MONTH(H320)&gt;=Setup!$C$15,MONTH(H320)&lt;=Setup!$C$16),OR(MONTH(H320)&gt;=Setup!$C$15,MONTH(H320)&lt;=Setup!$C$16)),IF(Setup!$C$15&lt;=Setup!$C$16,AND(MONTH(WORKDAY(H320,-(Setup!$C$13+Setup!$G$26),Setup!$C$39:$C$50))&gt;=Setup!$C$15,MONTH(WORKDAY(H320,-(Setup!$C$13+Setup!$G$26),Setup!$C$39:$C$50))&lt;=Setup!$C$16),OR(MONTH(WORKDAY(H320,-(Setup!$C$13+Setup!$G$26),Setup!$C$39:$C$50))&gt;=Setup!$C$15,MONTH(WORKDAY(H320,-(Setup!$C$13+Setup!$G$26),Setup!$C$39:$C$50))&lt;=Setup!$C$16))),WORKDAY(H320,-(Setup!$C$13+Setup!$G$26+Setup!$C$14),Setup!$C$39:$C$50),WORKDAY(H320,-(Setup!$C$13+Setup!$G$26),Setup!$C$39:$C$50))+(315*100+7)/10000000)))</f>
        <v/>
      </c>
      <c r="Y320" t="str">
        <f>IF(I320="","",IF(I320&lt;Setup!$C$5-Setup!$C$6,"",IF(IF(ISNUMBER(Roster!$D320),Setup!$C$27&lt;=Roster!$D320,FALSE),"",IF(OR(IF(Setup!$C$15&lt;=Setup!$C$16,AND(MONTH(I320)&gt;=Setup!$C$15,MONTH(I320)&lt;=Setup!$C$16),OR(MONTH(I320)&gt;=Setup!$C$15,MONTH(I320)&lt;=Setup!$C$16)),IF(Setup!$C$15&lt;=Setup!$C$16,AND(MONTH(WORKDAY(I320,-(Setup!$C$13+Setup!$G$27),Setup!$C$39:$C$50))&gt;=Setup!$C$15,MONTH(WORKDAY(I320,-(Setup!$C$13+Setup!$G$27),Setup!$C$39:$C$50))&lt;=Setup!$C$16),OR(MONTH(WORKDAY(I320,-(Setup!$C$13+Setup!$G$27),Setup!$C$39:$C$50))&gt;=Setup!$C$15,MONTH(WORKDAY(I320,-(Setup!$C$13+Setup!$G$27),Setup!$C$39:$C$50))&lt;=Setup!$C$16))),WORKDAY(I320,-(Setup!$C$13+Setup!$G$27+Setup!$C$14),Setup!$C$39:$C$50),WORKDAY(I320,-(Setup!$C$13+Setup!$G$27),Setup!$C$39:$C$50))+(315*100+8)/10000000)))</f>
        <v/>
      </c>
      <c r="Z320" t="str">
        <f>IF(J320="","",IF(J320&lt;Setup!$C$5-Setup!$C$6,"",IF(IF(ISNUMBER(Roster!$D320),Setup!$C$28&lt;=Roster!$D320,FALSE),"",IF(OR(IF(Setup!$C$15&lt;=Setup!$C$16,AND(MONTH(J320)&gt;=Setup!$C$15,MONTH(J320)&lt;=Setup!$C$16),OR(MONTH(J320)&gt;=Setup!$C$15,MONTH(J320)&lt;=Setup!$C$16)),IF(Setup!$C$15&lt;=Setup!$C$16,AND(MONTH(WORKDAY(J320,-(Setup!$C$13+Setup!$G$28),Setup!$C$39:$C$50))&gt;=Setup!$C$15,MONTH(WORKDAY(J320,-(Setup!$C$13+Setup!$G$28),Setup!$C$39:$C$50))&lt;=Setup!$C$16),OR(MONTH(WORKDAY(J320,-(Setup!$C$13+Setup!$G$28),Setup!$C$39:$C$50))&gt;=Setup!$C$15,MONTH(WORKDAY(J320,-(Setup!$C$13+Setup!$G$28),Setup!$C$39:$C$50))&lt;=Setup!$C$16))),WORKDAY(J320,-(Setup!$C$13+Setup!$G$28+Setup!$C$14),Setup!$C$39:$C$50),WORKDAY(J320,-(Setup!$C$13+Setup!$G$28),Setup!$C$39:$C$50))+(315*100+9)/10000000)))</f>
        <v/>
      </c>
      <c r="AA320" t="str">
        <f>IF(K320="","",IF(K320&lt;Setup!$C$5-Setup!$C$6,"",IF(IF(ISNUMBER(Roster!$D320),Setup!$C$29&lt;=Roster!$D320,FALSE),"",IF(OR(IF(Setup!$C$15&lt;=Setup!$C$16,AND(MONTH(K320)&gt;=Setup!$C$15,MONTH(K320)&lt;=Setup!$C$16),OR(MONTH(K320)&gt;=Setup!$C$15,MONTH(K320)&lt;=Setup!$C$16)),IF(Setup!$C$15&lt;=Setup!$C$16,AND(MONTH(WORKDAY(K320,-(Setup!$C$13+Setup!$G$29),Setup!$C$39:$C$50))&gt;=Setup!$C$15,MONTH(WORKDAY(K320,-(Setup!$C$13+Setup!$G$29),Setup!$C$39:$C$50))&lt;=Setup!$C$16),OR(MONTH(WORKDAY(K320,-(Setup!$C$13+Setup!$G$29),Setup!$C$39:$C$50))&gt;=Setup!$C$15,MONTH(WORKDAY(K320,-(Setup!$C$13+Setup!$G$29),Setup!$C$39:$C$50))&lt;=Setup!$C$16))),WORKDAY(K320,-(Setup!$C$13+Setup!$G$29+Setup!$C$14),Setup!$C$39:$C$50),WORKDAY(K320,-(Setup!$C$13+Setup!$G$29),Setup!$C$39:$C$50))+(315*100+10)/10000000)))</f>
        <v/>
      </c>
      <c r="AB320" t="str">
        <f>IF(L320="","",IF(L320&lt;Setup!$C$5-Setup!$C$6,"",IF(IF(ISNUMBER(Roster!$D320),Setup!$C$30&lt;=Roster!$D320,FALSE),"",IF(OR(IF(Setup!$C$15&lt;=Setup!$C$16,AND(MONTH(L320)&gt;=Setup!$C$15,MONTH(L320)&lt;=Setup!$C$16),OR(MONTH(L320)&gt;=Setup!$C$15,MONTH(L320)&lt;=Setup!$C$16)),IF(Setup!$C$15&lt;=Setup!$C$16,AND(MONTH(WORKDAY(L320,-(Setup!$C$13+Setup!$G$30),Setup!$C$39:$C$50))&gt;=Setup!$C$15,MONTH(WORKDAY(L320,-(Setup!$C$13+Setup!$G$30),Setup!$C$39:$C$50))&lt;=Setup!$C$16),OR(MONTH(WORKDAY(L320,-(Setup!$C$13+Setup!$G$30),Setup!$C$39:$C$50))&gt;=Setup!$C$15,MONTH(WORKDAY(L320,-(Setup!$C$13+Setup!$G$30),Setup!$C$39:$C$50))&lt;=Setup!$C$16))),WORKDAY(L320,-(Setup!$C$13+Setup!$G$30+Setup!$C$14),Setup!$C$39:$C$50),WORKDAY(L320,-(Setup!$C$13+Setup!$G$30),Setup!$C$39:$C$50))+(315*100+11)/10000000)))</f>
        <v/>
      </c>
      <c r="AC320" t="str">
        <f>IF(M320="","",IF(M320&lt;Setup!$C$5-Setup!$C$6,"",IF(IF(ISNUMBER(Roster!$D320),Setup!$C$31&lt;=Roster!$D320,FALSE),"",IF(OR(IF(Setup!$C$15&lt;=Setup!$C$16,AND(MONTH(M320)&gt;=Setup!$C$15,MONTH(M320)&lt;=Setup!$C$16),OR(MONTH(M320)&gt;=Setup!$C$15,MONTH(M320)&lt;=Setup!$C$16)),IF(Setup!$C$15&lt;=Setup!$C$16,AND(MONTH(WORKDAY(M320,-(Setup!$C$13+Setup!$G$31),Setup!$C$39:$C$50))&gt;=Setup!$C$15,MONTH(WORKDAY(M320,-(Setup!$C$13+Setup!$G$31),Setup!$C$39:$C$50))&lt;=Setup!$C$16),OR(MONTH(WORKDAY(M320,-(Setup!$C$13+Setup!$G$31),Setup!$C$39:$C$50))&gt;=Setup!$C$15,MONTH(WORKDAY(M320,-(Setup!$C$13+Setup!$G$31),Setup!$C$39:$C$50))&lt;=Setup!$C$16))),WORKDAY(M320,-(Setup!$C$13+Setup!$G$31+Setup!$C$14),Setup!$C$39:$C$50),WORKDAY(M320,-(Setup!$C$13+Setup!$G$31),Setup!$C$39:$C$50))+(315*100+12)/10000000)))</f>
        <v/>
      </c>
      <c r="AD320" t="str">
        <f>IF(N320="","",IF(N320&lt;Setup!$C$5-Setup!$C$6,"",IF(IF(ISNUMBER(Roster!$D320),Setup!$C$32&lt;=Roster!$D320,FALSE),"",IF(OR(IF(Setup!$C$15&lt;=Setup!$C$16,AND(MONTH(N320)&gt;=Setup!$C$15,MONTH(N320)&lt;=Setup!$C$16),OR(MONTH(N320)&gt;=Setup!$C$15,MONTH(N320)&lt;=Setup!$C$16)),IF(Setup!$C$15&lt;=Setup!$C$16,AND(MONTH(WORKDAY(N320,-(Setup!$C$13+Setup!$G$32),Setup!$C$39:$C$50))&gt;=Setup!$C$15,MONTH(WORKDAY(N320,-(Setup!$C$13+Setup!$G$32),Setup!$C$39:$C$50))&lt;=Setup!$C$16),OR(MONTH(WORKDAY(N320,-(Setup!$C$13+Setup!$G$32),Setup!$C$39:$C$50))&gt;=Setup!$C$15,MONTH(WORKDAY(N320,-(Setup!$C$13+Setup!$G$32),Setup!$C$39:$C$50))&lt;=Setup!$C$16))),WORKDAY(N320,-(Setup!$C$13+Setup!$G$32+Setup!$C$14),Setup!$C$39:$C$50),WORKDAY(N320,-(Setup!$C$13+Setup!$G$32),Setup!$C$39:$C$50))+(315*100+13)/10000000)))</f>
        <v/>
      </c>
      <c r="AE320" t="str">
        <f>IF(O320="","",IF(O320&lt;Setup!$C$5-Setup!$C$6,"",IF(IF(ISNUMBER(Roster!$D320),Setup!$C$33&lt;=Roster!$D320,FALSE),"",IF(OR(IF(Setup!$C$15&lt;=Setup!$C$16,AND(MONTH(O320)&gt;=Setup!$C$15,MONTH(O320)&lt;=Setup!$C$16),OR(MONTH(O320)&gt;=Setup!$C$15,MONTH(O320)&lt;=Setup!$C$16)),IF(Setup!$C$15&lt;=Setup!$C$16,AND(MONTH(WORKDAY(O320,-(Setup!$C$13+Setup!$G$33),Setup!$C$39:$C$50))&gt;=Setup!$C$15,MONTH(WORKDAY(O320,-(Setup!$C$13+Setup!$G$33),Setup!$C$39:$C$50))&lt;=Setup!$C$16),OR(MONTH(WORKDAY(O320,-(Setup!$C$13+Setup!$G$33),Setup!$C$39:$C$50))&gt;=Setup!$C$15,MONTH(WORKDAY(O320,-(Setup!$C$13+Setup!$G$33),Setup!$C$39:$C$50))&lt;=Setup!$C$16))),WORKDAY(O320,-(Setup!$C$13+Setup!$G$33+Setup!$C$14),Setup!$C$39:$C$50),WORKDAY(O320,-(Setup!$C$13+Setup!$G$33),Setup!$C$39:$C$50))+(315*100+14)/10000000)))</f>
        <v/>
      </c>
      <c r="AF320" t="str">
        <f>IF(P320="","",IF(P320&lt;Setup!$C$5-Setup!$C$6,"",IF(IF(ISNUMBER(Roster!$D320),Setup!$C$34&lt;=Roster!$D320,FALSE),"",IF(OR(IF(Setup!$C$15&lt;=Setup!$C$16,AND(MONTH(P320)&gt;=Setup!$C$15,MONTH(P320)&lt;=Setup!$C$16),OR(MONTH(P320)&gt;=Setup!$C$15,MONTH(P320)&lt;=Setup!$C$16)),IF(Setup!$C$15&lt;=Setup!$C$16,AND(MONTH(WORKDAY(P320,-(Setup!$C$13+Setup!$G$34),Setup!$C$39:$C$50))&gt;=Setup!$C$15,MONTH(WORKDAY(P320,-(Setup!$C$13+Setup!$G$34),Setup!$C$39:$C$50))&lt;=Setup!$C$16),OR(MONTH(WORKDAY(P320,-(Setup!$C$13+Setup!$G$34),Setup!$C$39:$C$50))&gt;=Setup!$C$15,MONTH(WORKDAY(P320,-(Setup!$C$13+Setup!$G$34),Setup!$C$39:$C$50))&lt;=Setup!$C$16))),WORKDAY(P320,-(Setup!$C$13+Setup!$G$34+Setup!$C$14),Setup!$C$39:$C$50),WORKDAY(P320,-(Setup!$C$13+Setup!$G$34),Setup!$C$39:$C$50))+(315*100+15)/10000000)))</f>
        <v/>
      </c>
      <c r="AH320" t="str">
        <f t="shared" si="33"/>
        <v/>
      </c>
      <c r="AI320" t="str">
        <f t="shared" si="34"/>
        <v/>
      </c>
      <c r="AP320" t="str">
        <f>IF(ISNUMBER(Roster!$B320),MAX(1,YEAR(Setup!$C$5)-YEAR(Roster!$B320)+IF(EDATE(Roster!$B320,12*(YEAR(Setup!$C$5)-YEAR(Roster!$B320)))&lt;Setup!$C$5,1,0)),"")</f>
        <v/>
      </c>
      <c r="AQ320" s="32" t="str">
        <f>IF(AP320="","",EDATE(Roster!$B320,12*AP320))</f>
        <v/>
      </c>
      <c r="AR320" t="str">
        <f>IF(AQ320="","",IF(AQ320&lt;DATE(YEAR(Setup!$C$5)+1,MONTH(Setup!$C$5),DAY(Setup!$C$5)),AQ320+315/1000,""))</f>
        <v/>
      </c>
      <c r="AS320" t="str">
        <f t="shared" si="38"/>
        <v/>
      </c>
      <c r="AT320" t="str">
        <f>IF(AS320="","",IF(ISNUMBER(Roster!$D320),Roster!$D320&gt;=AP320,FALSE))</f>
        <v/>
      </c>
      <c r="AU320" t="str">
        <f t="shared" si="39"/>
        <v/>
      </c>
      <c r="AV320" t="str">
        <f ca="1">IF(315&gt;$AV$2,"",SMALL($AR$6:$AR$505,315))</f>
        <v/>
      </c>
      <c r="AW320" t="str">
        <f t="shared" ca="1" si="40"/>
        <v/>
      </c>
    </row>
    <row r="321" spans="2:49" x14ac:dyDescent="0.2">
      <c r="B321" s="32" t="str">
        <f>IF(AND(ISNUMBER(Roster!$B321),Setup!$B$20="Yes",ISNUMBER(Setup!$C$20)),EDATE(Roster!$B321,12*Setup!$C$20),"")</f>
        <v/>
      </c>
      <c r="C321" s="32" t="str">
        <f>IF(AND(ISNUMBER(Roster!$B321),Setup!$B$21="Yes",ISNUMBER(Setup!$C$21)),EDATE(Roster!$B321,12*Setup!$C$21),"")</f>
        <v/>
      </c>
      <c r="D321" s="32" t="str">
        <f>IF(AND(ISNUMBER(Roster!$B321),Setup!$B$22="Yes",ISNUMBER(Setup!$C$22)),EDATE(Roster!$B321,12*Setup!$C$22),"")</f>
        <v/>
      </c>
      <c r="E321" s="32" t="str">
        <f>IF(AND(ISNUMBER(Roster!$B321),Setup!$B$23="Yes",ISNUMBER(Setup!$C$23)),EDATE(Roster!$B321,12*Setup!$C$23),"")</f>
        <v/>
      </c>
      <c r="F321" s="32" t="str">
        <f>IF(AND(ISNUMBER(Roster!$B321),Setup!$B$24="Yes",ISNUMBER(Setup!$C$24)),EDATE(Roster!$B321,12*Setup!$C$24),"")</f>
        <v/>
      </c>
      <c r="G321" s="32" t="str">
        <f>IF(AND(ISNUMBER(Roster!$B321),Setup!$B$25="Yes",ISNUMBER(Setup!$C$25)),EDATE(Roster!$B321,12*Setup!$C$25),"")</f>
        <v/>
      </c>
      <c r="H321" s="32" t="str">
        <f>IF(AND(ISNUMBER(Roster!$B321),Setup!$B$26="Yes",ISNUMBER(Setup!$C$26)),EDATE(Roster!$B321,12*Setup!$C$26),"")</f>
        <v/>
      </c>
      <c r="I321" s="32" t="str">
        <f>IF(AND(ISNUMBER(Roster!$B321),Setup!$B$27="Yes",ISNUMBER(Setup!$C$27)),EDATE(Roster!$B321,12*Setup!$C$27),"")</f>
        <v/>
      </c>
      <c r="J321" s="32" t="str">
        <f>IF(AND(ISNUMBER(Roster!$B321),Setup!$B$28="Yes",ISNUMBER(Setup!$C$28)),EDATE(Roster!$B321,12*Setup!$C$28),"")</f>
        <v/>
      </c>
      <c r="K321" s="32" t="str">
        <f>IF(AND(ISNUMBER(Roster!$B321),Setup!$B$29="Yes",ISNUMBER(Setup!$C$29)),EDATE(Roster!$B321,12*Setup!$C$29),"")</f>
        <v/>
      </c>
      <c r="L321" s="32" t="str">
        <f>IF(AND(ISNUMBER(Roster!$B321),Setup!$B$30="Yes",ISNUMBER(Setup!$C$30)),EDATE(Roster!$B321,12*Setup!$C$30),"")</f>
        <v/>
      </c>
      <c r="M321" s="32" t="str">
        <f>IF(AND(ISNUMBER(Roster!$B321),Setup!$B$31="Yes",ISNUMBER(Setup!$C$31)),EDATE(Roster!$B321,12*Setup!$C$31),"")</f>
        <v/>
      </c>
      <c r="N321" s="32" t="str">
        <f>IF(AND(ISNUMBER(Roster!$B321),Setup!$B$32="Yes",ISNUMBER(Setup!$C$32)),EDATE(Roster!$B321,12*Setup!$C$32),"")</f>
        <v/>
      </c>
      <c r="O321" s="32" t="str">
        <f>IF(AND(ISNUMBER(Roster!$B321),Setup!$B$33="Yes",ISNUMBER(Setup!$C$33)),EDATE(Roster!$B321,12*Setup!$C$33),"")</f>
        <v/>
      </c>
      <c r="P321" s="32" t="str">
        <f>IF(AND(ISNUMBER(Roster!$B321),Setup!$B$34="Yes",ISNUMBER(Setup!$C$34)),EDATE(Roster!$B321,12*Setup!$C$34),"")</f>
        <v/>
      </c>
      <c r="R321" t="str">
        <f>IF(B321="","",IF(B321&lt;Setup!$C$5-Setup!$C$6,"",IF(IF(ISNUMBER(Roster!$D321),Setup!$C$20&lt;=Roster!$D321,FALSE),"",IF(OR(IF(Setup!$C$15&lt;=Setup!$C$16,AND(MONTH(B321)&gt;=Setup!$C$15,MONTH(B321)&lt;=Setup!$C$16),OR(MONTH(B321)&gt;=Setup!$C$15,MONTH(B321)&lt;=Setup!$C$16)),IF(Setup!$C$15&lt;=Setup!$C$16,AND(MONTH(WORKDAY(B321,-(Setup!$C$13+Setup!$G$20),Setup!$C$39:$C$50))&gt;=Setup!$C$15,MONTH(WORKDAY(B321,-(Setup!$C$13+Setup!$G$20),Setup!$C$39:$C$50))&lt;=Setup!$C$16),OR(MONTH(WORKDAY(B321,-(Setup!$C$13+Setup!$G$20),Setup!$C$39:$C$50))&gt;=Setup!$C$15,MONTH(WORKDAY(B321,-(Setup!$C$13+Setup!$G$20),Setup!$C$39:$C$50))&lt;=Setup!$C$16))),WORKDAY(B321,-(Setup!$C$13+Setup!$G$20+Setup!$C$14),Setup!$C$39:$C$50),WORKDAY(B321,-(Setup!$C$13+Setup!$G$20),Setup!$C$39:$C$50))+(316*100+1)/10000000)))</f>
        <v/>
      </c>
      <c r="S321" t="str">
        <f>IF(C321="","",IF(C321&lt;Setup!$C$5-Setup!$C$6,"",IF(IF(ISNUMBER(Roster!$D321),Setup!$C$21&lt;=Roster!$D321,FALSE),"",IF(OR(IF(Setup!$C$15&lt;=Setup!$C$16,AND(MONTH(C321)&gt;=Setup!$C$15,MONTH(C321)&lt;=Setup!$C$16),OR(MONTH(C321)&gt;=Setup!$C$15,MONTH(C321)&lt;=Setup!$C$16)),IF(Setup!$C$15&lt;=Setup!$C$16,AND(MONTH(WORKDAY(C321,-(Setup!$C$13+Setup!$G$21),Setup!$C$39:$C$50))&gt;=Setup!$C$15,MONTH(WORKDAY(C321,-(Setup!$C$13+Setup!$G$21),Setup!$C$39:$C$50))&lt;=Setup!$C$16),OR(MONTH(WORKDAY(C321,-(Setup!$C$13+Setup!$G$21),Setup!$C$39:$C$50))&gt;=Setup!$C$15,MONTH(WORKDAY(C321,-(Setup!$C$13+Setup!$G$21),Setup!$C$39:$C$50))&lt;=Setup!$C$16))),WORKDAY(C321,-(Setup!$C$13+Setup!$G$21+Setup!$C$14),Setup!$C$39:$C$50),WORKDAY(C321,-(Setup!$C$13+Setup!$G$21),Setup!$C$39:$C$50))+(316*100+2)/10000000)))</f>
        <v/>
      </c>
      <c r="T321" t="str">
        <f>IF(D321="","",IF(D321&lt;Setup!$C$5-Setup!$C$6,"",IF(IF(ISNUMBER(Roster!$D321),Setup!$C$22&lt;=Roster!$D321,FALSE),"",IF(OR(IF(Setup!$C$15&lt;=Setup!$C$16,AND(MONTH(D321)&gt;=Setup!$C$15,MONTH(D321)&lt;=Setup!$C$16),OR(MONTH(D321)&gt;=Setup!$C$15,MONTH(D321)&lt;=Setup!$C$16)),IF(Setup!$C$15&lt;=Setup!$C$16,AND(MONTH(WORKDAY(D321,-(Setup!$C$13+Setup!$G$22),Setup!$C$39:$C$50))&gt;=Setup!$C$15,MONTH(WORKDAY(D321,-(Setup!$C$13+Setup!$G$22),Setup!$C$39:$C$50))&lt;=Setup!$C$16),OR(MONTH(WORKDAY(D321,-(Setup!$C$13+Setup!$G$22),Setup!$C$39:$C$50))&gt;=Setup!$C$15,MONTH(WORKDAY(D321,-(Setup!$C$13+Setup!$G$22),Setup!$C$39:$C$50))&lt;=Setup!$C$16))),WORKDAY(D321,-(Setup!$C$13+Setup!$G$22+Setup!$C$14),Setup!$C$39:$C$50),WORKDAY(D321,-(Setup!$C$13+Setup!$G$22),Setup!$C$39:$C$50))+(316*100+3)/10000000)))</f>
        <v/>
      </c>
      <c r="U321" t="str">
        <f>IF(E321="","",IF(E321&lt;Setup!$C$5-Setup!$C$6,"",IF(IF(ISNUMBER(Roster!$D321),Setup!$C$23&lt;=Roster!$D321,FALSE),"",IF(OR(IF(Setup!$C$15&lt;=Setup!$C$16,AND(MONTH(E321)&gt;=Setup!$C$15,MONTH(E321)&lt;=Setup!$C$16),OR(MONTH(E321)&gt;=Setup!$C$15,MONTH(E321)&lt;=Setup!$C$16)),IF(Setup!$C$15&lt;=Setup!$C$16,AND(MONTH(WORKDAY(E321,-(Setup!$C$13+Setup!$G$23),Setup!$C$39:$C$50))&gt;=Setup!$C$15,MONTH(WORKDAY(E321,-(Setup!$C$13+Setup!$G$23),Setup!$C$39:$C$50))&lt;=Setup!$C$16),OR(MONTH(WORKDAY(E321,-(Setup!$C$13+Setup!$G$23),Setup!$C$39:$C$50))&gt;=Setup!$C$15,MONTH(WORKDAY(E321,-(Setup!$C$13+Setup!$G$23),Setup!$C$39:$C$50))&lt;=Setup!$C$16))),WORKDAY(E321,-(Setup!$C$13+Setup!$G$23+Setup!$C$14),Setup!$C$39:$C$50),WORKDAY(E321,-(Setup!$C$13+Setup!$G$23),Setup!$C$39:$C$50))+(316*100+4)/10000000)))</f>
        <v/>
      </c>
      <c r="V321" t="str">
        <f>IF(F321="","",IF(F321&lt;Setup!$C$5-Setup!$C$6,"",IF(IF(ISNUMBER(Roster!$D321),Setup!$C$24&lt;=Roster!$D321,FALSE),"",IF(OR(IF(Setup!$C$15&lt;=Setup!$C$16,AND(MONTH(F321)&gt;=Setup!$C$15,MONTH(F321)&lt;=Setup!$C$16),OR(MONTH(F321)&gt;=Setup!$C$15,MONTH(F321)&lt;=Setup!$C$16)),IF(Setup!$C$15&lt;=Setup!$C$16,AND(MONTH(WORKDAY(F321,-(Setup!$C$13+Setup!$G$24),Setup!$C$39:$C$50))&gt;=Setup!$C$15,MONTH(WORKDAY(F321,-(Setup!$C$13+Setup!$G$24),Setup!$C$39:$C$50))&lt;=Setup!$C$16),OR(MONTH(WORKDAY(F321,-(Setup!$C$13+Setup!$G$24),Setup!$C$39:$C$50))&gt;=Setup!$C$15,MONTH(WORKDAY(F321,-(Setup!$C$13+Setup!$G$24),Setup!$C$39:$C$50))&lt;=Setup!$C$16))),WORKDAY(F321,-(Setup!$C$13+Setup!$G$24+Setup!$C$14),Setup!$C$39:$C$50),WORKDAY(F321,-(Setup!$C$13+Setup!$G$24),Setup!$C$39:$C$50))+(316*100+5)/10000000)))</f>
        <v/>
      </c>
      <c r="W321" t="str">
        <f>IF(G321="","",IF(G321&lt;Setup!$C$5-Setup!$C$6,"",IF(IF(ISNUMBER(Roster!$D321),Setup!$C$25&lt;=Roster!$D321,FALSE),"",IF(OR(IF(Setup!$C$15&lt;=Setup!$C$16,AND(MONTH(G321)&gt;=Setup!$C$15,MONTH(G321)&lt;=Setup!$C$16),OR(MONTH(G321)&gt;=Setup!$C$15,MONTH(G321)&lt;=Setup!$C$16)),IF(Setup!$C$15&lt;=Setup!$C$16,AND(MONTH(WORKDAY(G321,-(Setup!$C$13+Setup!$G$25),Setup!$C$39:$C$50))&gt;=Setup!$C$15,MONTH(WORKDAY(G321,-(Setup!$C$13+Setup!$G$25),Setup!$C$39:$C$50))&lt;=Setup!$C$16),OR(MONTH(WORKDAY(G321,-(Setup!$C$13+Setup!$G$25),Setup!$C$39:$C$50))&gt;=Setup!$C$15,MONTH(WORKDAY(G321,-(Setup!$C$13+Setup!$G$25),Setup!$C$39:$C$50))&lt;=Setup!$C$16))),WORKDAY(G321,-(Setup!$C$13+Setup!$G$25+Setup!$C$14),Setup!$C$39:$C$50),WORKDAY(G321,-(Setup!$C$13+Setup!$G$25),Setup!$C$39:$C$50))+(316*100+6)/10000000)))</f>
        <v/>
      </c>
      <c r="X321" t="str">
        <f>IF(H321="","",IF(H321&lt;Setup!$C$5-Setup!$C$6,"",IF(IF(ISNUMBER(Roster!$D321),Setup!$C$26&lt;=Roster!$D321,FALSE),"",IF(OR(IF(Setup!$C$15&lt;=Setup!$C$16,AND(MONTH(H321)&gt;=Setup!$C$15,MONTH(H321)&lt;=Setup!$C$16),OR(MONTH(H321)&gt;=Setup!$C$15,MONTH(H321)&lt;=Setup!$C$16)),IF(Setup!$C$15&lt;=Setup!$C$16,AND(MONTH(WORKDAY(H321,-(Setup!$C$13+Setup!$G$26),Setup!$C$39:$C$50))&gt;=Setup!$C$15,MONTH(WORKDAY(H321,-(Setup!$C$13+Setup!$G$26),Setup!$C$39:$C$50))&lt;=Setup!$C$16),OR(MONTH(WORKDAY(H321,-(Setup!$C$13+Setup!$G$26),Setup!$C$39:$C$50))&gt;=Setup!$C$15,MONTH(WORKDAY(H321,-(Setup!$C$13+Setup!$G$26),Setup!$C$39:$C$50))&lt;=Setup!$C$16))),WORKDAY(H321,-(Setup!$C$13+Setup!$G$26+Setup!$C$14),Setup!$C$39:$C$50),WORKDAY(H321,-(Setup!$C$13+Setup!$G$26),Setup!$C$39:$C$50))+(316*100+7)/10000000)))</f>
        <v/>
      </c>
      <c r="Y321" t="str">
        <f>IF(I321="","",IF(I321&lt;Setup!$C$5-Setup!$C$6,"",IF(IF(ISNUMBER(Roster!$D321),Setup!$C$27&lt;=Roster!$D321,FALSE),"",IF(OR(IF(Setup!$C$15&lt;=Setup!$C$16,AND(MONTH(I321)&gt;=Setup!$C$15,MONTH(I321)&lt;=Setup!$C$16),OR(MONTH(I321)&gt;=Setup!$C$15,MONTH(I321)&lt;=Setup!$C$16)),IF(Setup!$C$15&lt;=Setup!$C$16,AND(MONTH(WORKDAY(I321,-(Setup!$C$13+Setup!$G$27),Setup!$C$39:$C$50))&gt;=Setup!$C$15,MONTH(WORKDAY(I321,-(Setup!$C$13+Setup!$G$27),Setup!$C$39:$C$50))&lt;=Setup!$C$16),OR(MONTH(WORKDAY(I321,-(Setup!$C$13+Setup!$G$27),Setup!$C$39:$C$50))&gt;=Setup!$C$15,MONTH(WORKDAY(I321,-(Setup!$C$13+Setup!$G$27),Setup!$C$39:$C$50))&lt;=Setup!$C$16))),WORKDAY(I321,-(Setup!$C$13+Setup!$G$27+Setup!$C$14),Setup!$C$39:$C$50),WORKDAY(I321,-(Setup!$C$13+Setup!$G$27),Setup!$C$39:$C$50))+(316*100+8)/10000000)))</f>
        <v/>
      </c>
      <c r="Z321" t="str">
        <f>IF(J321="","",IF(J321&lt;Setup!$C$5-Setup!$C$6,"",IF(IF(ISNUMBER(Roster!$D321),Setup!$C$28&lt;=Roster!$D321,FALSE),"",IF(OR(IF(Setup!$C$15&lt;=Setup!$C$16,AND(MONTH(J321)&gt;=Setup!$C$15,MONTH(J321)&lt;=Setup!$C$16),OR(MONTH(J321)&gt;=Setup!$C$15,MONTH(J321)&lt;=Setup!$C$16)),IF(Setup!$C$15&lt;=Setup!$C$16,AND(MONTH(WORKDAY(J321,-(Setup!$C$13+Setup!$G$28),Setup!$C$39:$C$50))&gt;=Setup!$C$15,MONTH(WORKDAY(J321,-(Setup!$C$13+Setup!$G$28),Setup!$C$39:$C$50))&lt;=Setup!$C$16),OR(MONTH(WORKDAY(J321,-(Setup!$C$13+Setup!$G$28),Setup!$C$39:$C$50))&gt;=Setup!$C$15,MONTH(WORKDAY(J321,-(Setup!$C$13+Setup!$G$28),Setup!$C$39:$C$50))&lt;=Setup!$C$16))),WORKDAY(J321,-(Setup!$C$13+Setup!$G$28+Setup!$C$14),Setup!$C$39:$C$50),WORKDAY(J321,-(Setup!$C$13+Setup!$G$28),Setup!$C$39:$C$50))+(316*100+9)/10000000)))</f>
        <v/>
      </c>
      <c r="AA321" t="str">
        <f>IF(K321="","",IF(K321&lt;Setup!$C$5-Setup!$C$6,"",IF(IF(ISNUMBER(Roster!$D321),Setup!$C$29&lt;=Roster!$D321,FALSE),"",IF(OR(IF(Setup!$C$15&lt;=Setup!$C$16,AND(MONTH(K321)&gt;=Setup!$C$15,MONTH(K321)&lt;=Setup!$C$16),OR(MONTH(K321)&gt;=Setup!$C$15,MONTH(K321)&lt;=Setup!$C$16)),IF(Setup!$C$15&lt;=Setup!$C$16,AND(MONTH(WORKDAY(K321,-(Setup!$C$13+Setup!$G$29),Setup!$C$39:$C$50))&gt;=Setup!$C$15,MONTH(WORKDAY(K321,-(Setup!$C$13+Setup!$G$29),Setup!$C$39:$C$50))&lt;=Setup!$C$16),OR(MONTH(WORKDAY(K321,-(Setup!$C$13+Setup!$G$29),Setup!$C$39:$C$50))&gt;=Setup!$C$15,MONTH(WORKDAY(K321,-(Setup!$C$13+Setup!$G$29),Setup!$C$39:$C$50))&lt;=Setup!$C$16))),WORKDAY(K321,-(Setup!$C$13+Setup!$G$29+Setup!$C$14),Setup!$C$39:$C$50),WORKDAY(K321,-(Setup!$C$13+Setup!$G$29),Setup!$C$39:$C$50))+(316*100+10)/10000000)))</f>
        <v/>
      </c>
      <c r="AB321" t="str">
        <f>IF(L321="","",IF(L321&lt;Setup!$C$5-Setup!$C$6,"",IF(IF(ISNUMBER(Roster!$D321),Setup!$C$30&lt;=Roster!$D321,FALSE),"",IF(OR(IF(Setup!$C$15&lt;=Setup!$C$16,AND(MONTH(L321)&gt;=Setup!$C$15,MONTH(L321)&lt;=Setup!$C$16),OR(MONTH(L321)&gt;=Setup!$C$15,MONTH(L321)&lt;=Setup!$C$16)),IF(Setup!$C$15&lt;=Setup!$C$16,AND(MONTH(WORKDAY(L321,-(Setup!$C$13+Setup!$G$30),Setup!$C$39:$C$50))&gt;=Setup!$C$15,MONTH(WORKDAY(L321,-(Setup!$C$13+Setup!$G$30),Setup!$C$39:$C$50))&lt;=Setup!$C$16),OR(MONTH(WORKDAY(L321,-(Setup!$C$13+Setup!$G$30),Setup!$C$39:$C$50))&gt;=Setup!$C$15,MONTH(WORKDAY(L321,-(Setup!$C$13+Setup!$G$30),Setup!$C$39:$C$50))&lt;=Setup!$C$16))),WORKDAY(L321,-(Setup!$C$13+Setup!$G$30+Setup!$C$14),Setup!$C$39:$C$50),WORKDAY(L321,-(Setup!$C$13+Setup!$G$30),Setup!$C$39:$C$50))+(316*100+11)/10000000)))</f>
        <v/>
      </c>
      <c r="AC321" t="str">
        <f>IF(M321="","",IF(M321&lt;Setup!$C$5-Setup!$C$6,"",IF(IF(ISNUMBER(Roster!$D321),Setup!$C$31&lt;=Roster!$D321,FALSE),"",IF(OR(IF(Setup!$C$15&lt;=Setup!$C$16,AND(MONTH(M321)&gt;=Setup!$C$15,MONTH(M321)&lt;=Setup!$C$16),OR(MONTH(M321)&gt;=Setup!$C$15,MONTH(M321)&lt;=Setup!$C$16)),IF(Setup!$C$15&lt;=Setup!$C$16,AND(MONTH(WORKDAY(M321,-(Setup!$C$13+Setup!$G$31),Setup!$C$39:$C$50))&gt;=Setup!$C$15,MONTH(WORKDAY(M321,-(Setup!$C$13+Setup!$G$31),Setup!$C$39:$C$50))&lt;=Setup!$C$16),OR(MONTH(WORKDAY(M321,-(Setup!$C$13+Setup!$G$31),Setup!$C$39:$C$50))&gt;=Setup!$C$15,MONTH(WORKDAY(M321,-(Setup!$C$13+Setup!$G$31),Setup!$C$39:$C$50))&lt;=Setup!$C$16))),WORKDAY(M321,-(Setup!$C$13+Setup!$G$31+Setup!$C$14),Setup!$C$39:$C$50),WORKDAY(M321,-(Setup!$C$13+Setup!$G$31),Setup!$C$39:$C$50))+(316*100+12)/10000000)))</f>
        <v/>
      </c>
      <c r="AD321" t="str">
        <f>IF(N321="","",IF(N321&lt;Setup!$C$5-Setup!$C$6,"",IF(IF(ISNUMBER(Roster!$D321),Setup!$C$32&lt;=Roster!$D321,FALSE),"",IF(OR(IF(Setup!$C$15&lt;=Setup!$C$16,AND(MONTH(N321)&gt;=Setup!$C$15,MONTH(N321)&lt;=Setup!$C$16),OR(MONTH(N321)&gt;=Setup!$C$15,MONTH(N321)&lt;=Setup!$C$16)),IF(Setup!$C$15&lt;=Setup!$C$16,AND(MONTH(WORKDAY(N321,-(Setup!$C$13+Setup!$G$32),Setup!$C$39:$C$50))&gt;=Setup!$C$15,MONTH(WORKDAY(N321,-(Setup!$C$13+Setup!$G$32),Setup!$C$39:$C$50))&lt;=Setup!$C$16),OR(MONTH(WORKDAY(N321,-(Setup!$C$13+Setup!$G$32),Setup!$C$39:$C$50))&gt;=Setup!$C$15,MONTH(WORKDAY(N321,-(Setup!$C$13+Setup!$G$32),Setup!$C$39:$C$50))&lt;=Setup!$C$16))),WORKDAY(N321,-(Setup!$C$13+Setup!$G$32+Setup!$C$14),Setup!$C$39:$C$50),WORKDAY(N321,-(Setup!$C$13+Setup!$G$32),Setup!$C$39:$C$50))+(316*100+13)/10000000)))</f>
        <v/>
      </c>
      <c r="AE321" t="str">
        <f>IF(O321="","",IF(O321&lt;Setup!$C$5-Setup!$C$6,"",IF(IF(ISNUMBER(Roster!$D321),Setup!$C$33&lt;=Roster!$D321,FALSE),"",IF(OR(IF(Setup!$C$15&lt;=Setup!$C$16,AND(MONTH(O321)&gt;=Setup!$C$15,MONTH(O321)&lt;=Setup!$C$16),OR(MONTH(O321)&gt;=Setup!$C$15,MONTH(O321)&lt;=Setup!$C$16)),IF(Setup!$C$15&lt;=Setup!$C$16,AND(MONTH(WORKDAY(O321,-(Setup!$C$13+Setup!$G$33),Setup!$C$39:$C$50))&gt;=Setup!$C$15,MONTH(WORKDAY(O321,-(Setup!$C$13+Setup!$G$33),Setup!$C$39:$C$50))&lt;=Setup!$C$16),OR(MONTH(WORKDAY(O321,-(Setup!$C$13+Setup!$G$33),Setup!$C$39:$C$50))&gt;=Setup!$C$15,MONTH(WORKDAY(O321,-(Setup!$C$13+Setup!$G$33),Setup!$C$39:$C$50))&lt;=Setup!$C$16))),WORKDAY(O321,-(Setup!$C$13+Setup!$G$33+Setup!$C$14),Setup!$C$39:$C$50),WORKDAY(O321,-(Setup!$C$13+Setup!$G$33),Setup!$C$39:$C$50))+(316*100+14)/10000000)))</f>
        <v/>
      </c>
      <c r="AF321" t="str">
        <f>IF(P321="","",IF(P321&lt;Setup!$C$5-Setup!$C$6,"",IF(IF(ISNUMBER(Roster!$D321),Setup!$C$34&lt;=Roster!$D321,FALSE),"",IF(OR(IF(Setup!$C$15&lt;=Setup!$C$16,AND(MONTH(P321)&gt;=Setup!$C$15,MONTH(P321)&lt;=Setup!$C$16),OR(MONTH(P321)&gt;=Setup!$C$15,MONTH(P321)&lt;=Setup!$C$16)),IF(Setup!$C$15&lt;=Setup!$C$16,AND(MONTH(WORKDAY(P321,-(Setup!$C$13+Setup!$G$34),Setup!$C$39:$C$50))&gt;=Setup!$C$15,MONTH(WORKDAY(P321,-(Setup!$C$13+Setup!$G$34),Setup!$C$39:$C$50))&lt;=Setup!$C$16),OR(MONTH(WORKDAY(P321,-(Setup!$C$13+Setup!$G$34),Setup!$C$39:$C$50))&gt;=Setup!$C$15,MONTH(WORKDAY(P321,-(Setup!$C$13+Setup!$G$34),Setup!$C$39:$C$50))&lt;=Setup!$C$16))),WORKDAY(P321,-(Setup!$C$13+Setup!$G$34+Setup!$C$14),Setup!$C$39:$C$50),WORKDAY(P321,-(Setup!$C$13+Setup!$G$34),Setup!$C$39:$C$50))+(316*100+15)/10000000)))</f>
        <v/>
      </c>
      <c r="AH321" t="str">
        <f t="shared" si="33"/>
        <v/>
      </c>
      <c r="AI321" t="str">
        <f t="shared" si="34"/>
        <v/>
      </c>
      <c r="AP321" t="str">
        <f>IF(ISNUMBER(Roster!$B321),MAX(1,YEAR(Setup!$C$5)-YEAR(Roster!$B321)+IF(EDATE(Roster!$B321,12*(YEAR(Setup!$C$5)-YEAR(Roster!$B321)))&lt;Setup!$C$5,1,0)),"")</f>
        <v/>
      </c>
      <c r="AQ321" s="32" t="str">
        <f>IF(AP321="","",EDATE(Roster!$B321,12*AP321))</f>
        <v/>
      </c>
      <c r="AR321" t="str">
        <f>IF(AQ321="","",IF(AQ321&lt;DATE(YEAR(Setup!$C$5)+1,MONTH(Setup!$C$5),DAY(Setup!$C$5)),AQ321+316/1000,""))</f>
        <v/>
      </c>
      <c r="AS321" t="str">
        <f t="shared" si="38"/>
        <v/>
      </c>
      <c r="AT321" t="str">
        <f>IF(AS321="","",IF(ISNUMBER(Roster!$D321),Roster!$D321&gt;=AP321,FALSE))</f>
        <v/>
      </c>
      <c r="AU321" t="str">
        <f t="shared" si="39"/>
        <v/>
      </c>
      <c r="AV321" t="str">
        <f ca="1">IF(316&gt;$AV$2,"",SMALL($AR$6:$AR$505,316))</f>
        <v/>
      </c>
      <c r="AW321" t="str">
        <f t="shared" ca="1" si="40"/>
        <v/>
      </c>
    </row>
    <row r="322" spans="2:49" x14ac:dyDescent="0.2">
      <c r="B322" s="32" t="str">
        <f>IF(AND(ISNUMBER(Roster!$B322),Setup!$B$20="Yes",ISNUMBER(Setup!$C$20)),EDATE(Roster!$B322,12*Setup!$C$20),"")</f>
        <v/>
      </c>
      <c r="C322" s="32" t="str">
        <f>IF(AND(ISNUMBER(Roster!$B322),Setup!$B$21="Yes",ISNUMBER(Setup!$C$21)),EDATE(Roster!$B322,12*Setup!$C$21),"")</f>
        <v/>
      </c>
      <c r="D322" s="32" t="str">
        <f>IF(AND(ISNUMBER(Roster!$B322),Setup!$B$22="Yes",ISNUMBER(Setup!$C$22)),EDATE(Roster!$B322,12*Setup!$C$22),"")</f>
        <v/>
      </c>
      <c r="E322" s="32" t="str">
        <f>IF(AND(ISNUMBER(Roster!$B322),Setup!$B$23="Yes",ISNUMBER(Setup!$C$23)),EDATE(Roster!$B322,12*Setup!$C$23),"")</f>
        <v/>
      </c>
      <c r="F322" s="32" t="str">
        <f>IF(AND(ISNUMBER(Roster!$B322),Setup!$B$24="Yes",ISNUMBER(Setup!$C$24)),EDATE(Roster!$B322,12*Setup!$C$24),"")</f>
        <v/>
      </c>
      <c r="G322" s="32" t="str">
        <f>IF(AND(ISNUMBER(Roster!$B322),Setup!$B$25="Yes",ISNUMBER(Setup!$C$25)),EDATE(Roster!$B322,12*Setup!$C$25),"")</f>
        <v/>
      </c>
      <c r="H322" s="32" t="str">
        <f>IF(AND(ISNUMBER(Roster!$B322),Setup!$B$26="Yes",ISNUMBER(Setup!$C$26)),EDATE(Roster!$B322,12*Setup!$C$26),"")</f>
        <v/>
      </c>
      <c r="I322" s="32" t="str">
        <f>IF(AND(ISNUMBER(Roster!$B322),Setup!$B$27="Yes",ISNUMBER(Setup!$C$27)),EDATE(Roster!$B322,12*Setup!$C$27),"")</f>
        <v/>
      </c>
      <c r="J322" s="32" t="str">
        <f>IF(AND(ISNUMBER(Roster!$B322),Setup!$B$28="Yes",ISNUMBER(Setup!$C$28)),EDATE(Roster!$B322,12*Setup!$C$28),"")</f>
        <v/>
      </c>
      <c r="K322" s="32" t="str">
        <f>IF(AND(ISNUMBER(Roster!$B322),Setup!$B$29="Yes",ISNUMBER(Setup!$C$29)),EDATE(Roster!$B322,12*Setup!$C$29),"")</f>
        <v/>
      </c>
      <c r="L322" s="32" t="str">
        <f>IF(AND(ISNUMBER(Roster!$B322),Setup!$B$30="Yes",ISNUMBER(Setup!$C$30)),EDATE(Roster!$B322,12*Setup!$C$30),"")</f>
        <v/>
      </c>
      <c r="M322" s="32" t="str">
        <f>IF(AND(ISNUMBER(Roster!$B322),Setup!$B$31="Yes",ISNUMBER(Setup!$C$31)),EDATE(Roster!$B322,12*Setup!$C$31),"")</f>
        <v/>
      </c>
      <c r="N322" s="32" t="str">
        <f>IF(AND(ISNUMBER(Roster!$B322),Setup!$B$32="Yes",ISNUMBER(Setup!$C$32)),EDATE(Roster!$B322,12*Setup!$C$32),"")</f>
        <v/>
      </c>
      <c r="O322" s="32" t="str">
        <f>IF(AND(ISNUMBER(Roster!$B322),Setup!$B$33="Yes",ISNUMBER(Setup!$C$33)),EDATE(Roster!$B322,12*Setup!$C$33),"")</f>
        <v/>
      </c>
      <c r="P322" s="32" t="str">
        <f>IF(AND(ISNUMBER(Roster!$B322),Setup!$B$34="Yes",ISNUMBER(Setup!$C$34)),EDATE(Roster!$B322,12*Setup!$C$34),"")</f>
        <v/>
      </c>
      <c r="R322" t="str">
        <f>IF(B322="","",IF(B322&lt;Setup!$C$5-Setup!$C$6,"",IF(IF(ISNUMBER(Roster!$D322),Setup!$C$20&lt;=Roster!$D322,FALSE),"",IF(OR(IF(Setup!$C$15&lt;=Setup!$C$16,AND(MONTH(B322)&gt;=Setup!$C$15,MONTH(B322)&lt;=Setup!$C$16),OR(MONTH(B322)&gt;=Setup!$C$15,MONTH(B322)&lt;=Setup!$C$16)),IF(Setup!$C$15&lt;=Setup!$C$16,AND(MONTH(WORKDAY(B322,-(Setup!$C$13+Setup!$G$20),Setup!$C$39:$C$50))&gt;=Setup!$C$15,MONTH(WORKDAY(B322,-(Setup!$C$13+Setup!$G$20),Setup!$C$39:$C$50))&lt;=Setup!$C$16),OR(MONTH(WORKDAY(B322,-(Setup!$C$13+Setup!$G$20),Setup!$C$39:$C$50))&gt;=Setup!$C$15,MONTH(WORKDAY(B322,-(Setup!$C$13+Setup!$G$20),Setup!$C$39:$C$50))&lt;=Setup!$C$16))),WORKDAY(B322,-(Setup!$C$13+Setup!$G$20+Setup!$C$14),Setup!$C$39:$C$50),WORKDAY(B322,-(Setup!$C$13+Setup!$G$20),Setup!$C$39:$C$50))+(317*100+1)/10000000)))</f>
        <v/>
      </c>
      <c r="S322" t="str">
        <f>IF(C322="","",IF(C322&lt;Setup!$C$5-Setup!$C$6,"",IF(IF(ISNUMBER(Roster!$D322),Setup!$C$21&lt;=Roster!$D322,FALSE),"",IF(OR(IF(Setup!$C$15&lt;=Setup!$C$16,AND(MONTH(C322)&gt;=Setup!$C$15,MONTH(C322)&lt;=Setup!$C$16),OR(MONTH(C322)&gt;=Setup!$C$15,MONTH(C322)&lt;=Setup!$C$16)),IF(Setup!$C$15&lt;=Setup!$C$16,AND(MONTH(WORKDAY(C322,-(Setup!$C$13+Setup!$G$21),Setup!$C$39:$C$50))&gt;=Setup!$C$15,MONTH(WORKDAY(C322,-(Setup!$C$13+Setup!$G$21),Setup!$C$39:$C$50))&lt;=Setup!$C$16),OR(MONTH(WORKDAY(C322,-(Setup!$C$13+Setup!$G$21),Setup!$C$39:$C$50))&gt;=Setup!$C$15,MONTH(WORKDAY(C322,-(Setup!$C$13+Setup!$G$21),Setup!$C$39:$C$50))&lt;=Setup!$C$16))),WORKDAY(C322,-(Setup!$C$13+Setup!$G$21+Setup!$C$14),Setup!$C$39:$C$50),WORKDAY(C322,-(Setup!$C$13+Setup!$G$21),Setup!$C$39:$C$50))+(317*100+2)/10000000)))</f>
        <v/>
      </c>
      <c r="T322" t="str">
        <f>IF(D322="","",IF(D322&lt;Setup!$C$5-Setup!$C$6,"",IF(IF(ISNUMBER(Roster!$D322),Setup!$C$22&lt;=Roster!$D322,FALSE),"",IF(OR(IF(Setup!$C$15&lt;=Setup!$C$16,AND(MONTH(D322)&gt;=Setup!$C$15,MONTH(D322)&lt;=Setup!$C$16),OR(MONTH(D322)&gt;=Setup!$C$15,MONTH(D322)&lt;=Setup!$C$16)),IF(Setup!$C$15&lt;=Setup!$C$16,AND(MONTH(WORKDAY(D322,-(Setup!$C$13+Setup!$G$22),Setup!$C$39:$C$50))&gt;=Setup!$C$15,MONTH(WORKDAY(D322,-(Setup!$C$13+Setup!$G$22),Setup!$C$39:$C$50))&lt;=Setup!$C$16),OR(MONTH(WORKDAY(D322,-(Setup!$C$13+Setup!$G$22),Setup!$C$39:$C$50))&gt;=Setup!$C$15,MONTH(WORKDAY(D322,-(Setup!$C$13+Setup!$G$22),Setup!$C$39:$C$50))&lt;=Setup!$C$16))),WORKDAY(D322,-(Setup!$C$13+Setup!$G$22+Setup!$C$14),Setup!$C$39:$C$50),WORKDAY(D322,-(Setup!$C$13+Setup!$G$22),Setup!$C$39:$C$50))+(317*100+3)/10000000)))</f>
        <v/>
      </c>
      <c r="U322" t="str">
        <f>IF(E322="","",IF(E322&lt;Setup!$C$5-Setup!$C$6,"",IF(IF(ISNUMBER(Roster!$D322),Setup!$C$23&lt;=Roster!$D322,FALSE),"",IF(OR(IF(Setup!$C$15&lt;=Setup!$C$16,AND(MONTH(E322)&gt;=Setup!$C$15,MONTH(E322)&lt;=Setup!$C$16),OR(MONTH(E322)&gt;=Setup!$C$15,MONTH(E322)&lt;=Setup!$C$16)),IF(Setup!$C$15&lt;=Setup!$C$16,AND(MONTH(WORKDAY(E322,-(Setup!$C$13+Setup!$G$23),Setup!$C$39:$C$50))&gt;=Setup!$C$15,MONTH(WORKDAY(E322,-(Setup!$C$13+Setup!$G$23),Setup!$C$39:$C$50))&lt;=Setup!$C$16),OR(MONTH(WORKDAY(E322,-(Setup!$C$13+Setup!$G$23),Setup!$C$39:$C$50))&gt;=Setup!$C$15,MONTH(WORKDAY(E322,-(Setup!$C$13+Setup!$G$23),Setup!$C$39:$C$50))&lt;=Setup!$C$16))),WORKDAY(E322,-(Setup!$C$13+Setup!$G$23+Setup!$C$14),Setup!$C$39:$C$50),WORKDAY(E322,-(Setup!$C$13+Setup!$G$23),Setup!$C$39:$C$50))+(317*100+4)/10000000)))</f>
        <v/>
      </c>
      <c r="V322" t="str">
        <f>IF(F322="","",IF(F322&lt;Setup!$C$5-Setup!$C$6,"",IF(IF(ISNUMBER(Roster!$D322),Setup!$C$24&lt;=Roster!$D322,FALSE),"",IF(OR(IF(Setup!$C$15&lt;=Setup!$C$16,AND(MONTH(F322)&gt;=Setup!$C$15,MONTH(F322)&lt;=Setup!$C$16),OR(MONTH(F322)&gt;=Setup!$C$15,MONTH(F322)&lt;=Setup!$C$16)),IF(Setup!$C$15&lt;=Setup!$C$16,AND(MONTH(WORKDAY(F322,-(Setup!$C$13+Setup!$G$24),Setup!$C$39:$C$50))&gt;=Setup!$C$15,MONTH(WORKDAY(F322,-(Setup!$C$13+Setup!$G$24),Setup!$C$39:$C$50))&lt;=Setup!$C$16),OR(MONTH(WORKDAY(F322,-(Setup!$C$13+Setup!$G$24),Setup!$C$39:$C$50))&gt;=Setup!$C$15,MONTH(WORKDAY(F322,-(Setup!$C$13+Setup!$G$24),Setup!$C$39:$C$50))&lt;=Setup!$C$16))),WORKDAY(F322,-(Setup!$C$13+Setup!$G$24+Setup!$C$14),Setup!$C$39:$C$50),WORKDAY(F322,-(Setup!$C$13+Setup!$G$24),Setup!$C$39:$C$50))+(317*100+5)/10000000)))</f>
        <v/>
      </c>
      <c r="W322" t="str">
        <f>IF(G322="","",IF(G322&lt;Setup!$C$5-Setup!$C$6,"",IF(IF(ISNUMBER(Roster!$D322),Setup!$C$25&lt;=Roster!$D322,FALSE),"",IF(OR(IF(Setup!$C$15&lt;=Setup!$C$16,AND(MONTH(G322)&gt;=Setup!$C$15,MONTH(G322)&lt;=Setup!$C$16),OR(MONTH(G322)&gt;=Setup!$C$15,MONTH(G322)&lt;=Setup!$C$16)),IF(Setup!$C$15&lt;=Setup!$C$16,AND(MONTH(WORKDAY(G322,-(Setup!$C$13+Setup!$G$25),Setup!$C$39:$C$50))&gt;=Setup!$C$15,MONTH(WORKDAY(G322,-(Setup!$C$13+Setup!$G$25),Setup!$C$39:$C$50))&lt;=Setup!$C$16),OR(MONTH(WORKDAY(G322,-(Setup!$C$13+Setup!$G$25),Setup!$C$39:$C$50))&gt;=Setup!$C$15,MONTH(WORKDAY(G322,-(Setup!$C$13+Setup!$G$25),Setup!$C$39:$C$50))&lt;=Setup!$C$16))),WORKDAY(G322,-(Setup!$C$13+Setup!$G$25+Setup!$C$14),Setup!$C$39:$C$50),WORKDAY(G322,-(Setup!$C$13+Setup!$G$25),Setup!$C$39:$C$50))+(317*100+6)/10000000)))</f>
        <v/>
      </c>
      <c r="X322" t="str">
        <f>IF(H322="","",IF(H322&lt;Setup!$C$5-Setup!$C$6,"",IF(IF(ISNUMBER(Roster!$D322),Setup!$C$26&lt;=Roster!$D322,FALSE),"",IF(OR(IF(Setup!$C$15&lt;=Setup!$C$16,AND(MONTH(H322)&gt;=Setup!$C$15,MONTH(H322)&lt;=Setup!$C$16),OR(MONTH(H322)&gt;=Setup!$C$15,MONTH(H322)&lt;=Setup!$C$16)),IF(Setup!$C$15&lt;=Setup!$C$16,AND(MONTH(WORKDAY(H322,-(Setup!$C$13+Setup!$G$26),Setup!$C$39:$C$50))&gt;=Setup!$C$15,MONTH(WORKDAY(H322,-(Setup!$C$13+Setup!$G$26),Setup!$C$39:$C$50))&lt;=Setup!$C$16),OR(MONTH(WORKDAY(H322,-(Setup!$C$13+Setup!$G$26),Setup!$C$39:$C$50))&gt;=Setup!$C$15,MONTH(WORKDAY(H322,-(Setup!$C$13+Setup!$G$26),Setup!$C$39:$C$50))&lt;=Setup!$C$16))),WORKDAY(H322,-(Setup!$C$13+Setup!$G$26+Setup!$C$14),Setup!$C$39:$C$50),WORKDAY(H322,-(Setup!$C$13+Setup!$G$26),Setup!$C$39:$C$50))+(317*100+7)/10000000)))</f>
        <v/>
      </c>
      <c r="Y322" t="str">
        <f>IF(I322="","",IF(I322&lt;Setup!$C$5-Setup!$C$6,"",IF(IF(ISNUMBER(Roster!$D322),Setup!$C$27&lt;=Roster!$D322,FALSE),"",IF(OR(IF(Setup!$C$15&lt;=Setup!$C$16,AND(MONTH(I322)&gt;=Setup!$C$15,MONTH(I322)&lt;=Setup!$C$16),OR(MONTH(I322)&gt;=Setup!$C$15,MONTH(I322)&lt;=Setup!$C$16)),IF(Setup!$C$15&lt;=Setup!$C$16,AND(MONTH(WORKDAY(I322,-(Setup!$C$13+Setup!$G$27),Setup!$C$39:$C$50))&gt;=Setup!$C$15,MONTH(WORKDAY(I322,-(Setup!$C$13+Setup!$G$27),Setup!$C$39:$C$50))&lt;=Setup!$C$16),OR(MONTH(WORKDAY(I322,-(Setup!$C$13+Setup!$G$27),Setup!$C$39:$C$50))&gt;=Setup!$C$15,MONTH(WORKDAY(I322,-(Setup!$C$13+Setup!$G$27),Setup!$C$39:$C$50))&lt;=Setup!$C$16))),WORKDAY(I322,-(Setup!$C$13+Setup!$G$27+Setup!$C$14),Setup!$C$39:$C$50),WORKDAY(I322,-(Setup!$C$13+Setup!$G$27),Setup!$C$39:$C$50))+(317*100+8)/10000000)))</f>
        <v/>
      </c>
      <c r="Z322" t="str">
        <f>IF(J322="","",IF(J322&lt;Setup!$C$5-Setup!$C$6,"",IF(IF(ISNUMBER(Roster!$D322),Setup!$C$28&lt;=Roster!$D322,FALSE),"",IF(OR(IF(Setup!$C$15&lt;=Setup!$C$16,AND(MONTH(J322)&gt;=Setup!$C$15,MONTH(J322)&lt;=Setup!$C$16),OR(MONTH(J322)&gt;=Setup!$C$15,MONTH(J322)&lt;=Setup!$C$16)),IF(Setup!$C$15&lt;=Setup!$C$16,AND(MONTH(WORKDAY(J322,-(Setup!$C$13+Setup!$G$28),Setup!$C$39:$C$50))&gt;=Setup!$C$15,MONTH(WORKDAY(J322,-(Setup!$C$13+Setup!$G$28),Setup!$C$39:$C$50))&lt;=Setup!$C$16),OR(MONTH(WORKDAY(J322,-(Setup!$C$13+Setup!$G$28),Setup!$C$39:$C$50))&gt;=Setup!$C$15,MONTH(WORKDAY(J322,-(Setup!$C$13+Setup!$G$28),Setup!$C$39:$C$50))&lt;=Setup!$C$16))),WORKDAY(J322,-(Setup!$C$13+Setup!$G$28+Setup!$C$14),Setup!$C$39:$C$50),WORKDAY(J322,-(Setup!$C$13+Setup!$G$28),Setup!$C$39:$C$50))+(317*100+9)/10000000)))</f>
        <v/>
      </c>
      <c r="AA322" t="str">
        <f>IF(K322="","",IF(K322&lt;Setup!$C$5-Setup!$C$6,"",IF(IF(ISNUMBER(Roster!$D322),Setup!$C$29&lt;=Roster!$D322,FALSE),"",IF(OR(IF(Setup!$C$15&lt;=Setup!$C$16,AND(MONTH(K322)&gt;=Setup!$C$15,MONTH(K322)&lt;=Setup!$C$16),OR(MONTH(K322)&gt;=Setup!$C$15,MONTH(K322)&lt;=Setup!$C$16)),IF(Setup!$C$15&lt;=Setup!$C$16,AND(MONTH(WORKDAY(K322,-(Setup!$C$13+Setup!$G$29),Setup!$C$39:$C$50))&gt;=Setup!$C$15,MONTH(WORKDAY(K322,-(Setup!$C$13+Setup!$G$29),Setup!$C$39:$C$50))&lt;=Setup!$C$16),OR(MONTH(WORKDAY(K322,-(Setup!$C$13+Setup!$G$29),Setup!$C$39:$C$50))&gt;=Setup!$C$15,MONTH(WORKDAY(K322,-(Setup!$C$13+Setup!$G$29),Setup!$C$39:$C$50))&lt;=Setup!$C$16))),WORKDAY(K322,-(Setup!$C$13+Setup!$G$29+Setup!$C$14),Setup!$C$39:$C$50),WORKDAY(K322,-(Setup!$C$13+Setup!$G$29),Setup!$C$39:$C$50))+(317*100+10)/10000000)))</f>
        <v/>
      </c>
      <c r="AB322" t="str">
        <f>IF(L322="","",IF(L322&lt;Setup!$C$5-Setup!$C$6,"",IF(IF(ISNUMBER(Roster!$D322),Setup!$C$30&lt;=Roster!$D322,FALSE),"",IF(OR(IF(Setup!$C$15&lt;=Setup!$C$16,AND(MONTH(L322)&gt;=Setup!$C$15,MONTH(L322)&lt;=Setup!$C$16),OR(MONTH(L322)&gt;=Setup!$C$15,MONTH(L322)&lt;=Setup!$C$16)),IF(Setup!$C$15&lt;=Setup!$C$16,AND(MONTH(WORKDAY(L322,-(Setup!$C$13+Setup!$G$30),Setup!$C$39:$C$50))&gt;=Setup!$C$15,MONTH(WORKDAY(L322,-(Setup!$C$13+Setup!$G$30),Setup!$C$39:$C$50))&lt;=Setup!$C$16),OR(MONTH(WORKDAY(L322,-(Setup!$C$13+Setup!$G$30),Setup!$C$39:$C$50))&gt;=Setup!$C$15,MONTH(WORKDAY(L322,-(Setup!$C$13+Setup!$G$30),Setup!$C$39:$C$50))&lt;=Setup!$C$16))),WORKDAY(L322,-(Setup!$C$13+Setup!$G$30+Setup!$C$14),Setup!$C$39:$C$50),WORKDAY(L322,-(Setup!$C$13+Setup!$G$30),Setup!$C$39:$C$50))+(317*100+11)/10000000)))</f>
        <v/>
      </c>
      <c r="AC322" t="str">
        <f>IF(M322="","",IF(M322&lt;Setup!$C$5-Setup!$C$6,"",IF(IF(ISNUMBER(Roster!$D322),Setup!$C$31&lt;=Roster!$D322,FALSE),"",IF(OR(IF(Setup!$C$15&lt;=Setup!$C$16,AND(MONTH(M322)&gt;=Setup!$C$15,MONTH(M322)&lt;=Setup!$C$16),OR(MONTH(M322)&gt;=Setup!$C$15,MONTH(M322)&lt;=Setup!$C$16)),IF(Setup!$C$15&lt;=Setup!$C$16,AND(MONTH(WORKDAY(M322,-(Setup!$C$13+Setup!$G$31),Setup!$C$39:$C$50))&gt;=Setup!$C$15,MONTH(WORKDAY(M322,-(Setup!$C$13+Setup!$G$31),Setup!$C$39:$C$50))&lt;=Setup!$C$16),OR(MONTH(WORKDAY(M322,-(Setup!$C$13+Setup!$G$31),Setup!$C$39:$C$50))&gt;=Setup!$C$15,MONTH(WORKDAY(M322,-(Setup!$C$13+Setup!$G$31),Setup!$C$39:$C$50))&lt;=Setup!$C$16))),WORKDAY(M322,-(Setup!$C$13+Setup!$G$31+Setup!$C$14),Setup!$C$39:$C$50),WORKDAY(M322,-(Setup!$C$13+Setup!$G$31),Setup!$C$39:$C$50))+(317*100+12)/10000000)))</f>
        <v/>
      </c>
      <c r="AD322" t="str">
        <f>IF(N322="","",IF(N322&lt;Setup!$C$5-Setup!$C$6,"",IF(IF(ISNUMBER(Roster!$D322),Setup!$C$32&lt;=Roster!$D322,FALSE),"",IF(OR(IF(Setup!$C$15&lt;=Setup!$C$16,AND(MONTH(N322)&gt;=Setup!$C$15,MONTH(N322)&lt;=Setup!$C$16),OR(MONTH(N322)&gt;=Setup!$C$15,MONTH(N322)&lt;=Setup!$C$16)),IF(Setup!$C$15&lt;=Setup!$C$16,AND(MONTH(WORKDAY(N322,-(Setup!$C$13+Setup!$G$32),Setup!$C$39:$C$50))&gt;=Setup!$C$15,MONTH(WORKDAY(N322,-(Setup!$C$13+Setup!$G$32),Setup!$C$39:$C$50))&lt;=Setup!$C$16),OR(MONTH(WORKDAY(N322,-(Setup!$C$13+Setup!$G$32),Setup!$C$39:$C$50))&gt;=Setup!$C$15,MONTH(WORKDAY(N322,-(Setup!$C$13+Setup!$G$32),Setup!$C$39:$C$50))&lt;=Setup!$C$16))),WORKDAY(N322,-(Setup!$C$13+Setup!$G$32+Setup!$C$14),Setup!$C$39:$C$50),WORKDAY(N322,-(Setup!$C$13+Setup!$G$32),Setup!$C$39:$C$50))+(317*100+13)/10000000)))</f>
        <v/>
      </c>
      <c r="AE322" t="str">
        <f>IF(O322="","",IF(O322&lt;Setup!$C$5-Setup!$C$6,"",IF(IF(ISNUMBER(Roster!$D322),Setup!$C$33&lt;=Roster!$D322,FALSE),"",IF(OR(IF(Setup!$C$15&lt;=Setup!$C$16,AND(MONTH(O322)&gt;=Setup!$C$15,MONTH(O322)&lt;=Setup!$C$16),OR(MONTH(O322)&gt;=Setup!$C$15,MONTH(O322)&lt;=Setup!$C$16)),IF(Setup!$C$15&lt;=Setup!$C$16,AND(MONTH(WORKDAY(O322,-(Setup!$C$13+Setup!$G$33),Setup!$C$39:$C$50))&gt;=Setup!$C$15,MONTH(WORKDAY(O322,-(Setup!$C$13+Setup!$G$33),Setup!$C$39:$C$50))&lt;=Setup!$C$16),OR(MONTH(WORKDAY(O322,-(Setup!$C$13+Setup!$G$33),Setup!$C$39:$C$50))&gt;=Setup!$C$15,MONTH(WORKDAY(O322,-(Setup!$C$13+Setup!$G$33),Setup!$C$39:$C$50))&lt;=Setup!$C$16))),WORKDAY(O322,-(Setup!$C$13+Setup!$G$33+Setup!$C$14),Setup!$C$39:$C$50),WORKDAY(O322,-(Setup!$C$13+Setup!$G$33),Setup!$C$39:$C$50))+(317*100+14)/10000000)))</f>
        <v/>
      </c>
      <c r="AF322" t="str">
        <f>IF(P322="","",IF(P322&lt;Setup!$C$5-Setup!$C$6,"",IF(IF(ISNUMBER(Roster!$D322),Setup!$C$34&lt;=Roster!$D322,FALSE),"",IF(OR(IF(Setup!$C$15&lt;=Setup!$C$16,AND(MONTH(P322)&gt;=Setup!$C$15,MONTH(P322)&lt;=Setup!$C$16),OR(MONTH(P322)&gt;=Setup!$C$15,MONTH(P322)&lt;=Setup!$C$16)),IF(Setup!$C$15&lt;=Setup!$C$16,AND(MONTH(WORKDAY(P322,-(Setup!$C$13+Setup!$G$34),Setup!$C$39:$C$50))&gt;=Setup!$C$15,MONTH(WORKDAY(P322,-(Setup!$C$13+Setup!$G$34),Setup!$C$39:$C$50))&lt;=Setup!$C$16),OR(MONTH(WORKDAY(P322,-(Setup!$C$13+Setup!$G$34),Setup!$C$39:$C$50))&gt;=Setup!$C$15,MONTH(WORKDAY(P322,-(Setup!$C$13+Setup!$G$34),Setup!$C$39:$C$50))&lt;=Setup!$C$16))),WORKDAY(P322,-(Setup!$C$13+Setup!$G$34+Setup!$C$14),Setup!$C$39:$C$50),WORKDAY(P322,-(Setup!$C$13+Setup!$G$34),Setup!$C$39:$C$50))+(317*100+15)/10000000)))</f>
        <v/>
      </c>
      <c r="AH322" t="str">
        <f t="shared" si="33"/>
        <v/>
      </c>
      <c r="AI322" t="str">
        <f t="shared" si="34"/>
        <v/>
      </c>
      <c r="AP322" t="str">
        <f>IF(ISNUMBER(Roster!$B322),MAX(1,YEAR(Setup!$C$5)-YEAR(Roster!$B322)+IF(EDATE(Roster!$B322,12*(YEAR(Setup!$C$5)-YEAR(Roster!$B322)))&lt;Setup!$C$5,1,0)),"")</f>
        <v/>
      </c>
      <c r="AQ322" s="32" t="str">
        <f>IF(AP322="","",EDATE(Roster!$B322,12*AP322))</f>
        <v/>
      </c>
      <c r="AR322" t="str">
        <f>IF(AQ322="","",IF(AQ322&lt;DATE(YEAR(Setup!$C$5)+1,MONTH(Setup!$C$5),DAY(Setup!$C$5)),AQ322+317/1000,""))</f>
        <v/>
      </c>
      <c r="AS322" t="str">
        <f t="shared" si="38"/>
        <v/>
      </c>
      <c r="AT322" t="str">
        <f>IF(AS322="","",IF(ISNUMBER(Roster!$D322),Roster!$D322&gt;=AP322,FALSE))</f>
        <v/>
      </c>
      <c r="AU322" t="str">
        <f t="shared" si="39"/>
        <v/>
      </c>
      <c r="AV322" t="str">
        <f ca="1">IF(317&gt;$AV$2,"",SMALL($AR$6:$AR$505,317))</f>
        <v/>
      </c>
      <c r="AW322" t="str">
        <f t="shared" ca="1" si="40"/>
        <v/>
      </c>
    </row>
    <row r="323" spans="2:49" x14ac:dyDescent="0.2">
      <c r="B323" s="32" t="str">
        <f>IF(AND(ISNUMBER(Roster!$B323),Setup!$B$20="Yes",ISNUMBER(Setup!$C$20)),EDATE(Roster!$B323,12*Setup!$C$20),"")</f>
        <v/>
      </c>
      <c r="C323" s="32" t="str">
        <f>IF(AND(ISNUMBER(Roster!$B323),Setup!$B$21="Yes",ISNUMBER(Setup!$C$21)),EDATE(Roster!$B323,12*Setup!$C$21),"")</f>
        <v/>
      </c>
      <c r="D323" s="32" t="str">
        <f>IF(AND(ISNUMBER(Roster!$B323),Setup!$B$22="Yes",ISNUMBER(Setup!$C$22)),EDATE(Roster!$B323,12*Setup!$C$22),"")</f>
        <v/>
      </c>
      <c r="E323" s="32" t="str">
        <f>IF(AND(ISNUMBER(Roster!$B323),Setup!$B$23="Yes",ISNUMBER(Setup!$C$23)),EDATE(Roster!$B323,12*Setup!$C$23),"")</f>
        <v/>
      </c>
      <c r="F323" s="32" t="str">
        <f>IF(AND(ISNUMBER(Roster!$B323),Setup!$B$24="Yes",ISNUMBER(Setup!$C$24)),EDATE(Roster!$B323,12*Setup!$C$24),"")</f>
        <v/>
      </c>
      <c r="G323" s="32" t="str">
        <f>IF(AND(ISNUMBER(Roster!$B323),Setup!$B$25="Yes",ISNUMBER(Setup!$C$25)),EDATE(Roster!$B323,12*Setup!$C$25),"")</f>
        <v/>
      </c>
      <c r="H323" s="32" t="str">
        <f>IF(AND(ISNUMBER(Roster!$B323),Setup!$B$26="Yes",ISNUMBER(Setup!$C$26)),EDATE(Roster!$B323,12*Setup!$C$26),"")</f>
        <v/>
      </c>
      <c r="I323" s="32" t="str">
        <f>IF(AND(ISNUMBER(Roster!$B323),Setup!$B$27="Yes",ISNUMBER(Setup!$C$27)),EDATE(Roster!$B323,12*Setup!$C$27),"")</f>
        <v/>
      </c>
      <c r="J323" s="32" t="str">
        <f>IF(AND(ISNUMBER(Roster!$B323),Setup!$B$28="Yes",ISNUMBER(Setup!$C$28)),EDATE(Roster!$B323,12*Setup!$C$28),"")</f>
        <v/>
      </c>
      <c r="K323" s="32" t="str">
        <f>IF(AND(ISNUMBER(Roster!$B323),Setup!$B$29="Yes",ISNUMBER(Setup!$C$29)),EDATE(Roster!$B323,12*Setup!$C$29),"")</f>
        <v/>
      </c>
      <c r="L323" s="32" t="str">
        <f>IF(AND(ISNUMBER(Roster!$B323),Setup!$B$30="Yes",ISNUMBER(Setup!$C$30)),EDATE(Roster!$B323,12*Setup!$C$30),"")</f>
        <v/>
      </c>
      <c r="M323" s="32" t="str">
        <f>IF(AND(ISNUMBER(Roster!$B323),Setup!$B$31="Yes",ISNUMBER(Setup!$C$31)),EDATE(Roster!$B323,12*Setup!$C$31),"")</f>
        <v/>
      </c>
      <c r="N323" s="32" t="str">
        <f>IF(AND(ISNUMBER(Roster!$B323),Setup!$B$32="Yes",ISNUMBER(Setup!$C$32)),EDATE(Roster!$B323,12*Setup!$C$32),"")</f>
        <v/>
      </c>
      <c r="O323" s="32" t="str">
        <f>IF(AND(ISNUMBER(Roster!$B323),Setup!$B$33="Yes",ISNUMBER(Setup!$C$33)),EDATE(Roster!$B323,12*Setup!$C$33),"")</f>
        <v/>
      </c>
      <c r="P323" s="32" t="str">
        <f>IF(AND(ISNUMBER(Roster!$B323),Setup!$B$34="Yes",ISNUMBER(Setup!$C$34)),EDATE(Roster!$B323,12*Setup!$C$34),"")</f>
        <v/>
      </c>
      <c r="R323" t="str">
        <f>IF(B323="","",IF(B323&lt;Setup!$C$5-Setup!$C$6,"",IF(IF(ISNUMBER(Roster!$D323),Setup!$C$20&lt;=Roster!$D323,FALSE),"",IF(OR(IF(Setup!$C$15&lt;=Setup!$C$16,AND(MONTH(B323)&gt;=Setup!$C$15,MONTH(B323)&lt;=Setup!$C$16),OR(MONTH(B323)&gt;=Setup!$C$15,MONTH(B323)&lt;=Setup!$C$16)),IF(Setup!$C$15&lt;=Setup!$C$16,AND(MONTH(WORKDAY(B323,-(Setup!$C$13+Setup!$G$20),Setup!$C$39:$C$50))&gt;=Setup!$C$15,MONTH(WORKDAY(B323,-(Setup!$C$13+Setup!$G$20),Setup!$C$39:$C$50))&lt;=Setup!$C$16),OR(MONTH(WORKDAY(B323,-(Setup!$C$13+Setup!$G$20),Setup!$C$39:$C$50))&gt;=Setup!$C$15,MONTH(WORKDAY(B323,-(Setup!$C$13+Setup!$G$20),Setup!$C$39:$C$50))&lt;=Setup!$C$16))),WORKDAY(B323,-(Setup!$C$13+Setup!$G$20+Setup!$C$14),Setup!$C$39:$C$50),WORKDAY(B323,-(Setup!$C$13+Setup!$G$20),Setup!$C$39:$C$50))+(318*100+1)/10000000)))</f>
        <v/>
      </c>
      <c r="S323" t="str">
        <f>IF(C323="","",IF(C323&lt;Setup!$C$5-Setup!$C$6,"",IF(IF(ISNUMBER(Roster!$D323),Setup!$C$21&lt;=Roster!$D323,FALSE),"",IF(OR(IF(Setup!$C$15&lt;=Setup!$C$16,AND(MONTH(C323)&gt;=Setup!$C$15,MONTH(C323)&lt;=Setup!$C$16),OR(MONTH(C323)&gt;=Setup!$C$15,MONTH(C323)&lt;=Setup!$C$16)),IF(Setup!$C$15&lt;=Setup!$C$16,AND(MONTH(WORKDAY(C323,-(Setup!$C$13+Setup!$G$21),Setup!$C$39:$C$50))&gt;=Setup!$C$15,MONTH(WORKDAY(C323,-(Setup!$C$13+Setup!$G$21),Setup!$C$39:$C$50))&lt;=Setup!$C$16),OR(MONTH(WORKDAY(C323,-(Setup!$C$13+Setup!$G$21),Setup!$C$39:$C$50))&gt;=Setup!$C$15,MONTH(WORKDAY(C323,-(Setup!$C$13+Setup!$G$21),Setup!$C$39:$C$50))&lt;=Setup!$C$16))),WORKDAY(C323,-(Setup!$C$13+Setup!$G$21+Setup!$C$14),Setup!$C$39:$C$50),WORKDAY(C323,-(Setup!$C$13+Setup!$G$21),Setup!$C$39:$C$50))+(318*100+2)/10000000)))</f>
        <v/>
      </c>
      <c r="T323" t="str">
        <f>IF(D323="","",IF(D323&lt;Setup!$C$5-Setup!$C$6,"",IF(IF(ISNUMBER(Roster!$D323),Setup!$C$22&lt;=Roster!$D323,FALSE),"",IF(OR(IF(Setup!$C$15&lt;=Setup!$C$16,AND(MONTH(D323)&gt;=Setup!$C$15,MONTH(D323)&lt;=Setup!$C$16),OR(MONTH(D323)&gt;=Setup!$C$15,MONTH(D323)&lt;=Setup!$C$16)),IF(Setup!$C$15&lt;=Setup!$C$16,AND(MONTH(WORKDAY(D323,-(Setup!$C$13+Setup!$G$22),Setup!$C$39:$C$50))&gt;=Setup!$C$15,MONTH(WORKDAY(D323,-(Setup!$C$13+Setup!$G$22),Setup!$C$39:$C$50))&lt;=Setup!$C$16),OR(MONTH(WORKDAY(D323,-(Setup!$C$13+Setup!$G$22),Setup!$C$39:$C$50))&gt;=Setup!$C$15,MONTH(WORKDAY(D323,-(Setup!$C$13+Setup!$G$22),Setup!$C$39:$C$50))&lt;=Setup!$C$16))),WORKDAY(D323,-(Setup!$C$13+Setup!$G$22+Setup!$C$14),Setup!$C$39:$C$50),WORKDAY(D323,-(Setup!$C$13+Setup!$G$22),Setup!$C$39:$C$50))+(318*100+3)/10000000)))</f>
        <v/>
      </c>
      <c r="U323" t="str">
        <f>IF(E323="","",IF(E323&lt;Setup!$C$5-Setup!$C$6,"",IF(IF(ISNUMBER(Roster!$D323),Setup!$C$23&lt;=Roster!$D323,FALSE),"",IF(OR(IF(Setup!$C$15&lt;=Setup!$C$16,AND(MONTH(E323)&gt;=Setup!$C$15,MONTH(E323)&lt;=Setup!$C$16),OR(MONTH(E323)&gt;=Setup!$C$15,MONTH(E323)&lt;=Setup!$C$16)),IF(Setup!$C$15&lt;=Setup!$C$16,AND(MONTH(WORKDAY(E323,-(Setup!$C$13+Setup!$G$23),Setup!$C$39:$C$50))&gt;=Setup!$C$15,MONTH(WORKDAY(E323,-(Setup!$C$13+Setup!$G$23),Setup!$C$39:$C$50))&lt;=Setup!$C$16),OR(MONTH(WORKDAY(E323,-(Setup!$C$13+Setup!$G$23),Setup!$C$39:$C$50))&gt;=Setup!$C$15,MONTH(WORKDAY(E323,-(Setup!$C$13+Setup!$G$23),Setup!$C$39:$C$50))&lt;=Setup!$C$16))),WORKDAY(E323,-(Setup!$C$13+Setup!$G$23+Setup!$C$14),Setup!$C$39:$C$50),WORKDAY(E323,-(Setup!$C$13+Setup!$G$23),Setup!$C$39:$C$50))+(318*100+4)/10000000)))</f>
        <v/>
      </c>
      <c r="V323" t="str">
        <f>IF(F323="","",IF(F323&lt;Setup!$C$5-Setup!$C$6,"",IF(IF(ISNUMBER(Roster!$D323),Setup!$C$24&lt;=Roster!$D323,FALSE),"",IF(OR(IF(Setup!$C$15&lt;=Setup!$C$16,AND(MONTH(F323)&gt;=Setup!$C$15,MONTH(F323)&lt;=Setup!$C$16),OR(MONTH(F323)&gt;=Setup!$C$15,MONTH(F323)&lt;=Setup!$C$16)),IF(Setup!$C$15&lt;=Setup!$C$16,AND(MONTH(WORKDAY(F323,-(Setup!$C$13+Setup!$G$24),Setup!$C$39:$C$50))&gt;=Setup!$C$15,MONTH(WORKDAY(F323,-(Setup!$C$13+Setup!$G$24),Setup!$C$39:$C$50))&lt;=Setup!$C$16),OR(MONTH(WORKDAY(F323,-(Setup!$C$13+Setup!$G$24),Setup!$C$39:$C$50))&gt;=Setup!$C$15,MONTH(WORKDAY(F323,-(Setup!$C$13+Setup!$G$24),Setup!$C$39:$C$50))&lt;=Setup!$C$16))),WORKDAY(F323,-(Setup!$C$13+Setup!$G$24+Setup!$C$14),Setup!$C$39:$C$50),WORKDAY(F323,-(Setup!$C$13+Setup!$G$24),Setup!$C$39:$C$50))+(318*100+5)/10000000)))</f>
        <v/>
      </c>
      <c r="W323" t="str">
        <f>IF(G323="","",IF(G323&lt;Setup!$C$5-Setup!$C$6,"",IF(IF(ISNUMBER(Roster!$D323),Setup!$C$25&lt;=Roster!$D323,FALSE),"",IF(OR(IF(Setup!$C$15&lt;=Setup!$C$16,AND(MONTH(G323)&gt;=Setup!$C$15,MONTH(G323)&lt;=Setup!$C$16),OR(MONTH(G323)&gt;=Setup!$C$15,MONTH(G323)&lt;=Setup!$C$16)),IF(Setup!$C$15&lt;=Setup!$C$16,AND(MONTH(WORKDAY(G323,-(Setup!$C$13+Setup!$G$25),Setup!$C$39:$C$50))&gt;=Setup!$C$15,MONTH(WORKDAY(G323,-(Setup!$C$13+Setup!$G$25),Setup!$C$39:$C$50))&lt;=Setup!$C$16),OR(MONTH(WORKDAY(G323,-(Setup!$C$13+Setup!$G$25),Setup!$C$39:$C$50))&gt;=Setup!$C$15,MONTH(WORKDAY(G323,-(Setup!$C$13+Setup!$G$25),Setup!$C$39:$C$50))&lt;=Setup!$C$16))),WORKDAY(G323,-(Setup!$C$13+Setup!$G$25+Setup!$C$14),Setup!$C$39:$C$50),WORKDAY(G323,-(Setup!$C$13+Setup!$G$25),Setup!$C$39:$C$50))+(318*100+6)/10000000)))</f>
        <v/>
      </c>
      <c r="X323" t="str">
        <f>IF(H323="","",IF(H323&lt;Setup!$C$5-Setup!$C$6,"",IF(IF(ISNUMBER(Roster!$D323),Setup!$C$26&lt;=Roster!$D323,FALSE),"",IF(OR(IF(Setup!$C$15&lt;=Setup!$C$16,AND(MONTH(H323)&gt;=Setup!$C$15,MONTH(H323)&lt;=Setup!$C$16),OR(MONTH(H323)&gt;=Setup!$C$15,MONTH(H323)&lt;=Setup!$C$16)),IF(Setup!$C$15&lt;=Setup!$C$16,AND(MONTH(WORKDAY(H323,-(Setup!$C$13+Setup!$G$26),Setup!$C$39:$C$50))&gt;=Setup!$C$15,MONTH(WORKDAY(H323,-(Setup!$C$13+Setup!$G$26),Setup!$C$39:$C$50))&lt;=Setup!$C$16),OR(MONTH(WORKDAY(H323,-(Setup!$C$13+Setup!$G$26),Setup!$C$39:$C$50))&gt;=Setup!$C$15,MONTH(WORKDAY(H323,-(Setup!$C$13+Setup!$G$26),Setup!$C$39:$C$50))&lt;=Setup!$C$16))),WORKDAY(H323,-(Setup!$C$13+Setup!$G$26+Setup!$C$14),Setup!$C$39:$C$50),WORKDAY(H323,-(Setup!$C$13+Setup!$G$26),Setup!$C$39:$C$50))+(318*100+7)/10000000)))</f>
        <v/>
      </c>
      <c r="Y323" t="str">
        <f>IF(I323="","",IF(I323&lt;Setup!$C$5-Setup!$C$6,"",IF(IF(ISNUMBER(Roster!$D323),Setup!$C$27&lt;=Roster!$D323,FALSE),"",IF(OR(IF(Setup!$C$15&lt;=Setup!$C$16,AND(MONTH(I323)&gt;=Setup!$C$15,MONTH(I323)&lt;=Setup!$C$16),OR(MONTH(I323)&gt;=Setup!$C$15,MONTH(I323)&lt;=Setup!$C$16)),IF(Setup!$C$15&lt;=Setup!$C$16,AND(MONTH(WORKDAY(I323,-(Setup!$C$13+Setup!$G$27),Setup!$C$39:$C$50))&gt;=Setup!$C$15,MONTH(WORKDAY(I323,-(Setup!$C$13+Setup!$G$27),Setup!$C$39:$C$50))&lt;=Setup!$C$16),OR(MONTH(WORKDAY(I323,-(Setup!$C$13+Setup!$G$27),Setup!$C$39:$C$50))&gt;=Setup!$C$15,MONTH(WORKDAY(I323,-(Setup!$C$13+Setup!$G$27),Setup!$C$39:$C$50))&lt;=Setup!$C$16))),WORKDAY(I323,-(Setup!$C$13+Setup!$G$27+Setup!$C$14),Setup!$C$39:$C$50),WORKDAY(I323,-(Setup!$C$13+Setup!$G$27),Setup!$C$39:$C$50))+(318*100+8)/10000000)))</f>
        <v/>
      </c>
      <c r="Z323" t="str">
        <f>IF(J323="","",IF(J323&lt;Setup!$C$5-Setup!$C$6,"",IF(IF(ISNUMBER(Roster!$D323),Setup!$C$28&lt;=Roster!$D323,FALSE),"",IF(OR(IF(Setup!$C$15&lt;=Setup!$C$16,AND(MONTH(J323)&gt;=Setup!$C$15,MONTH(J323)&lt;=Setup!$C$16),OR(MONTH(J323)&gt;=Setup!$C$15,MONTH(J323)&lt;=Setup!$C$16)),IF(Setup!$C$15&lt;=Setup!$C$16,AND(MONTH(WORKDAY(J323,-(Setup!$C$13+Setup!$G$28),Setup!$C$39:$C$50))&gt;=Setup!$C$15,MONTH(WORKDAY(J323,-(Setup!$C$13+Setup!$G$28),Setup!$C$39:$C$50))&lt;=Setup!$C$16),OR(MONTH(WORKDAY(J323,-(Setup!$C$13+Setup!$G$28),Setup!$C$39:$C$50))&gt;=Setup!$C$15,MONTH(WORKDAY(J323,-(Setup!$C$13+Setup!$G$28),Setup!$C$39:$C$50))&lt;=Setup!$C$16))),WORKDAY(J323,-(Setup!$C$13+Setup!$G$28+Setup!$C$14),Setup!$C$39:$C$50),WORKDAY(J323,-(Setup!$C$13+Setup!$G$28),Setup!$C$39:$C$50))+(318*100+9)/10000000)))</f>
        <v/>
      </c>
      <c r="AA323" t="str">
        <f>IF(K323="","",IF(K323&lt;Setup!$C$5-Setup!$C$6,"",IF(IF(ISNUMBER(Roster!$D323),Setup!$C$29&lt;=Roster!$D323,FALSE),"",IF(OR(IF(Setup!$C$15&lt;=Setup!$C$16,AND(MONTH(K323)&gt;=Setup!$C$15,MONTH(K323)&lt;=Setup!$C$16),OR(MONTH(K323)&gt;=Setup!$C$15,MONTH(K323)&lt;=Setup!$C$16)),IF(Setup!$C$15&lt;=Setup!$C$16,AND(MONTH(WORKDAY(K323,-(Setup!$C$13+Setup!$G$29),Setup!$C$39:$C$50))&gt;=Setup!$C$15,MONTH(WORKDAY(K323,-(Setup!$C$13+Setup!$G$29),Setup!$C$39:$C$50))&lt;=Setup!$C$16),OR(MONTH(WORKDAY(K323,-(Setup!$C$13+Setup!$G$29),Setup!$C$39:$C$50))&gt;=Setup!$C$15,MONTH(WORKDAY(K323,-(Setup!$C$13+Setup!$G$29),Setup!$C$39:$C$50))&lt;=Setup!$C$16))),WORKDAY(K323,-(Setup!$C$13+Setup!$G$29+Setup!$C$14),Setup!$C$39:$C$50),WORKDAY(K323,-(Setup!$C$13+Setup!$G$29),Setup!$C$39:$C$50))+(318*100+10)/10000000)))</f>
        <v/>
      </c>
      <c r="AB323" t="str">
        <f>IF(L323="","",IF(L323&lt;Setup!$C$5-Setup!$C$6,"",IF(IF(ISNUMBER(Roster!$D323),Setup!$C$30&lt;=Roster!$D323,FALSE),"",IF(OR(IF(Setup!$C$15&lt;=Setup!$C$16,AND(MONTH(L323)&gt;=Setup!$C$15,MONTH(L323)&lt;=Setup!$C$16),OR(MONTH(L323)&gt;=Setup!$C$15,MONTH(L323)&lt;=Setup!$C$16)),IF(Setup!$C$15&lt;=Setup!$C$16,AND(MONTH(WORKDAY(L323,-(Setup!$C$13+Setup!$G$30),Setup!$C$39:$C$50))&gt;=Setup!$C$15,MONTH(WORKDAY(L323,-(Setup!$C$13+Setup!$G$30),Setup!$C$39:$C$50))&lt;=Setup!$C$16),OR(MONTH(WORKDAY(L323,-(Setup!$C$13+Setup!$G$30),Setup!$C$39:$C$50))&gt;=Setup!$C$15,MONTH(WORKDAY(L323,-(Setup!$C$13+Setup!$G$30),Setup!$C$39:$C$50))&lt;=Setup!$C$16))),WORKDAY(L323,-(Setup!$C$13+Setup!$G$30+Setup!$C$14),Setup!$C$39:$C$50),WORKDAY(L323,-(Setup!$C$13+Setup!$G$30),Setup!$C$39:$C$50))+(318*100+11)/10000000)))</f>
        <v/>
      </c>
      <c r="AC323" t="str">
        <f>IF(M323="","",IF(M323&lt;Setup!$C$5-Setup!$C$6,"",IF(IF(ISNUMBER(Roster!$D323),Setup!$C$31&lt;=Roster!$D323,FALSE),"",IF(OR(IF(Setup!$C$15&lt;=Setup!$C$16,AND(MONTH(M323)&gt;=Setup!$C$15,MONTH(M323)&lt;=Setup!$C$16),OR(MONTH(M323)&gt;=Setup!$C$15,MONTH(M323)&lt;=Setup!$C$16)),IF(Setup!$C$15&lt;=Setup!$C$16,AND(MONTH(WORKDAY(M323,-(Setup!$C$13+Setup!$G$31),Setup!$C$39:$C$50))&gt;=Setup!$C$15,MONTH(WORKDAY(M323,-(Setup!$C$13+Setup!$G$31),Setup!$C$39:$C$50))&lt;=Setup!$C$16),OR(MONTH(WORKDAY(M323,-(Setup!$C$13+Setup!$G$31),Setup!$C$39:$C$50))&gt;=Setup!$C$15,MONTH(WORKDAY(M323,-(Setup!$C$13+Setup!$G$31),Setup!$C$39:$C$50))&lt;=Setup!$C$16))),WORKDAY(M323,-(Setup!$C$13+Setup!$G$31+Setup!$C$14),Setup!$C$39:$C$50),WORKDAY(M323,-(Setup!$C$13+Setup!$G$31),Setup!$C$39:$C$50))+(318*100+12)/10000000)))</f>
        <v/>
      </c>
      <c r="AD323" t="str">
        <f>IF(N323="","",IF(N323&lt;Setup!$C$5-Setup!$C$6,"",IF(IF(ISNUMBER(Roster!$D323),Setup!$C$32&lt;=Roster!$D323,FALSE),"",IF(OR(IF(Setup!$C$15&lt;=Setup!$C$16,AND(MONTH(N323)&gt;=Setup!$C$15,MONTH(N323)&lt;=Setup!$C$16),OR(MONTH(N323)&gt;=Setup!$C$15,MONTH(N323)&lt;=Setup!$C$16)),IF(Setup!$C$15&lt;=Setup!$C$16,AND(MONTH(WORKDAY(N323,-(Setup!$C$13+Setup!$G$32),Setup!$C$39:$C$50))&gt;=Setup!$C$15,MONTH(WORKDAY(N323,-(Setup!$C$13+Setup!$G$32),Setup!$C$39:$C$50))&lt;=Setup!$C$16),OR(MONTH(WORKDAY(N323,-(Setup!$C$13+Setup!$G$32),Setup!$C$39:$C$50))&gt;=Setup!$C$15,MONTH(WORKDAY(N323,-(Setup!$C$13+Setup!$G$32),Setup!$C$39:$C$50))&lt;=Setup!$C$16))),WORKDAY(N323,-(Setup!$C$13+Setup!$G$32+Setup!$C$14),Setup!$C$39:$C$50),WORKDAY(N323,-(Setup!$C$13+Setup!$G$32),Setup!$C$39:$C$50))+(318*100+13)/10000000)))</f>
        <v/>
      </c>
      <c r="AE323" t="str">
        <f>IF(O323="","",IF(O323&lt;Setup!$C$5-Setup!$C$6,"",IF(IF(ISNUMBER(Roster!$D323),Setup!$C$33&lt;=Roster!$D323,FALSE),"",IF(OR(IF(Setup!$C$15&lt;=Setup!$C$16,AND(MONTH(O323)&gt;=Setup!$C$15,MONTH(O323)&lt;=Setup!$C$16),OR(MONTH(O323)&gt;=Setup!$C$15,MONTH(O323)&lt;=Setup!$C$16)),IF(Setup!$C$15&lt;=Setup!$C$16,AND(MONTH(WORKDAY(O323,-(Setup!$C$13+Setup!$G$33),Setup!$C$39:$C$50))&gt;=Setup!$C$15,MONTH(WORKDAY(O323,-(Setup!$C$13+Setup!$G$33),Setup!$C$39:$C$50))&lt;=Setup!$C$16),OR(MONTH(WORKDAY(O323,-(Setup!$C$13+Setup!$G$33),Setup!$C$39:$C$50))&gt;=Setup!$C$15,MONTH(WORKDAY(O323,-(Setup!$C$13+Setup!$G$33),Setup!$C$39:$C$50))&lt;=Setup!$C$16))),WORKDAY(O323,-(Setup!$C$13+Setup!$G$33+Setup!$C$14),Setup!$C$39:$C$50),WORKDAY(O323,-(Setup!$C$13+Setup!$G$33),Setup!$C$39:$C$50))+(318*100+14)/10000000)))</f>
        <v/>
      </c>
      <c r="AF323" t="str">
        <f>IF(P323="","",IF(P323&lt;Setup!$C$5-Setup!$C$6,"",IF(IF(ISNUMBER(Roster!$D323),Setup!$C$34&lt;=Roster!$D323,FALSE),"",IF(OR(IF(Setup!$C$15&lt;=Setup!$C$16,AND(MONTH(P323)&gt;=Setup!$C$15,MONTH(P323)&lt;=Setup!$C$16),OR(MONTH(P323)&gt;=Setup!$C$15,MONTH(P323)&lt;=Setup!$C$16)),IF(Setup!$C$15&lt;=Setup!$C$16,AND(MONTH(WORKDAY(P323,-(Setup!$C$13+Setup!$G$34),Setup!$C$39:$C$50))&gt;=Setup!$C$15,MONTH(WORKDAY(P323,-(Setup!$C$13+Setup!$G$34),Setup!$C$39:$C$50))&lt;=Setup!$C$16),OR(MONTH(WORKDAY(P323,-(Setup!$C$13+Setup!$G$34),Setup!$C$39:$C$50))&gt;=Setup!$C$15,MONTH(WORKDAY(P323,-(Setup!$C$13+Setup!$G$34),Setup!$C$39:$C$50))&lt;=Setup!$C$16))),WORKDAY(P323,-(Setup!$C$13+Setup!$G$34+Setup!$C$14),Setup!$C$39:$C$50),WORKDAY(P323,-(Setup!$C$13+Setup!$G$34),Setup!$C$39:$C$50))+(318*100+15)/10000000)))</f>
        <v/>
      </c>
      <c r="AH323" t="str">
        <f t="shared" si="33"/>
        <v/>
      </c>
      <c r="AI323" t="str">
        <f t="shared" si="34"/>
        <v/>
      </c>
      <c r="AP323" t="str">
        <f>IF(ISNUMBER(Roster!$B323),MAX(1,YEAR(Setup!$C$5)-YEAR(Roster!$B323)+IF(EDATE(Roster!$B323,12*(YEAR(Setup!$C$5)-YEAR(Roster!$B323)))&lt;Setup!$C$5,1,0)),"")</f>
        <v/>
      </c>
      <c r="AQ323" s="32" t="str">
        <f>IF(AP323="","",EDATE(Roster!$B323,12*AP323))</f>
        <v/>
      </c>
      <c r="AR323" t="str">
        <f>IF(AQ323="","",IF(AQ323&lt;DATE(YEAR(Setup!$C$5)+1,MONTH(Setup!$C$5),DAY(Setup!$C$5)),AQ323+318/1000,""))</f>
        <v/>
      </c>
      <c r="AS323" t="str">
        <f t="shared" si="38"/>
        <v/>
      </c>
      <c r="AT323" t="str">
        <f>IF(AS323="","",IF(ISNUMBER(Roster!$D323),Roster!$D323&gt;=AP323,FALSE))</f>
        <v/>
      </c>
      <c r="AU323" t="str">
        <f t="shared" si="39"/>
        <v/>
      </c>
      <c r="AV323" t="str">
        <f ca="1">IF(318&gt;$AV$2,"",SMALL($AR$6:$AR$505,318))</f>
        <v/>
      </c>
      <c r="AW323" t="str">
        <f t="shared" ca="1" si="40"/>
        <v/>
      </c>
    </row>
    <row r="324" spans="2:49" x14ac:dyDescent="0.2">
      <c r="B324" s="32" t="str">
        <f>IF(AND(ISNUMBER(Roster!$B324),Setup!$B$20="Yes",ISNUMBER(Setup!$C$20)),EDATE(Roster!$B324,12*Setup!$C$20),"")</f>
        <v/>
      </c>
      <c r="C324" s="32" t="str">
        <f>IF(AND(ISNUMBER(Roster!$B324),Setup!$B$21="Yes",ISNUMBER(Setup!$C$21)),EDATE(Roster!$B324,12*Setup!$C$21),"")</f>
        <v/>
      </c>
      <c r="D324" s="32" t="str">
        <f>IF(AND(ISNUMBER(Roster!$B324),Setup!$B$22="Yes",ISNUMBER(Setup!$C$22)),EDATE(Roster!$B324,12*Setup!$C$22),"")</f>
        <v/>
      </c>
      <c r="E324" s="32" t="str">
        <f>IF(AND(ISNUMBER(Roster!$B324),Setup!$B$23="Yes",ISNUMBER(Setup!$C$23)),EDATE(Roster!$B324,12*Setup!$C$23),"")</f>
        <v/>
      </c>
      <c r="F324" s="32" t="str">
        <f>IF(AND(ISNUMBER(Roster!$B324),Setup!$B$24="Yes",ISNUMBER(Setup!$C$24)),EDATE(Roster!$B324,12*Setup!$C$24),"")</f>
        <v/>
      </c>
      <c r="G324" s="32" t="str">
        <f>IF(AND(ISNUMBER(Roster!$B324),Setup!$B$25="Yes",ISNUMBER(Setup!$C$25)),EDATE(Roster!$B324,12*Setup!$C$25),"")</f>
        <v/>
      </c>
      <c r="H324" s="32" t="str">
        <f>IF(AND(ISNUMBER(Roster!$B324),Setup!$B$26="Yes",ISNUMBER(Setup!$C$26)),EDATE(Roster!$B324,12*Setup!$C$26),"")</f>
        <v/>
      </c>
      <c r="I324" s="32" t="str">
        <f>IF(AND(ISNUMBER(Roster!$B324),Setup!$B$27="Yes",ISNUMBER(Setup!$C$27)),EDATE(Roster!$B324,12*Setup!$C$27),"")</f>
        <v/>
      </c>
      <c r="J324" s="32" t="str">
        <f>IF(AND(ISNUMBER(Roster!$B324),Setup!$B$28="Yes",ISNUMBER(Setup!$C$28)),EDATE(Roster!$B324,12*Setup!$C$28),"")</f>
        <v/>
      </c>
      <c r="K324" s="32" t="str">
        <f>IF(AND(ISNUMBER(Roster!$B324),Setup!$B$29="Yes",ISNUMBER(Setup!$C$29)),EDATE(Roster!$B324,12*Setup!$C$29),"")</f>
        <v/>
      </c>
      <c r="L324" s="32" t="str">
        <f>IF(AND(ISNUMBER(Roster!$B324),Setup!$B$30="Yes",ISNUMBER(Setup!$C$30)),EDATE(Roster!$B324,12*Setup!$C$30),"")</f>
        <v/>
      </c>
      <c r="M324" s="32" t="str">
        <f>IF(AND(ISNUMBER(Roster!$B324),Setup!$B$31="Yes",ISNUMBER(Setup!$C$31)),EDATE(Roster!$B324,12*Setup!$C$31),"")</f>
        <v/>
      </c>
      <c r="N324" s="32" t="str">
        <f>IF(AND(ISNUMBER(Roster!$B324),Setup!$B$32="Yes",ISNUMBER(Setup!$C$32)),EDATE(Roster!$B324,12*Setup!$C$32),"")</f>
        <v/>
      </c>
      <c r="O324" s="32" t="str">
        <f>IF(AND(ISNUMBER(Roster!$B324),Setup!$B$33="Yes",ISNUMBER(Setup!$C$33)),EDATE(Roster!$B324,12*Setup!$C$33),"")</f>
        <v/>
      </c>
      <c r="P324" s="32" t="str">
        <f>IF(AND(ISNUMBER(Roster!$B324),Setup!$B$34="Yes",ISNUMBER(Setup!$C$34)),EDATE(Roster!$B324,12*Setup!$C$34),"")</f>
        <v/>
      </c>
      <c r="R324" t="str">
        <f>IF(B324="","",IF(B324&lt;Setup!$C$5-Setup!$C$6,"",IF(IF(ISNUMBER(Roster!$D324),Setup!$C$20&lt;=Roster!$D324,FALSE),"",IF(OR(IF(Setup!$C$15&lt;=Setup!$C$16,AND(MONTH(B324)&gt;=Setup!$C$15,MONTH(B324)&lt;=Setup!$C$16),OR(MONTH(B324)&gt;=Setup!$C$15,MONTH(B324)&lt;=Setup!$C$16)),IF(Setup!$C$15&lt;=Setup!$C$16,AND(MONTH(WORKDAY(B324,-(Setup!$C$13+Setup!$G$20),Setup!$C$39:$C$50))&gt;=Setup!$C$15,MONTH(WORKDAY(B324,-(Setup!$C$13+Setup!$G$20),Setup!$C$39:$C$50))&lt;=Setup!$C$16),OR(MONTH(WORKDAY(B324,-(Setup!$C$13+Setup!$G$20),Setup!$C$39:$C$50))&gt;=Setup!$C$15,MONTH(WORKDAY(B324,-(Setup!$C$13+Setup!$G$20),Setup!$C$39:$C$50))&lt;=Setup!$C$16))),WORKDAY(B324,-(Setup!$C$13+Setup!$G$20+Setup!$C$14),Setup!$C$39:$C$50),WORKDAY(B324,-(Setup!$C$13+Setup!$G$20),Setup!$C$39:$C$50))+(319*100+1)/10000000)))</f>
        <v/>
      </c>
      <c r="S324" t="str">
        <f>IF(C324="","",IF(C324&lt;Setup!$C$5-Setup!$C$6,"",IF(IF(ISNUMBER(Roster!$D324),Setup!$C$21&lt;=Roster!$D324,FALSE),"",IF(OR(IF(Setup!$C$15&lt;=Setup!$C$16,AND(MONTH(C324)&gt;=Setup!$C$15,MONTH(C324)&lt;=Setup!$C$16),OR(MONTH(C324)&gt;=Setup!$C$15,MONTH(C324)&lt;=Setup!$C$16)),IF(Setup!$C$15&lt;=Setup!$C$16,AND(MONTH(WORKDAY(C324,-(Setup!$C$13+Setup!$G$21),Setup!$C$39:$C$50))&gt;=Setup!$C$15,MONTH(WORKDAY(C324,-(Setup!$C$13+Setup!$G$21),Setup!$C$39:$C$50))&lt;=Setup!$C$16),OR(MONTH(WORKDAY(C324,-(Setup!$C$13+Setup!$G$21),Setup!$C$39:$C$50))&gt;=Setup!$C$15,MONTH(WORKDAY(C324,-(Setup!$C$13+Setup!$G$21),Setup!$C$39:$C$50))&lt;=Setup!$C$16))),WORKDAY(C324,-(Setup!$C$13+Setup!$G$21+Setup!$C$14),Setup!$C$39:$C$50),WORKDAY(C324,-(Setup!$C$13+Setup!$G$21),Setup!$C$39:$C$50))+(319*100+2)/10000000)))</f>
        <v/>
      </c>
      <c r="T324" t="str">
        <f>IF(D324="","",IF(D324&lt;Setup!$C$5-Setup!$C$6,"",IF(IF(ISNUMBER(Roster!$D324),Setup!$C$22&lt;=Roster!$D324,FALSE),"",IF(OR(IF(Setup!$C$15&lt;=Setup!$C$16,AND(MONTH(D324)&gt;=Setup!$C$15,MONTH(D324)&lt;=Setup!$C$16),OR(MONTH(D324)&gt;=Setup!$C$15,MONTH(D324)&lt;=Setup!$C$16)),IF(Setup!$C$15&lt;=Setup!$C$16,AND(MONTH(WORKDAY(D324,-(Setup!$C$13+Setup!$G$22),Setup!$C$39:$C$50))&gt;=Setup!$C$15,MONTH(WORKDAY(D324,-(Setup!$C$13+Setup!$G$22),Setup!$C$39:$C$50))&lt;=Setup!$C$16),OR(MONTH(WORKDAY(D324,-(Setup!$C$13+Setup!$G$22),Setup!$C$39:$C$50))&gt;=Setup!$C$15,MONTH(WORKDAY(D324,-(Setup!$C$13+Setup!$G$22),Setup!$C$39:$C$50))&lt;=Setup!$C$16))),WORKDAY(D324,-(Setup!$C$13+Setup!$G$22+Setup!$C$14),Setup!$C$39:$C$50),WORKDAY(D324,-(Setup!$C$13+Setup!$G$22),Setup!$C$39:$C$50))+(319*100+3)/10000000)))</f>
        <v/>
      </c>
      <c r="U324" t="str">
        <f>IF(E324="","",IF(E324&lt;Setup!$C$5-Setup!$C$6,"",IF(IF(ISNUMBER(Roster!$D324),Setup!$C$23&lt;=Roster!$D324,FALSE),"",IF(OR(IF(Setup!$C$15&lt;=Setup!$C$16,AND(MONTH(E324)&gt;=Setup!$C$15,MONTH(E324)&lt;=Setup!$C$16),OR(MONTH(E324)&gt;=Setup!$C$15,MONTH(E324)&lt;=Setup!$C$16)),IF(Setup!$C$15&lt;=Setup!$C$16,AND(MONTH(WORKDAY(E324,-(Setup!$C$13+Setup!$G$23),Setup!$C$39:$C$50))&gt;=Setup!$C$15,MONTH(WORKDAY(E324,-(Setup!$C$13+Setup!$G$23),Setup!$C$39:$C$50))&lt;=Setup!$C$16),OR(MONTH(WORKDAY(E324,-(Setup!$C$13+Setup!$G$23),Setup!$C$39:$C$50))&gt;=Setup!$C$15,MONTH(WORKDAY(E324,-(Setup!$C$13+Setup!$G$23),Setup!$C$39:$C$50))&lt;=Setup!$C$16))),WORKDAY(E324,-(Setup!$C$13+Setup!$G$23+Setup!$C$14),Setup!$C$39:$C$50),WORKDAY(E324,-(Setup!$C$13+Setup!$G$23),Setup!$C$39:$C$50))+(319*100+4)/10000000)))</f>
        <v/>
      </c>
      <c r="V324" t="str">
        <f>IF(F324="","",IF(F324&lt;Setup!$C$5-Setup!$C$6,"",IF(IF(ISNUMBER(Roster!$D324),Setup!$C$24&lt;=Roster!$D324,FALSE),"",IF(OR(IF(Setup!$C$15&lt;=Setup!$C$16,AND(MONTH(F324)&gt;=Setup!$C$15,MONTH(F324)&lt;=Setup!$C$16),OR(MONTH(F324)&gt;=Setup!$C$15,MONTH(F324)&lt;=Setup!$C$16)),IF(Setup!$C$15&lt;=Setup!$C$16,AND(MONTH(WORKDAY(F324,-(Setup!$C$13+Setup!$G$24),Setup!$C$39:$C$50))&gt;=Setup!$C$15,MONTH(WORKDAY(F324,-(Setup!$C$13+Setup!$G$24),Setup!$C$39:$C$50))&lt;=Setup!$C$16),OR(MONTH(WORKDAY(F324,-(Setup!$C$13+Setup!$G$24),Setup!$C$39:$C$50))&gt;=Setup!$C$15,MONTH(WORKDAY(F324,-(Setup!$C$13+Setup!$G$24),Setup!$C$39:$C$50))&lt;=Setup!$C$16))),WORKDAY(F324,-(Setup!$C$13+Setup!$G$24+Setup!$C$14),Setup!$C$39:$C$50),WORKDAY(F324,-(Setup!$C$13+Setup!$G$24),Setup!$C$39:$C$50))+(319*100+5)/10000000)))</f>
        <v/>
      </c>
      <c r="W324" t="str">
        <f>IF(G324="","",IF(G324&lt;Setup!$C$5-Setup!$C$6,"",IF(IF(ISNUMBER(Roster!$D324),Setup!$C$25&lt;=Roster!$D324,FALSE),"",IF(OR(IF(Setup!$C$15&lt;=Setup!$C$16,AND(MONTH(G324)&gt;=Setup!$C$15,MONTH(G324)&lt;=Setup!$C$16),OR(MONTH(G324)&gt;=Setup!$C$15,MONTH(G324)&lt;=Setup!$C$16)),IF(Setup!$C$15&lt;=Setup!$C$16,AND(MONTH(WORKDAY(G324,-(Setup!$C$13+Setup!$G$25),Setup!$C$39:$C$50))&gt;=Setup!$C$15,MONTH(WORKDAY(G324,-(Setup!$C$13+Setup!$G$25),Setup!$C$39:$C$50))&lt;=Setup!$C$16),OR(MONTH(WORKDAY(G324,-(Setup!$C$13+Setup!$G$25),Setup!$C$39:$C$50))&gt;=Setup!$C$15,MONTH(WORKDAY(G324,-(Setup!$C$13+Setup!$G$25),Setup!$C$39:$C$50))&lt;=Setup!$C$16))),WORKDAY(G324,-(Setup!$C$13+Setup!$G$25+Setup!$C$14),Setup!$C$39:$C$50),WORKDAY(G324,-(Setup!$C$13+Setup!$G$25),Setup!$C$39:$C$50))+(319*100+6)/10000000)))</f>
        <v/>
      </c>
      <c r="X324" t="str">
        <f>IF(H324="","",IF(H324&lt;Setup!$C$5-Setup!$C$6,"",IF(IF(ISNUMBER(Roster!$D324),Setup!$C$26&lt;=Roster!$D324,FALSE),"",IF(OR(IF(Setup!$C$15&lt;=Setup!$C$16,AND(MONTH(H324)&gt;=Setup!$C$15,MONTH(H324)&lt;=Setup!$C$16),OR(MONTH(H324)&gt;=Setup!$C$15,MONTH(H324)&lt;=Setup!$C$16)),IF(Setup!$C$15&lt;=Setup!$C$16,AND(MONTH(WORKDAY(H324,-(Setup!$C$13+Setup!$G$26),Setup!$C$39:$C$50))&gt;=Setup!$C$15,MONTH(WORKDAY(H324,-(Setup!$C$13+Setup!$G$26),Setup!$C$39:$C$50))&lt;=Setup!$C$16),OR(MONTH(WORKDAY(H324,-(Setup!$C$13+Setup!$G$26),Setup!$C$39:$C$50))&gt;=Setup!$C$15,MONTH(WORKDAY(H324,-(Setup!$C$13+Setup!$G$26),Setup!$C$39:$C$50))&lt;=Setup!$C$16))),WORKDAY(H324,-(Setup!$C$13+Setup!$G$26+Setup!$C$14),Setup!$C$39:$C$50),WORKDAY(H324,-(Setup!$C$13+Setup!$G$26),Setup!$C$39:$C$50))+(319*100+7)/10000000)))</f>
        <v/>
      </c>
      <c r="Y324" t="str">
        <f>IF(I324="","",IF(I324&lt;Setup!$C$5-Setup!$C$6,"",IF(IF(ISNUMBER(Roster!$D324),Setup!$C$27&lt;=Roster!$D324,FALSE),"",IF(OR(IF(Setup!$C$15&lt;=Setup!$C$16,AND(MONTH(I324)&gt;=Setup!$C$15,MONTH(I324)&lt;=Setup!$C$16),OR(MONTH(I324)&gt;=Setup!$C$15,MONTH(I324)&lt;=Setup!$C$16)),IF(Setup!$C$15&lt;=Setup!$C$16,AND(MONTH(WORKDAY(I324,-(Setup!$C$13+Setup!$G$27),Setup!$C$39:$C$50))&gt;=Setup!$C$15,MONTH(WORKDAY(I324,-(Setup!$C$13+Setup!$G$27),Setup!$C$39:$C$50))&lt;=Setup!$C$16),OR(MONTH(WORKDAY(I324,-(Setup!$C$13+Setup!$G$27),Setup!$C$39:$C$50))&gt;=Setup!$C$15,MONTH(WORKDAY(I324,-(Setup!$C$13+Setup!$G$27),Setup!$C$39:$C$50))&lt;=Setup!$C$16))),WORKDAY(I324,-(Setup!$C$13+Setup!$G$27+Setup!$C$14),Setup!$C$39:$C$50),WORKDAY(I324,-(Setup!$C$13+Setup!$G$27),Setup!$C$39:$C$50))+(319*100+8)/10000000)))</f>
        <v/>
      </c>
      <c r="Z324" t="str">
        <f>IF(J324="","",IF(J324&lt;Setup!$C$5-Setup!$C$6,"",IF(IF(ISNUMBER(Roster!$D324),Setup!$C$28&lt;=Roster!$D324,FALSE),"",IF(OR(IF(Setup!$C$15&lt;=Setup!$C$16,AND(MONTH(J324)&gt;=Setup!$C$15,MONTH(J324)&lt;=Setup!$C$16),OR(MONTH(J324)&gt;=Setup!$C$15,MONTH(J324)&lt;=Setup!$C$16)),IF(Setup!$C$15&lt;=Setup!$C$16,AND(MONTH(WORKDAY(J324,-(Setup!$C$13+Setup!$G$28),Setup!$C$39:$C$50))&gt;=Setup!$C$15,MONTH(WORKDAY(J324,-(Setup!$C$13+Setup!$G$28),Setup!$C$39:$C$50))&lt;=Setup!$C$16),OR(MONTH(WORKDAY(J324,-(Setup!$C$13+Setup!$G$28),Setup!$C$39:$C$50))&gt;=Setup!$C$15,MONTH(WORKDAY(J324,-(Setup!$C$13+Setup!$G$28),Setup!$C$39:$C$50))&lt;=Setup!$C$16))),WORKDAY(J324,-(Setup!$C$13+Setup!$G$28+Setup!$C$14),Setup!$C$39:$C$50),WORKDAY(J324,-(Setup!$C$13+Setup!$G$28),Setup!$C$39:$C$50))+(319*100+9)/10000000)))</f>
        <v/>
      </c>
      <c r="AA324" t="str">
        <f>IF(K324="","",IF(K324&lt;Setup!$C$5-Setup!$C$6,"",IF(IF(ISNUMBER(Roster!$D324),Setup!$C$29&lt;=Roster!$D324,FALSE),"",IF(OR(IF(Setup!$C$15&lt;=Setup!$C$16,AND(MONTH(K324)&gt;=Setup!$C$15,MONTH(K324)&lt;=Setup!$C$16),OR(MONTH(K324)&gt;=Setup!$C$15,MONTH(K324)&lt;=Setup!$C$16)),IF(Setup!$C$15&lt;=Setup!$C$16,AND(MONTH(WORKDAY(K324,-(Setup!$C$13+Setup!$G$29),Setup!$C$39:$C$50))&gt;=Setup!$C$15,MONTH(WORKDAY(K324,-(Setup!$C$13+Setup!$G$29),Setup!$C$39:$C$50))&lt;=Setup!$C$16),OR(MONTH(WORKDAY(K324,-(Setup!$C$13+Setup!$G$29),Setup!$C$39:$C$50))&gt;=Setup!$C$15,MONTH(WORKDAY(K324,-(Setup!$C$13+Setup!$G$29),Setup!$C$39:$C$50))&lt;=Setup!$C$16))),WORKDAY(K324,-(Setup!$C$13+Setup!$G$29+Setup!$C$14),Setup!$C$39:$C$50),WORKDAY(K324,-(Setup!$C$13+Setup!$G$29),Setup!$C$39:$C$50))+(319*100+10)/10000000)))</f>
        <v/>
      </c>
      <c r="AB324" t="str">
        <f>IF(L324="","",IF(L324&lt;Setup!$C$5-Setup!$C$6,"",IF(IF(ISNUMBER(Roster!$D324),Setup!$C$30&lt;=Roster!$D324,FALSE),"",IF(OR(IF(Setup!$C$15&lt;=Setup!$C$16,AND(MONTH(L324)&gt;=Setup!$C$15,MONTH(L324)&lt;=Setup!$C$16),OR(MONTH(L324)&gt;=Setup!$C$15,MONTH(L324)&lt;=Setup!$C$16)),IF(Setup!$C$15&lt;=Setup!$C$16,AND(MONTH(WORKDAY(L324,-(Setup!$C$13+Setup!$G$30),Setup!$C$39:$C$50))&gt;=Setup!$C$15,MONTH(WORKDAY(L324,-(Setup!$C$13+Setup!$G$30),Setup!$C$39:$C$50))&lt;=Setup!$C$16),OR(MONTH(WORKDAY(L324,-(Setup!$C$13+Setup!$G$30),Setup!$C$39:$C$50))&gt;=Setup!$C$15,MONTH(WORKDAY(L324,-(Setup!$C$13+Setup!$G$30),Setup!$C$39:$C$50))&lt;=Setup!$C$16))),WORKDAY(L324,-(Setup!$C$13+Setup!$G$30+Setup!$C$14),Setup!$C$39:$C$50),WORKDAY(L324,-(Setup!$C$13+Setup!$G$30),Setup!$C$39:$C$50))+(319*100+11)/10000000)))</f>
        <v/>
      </c>
      <c r="AC324" t="str">
        <f>IF(M324="","",IF(M324&lt;Setup!$C$5-Setup!$C$6,"",IF(IF(ISNUMBER(Roster!$D324),Setup!$C$31&lt;=Roster!$D324,FALSE),"",IF(OR(IF(Setup!$C$15&lt;=Setup!$C$16,AND(MONTH(M324)&gt;=Setup!$C$15,MONTH(M324)&lt;=Setup!$C$16),OR(MONTH(M324)&gt;=Setup!$C$15,MONTH(M324)&lt;=Setup!$C$16)),IF(Setup!$C$15&lt;=Setup!$C$16,AND(MONTH(WORKDAY(M324,-(Setup!$C$13+Setup!$G$31),Setup!$C$39:$C$50))&gt;=Setup!$C$15,MONTH(WORKDAY(M324,-(Setup!$C$13+Setup!$G$31),Setup!$C$39:$C$50))&lt;=Setup!$C$16),OR(MONTH(WORKDAY(M324,-(Setup!$C$13+Setup!$G$31),Setup!$C$39:$C$50))&gt;=Setup!$C$15,MONTH(WORKDAY(M324,-(Setup!$C$13+Setup!$G$31),Setup!$C$39:$C$50))&lt;=Setup!$C$16))),WORKDAY(M324,-(Setup!$C$13+Setup!$G$31+Setup!$C$14),Setup!$C$39:$C$50),WORKDAY(M324,-(Setup!$C$13+Setup!$G$31),Setup!$C$39:$C$50))+(319*100+12)/10000000)))</f>
        <v/>
      </c>
      <c r="AD324" t="str">
        <f>IF(N324="","",IF(N324&lt;Setup!$C$5-Setup!$C$6,"",IF(IF(ISNUMBER(Roster!$D324),Setup!$C$32&lt;=Roster!$D324,FALSE),"",IF(OR(IF(Setup!$C$15&lt;=Setup!$C$16,AND(MONTH(N324)&gt;=Setup!$C$15,MONTH(N324)&lt;=Setup!$C$16),OR(MONTH(N324)&gt;=Setup!$C$15,MONTH(N324)&lt;=Setup!$C$16)),IF(Setup!$C$15&lt;=Setup!$C$16,AND(MONTH(WORKDAY(N324,-(Setup!$C$13+Setup!$G$32),Setup!$C$39:$C$50))&gt;=Setup!$C$15,MONTH(WORKDAY(N324,-(Setup!$C$13+Setup!$G$32),Setup!$C$39:$C$50))&lt;=Setup!$C$16),OR(MONTH(WORKDAY(N324,-(Setup!$C$13+Setup!$G$32),Setup!$C$39:$C$50))&gt;=Setup!$C$15,MONTH(WORKDAY(N324,-(Setup!$C$13+Setup!$G$32),Setup!$C$39:$C$50))&lt;=Setup!$C$16))),WORKDAY(N324,-(Setup!$C$13+Setup!$G$32+Setup!$C$14),Setup!$C$39:$C$50),WORKDAY(N324,-(Setup!$C$13+Setup!$G$32),Setup!$C$39:$C$50))+(319*100+13)/10000000)))</f>
        <v/>
      </c>
      <c r="AE324" t="str">
        <f>IF(O324="","",IF(O324&lt;Setup!$C$5-Setup!$C$6,"",IF(IF(ISNUMBER(Roster!$D324),Setup!$C$33&lt;=Roster!$D324,FALSE),"",IF(OR(IF(Setup!$C$15&lt;=Setup!$C$16,AND(MONTH(O324)&gt;=Setup!$C$15,MONTH(O324)&lt;=Setup!$C$16),OR(MONTH(O324)&gt;=Setup!$C$15,MONTH(O324)&lt;=Setup!$C$16)),IF(Setup!$C$15&lt;=Setup!$C$16,AND(MONTH(WORKDAY(O324,-(Setup!$C$13+Setup!$G$33),Setup!$C$39:$C$50))&gt;=Setup!$C$15,MONTH(WORKDAY(O324,-(Setup!$C$13+Setup!$G$33),Setup!$C$39:$C$50))&lt;=Setup!$C$16),OR(MONTH(WORKDAY(O324,-(Setup!$C$13+Setup!$G$33),Setup!$C$39:$C$50))&gt;=Setup!$C$15,MONTH(WORKDAY(O324,-(Setup!$C$13+Setup!$G$33),Setup!$C$39:$C$50))&lt;=Setup!$C$16))),WORKDAY(O324,-(Setup!$C$13+Setup!$G$33+Setup!$C$14),Setup!$C$39:$C$50),WORKDAY(O324,-(Setup!$C$13+Setup!$G$33),Setup!$C$39:$C$50))+(319*100+14)/10000000)))</f>
        <v/>
      </c>
      <c r="AF324" t="str">
        <f>IF(P324="","",IF(P324&lt;Setup!$C$5-Setup!$C$6,"",IF(IF(ISNUMBER(Roster!$D324),Setup!$C$34&lt;=Roster!$D324,FALSE),"",IF(OR(IF(Setup!$C$15&lt;=Setup!$C$16,AND(MONTH(P324)&gt;=Setup!$C$15,MONTH(P324)&lt;=Setup!$C$16),OR(MONTH(P324)&gt;=Setup!$C$15,MONTH(P324)&lt;=Setup!$C$16)),IF(Setup!$C$15&lt;=Setup!$C$16,AND(MONTH(WORKDAY(P324,-(Setup!$C$13+Setup!$G$34),Setup!$C$39:$C$50))&gt;=Setup!$C$15,MONTH(WORKDAY(P324,-(Setup!$C$13+Setup!$G$34),Setup!$C$39:$C$50))&lt;=Setup!$C$16),OR(MONTH(WORKDAY(P324,-(Setup!$C$13+Setup!$G$34),Setup!$C$39:$C$50))&gt;=Setup!$C$15,MONTH(WORKDAY(P324,-(Setup!$C$13+Setup!$G$34),Setup!$C$39:$C$50))&lt;=Setup!$C$16))),WORKDAY(P324,-(Setup!$C$13+Setup!$G$34+Setup!$C$14),Setup!$C$39:$C$50),WORKDAY(P324,-(Setup!$C$13+Setup!$G$34),Setup!$C$39:$C$50))+(319*100+15)/10000000)))</f>
        <v/>
      </c>
      <c r="AH324" t="str">
        <f t="shared" si="33"/>
        <v/>
      </c>
      <c r="AI324" t="str">
        <f t="shared" si="34"/>
        <v/>
      </c>
      <c r="AP324" t="str">
        <f>IF(ISNUMBER(Roster!$B324),MAX(1,YEAR(Setup!$C$5)-YEAR(Roster!$B324)+IF(EDATE(Roster!$B324,12*(YEAR(Setup!$C$5)-YEAR(Roster!$B324)))&lt;Setup!$C$5,1,0)),"")</f>
        <v/>
      </c>
      <c r="AQ324" s="32" t="str">
        <f>IF(AP324="","",EDATE(Roster!$B324,12*AP324))</f>
        <v/>
      </c>
      <c r="AR324" t="str">
        <f>IF(AQ324="","",IF(AQ324&lt;DATE(YEAR(Setup!$C$5)+1,MONTH(Setup!$C$5),DAY(Setup!$C$5)),AQ324+319/1000,""))</f>
        <v/>
      </c>
      <c r="AS324" t="str">
        <f t="shared" si="38"/>
        <v/>
      </c>
      <c r="AT324" t="str">
        <f>IF(AS324="","",IF(ISNUMBER(Roster!$D324),Roster!$D324&gt;=AP324,FALSE))</f>
        <v/>
      </c>
      <c r="AU324" t="str">
        <f t="shared" si="39"/>
        <v/>
      </c>
      <c r="AV324" t="str">
        <f ca="1">IF(319&gt;$AV$2,"",SMALL($AR$6:$AR$505,319))</f>
        <v/>
      </c>
      <c r="AW324" t="str">
        <f t="shared" ca="1" si="40"/>
        <v/>
      </c>
    </row>
    <row r="325" spans="2:49" x14ac:dyDescent="0.2">
      <c r="B325" s="32" t="str">
        <f>IF(AND(ISNUMBER(Roster!$B325),Setup!$B$20="Yes",ISNUMBER(Setup!$C$20)),EDATE(Roster!$B325,12*Setup!$C$20),"")</f>
        <v/>
      </c>
      <c r="C325" s="32" t="str">
        <f>IF(AND(ISNUMBER(Roster!$B325),Setup!$B$21="Yes",ISNUMBER(Setup!$C$21)),EDATE(Roster!$B325,12*Setup!$C$21),"")</f>
        <v/>
      </c>
      <c r="D325" s="32" t="str">
        <f>IF(AND(ISNUMBER(Roster!$B325),Setup!$B$22="Yes",ISNUMBER(Setup!$C$22)),EDATE(Roster!$B325,12*Setup!$C$22),"")</f>
        <v/>
      </c>
      <c r="E325" s="32" t="str">
        <f>IF(AND(ISNUMBER(Roster!$B325),Setup!$B$23="Yes",ISNUMBER(Setup!$C$23)),EDATE(Roster!$B325,12*Setup!$C$23),"")</f>
        <v/>
      </c>
      <c r="F325" s="32" t="str">
        <f>IF(AND(ISNUMBER(Roster!$B325),Setup!$B$24="Yes",ISNUMBER(Setup!$C$24)),EDATE(Roster!$B325,12*Setup!$C$24),"")</f>
        <v/>
      </c>
      <c r="G325" s="32" t="str">
        <f>IF(AND(ISNUMBER(Roster!$B325),Setup!$B$25="Yes",ISNUMBER(Setup!$C$25)),EDATE(Roster!$B325,12*Setup!$C$25),"")</f>
        <v/>
      </c>
      <c r="H325" s="32" t="str">
        <f>IF(AND(ISNUMBER(Roster!$B325),Setup!$B$26="Yes",ISNUMBER(Setup!$C$26)),EDATE(Roster!$B325,12*Setup!$C$26),"")</f>
        <v/>
      </c>
      <c r="I325" s="32" t="str">
        <f>IF(AND(ISNUMBER(Roster!$B325),Setup!$B$27="Yes",ISNUMBER(Setup!$C$27)),EDATE(Roster!$B325,12*Setup!$C$27),"")</f>
        <v/>
      </c>
      <c r="J325" s="32" t="str">
        <f>IF(AND(ISNUMBER(Roster!$B325),Setup!$B$28="Yes",ISNUMBER(Setup!$C$28)),EDATE(Roster!$B325,12*Setup!$C$28),"")</f>
        <v/>
      </c>
      <c r="K325" s="32" t="str">
        <f>IF(AND(ISNUMBER(Roster!$B325),Setup!$B$29="Yes",ISNUMBER(Setup!$C$29)),EDATE(Roster!$B325,12*Setup!$C$29),"")</f>
        <v/>
      </c>
      <c r="L325" s="32" t="str">
        <f>IF(AND(ISNUMBER(Roster!$B325),Setup!$B$30="Yes",ISNUMBER(Setup!$C$30)),EDATE(Roster!$B325,12*Setup!$C$30),"")</f>
        <v/>
      </c>
      <c r="M325" s="32" t="str">
        <f>IF(AND(ISNUMBER(Roster!$B325),Setup!$B$31="Yes",ISNUMBER(Setup!$C$31)),EDATE(Roster!$B325,12*Setup!$C$31),"")</f>
        <v/>
      </c>
      <c r="N325" s="32" t="str">
        <f>IF(AND(ISNUMBER(Roster!$B325),Setup!$B$32="Yes",ISNUMBER(Setup!$C$32)),EDATE(Roster!$B325,12*Setup!$C$32),"")</f>
        <v/>
      </c>
      <c r="O325" s="32" t="str">
        <f>IF(AND(ISNUMBER(Roster!$B325),Setup!$B$33="Yes",ISNUMBER(Setup!$C$33)),EDATE(Roster!$B325,12*Setup!$C$33),"")</f>
        <v/>
      </c>
      <c r="P325" s="32" t="str">
        <f>IF(AND(ISNUMBER(Roster!$B325),Setup!$B$34="Yes",ISNUMBER(Setup!$C$34)),EDATE(Roster!$B325,12*Setup!$C$34),"")</f>
        <v/>
      </c>
      <c r="R325" t="str">
        <f>IF(B325="","",IF(B325&lt;Setup!$C$5-Setup!$C$6,"",IF(IF(ISNUMBER(Roster!$D325),Setup!$C$20&lt;=Roster!$D325,FALSE),"",IF(OR(IF(Setup!$C$15&lt;=Setup!$C$16,AND(MONTH(B325)&gt;=Setup!$C$15,MONTH(B325)&lt;=Setup!$C$16),OR(MONTH(B325)&gt;=Setup!$C$15,MONTH(B325)&lt;=Setup!$C$16)),IF(Setup!$C$15&lt;=Setup!$C$16,AND(MONTH(WORKDAY(B325,-(Setup!$C$13+Setup!$G$20),Setup!$C$39:$C$50))&gt;=Setup!$C$15,MONTH(WORKDAY(B325,-(Setup!$C$13+Setup!$G$20),Setup!$C$39:$C$50))&lt;=Setup!$C$16),OR(MONTH(WORKDAY(B325,-(Setup!$C$13+Setup!$G$20),Setup!$C$39:$C$50))&gt;=Setup!$C$15,MONTH(WORKDAY(B325,-(Setup!$C$13+Setup!$G$20),Setup!$C$39:$C$50))&lt;=Setup!$C$16))),WORKDAY(B325,-(Setup!$C$13+Setup!$G$20+Setup!$C$14),Setup!$C$39:$C$50),WORKDAY(B325,-(Setup!$C$13+Setup!$G$20),Setup!$C$39:$C$50))+(320*100+1)/10000000)))</f>
        <v/>
      </c>
      <c r="S325" t="str">
        <f>IF(C325="","",IF(C325&lt;Setup!$C$5-Setup!$C$6,"",IF(IF(ISNUMBER(Roster!$D325),Setup!$C$21&lt;=Roster!$D325,FALSE),"",IF(OR(IF(Setup!$C$15&lt;=Setup!$C$16,AND(MONTH(C325)&gt;=Setup!$C$15,MONTH(C325)&lt;=Setup!$C$16),OR(MONTH(C325)&gt;=Setup!$C$15,MONTH(C325)&lt;=Setup!$C$16)),IF(Setup!$C$15&lt;=Setup!$C$16,AND(MONTH(WORKDAY(C325,-(Setup!$C$13+Setup!$G$21),Setup!$C$39:$C$50))&gt;=Setup!$C$15,MONTH(WORKDAY(C325,-(Setup!$C$13+Setup!$G$21),Setup!$C$39:$C$50))&lt;=Setup!$C$16),OR(MONTH(WORKDAY(C325,-(Setup!$C$13+Setup!$G$21),Setup!$C$39:$C$50))&gt;=Setup!$C$15,MONTH(WORKDAY(C325,-(Setup!$C$13+Setup!$G$21),Setup!$C$39:$C$50))&lt;=Setup!$C$16))),WORKDAY(C325,-(Setup!$C$13+Setup!$G$21+Setup!$C$14),Setup!$C$39:$C$50),WORKDAY(C325,-(Setup!$C$13+Setup!$G$21),Setup!$C$39:$C$50))+(320*100+2)/10000000)))</f>
        <v/>
      </c>
      <c r="T325" t="str">
        <f>IF(D325="","",IF(D325&lt;Setup!$C$5-Setup!$C$6,"",IF(IF(ISNUMBER(Roster!$D325),Setup!$C$22&lt;=Roster!$D325,FALSE),"",IF(OR(IF(Setup!$C$15&lt;=Setup!$C$16,AND(MONTH(D325)&gt;=Setup!$C$15,MONTH(D325)&lt;=Setup!$C$16),OR(MONTH(D325)&gt;=Setup!$C$15,MONTH(D325)&lt;=Setup!$C$16)),IF(Setup!$C$15&lt;=Setup!$C$16,AND(MONTH(WORKDAY(D325,-(Setup!$C$13+Setup!$G$22),Setup!$C$39:$C$50))&gt;=Setup!$C$15,MONTH(WORKDAY(D325,-(Setup!$C$13+Setup!$G$22),Setup!$C$39:$C$50))&lt;=Setup!$C$16),OR(MONTH(WORKDAY(D325,-(Setup!$C$13+Setup!$G$22),Setup!$C$39:$C$50))&gt;=Setup!$C$15,MONTH(WORKDAY(D325,-(Setup!$C$13+Setup!$G$22),Setup!$C$39:$C$50))&lt;=Setup!$C$16))),WORKDAY(D325,-(Setup!$C$13+Setup!$G$22+Setup!$C$14),Setup!$C$39:$C$50),WORKDAY(D325,-(Setup!$C$13+Setup!$G$22),Setup!$C$39:$C$50))+(320*100+3)/10000000)))</f>
        <v/>
      </c>
      <c r="U325" t="str">
        <f>IF(E325="","",IF(E325&lt;Setup!$C$5-Setup!$C$6,"",IF(IF(ISNUMBER(Roster!$D325),Setup!$C$23&lt;=Roster!$D325,FALSE),"",IF(OR(IF(Setup!$C$15&lt;=Setup!$C$16,AND(MONTH(E325)&gt;=Setup!$C$15,MONTH(E325)&lt;=Setup!$C$16),OR(MONTH(E325)&gt;=Setup!$C$15,MONTH(E325)&lt;=Setup!$C$16)),IF(Setup!$C$15&lt;=Setup!$C$16,AND(MONTH(WORKDAY(E325,-(Setup!$C$13+Setup!$G$23),Setup!$C$39:$C$50))&gt;=Setup!$C$15,MONTH(WORKDAY(E325,-(Setup!$C$13+Setup!$G$23),Setup!$C$39:$C$50))&lt;=Setup!$C$16),OR(MONTH(WORKDAY(E325,-(Setup!$C$13+Setup!$G$23),Setup!$C$39:$C$50))&gt;=Setup!$C$15,MONTH(WORKDAY(E325,-(Setup!$C$13+Setup!$G$23),Setup!$C$39:$C$50))&lt;=Setup!$C$16))),WORKDAY(E325,-(Setup!$C$13+Setup!$G$23+Setup!$C$14),Setup!$C$39:$C$50),WORKDAY(E325,-(Setup!$C$13+Setup!$G$23),Setup!$C$39:$C$50))+(320*100+4)/10000000)))</f>
        <v/>
      </c>
      <c r="V325" t="str">
        <f>IF(F325="","",IF(F325&lt;Setup!$C$5-Setup!$C$6,"",IF(IF(ISNUMBER(Roster!$D325),Setup!$C$24&lt;=Roster!$D325,FALSE),"",IF(OR(IF(Setup!$C$15&lt;=Setup!$C$16,AND(MONTH(F325)&gt;=Setup!$C$15,MONTH(F325)&lt;=Setup!$C$16),OR(MONTH(F325)&gt;=Setup!$C$15,MONTH(F325)&lt;=Setup!$C$16)),IF(Setup!$C$15&lt;=Setup!$C$16,AND(MONTH(WORKDAY(F325,-(Setup!$C$13+Setup!$G$24),Setup!$C$39:$C$50))&gt;=Setup!$C$15,MONTH(WORKDAY(F325,-(Setup!$C$13+Setup!$G$24),Setup!$C$39:$C$50))&lt;=Setup!$C$16),OR(MONTH(WORKDAY(F325,-(Setup!$C$13+Setup!$G$24),Setup!$C$39:$C$50))&gt;=Setup!$C$15,MONTH(WORKDAY(F325,-(Setup!$C$13+Setup!$G$24),Setup!$C$39:$C$50))&lt;=Setup!$C$16))),WORKDAY(F325,-(Setup!$C$13+Setup!$G$24+Setup!$C$14),Setup!$C$39:$C$50),WORKDAY(F325,-(Setup!$C$13+Setup!$G$24),Setup!$C$39:$C$50))+(320*100+5)/10000000)))</f>
        <v/>
      </c>
      <c r="W325" t="str">
        <f>IF(G325="","",IF(G325&lt;Setup!$C$5-Setup!$C$6,"",IF(IF(ISNUMBER(Roster!$D325),Setup!$C$25&lt;=Roster!$D325,FALSE),"",IF(OR(IF(Setup!$C$15&lt;=Setup!$C$16,AND(MONTH(G325)&gt;=Setup!$C$15,MONTH(G325)&lt;=Setup!$C$16),OR(MONTH(G325)&gt;=Setup!$C$15,MONTH(G325)&lt;=Setup!$C$16)),IF(Setup!$C$15&lt;=Setup!$C$16,AND(MONTH(WORKDAY(G325,-(Setup!$C$13+Setup!$G$25),Setup!$C$39:$C$50))&gt;=Setup!$C$15,MONTH(WORKDAY(G325,-(Setup!$C$13+Setup!$G$25),Setup!$C$39:$C$50))&lt;=Setup!$C$16),OR(MONTH(WORKDAY(G325,-(Setup!$C$13+Setup!$G$25),Setup!$C$39:$C$50))&gt;=Setup!$C$15,MONTH(WORKDAY(G325,-(Setup!$C$13+Setup!$G$25),Setup!$C$39:$C$50))&lt;=Setup!$C$16))),WORKDAY(G325,-(Setup!$C$13+Setup!$G$25+Setup!$C$14),Setup!$C$39:$C$50),WORKDAY(G325,-(Setup!$C$13+Setup!$G$25),Setup!$C$39:$C$50))+(320*100+6)/10000000)))</f>
        <v/>
      </c>
      <c r="X325" t="str">
        <f>IF(H325="","",IF(H325&lt;Setup!$C$5-Setup!$C$6,"",IF(IF(ISNUMBER(Roster!$D325),Setup!$C$26&lt;=Roster!$D325,FALSE),"",IF(OR(IF(Setup!$C$15&lt;=Setup!$C$16,AND(MONTH(H325)&gt;=Setup!$C$15,MONTH(H325)&lt;=Setup!$C$16),OR(MONTH(H325)&gt;=Setup!$C$15,MONTH(H325)&lt;=Setup!$C$16)),IF(Setup!$C$15&lt;=Setup!$C$16,AND(MONTH(WORKDAY(H325,-(Setup!$C$13+Setup!$G$26),Setup!$C$39:$C$50))&gt;=Setup!$C$15,MONTH(WORKDAY(H325,-(Setup!$C$13+Setup!$G$26),Setup!$C$39:$C$50))&lt;=Setup!$C$16),OR(MONTH(WORKDAY(H325,-(Setup!$C$13+Setup!$G$26),Setup!$C$39:$C$50))&gt;=Setup!$C$15,MONTH(WORKDAY(H325,-(Setup!$C$13+Setup!$G$26),Setup!$C$39:$C$50))&lt;=Setup!$C$16))),WORKDAY(H325,-(Setup!$C$13+Setup!$G$26+Setup!$C$14),Setup!$C$39:$C$50),WORKDAY(H325,-(Setup!$C$13+Setup!$G$26),Setup!$C$39:$C$50))+(320*100+7)/10000000)))</f>
        <v/>
      </c>
      <c r="Y325" t="str">
        <f>IF(I325="","",IF(I325&lt;Setup!$C$5-Setup!$C$6,"",IF(IF(ISNUMBER(Roster!$D325),Setup!$C$27&lt;=Roster!$D325,FALSE),"",IF(OR(IF(Setup!$C$15&lt;=Setup!$C$16,AND(MONTH(I325)&gt;=Setup!$C$15,MONTH(I325)&lt;=Setup!$C$16),OR(MONTH(I325)&gt;=Setup!$C$15,MONTH(I325)&lt;=Setup!$C$16)),IF(Setup!$C$15&lt;=Setup!$C$16,AND(MONTH(WORKDAY(I325,-(Setup!$C$13+Setup!$G$27),Setup!$C$39:$C$50))&gt;=Setup!$C$15,MONTH(WORKDAY(I325,-(Setup!$C$13+Setup!$G$27),Setup!$C$39:$C$50))&lt;=Setup!$C$16),OR(MONTH(WORKDAY(I325,-(Setup!$C$13+Setup!$G$27),Setup!$C$39:$C$50))&gt;=Setup!$C$15,MONTH(WORKDAY(I325,-(Setup!$C$13+Setup!$G$27),Setup!$C$39:$C$50))&lt;=Setup!$C$16))),WORKDAY(I325,-(Setup!$C$13+Setup!$G$27+Setup!$C$14),Setup!$C$39:$C$50),WORKDAY(I325,-(Setup!$C$13+Setup!$G$27),Setup!$C$39:$C$50))+(320*100+8)/10000000)))</f>
        <v/>
      </c>
      <c r="Z325" t="str">
        <f>IF(J325="","",IF(J325&lt;Setup!$C$5-Setup!$C$6,"",IF(IF(ISNUMBER(Roster!$D325),Setup!$C$28&lt;=Roster!$D325,FALSE),"",IF(OR(IF(Setup!$C$15&lt;=Setup!$C$16,AND(MONTH(J325)&gt;=Setup!$C$15,MONTH(J325)&lt;=Setup!$C$16),OR(MONTH(J325)&gt;=Setup!$C$15,MONTH(J325)&lt;=Setup!$C$16)),IF(Setup!$C$15&lt;=Setup!$C$16,AND(MONTH(WORKDAY(J325,-(Setup!$C$13+Setup!$G$28),Setup!$C$39:$C$50))&gt;=Setup!$C$15,MONTH(WORKDAY(J325,-(Setup!$C$13+Setup!$G$28),Setup!$C$39:$C$50))&lt;=Setup!$C$16),OR(MONTH(WORKDAY(J325,-(Setup!$C$13+Setup!$G$28),Setup!$C$39:$C$50))&gt;=Setup!$C$15,MONTH(WORKDAY(J325,-(Setup!$C$13+Setup!$G$28),Setup!$C$39:$C$50))&lt;=Setup!$C$16))),WORKDAY(J325,-(Setup!$C$13+Setup!$G$28+Setup!$C$14),Setup!$C$39:$C$50),WORKDAY(J325,-(Setup!$C$13+Setup!$G$28),Setup!$C$39:$C$50))+(320*100+9)/10000000)))</f>
        <v/>
      </c>
      <c r="AA325" t="str">
        <f>IF(K325="","",IF(K325&lt;Setup!$C$5-Setup!$C$6,"",IF(IF(ISNUMBER(Roster!$D325),Setup!$C$29&lt;=Roster!$D325,FALSE),"",IF(OR(IF(Setup!$C$15&lt;=Setup!$C$16,AND(MONTH(K325)&gt;=Setup!$C$15,MONTH(K325)&lt;=Setup!$C$16),OR(MONTH(K325)&gt;=Setup!$C$15,MONTH(K325)&lt;=Setup!$C$16)),IF(Setup!$C$15&lt;=Setup!$C$16,AND(MONTH(WORKDAY(K325,-(Setup!$C$13+Setup!$G$29),Setup!$C$39:$C$50))&gt;=Setup!$C$15,MONTH(WORKDAY(K325,-(Setup!$C$13+Setup!$G$29),Setup!$C$39:$C$50))&lt;=Setup!$C$16),OR(MONTH(WORKDAY(K325,-(Setup!$C$13+Setup!$G$29),Setup!$C$39:$C$50))&gt;=Setup!$C$15,MONTH(WORKDAY(K325,-(Setup!$C$13+Setup!$G$29),Setup!$C$39:$C$50))&lt;=Setup!$C$16))),WORKDAY(K325,-(Setup!$C$13+Setup!$G$29+Setup!$C$14),Setup!$C$39:$C$50),WORKDAY(K325,-(Setup!$C$13+Setup!$G$29),Setup!$C$39:$C$50))+(320*100+10)/10000000)))</f>
        <v/>
      </c>
      <c r="AB325" t="str">
        <f>IF(L325="","",IF(L325&lt;Setup!$C$5-Setup!$C$6,"",IF(IF(ISNUMBER(Roster!$D325),Setup!$C$30&lt;=Roster!$D325,FALSE),"",IF(OR(IF(Setup!$C$15&lt;=Setup!$C$16,AND(MONTH(L325)&gt;=Setup!$C$15,MONTH(L325)&lt;=Setup!$C$16),OR(MONTH(L325)&gt;=Setup!$C$15,MONTH(L325)&lt;=Setup!$C$16)),IF(Setup!$C$15&lt;=Setup!$C$16,AND(MONTH(WORKDAY(L325,-(Setup!$C$13+Setup!$G$30),Setup!$C$39:$C$50))&gt;=Setup!$C$15,MONTH(WORKDAY(L325,-(Setup!$C$13+Setup!$G$30),Setup!$C$39:$C$50))&lt;=Setup!$C$16),OR(MONTH(WORKDAY(L325,-(Setup!$C$13+Setup!$G$30),Setup!$C$39:$C$50))&gt;=Setup!$C$15,MONTH(WORKDAY(L325,-(Setup!$C$13+Setup!$G$30),Setup!$C$39:$C$50))&lt;=Setup!$C$16))),WORKDAY(L325,-(Setup!$C$13+Setup!$G$30+Setup!$C$14),Setup!$C$39:$C$50),WORKDAY(L325,-(Setup!$C$13+Setup!$G$30),Setup!$C$39:$C$50))+(320*100+11)/10000000)))</f>
        <v/>
      </c>
      <c r="AC325" t="str">
        <f>IF(M325="","",IF(M325&lt;Setup!$C$5-Setup!$C$6,"",IF(IF(ISNUMBER(Roster!$D325),Setup!$C$31&lt;=Roster!$D325,FALSE),"",IF(OR(IF(Setup!$C$15&lt;=Setup!$C$16,AND(MONTH(M325)&gt;=Setup!$C$15,MONTH(M325)&lt;=Setup!$C$16),OR(MONTH(M325)&gt;=Setup!$C$15,MONTH(M325)&lt;=Setup!$C$16)),IF(Setup!$C$15&lt;=Setup!$C$16,AND(MONTH(WORKDAY(M325,-(Setup!$C$13+Setup!$G$31),Setup!$C$39:$C$50))&gt;=Setup!$C$15,MONTH(WORKDAY(M325,-(Setup!$C$13+Setup!$G$31),Setup!$C$39:$C$50))&lt;=Setup!$C$16),OR(MONTH(WORKDAY(M325,-(Setup!$C$13+Setup!$G$31),Setup!$C$39:$C$50))&gt;=Setup!$C$15,MONTH(WORKDAY(M325,-(Setup!$C$13+Setup!$G$31),Setup!$C$39:$C$50))&lt;=Setup!$C$16))),WORKDAY(M325,-(Setup!$C$13+Setup!$G$31+Setup!$C$14),Setup!$C$39:$C$50),WORKDAY(M325,-(Setup!$C$13+Setup!$G$31),Setup!$C$39:$C$50))+(320*100+12)/10000000)))</f>
        <v/>
      </c>
      <c r="AD325" t="str">
        <f>IF(N325="","",IF(N325&lt;Setup!$C$5-Setup!$C$6,"",IF(IF(ISNUMBER(Roster!$D325),Setup!$C$32&lt;=Roster!$D325,FALSE),"",IF(OR(IF(Setup!$C$15&lt;=Setup!$C$16,AND(MONTH(N325)&gt;=Setup!$C$15,MONTH(N325)&lt;=Setup!$C$16),OR(MONTH(N325)&gt;=Setup!$C$15,MONTH(N325)&lt;=Setup!$C$16)),IF(Setup!$C$15&lt;=Setup!$C$16,AND(MONTH(WORKDAY(N325,-(Setup!$C$13+Setup!$G$32),Setup!$C$39:$C$50))&gt;=Setup!$C$15,MONTH(WORKDAY(N325,-(Setup!$C$13+Setup!$G$32),Setup!$C$39:$C$50))&lt;=Setup!$C$16),OR(MONTH(WORKDAY(N325,-(Setup!$C$13+Setup!$G$32),Setup!$C$39:$C$50))&gt;=Setup!$C$15,MONTH(WORKDAY(N325,-(Setup!$C$13+Setup!$G$32),Setup!$C$39:$C$50))&lt;=Setup!$C$16))),WORKDAY(N325,-(Setup!$C$13+Setup!$G$32+Setup!$C$14),Setup!$C$39:$C$50),WORKDAY(N325,-(Setup!$C$13+Setup!$G$32),Setup!$C$39:$C$50))+(320*100+13)/10000000)))</f>
        <v/>
      </c>
      <c r="AE325" t="str">
        <f>IF(O325="","",IF(O325&lt;Setup!$C$5-Setup!$C$6,"",IF(IF(ISNUMBER(Roster!$D325),Setup!$C$33&lt;=Roster!$D325,FALSE),"",IF(OR(IF(Setup!$C$15&lt;=Setup!$C$16,AND(MONTH(O325)&gt;=Setup!$C$15,MONTH(O325)&lt;=Setup!$C$16),OR(MONTH(O325)&gt;=Setup!$C$15,MONTH(O325)&lt;=Setup!$C$16)),IF(Setup!$C$15&lt;=Setup!$C$16,AND(MONTH(WORKDAY(O325,-(Setup!$C$13+Setup!$G$33),Setup!$C$39:$C$50))&gt;=Setup!$C$15,MONTH(WORKDAY(O325,-(Setup!$C$13+Setup!$G$33),Setup!$C$39:$C$50))&lt;=Setup!$C$16),OR(MONTH(WORKDAY(O325,-(Setup!$C$13+Setup!$G$33),Setup!$C$39:$C$50))&gt;=Setup!$C$15,MONTH(WORKDAY(O325,-(Setup!$C$13+Setup!$G$33),Setup!$C$39:$C$50))&lt;=Setup!$C$16))),WORKDAY(O325,-(Setup!$C$13+Setup!$G$33+Setup!$C$14),Setup!$C$39:$C$50),WORKDAY(O325,-(Setup!$C$13+Setup!$G$33),Setup!$C$39:$C$50))+(320*100+14)/10000000)))</f>
        <v/>
      </c>
      <c r="AF325" t="str">
        <f>IF(P325="","",IF(P325&lt;Setup!$C$5-Setup!$C$6,"",IF(IF(ISNUMBER(Roster!$D325),Setup!$C$34&lt;=Roster!$D325,FALSE),"",IF(OR(IF(Setup!$C$15&lt;=Setup!$C$16,AND(MONTH(P325)&gt;=Setup!$C$15,MONTH(P325)&lt;=Setup!$C$16),OR(MONTH(P325)&gt;=Setup!$C$15,MONTH(P325)&lt;=Setup!$C$16)),IF(Setup!$C$15&lt;=Setup!$C$16,AND(MONTH(WORKDAY(P325,-(Setup!$C$13+Setup!$G$34),Setup!$C$39:$C$50))&gt;=Setup!$C$15,MONTH(WORKDAY(P325,-(Setup!$C$13+Setup!$G$34),Setup!$C$39:$C$50))&lt;=Setup!$C$16),OR(MONTH(WORKDAY(P325,-(Setup!$C$13+Setup!$G$34),Setup!$C$39:$C$50))&gt;=Setup!$C$15,MONTH(WORKDAY(P325,-(Setup!$C$13+Setup!$G$34),Setup!$C$39:$C$50))&lt;=Setup!$C$16))),WORKDAY(P325,-(Setup!$C$13+Setup!$G$34+Setup!$C$14),Setup!$C$39:$C$50),WORKDAY(P325,-(Setup!$C$13+Setup!$G$34),Setup!$C$39:$C$50))+(320*100+15)/10000000)))</f>
        <v/>
      </c>
      <c r="AH325" t="str">
        <f t="shared" si="33"/>
        <v/>
      </c>
      <c r="AI325" t="str">
        <f t="shared" si="34"/>
        <v/>
      </c>
      <c r="AP325" t="str">
        <f>IF(ISNUMBER(Roster!$B325),MAX(1,YEAR(Setup!$C$5)-YEAR(Roster!$B325)+IF(EDATE(Roster!$B325,12*(YEAR(Setup!$C$5)-YEAR(Roster!$B325)))&lt;Setup!$C$5,1,0)),"")</f>
        <v/>
      </c>
      <c r="AQ325" s="32" t="str">
        <f>IF(AP325="","",EDATE(Roster!$B325,12*AP325))</f>
        <v/>
      </c>
      <c r="AR325" t="str">
        <f>IF(AQ325="","",IF(AQ325&lt;DATE(YEAR(Setup!$C$5)+1,MONTH(Setup!$C$5),DAY(Setup!$C$5)),AQ325+320/1000,""))</f>
        <v/>
      </c>
      <c r="AS325" t="str">
        <f t="shared" si="38"/>
        <v/>
      </c>
      <c r="AT325" t="str">
        <f>IF(AS325="","",IF(ISNUMBER(Roster!$D325),Roster!$D325&gt;=AP325,FALSE))</f>
        <v/>
      </c>
      <c r="AU325" t="str">
        <f t="shared" si="39"/>
        <v/>
      </c>
      <c r="AV325" t="str">
        <f ca="1">IF(320&gt;$AV$2,"",SMALL($AR$6:$AR$505,320))</f>
        <v/>
      </c>
      <c r="AW325" t="str">
        <f t="shared" ca="1" si="40"/>
        <v/>
      </c>
    </row>
    <row r="326" spans="2:49" x14ac:dyDescent="0.2">
      <c r="B326" s="32" t="str">
        <f>IF(AND(ISNUMBER(Roster!$B326),Setup!$B$20="Yes",ISNUMBER(Setup!$C$20)),EDATE(Roster!$B326,12*Setup!$C$20),"")</f>
        <v/>
      </c>
      <c r="C326" s="32" t="str">
        <f>IF(AND(ISNUMBER(Roster!$B326),Setup!$B$21="Yes",ISNUMBER(Setup!$C$21)),EDATE(Roster!$B326,12*Setup!$C$21),"")</f>
        <v/>
      </c>
      <c r="D326" s="32" t="str">
        <f>IF(AND(ISNUMBER(Roster!$B326),Setup!$B$22="Yes",ISNUMBER(Setup!$C$22)),EDATE(Roster!$B326,12*Setup!$C$22),"")</f>
        <v/>
      </c>
      <c r="E326" s="32" t="str">
        <f>IF(AND(ISNUMBER(Roster!$B326),Setup!$B$23="Yes",ISNUMBER(Setup!$C$23)),EDATE(Roster!$B326,12*Setup!$C$23),"")</f>
        <v/>
      </c>
      <c r="F326" s="32" t="str">
        <f>IF(AND(ISNUMBER(Roster!$B326),Setup!$B$24="Yes",ISNUMBER(Setup!$C$24)),EDATE(Roster!$B326,12*Setup!$C$24),"")</f>
        <v/>
      </c>
      <c r="G326" s="32" t="str">
        <f>IF(AND(ISNUMBER(Roster!$B326),Setup!$B$25="Yes",ISNUMBER(Setup!$C$25)),EDATE(Roster!$B326,12*Setup!$C$25),"")</f>
        <v/>
      </c>
      <c r="H326" s="32" t="str">
        <f>IF(AND(ISNUMBER(Roster!$B326),Setup!$B$26="Yes",ISNUMBER(Setup!$C$26)),EDATE(Roster!$B326,12*Setup!$C$26),"")</f>
        <v/>
      </c>
      <c r="I326" s="32" t="str">
        <f>IF(AND(ISNUMBER(Roster!$B326),Setup!$B$27="Yes",ISNUMBER(Setup!$C$27)),EDATE(Roster!$B326,12*Setup!$C$27),"")</f>
        <v/>
      </c>
      <c r="J326" s="32" t="str">
        <f>IF(AND(ISNUMBER(Roster!$B326),Setup!$B$28="Yes",ISNUMBER(Setup!$C$28)),EDATE(Roster!$B326,12*Setup!$C$28),"")</f>
        <v/>
      </c>
      <c r="K326" s="32" t="str">
        <f>IF(AND(ISNUMBER(Roster!$B326),Setup!$B$29="Yes",ISNUMBER(Setup!$C$29)),EDATE(Roster!$B326,12*Setup!$C$29),"")</f>
        <v/>
      </c>
      <c r="L326" s="32" t="str">
        <f>IF(AND(ISNUMBER(Roster!$B326),Setup!$B$30="Yes",ISNUMBER(Setup!$C$30)),EDATE(Roster!$B326,12*Setup!$C$30),"")</f>
        <v/>
      </c>
      <c r="M326" s="32" t="str">
        <f>IF(AND(ISNUMBER(Roster!$B326),Setup!$B$31="Yes",ISNUMBER(Setup!$C$31)),EDATE(Roster!$B326,12*Setup!$C$31),"")</f>
        <v/>
      </c>
      <c r="N326" s="32" t="str">
        <f>IF(AND(ISNUMBER(Roster!$B326),Setup!$B$32="Yes",ISNUMBER(Setup!$C$32)),EDATE(Roster!$B326,12*Setup!$C$32),"")</f>
        <v/>
      </c>
      <c r="O326" s="32" t="str">
        <f>IF(AND(ISNUMBER(Roster!$B326),Setup!$B$33="Yes",ISNUMBER(Setup!$C$33)),EDATE(Roster!$B326,12*Setup!$C$33),"")</f>
        <v/>
      </c>
      <c r="P326" s="32" t="str">
        <f>IF(AND(ISNUMBER(Roster!$B326),Setup!$B$34="Yes",ISNUMBER(Setup!$C$34)),EDATE(Roster!$B326,12*Setup!$C$34),"")</f>
        <v/>
      </c>
      <c r="R326" t="str">
        <f>IF(B326="","",IF(B326&lt;Setup!$C$5-Setup!$C$6,"",IF(IF(ISNUMBER(Roster!$D326),Setup!$C$20&lt;=Roster!$D326,FALSE),"",IF(OR(IF(Setup!$C$15&lt;=Setup!$C$16,AND(MONTH(B326)&gt;=Setup!$C$15,MONTH(B326)&lt;=Setup!$C$16),OR(MONTH(B326)&gt;=Setup!$C$15,MONTH(B326)&lt;=Setup!$C$16)),IF(Setup!$C$15&lt;=Setup!$C$16,AND(MONTH(WORKDAY(B326,-(Setup!$C$13+Setup!$G$20),Setup!$C$39:$C$50))&gt;=Setup!$C$15,MONTH(WORKDAY(B326,-(Setup!$C$13+Setup!$G$20),Setup!$C$39:$C$50))&lt;=Setup!$C$16),OR(MONTH(WORKDAY(B326,-(Setup!$C$13+Setup!$G$20),Setup!$C$39:$C$50))&gt;=Setup!$C$15,MONTH(WORKDAY(B326,-(Setup!$C$13+Setup!$G$20),Setup!$C$39:$C$50))&lt;=Setup!$C$16))),WORKDAY(B326,-(Setup!$C$13+Setup!$G$20+Setup!$C$14),Setup!$C$39:$C$50),WORKDAY(B326,-(Setup!$C$13+Setup!$G$20),Setup!$C$39:$C$50))+(321*100+1)/10000000)))</f>
        <v/>
      </c>
      <c r="S326" t="str">
        <f>IF(C326="","",IF(C326&lt;Setup!$C$5-Setup!$C$6,"",IF(IF(ISNUMBER(Roster!$D326),Setup!$C$21&lt;=Roster!$D326,FALSE),"",IF(OR(IF(Setup!$C$15&lt;=Setup!$C$16,AND(MONTH(C326)&gt;=Setup!$C$15,MONTH(C326)&lt;=Setup!$C$16),OR(MONTH(C326)&gt;=Setup!$C$15,MONTH(C326)&lt;=Setup!$C$16)),IF(Setup!$C$15&lt;=Setup!$C$16,AND(MONTH(WORKDAY(C326,-(Setup!$C$13+Setup!$G$21),Setup!$C$39:$C$50))&gt;=Setup!$C$15,MONTH(WORKDAY(C326,-(Setup!$C$13+Setup!$G$21),Setup!$C$39:$C$50))&lt;=Setup!$C$16),OR(MONTH(WORKDAY(C326,-(Setup!$C$13+Setup!$G$21),Setup!$C$39:$C$50))&gt;=Setup!$C$15,MONTH(WORKDAY(C326,-(Setup!$C$13+Setup!$G$21),Setup!$C$39:$C$50))&lt;=Setup!$C$16))),WORKDAY(C326,-(Setup!$C$13+Setup!$G$21+Setup!$C$14),Setup!$C$39:$C$50),WORKDAY(C326,-(Setup!$C$13+Setup!$G$21),Setup!$C$39:$C$50))+(321*100+2)/10000000)))</f>
        <v/>
      </c>
      <c r="T326" t="str">
        <f>IF(D326="","",IF(D326&lt;Setup!$C$5-Setup!$C$6,"",IF(IF(ISNUMBER(Roster!$D326),Setup!$C$22&lt;=Roster!$D326,FALSE),"",IF(OR(IF(Setup!$C$15&lt;=Setup!$C$16,AND(MONTH(D326)&gt;=Setup!$C$15,MONTH(D326)&lt;=Setup!$C$16),OR(MONTH(D326)&gt;=Setup!$C$15,MONTH(D326)&lt;=Setup!$C$16)),IF(Setup!$C$15&lt;=Setup!$C$16,AND(MONTH(WORKDAY(D326,-(Setup!$C$13+Setup!$G$22),Setup!$C$39:$C$50))&gt;=Setup!$C$15,MONTH(WORKDAY(D326,-(Setup!$C$13+Setup!$G$22),Setup!$C$39:$C$50))&lt;=Setup!$C$16),OR(MONTH(WORKDAY(D326,-(Setup!$C$13+Setup!$G$22),Setup!$C$39:$C$50))&gt;=Setup!$C$15,MONTH(WORKDAY(D326,-(Setup!$C$13+Setup!$G$22),Setup!$C$39:$C$50))&lt;=Setup!$C$16))),WORKDAY(D326,-(Setup!$C$13+Setup!$G$22+Setup!$C$14),Setup!$C$39:$C$50),WORKDAY(D326,-(Setup!$C$13+Setup!$G$22),Setup!$C$39:$C$50))+(321*100+3)/10000000)))</f>
        <v/>
      </c>
      <c r="U326" t="str">
        <f>IF(E326="","",IF(E326&lt;Setup!$C$5-Setup!$C$6,"",IF(IF(ISNUMBER(Roster!$D326),Setup!$C$23&lt;=Roster!$D326,FALSE),"",IF(OR(IF(Setup!$C$15&lt;=Setup!$C$16,AND(MONTH(E326)&gt;=Setup!$C$15,MONTH(E326)&lt;=Setup!$C$16),OR(MONTH(E326)&gt;=Setup!$C$15,MONTH(E326)&lt;=Setup!$C$16)),IF(Setup!$C$15&lt;=Setup!$C$16,AND(MONTH(WORKDAY(E326,-(Setup!$C$13+Setup!$G$23),Setup!$C$39:$C$50))&gt;=Setup!$C$15,MONTH(WORKDAY(E326,-(Setup!$C$13+Setup!$G$23),Setup!$C$39:$C$50))&lt;=Setup!$C$16),OR(MONTH(WORKDAY(E326,-(Setup!$C$13+Setup!$G$23),Setup!$C$39:$C$50))&gt;=Setup!$C$15,MONTH(WORKDAY(E326,-(Setup!$C$13+Setup!$G$23),Setup!$C$39:$C$50))&lt;=Setup!$C$16))),WORKDAY(E326,-(Setup!$C$13+Setup!$G$23+Setup!$C$14),Setup!$C$39:$C$50),WORKDAY(E326,-(Setup!$C$13+Setup!$G$23),Setup!$C$39:$C$50))+(321*100+4)/10000000)))</f>
        <v/>
      </c>
      <c r="V326" t="str">
        <f>IF(F326="","",IF(F326&lt;Setup!$C$5-Setup!$C$6,"",IF(IF(ISNUMBER(Roster!$D326),Setup!$C$24&lt;=Roster!$D326,FALSE),"",IF(OR(IF(Setup!$C$15&lt;=Setup!$C$16,AND(MONTH(F326)&gt;=Setup!$C$15,MONTH(F326)&lt;=Setup!$C$16),OR(MONTH(F326)&gt;=Setup!$C$15,MONTH(F326)&lt;=Setup!$C$16)),IF(Setup!$C$15&lt;=Setup!$C$16,AND(MONTH(WORKDAY(F326,-(Setup!$C$13+Setup!$G$24),Setup!$C$39:$C$50))&gt;=Setup!$C$15,MONTH(WORKDAY(F326,-(Setup!$C$13+Setup!$G$24),Setup!$C$39:$C$50))&lt;=Setup!$C$16),OR(MONTH(WORKDAY(F326,-(Setup!$C$13+Setup!$G$24),Setup!$C$39:$C$50))&gt;=Setup!$C$15,MONTH(WORKDAY(F326,-(Setup!$C$13+Setup!$G$24),Setup!$C$39:$C$50))&lt;=Setup!$C$16))),WORKDAY(F326,-(Setup!$C$13+Setup!$G$24+Setup!$C$14),Setup!$C$39:$C$50),WORKDAY(F326,-(Setup!$C$13+Setup!$G$24),Setup!$C$39:$C$50))+(321*100+5)/10000000)))</f>
        <v/>
      </c>
      <c r="W326" t="str">
        <f>IF(G326="","",IF(G326&lt;Setup!$C$5-Setup!$C$6,"",IF(IF(ISNUMBER(Roster!$D326),Setup!$C$25&lt;=Roster!$D326,FALSE),"",IF(OR(IF(Setup!$C$15&lt;=Setup!$C$16,AND(MONTH(G326)&gt;=Setup!$C$15,MONTH(G326)&lt;=Setup!$C$16),OR(MONTH(G326)&gt;=Setup!$C$15,MONTH(G326)&lt;=Setup!$C$16)),IF(Setup!$C$15&lt;=Setup!$C$16,AND(MONTH(WORKDAY(G326,-(Setup!$C$13+Setup!$G$25),Setup!$C$39:$C$50))&gt;=Setup!$C$15,MONTH(WORKDAY(G326,-(Setup!$C$13+Setup!$G$25),Setup!$C$39:$C$50))&lt;=Setup!$C$16),OR(MONTH(WORKDAY(G326,-(Setup!$C$13+Setup!$G$25),Setup!$C$39:$C$50))&gt;=Setup!$C$15,MONTH(WORKDAY(G326,-(Setup!$C$13+Setup!$G$25),Setup!$C$39:$C$50))&lt;=Setup!$C$16))),WORKDAY(G326,-(Setup!$C$13+Setup!$G$25+Setup!$C$14),Setup!$C$39:$C$50),WORKDAY(G326,-(Setup!$C$13+Setup!$G$25),Setup!$C$39:$C$50))+(321*100+6)/10000000)))</f>
        <v/>
      </c>
      <c r="X326" t="str">
        <f>IF(H326="","",IF(H326&lt;Setup!$C$5-Setup!$C$6,"",IF(IF(ISNUMBER(Roster!$D326),Setup!$C$26&lt;=Roster!$D326,FALSE),"",IF(OR(IF(Setup!$C$15&lt;=Setup!$C$16,AND(MONTH(H326)&gt;=Setup!$C$15,MONTH(H326)&lt;=Setup!$C$16),OR(MONTH(H326)&gt;=Setup!$C$15,MONTH(H326)&lt;=Setup!$C$16)),IF(Setup!$C$15&lt;=Setup!$C$16,AND(MONTH(WORKDAY(H326,-(Setup!$C$13+Setup!$G$26),Setup!$C$39:$C$50))&gt;=Setup!$C$15,MONTH(WORKDAY(H326,-(Setup!$C$13+Setup!$G$26),Setup!$C$39:$C$50))&lt;=Setup!$C$16),OR(MONTH(WORKDAY(H326,-(Setup!$C$13+Setup!$G$26),Setup!$C$39:$C$50))&gt;=Setup!$C$15,MONTH(WORKDAY(H326,-(Setup!$C$13+Setup!$G$26),Setup!$C$39:$C$50))&lt;=Setup!$C$16))),WORKDAY(H326,-(Setup!$C$13+Setup!$G$26+Setup!$C$14),Setup!$C$39:$C$50),WORKDAY(H326,-(Setup!$C$13+Setup!$G$26),Setup!$C$39:$C$50))+(321*100+7)/10000000)))</f>
        <v/>
      </c>
      <c r="Y326" t="str">
        <f>IF(I326="","",IF(I326&lt;Setup!$C$5-Setup!$C$6,"",IF(IF(ISNUMBER(Roster!$D326),Setup!$C$27&lt;=Roster!$D326,FALSE),"",IF(OR(IF(Setup!$C$15&lt;=Setup!$C$16,AND(MONTH(I326)&gt;=Setup!$C$15,MONTH(I326)&lt;=Setup!$C$16),OR(MONTH(I326)&gt;=Setup!$C$15,MONTH(I326)&lt;=Setup!$C$16)),IF(Setup!$C$15&lt;=Setup!$C$16,AND(MONTH(WORKDAY(I326,-(Setup!$C$13+Setup!$G$27),Setup!$C$39:$C$50))&gt;=Setup!$C$15,MONTH(WORKDAY(I326,-(Setup!$C$13+Setup!$G$27),Setup!$C$39:$C$50))&lt;=Setup!$C$16),OR(MONTH(WORKDAY(I326,-(Setup!$C$13+Setup!$G$27),Setup!$C$39:$C$50))&gt;=Setup!$C$15,MONTH(WORKDAY(I326,-(Setup!$C$13+Setup!$G$27),Setup!$C$39:$C$50))&lt;=Setup!$C$16))),WORKDAY(I326,-(Setup!$C$13+Setup!$G$27+Setup!$C$14),Setup!$C$39:$C$50),WORKDAY(I326,-(Setup!$C$13+Setup!$G$27),Setup!$C$39:$C$50))+(321*100+8)/10000000)))</f>
        <v/>
      </c>
      <c r="Z326" t="str">
        <f>IF(J326="","",IF(J326&lt;Setup!$C$5-Setup!$C$6,"",IF(IF(ISNUMBER(Roster!$D326),Setup!$C$28&lt;=Roster!$D326,FALSE),"",IF(OR(IF(Setup!$C$15&lt;=Setup!$C$16,AND(MONTH(J326)&gt;=Setup!$C$15,MONTH(J326)&lt;=Setup!$C$16),OR(MONTH(J326)&gt;=Setup!$C$15,MONTH(J326)&lt;=Setup!$C$16)),IF(Setup!$C$15&lt;=Setup!$C$16,AND(MONTH(WORKDAY(J326,-(Setup!$C$13+Setup!$G$28),Setup!$C$39:$C$50))&gt;=Setup!$C$15,MONTH(WORKDAY(J326,-(Setup!$C$13+Setup!$G$28),Setup!$C$39:$C$50))&lt;=Setup!$C$16),OR(MONTH(WORKDAY(J326,-(Setup!$C$13+Setup!$G$28),Setup!$C$39:$C$50))&gt;=Setup!$C$15,MONTH(WORKDAY(J326,-(Setup!$C$13+Setup!$G$28),Setup!$C$39:$C$50))&lt;=Setup!$C$16))),WORKDAY(J326,-(Setup!$C$13+Setup!$G$28+Setup!$C$14),Setup!$C$39:$C$50),WORKDAY(J326,-(Setup!$C$13+Setup!$G$28),Setup!$C$39:$C$50))+(321*100+9)/10000000)))</f>
        <v/>
      </c>
      <c r="AA326" t="str">
        <f>IF(K326="","",IF(K326&lt;Setup!$C$5-Setup!$C$6,"",IF(IF(ISNUMBER(Roster!$D326),Setup!$C$29&lt;=Roster!$D326,FALSE),"",IF(OR(IF(Setup!$C$15&lt;=Setup!$C$16,AND(MONTH(K326)&gt;=Setup!$C$15,MONTH(K326)&lt;=Setup!$C$16),OR(MONTH(K326)&gt;=Setup!$C$15,MONTH(K326)&lt;=Setup!$C$16)),IF(Setup!$C$15&lt;=Setup!$C$16,AND(MONTH(WORKDAY(K326,-(Setup!$C$13+Setup!$G$29),Setup!$C$39:$C$50))&gt;=Setup!$C$15,MONTH(WORKDAY(K326,-(Setup!$C$13+Setup!$G$29),Setup!$C$39:$C$50))&lt;=Setup!$C$16),OR(MONTH(WORKDAY(K326,-(Setup!$C$13+Setup!$G$29),Setup!$C$39:$C$50))&gt;=Setup!$C$15,MONTH(WORKDAY(K326,-(Setup!$C$13+Setup!$G$29),Setup!$C$39:$C$50))&lt;=Setup!$C$16))),WORKDAY(K326,-(Setup!$C$13+Setup!$G$29+Setup!$C$14),Setup!$C$39:$C$50),WORKDAY(K326,-(Setup!$C$13+Setup!$G$29),Setup!$C$39:$C$50))+(321*100+10)/10000000)))</f>
        <v/>
      </c>
      <c r="AB326" t="str">
        <f>IF(L326="","",IF(L326&lt;Setup!$C$5-Setup!$C$6,"",IF(IF(ISNUMBER(Roster!$D326),Setup!$C$30&lt;=Roster!$D326,FALSE),"",IF(OR(IF(Setup!$C$15&lt;=Setup!$C$16,AND(MONTH(L326)&gt;=Setup!$C$15,MONTH(L326)&lt;=Setup!$C$16),OR(MONTH(L326)&gt;=Setup!$C$15,MONTH(L326)&lt;=Setup!$C$16)),IF(Setup!$C$15&lt;=Setup!$C$16,AND(MONTH(WORKDAY(L326,-(Setup!$C$13+Setup!$G$30),Setup!$C$39:$C$50))&gt;=Setup!$C$15,MONTH(WORKDAY(L326,-(Setup!$C$13+Setup!$G$30),Setup!$C$39:$C$50))&lt;=Setup!$C$16),OR(MONTH(WORKDAY(L326,-(Setup!$C$13+Setup!$G$30),Setup!$C$39:$C$50))&gt;=Setup!$C$15,MONTH(WORKDAY(L326,-(Setup!$C$13+Setup!$G$30),Setup!$C$39:$C$50))&lt;=Setup!$C$16))),WORKDAY(L326,-(Setup!$C$13+Setup!$G$30+Setup!$C$14),Setup!$C$39:$C$50),WORKDAY(L326,-(Setup!$C$13+Setup!$G$30),Setup!$C$39:$C$50))+(321*100+11)/10000000)))</f>
        <v/>
      </c>
      <c r="AC326" t="str">
        <f>IF(M326="","",IF(M326&lt;Setup!$C$5-Setup!$C$6,"",IF(IF(ISNUMBER(Roster!$D326),Setup!$C$31&lt;=Roster!$D326,FALSE),"",IF(OR(IF(Setup!$C$15&lt;=Setup!$C$16,AND(MONTH(M326)&gt;=Setup!$C$15,MONTH(M326)&lt;=Setup!$C$16),OR(MONTH(M326)&gt;=Setup!$C$15,MONTH(M326)&lt;=Setup!$C$16)),IF(Setup!$C$15&lt;=Setup!$C$16,AND(MONTH(WORKDAY(M326,-(Setup!$C$13+Setup!$G$31),Setup!$C$39:$C$50))&gt;=Setup!$C$15,MONTH(WORKDAY(M326,-(Setup!$C$13+Setup!$G$31),Setup!$C$39:$C$50))&lt;=Setup!$C$16),OR(MONTH(WORKDAY(M326,-(Setup!$C$13+Setup!$G$31),Setup!$C$39:$C$50))&gt;=Setup!$C$15,MONTH(WORKDAY(M326,-(Setup!$C$13+Setup!$G$31),Setup!$C$39:$C$50))&lt;=Setup!$C$16))),WORKDAY(M326,-(Setup!$C$13+Setup!$G$31+Setup!$C$14),Setup!$C$39:$C$50),WORKDAY(M326,-(Setup!$C$13+Setup!$G$31),Setup!$C$39:$C$50))+(321*100+12)/10000000)))</f>
        <v/>
      </c>
      <c r="AD326" t="str">
        <f>IF(N326="","",IF(N326&lt;Setup!$C$5-Setup!$C$6,"",IF(IF(ISNUMBER(Roster!$D326),Setup!$C$32&lt;=Roster!$D326,FALSE),"",IF(OR(IF(Setup!$C$15&lt;=Setup!$C$16,AND(MONTH(N326)&gt;=Setup!$C$15,MONTH(N326)&lt;=Setup!$C$16),OR(MONTH(N326)&gt;=Setup!$C$15,MONTH(N326)&lt;=Setup!$C$16)),IF(Setup!$C$15&lt;=Setup!$C$16,AND(MONTH(WORKDAY(N326,-(Setup!$C$13+Setup!$G$32),Setup!$C$39:$C$50))&gt;=Setup!$C$15,MONTH(WORKDAY(N326,-(Setup!$C$13+Setup!$G$32),Setup!$C$39:$C$50))&lt;=Setup!$C$16),OR(MONTH(WORKDAY(N326,-(Setup!$C$13+Setup!$G$32),Setup!$C$39:$C$50))&gt;=Setup!$C$15,MONTH(WORKDAY(N326,-(Setup!$C$13+Setup!$G$32),Setup!$C$39:$C$50))&lt;=Setup!$C$16))),WORKDAY(N326,-(Setup!$C$13+Setup!$G$32+Setup!$C$14),Setup!$C$39:$C$50),WORKDAY(N326,-(Setup!$C$13+Setup!$G$32),Setup!$C$39:$C$50))+(321*100+13)/10000000)))</f>
        <v/>
      </c>
      <c r="AE326" t="str">
        <f>IF(O326="","",IF(O326&lt;Setup!$C$5-Setup!$C$6,"",IF(IF(ISNUMBER(Roster!$D326),Setup!$C$33&lt;=Roster!$D326,FALSE),"",IF(OR(IF(Setup!$C$15&lt;=Setup!$C$16,AND(MONTH(O326)&gt;=Setup!$C$15,MONTH(O326)&lt;=Setup!$C$16),OR(MONTH(O326)&gt;=Setup!$C$15,MONTH(O326)&lt;=Setup!$C$16)),IF(Setup!$C$15&lt;=Setup!$C$16,AND(MONTH(WORKDAY(O326,-(Setup!$C$13+Setup!$G$33),Setup!$C$39:$C$50))&gt;=Setup!$C$15,MONTH(WORKDAY(O326,-(Setup!$C$13+Setup!$G$33),Setup!$C$39:$C$50))&lt;=Setup!$C$16),OR(MONTH(WORKDAY(O326,-(Setup!$C$13+Setup!$G$33),Setup!$C$39:$C$50))&gt;=Setup!$C$15,MONTH(WORKDAY(O326,-(Setup!$C$13+Setup!$G$33),Setup!$C$39:$C$50))&lt;=Setup!$C$16))),WORKDAY(O326,-(Setup!$C$13+Setup!$G$33+Setup!$C$14),Setup!$C$39:$C$50),WORKDAY(O326,-(Setup!$C$13+Setup!$G$33),Setup!$C$39:$C$50))+(321*100+14)/10000000)))</f>
        <v/>
      </c>
      <c r="AF326" t="str">
        <f>IF(P326="","",IF(P326&lt;Setup!$C$5-Setup!$C$6,"",IF(IF(ISNUMBER(Roster!$D326),Setup!$C$34&lt;=Roster!$D326,FALSE),"",IF(OR(IF(Setup!$C$15&lt;=Setup!$C$16,AND(MONTH(P326)&gt;=Setup!$C$15,MONTH(P326)&lt;=Setup!$C$16),OR(MONTH(P326)&gt;=Setup!$C$15,MONTH(P326)&lt;=Setup!$C$16)),IF(Setup!$C$15&lt;=Setup!$C$16,AND(MONTH(WORKDAY(P326,-(Setup!$C$13+Setup!$G$34),Setup!$C$39:$C$50))&gt;=Setup!$C$15,MONTH(WORKDAY(P326,-(Setup!$C$13+Setup!$G$34),Setup!$C$39:$C$50))&lt;=Setup!$C$16),OR(MONTH(WORKDAY(P326,-(Setup!$C$13+Setup!$G$34),Setup!$C$39:$C$50))&gt;=Setup!$C$15,MONTH(WORKDAY(P326,-(Setup!$C$13+Setup!$G$34),Setup!$C$39:$C$50))&lt;=Setup!$C$16))),WORKDAY(P326,-(Setup!$C$13+Setup!$G$34+Setup!$C$14),Setup!$C$39:$C$50),WORKDAY(P326,-(Setup!$C$13+Setup!$G$34),Setup!$C$39:$C$50))+(321*100+15)/10000000)))</f>
        <v/>
      </c>
      <c r="AH326" t="str">
        <f t="shared" ref="AH326:AH389" si="41">IF(COUNT(R326:AF326)=0,"",MIN(R326:AF326))</f>
        <v/>
      </c>
      <c r="AI326" t="str">
        <f t="shared" ref="AI326:AI389" si="42">IF(AH326="","",MOD(ROUND((AH326-INT(AH326))*10000000,0),100))</f>
        <v/>
      </c>
      <c r="AP326" t="str">
        <f>IF(ISNUMBER(Roster!$B326),MAX(1,YEAR(Setup!$C$5)-YEAR(Roster!$B326)+IF(EDATE(Roster!$B326,12*(YEAR(Setup!$C$5)-YEAR(Roster!$B326)))&lt;Setup!$C$5,1,0)),"")</f>
        <v/>
      </c>
      <c r="AQ326" s="32" t="str">
        <f>IF(AP326="","",EDATE(Roster!$B326,12*AP326))</f>
        <v/>
      </c>
      <c r="AR326" t="str">
        <f>IF(AQ326="","",IF(AQ326&lt;DATE(YEAR(Setup!$C$5)+1,MONTH(Setup!$C$5),DAY(Setup!$C$5)),AQ326+321/1000,""))</f>
        <v/>
      </c>
      <c r="AS326" t="str">
        <f t="shared" ref="AS326:AS389" si="43">IF(AR326="","",IFERROR(MATCH(AP326,$AY$20:$AY$34,0),""))</f>
        <v/>
      </c>
      <c r="AT326" t="str">
        <f>IF(AS326="","",IF(ISNUMBER(Roster!$D326),Roster!$D326&gt;=AP326,FALSE))</f>
        <v/>
      </c>
      <c r="AU326" t="str">
        <f t="shared" ref="AU326:AU389" si="44">IF(AS326="","",IF(AT326,"",INT(INDEX($R326:$AF326,1,AS326))))</f>
        <v/>
      </c>
      <c r="AV326" t="str">
        <f ca="1">IF(321&gt;$AV$2,"",SMALL($AR$6:$AR$505,321))</f>
        <v/>
      </c>
      <c r="AW326" t="str">
        <f t="shared" ref="AW326:AW389" ca="1" si="45">IF(AV326="","",ROUND((AV326-INT(AV326))*1000,0))</f>
        <v/>
      </c>
    </row>
    <row r="327" spans="2:49" x14ac:dyDescent="0.2">
      <c r="B327" s="32" t="str">
        <f>IF(AND(ISNUMBER(Roster!$B327),Setup!$B$20="Yes",ISNUMBER(Setup!$C$20)),EDATE(Roster!$B327,12*Setup!$C$20),"")</f>
        <v/>
      </c>
      <c r="C327" s="32" t="str">
        <f>IF(AND(ISNUMBER(Roster!$B327),Setup!$B$21="Yes",ISNUMBER(Setup!$C$21)),EDATE(Roster!$B327,12*Setup!$C$21),"")</f>
        <v/>
      </c>
      <c r="D327" s="32" t="str">
        <f>IF(AND(ISNUMBER(Roster!$B327),Setup!$B$22="Yes",ISNUMBER(Setup!$C$22)),EDATE(Roster!$B327,12*Setup!$C$22),"")</f>
        <v/>
      </c>
      <c r="E327" s="32" t="str">
        <f>IF(AND(ISNUMBER(Roster!$B327),Setup!$B$23="Yes",ISNUMBER(Setup!$C$23)),EDATE(Roster!$B327,12*Setup!$C$23),"")</f>
        <v/>
      </c>
      <c r="F327" s="32" t="str">
        <f>IF(AND(ISNUMBER(Roster!$B327),Setup!$B$24="Yes",ISNUMBER(Setup!$C$24)),EDATE(Roster!$B327,12*Setup!$C$24),"")</f>
        <v/>
      </c>
      <c r="G327" s="32" t="str">
        <f>IF(AND(ISNUMBER(Roster!$B327),Setup!$B$25="Yes",ISNUMBER(Setup!$C$25)),EDATE(Roster!$B327,12*Setup!$C$25),"")</f>
        <v/>
      </c>
      <c r="H327" s="32" t="str">
        <f>IF(AND(ISNUMBER(Roster!$B327),Setup!$B$26="Yes",ISNUMBER(Setup!$C$26)),EDATE(Roster!$B327,12*Setup!$C$26),"")</f>
        <v/>
      </c>
      <c r="I327" s="32" t="str">
        <f>IF(AND(ISNUMBER(Roster!$B327),Setup!$B$27="Yes",ISNUMBER(Setup!$C$27)),EDATE(Roster!$B327,12*Setup!$C$27),"")</f>
        <v/>
      </c>
      <c r="J327" s="32" t="str">
        <f>IF(AND(ISNUMBER(Roster!$B327),Setup!$B$28="Yes",ISNUMBER(Setup!$C$28)),EDATE(Roster!$B327,12*Setup!$C$28),"")</f>
        <v/>
      </c>
      <c r="K327" s="32" t="str">
        <f>IF(AND(ISNUMBER(Roster!$B327),Setup!$B$29="Yes",ISNUMBER(Setup!$C$29)),EDATE(Roster!$B327,12*Setup!$C$29),"")</f>
        <v/>
      </c>
      <c r="L327" s="32" t="str">
        <f>IF(AND(ISNUMBER(Roster!$B327),Setup!$B$30="Yes",ISNUMBER(Setup!$C$30)),EDATE(Roster!$B327,12*Setup!$C$30),"")</f>
        <v/>
      </c>
      <c r="M327" s="32" t="str">
        <f>IF(AND(ISNUMBER(Roster!$B327),Setup!$B$31="Yes",ISNUMBER(Setup!$C$31)),EDATE(Roster!$B327,12*Setup!$C$31),"")</f>
        <v/>
      </c>
      <c r="N327" s="32" t="str">
        <f>IF(AND(ISNUMBER(Roster!$B327),Setup!$B$32="Yes",ISNUMBER(Setup!$C$32)),EDATE(Roster!$B327,12*Setup!$C$32),"")</f>
        <v/>
      </c>
      <c r="O327" s="32" t="str">
        <f>IF(AND(ISNUMBER(Roster!$B327),Setup!$B$33="Yes",ISNUMBER(Setup!$C$33)),EDATE(Roster!$B327,12*Setup!$C$33),"")</f>
        <v/>
      </c>
      <c r="P327" s="32" t="str">
        <f>IF(AND(ISNUMBER(Roster!$B327),Setup!$B$34="Yes",ISNUMBER(Setup!$C$34)),EDATE(Roster!$B327,12*Setup!$C$34),"")</f>
        <v/>
      </c>
      <c r="R327" t="str">
        <f>IF(B327="","",IF(B327&lt;Setup!$C$5-Setup!$C$6,"",IF(IF(ISNUMBER(Roster!$D327),Setup!$C$20&lt;=Roster!$D327,FALSE),"",IF(OR(IF(Setup!$C$15&lt;=Setup!$C$16,AND(MONTH(B327)&gt;=Setup!$C$15,MONTH(B327)&lt;=Setup!$C$16),OR(MONTH(B327)&gt;=Setup!$C$15,MONTH(B327)&lt;=Setup!$C$16)),IF(Setup!$C$15&lt;=Setup!$C$16,AND(MONTH(WORKDAY(B327,-(Setup!$C$13+Setup!$G$20),Setup!$C$39:$C$50))&gt;=Setup!$C$15,MONTH(WORKDAY(B327,-(Setup!$C$13+Setup!$G$20),Setup!$C$39:$C$50))&lt;=Setup!$C$16),OR(MONTH(WORKDAY(B327,-(Setup!$C$13+Setup!$G$20),Setup!$C$39:$C$50))&gt;=Setup!$C$15,MONTH(WORKDAY(B327,-(Setup!$C$13+Setup!$G$20),Setup!$C$39:$C$50))&lt;=Setup!$C$16))),WORKDAY(B327,-(Setup!$C$13+Setup!$G$20+Setup!$C$14),Setup!$C$39:$C$50),WORKDAY(B327,-(Setup!$C$13+Setup!$G$20),Setup!$C$39:$C$50))+(322*100+1)/10000000)))</f>
        <v/>
      </c>
      <c r="S327" t="str">
        <f>IF(C327="","",IF(C327&lt;Setup!$C$5-Setup!$C$6,"",IF(IF(ISNUMBER(Roster!$D327),Setup!$C$21&lt;=Roster!$D327,FALSE),"",IF(OR(IF(Setup!$C$15&lt;=Setup!$C$16,AND(MONTH(C327)&gt;=Setup!$C$15,MONTH(C327)&lt;=Setup!$C$16),OR(MONTH(C327)&gt;=Setup!$C$15,MONTH(C327)&lt;=Setup!$C$16)),IF(Setup!$C$15&lt;=Setup!$C$16,AND(MONTH(WORKDAY(C327,-(Setup!$C$13+Setup!$G$21),Setup!$C$39:$C$50))&gt;=Setup!$C$15,MONTH(WORKDAY(C327,-(Setup!$C$13+Setup!$G$21),Setup!$C$39:$C$50))&lt;=Setup!$C$16),OR(MONTH(WORKDAY(C327,-(Setup!$C$13+Setup!$G$21),Setup!$C$39:$C$50))&gt;=Setup!$C$15,MONTH(WORKDAY(C327,-(Setup!$C$13+Setup!$G$21),Setup!$C$39:$C$50))&lt;=Setup!$C$16))),WORKDAY(C327,-(Setup!$C$13+Setup!$G$21+Setup!$C$14),Setup!$C$39:$C$50),WORKDAY(C327,-(Setup!$C$13+Setup!$G$21),Setup!$C$39:$C$50))+(322*100+2)/10000000)))</f>
        <v/>
      </c>
      <c r="T327" t="str">
        <f>IF(D327="","",IF(D327&lt;Setup!$C$5-Setup!$C$6,"",IF(IF(ISNUMBER(Roster!$D327),Setup!$C$22&lt;=Roster!$D327,FALSE),"",IF(OR(IF(Setup!$C$15&lt;=Setup!$C$16,AND(MONTH(D327)&gt;=Setup!$C$15,MONTH(D327)&lt;=Setup!$C$16),OR(MONTH(D327)&gt;=Setup!$C$15,MONTH(D327)&lt;=Setup!$C$16)),IF(Setup!$C$15&lt;=Setup!$C$16,AND(MONTH(WORKDAY(D327,-(Setup!$C$13+Setup!$G$22),Setup!$C$39:$C$50))&gt;=Setup!$C$15,MONTH(WORKDAY(D327,-(Setup!$C$13+Setup!$G$22),Setup!$C$39:$C$50))&lt;=Setup!$C$16),OR(MONTH(WORKDAY(D327,-(Setup!$C$13+Setup!$G$22),Setup!$C$39:$C$50))&gt;=Setup!$C$15,MONTH(WORKDAY(D327,-(Setup!$C$13+Setup!$G$22),Setup!$C$39:$C$50))&lt;=Setup!$C$16))),WORKDAY(D327,-(Setup!$C$13+Setup!$G$22+Setup!$C$14),Setup!$C$39:$C$50),WORKDAY(D327,-(Setup!$C$13+Setup!$G$22),Setup!$C$39:$C$50))+(322*100+3)/10000000)))</f>
        <v/>
      </c>
      <c r="U327" t="str">
        <f>IF(E327="","",IF(E327&lt;Setup!$C$5-Setup!$C$6,"",IF(IF(ISNUMBER(Roster!$D327),Setup!$C$23&lt;=Roster!$D327,FALSE),"",IF(OR(IF(Setup!$C$15&lt;=Setup!$C$16,AND(MONTH(E327)&gt;=Setup!$C$15,MONTH(E327)&lt;=Setup!$C$16),OR(MONTH(E327)&gt;=Setup!$C$15,MONTH(E327)&lt;=Setup!$C$16)),IF(Setup!$C$15&lt;=Setup!$C$16,AND(MONTH(WORKDAY(E327,-(Setup!$C$13+Setup!$G$23),Setup!$C$39:$C$50))&gt;=Setup!$C$15,MONTH(WORKDAY(E327,-(Setup!$C$13+Setup!$G$23),Setup!$C$39:$C$50))&lt;=Setup!$C$16),OR(MONTH(WORKDAY(E327,-(Setup!$C$13+Setup!$G$23),Setup!$C$39:$C$50))&gt;=Setup!$C$15,MONTH(WORKDAY(E327,-(Setup!$C$13+Setup!$G$23),Setup!$C$39:$C$50))&lt;=Setup!$C$16))),WORKDAY(E327,-(Setup!$C$13+Setup!$G$23+Setup!$C$14),Setup!$C$39:$C$50),WORKDAY(E327,-(Setup!$C$13+Setup!$G$23),Setup!$C$39:$C$50))+(322*100+4)/10000000)))</f>
        <v/>
      </c>
      <c r="V327" t="str">
        <f>IF(F327="","",IF(F327&lt;Setup!$C$5-Setup!$C$6,"",IF(IF(ISNUMBER(Roster!$D327),Setup!$C$24&lt;=Roster!$D327,FALSE),"",IF(OR(IF(Setup!$C$15&lt;=Setup!$C$16,AND(MONTH(F327)&gt;=Setup!$C$15,MONTH(F327)&lt;=Setup!$C$16),OR(MONTH(F327)&gt;=Setup!$C$15,MONTH(F327)&lt;=Setup!$C$16)),IF(Setup!$C$15&lt;=Setup!$C$16,AND(MONTH(WORKDAY(F327,-(Setup!$C$13+Setup!$G$24),Setup!$C$39:$C$50))&gt;=Setup!$C$15,MONTH(WORKDAY(F327,-(Setup!$C$13+Setup!$G$24),Setup!$C$39:$C$50))&lt;=Setup!$C$16),OR(MONTH(WORKDAY(F327,-(Setup!$C$13+Setup!$G$24),Setup!$C$39:$C$50))&gt;=Setup!$C$15,MONTH(WORKDAY(F327,-(Setup!$C$13+Setup!$G$24),Setup!$C$39:$C$50))&lt;=Setup!$C$16))),WORKDAY(F327,-(Setup!$C$13+Setup!$G$24+Setup!$C$14),Setup!$C$39:$C$50),WORKDAY(F327,-(Setup!$C$13+Setup!$G$24),Setup!$C$39:$C$50))+(322*100+5)/10000000)))</f>
        <v/>
      </c>
      <c r="W327" t="str">
        <f>IF(G327="","",IF(G327&lt;Setup!$C$5-Setup!$C$6,"",IF(IF(ISNUMBER(Roster!$D327),Setup!$C$25&lt;=Roster!$D327,FALSE),"",IF(OR(IF(Setup!$C$15&lt;=Setup!$C$16,AND(MONTH(G327)&gt;=Setup!$C$15,MONTH(G327)&lt;=Setup!$C$16),OR(MONTH(G327)&gt;=Setup!$C$15,MONTH(G327)&lt;=Setup!$C$16)),IF(Setup!$C$15&lt;=Setup!$C$16,AND(MONTH(WORKDAY(G327,-(Setup!$C$13+Setup!$G$25),Setup!$C$39:$C$50))&gt;=Setup!$C$15,MONTH(WORKDAY(G327,-(Setup!$C$13+Setup!$G$25),Setup!$C$39:$C$50))&lt;=Setup!$C$16),OR(MONTH(WORKDAY(G327,-(Setup!$C$13+Setup!$G$25),Setup!$C$39:$C$50))&gt;=Setup!$C$15,MONTH(WORKDAY(G327,-(Setup!$C$13+Setup!$G$25),Setup!$C$39:$C$50))&lt;=Setup!$C$16))),WORKDAY(G327,-(Setup!$C$13+Setup!$G$25+Setup!$C$14),Setup!$C$39:$C$50),WORKDAY(G327,-(Setup!$C$13+Setup!$G$25),Setup!$C$39:$C$50))+(322*100+6)/10000000)))</f>
        <v/>
      </c>
      <c r="X327" t="str">
        <f>IF(H327="","",IF(H327&lt;Setup!$C$5-Setup!$C$6,"",IF(IF(ISNUMBER(Roster!$D327),Setup!$C$26&lt;=Roster!$D327,FALSE),"",IF(OR(IF(Setup!$C$15&lt;=Setup!$C$16,AND(MONTH(H327)&gt;=Setup!$C$15,MONTH(H327)&lt;=Setup!$C$16),OR(MONTH(H327)&gt;=Setup!$C$15,MONTH(H327)&lt;=Setup!$C$16)),IF(Setup!$C$15&lt;=Setup!$C$16,AND(MONTH(WORKDAY(H327,-(Setup!$C$13+Setup!$G$26),Setup!$C$39:$C$50))&gt;=Setup!$C$15,MONTH(WORKDAY(H327,-(Setup!$C$13+Setup!$G$26),Setup!$C$39:$C$50))&lt;=Setup!$C$16),OR(MONTH(WORKDAY(H327,-(Setup!$C$13+Setup!$G$26),Setup!$C$39:$C$50))&gt;=Setup!$C$15,MONTH(WORKDAY(H327,-(Setup!$C$13+Setup!$G$26),Setup!$C$39:$C$50))&lt;=Setup!$C$16))),WORKDAY(H327,-(Setup!$C$13+Setup!$G$26+Setup!$C$14),Setup!$C$39:$C$50),WORKDAY(H327,-(Setup!$C$13+Setup!$G$26),Setup!$C$39:$C$50))+(322*100+7)/10000000)))</f>
        <v/>
      </c>
      <c r="Y327" t="str">
        <f>IF(I327="","",IF(I327&lt;Setup!$C$5-Setup!$C$6,"",IF(IF(ISNUMBER(Roster!$D327),Setup!$C$27&lt;=Roster!$D327,FALSE),"",IF(OR(IF(Setup!$C$15&lt;=Setup!$C$16,AND(MONTH(I327)&gt;=Setup!$C$15,MONTH(I327)&lt;=Setup!$C$16),OR(MONTH(I327)&gt;=Setup!$C$15,MONTH(I327)&lt;=Setup!$C$16)),IF(Setup!$C$15&lt;=Setup!$C$16,AND(MONTH(WORKDAY(I327,-(Setup!$C$13+Setup!$G$27),Setup!$C$39:$C$50))&gt;=Setup!$C$15,MONTH(WORKDAY(I327,-(Setup!$C$13+Setup!$G$27),Setup!$C$39:$C$50))&lt;=Setup!$C$16),OR(MONTH(WORKDAY(I327,-(Setup!$C$13+Setup!$G$27),Setup!$C$39:$C$50))&gt;=Setup!$C$15,MONTH(WORKDAY(I327,-(Setup!$C$13+Setup!$G$27),Setup!$C$39:$C$50))&lt;=Setup!$C$16))),WORKDAY(I327,-(Setup!$C$13+Setup!$G$27+Setup!$C$14),Setup!$C$39:$C$50),WORKDAY(I327,-(Setup!$C$13+Setup!$G$27),Setup!$C$39:$C$50))+(322*100+8)/10000000)))</f>
        <v/>
      </c>
      <c r="Z327" t="str">
        <f>IF(J327="","",IF(J327&lt;Setup!$C$5-Setup!$C$6,"",IF(IF(ISNUMBER(Roster!$D327),Setup!$C$28&lt;=Roster!$D327,FALSE),"",IF(OR(IF(Setup!$C$15&lt;=Setup!$C$16,AND(MONTH(J327)&gt;=Setup!$C$15,MONTH(J327)&lt;=Setup!$C$16),OR(MONTH(J327)&gt;=Setup!$C$15,MONTH(J327)&lt;=Setup!$C$16)),IF(Setup!$C$15&lt;=Setup!$C$16,AND(MONTH(WORKDAY(J327,-(Setup!$C$13+Setup!$G$28),Setup!$C$39:$C$50))&gt;=Setup!$C$15,MONTH(WORKDAY(J327,-(Setup!$C$13+Setup!$G$28),Setup!$C$39:$C$50))&lt;=Setup!$C$16),OR(MONTH(WORKDAY(J327,-(Setup!$C$13+Setup!$G$28),Setup!$C$39:$C$50))&gt;=Setup!$C$15,MONTH(WORKDAY(J327,-(Setup!$C$13+Setup!$G$28),Setup!$C$39:$C$50))&lt;=Setup!$C$16))),WORKDAY(J327,-(Setup!$C$13+Setup!$G$28+Setup!$C$14),Setup!$C$39:$C$50),WORKDAY(J327,-(Setup!$C$13+Setup!$G$28),Setup!$C$39:$C$50))+(322*100+9)/10000000)))</f>
        <v/>
      </c>
      <c r="AA327" t="str">
        <f>IF(K327="","",IF(K327&lt;Setup!$C$5-Setup!$C$6,"",IF(IF(ISNUMBER(Roster!$D327),Setup!$C$29&lt;=Roster!$D327,FALSE),"",IF(OR(IF(Setup!$C$15&lt;=Setup!$C$16,AND(MONTH(K327)&gt;=Setup!$C$15,MONTH(K327)&lt;=Setup!$C$16),OR(MONTH(K327)&gt;=Setup!$C$15,MONTH(K327)&lt;=Setup!$C$16)),IF(Setup!$C$15&lt;=Setup!$C$16,AND(MONTH(WORKDAY(K327,-(Setup!$C$13+Setup!$G$29),Setup!$C$39:$C$50))&gt;=Setup!$C$15,MONTH(WORKDAY(K327,-(Setup!$C$13+Setup!$G$29),Setup!$C$39:$C$50))&lt;=Setup!$C$16),OR(MONTH(WORKDAY(K327,-(Setup!$C$13+Setup!$G$29),Setup!$C$39:$C$50))&gt;=Setup!$C$15,MONTH(WORKDAY(K327,-(Setup!$C$13+Setup!$G$29),Setup!$C$39:$C$50))&lt;=Setup!$C$16))),WORKDAY(K327,-(Setup!$C$13+Setup!$G$29+Setup!$C$14),Setup!$C$39:$C$50),WORKDAY(K327,-(Setup!$C$13+Setup!$G$29),Setup!$C$39:$C$50))+(322*100+10)/10000000)))</f>
        <v/>
      </c>
      <c r="AB327" t="str">
        <f>IF(L327="","",IF(L327&lt;Setup!$C$5-Setup!$C$6,"",IF(IF(ISNUMBER(Roster!$D327),Setup!$C$30&lt;=Roster!$D327,FALSE),"",IF(OR(IF(Setup!$C$15&lt;=Setup!$C$16,AND(MONTH(L327)&gt;=Setup!$C$15,MONTH(L327)&lt;=Setup!$C$16),OR(MONTH(L327)&gt;=Setup!$C$15,MONTH(L327)&lt;=Setup!$C$16)),IF(Setup!$C$15&lt;=Setup!$C$16,AND(MONTH(WORKDAY(L327,-(Setup!$C$13+Setup!$G$30),Setup!$C$39:$C$50))&gt;=Setup!$C$15,MONTH(WORKDAY(L327,-(Setup!$C$13+Setup!$G$30),Setup!$C$39:$C$50))&lt;=Setup!$C$16),OR(MONTH(WORKDAY(L327,-(Setup!$C$13+Setup!$G$30),Setup!$C$39:$C$50))&gt;=Setup!$C$15,MONTH(WORKDAY(L327,-(Setup!$C$13+Setup!$G$30),Setup!$C$39:$C$50))&lt;=Setup!$C$16))),WORKDAY(L327,-(Setup!$C$13+Setup!$G$30+Setup!$C$14),Setup!$C$39:$C$50),WORKDAY(L327,-(Setup!$C$13+Setup!$G$30),Setup!$C$39:$C$50))+(322*100+11)/10000000)))</f>
        <v/>
      </c>
      <c r="AC327" t="str">
        <f>IF(M327="","",IF(M327&lt;Setup!$C$5-Setup!$C$6,"",IF(IF(ISNUMBER(Roster!$D327),Setup!$C$31&lt;=Roster!$D327,FALSE),"",IF(OR(IF(Setup!$C$15&lt;=Setup!$C$16,AND(MONTH(M327)&gt;=Setup!$C$15,MONTH(M327)&lt;=Setup!$C$16),OR(MONTH(M327)&gt;=Setup!$C$15,MONTH(M327)&lt;=Setup!$C$16)),IF(Setup!$C$15&lt;=Setup!$C$16,AND(MONTH(WORKDAY(M327,-(Setup!$C$13+Setup!$G$31),Setup!$C$39:$C$50))&gt;=Setup!$C$15,MONTH(WORKDAY(M327,-(Setup!$C$13+Setup!$G$31),Setup!$C$39:$C$50))&lt;=Setup!$C$16),OR(MONTH(WORKDAY(M327,-(Setup!$C$13+Setup!$G$31),Setup!$C$39:$C$50))&gt;=Setup!$C$15,MONTH(WORKDAY(M327,-(Setup!$C$13+Setup!$G$31),Setup!$C$39:$C$50))&lt;=Setup!$C$16))),WORKDAY(M327,-(Setup!$C$13+Setup!$G$31+Setup!$C$14),Setup!$C$39:$C$50),WORKDAY(M327,-(Setup!$C$13+Setup!$G$31),Setup!$C$39:$C$50))+(322*100+12)/10000000)))</f>
        <v/>
      </c>
      <c r="AD327" t="str">
        <f>IF(N327="","",IF(N327&lt;Setup!$C$5-Setup!$C$6,"",IF(IF(ISNUMBER(Roster!$D327),Setup!$C$32&lt;=Roster!$D327,FALSE),"",IF(OR(IF(Setup!$C$15&lt;=Setup!$C$16,AND(MONTH(N327)&gt;=Setup!$C$15,MONTH(N327)&lt;=Setup!$C$16),OR(MONTH(N327)&gt;=Setup!$C$15,MONTH(N327)&lt;=Setup!$C$16)),IF(Setup!$C$15&lt;=Setup!$C$16,AND(MONTH(WORKDAY(N327,-(Setup!$C$13+Setup!$G$32),Setup!$C$39:$C$50))&gt;=Setup!$C$15,MONTH(WORKDAY(N327,-(Setup!$C$13+Setup!$G$32),Setup!$C$39:$C$50))&lt;=Setup!$C$16),OR(MONTH(WORKDAY(N327,-(Setup!$C$13+Setup!$G$32),Setup!$C$39:$C$50))&gt;=Setup!$C$15,MONTH(WORKDAY(N327,-(Setup!$C$13+Setup!$G$32),Setup!$C$39:$C$50))&lt;=Setup!$C$16))),WORKDAY(N327,-(Setup!$C$13+Setup!$G$32+Setup!$C$14),Setup!$C$39:$C$50),WORKDAY(N327,-(Setup!$C$13+Setup!$G$32),Setup!$C$39:$C$50))+(322*100+13)/10000000)))</f>
        <v/>
      </c>
      <c r="AE327" t="str">
        <f>IF(O327="","",IF(O327&lt;Setup!$C$5-Setup!$C$6,"",IF(IF(ISNUMBER(Roster!$D327),Setup!$C$33&lt;=Roster!$D327,FALSE),"",IF(OR(IF(Setup!$C$15&lt;=Setup!$C$16,AND(MONTH(O327)&gt;=Setup!$C$15,MONTH(O327)&lt;=Setup!$C$16),OR(MONTH(O327)&gt;=Setup!$C$15,MONTH(O327)&lt;=Setup!$C$16)),IF(Setup!$C$15&lt;=Setup!$C$16,AND(MONTH(WORKDAY(O327,-(Setup!$C$13+Setup!$G$33),Setup!$C$39:$C$50))&gt;=Setup!$C$15,MONTH(WORKDAY(O327,-(Setup!$C$13+Setup!$G$33),Setup!$C$39:$C$50))&lt;=Setup!$C$16),OR(MONTH(WORKDAY(O327,-(Setup!$C$13+Setup!$G$33),Setup!$C$39:$C$50))&gt;=Setup!$C$15,MONTH(WORKDAY(O327,-(Setup!$C$13+Setup!$G$33),Setup!$C$39:$C$50))&lt;=Setup!$C$16))),WORKDAY(O327,-(Setup!$C$13+Setup!$G$33+Setup!$C$14),Setup!$C$39:$C$50),WORKDAY(O327,-(Setup!$C$13+Setup!$G$33),Setup!$C$39:$C$50))+(322*100+14)/10000000)))</f>
        <v/>
      </c>
      <c r="AF327" t="str">
        <f>IF(P327="","",IF(P327&lt;Setup!$C$5-Setup!$C$6,"",IF(IF(ISNUMBER(Roster!$D327),Setup!$C$34&lt;=Roster!$D327,FALSE),"",IF(OR(IF(Setup!$C$15&lt;=Setup!$C$16,AND(MONTH(P327)&gt;=Setup!$C$15,MONTH(P327)&lt;=Setup!$C$16),OR(MONTH(P327)&gt;=Setup!$C$15,MONTH(P327)&lt;=Setup!$C$16)),IF(Setup!$C$15&lt;=Setup!$C$16,AND(MONTH(WORKDAY(P327,-(Setup!$C$13+Setup!$G$34),Setup!$C$39:$C$50))&gt;=Setup!$C$15,MONTH(WORKDAY(P327,-(Setup!$C$13+Setup!$G$34),Setup!$C$39:$C$50))&lt;=Setup!$C$16),OR(MONTH(WORKDAY(P327,-(Setup!$C$13+Setup!$G$34),Setup!$C$39:$C$50))&gt;=Setup!$C$15,MONTH(WORKDAY(P327,-(Setup!$C$13+Setup!$G$34),Setup!$C$39:$C$50))&lt;=Setup!$C$16))),WORKDAY(P327,-(Setup!$C$13+Setup!$G$34+Setup!$C$14),Setup!$C$39:$C$50),WORKDAY(P327,-(Setup!$C$13+Setup!$G$34),Setup!$C$39:$C$50))+(322*100+15)/10000000)))</f>
        <v/>
      </c>
      <c r="AH327" t="str">
        <f t="shared" si="41"/>
        <v/>
      </c>
      <c r="AI327" t="str">
        <f t="shared" si="42"/>
        <v/>
      </c>
      <c r="AP327" t="str">
        <f>IF(ISNUMBER(Roster!$B327),MAX(1,YEAR(Setup!$C$5)-YEAR(Roster!$B327)+IF(EDATE(Roster!$B327,12*(YEAR(Setup!$C$5)-YEAR(Roster!$B327)))&lt;Setup!$C$5,1,0)),"")</f>
        <v/>
      </c>
      <c r="AQ327" s="32" t="str">
        <f>IF(AP327="","",EDATE(Roster!$B327,12*AP327))</f>
        <v/>
      </c>
      <c r="AR327" t="str">
        <f>IF(AQ327="","",IF(AQ327&lt;DATE(YEAR(Setup!$C$5)+1,MONTH(Setup!$C$5),DAY(Setup!$C$5)),AQ327+322/1000,""))</f>
        <v/>
      </c>
      <c r="AS327" t="str">
        <f t="shared" si="43"/>
        <v/>
      </c>
      <c r="AT327" t="str">
        <f>IF(AS327="","",IF(ISNUMBER(Roster!$D327),Roster!$D327&gt;=AP327,FALSE))</f>
        <v/>
      </c>
      <c r="AU327" t="str">
        <f t="shared" si="44"/>
        <v/>
      </c>
      <c r="AV327" t="str">
        <f ca="1">IF(322&gt;$AV$2,"",SMALL($AR$6:$AR$505,322))</f>
        <v/>
      </c>
      <c r="AW327" t="str">
        <f t="shared" ca="1" si="45"/>
        <v/>
      </c>
    </row>
    <row r="328" spans="2:49" x14ac:dyDescent="0.2">
      <c r="B328" s="32" t="str">
        <f>IF(AND(ISNUMBER(Roster!$B328),Setup!$B$20="Yes",ISNUMBER(Setup!$C$20)),EDATE(Roster!$B328,12*Setup!$C$20),"")</f>
        <v/>
      </c>
      <c r="C328" s="32" t="str">
        <f>IF(AND(ISNUMBER(Roster!$B328),Setup!$B$21="Yes",ISNUMBER(Setup!$C$21)),EDATE(Roster!$B328,12*Setup!$C$21),"")</f>
        <v/>
      </c>
      <c r="D328" s="32" t="str">
        <f>IF(AND(ISNUMBER(Roster!$B328),Setup!$B$22="Yes",ISNUMBER(Setup!$C$22)),EDATE(Roster!$B328,12*Setup!$C$22),"")</f>
        <v/>
      </c>
      <c r="E328" s="32" t="str">
        <f>IF(AND(ISNUMBER(Roster!$B328),Setup!$B$23="Yes",ISNUMBER(Setup!$C$23)),EDATE(Roster!$B328,12*Setup!$C$23),"")</f>
        <v/>
      </c>
      <c r="F328" s="32" t="str">
        <f>IF(AND(ISNUMBER(Roster!$B328),Setup!$B$24="Yes",ISNUMBER(Setup!$C$24)),EDATE(Roster!$B328,12*Setup!$C$24),"")</f>
        <v/>
      </c>
      <c r="G328" s="32" t="str">
        <f>IF(AND(ISNUMBER(Roster!$B328),Setup!$B$25="Yes",ISNUMBER(Setup!$C$25)),EDATE(Roster!$B328,12*Setup!$C$25),"")</f>
        <v/>
      </c>
      <c r="H328" s="32" t="str">
        <f>IF(AND(ISNUMBER(Roster!$B328),Setup!$B$26="Yes",ISNUMBER(Setup!$C$26)),EDATE(Roster!$B328,12*Setup!$C$26),"")</f>
        <v/>
      </c>
      <c r="I328" s="32" t="str">
        <f>IF(AND(ISNUMBER(Roster!$B328),Setup!$B$27="Yes",ISNUMBER(Setup!$C$27)),EDATE(Roster!$B328,12*Setup!$C$27),"")</f>
        <v/>
      </c>
      <c r="J328" s="32" t="str">
        <f>IF(AND(ISNUMBER(Roster!$B328),Setup!$B$28="Yes",ISNUMBER(Setup!$C$28)),EDATE(Roster!$B328,12*Setup!$C$28),"")</f>
        <v/>
      </c>
      <c r="K328" s="32" t="str">
        <f>IF(AND(ISNUMBER(Roster!$B328),Setup!$B$29="Yes",ISNUMBER(Setup!$C$29)),EDATE(Roster!$B328,12*Setup!$C$29),"")</f>
        <v/>
      </c>
      <c r="L328" s="32" t="str">
        <f>IF(AND(ISNUMBER(Roster!$B328),Setup!$B$30="Yes",ISNUMBER(Setup!$C$30)),EDATE(Roster!$B328,12*Setup!$C$30),"")</f>
        <v/>
      </c>
      <c r="M328" s="32" t="str">
        <f>IF(AND(ISNUMBER(Roster!$B328),Setup!$B$31="Yes",ISNUMBER(Setup!$C$31)),EDATE(Roster!$B328,12*Setup!$C$31),"")</f>
        <v/>
      </c>
      <c r="N328" s="32" t="str">
        <f>IF(AND(ISNUMBER(Roster!$B328),Setup!$B$32="Yes",ISNUMBER(Setup!$C$32)),EDATE(Roster!$B328,12*Setup!$C$32),"")</f>
        <v/>
      </c>
      <c r="O328" s="32" t="str">
        <f>IF(AND(ISNUMBER(Roster!$B328),Setup!$B$33="Yes",ISNUMBER(Setup!$C$33)),EDATE(Roster!$B328,12*Setup!$C$33),"")</f>
        <v/>
      </c>
      <c r="P328" s="32" t="str">
        <f>IF(AND(ISNUMBER(Roster!$B328),Setup!$B$34="Yes",ISNUMBER(Setup!$C$34)),EDATE(Roster!$B328,12*Setup!$C$34),"")</f>
        <v/>
      </c>
      <c r="R328" t="str">
        <f>IF(B328="","",IF(B328&lt;Setup!$C$5-Setup!$C$6,"",IF(IF(ISNUMBER(Roster!$D328),Setup!$C$20&lt;=Roster!$D328,FALSE),"",IF(OR(IF(Setup!$C$15&lt;=Setup!$C$16,AND(MONTH(B328)&gt;=Setup!$C$15,MONTH(B328)&lt;=Setup!$C$16),OR(MONTH(B328)&gt;=Setup!$C$15,MONTH(B328)&lt;=Setup!$C$16)),IF(Setup!$C$15&lt;=Setup!$C$16,AND(MONTH(WORKDAY(B328,-(Setup!$C$13+Setup!$G$20),Setup!$C$39:$C$50))&gt;=Setup!$C$15,MONTH(WORKDAY(B328,-(Setup!$C$13+Setup!$G$20),Setup!$C$39:$C$50))&lt;=Setup!$C$16),OR(MONTH(WORKDAY(B328,-(Setup!$C$13+Setup!$G$20),Setup!$C$39:$C$50))&gt;=Setup!$C$15,MONTH(WORKDAY(B328,-(Setup!$C$13+Setup!$G$20),Setup!$C$39:$C$50))&lt;=Setup!$C$16))),WORKDAY(B328,-(Setup!$C$13+Setup!$G$20+Setup!$C$14),Setup!$C$39:$C$50),WORKDAY(B328,-(Setup!$C$13+Setup!$G$20),Setup!$C$39:$C$50))+(323*100+1)/10000000)))</f>
        <v/>
      </c>
      <c r="S328" t="str">
        <f>IF(C328="","",IF(C328&lt;Setup!$C$5-Setup!$C$6,"",IF(IF(ISNUMBER(Roster!$D328),Setup!$C$21&lt;=Roster!$D328,FALSE),"",IF(OR(IF(Setup!$C$15&lt;=Setup!$C$16,AND(MONTH(C328)&gt;=Setup!$C$15,MONTH(C328)&lt;=Setup!$C$16),OR(MONTH(C328)&gt;=Setup!$C$15,MONTH(C328)&lt;=Setup!$C$16)),IF(Setup!$C$15&lt;=Setup!$C$16,AND(MONTH(WORKDAY(C328,-(Setup!$C$13+Setup!$G$21),Setup!$C$39:$C$50))&gt;=Setup!$C$15,MONTH(WORKDAY(C328,-(Setup!$C$13+Setup!$G$21),Setup!$C$39:$C$50))&lt;=Setup!$C$16),OR(MONTH(WORKDAY(C328,-(Setup!$C$13+Setup!$G$21),Setup!$C$39:$C$50))&gt;=Setup!$C$15,MONTH(WORKDAY(C328,-(Setup!$C$13+Setup!$G$21),Setup!$C$39:$C$50))&lt;=Setup!$C$16))),WORKDAY(C328,-(Setup!$C$13+Setup!$G$21+Setup!$C$14),Setup!$C$39:$C$50),WORKDAY(C328,-(Setup!$C$13+Setup!$G$21),Setup!$C$39:$C$50))+(323*100+2)/10000000)))</f>
        <v/>
      </c>
      <c r="T328" t="str">
        <f>IF(D328="","",IF(D328&lt;Setup!$C$5-Setup!$C$6,"",IF(IF(ISNUMBER(Roster!$D328),Setup!$C$22&lt;=Roster!$D328,FALSE),"",IF(OR(IF(Setup!$C$15&lt;=Setup!$C$16,AND(MONTH(D328)&gt;=Setup!$C$15,MONTH(D328)&lt;=Setup!$C$16),OR(MONTH(D328)&gt;=Setup!$C$15,MONTH(D328)&lt;=Setup!$C$16)),IF(Setup!$C$15&lt;=Setup!$C$16,AND(MONTH(WORKDAY(D328,-(Setup!$C$13+Setup!$G$22),Setup!$C$39:$C$50))&gt;=Setup!$C$15,MONTH(WORKDAY(D328,-(Setup!$C$13+Setup!$G$22),Setup!$C$39:$C$50))&lt;=Setup!$C$16),OR(MONTH(WORKDAY(D328,-(Setup!$C$13+Setup!$G$22),Setup!$C$39:$C$50))&gt;=Setup!$C$15,MONTH(WORKDAY(D328,-(Setup!$C$13+Setup!$G$22),Setup!$C$39:$C$50))&lt;=Setup!$C$16))),WORKDAY(D328,-(Setup!$C$13+Setup!$G$22+Setup!$C$14),Setup!$C$39:$C$50),WORKDAY(D328,-(Setup!$C$13+Setup!$G$22),Setup!$C$39:$C$50))+(323*100+3)/10000000)))</f>
        <v/>
      </c>
      <c r="U328" t="str">
        <f>IF(E328="","",IF(E328&lt;Setup!$C$5-Setup!$C$6,"",IF(IF(ISNUMBER(Roster!$D328),Setup!$C$23&lt;=Roster!$D328,FALSE),"",IF(OR(IF(Setup!$C$15&lt;=Setup!$C$16,AND(MONTH(E328)&gt;=Setup!$C$15,MONTH(E328)&lt;=Setup!$C$16),OR(MONTH(E328)&gt;=Setup!$C$15,MONTH(E328)&lt;=Setup!$C$16)),IF(Setup!$C$15&lt;=Setup!$C$16,AND(MONTH(WORKDAY(E328,-(Setup!$C$13+Setup!$G$23),Setup!$C$39:$C$50))&gt;=Setup!$C$15,MONTH(WORKDAY(E328,-(Setup!$C$13+Setup!$G$23),Setup!$C$39:$C$50))&lt;=Setup!$C$16),OR(MONTH(WORKDAY(E328,-(Setup!$C$13+Setup!$G$23),Setup!$C$39:$C$50))&gt;=Setup!$C$15,MONTH(WORKDAY(E328,-(Setup!$C$13+Setup!$G$23),Setup!$C$39:$C$50))&lt;=Setup!$C$16))),WORKDAY(E328,-(Setup!$C$13+Setup!$G$23+Setup!$C$14),Setup!$C$39:$C$50),WORKDAY(E328,-(Setup!$C$13+Setup!$G$23),Setup!$C$39:$C$50))+(323*100+4)/10000000)))</f>
        <v/>
      </c>
      <c r="V328" t="str">
        <f>IF(F328="","",IF(F328&lt;Setup!$C$5-Setup!$C$6,"",IF(IF(ISNUMBER(Roster!$D328),Setup!$C$24&lt;=Roster!$D328,FALSE),"",IF(OR(IF(Setup!$C$15&lt;=Setup!$C$16,AND(MONTH(F328)&gt;=Setup!$C$15,MONTH(F328)&lt;=Setup!$C$16),OR(MONTH(F328)&gt;=Setup!$C$15,MONTH(F328)&lt;=Setup!$C$16)),IF(Setup!$C$15&lt;=Setup!$C$16,AND(MONTH(WORKDAY(F328,-(Setup!$C$13+Setup!$G$24),Setup!$C$39:$C$50))&gt;=Setup!$C$15,MONTH(WORKDAY(F328,-(Setup!$C$13+Setup!$G$24),Setup!$C$39:$C$50))&lt;=Setup!$C$16),OR(MONTH(WORKDAY(F328,-(Setup!$C$13+Setup!$G$24),Setup!$C$39:$C$50))&gt;=Setup!$C$15,MONTH(WORKDAY(F328,-(Setup!$C$13+Setup!$G$24),Setup!$C$39:$C$50))&lt;=Setup!$C$16))),WORKDAY(F328,-(Setup!$C$13+Setup!$G$24+Setup!$C$14),Setup!$C$39:$C$50),WORKDAY(F328,-(Setup!$C$13+Setup!$G$24),Setup!$C$39:$C$50))+(323*100+5)/10000000)))</f>
        <v/>
      </c>
      <c r="W328" t="str">
        <f>IF(G328="","",IF(G328&lt;Setup!$C$5-Setup!$C$6,"",IF(IF(ISNUMBER(Roster!$D328),Setup!$C$25&lt;=Roster!$D328,FALSE),"",IF(OR(IF(Setup!$C$15&lt;=Setup!$C$16,AND(MONTH(G328)&gt;=Setup!$C$15,MONTH(G328)&lt;=Setup!$C$16),OR(MONTH(G328)&gt;=Setup!$C$15,MONTH(G328)&lt;=Setup!$C$16)),IF(Setup!$C$15&lt;=Setup!$C$16,AND(MONTH(WORKDAY(G328,-(Setup!$C$13+Setup!$G$25),Setup!$C$39:$C$50))&gt;=Setup!$C$15,MONTH(WORKDAY(G328,-(Setup!$C$13+Setup!$G$25),Setup!$C$39:$C$50))&lt;=Setup!$C$16),OR(MONTH(WORKDAY(G328,-(Setup!$C$13+Setup!$G$25),Setup!$C$39:$C$50))&gt;=Setup!$C$15,MONTH(WORKDAY(G328,-(Setup!$C$13+Setup!$G$25),Setup!$C$39:$C$50))&lt;=Setup!$C$16))),WORKDAY(G328,-(Setup!$C$13+Setup!$G$25+Setup!$C$14),Setup!$C$39:$C$50),WORKDAY(G328,-(Setup!$C$13+Setup!$G$25),Setup!$C$39:$C$50))+(323*100+6)/10000000)))</f>
        <v/>
      </c>
      <c r="X328" t="str">
        <f>IF(H328="","",IF(H328&lt;Setup!$C$5-Setup!$C$6,"",IF(IF(ISNUMBER(Roster!$D328),Setup!$C$26&lt;=Roster!$D328,FALSE),"",IF(OR(IF(Setup!$C$15&lt;=Setup!$C$16,AND(MONTH(H328)&gt;=Setup!$C$15,MONTH(H328)&lt;=Setup!$C$16),OR(MONTH(H328)&gt;=Setup!$C$15,MONTH(H328)&lt;=Setup!$C$16)),IF(Setup!$C$15&lt;=Setup!$C$16,AND(MONTH(WORKDAY(H328,-(Setup!$C$13+Setup!$G$26),Setup!$C$39:$C$50))&gt;=Setup!$C$15,MONTH(WORKDAY(H328,-(Setup!$C$13+Setup!$G$26),Setup!$C$39:$C$50))&lt;=Setup!$C$16),OR(MONTH(WORKDAY(H328,-(Setup!$C$13+Setup!$G$26),Setup!$C$39:$C$50))&gt;=Setup!$C$15,MONTH(WORKDAY(H328,-(Setup!$C$13+Setup!$G$26),Setup!$C$39:$C$50))&lt;=Setup!$C$16))),WORKDAY(H328,-(Setup!$C$13+Setup!$G$26+Setup!$C$14),Setup!$C$39:$C$50),WORKDAY(H328,-(Setup!$C$13+Setup!$G$26),Setup!$C$39:$C$50))+(323*100+7)/10000000)))</f>
        <v/>
      </c>
      <c r="Y328" t="str">
        <f>IF(I328="","",IF(I328&lt;Setup!$C$5-Setup!$C$6,"",IF(IF(ISNUMBER(Roster!$D328),Setup!$C$27&lt;=Roster!$D328,FALSE),"",IF(OR(IF(Setup!$C$15&lt;=Setup!$C$16,AND(MONTH(I328)&gt;=Setup!$C$15,MONTH(I328)&lt;=Setup!$C$16),OR(MONTH(I328)&gt;=Setup!$C$15,MONTH(I328)&lt;=Setup!$C$16)),IF(Setup!$C$15&lt;=Setup!$C$16,AND(MONTH(WORKDAY(I328,-(Setup!$C$13+Setup!$G$27),Setup!$C$39:$C$50))&gt;=Setup!$C$15,MONTH(WORKDAY(I328,-(Setup!$C$13+Setup!$G$27),Setup!$C$39:$C$50))&lt;=Setup!$C$16),OR(MONTH(WORKDAY(I328,-(Setup!$C$13+Setup!$G$27),Setup!$C$39:$C$50))&gt;=Setup!$C$15,MONTH(WORKDAY(I328,-(Setup!$C$13+Setup!$G$27),Setup!$C$39:$C$50))&lt;=Setup!$C$16))),WORKDAY(I328,-(Setup!$C$13+Setup!$G$27+Setup!$C$14),Setup!$C$39:$C$50),WORKDAY(I328,-(Setup!$C$13+Setup!$G$27),Setup!$C$39:$C$50))+(323*100+8)/10000000)))</f>
        <v/>
      </c>
      <c r="Z328" t="str">
        <f>IF(J328="","",IF(J328&lt;Setup!$C$5-Setup!$C$6,"",IF(IF(ISNUMBER(Roster!$D328),Setup!$C$28&lt;=Roster!$D328,FALSE),"",IF(OR(IF(Setup!$C$15&lt;=Setup!$C$16,AND(MONTH(J328)&gt;=Setup!$C$15,MONTH(J328)&lt;=Setup!$C$16),OR(MONTH(J328)&gt;=Setup!$C$15,MONTH(J328)&lt;=Setup!$C$16)),IF(Setup!$C$15&lt;=Setup!$C$16,AND(MONTH(WORKDAY(J328,-(Setup!$C$13+Setup!$G$28),Setup!$C$39:$C$50))&gt;=Setup!$C$15,MONTH(WORKDAY(J328,-(Setup!$C$13+Setup!$G$28),Setup!$C$39:$C$50))&lt;=Setup!$C$16),OR(MONTH(WORKDAY(J328,-(Setup!$C$13+Setup!$G$28),Setup!$C$39:$C$50))&gt;=Setup!$C$15,MONTH(WORKDAY(J328,-(Setup!$C$13+Setup!$G$28),Setup!$C$39:$C$50))&lt;=Setup!$C$16))),WORKDAY(J328,-(Setup!$C$13+Setup!$G$28+Setup!$C$14),Setup!$C$39:$C$50),WORKDAY(J328,-(Setup!$C$13+Setup!$G$28),Setup!$C$39:$C$50))+(323*100+9)/10000000)))</f>
        <v/>
      </c>
      <c r="AA328" t="str">
        <f>IF(K328="","",IF(K328&lt;Setup!$C$5-Setup!$C$6,"",IF(IF(ISNUMBER(Roster!$D328),Setup!$C$29&lt;=Roster!$D328,FALSE),"",IF(OR(IF(Setup!$C$15&lt;=Setup!$C$16,AND(MONTH(K328)&gt;=Setup!$C$15,MONTH(K328)&lt;=Setup!$C$16),OR(MONTH(K328)&gt;=Setup!$C$15,MONTH(K328)&lt;=Setup!$C$16)),IF(Setup!$C$15&lt;=Setup!$C$16,AND(MONTH(WORKDAY(K328,-(Setup!$C$13+Setup!$G$29),Setup!$C$39:$C$50))&gt;=Setup!$C$15,MONTH(WORKDAY(K328,-(Setup!$C$13+Setup!$G$29),Setup!$C$39:$C$50))&lt;=Setup!$C$16),OR(MONTH(WORKDAY(K328,-(Setup!$C$13+Setup!$G$29),Setup!$C$39:$C$50))&gt;=Setup!$C$15,MONTH(WORKDAY(K328,-(Setup!$C$13+Setup!$G$29),Setup!$C$39:$C$50))&lt;=Setup!$C$16))),WORKDAY(K328,-(Setup!$C$13+Setup!$G$29+Setup!$C$14),Setup!$C$39:$C$50),WORKDAY(K328,-(Setup!$C$13+Setup!$G$29),Setup!$C$39:$C$50))+(323*100+10)/10000000)))</f>
        <v/>
      </c>
      <c r="AB328" t="str">
        <f>IF(L328="","",IF(L328&lt;Setup!$C$5-Setup!$C$6,"",IF(IF(ISNUMBER(Roster!$D328),Setup!$C$30&lt;=Roster!$D328,FALSE),"",IF(OR(IF(Setup!$C$15&lt;=Setup!$C$16,AND(MONTH(L328)&gt;=Setup!$C$15,MONTH(L328)&lt;=Setup!$C$16),OR(MONTH(L328)&gt;=Setup!$C$15,MONTH(L328)&lt;=Setup!$C$16)),IF(Setup!$C$15&lt;=Setup!$C$16,AND(MONTH(WORKDAY(L328,-(Setup!$C$13+Setup!$G$30),Setup!$C$39:$C$50))&gt;=Setup!$C$15,MONTH(WORKDAY(L328,-(Setup!$C$13+Setup!$G$30),Setup!$C$39:$C$50))&lt;=Setup!$C$16),OR(MONTH(WORKDAY(L328,-(Setup!$C$13+Setup!$G$30),Setup!$C$39:$C$50))&gt;=Setup!$C$15,MONTH(WORKDAY(L328,-(Setup!$C$13+Setup!$G$30),Setup!$C$39:$C$50))&lt;=Setup!$C$16))),WORKDAY(L328,-(Setup!$C$13+Setup!$G$30+Setup!$C$14),Setup!$C$39:$C$50),WORKDAY(L328,-(Setup!$C$13+Setup!$G$30),Setup!$C$39:$C$50))+(323*100+11)/10000000)))</f>
        <v/>
      </c>
      <c r="AC328" t="str">
        <f>IF(M328="","",IF(M328&lt;Setup!$C$5-Setup!$C$6,"",IF(IF(ISNUMBER(Roster!$D328),Setup!$C$31&lt;=Roster!$D328,FALSE),"",IF(OR(IF(Setup!$C$15&lt;=Setup!$C$16,AND(MONTH(M328)&gt;=Setup!$C$15,MONTH(M328)&lt;=Setup!$C$16),OR(MONTH(M328)&gt;=Setup!$C$15,MONTH(M328)&lt;=Setup!$C$16)),IF(Setup!$C$15&lt;=Setup!$C$16,AND(MONTH(WORKDAY(M328,-(Setup!$C$13+Setup!$G$31),Setup!$C$39:$C$50))&gt;=Setup!$C$15,MONTH(WORKDAY(M328,-(Setup!$C$13+Setup!$G$31),Setup!$C$39:$C$50))&lt;=Setup!$C$16),OR(MONTH(WORKDAY(M328,-(Setup!$C$13+Setup!$G$31),Setup!$C$39:$C$50))&gt;=Setup!$C$15,MONTH(WORKDAY(M328,-(Setup!$C$13+Setup!$G$31),Setup!$C$39:$C$50))&lt;=Setup!$C$16))),WORKDAY(M328,-(Setup!$C$13+Setup!$G$31+Setup!$C$14),Setup!$C$39:$C$50),WORKDAY(M328,-(Setup!$C$13+Setup!$G$31),Setup!$C$39:$C$50))+(323*100+12)/10000000)))</f>
        <v/>
      </c>
      <c r="AD328" t="str">
        <f>IF(N328="","",IF(N328&lt;Setup!$C$5-Setup!$C$6,"",IF(IF(ISNUMBER(Roster!$D328),Setup!$C$32&lt;=Roster!$D328,FALSE),"",IF(OR(IF(Setup!$C$15&lt;=Setup!$C$16,AND(MONTH(N328)&gt;=Setup!$C$15,MONTH(N328)&lt;=Setup!$C$16),OR(MONTH(N328)&gt;=Setup!$C$15,MONTH(N328)&lt;=Setup!$C$16)),IF(Setup!$C$15&lt;=Setup!$C$16,AND(MONTH(WORKDAY(N328,-(Setup!$C$13+Setup!$G$32),Setup!$C$39:$C$50))&gt;=Setup!$C$15,MONTH(WORKDAY(N328,-(Setup!$C$13+Setup!$G$32),Setup!$C$39:$C$50))&lt;=Setup!$C$16),OR(MONTH(WORKDAY(N328,-(Setup!$C$13+Setup!$G$32),Setup!$C$39:$C$50))&gt;=Setup!$C$15,MONTH(WORKDAY(N328,-(Setup!$C$13+Setup!$G$32),Setup!$C$39:$C$50))&lt;=Setup!$C$16))),WORKDAY(N328,-(Setup!$C$13+Setup!$G$32+Setup!$C$14),Setup!$C$39:$C$50),WORKDAY(N328,-(Setup!$C$13+Setup!$G$32),Setup!$C$39:$C$50))+(323*100+13)/10000000)))</f>
        <v/>
      </c>
      <c r="AE328" t="str">
        <f>IF(O328="","",IF(O328&lt;Setup!$C$5-Setup!$C$6,"",IF(IF(ISNUMBER(Roster!$D328),Setup!$C$33&lt;=Roster!$D328,FALSE),"",IF(OR(IF(Setup!$C$15&lt;=Setup!$C$16,AND(MONTH(O328)&gt;=Setup!$C$15,MONTH(O328)&lt;=Setup!$C$16),OR(MONTH(O328)&gt;=Setup!$C$15,MONTH(O328)&lt;=Setup!$C$16)),IF(Setup!$C$15&lt;=Setup!$C$16,AND(MONTH(WORKDAY(O328,-(Setup!$C$13+Setup!$G$33),Setup!$C$39:$C$50))&gt;=Setup!$C$15,MONTH(WORKDAY(O328,-(Setup!$C$13+Setup!$G$33),Setup!$C$39:$C$50))&lt;=Setup!$C$16),OR(MONTH(WORKDAY(O328,-(Setup!$C$13+Setup!$G$33),Setup!$C$39:$C$50))&gt;=Setup!$C$15,MONTH(WORKDAY(O328,-(Setup!$C$13+Setup!$G$33),Setup!$C$39:$C$50))&lt;=Setup!$C$16))),WORKDAY(O328,-(Setup!$C$13+Setup!$G$33+Setup!$C$14),Setup!$C$39:$C$50),WORKDAY(O328,-(Setup!$C$13+Setup!$G$33),Setup!$C$39:$C$50))+(323*100+14)/10000000)))</f>
        <v/>
      </c>
      <c r="AF328" t="str">
        <f>IF(P328="","",IF(P328&lt;Setup!$C$5-Setup!$C$6,"",IF(IF(ISNUMBER(Roster!$D328),Setup!$C$34&lt;=Roster!$D328,FALSE),"",IF(OR(IF(Setup!$C$15&lt;=Setup!$C$16,AND(MONTH(P328)&gt;=Setup!$C$15,MONTH(P328)&lt;=Setup!$C$16),OR(MONTH(P328)&gt;=Setup!$C$15,MONTH(P328)&lt;=Setup!$C$16)),IF(Setup!$C$15&lt;=Setup!$C$16,AND(MONTH(WORKDAY(P328,-(Setup!$C$13+Setup!$G$34),Setup!$C$39:$C$50))&gt;=Setup!$C$15,MONTH(WORKDAY(P328,-(Setup!$C$13+Setup!$G$34),Setup!$C$39:$C$50))&lt;=Setup!$C$16),OR(MONTH(WORKDAY(P328,-(Setup!$C$13+Setup!$G$34),Setup!$C$39:$C$50))&gt;=Setup!$C$15,MONTH(WORKDAY(P328,-(Setup!$C$13+Setup!$G$34),Setup!$C$39:$C$50))&lt;=Setup!$C$16))),WORKDAY(P328,-(Setup!$C$13+Setup!$G$34+Setup!$C$14),Setup!$C$39:$C$50),WORKDAY(P328,-(Setup!$C$13+Setup!$G$34),Setup!$C$39:$C$50))+(323*100+15)/10000000)))</f>
        <v/>
      </c>
      <c r="AH328" t="str">
        <f t="shared" si="41"/>
        <v/>
      </c>
      <c r="AI328" t="str">
        <f t="shared" si="42"/>
        <v/>
      </c>
      <c r="AP328" t="str">
        <f>IF(ISNUMBER(Roster!$B328),MAX(1,YEAR(Setup!$C$5)-YEAR(Roster!$B328)+IF(EDATE(Roster!$B328,12*(YEAR(Setup!$C$5)-YEAR(Roster!$B328)))&lt;Setup!$C$5,1,0)),"")</f>
        <v/>
      </c>
      <c r="AQ328" s="32" t="str">
        <f>IF(AP328="","",EDATE(Roster!$B328,12*AP328))</f>
        <v/>
      </c>
      <c r="AR328" t="str">
        <f>IF(AQ328="","",IF(AQ328&lt;DATE(YEAR(Setup!$C$5)+1,MONTH(Setup!$C$5),DAY(Setup!$C$5)),AQ328+323/1000,""))</f>
        <v/>
      </c>
      <c r="AS328" t="str">
        <f t="shared" si="43"/>
        <v/>
      </c>
      <c r="AT328" t="str">
        <f>IF(AS328="","",IF(ISNUMBER(Roster!$D328),Roster!$D328&gt;=AP328,FALSE))</f>
        <v/>
      </c>
      <c r="AU328" t="str">
        <f t="shared" si="44"/>
        <v/>
      </c>
      <c r="AV328" t="str">
        <f ca="1">IF(323&gt;$AV$2,"",SMALL($AR$6:$AR$505,323))</f>
        <v/>
      </c>
      <c r="AW328" t="str">
        <f t="shared" ca="1" si="45"/>
        <v/>
      </c>
    </row>
    <row r="329" spans="2:49" x14ac:dyDescent="0.2">
      <c r="B329" s="32" t="str">
        <f>IF(AND(ISNUMBER(Roster!$B329),Setup!$B$20="Yes",ISNUMBER(Setup!$C$20)),EDATE(Roster!$B329,12*Setup!$C$20),"")</f>
        <v/>
      </c>
      <c r="C329" s="32" t="str">
        <f>IF(AND(ISNUMBER(Roster!$B329),Setup!$B$21="Yes",ISNUMBER(Setup!$C$21)),EDATE(Roster!$B329,12*Setup!$C$21),"")</f>
        <v/>
      </c>
      <c r="D329" s="32" t="str">
        <f>IF(AND(ISNUMBER(Roster!$B329),Setup!$B$22="Yes",ISNUMBER(Setup!$C$22)),EDATE(Roster!$B329,12*Setup!$C$22),"")</f>
        <v/>
      </c>
      <c r="E329" s="32" t="str">
        <f>IF(AND(ISNUMBER(Roster!$B329),Setup!$B$23="Yes",ISNUMBER(Setup!$C$23)),EDATE(Roster!$B329,12*Setup!$C$23),"")</f>
        <v/>
      </c>
      <c r="F329" s="32" t="str">
        <f>IF(AND(ISNUMBER(Roster!$B329),Setup!$B$24="Yes",ISNUMBER(Setup!$C$24)),EDATE(Roster!$B329,12*Setup!$C$24),"")</f>
        <v/>
      </c>
      <c r="G329" s="32" t="str">
        <f>IF(AND(ISNUMBER(Roster!$B329),Setup!$B$25="Yes",ISNUMBER(Setup!$C$25)),EDATE(Roster!$B329,12*Setup!$C$25),"")</f>
        <v/>
      </c>
      <c r="H329" s="32" t="str">
        <f>IF(AND(ISNUMBER(Roster!$B329),Setup!$B$26="Yes",ISNUMBER(Setup!$C$26)),EDATE(Roster!$B329,12*Setup!$C$26),"")</f>
        <v/>
      </c>
      <c r="I329" s="32" t="str">
        <f>IF(AND(ISNUMBER(Roster!$B329),Setup!$B$27="Yes",ISNUMBER(Setup!$C$27)),EDATE(Roster!$B329,12*Setup!$C$27),"")</f>
        <v/>
      </c>
      <c r="J329" s="32" t="str">
        <f>IF(AND(ISNUMBER(Roster!$B329),Setup!$B$28="Yes",ISNUMBER(Setup!$C$28)),EDATE(Roster!$B329,12*Setup!$C$28),"")</f>
        <v/>
      </c>
      <c r="K329" s="32" t="str">
        <f>IF(AND(ISNUMBER(Roster!$B329),Setup!$B$29="Yes",ISNUMBER(Setup!$C$29)),EDATE(Roster!$B329,12*Setup!$C$29),"")</f>
        <v/>
      </c>
      <c r="L329" s="32" t="str">
        <f>IF(AND(ISNUMBER(Roster!$B329),Setup!$B$30="Yes",ISNUMBER(Setup!$C$30)),EDATE(Roster!$B329,12*Setup!$C$30),"")</f>
        <v/>
      </c>
      <c r="M329" s="32" t="str">
        <f>IF(AND(ISNUMBER(Roster!$B329),Setup!$B$31="Yes",ISNUMBER(Setup!$C$31)),EDATE(Roster!$B329,12*Setup!$C$31),"")</f>
        <v/>
      </c>
      <c r="N329" s="32" t="str">
        <f>IF(AND(ISNUMBER(Roster!$B329),Setup!$B$32="Yes",ISNUMBER(Setup!$C$32)),EDATE(Roster!$B329,12*Setup!$C$32),"")</f>
        <v/>
      </c>
      <c r="O329" s="32" t="str">
        <f>IF(AND(ISNUMBER(Roster!$B329),Setup!$B$33="Yes",ISNUMBER(Setup!$C$33)),EDATE(Roster!$B329,12*Setup!$C$33),"")</f>
        <v/>
      </c>
      <c r="P329" s="32" t="str">
        <f>IF(AND(ISNUMBER(Roster!$B329),Setup!$B$34="Yes",ISNUMBER(Setup!$C$34)),EDATE(Roster!$B329,12*Setup!$C$34),"")</f>
        <v/>
      </c>
      <c r="R329" t="str">
        <f>IF(B329="","",IF(B329&lt;Setup!$C$5-Setup!$C$6,"",IF(IF(ISNUMBER(Roster!$D329),Setup!$C$20&lt;=Roster!$D329,FALSE),"",IF(OR(IF(Setup!$C$15&lt;=Setup!$C$16,AND(MONTH(B329)&gt;=Setup!$C$15,MONTH(B329)&lt;=Setup!$C$16),OR(MONTH(B329)&gt;=Setup!$C$15,MONTH(B329)&lt;=Setup!$C$16)),IF(Setup!$C$15&lt;=Setup!$C$16,AND(MONTH(WORKDAY(B329,-(Setup!$C$13+Setup!$G$20),Setup!$C$39:$C$50))&gt;=Setup!$C$15,MONTH(WORKDAY(B329,-(Setup!$C$13+Setup!$G$20),Setup!$C$39:$C$50))&lt;=Setup!$C$16),OR(MONTH(WORKDAY(B329,-(Setup!$C$13+Setup!$G$20),Setup!$C$39:$C$50))&gt;=Setup!$C$15,MONTH(WORKDAY(B329,-(Setup!$C$13+Setup!$G$20),Setup!$C$39:$C$50))&lt;=Setup!$C$16))),WORKDAY(B329,-(Setup!$C$13+Setup!$G$20+Setup!$C$14),Setup!$C$39:$C$50),WORKDAY(B329,-(Setup!$C$13+Setup!$G$20),Setup!$C$39:$C$50))+(324*100+1)/10000000)))</f>
        <v/>
      </c>
      <c r="S329" t="str">
        <f>IF(C329="","",IF(C329&lt;Setup!$C$5-Setup!$C$6,"",IF(IF(ISNUMBER(Roster!$D329),Setup!$C$21&lt;=Roster!$D329,FALSE),"",IF(OR(IF(Setup!$C$15&lt;=Setup!$C$16,AND(MONTH(C329)&gt;=Setup!$C$15,MONTH(C329)&lt;=Setup!$C$16),OR(MONTH(C329)&gt;=Setup!$C$15,MONTH(C329)&lt;=Setup!$C$16)),IF(Setup!$C$15&lt;=Setup!$C$16,AND(MONTH(WORKDAY(C329,-(Setup!$C$13+Setup!$G$21),Setup!$C$39:$C$50))&gt;=Setup!$C$15,MONTH(WORKDAY(C329,-(Setup!$C$13+Setup!$G$21),Setup!$C$39:$C$50))&lt;=Setup!$C$16),OR(MONTH(WORKDAY(C329,-(Setup!$C$13+Setup!$G$21),Setup!$C$39:$C$50))&gt;=Setup!$C$15,MONTH(WORKDAY(C329,-(Setup!$C$13+Setup!$G$21),Setup!$C$39:$C$50))&lt;=Setup!$C$16))),WORKDAY(C329,-(Setup!$C$13+Setup!$G$21+Setup!$C$14),Setup!$C$39:$C$50),WORKDAY(C329,-(Setup!$C$13+Setup!$G$21),Setup!$C$39:$C$50))+(324*100+2)/10000000)))</f>
        <v/>
      </c>
      <c r="T329" t="str">
        <f>IF(D329="","",IF(D329&lt;Setup!$C$5-Setup!$C$6,"",IF(IF(ISNUMBER(Roster!$D329),Setup!$C$22&lt;=Roster!$D329,FALSE),"",IF(OR(IF(Setup!$C$15&lt;=Setup!$C$16,AND(MONTH(D329)&gt;=Setup!$C$15,MONTH(D329)&lt;=Setup!$C$16),OR(MONTH(D329)&gt;=Setup!$C$15,MONTH(D329)&lt;=Setup!$C$16)),IF(Setup!$C$15&lt;=Setup!$C$16,AND(MONTH(WORKDAY(D329,-(Setup!$C$13+Setup!$G$22),Setup!$C$39:$C$50))&gt;=Setup!$C$15,MONTH(WORKDAY(D329,-(Setup!$C$13+Setup!$G$22),Setup!$C$39:$C$50))&lt;=Setup!$C$16),OR(MONTH(WORKDAY(D329,-(Setup!$C$13+Setup!$G$22),Setup!$C$39:$C$50))&gt;=Setup!$C$15,MONTH(WORKDAY(D329,-(Setup!$C$13+Setup!$G$22),Setup!$C$39:$C$50))&lt;=Setup!$C$16))),WORKDAY(D329,-(Setup!$C$13+Setup!$G$22+Setup!$C$14),Setup!$C$39:$C$50),WORKDAY(D329,-(Setup!$C$13+Setup!$G$22),Setup!$C$39:$C$50))+(324*100+3)/10000000)))</f>
        <v/>
      </c>
      <c r="U329" t="str">
        <f>IF(E329="","",IF(E329&lt;Setup!$C$5-Setup!$C$6,"",IF(IF(ISNUMBER(Roster!$D329),Setup!$C$23&lt;=Roster!$D329,FALSE),"",IF(OR(IF(Setup!$C$15&lt;=Setup!$C$16,AND(MONTH(E329)&gt;=Setup!$C$15,MONTH(E329)&lt;=Setup!$C$16),OR(MONTH(E329)&gt;=Setup!$C$15,MONTH(E329)&lt;=Setup!$C$16)),IF(Setup!$C$15&lt;=Setup!$C$16,AND(MONTH(WORKDAY(E329,-(Setup!$C$13+Setup!$G$23),Setup!$C$39:$C$50))&gt;=Setup!$C$15,MONTH(WORKDAY(E329,-(Setup!$C$13+Setup!$G$23),Setup!$C$39:$C$50))&lt;=Setup!$C$16),OR(MONTH(WORKDAY(E329,-(Setup!$C$13+Setup!$G$23),Setup!$C$39:$C$50))&gt;=Setup!$C$15,MONTH(WORKDAY(E329,-(Setup!$C$13+Setup!$G$23),Setup!$C$39:$C$50))&lt;=Setup!$C$16))),WORKDAY(E329,-(Setup!$C$13+Setup!$G$23+Setup!$C$14),Setup!$C$39:$C$50),WORKDAY(E329,-(Setup!$C$13+Setup!$G$23),Setup!$C$39:$C$50))+(324*100+4)/10000000)))</f>
        <v/>
      </c>
      <c r="V329" t="str">
        <f>IF(F329="","",IF(F329&lt;Setup!$C$5-Setup!$C$6,"",IF(IF(ISNUMBER(Roster!$D329),Setup!$C$24&lt;=Roster!$D329,FALSE),"",IF(OR(IF(Setup!$C$15&lt;=Setup!$C$16,AND(MONTH(F329)&gt;=Setup!$C$15,MONTH(F329)&lt;=Setup!$C$16),OR(MONTH(F329)&gt;=Setup!$C$15,MONTH(F329)&lt;=Setup!$C$16)),IF(Setup!$C$15&lt;=Setup!$C$16,AND(MONTH(WORKDAY(F329,-(Setup!$C$13+Setup!$G$24),Setup!$C$39:$C$50))&gt;=Setup!$C$15,MONTH(WORKDAY(F329,-(Setup!$C$13+Setup!$G$24),Setup!$C$39:$C$50))&lt;=Setup!$C$16),OR(MONTH(WORKDAY(F329,-(Setup!$C$13+Setup!$G$24),Setup!$C$39:$C$50))&gt;=Setup!$C$15,MONTH(WORKDAY(F329,-(Setup!$C$13+Setup!$G$24),Setup!$C$39:$C$50))&lt;=Setup!$C$16))),WORKDAY(F329,-(Setup!$C$13+Setup!$G$24+Setup!$C$14),Setup!$C$39:$C$50),WORKDAY(F329,-(Setup!$C$13+Setup!$G$24),Setup!$C$39:$C$50))+(324*100+5)/10000000)))</f>
        <v/>
      </c>
      <c r="W329" t="str">
        <f>IF(G329="","",IF(G329&lt;Setup!$C$5-Setup!$C$6,"",IF(IF(ISNUMBER(Roster!$D329),Setup!$C$25&lt;=Roster!$D329,FALSE),"",IF(OR(IF(Setup!$C$15&lt;=Setup!$C$16,AND(MONTH(G329)&gt;=Setup!$C$15,MONTH(G329)&lt;=Setup!$C$16),OR(MONTH(G329)&gt;=Setup!$C$15,MONTH(G329)&lt;=Setup!$C$16)),IF(Setup!$C$15&lt;=Setup!$C$16,AND(MONTH(WORKDAY(G329,-(Setup!$C$13+Setup!$G$25),Setup!$C$39:$C$50))&gt;=Setup!$C$15,MONTH(WORKDAY(G329,-(Setup!$C$13+Setup!$G$25),Setup!$C$39:$C$50))&lt;=Setup!$C$16),OR(MONTH(WORKDAY(G329,-(Setup!$C$13+Setup!$G$25),Setup!$C$39:$C$50))&gt;=Setup!$C$15,MONTH(WORKDAY(G329,-(Setup!$C$13+Setup!$G$25),Setup!$C$39:$C$50))&lt;=Setup!$C$16))),WORKDAY(G329,-(Setup!$C$13+Setup!$G$25+Setup!$C$14),Setup!$C$39:$C$50),WORKDAY(G329,-(Setup!$C$13+Setup!$G$25),Setup!$C$39:$C$50))+(324*100+6)/10000000)))</f>
        <v/>
      </c>
      <c r="X329" t="str">
        <f>IF(H329="","",IF(H329&lt;Setup!$C$5-Setup!$C$6,"",IF(IF(ISNUMBER(Roster!$D329),Setup!$C$26&lt;=Roster!$D329,FALSE),"",IF(OR(IF(Setup!$C$15&lt;=Setup!$C$16,AND(MONTH(H329)&gt;=Setup!$C$15,MONTH(H329)&lt;=Setup!$C$16),OR(MONTH(H329)&gt;=Setup!$C$15,MONTH(H329)&lt;=Setup!$C$16)),IF(Setup!$C$15&lt;=Setup!$C$16,AND(MONTH(WORKDAY(H329,-(Setup!$C$13+Setup!$G$26),Setup!$C$39:$C$50))&gt;=Setup!$C$15,MONTH(WORKDAY(H329,-(Setup!$C$13+Setup!$G$26),Setup!$C$39:$C$50))&lt;=Setup!$C$16),OR(MONTH(WORKDAY(H329,-(Setup!$C$13+Setup!$G$26),Setup!$C$39:$C$50))&gt;=Setup!$C$15,MONTH(WORKDAY(H329,-(Setup!$C$13+Setup!$G$26),Setup!$C$39:$C$50))&lt;=Setup!$C$16))),WORKDAY(H329,-(Setup!$C$13+Setup!$G$26+Setup!$C$14),Setup!$C$39:$C$50),WORKDAY(H329,-(Setup!$C$13+Setup!$G$26),Setup!$C$39:$C$50))+(324*100+7)/10000000)))</f>
        <v/>
      </c>
      <c r="Y329" t="str">
        <f>IF(I329="","",IF(I329&lt;Setup!$C$5-Setup!$C$6,"",IF(IF(ISNUMBER(Roster!$D329),Setup!$C$27&lt;=Roster!$D329,FALSE),"",IF(OR(IF(Setup!$C$15&lt;=Setup!$C$16,AND(MONTH(I329)&gt;=Setup!$C$15,MONTH(I329)&lt;=Setup!$C$16),OR(MONTH(I329)&gt;=Setup!$C$15,MONTH(I329)&lt;=Setup!$C$16)),IF(Setup!$C$15&lt;=Setup!$C$16,AND(MONTH(WORKDAY(I329,-(Setup!$C$13+Setup!$G$27),Setup!$C$39:$C$50))&gt;=Setup!$C$15,MONTH(WORKDAY(I329,-(Setup!$C$13+Setup!$G$27),Setup!$C$39:$C$50))&lt;=Setup!$C$16),OR(MONTH(WORKDAY(I329,-(Setup!$C$13+Setup!$G$27),Setup!$C$39:$C$50))&gt;=Setup!$C$15,MONTH(WORKDAY(I329,-(Setup!$C$13+Setup!$G$27),Setup!$C$39:$C$50))&lt;=Setup!$C$16))),WORKDAY(I329,-(Setup!$C$13+Setup!$G$27+Setup!$C$14),Setup!$C$39:$C$50),WORKDAY(I329,-(Setup!$C$13+Setup!$G$27),Setup!$C$39:$C$50))+(324*100+8)/10000000)))</f>
        <v/>
      </c>
      <c r="Z329" t="str">
        <f>IF(J329="","",IF(J329&lt;Setup!$C$5-Setup!$C$6,"",IF(IF(ISNUMBER(Roster!$D329),Setup!$C$28&lt;=Roster!$D329,FALSE),"",IF(OR(IF(Setup!$C$15&lt;=Setup!$C$16,AND(MONTH(J329)&gt;=Setup!$C$15,MONTH(J329)&lt;=Setup!$C$16),OR(MONTH(J329)&gt;=Setup!$C$15,MONTH(J329)&lt;=Setup!$C$16)),IF(Setup!$C$15&lt;=Setup!$C$16,AND(MONTH(WORKDAY(J329,-(Setup!$C$13+Setup!$G$28),Setup!$C$39:$C$50))&gt;=Setup!$C$15,MONTH(WORKDAY(J329,-(Setup!$C$13+Setup!$G$28),Setup!$C$39:$C$50))&lt;=Setup!$C$16),OR(MONTH(WORKDAY(J329,-(Setup!$C$13+Setup!$G$28),Setup!$C$39:$C$50))&gt;=Setup!$C$15,MONTH(WORKDAY(J329,-(Setup!$C$13+Setup!$G$28),Setup!$C$39:$C$50))&lt;=Setup!$C$16))),WORKDAY(J329,-(Setup!$C$13+Setup!$G$28+Setup!$C$14),Setup!$C$39:$C$50),WORKDAY(J329,-(Setup!$C$13+Setup!$G$28),Setup!$C$39:$C$50))+(324*100+9)/10000000)))</f>
        <v/>
      </c>
      <c r="AA329" t="str">
        <f>IF(K329="","",IF(K329&lt;Setup!$C$5-Setup!$C$6,"",IF(IF(ISNUMBER(Roster!$D329),Setup!$C$29&lt;=Roster!$D329,FALSE),"",IF(OR(IF(Setup!$C$15&lt;=Setup!$C$16,AND(MONTH(K329)&gt;=Setup!$C$15,MONTH(K329)&lt;=Setup!$C$16),OR(MONTH(K329)&gt;=Setup!$C$15,MONTH(K329)&lt;=Setup!$C$16)),IF(Setup!$C$15&lt;=Setup!$C$16,AND(MONTH(WORKDAY(K329,-(Setup!$C$13+Setup!$G$29),Setup!$C$39:$C$50))&gt;=Setup!$C$15,MONTH(WORKDAY(K329,-(Setup!$C$13+Setup!$G$29),Setup!$C$39:$C$50))&lt;=Setup!$C$16),OR(MONTH(WORKDAY(K329,-(Setup!$C$13+Setup!$G$29),Setup!$C$39:$C$50))&gt;=Setup!$C$15,MONTH(WORKDAY(K329,-(Setup!$C$13+Setup!$G$29),Setup!$C$39:$C$50))&lt;=Setup!$C$16))),WORKDAY(K329,-(Setup!$C$13+Setup!$G$29+Setup!$C$14),Setup!$C$39:$C$50),WORKDAY(K329,-(Setup!$C$13+Setup!$G$29),Setup!$C$39:$C$50))+(324*100+10)/10000000)))</f>
        <v/>
      </c>
      <c r="AB329" t="str">
        <f>IF(L329="","",IF(L329&lt;Setup!$C$5-Setup!$C$6,"",IF(IF(ISNUMBER(Roster!$D329),Setup!$C$30&lt;=Roster!$D329,FALSE),"",IF(OR(IF(Setup!$C$15&lt;=Setup!$C$16,AND(MONTH(L329)&gt;=Setup!$C$15,MONTH(L329)&lt;=Setup!$C$16),OR(MONTH(L329)&gt;=Setup!$C$15,MONTH(L329)&lt;=Setup!$C$16)),IF(Setup!$C$15&lt;=Setup!$C$16,AND(MONTH(WORKDAY(L329,-(Setup!$C$13+Setup!$G$30),Setup!$C$39:$C$50))&gt;=Setup!$C$15,MONTH(WORKDAY(L329,-(Setup!$C$13+Setup!$G$30),Setup!$C$39:$C$50))&lt;=Setup!$C$16),OR(MONTH(WORKDAY(L329,-(Setup!$C$13+Setup!$G$30),Setup!$C$39:$C$50))&gt;=Setup!$C$15,MONTH(WORKDAY(L329,-(Setup!$C$13+Setup!$G$30),Setup!$C$39:$C$50))&lt;=Setup!$C$16))),WORKDAY(L329,-(Setup!$C$13+Setup!$G$30+Setup!$C$14),Setup!$C$39:$C$50),WORKDAY(L329,-(Setup!$C$13+Setup!$G$30),Setup!$C$39:$C$50))+(324*100+11)/10000000)))</f>
        <v/>
      </c>
      <c r="AC329" t="str">
        <f>IF(M329="","",IF(M329&lt;Setup!$C$5-Setup!$C$6,"",IF(IF(ISNUMBER(Roster!$D329),Setup!$C$31&lt;=Roster!$D329,FALSE),"",IF(OR(IF(Setup!$C$15&lt;=Setup!$C$16,AND(MONTH(M329)&gt;=Setup!$C$15,MONTH(M329)&lt;=Setup!$C$16),OR(MONTH(M329)&gt;=Setup!$C$15,MONTH(M329)&lt;=Setup!$C$16)),IF(Setup!$C$15&lt;=Setup!$C$16,AND(MONTH(WORKDAY(M329,-(Setup!$C$13+Setup!$G$31),Setup!$C$39:$C$50))&gt;=Setup!$C$15,MONTH(WORKDAY(M329,-(Setup!$C$13+Setup!$G$31),Setup!$C$39:$C$50))&lt;=Setup!$C$16),OR(MONTH(WORKDAY(M329,-(Setup!$C$13+Setup!$G$31),Setup!$C$39:$C$50))&gt;=Setup!$C$15,MONTH(WORKDAY(M329,-(Setup!$C$13+Setup!$G$31),Setup!$C$39:$C$50))&lt;=Setup!$C$16))),WORKDAY(M329,-(Setup!$C$13+Setup!$G$31+Setup!$C$14),Setup!$C$39:$C$50),WORKDAY(M329,-(Setup!$C$13+Setup!$G$31),Setup!$C$39:$C$50))+(324*100+12)/10000000)))</f>
        <v/>
      </c>
      <c r="AD329" t="str">
        <f>IF(N329="","",IF(N329&lt;Setup!$C$5-Setup!$C$6,"",IF(IF(ISNUMBER(Roster!$D329),Setup!$C$32&lt;=Roster!$D329,FALSE),"",IF(OR(IF(Setup!$C$15&lt;=Setup!$C$16,AND(MONTH(N329)&gt;=Setup!$C$15,MONTH(N329)&lt;=Setup!$C$16),OR(MONTH(N329)&gt;=Setup!$C$15,MONTH(N329)&lt;=Setup!$C$16)),IF(Setup!$C$15&lt;=Setup!$C$16,AND(MONTH(WORKDAY(N329,-(Setup!$C$13+Setup!$G$32),Setup!$C$39:$C$50))&gt;=Setup!$C$15,MONTH(WORKDAY(N329,-(Setup!$C$13+Setup!$G$32),Setup!$C$39:$C$50))&lt;=Setup!$C$16),OR(MONTH(WORKDAY(N329,-(Setup!$C$13+Setup!$G$32),Setup!$C$39:$C$50))&gt;=Setup!$C$15,MONTH(WORKDAY(N329,-(Setup!$C$13+Setup!$G$32),Setup!$C$39:$C$50))&lt;=Setup!$C$16))),WORKDAY(N329,-(Setup!$C$13+Setup!$G$32+Setup!$C$14),Setup!$C$39:$C$50),WORKDAY(N329,-(Setup!$C$13+Setup!$G$32),Setup!$C$39:$C$50))+(324*100+13)/10000000)))</f>
        <v/>
      </c>
      <c r="AE329" t="str">
        <f>IF(O329="","",IF(O329&lt;Setup!$C$5-Setup!$C$6,"",IF(IF(ISNUMBER(Roster!$D329),Setup!$C$33&lt;=Roster!$D329,FALSE),"",IF(OR(IF(Setup!$C$15&lt;=Setup!$C$16,AND(MONTH(O329)&gt;=Setup!$C$15,MONTH(O329)&lt;=Setup!$C$16),OR(MONTH(O329)&gt;=Setup!$C$15,MONTH(O329)&lt;=Setup!$C$16)),IF(Setup!$C$15&lt;=Setup!$C$16,AND(MONTH(WORKDAY(O329,-(Setup!$C$13+Setup!$G$33),Setup!$C$39:$C$50))&gt;=Setup!$C$15,MONTH(WORKDAY(O329,-(Setup!$C$13+Setup!$G$33),Setup!$C$39:$C$50))&lt;=Setup!$C$16),OR(MONTH(WORKDAY(O329,-(Setup!$C$13+Setup!$G$33),Setup!$C$39:$C$50))&gt;=Setup!$C$15,MONTH(WORKDAY(O329,-(Setup!$C$13+Setup!$G$33),Setup!$C$39:$C$50))&lt;=Setup!$C$16))),WORKDAY(O329,-(Setup!$C$13+Setup!$G$33+Setup!$C$14),Setup!$C$39:$C$50),WORKDAY(O329,-(Setup!$C$13+Setup!$G$33),Setup!$C$39:$C$50))+(324*100+14)/10000000)))</f>
        <v/>
      </c>
      <c r="AF329" t="str">
        <f>IF(P329="","",IF(P329&lt;Setup!$C$5-Setup!$C$6,"",IF(IF(ISNUMBER(Roster!$D329),Setup!$C$34&lt;=Roster!$D329,FALSE),"",IF(OR(IF(Setup!$C$15&lt;=Setup!$C$16,AND(MONTH(P329)&gt;=Setup!$C$15,MONTH(P329)&lt;=Setup!$C$16),OR(MONTH(P329)&gt;=Setup!$C$15,MONTH(P329)&lt;=Setup!$C$16)),IF(Setup!$C$15&lt;=Setup!$C$16,AND(MONTH(WORKDAY(P329,-(Setup!$C$13+Setup!$G$34),Setup!$C$39:$C$50))&gt;=Setup!$C$15,MONTH(WORKDAY(P329,-(Setup!$C$13+Setup!$G$34),Setup!$C$39:$C$50))&lt;=Setup!$C$16),OR(MONTH(WORKDAY(P329,-(Setup!$C$13+Setup!$G$34),Setup!$C$39:$C$50))&gt;=Setup!$C$15,MONTH(WORKDAY(P329,-(Setup!$C$13+Setup!$G$34),Setup!$C$39:$C$50))&lt;=Setup!$C$16))),WORKDAY(P329,-(Setup!$C$13+Setup!$G$34+Setup!$C$14),Setup!$C$39:$C$50),WORKDAY(P329,-(Setup!$C$13+Setup!$G$34),Setup!$C$39:$C$50))+(324*100+15)/10000000)))</f>
        <v/>
      </c>
      <c r="AH329" t="str">
        <f t="shared" si="41"/>
        <v/>
      </c>
      <c r="AI329" t="str">
        <f t="shared" si="42"/>
        <v/>
      </c>
      <c r="AP329" t="str">
        <f>IF(ISNUMBER(Roster!$B329),MAX(1,YEAR(Setup!$C$5)-YEAR(Roster!$B329)+IF(EDATE(Roster!$B329,12*(YEAR(Setup!$C$5)-YEAR(Roster!$B329)))&lt;Setup!$C$5,1,0)),"")</f>
        <v/>
      </c>
      <c r="AQ329" s="32" t="str">
        <f>IF(AP329="","",EDATE(Roster!$B329,12*AP329))</f>
        <v/>
      </c>
      <c r="AR329" t="str">
        <f>IF(AQ329="","",IF(AQ329&lt;DATE(YEAR(Setup!$C$5)+1,MONTH(Setup!$C$5),DAY(Setup!$C$5)),AQ329+324/1000,""))</f>
        <v/>
      </c>
      <c r="AS329" t="str">
        <f t="shared" si="43"/>
        <v/>
      </c>
      <c r="AT329" t="str">
        <f>IF(AS329="","",IF(ISNUMBER(Roster!$D329),Roster!$D329&gt;=AP329,FALSE))</f>
        <v/>
      </c>
      <c r="AU329" t="str">
        <f t="shared" si="44"/>
        <v/>
      </c>
      <c r="AV329" t="str">
        <f ca="1">IF(324&gt;$AV$2,"",SMALL($AR$6:$AR$505,324))</f>
        <v/>
      </c>
      <c r="AW329" t="str">
        <f t="shared" ca="1" si="45"/>
        <v/>
      </c>
    </row>
    <row r="330" spans="2:49" x14ac:dyDescent="0.2">
      <c r="B330" s="32" t="str">
        <f>IF(AND(ISNUMBER(Roster!$B330),Setup!$B$20="Yes",ISNUMBER(Setup!$C$20)),EDATE(Roster!$B330,12*Setup!$C$20),"")</f>
        <v/>
      </c>
      <c r="C330" s="32" t="str">
        <f>IF(AND(ISNUMBER(Roster!$B330),Setup!$B$21="Yes",ISNUMBER(Setup!$C$21)),EDATE(Roster!$B330,12*Setup!$C$21),"")</f>
        <v/>
      </c>
      <c r="D330" s="32" t="str">
        <f>IF(AND(ISNUMBER(Roster!$B330),Setup!$B$22="Yes",ISNUMBER(Setup!$C$22)),EDATE(Roster!$B330,12*Setup!$C$22),"")</f>
        <v/>
      </c>
      <c r="E330" s="32" t="str">
        <f>IF(AND(ISNUMBER(Roster!$B330),Setup!$B$23="Yes",ISNUMBER(Setup!$C$23)),EDATE(Roster!$B330,12*Setup!$C$23),"")</f>
        <v/>
      </c>
      <c r="F330" s="32" t="str">
        <f>IF(AND(ISNUMBER(Roster!$B330),Setup!$B$24="Yes",ISNUMBER(Setup!$C$24)),EDATE(Roster!$B330,12*Setup!$C$24),"")</f>
        <v/>
      </c>
      <c r="G330" s="32" t="str">
        <f>IF(AND(ISNUMBER(Roster!$B330),Setup!$B$25="Yes",ISNUMBER(Setup!$C$25)),EDATE(Roster!$B330,12*Setup!$C$25),"")</f>
        <v/>
      </c>
      <c r="H330" s="32" t="str">
        <f>IF(AND(ISNUMBER(Roster!$B330),Setup!$B$26="Yes",ISNUMBER(Setup!$C$26)),EDATE(Roster!$B330,12*Setup!$C$26),"")</f>
        <v/>
      </c>
      <c r="I330" s="32" t="str">
        <f>IF(AND(ISNUMBER(Roster!$B330),Setup!$B$27="Yes",ISNUMBER(Setup!$C$27)),EDATE(Roster!$B330,12*Setup!$C$27),"")</f>
        <v/>
      </c>
      <c r="J330" s="32" t="str">
        <f>IF(AND(ISNUMBER(Roster!$B330),Setup!$B$28="Yes",ISNUMBER(Setup!$C$28)),EDATE(Roster!$B330,12*Setup!$C$28),"")</f>
        <v/>
      </c>
      <c r="K330" s="32" t="str">
        <f>IF(AND(ISNUMBER(Roster!$B330),Setup!$B$29="Yes",ISNUMBER(Setup!$C$29)),EDATE(Roster!$B330,12*Setup!$C$29),"")</f>
        <v/>
      </c>
      <c r="L330" s="32" t="str">
        <f>IF(AND(ISNUMBER(Roster!$B330),Setup!$B$30="Yes",ISNUMBER(Setup!$C$30)),EDATE(Roster!$B330,12*Setup!$C$30),"")</f>
        <v/>
      </c>
      <c r="M330" s="32" t="str">
        <f>IF(AND(ISNUMBER(Roster!$B330),Setup!$B$31="Yes",ISNUMBER(Setup!$C$31)),EDATE(Roster!$B330,12*Setup!$C$31),"")</f>
        <v/>
      </c>
      <c r="N330" s="32" t="str">
        <f>IF(AND(ISNUMBER(Roster!$B330),Setup!$B$32="Yes",ISNUMBER(Setup!$C$32)),EDATE(Roster!$B330,12*Setup!$C$32),"")</f>
        <v/>
      </c>
      <c r="O330" s="32" t="str">
        <f>IF(AND(ISNUMBER(Roster!$B330),Setup!$B$33="Yes",ISNUMBER(Setup!$C$33)),EDATE(Roster!$B330,12*Setup!$C$33),"")</f>
        <v/>
      </c>
      <c r="P330" s="32" t="str">
        <f>IF(AND(ISNUMBER(Roster!$B330),Setup!$B$34="Yes",ISNUMBER(Setup!$C$34)),EDATE(Roster!$B330,12*Setup!$C$34),"")</f>
        <v/>
      </c>
      <c r="R330" t="str">
        <f>IF(B330="","",IF(B330&lt;Setup!$C$5-Setup!$C$6,"",IF(IF(ISNUMBER(Roster!$D330),Setup!$C$20&lt;=Roster!$D330,FALSE),"",IF(OR(IF(Setup!$C$15&lt;=Setup!$C$16,AND(MONTH(B330)&gt;=Setup!$C$15,MONTH(B330)&lt;=Setup!$C$16),OR(MONTH(B330)&gt;=Setup!$C$15,MONTH(B330)&lt;=Setup!$C$16)),IF(Setup!$C$15&lt;=Setup!$C$16,AND(MONTH(WORKDAY(B330,-(Setup!$C$13+Setup!$G$20),Setup!$C$39:$C$50))&gt;=Setup!$C$15,MONTH(WORKDAY(B330,-(Setup!$C$13+Setup!$G$20),Setup!$C$39:$C$50))&lt;=Setup!$C$16),OR(MONTH(WORKDAY(B330,-(Setup!$C$13+Setup!$G$20),Setup!$C$39:$C$50))&gt;=Setup!$C$15,MONTH(WORKDAY(B330,-(Setup!$C$13+Setup!$G$20),Setup!$C$39:$C$50))&lt;=Setup!$C$16))),WORKDAY(B330,-(Setup!$C$13+Setup!$G$20+Setup!$C$14),Setup!$C$39:$C$50),WORKDAY(B330,-(Setup!$C$13+Setup!$G$20),Setup!$C$39:$C$50))+(325*100+1)/10000000)))</f>
        <v/>
      </c>
      <c r="S330" t="str">
        <f>IF(C330="","",IF(C330&lt;Setup!$C$5-Setup!$C$6,"",IF(IF(ISNUMBER(Roster!$D330),Setup!$C$21&lt;=Roster!$D330,FALSE),"",IF(OR(IF(Setup!$C$15&lt;=Setup!$C$16,AND(MONTH(C330)&gt;=Setup!$C$15,MONTH(C330)&lt;=Setup!$C$16),OR(MONTH(C330)&gt;=Setup!$C$15,MONTH(C330)&lt;=Setup!$C$16)),IF(Setup!$C$15&lt;=Setup!$C$16,AND(MONTH(WORKDAY(C330,-(Setup!$C$13+Setup!$G$21),Setup!$C$39:$C$50))&gt;=Setup!$C$15,MONTH(WORKDAY(C330,-(Setup!$C$13+Setup!$G$21),Setup!$C$39:$C$50))&lt;=Setup!$C$16),OR(MONTH(WORKDAY(C330,-(Setup!$C$13+Setup!$G$21),Setup!$C$39:$C$50))&gt;=Setup!$C$15,MONTH(WORKDAY(C330,-(Setup!$C$13+Setup!$G$21),Setup!$C$39:$C$50))&lt;=Setup!$C$16))),WORKDAY(C330,-(Setup!$C$13+Setup!$G$21+Setup!$C$14),Setup!$C$39:$C$50),WORKDAY(C330,-(Setup!$C$13+Setup!$G$21),Setup!$C$39:$C$50))+(325*100+2)/10000000)))</f>
        <v/>
      </c>
      <c r="T330" t="str">
        <f>IF(D330="","",IF(D330&lt;Setup!$C$5-Setup!$C$6,"",IF(IF(ISNUMBER(Roster!$D330),Setup!$C$22&lt;=Roster!$D330,FALSE),"",IF(OR(IF(Setup!$C$15&lt;=Setup!$C$16,AND(MONTH(D330)&gt;=Setup!$C$15,MONTH(D330)&lt;=Setup!$C$16),OR(MONTH(D330)&gt;=Setup!$C$15,MONTH(D330)&lt;=Setup!$C$16)),IF(Setup!$C$15&lt;=Setup!$C$16,AND(MONTH(WORKDAY(D330,-(Setup!$C$13+Setup!$G$22),Setup!$C$39:$C$50))&gt;=Setup!$C$15,MONTH(WORKDAY(D330,-(Setup!$C$13+Setup!$G$22),Setup!$C$39:$C$50))&lt;=Setup!$C$16),OR(MONTH(WORKDAY(D330,-(Setup!$C$13+Setup!$G$22),Setup!$C$39:$C$50))&gt;=Setup!$C$15,MONTH(WORKDAY(D330,-(Setup!$C$13+Setup!$G$22),Setup!$C$39:$C$50))&lt;=Setup!$C$16))),WORKDAY(D330,-(Setup!$C$13+Setup!$G$22+Setup!$C$14),Setup!$C$39:$C$50),WORKDAY(D330,-(Setup!$C$13+Setup!$G$22),Setup!$C$39:$C$50))+(325*100+3)/10000000)))</f>
        <v/>
      </c>
      <c r="U330" t="str">
        <f>IF(E330="","",IF(E330&lt;Setup!$C$5-Setup!$C$6,"",IF(IF(ISNUMBER(Roster!$D330),Setup!$C$23&lt;=Roster!$D330,FALSE),"",IF(OR(IF(Setup!$C$15&lt;=Setup!$C$16,AND(MONTH(E330)&gt;=Setup!$C$15,MONTH(E330)&lt;=Setup!$C$16),OR(MONTH(E330)&gt;=Setup!$C$15,MONTH(E330)&lt;=Setup!$C$16)),IF(Setup!$C$15&lt;=Setup!$C$16,AND(MONTH(WORKDAY(E330,-(Setup!$C$13+Setup!$G$23),Setup!$C$39:$C$50))&gt;=Setup!$C$15,MONTH(WORKDAY(E330,-(Setup!$C$13+Setup!$G$23),Setup!$C$39:$C$50))&lt;=Setup!$C$16),OR(MONTH(WORKDAY(E330,-(Setup!$C$13+Setup!$G$23),Setup!$C$39:$C$50))&gt;=Setup!$C$15,MONTH(WORKDAY(E330,-(Setup!$C$13+Setup!$G$23),Setup!$C$39:$C$50))&lt;=Setup!$C$16))),WORKDAY(E330,-(Setup!$C$13+Setup!$G$23+Setup!$C$14),Setup!$C$39:$C$50),WORKDAY(E330,-(Setup!$C$13+Setup!$G$23),Setup!$C$39:$C$50))+(325*100+4)/10000000)))</f>
        <v/>
      </c>
      <c r="V330" t="str">
        <f>IF(F330="","",IF(F330&lt;Setup!$C$5-Setup!$C$6,"",IF(IF(ISNUMBER(Roster!$D330),Setup!$C$24&lt;=Roster!$D330,FALSE),"",IF(OR(IF(Setup!$C$15&lt;=Setup!$C$16,AND(MONTH(F330)&gt;=Setup!$C$15,MONTH(F330)&lt;=Setup!$C$16),OR(MONTH(F330)&gt;=Setup!$C$15,MONTH(F330)&lt;=Setup!$C$16)),IF(Setup!$C$15&lt;=Setup!$C$16,AND(MONTH(WORKDAY(F330,-(Setup!$C$13+Setup!$G$24),Setup!$C$39:$C$50))&gt;=Setup!$C$15,MONTH(WORKDAY(F330,-(Setup!$C$13+Setup!$G$24),Setup!$C$39:$C$50))&lt;=Setup!$C$16),OR(MONTH(WORKDAY(F330,-(Setup!$C$13+Setup!$G$24),Setup!$C$39:$C$50))&gt;=Setup!$C$15,MONTH(WORKDAY(F330,-(Setup!$C$13+Setup!$G$24),Setup!$C$39:$C$50))&lt;=Setup!$C$16))),WORKDAY(F330,-(Setup!$C$13+Setup!$G$24+Setup!$C$14),Setup!$C$39:$C$50),WORKDAY(F330,-(Setup!$C$13+Setup!$G$24),Setup!$C$39:$C$50))+(325*100+5)/10000000)))</f>
        <v/>
      </c>
      <c r="W330" t="str">
        <f>IF(G330="","",IF(G330&lt;Setup!$C$5-Setup!$C$6,"",IF(IF(ISNUMBER(Roster!$D330),Setup!$C$25&lt;=Roster!$D330,FALSE),"",IF(OR(IF(Setup!$C$15&lt;=Setup!$C$16,AND(MONTH(G330)&gt;=Setup!$C$15,MONTH(G330)&lt;=Setup!$C$16),OR(MONTH(G330)&gt;=Setup!$C$15,MONTH(G330)&lt;=Setup!$C$16)),IF(Setup!$C$15&lt;=Setup!$C$16,AND(MONTH(WORKDAY(G330,-(Setup!$C$13+Setup!$G$25),Setup!$C$39:$C$50))&gt;=Setup!$C$15,MONTH(WORKDAY(G330,-(Setup!$C$13+Setup!$G$25),Setup!$C$39:$C$50))&lt;=Setup!$C$16),OR(MONTH(WORKDAY(G330,-(Setup!$C$13+Setup!$G$25),Setup!$C$39:$C$50))&gt;=Setup!$C$15,MONTH(WORKDAY(G330,-(Setup!$C$13+Setup!$G$25),Setup!$C$39:$C$50))&lt;=Setup!$C$16))),WORKDAY(G330,-(Setup!$C$13+Setup!$G$25+Setup!$C$14),Setup!$C$39:$C$50),WORKDAY(G330,-(Setup!$C$13+Setup!$G$25),Setup!$C$39:$C$50))+(325*100+6)/10000000)))</f>
        <v/>
      </c>
      <c r="X330" t="str">
        <f>IF(H330="","",IF(H330&lt;Setup!$C$5-Setup!$C$6,"",IF(IF(ISNUMBER(Roster!$D330),Setup!$C$26&lt;=Roster!$D330,FALSE),"",IF(OR(IF(Setup!$C$15&lt;=Setup!$C$16,AND(MONTH(H330)&gt;=Setup!$C$15,MONTH(H330)&lt;=Setup!$C$16),OR(MONTH(H330)&gt;=Setup!$C$15,MONTH(H330)&lt;=Setup!$C$16)),IF(Setup!$C$15&lt;=Setup!$C$16,AND(MONTH(WORKDAY(H330,-(Setup!$C$13+Setup!$G$26),Setup!$C$39:$C$50))&gt;=Setup!$C$15,MONTH(WORKDAY(H330,-(Setup!$C$13+Setup!$G$26),Setup!$C$39:$C$50))&lt;=Setup!$C$16),OR(MONTH(WORKDAY(H330,-(Setup!$C$13+Setup!$G$26),Setup!$C$39:$C$50))&gt;=Setup!$C$15,MONTH(WORKDAY(H330,-(Setup!$C$13+Setup!$G$26),Setup!$C$39:$C$50))&lt;=Setup!$C$16))),WORKDAY(H330,-(Setup!$C$13+Setup!$G$26+Setup!$C$14),Setup!$C$39:$C$50),WORKDAY(H330,-(Setup!$C$13+Setup!$G$26),Setup!$C$39:$C$50))+(325*100+7)/10000000)))</f>
        <v/>
      </c>
      <c r="Y330" t="str">
        <f>IF(I330="","",IF(I330&lt;Setup!$C$5-Setup!$C$6,"",IF(IF(ISNUMBER(Roster!$D330),Setup!$C$27&lt;=Roster!$D330,FALSE),"",IF(OR(IF(Setup!$C$15&lt;=Setup!$C$16,AND(MONTH(I330)&gt;=Setup!$C$15,MONTH(I330)&lt;=Setup!$C$16),OR(MONTH(I330)&gt;=Setup!$C$15,MONTH(I330)&lt;=Setup!$C$16)),IF(Setup!$C$15&lt;=Setup!$C$16,AND(MONTH(WORKDAY(I330,-(Setup!$C$13+Setup!$G$27),Setup!$C$39:$C$50))&gt;=Setup!$C$15,MONTH(WORKDAY(I330,-(Setup!$C$13+Setup!$G$27),Setup!$C$39:$C$50))&lt;=Setup!$C$16),OR(MONTH(WORKDAY(I330,-(Setup!$C$13+Setup!$G$27),Setup!$C$39:$C$50))&gt;=Setup!$C$15,MONTH(WORKDAY(I330,-(Setup!$C$13+Setup!$G$27),Setup!$C$39:$C$50))&lt;=Setup!$C$16))),WORKDAY(I330,-(Setup!$C$13+Setup!$G$27+Setup!$C$14),Setup!$C$39:$C$50),WORKDAY(I330,-(Setup!$C$13+Setup!$G$27),Setup!$C$39:$C$50))+(325*100+8)/10000000)))</f>
        <v/>
      </c>
      <c r="Z330" t="str">
        <f>IF(J330="","",IF(J330&lt;Setup!$C$5-Setup!$C$6,"",IF(IF(ISNUMBER(Roster!$D330),Setup!$C$28&lt;=Roster!$D330,FALSE),"",IF(OR(IF(Setup!$C$15&lt;=Setup!$C$16,AND(MONTH(J330)&gt;=Setup!$C$15,MONTH(J330)&lt;=Setup!$C$16),OR(MONTH(J330)&gt;=Setup!$C$15,MONTH(J330)&lt;=Setup!$C$16)),IF(Setup!$C$15&lt;=Setup!$C$16,AND(MONTH(WORKDAY(J330,-(Setup!$C$13+Setup!$G$28),Setup!$C$39:$C$50))&gt;=Setup!$C$15,MONTH(WORKDAY(J330,-(Setup!$C$13+Setup!$G$28),Setup!$C$39:$C$50))&lt;=Setup!$C$16),OR(MONTH(WORKDAY(J330,-(Setup!$C$13+Setup!$G$28),Setup!$C$39:$C$50))&gt;=Setup!$C$15,MONTH(WORKDAY(J330,-(Setup!$C$13+Setup!$G$28),Setup!$C$39:$C$50))&lt;=Setup!$C$16))),WORKDAY(J330,-(Setup!$C$13+Setup!$G$28+Setup!$C$14),Setup!$C$39:$C$50),WORKDAY(J330,-(Setup!$C$13+Setup!$G$28),Setup!$C$39:$C$50))+(325*100+9)/10000000)))</f>
        <v/>
      </c>
      <c r="AA330" t="str">
        <f>IF(K330="","",IF(K330&lt;Setup!$C$5-Setup!$C$6,"",IF(IF(ISNUMBER(Roster!$D330),Setup!$C$29&lt;=Roster!$D330,FALSE),"",IF(OR(IF(Setup!$C$15&lt;=Setup!$C$16,AND(MONTH(K330)&gt;=Setup!$C$15,MONTH(K330)&lt;=Setup!$C$16),OR(MONTH(K330)&gt;=Setup!$C$15,MONTH(K330)&lt;=Setup!$C$16)),IF(Setup!$C$15&lt;=Setup!$C$16,AND(MONTH(WORKDAY(K330,-(Setup!$C$13+Setup!$G$29),Setup!$C$39:$C$50))&gt;=Setup!$C$15,MONTH(WORKDAY(K330,-(Setup!$C$13+Setup!$G$29),Setup!$C$39:$C$50))&lt;=Setup!$C$16),OR(MONTH(WORKDAY(K330,-(Setup!$C$13+Setup!$G$29),Setup!$C$39:$C$50))&gt;=Setup!$C$15,MONTH(WORKDAY(K330,-(Setup!$C$13+Setup!$G$29),Setup!$C$39:$C$50))&lt;=Setup!$C$16))),WORKDAY(K330,-(Setup!$C$13+Setup!$G$29+Setup!$C$14),Setup!$C$39:$C$50),WORKDAY(K330,-(Setup!$C$13+Setup!$G$29),Setup!$C$39:$C$50))+(325*100+10)/10000000)))</f>
        <v/>
      </c>
      <c r="AB330" t="str">
        <f>IF(L330="","",IF(L330&lt;Setup!$C$5-Setup!$C$6,"",IF(IF(ISNUMBER(Roster!$D330),Setup!$C$30&lt;=Roster!$D330,FALSE),"",IF(OR(IF(Setup!$C$15&lt;=Setup!$C$16,AND(MONTH(L330)&gt;=Setup!$C$15,MONTH(L330)&lt;=Setup!$C$16),OR(MONTH(L330)&gt;=Setup!$C$15,MONTH(L330)&lt;=Setup!$C$16)),IF(Setup!$C$15&lt;=Setup!$C$16,AND(MONTH(WORKDAY(L330,-(Setup!$C$13+Setup!$G$30),Setup!$C$39:$C$50))&gt;=Setup!$C$15,MONTH(WORKDAY(L330,-(Setup!$C$13+Setup!$G$30),Setup!$C$39:$C$50))&lt;=Setup!$C$16),OR(MONTH(WORKDAY(L330,-(Setup!$C$13+Setup!$G$30),Setup!$C$39:$C$50))&gt;=Setup!$C$15,MONTH(WORKDAY(L330,-(Setup!$C$13+Setup!$G$30),Setup!$C$39:$C$50))&lt;=Setup!$C$16))),WORKDAY(L330,-(Setup!$C$13+Setup!$G$30+Setup!$C$14),Setup!$C$39:$C$50),WORKDAY(L330,-(Setup!$C$13+Setup!$G$30),Setup!$C$39:$C$50))+(325*100+11)/10000000)))</f>
        <v/>
      </c>
      <c r="AC330" t="str">
        <f>IF(M330="","",IF(M330&lt;Setup!$C$5-Setup!$C$6,"",IF(IF(ISNUMBER(Roster!$D330),Setup!$C$31&lt;=Roster!$D330,FALSE),"",IF(OR(IF(Setup!$C$15&lt;=Setup!$C$16,AND(MONTH(M330)&gt;=Setup!$C$15,MONTH(M330)&lt;=Setup!$C$16),OR(MONTH(M330)&gt;=Setup!$C$15,MONTH(M330)&lt;=Setup!$C$16)),IF(Setup!$C$15&lt;=Setup!$C$16,AND(MONTH(WORKDAY(M330,-(Setup!$C$13+Setup!$G$31),Setup!$C$39:$C$50))&gt;=Setup!$C$15,MONTH(WORKDAY(M330,-(Setup!$C$13+Setup!$G$31),Setup!$C$39:$C$50))&lt;=Setup!$C$16),OR(MONTH(WORKDAY(M330,-(Setup!$C$13+Setup!$G$31),Setup!$C$39:$C$50))&gt;=Setup!$C$15,MONTH(WORKDAY(M330,-(Setup!$C$13+Setup!$G$31),Setup!$C$39:$C$50))&lt;=Setup!$C$16))),WORKDAY(M330,-(Setup!$C$13+Setup!$G$31+Setup!$C$14),Setup!$C$39:$C$50),WORKDAY(M330,-(Setup!$C$13+Setup!$G$31),Setup!$C$39:$C$50))+(325*100+12)/10000000)))</f>
        <v/>
      </c>
      <c r="AD330" t="str">
        <f>IF(N330="","",IF(N330&lt;Setup!$C$5-Setup!$C$6,"",IF(IF(ISNUMBER(Roster!$D330),Setup!$C$32&lt;=Roster!$D330,FALSE),"",IF(OR(IF(Setup!$C$15&lt;=Setup!$C$16,AND(MONTH(N330)&gt;=Setup!$C$15,MONTH(N330)&lt;=Setup!$C$16),OR(MONTH(N330)&gt;=Setup!$C$15,MONTH(N330)&lt;=Setup!$C$16)),IF(Setup!$C$15&lt;=Setup!$C$16,AND(MONTH(WORKDAY(N330,-(Setup!$C$13+Setup!$G$32),Setup!$C$39:$C$50))&gt;=Setup!$C$15,MONTH(WORKDAY(N330,-(Setup!$C$13+Setup!$G$32),Setup!$C$39:$C$50))&lt;=Setup!$C$16),OR(MONTH(WORKDAY(N330,-(Setup!$C$13+Setup!$G$32),Setup!$C$39:$C$50))&gt;=Setup!$C$15,MONTH(WORKDAY(N330,-(Setup!$C$13+Setup!$G$32),Setup!$C$39:$C$50))&lt;=Setup!$C$16))),WORKDAY(N330,-(Setup!$C$13+Setup!$G$32+Setup!$C$14),Setup!$C$39:$C$50),WORKDAY(N330,-(Setup!$C$13+Setup!$G$32),Setup!$C$39:$C$50))+(325*100+13)/10000000)))</f>
        <v/>
      </c>
      <c r="AE330" t="str">
        <f>IF(O330="","",IF(O330&lt;Setup!$C$5-Setup!$C$6,"",IF(IF(ISNUMBER(Roster!$D330),Setup!$C$33&lt;=Roster!$D330,FALSE),"",IF(OR(IF(Setup!$C$15&lt;=Setup!$C$16,AND(MONTH(O330)&gt;=Setup!$C$15,MONTH(O330)&lt;=Setup!$C$16),OR(MONTH(O330)&gt;=Setup!$C$15,MONTH(O330)&lt;=Setup!$C$16)),IF(Setup!$C$15&lt;=Setup!$C$16,AND(MONTH(WORKDAY(O330,-(Setup!$C$13+Setup!$G$33),Setup!$C$39:$C$50))&gt;=Setup!$C$15,MONTH(WORKDAY(O330,-(Setup!$C$13+Setup!$G$33),Setup!$C$39:$C$50))&lt;=Setup!$C$16),OR(MONTH(WORKDAY(O330,-(Setup!$C$13+Setup!$G$33),Setup!$C$39:$C$50))&gt;=Setup!$C$15,MONTH(WORKDAY(O330,-(Setup!$C$13+Setup!$G$33),Setup!$C$39:$C$50))&lt;=Setup!$C$16))),WORKDAY(O330,-(Setup!$C$13+Setup!$G$33+Setup!$C$14),Setup!$C$39:$C$50),WORKDAY(O330,-(Setup!$C$13+Setup!$G$33),Setup!$C$39:$C$50))+(325*100+14)/10000000)))</f>
        <v/>
      </c>
      <c r="AF330" t="str">
        <f>IF(P330="","",IF(P330&lt;Setup!$C$5-Setup!$C$6,"",IF(IF(ISNUMBER(Roster!$D330),Setup!$C$34&lt;=Roster!$D330,FALSE),"",IF(OR(IF(Setup!$C$15&lt;=Setup!$C$16,AND(MONTH(P330)&gt;=Setup!$C$15,MONTH(P330)&lt;=Setup!$C$16),OR(MONTH(P330)&gt;=Setup!$C$15,MONTH(P330)&lt;=Setup!$C$16)),IF(Setup!$C$15&lt;=Setup!$C$16,AND(MONTH(WORKDAY(P330,-(Setup!$C$13+Setup!$G$34),Setup!$C$39:$C$50))&gt;=Setup!$C$15,MONTH(WORKDAY(P330,-(Setup!$C$13+Setup!$G$34),Setup!$C$39:$C$50))&lt;=Setup!$C$16),OR(MONTH(WORKDAY(P330,-(Setup!$C$13+Setup!$G$34),Setup!$C$39:$C$50))&gt;=Setup!$C$15,MONTH(WORKDAY(P330,-(Setup!$C$13+Setup!$G$34),Setup!$C$39:$C$50))&lt;=Setup!$C$16))),WORKDAY(P330,-(Setup!$C$13+Setup!$G$34+Setup!$C$14),Setup!$C$39:$C$50),WORKDAY(P330,-(Setup!$C$13+Setup!$G$34),Setup!$C$39:$C$50))+(325*100+15)/10000000)))</f>
        <v/>
      </c>
      <c r="AH330" t="str">
        <f t="shared" si="41"/>
        <v/>
      </c>
      <c r="AI330" t="str">
        <f t="shared" si="42"/>
        <v/>
      </c>
      <c r="AP330" t="str">
        <f>IF(ISNUMBER(Roster!$B330),MAX(1,YEAR(Setup!$C$5)-YEAR(Roster!$B330)+IF(EDATE(Roster!$B330,12*(YEAR(Setup!$C$5)-YEAR(Roster!$B330)))&lt;Setup!$C$5,1,0)),"")</f>
        <v/>
      </c>
      <c r="AQ330" s="32" t="str">
        <f>IF(AP330="","",EDATE(Roster!$B330,12*AP330))</f>
        <v/>
      </c>
      <c r="AR330" t="str">
        <f>IF(AQ330="","",IF(AQ330&lt;DATE(YEAR(Setup!$C$5)+1,MONTH(Setup!$C$5),DAY(Setup!$C$5)),AQ330+325/1000,""))</f>
        <v/>
      </c>
      <c r="AS330" t="str">
        <f t="shared" si="43"/>
        <v/>
      </c>
      <c r="AT330" t="str">
        <f>IF(AS330="","",IF(ISNUMBER(Roster!$D330),Roster!$D330&gt;=AP330,FALSE))</f>
        <v/>
      </c>
      <c r="AU330" t="str">
        <f t="shared" si="44"/>
        <v/>
      </c>
      <c r="AV330" t="str">
        <f ca="1">IF(325&gt;$AV$2,"",SMALL($AR$6:$AR$505,325))</f>
        <v/>
      </c>
      <c r="AW330" t="str">
        <f t="shared" ca="1" si="45"/>
        <v/>
      </c>
    </row>
    <row r="331" spans="2:49" x14ac:dyDescent="0.2">
      <c r="B331" s="32" t="str">
        <f>IF(AND(ISNUMBER(Roster!$B331),Setup!$B$20="Yes",ISNUMBER(Setup!$C$20)),EDATE(Roster!$B331,12*Setup!$C$20),"")</f>
        <v/>
      </c>
      <c r="C331" s="32" t="str">
        <f>IF(AND(ISNUMBER(Roster!$B331),Setup!$B$21="Yes",ISNUMBER(Setup!$C$21)),EDATE(Roster!$B331,12*Setup!$C$21),"")</f>
        <v/>
      </c>
      <c r="D331" s="32" t="str">
        <f>IF(AND(ISNUMBER(Roster!$B331),Setup!$B$22="Yes",ISNUMBER(Setup!$C$22)),EDATE(Roster!$B331,12*Setup!$C$22),"")</f>
        <v/>
      </c>
      <c r="E331" s="32" t="str">
        <f>IF(AND(ISNUMBER(Roster!$B331),Setup!$B$23="Yes",ISNUMBER(Setup!$C$23)),EDATE(Roster!$B331,12*Setup!$C$23),"")</f>
        <v/>
      </c>
      <c r="F331" s="32" t="str">
        <f>IF(AND(ISNUMBER(Roster!$B331),Setup!$B$24="Yes",ISNUMBER(Setup!$C$24)),EDATE(Roster!$B331,12*Setup!$C$24),"")</f>
        <v/>
      </c>
      <c r="G331" s="32" t="str">
        <f>IF(AND(ISNUMBER(Roster!$B331),Setup!$B$25="Yes",ISNUMBER(Setup!$C$25)),EDATE(Roster!$B331,12*Setup!$C$25),"")</f>
        <v/>
      </c>
      <c r="H331" s="32" t="str">
        <f>IF(AND(ISNUMBER(Roster!$B331),Setup!$B$26="Yes",ISNUMBER(Setup!$C$26)),EDATE(Roster!$B331,12*Setup!$C$26),"")</f>
        <v/>
      </c>
      <c r="I331" s="32" t="str">
        <f>IF(AND(ISNUMBER(Roster!$B331),Setup!$B$27="Yes",ISNUMBER(Setup!$C$27)),EDATE(Roster!$B331,12*Setup!$C$27),"")</f>
        <v/>
      </c>
      <c r="J331" s="32" t="str">
        <f>IF(AND(ISNUMBER(Roster!$B331),Setup!$B$28="Yes",ISNUMBER(Setup!$C$28)),EDATE(Roster!$B331,12*Setup!$C$28),"")</f>
        <v/>
      </c>
      <c r="K331" s="32" t="str">
        <f>IF(AND(ISNUMBER(Roster!$B331),Setup!$B$29="Yes",ISNUMBER(Setup!$C$29)),EDATE(Roster!$B331,12*Setup!$C$29),"")</f>
        <v/>
      </c>
      <c r="L331" s="32" t="str">
        <f>IF(AND(ISNUMBER(Roster!$B331),Setup!$B$30="Yes",ISNUMBER(Setup!$C$30)),EDATE(Roster!$B331,12*Setup!$C$30),"")</f>
        <v/>
      </c>
      <c r="M331" s="32" t="str">
        <f>IF(AND(ISNUMBER(Roster!$B331),Setup!$B$31="Yes",ISNUMBER(Setup!$C$31)),EDATE(Roster!$B331,12*Setup!$C$31),"")</f>
        <v/>
      </c>
      <c r="N331" s="32" t="str">
        <f>IF(AND(ISNUMBER(Roster!$B331),Setup!$B$32="Yes",ISNUMBER(Setup!$C$32)),EDATE(Roster!$B331,12*Setup!$C$32),"")</f>
        <v/>
      </c>
      <c r="O331" s="32" t="str">
        <f>IF(AND(ISNUMBER(Roster!$B331),Setup!$B$33="Yes",ISNUMBER(Setup!$C$33)),EDATE(Roster!$B331,12*Setup!$C$33),"")</f>
        <v/>
      </c>
      <c r="P331" s="32" t="str">
        <f>IF(AND(ISNUMBER(Roster!$B331),Setup!$B$34="Yes",ISNUMBER(Setup!$C$34)),EDATE(Roster!$B331,12*Setup!$C$34),"")</f>
        <v/>
      </c>
      <c r="R331" t="str">
        <f>IF(B331="","",IF(B331&lt;Setup!$C$5-Setup!$C$6,"",IF(IF(ISNUMBER(Roster!$D331),Setup!$C$20&lt;=Roster!$D331,FALSE),"",IF(OR(IF(Setup!$C$15&lt;=Setup!$C$16,AND(MONTH(B331)&gt;=Setup!$C$15,MONTH(B331)&lt;=Setup!$C$16),OR(MONTH(B331)&gt;=Setup!$C$15,MONTH(B331)&lt;=Setup!$C$16)),IF(Setup!$C$15&lt;=Setup!$C$16,AND(MONTH(WORKDAY(B331,-(Setup!$C$13+Setup!$G$20),Setup!$C$39:$C$50))&gt;=Setup!$C$15,MONTH(WORKDAY(B331,-(Setup!$C$13+Setup!$G$20),Setup!$C$39:$C$50))&lt;=Setup!$C$16),OR(MONTH(WORKDAY(B331,-(Setup!$C$13+Setup!$G$20),Setup!$C$39:$C$50))&gt;=Setup!$C$15,MONTH(WORKDAY(B331,-(Setup!$C$13+Setup!$G$20),Setup!$C$39:$C$50))&lt;=Setup!$C$16))),WORKDAY(B331,-(Setup!$C$13+Setup!$G$20+Setup!$C$14),Setup!$C$39:$C$50),WORKDAY(B331,-(Setup!$C$13+Setup!$G$20),Setup!$C$39:$C$50))+(326*100+1)/10000000)))</f>
        <v/>
      </c>
      <c r="S331" t="str">
        <f>IF(C331="","",IF(C331&lt;Setup!$C$5-Setup!$C$6,"",IF(IF(ISNUMBER(Roster!$D331),Setup!$C$21&lt;=Roster!$D331,FALSE),"",IF(OR(IF(Setup!$C$15&lt;=Setup!$C$16,AND(MONTH(C331)&gt;=Setup!$C$15,MONTH(C331)&lt;=Setup!$C$16),OR(MONTH(C331)&gt;=Setup!$C$15,MONTH(C331)&lt;=Setup!$C$16)),IF(Setup!$C$15&lt;=Setup!$C$16,AND(MONTH(WORKDAY(C331,-(Setup!$C$13+Setup!$G$21),Setup!$C$39:$C$50))&gt;=Setup!$C$15,MONTH(WORKDAY(C331,-(Setup!$C$13+Setup!$G$21),Setup!$C$39:$C$50))&lt;=Setup!$C$16),OR(MONTH(WORKDAY(C331,-(Setup!$C$13+Setup!$G$21),Setup!$C$39:$C$50))&gt;=Setup!$C$15,MONTH(WORKDAY(C331,-(Setup!$C$13+Setup!$G$21),Setup!$C$39:$C$50))&lt;=Setup!$C$16))),WORKDAY(C331,-(Setup!$C$13+Setup!$G$21+Setup!$C$14),Setup!$C$39:$C$50),WORKDAY(C331,-(Setup!$C$13+Setup!$G$21),Setup!$C$39:$C$50))+(326*100+2)/10000000)))</f>
        <v/>
      </c>
      <c r="T331" t="str">
        <f>IF(D331="","",IF(D331&lt;Setup!$C$5-Setup!$C$6,"",IF(IF(ISNUMBER(Roster!$D331),Setup!$C$22&lt;=Roster!$D331,FALSE),"",IF(OR(IF(Setup!$C$15&lt;=Setup!$C$16,AND(MONTH(D331)&gt;=Setup!$C$15,MONTH(D331)&lt;=Setup!$C$16),OR(MONTH(D331)&gt;=Setup!$C$15,MONTH(D331)&lt;=Setup!$C$16)),IF(Setup!$C$15&lt;=Setup!$C$16,AND(MONTH(WORKDAY(D331,-(Setup!$C$13+Setup!$G$22),Setup!$C$39:$C$50))&gt;=Setup!$C$15,MONTH(WORKDAY(D331,-(Setup!$C$13+Setup!$G$22),Setup!$C$39:$C$50))&lt;=Setup!$C$16),OR(MONTH(WORKDAY(D331,-(Setup!$C$13+Setup!$G$22),Setup!$C$39:$C$50))&gt;=Setup!$C$15,MONTH(WORKDAY(D331,-(Setup!$C$13+Setup!$G$22),Setup!$C$39:$C$50))&lt;=Setup!$C$16))),WORKDAY(D331,-(Setup!$C$13+Setup!$G$22+Setup!$C$14),Setup!$C$39:$C$50),WORKDAY(D331,-(Setup!$C$13+Setup!$G$22),Setup!$C$39:$C$50))+(326*100+3)/10000000)))</f>
        <v/>
      </c>
      <c r="U331" t="str">
        <f>IF(E331="","",IF(E331&lt;Setup!$C$5-Setup!$C$6,"",IF(IF(ISNUMBER(Roster!$D331),Setup!$C$23&lt;=Roster!$D331,FALSE),"",IF(OR(IF(Setup!$C$15&lt;=Setup!$C$16,AND(MONTH(E331)&gt;=Setup!$C$15,MONTH(E331)&lt;=Setup!$C$16),OR(MONTH(E331)&gt;=Setup!$C$15,MONTH(E331)&lt;=Setup!$C$16)),IF(Setup!$C$15&lt;=Setup!$C$16,AND(MONTH(WORKDAY(E331,-(Setup!$C$13+Setup!$G$23),Setup!$C$39:$C$50))&gt;=Setup!$C$15,MONTH(WORKDAY(E331,-(Setup!$C$13+Setup!$G$23),Setup!$C$39:$C$50))&lt;=Setup!$C$16),OR(MONTH(WORKDAY(E331,-(Setup!$C$13+Setup!$G$23),Setup!$C$39:$C$50))&gt;=Setup!$C$15,MONTH(WORKDAY(E331,-(Setup!$C$13+Setup!$G$23),Setup!$C$39:$C$50))&lt;=Setup!$C$16))),WORKDAY(E331,-(Setup!$C$13+Setup!$G$23+Setup!$C$14),Setup!$C$39:$C$50),WORKDAY(E331,-(Setup!$C$13+Setup!$G$23),Setup!$C$39:$C$50))+(326*100+4)/10000000)))</f>
        <v/>
      </c>
      <c r="V331" t="str">
        <f>IF(F331="","",IF(F331&lt;Setup!$C$5-Setup!$C$6,"",IF(IF(ISNUMBER(Roster!$D331),Setup!$C$24&lt;=Roster!$D331,FALSE),"",IF(OR(IF(Setup!$C$15&lt;=Setup!$C$16,AND(MONTH(F331)&gt;=Setup!$C$15,MONTH(F331)&lt;=Setup!$C$16),OR(MONTH(F331)&gt;=Setup!$C$15,MONTH(F331)&lt;=Setup!$C$16)),IF(Setup!$C$15&lt;=Setup!$C$16,AND(MONTH(WORKDAY(F331,-(Setup!$C$13+Setup!$G$24),Setup!$C$39:$C$50))&gt;=Setup!$C$15,MONTH(WORKDAY(F331,-(Setup!$C$13+Setup!$G$24),Setup!$C$39:$C$50))&lt;=Setup!$C$16),OR(MONTH(WORKDAY(F331,-(Setup!$C$13+Setup!$G$24),Setup!$C$39:$C$50))&gt;=Setup!$C$15,MONTH(WORKDAY(F331,-(Setup!$C$13+Setup!$G$24),Setup!$C$39:$C$50))&lt;=Setup!$C$16))),WORKDAY(F331,-(Setup!$C$13+Setup!$G$24+Setup!$C$14),Setup!$C$39:$C$50),WORKDAY(F331,-(Setup!$C$13+Setup!$G$24),Setup!$C$39:$C$50))+(326*100+5)/10000000)))</f>
        <v/>
      </c>
      <c r="W331" t="str">
        <f>IF(G331="","",IF(G331&lt;Setup!$C$5-Setup!$C$6,"",IF(IF(ISNUMBER(Roster!$D331),Setup!$C$25&lt;=Roster!$D331,FALSE),"",IF(OR(IF(Setup!$C$15&lt;=Setup!$C$16,AND(MONTH(G331)&gt;=Setup!$C$15,MONTH(G331)&lt;=Setup!$C$16),OR(MONTH(G331)&gt;=Setup!$C$15,MONTH(G331)&lt;=Setup!$C$16)),IF(Setup!$C$15&lt;=Setup!$C$16,AND(MONTH(WORKDAY(G331,-(Setup!$C$13+Setup!$G$25),Setup!$C$39:$C$50))&gt;=Setup!$C$15,MONTH(WORKDAY(G331,-(Setup!$C$13+Setup!$G$25),Setup!$C$39:$C$50))&lt;=Setup!$C$16),OR(MONTH(WORKDAY(G331,-(Setup!$C$13+Setup!$G$25),Setup!$C$39:$C$50))&gt;=Setup!$C$15,MONTH(WORKDAY(G331,-(Setup!$C$13+Setup!$G$25),Setup!$C$39:$C$50))&lt;=Setup!$C$16))),WORKDAY(G331,-(Setup!$C$13+Setup!$G$25+Setup!$C$14),Setup!$C$39:$C$50),WORKDAY(G331,-(Setup!$C$13+Setup!$G$25),Setup!$C$39:$C$50))+(326*100+6)/10000000)))</f>
        <v/>
      </c>
      <c r="X331" t="str">
        <f>IF(H331="","",IF(H331&lt;Setup!$C$5-Setup!$C$6,"",IF(IF(ISNUMBER(Roster!$D331),Setup!$C$26&lt;=Roster!$D331,FALSE),"",IF(OR(IF(Setup!$C$15&lt;=Setup!$C$16,AND(MONTH(H331)&gt;=Setup!$C$15,MONTH(H331)&lt;=Setup!$C$16),OR(MONTH(H331)&gt;=Setup!$C$15,MONTH(H331)&lt;=Setup!$C$16)),IF(Setup!$C$15&lt;=Setup!$C$16,AND(MONTH(WORKDAY(H331,-(Setup!$C$13+Setup!$G$26),Setup!$C$39:$C$50))&gt;=Setup!$C$15,MONTH(WORKDAY(H331,-(Setup!$C$13+Setup!$G$26),Setup!$C$39:$C$50))&lt;=Setup!$C$16),OR(MONTH(WORKDAY(H331,-(Setup!$C$13+Setup!$G$26),Setup!$C$39:$C$50))&gt;=Setup!$C$15,MONTH(WORKDAY(H331,-(Setup!$C$13+Setup!$G$26),Setup!$C$39:$C$50))&lt;=Setup!$C$16))),WORKDAY(H331,-(Setup!$C$13+Setup!$G$26+Setup!$C$14),Setup!$C$39:$C$50),WORKDAY(H331,-(Setup!$C$13+Setup!$G$26),Setup!$C$39:$C$50))+(326*100+7)/10000000)))</f>
        <v/>
      </c>
      <c r="Y331" t="str">
        <f>IF(I331="","",IF(I331&lt;Setup!$C$5-Setup!$C$6,"",IF(IF(ISNUMBER(Roster!$D331),Setup!$C$27&lt;=Roster!$D331,FALSE),"",IF(OR(IF(Setup!$C$15&lt;=Setup!$C$16,AND(MONTH(I331)&gt;=Setup!$C$15,MONTH(I331)&lt;=Setup!$C$16),OR(MONTH(I331)&gt;=Setup!$C$15,MONTH(I331)&lt;=Setup!$C$16)),IF(Setup!$C$15&lt;=Setup!$C$16,AND(MONTH(WORKDAY(I331,-(Setup!$C$13+Setup!$G$27),Setup!$C$39:$C$50))&gt;=Setup!$C$15,MONTH(WORKDAY(I331,-(Setup!$C$13+Setup!$G$27),Setup!$C$39:$C$50))&lt;=Setup!$C$16),OR(MONTH(WORKDAY(I331,-(Setup!$C$13+Setup!$G$27),Setup!$C$39:$C$50))&gt;=Setup!$C$15,MONTH(WORKDAY(I331,-(Setup!$C$13+Setup!$G$27),Setup!$C$39:$C$50))&lt;=Setup!$C$16))),WORKDAY(I331,-(Setup!$C$13+Setup!$G$27+Setup!$C$14),Setup!$C$39:$C$50),WORKDAY(I331,-(Setup!$C$13+Setup!$G$27),Setup!$C$39:$C$50))+(326*100+8)/10000000)))</f>
        <v/>
      </c>
      <c r="Z331" t="str">
        <f>IF(J331="","",IF(J331&lt;Setup!$C$5-Setup!$C$6,"",IF(IF(ISNUMBER(Roster!$D331),Setup!$C$28&lt;=Roster!$D331,FALSE),"",IF(OR(IF(Setup!$C$15&lt;=Setup!$C$16,AND(MONTH(J331)&gt;=Setup!$C$15,MONTH(J331)&lt;=Setup!$C$16),OR(MONTH(J331)&gt;=Setup!$C$15,MONTH(J331)&lt;=Setup!$C$16)),IF(Setup!$C$15&lt;=Setup!$C$16,AND(MONTH(WORKDAY(J331,-(Setup!$C$13+Setup!$G$28),Setup!$C$39:$C$50))&gt;=Setup!$C$15,MONTH(WORKDAY(J331,-(Setup!$C$13+Setup!$G$28),Setup!$C$39:$C$50))&lt;=Setup!$C$16),OR(MONTH(WORKDAY(J331,-(Setup!$C$13+Setup!$G$28),Setup!$C$39:$C$50))&gt;=Setup!$C$15,MONTH(WORKDAY(J331,-(Setup!$C$13+Setup!$G$28),Setup!$C$39:$C$50))&lt;=Setup!$C$16))),WORKDAY(J331,-(Setup!$C$13+Setup!$G$28+Setup!$C$14),Setup!$C$39:$C$50),WORKDAY(J331,-(Setup!$C$13+Setup!$G$28),Setup!$C$39:$C$50))+(326*100+9)/10000000)))</f>
        <v/>
      </c>
      <c r="AA331" t="str">
        <f>IF(K331="","",IF(K331&lt;Setup!$C$5-Setup!$C$6,"",IF(IF(ISNUMBER(Roster!$D331),Setup!$C$29&lt;=Roster!$D331,FALSE),"",IF(OR(IF(Setup!$C$15&lt;=Setup!$C$16,AND(MONTH(K331)&gt;=Setup!$C$15,MONTH(K331)&lt;=Setup!$C$16),OR(MONTH(K331)&gt;=Setup!$C$15,MONTH(K331)&lt;=Setup!$C$16)),IF(Setup!$C$15&lt;=Setup!$C$16,AND(MONTH(WORKDAY(K331,-(Setup!$C$13+Setup!$G$29),Setup!$C$39:$C$50))&gt;=Setup!$C$15,MONTH(WORKDAY(K331,-(Setup!$C$13+Setup!$G$29),Setup!$C$39:$C$50))&lt;=Setup!$C$16),OR(MONTH(WORKDAY(K331,-(Setup!$C$13+Setup!$G$29),Setup!$C$39:$C$50))&gt;=Setup!$C$15,MONTH(WORKDAY(K331,-(Setup!$C$13+Setup!$G$29),Setup!$C$39:$C$50))&lt;=Setup!$C$16))),WORKDAY(K331,-(Setup!$C$13+Setup!$G$29+Setup!$C$14),Setup!$C$39:$C$50),WORKDAY(K331,-(Setup!$C$13+Setup!$G$29),Setup!$C$39:$C$50))+(326*100+10)/10000000)))</f>
        <v/>
      </c>
      <c r="AB331" t="str">
        <f>IF(L331="","",IF(L331&lt;Setup!$C$5-Setup!$C$6,"",IF(IF(ISNUMBER(Roster!$D331),Setup!$C$30&lt;=Roster!$D331,FALSE),"",IF(OR(IF(Setup!$C$15&lt;=Setup!$C$16,AND(MONTH(L331)&gt;=Setup!$C$15,MONTH(L331)&lt;=Setup!$C$16),OR(MONTH(L331)&gt;=Setup!$C$15,MONTH(L331)&lt;=Setup!$C$16)),IF(Setup!$C$15&lt;=Setup!$C$16,AND(MONTH(WORKDAY(L331,-(Setup!$C$13+Setup!$G$30),Setup!$C$39:$C$50))&gt;=Setup!$C$15,MONTH(WORKDAY(L331,-(Setup!$C$13+Setup!$G$30),Setup!$C$39:$C$50))&lt;=Setup!$C$16),OR(MONTH(WORKDAY(L331,-(Setup!$C$13+Setup!$G$30),Setup!$C$39:$C$50))&gt;=Setup!$C$15,MONTH(WORKDAY(L331,-(Setup!$C$13+Setup!$G$30),Setup!$C$39:$C$50))&lt;=Setup!$C$16))),WORKDAY(L331,-(Setup!$C$13+Setup!$G$30+Setup!$C$14),Setup!$C$39:$C$50),WORKDAY(L331,-(Setup!$C$13+Setup!$G$30),Setup!$C$39:$C$50))+(326*100+11)/10000000)))</f>
        <v/>
      </c>
      <c r="AC331" t="str">
        <f>IF(M331="","",IF(M331&lt;Setup!$C$5-Setup!$C$6,"",IF(IF(ISNUMBER(Roster!$D331),Setup!$C$31&lt;=Roster!$D331,FALSE),"",IF(OR(IF(Setup!$C$15&lt;=Setup!$C$16,AND(MONTH(M331)&gt;=Setup!$C$15,MONTH(M331)&lt;=Setup!$C$16),OR(MONTH(M331)&gt;=Setup!$C$15,MONTH(M331)&lt;=Setup!$C$16)),IF(Setup!$C$15&lt;=Setup!$C$16,AND(MONTH(WORKDAY(M331,-(Setup!$C$13+Setup!$G$31),Setup!$C$39:$C$50))&gt;=Setup!$C$15,MONTH(WORKDAY(M331,-(Setup!$C$13+Setup!$G$31),Setup!$C$39:$C$50))&lt;=Setup!$C$16),OR(MONTH(WORKDAY(M331,-(Setup!$C$13+Setup!$G$31),Setup!$C$39:$C$50))&gt;=Setup!$C$15,MONTH(WORKDAY(M331,-(Setup!$C$13+Setup!$G$31),Setup!$C$39:$C$50))&lt;=Setup!$C$16))),WORKDAY(M331,-(Setup!$C$13+Setup!$G$31+Setup!$C$14),Setup!$C$39:$C$50),WORKDAY(M331,-(Setup!$C$13+Setup!$G$31),Setup!$C$39:$C$50))+(326*100+12)/10000000)))</f>
        <v/>
      </c>
      <c r="AD331" t="str">
        <f>IF(N331="","",IF(N331&lt;Setup!$C$5-Setup!$C$6,"",IF(IF(ISNUMBER(Roster!$D331),Setup!$C$32&lt;=Roster!$D331,FALSE),"",IF(OR(IF(Setup!$C$15&lt;=Setup!$C$16,AND(MONTH(N331)&gt;=Setup!$C$15,MONTH(N331)&lt;=Setup!$C$16),OR(MONTH(N331)&gt;=Setup!$C$15,MONTH(N331)&lt;=Setup!$C$16)),IF(Setup!$C$15&lt;=Setup!$C$16,AND(MONTH(WORKDAY(N331,-(Setup!$C$13+Setup!$G$32),Setup!$C$39:$C$50))&gt;=Setup!$C$15,MONTH(WORKDAY(N331,-(Setup!$C$13+Setup!$G$32),Setup!$C$39:$C$50))&lt;=Setup!$C$16),OR(MONTH(WORKDAY(N331,-(Setup!$C$13+Setup!$G$32),Setup!$C$39:$C$50))&gt;=Setup!$C$15,MONTH(WORKDAY(N331,-(Setup!$C$13+Setup!$G$32),Setup!$C$39:$C$50))&lt;=Setup!$C$16))),WORKDAY(N331,-(Setup!$C$13+Setup!$G$32+Setup!$C$14),Setup!$C$39:$C$50),WORKDAY(N331,-(Setup!$C$13+Setup!$G$32),Setup!$C$39:$C$50))+(326*100+13)/10000000)))</f>
        <v/>
      </c>
      <c r="AE331" t="str">
        <f>IF(O331="","",IF(O331&lt;Setup!$C$5-Setup!$C$6,"",IF(IF(ISNUMBER(Roster!$D331),Setup!$C$33&lt;=Roster!$D331,FALSE),"",IF(OR(IF(Setup!$C$15&lt;=Setup!$C$16,AND(MONTH(O331)&gt;=Setup!$C$15,MONTH(O331)&lt;=Setup!$C$16),OR(MONTH(O331)&gt;=Setup!$C$15,MONTH(O331)&lt;=Setup!$C$16)),IF(Setup!$C$15&lt;=Setup!$C$16,AND(MONTH(WORKDAY(O331,-(Setup!$C$13+Setup!$G$33),Setup!$C$39:$C$50))&gt;=Setup!$C$15,MONTH(WORKDAY(O331,-(Setup!$C$13+Setup!$G$33),Setup!$C$39:$C$50))&lt;=Setup!$C$16),OR(MONTH(WORKDAY(O331,-(Setup!$C$13+Setup!$G$33),Setup!$C$39:$C$50))&gt;=Setup!$C$15,MONTH(WORKDAY(O331,-(Setup!$C$13+Setup!$G$33),Setup!$C$39:$C$50))&lt;=Setup!$C$16))),WORKDAY(O331,-(Setup!$C$13+Setup!$G$33+Setup!$C$14),Setup!$C$39:$C$50),WORKDAY(O331,-(Setup!$C$13+Setup!$G$33),Setup!$C$39:$C$50))+(326*100+14)/10000000)))</f>
        <v/>
      </c>
      <c r="AF331" t="str">
        <f>IF(P331="","",IF(P331&lt;Setup!$C$5-Setup!$C$6,"",IF(IF(ISNUMBER(Roster!$D331),Setup!$C$34&lt;=Roster!$D331,FALSE),"",IF(OR(IF(Setup!$C$15&lt;=Setup!$C$16,AND(MONTH(P331)&gt;=Setup!$C$15,MONTH(P331)&lt;=Setup!$C$16),OR(MONTH(P331)&gt;=Setup!$C$15,MONTH(P331)&lt;=Setup!$C$16)),IF(Setup!$C$15&lt;=Setup!$C$16,AND(MONTH(WORKDAY(P331,-(Setup!$C$13+Setup!$G$34),Setup!$C$39:$C$50))&gt;=Setup!$C$15,MONTH(WORKDAY(P331,-(Setup!$C$13+Setup!$G$34),Setup!$C$39:$C$50))&lt;=Setup!$C$16),OR(MONTH(WORKDAY(P331,-(Setup!$C$13+Setup!$G$34),Setup!$C$39:$C$50))&gt;=Setup!$C$15,MONTH(WORKDAY(P331,-(Setup!$C$13+Setup!$G$34),Setup!$C$39:$C$50))&lt;=Setup!$C$16))),WORKDAY(P331,-(Setup!$C$13+Setup!$G$34+Setup!$C$14),Setup!$C$39:$C$50),WORKDAY(P331,-(Setup!$C$13+Setup!$G$34),Setup!$C$39:$C$50))+(326*100+15)/10000000)))</f>
        <v/>
      </c>
      <c r="AH331" t="str">
        <f t="shared" si="41"/>
        <v/>
      </c>
      <c r="AI331" t="str">
        <f t="shared" si="42"/>
        <v/>
      </c>
      <c r="AP331" t="str">
        <f>IF(ISNUMBER(Roster!$B331),MAX(1,YEAR(Setup!$C$5)-YEAR(Roster!$B331)+IF(EDATE(Roster!$B331,12*(YEAR(Setup!$C$5)-YEAR(Roster!$B331)))&lt;Setup!$C$5,1,0)),"")</f>
        <v/>
      </c>
      <c r="AQ331" s="32" t="str">
        <f>IF(AP331="","",EDATE(Roster!$B331,12*AP331))</f>
        <v/>
      </c>
      <c r="AR331" t="str">
        <f>IF(AQ331="","",IF(AQ331&lt;DATE(YEAR(Setup!$C$5)+1,MONTH(Setup!$C$5),DAY(Setup!$C$5)),AQ331+326/1000,""))</f>
        <v/>
      </c>
      <c r="AS331" t="str">
        <f t="shared" si="43"/>
        <v/>
      </c>
      <c r="AT331" t="str">
        <f>IF(AS331="","",IF(ISNUMBER(Roster!$D331),Roster!$D331&gt;=AP331,FALSE))</f>
        <v/>
      </c>
      <c r="AU331" t="str">
        <f t="shared" si="44"/>
        <v/>
      </c>
      <c r="AV331" t="str">
        <f ca="1">IF(326&gt;$AV$2,"",SMALL($AR$6:$AR$505,326))</f>
        <v/>
      </c>
      <c r="AW331" t="str">
        <f t="shared" ca="1" si="45"/>
        <v/>
      </c>
    </row>
    <row r="332" spans="2:49" x14ac:dyDescent="0.2">
      <c r="B332" s="32" t="str">
        <f>IF(AND(ISNUMBER(Roster!$B332),Setup!$B$20="Yes",ISNUMBER(Setup!$C$20)),EDATE(Roster!$B332,12*Setup!$C$20),"")</f>
        <v/>
      </c>
      <c r="C332" s="32" t="str">
        <f>IF(AND(ISNUMBER(Roster!$B332),Setup!$B$21="Yes",ISNUMBER(Setup!$C$21)),EDATE(Roster!$B332,12*Setup!$C$21),"")</f>
        <v/>
      </c>
      <c r="D332" s="32" t="str">
        <f>IF(AND(ISNUMBER(Roster!$B332),Setup!$B$22="Yes",ISNUMBER(Setup!$C$22)),EDATE(Roster!$B332,12*Setup!$C$22),"")</f>
        <v/>
      </c>
      <c r="E332" s="32" t="str">
        <f>IF(AND(ISNUMBER(Roster!$B332),Setup!$B$23="Yes",ISNUMBER(Setup!$C$23)),EDATE(Roster!$B332,12*Setup!$C$23),"")</f>
        <v/>
      </c>
      <c r="F332" s="32" t="str">
        <f>IF(AND(ISNUMBER(Roster!$B332),Setup!$B$24="Yes",ISNUMBER(Setup!$C$24)),EDATE(Roster!$B332,12*Setup!$C$24),"")</f>
        <v/>
      </c>
      <c r="G332" s="32" t="str">
        <f>IF(AND(ISNUMBER(Roster!$B332),Setup!$B$25="Yes",ISNUMBER(Setup!$C$25)),EDATE(Roster!$B332,12*Setup!$C$25),"")</f>
        <v/>
      </c>
      <c r="H332" s="32" t="str">
        <f>IF(AND(ISNUMBER(Roster!$B332),Setup!$B$26="Yes",ISNUMBER(Setup!$C$26)),EDATE(Roster!$B332,12*Setup!$C$26),"")</f>
        <v/>
      </c>
      <c r="I332" s="32" t="str">
        <f>IF(AND(ISNUMBER(Roster!$B332),Setup!$B$27="Yes",ISNUMBER(Setup!$C$27)),EDATE(Roster!$B332,12*Setup!$C$27),"")</f>
        <v/>
      </c>
      <c r="J332" s="32" t="str">
        <f>IF(AND(ISNUMBER(Roster!$B332),Setup!$B$28="Yes",ISNUMBER(Setup!$C$28)),EDATE(Roster!$B332,12*Setup!$C$28),"")</f>
        <v/>
      </c>
      <c r="K332" s="32" t="str">
        <f>IF(AND(ISNUMBER(Roster!$B332),Setup!$B$29="Yes",ISNUMBER(Setup!$C$29)),EDATE(Roster!$B332,12*Setup!$C$29),"")</f>
        <v/>
      </c>
      <c r="L332" s="32" t="str">
        <f>IF(AND(ISNUMBER(Roster!$B332),Setup!$B$30="Yes",ISNUMBER(Setup!$C$30)),EDATE(Roster!$B332,12*Setup!$C$30),"")</f>
        <v/>
      </c>
      <c r="M332" s="32" t="str">
        <f>IF(AND(ISNUMBER(Roster!$B332),Setup!$B$31="Yes",ISNUMBER(Setup!$C$31)),EDATE(Roster!$B332,12*Setup!$C$31),"")</f>
        <v/>
      </c>
      <c r="N332" s="32" t="str">
        <f>IF(AND(ISNUMBER(Roster!$B332),Setup!$B$32="Yes",ISNUMBER(Setup!$C$32)),EDATE(Roster!$B332,12*Setup!$C$32),"")</f>
        <v/>
      </c>
      <c r="O332" s="32" t="str">
        <f>IF(AND(ISNUMBER(Roster!$B332),Setup!$B$33="Yes",ISNUMBER(Setup!$C$33)),EDATE(Roster!$B332,12*Setup!$C$33),"")</f>
        <v/>
      </c>
      <c r="P332" s="32" t="str">
        <f>IF(AND(ISNUMBER(Roster!$B332),Setup!$B$34="Yes",ISNUMBER(Setup!$C$34)),EDATE(Roster!$B332,12*Setup!$C$34),"")</f>
        <v/>
      </c>
      <c r="R332" t="str">
        <f>IF(B332="","",IF(B332&lt;Setup!$C$5-Setup!$C$6,"",IF(IF(ISNUMBER(Roster!$D332),Setup!$C$20&lt;=Roster!$D332,FALSE),"",IF(OR(IF(Setup!$C$15&lt;=Setup!$C$16,AND(MONTH(B332)&gt;=Setup!$C$15,MONTH(B332)&lt;=Setup!$C$16),OR(MONTH(B332)&gt;=Setup!$C$15,MONTH(B332)&lt;=Setup!$C$16)),IF(Setup!$C$15&lt;=Setup!$C$16,AND(MONTH(WORKDAY(B332,-(Setup!$C$13+Setup!$G$20),Setup!$C$39:$C$50))&gt;=Setup!$C$15,MONTH(WORKDAY(B332,-(Setup!$C$13+Setup!$G$20),Setup!$C$39:$C$50))&lt;=Setup!$C$16),OR(MONTH(WORKDAY(B332,-(Setup!$C$13+Setup!$G$20),Setup!$C$39:$C$50))&gt;=Setup!$C$15,MONTH(WORKDAY(B332,-(Setup!$C$13+Setup!$G$20),Setup!$C$39:$C$50))&lt;=Setup!$C$16))),WORKDAY(B332,-(Setup!$C$13+Setup!$G$20+Setup!$C$14),Setup!$C$39:$C$50),WORKDAY(B332,-(Setup!$C$13+Setup!$G$20),Setup!$C$39:$C$50))+(327*100+1)/10000000)))</f>
        <v/>
      </c>
      <c r="S332" t="str">
        <f>IF(C332="","",IF(C332&lt;Setup!$C$5-Setup!$C$6,"",IF(IF(ISNUMBER(Roster!$D332),Setup!$C$21&lt;=Roster!$D332,FALSE),"",IF(OR(IF(Setup!$C$15&lt;=Setup!$C$16,AND(MONTH(C332)&gt;=Setup!$C$15,MONTH(C332)&lt;=Setup!$C$16),OR(MONTH(C332)&gt;=Setup!$C$15,MONTH(C332)&lt;=Setup!$C$16)),IF(Setup!$C$15&lt;=Setup!$C$16,AND(MONTH(WORKDAY(C332,-(Setup!$C$13+Setup!$G$21),Setup!$C$39:$C$50))&gt;=Setup!$C$15,MONTH(WORKDAY(C332,-(Setup!$C$13+Setup!$G$21),Setup!$C$39:$C$50))&lt;=Setup!$C$16),OR(MONTH(WORKDAY(C332,-(Setup!$C$13+Setup!$G$21),Setup!$C$39:$C$50))&gt;=Setup!$C$15,MONTH(WORKDAY(C332,-(Setup!$C$13+Setup!$G$21),Setup!$C$39:$C$50))&lt;=Setup!$C$16))),WORKDAY(C332,-(Setup!$C$13+Setup!$G$21+Setup!$C$14),Setup!$C$39:$C$50),WORKDAY(C332,-(Setup!$C$13+Setup!$G$21),Setup!$C$39:$C$50))+(327*100+2)/10000000)))</f>
        <v/>
      </c>
      <c r="T332" t="str">
        <f>IF(D332="","",IF(D332&lt;Setup!$C$5-Setup!$C$6,"",IF(IF(ISNUMBER(Roster!$D332),Setup!$C$22&lt;=Roster!$D332,FALSE),"",IF(OR(IF(Setup!$C$15&lt;=Setup!$C$16,AND(MONTH(D332)&gt;=Setup!$C$15,MONTH(D332)&lt;=Setup!$C$16),OR(MONTH(D332)&gt;=Setup!$C$15,MONTH(D332)&lt;=Setup!$C$16)),IF(Setup!$C$15&lt;=Setup!$C$16,AND(MONTH(WORKDAY(D332,-(Setup!$C$13+Setup!$G$22),Setup!$C$39:$C$50))&gt;=Setup!$C$15,MONTH(WORKDAY(D332,-(Setup!$C$13+Setup!$G$22),Setup!$C$39:$C$50))&lt;=Setup!$C$16),OR(MONTH(WORKDAY(D332,-(Setup!$C$13+Setup!$G$22),Setup!$C$39:$C$50))&gt;=Setup!$C$15,MONTH(WORKDAY(D332,-(Setup!$C$13+Setup!$G$22),Setup!$C$39:$C$50))&lt;=Setup!$C$16))),WORKDAY(D332,-(Setup!$C$13+Setup!$G$22+Setup!$C$14),Setup!$C$39:$C$50),WORKDAY(D332,-(Setup!$C$13+Setup!$G$22),Setup!$C$39:$C$50))+(327*100+3)/10000000)))</f>
        <v/>
      </c>
      <c r="U332" t="str">
        <f>IF(E332="","",IF(E332&lt;Setup!$C$5-Setup!$C$6,"",IF(IF(ISNUMBER(Roster!$D332),Setup!$C$23&lt;=Roster!$D332,FALSE),"",IF(OR(IF(Setup!$C$15&lt;=Setup!$C$16,AND(MONTH(E332)&gt;=Setup!$C$15,MONTH(E332)&lt;=Setup!$C$16),OR(MONTH(E332)&gt;=Setup!$C$15,MONTH(E332)&lt;=Setup!$C$16)),IF(Setup!$C$15&lt;=Setup!$C$16,AND(MONTH(WORKDAY(E332,-(Setup!$C$13+Setup!$G$23),Setup!$C$39:$C$50))&gt;=Setup!$C$15,MONTH(WORKDAY(E332,-(Setup!$C$13+Setup!$G$23),Setup!$C$39:$C$50))&lt;=Setup!$C$16),OR(MONTH(WORKDAY(E332,-(Setup!$C$13+Setup!$G$23),Setup!$C$39:$C$50))&gt;=Setup!$C$15,MONTH(WORKDAY(E332,-(Setup!$C$13+Setup!$G$23),Setup!$C$39:$C$50))&lt;=Setup!$C$16))),WORKDAY(E332,-(Setup!$C$13+Setup!$G$23+Setup!$C$14),Setup!$C$39:$C$50),WORKDAY(E332,-(Setup!$C$13+Setup!$G$23),Setup!$C$39:$C$50))+(327*100+4)/10000000)))</f>
        <v/>
      </c>
      <c r="V332" t="str">
        <f>IF(F332="","",IF(F332&lt;Setup!$C$5-Setup!$C$6,"",IF(IF(ISNUMBER(Roster!$D332),Setup!$C$24&lt;=Roster!$D332,FALSE),"",IF(OR(IF(Setup!$C$15&lt;=Setup!$C$16,AND(MONTH(F332)&gt;=Setup!$C$15,MONTH(F332)&lt;=Setup!$C$16),OR(MONTH(F332)&gt;=Setup!$C$15,MONTH(F332)&lt;=Setup!$C$16)),IF(Setup!$C$15&lt;=Setup!$C$16,AND(MONTH(WORKDAY(F332,-(Setup!$C$13+Setup!$G$24),Setup!$C$39:$C$50))&gt;=Setup!$C$15,MONTH(WORKDAY(F332,-(Setup!$C$13+Setup!$G$24),Setup!$C$39:$C$50))&lt;=Setup!$C$16),OR(MONTH(WORKDAY(F332,-(Setup!$C$13+Setup!$G$24),Setup!$C$39:$C$50))&gt;=Setup!$C$15,MONTH(WORKDAY(F332,-(Setup!$C$13+Setup!$G$24),Setup!$C$39:$C$50))&lt;=Setup!$C$16))),WORKDAY(F332,-(Setup!$C$13+Setup!$G$24+Setup!$C$14),Setup!$C$39:$C$50),WORKDAY(F332,-(Setup!$C$13+Setup!$G$24),Setup!$C$39:$C$50))+(327*100+5)/10000000)))</f>
        <v/>
      </c>
      <c r="W332" t="str">
        <f>IF(G332="","",IF(G332&lt;Setup!$C$5-Setup!$C$6,"",IF(IF(ISNUMBER(Roster!$D332),Setup!$C$25&lt;=Roster!$D332,FALSE),"",IF(OR(IF(Setup!$C$15&lt;=Setup!$C$16,AND(MONTH(G332)&gt;=Setup!$C$15,MONTH(G332)&lt;=Setup!$C$16),OR(MONTH(G332)&gt;=Setup!$C$15,MONTH(G332)&lt;=Setup!$C$16)),IF(Setup!$C$15&lt;=Setup!$C$16,AND(MONTH(WORKDAY(G332,-(Setup!$C$13+Setup!$G$25),Setup!$C$39:$C$50))&gt;=Setup!$C$15,MONTH(WORKDAY(G332,-(Setup!$C$13+Setup!$G$25),Setup!$C$39:$C$50))&lt;=Setup!$C$16),OR(MONTH(WORKDAY(G332,-(Setup!$C$13+Setup!$G$25),Setup!$C$39:$C$50))&gt;=Setup!$C$15,MONTH(WORKDAY(G332,-(Setup!$C$13+Setup!$G$25),Setup!$C$39:$C$50))&lt;=Setup!$C$16))),WORKDAY(G332,-(Setup!$C$13+Setup!$G$25+Setup!$C$14),Setup!$C$39:$C$50),WORKDAY(G332,-(Setup!$C$13+Setup!$G$25),Setup!$C$39:$C$50))+(327*100+6)/10000000)))</f>
        <v/>
      </c>
      <c r="X332" t="str">
        <f>IF(H332="","",IF(H332&lt;Setup!$C$5-Setup!$C$6,"",IF(IF(ISNUMBER(Roster!$D332),Setup!$C$26&lt;=Roster!$D332,FALSE),"",IF(OR(IF(Setup!$C$15&lt;=Setup!$C$16,AND(MONTH(H332)&gt;=Setup!$C$15,MONTH(H332)&lt;=Setup!$C$16),OR(MONTH(H332)&gt;=Setup!$C$15,MONTH(H332)&lt;=Setup!$C$16)),IF(Setup!$C$15&lt;=Setup!$C$16,AND(MONTH(WORKDAY(H332,-(Setup!$C$13+Setup!$G$26),Setup!$C$39:$C$50))&gt;=Setup!$C$15,MONTH(WORKDAY(H332,-(Setup!$C$13+Setup!$G$26),Setup!$C$39:$C$50))&lt;=Setup!$C$16),OR(MONTH(WORKDAY(H332,-(Setup!$C$13+Setup!$G$26),Setup!$C$39:$C$50))&gt;=Setup!$C$15,MONTH(WORKDAY(H332,-(Setup!$C$13+Setup!$G$26),Setup!$C$39:$C$50))&lt;=Setup!$C$16))),WORKDAY(H332,-(Setup!$C$13+Setup!$G$26+Setup!$C$14),Setup!$C$39:$C$50),WORKDAY(H332,-(Setup!$C$13+Setup!$G$26),Setup!$C$39:$C$50))+(327*100+7)/10000000)))</f>
        <v/>
      </c>
      <c r="Y332" t="str">
        <f>IF(I332="","",IF(I332&lt;Setup!$C$5-Setup!$C$6,"",IF(IF(ISNUMBER(Roster!$D332),Setup!$C$27&lt;=Roster!$D332,FALSE),"",IF(OR(IF(Setup!$C$15&lt;=Setup!$C$16,AND(MONTH(I332)&gt;=Setup!$C$15,MONTH(I332)&lt;=Setup!$C$16),OR(MONTH(I332)&gt;=Setup!$C$15,MONTH(I332)&lt;=Setup!$C$16)),IF(Setup!$C$15&lt;=Setup!$C$16,AND(MONTH(WORKDAY(I332,-(Setup!$C$13+Setup!$G$27),Setup!$C$39:$C$50))&gt;=Setup!$C$15,MONTH(WORKDAY(I332,-(Setup!$C$13+Setup!$G$27),Setup!$C$39:$C$50))&lt;=Setup!$C$16),OR(MONTH(WORKDAY(I332,-(Setup!$C$13+Setup!$G$27),Setup!$C$39:$C$50))&gt;=Setup!$C$15,MONTH(WORKDAY(I332,-(Setup!$C$13+Setup!$G$27),Setup!$C$39:$C$50))&lt;=Setup!$C$16))),WORKDAY(I332,-(Setup!$C$13+Setup!$G$27+Setup!$C$14),Setup!$C$39:$C$50),WORKDAY(I332,-(Setup!$C$13+Setup!$G$27),Setup!$C$39:$C$50))+(327*100+8)/10000000)))</f>
        <v/>
      </c>
      <c r="Z332" t="str">
        <f>IF(J332="","",IF(J332&lt;Setup!$C$5-Setup!$C$6,"",IF(IF(ISNUMBER(Roster!$D332),Setup!$C$28&lt;=Roster!$D332,FALSE),"",IF(OR(IF(Setup!$C$15&lt;=Setup!$C$16,AND(MONTH(J332)&gt;=Setup!$C$15,MONTH(J332)&lt;=Setup!$C$16),OR(MONTH(J332)&gt;=Setup!$C$15,MONTH(J332)&lt;=Setup!$C$16)),IF(Setup!$C$15&lt;=Setup!$C$16,AND(MONTH(WORKDAY(J332,-(Setup!$C$13+Setup!$G$28),Setup!$C$39:$C$50))&gt;=Setup!$C$15,MONTH(WORKDAY(J332,-(Setup!$C$13+Setup!$G$28),Setup!$C$39:$C$50))&lt;=Setup!$C$16),OR(MONTH(WORKDAY(J332,-(Setup!$C$13+Setup!$G$28),Setup!$C$39:$C$50))&gt;=Setup!$C$15,MONTH(WORKDAY(J332,-(Setup!$C$13+Setup!$G$28),Setup!$C$39:$C$50))&lt;=Setup!$C$16))),WORKDAY(J332,-(Setup!$C$13+Setup!$G$28+Setup!$C$14),Setup!$C$39:$C$50),WORKDAY(J332,-(Setup!$C$13+Setup!$G$28),Setup!$C$39:$C$50))+(327*100+9)/10000000)))</f>
        <v/>
      </c>
      <c r="AA332" t="str">
        <f>IF(K332="","",IF(K332&lt;Setup!$C$5-Setup!$C$6,"",IF(IF(ISNUMBER(Roster!$D332),Setup!$C$29&lt;=Roster!$D332,FALSE),"",IF(OR(IF(Setup!$C$15&lt;=Setup!$C$16,AND(MONTH(K332)&gt;=Setup!$C$15,MONTH(K332)&lt;=Setup!$C$16),OR(MONTH(K332)&gt;=Setup!$C$15,MONTH(K332)&lt;=Setup!$C$16)),IF(Setup!$C$15&lt;=Setup!$C$16,AND(MONTH(WORKDAY(K332,-(Setup!$C$13+Setup!$G$29),Setup!$C$39:$C$50))&gt;=Setup!$C$15,MONTH(WORKDAY(K332,-(Setup!$C$13+Setup!$G$29),Setup!$C$39:$C$50))&lt;=Setup!$C$16),OR(MONTH(WORKDAY(K332,-(Setup!$C$13+Setup!$G$29),Setup!$C$39:$C$50))&gt;=Setup!$C$15,MONTH(WORKDAY(K332,-(Setup!$C$13+Setup!$G$29),Setup!$C$39:$C$50))&lt;=Setup!$C$16))),WORKDAY(K332,-(Setup!$C$13+Setup!$G$29+Setup!$C$14),Setup!$C$39:$C$50),WORKDAY(K332,-(Setup!$C$13+Setup!$G$29),Setup!$C$39:$C$50))+(327*100+10)/10000000)))</f>
        <v/>
      </c>
      <c r="AB332" t="str">
        <f>IF(L332="","",IF(L332&lt;Setup!$C$5-Setup!$C$6,"",IF(IF(ISNUMBER(Roster!$D332),Setup!$C$30&lt;=Roster!$D332,FALSE),"",IF(OR(IF(Setup!$C$15&lt;=Setup!$C$16,AND(MONTH(L332)&gt;=Setup!$C$15,MONTH(L332)&lt;=Setup!$C$16),OR(MONTH(L332)&gt;=Setup!$C$15,MONTH(L332)&lt;=Setup!$C$16)),IF(Setup!$C$15&lt;=Setup!$C$16,AND(MONTH(WORKDAY(L332,-(Setup!$C$13+Setup!$G$30),Setup!$C$39:$C$50))&gt;=Setup!$C$15,MONTH(WORKDAY(L332,-(Setup!$C$13+Setup!$G$30),Setup!$C$39:$C$50))&lt;=Setup!$C$16),OR(MONTH(WORKDAY(L332,-(Setup!$C$13+Setup!$G$30),Setup!$C$39:$C$50))&gt;=Setup!$C$15,MONTH(WORKDAY(L332,-(Setup!$C$13+Setup!$G$30),Setup!$C$39:$C$50))&lt;=Setup!$C$16))),WORKDAY(L332,-(Setup!$C$13+Setup!$G$30+Setup!$C$14),Setup!$C$39:$C$50),WORKDAY(L332,-(Setup!$C$13+Setup!$G$30),Setup!$C$39:$C$50))+(327*100+11)/10000000)))</f>
        <v/>
      </c>
      <c r="AC332" t="str">
        <f>IF(M332="","",IF(M332&lt;Setup!$C$5-Setup!$C$6,"",IF(IF(ISNUMBER(Roster!$D332),Setup!$C$31&lt;=Roster!$D332,FALSE),"",IF(OR(IF(Setup!$C$15&lt;=Setup!$C$16,AND(MONTH(M332)&gt;=Setup!$C$15,MONTH(M332)&lt;=Setup!$C$16),OR(MONTH(M332)&gt;=Setup!$C$15,MONTH(M332)&lt;=Setup!$C$16)),IF(Setup!$C$15&lt;=Setup!$C$16,AND(MONTH(WORKDAY(M332,-(Setup!$C$13+Setup!$G$31),Setup!$C$39:$C$50))&gt;=Setup!$C$15,MONTH(WORKDAY(M332,-(Setup!$C$13+Setup!$G$31),Setup!$C$39:$C$50))&lt;=Setup!$C$16),OR(MONTH(WORKDAY(M332,-(Setup!$C$13+Setup!$G$31),Setup!$C$39:$C$50))&gt;=Setup!$C$15,MONTH(WORKDAY(M332,-(Setup!$C$13+Setup!$G$31),Setup!$C$39:$C$50))&lt;=Setup!$C$16))),WORKDAY(M332,-(Setup!$C$13+Setup!$G$31+Setup!$C$14),Setup!$C$39:$C$50),WORKDAY(M332,-(Setup!$C$13+Setup!$G$31),Setup!$C$39:$C$50))+(327*100+12)/10000000)))</f>
        <v/>
      </c>
      <c r="AD332" t="str">
        <f>IF(N332="","",IF(N332&lt;Setup!$C$5-Setup!$C$6,"",IF(IF(ISNUMBER(Roster!$D332),Setup!$C$32&lt;=Roster!$D332,FALSE),"",IF(OR(IF(Setup!$C$15&lt;=Setup!$C$16,AND(MONTH(N332)&gt;=Setup!$C$15,MONTH(N332)&lt;=Setup!$C$16),OR(MONTH(N332)&gt;=Setup!$C$15,MONTH(N332)&lt;=Setup!$C$16)),IF(Setup!$C$15&lt;=Setup!$C$16,AND(MONTH(WORKDAY(N332,-(Setup!$C$13+Setup!$G$32),Setup!$C$39:$C$50))&gt;=Setup!$C$15,MONTH(WORKDAY(N332,-(Setup!$C$13+Setup!$G$32),Setup!$C$39:$C$50))&lt;=Setup!$C$16),OR(MONTH(WORKDAY(N332,-(Setup!$C$13+Setup!$G$32),Setup!$C$39:$C$50))&gt;=Setup!$C$15,MONTH(WORKDAY(N332,-(Setup!$C$13+Setup!$G$32),Setup!$C$39:$C$50))&lt;=Setup!$C$16))),WORKDAY(N332,-(Setup!$C$13+Setup!$G$32+Setup!$C$14),Setup!$C$39:$C$50),WORKDAY(N332,-(Setup!$C$13+Setup!$G$32),Setup!$C$39:$C$50))+(327*100+13)/10000000)))</f>
        <v/>
      </c>
      <c r="AE332" t="str">
        <f>IF(O332="","",IF(O332&lt;Setup!$C$5-Setup!$C$6,"",IF(IF(ISNUMBER(Roster!$D332),Setup!$C$33&lt;=Roster!$D332,FALSE),"",IF(OR(IF(Setup!$C$15&lt;=Setup!$C$16,AND(MONTH(O332)&gt;=Setup!$C$15,MONTH(O332)&lt;=Setup!$C$16),OR(MONTH(O332)&gt;=Setup!$C$15,MONTH(O332)&lt;=Setup!$C$16)),IF(Setup!$C$15&lt;=Setup!$C$16,AND(MONTH(WORKDAY(O332,-(Setup!$C$13+Setup!$G$33),Setup!$C$39:$C$50))&gt;=Setup!$C$15,MONTH(WORKDAY(O332,-(Setup!$C$13+Setup!$G$33),Setup!$C$39:$C$50))&lt;=Setup!$C$16),OR(MONTH(WORKDAY(O332,-(Setup!$C$13+Setup!$G$33),Setup!$C$39:$C$50))&gt;=Setup!$C$15,MONTH(WORKDAY(O332,-(Setup!$C$13+Setup!$G$33),Setup!$C$39:$C$50))&lt;=Setup!$C$16))),WORKDAY(O332,-(Setup!$C$13+Setup!$G$33+Setup!$C$14),Setup!$C$39:$C$50),WORKDAY(O332,-(Setup!$C$13+Setup!$G$33),Setup!$C$39:$C$50))+(327*100+14)/10000000)))</f>
        <v/>
      </c>
      <c r="AF332" t="str">
        <f>IF(P332="","",IF(P332&lt;Setup!$C$5-Setup!$C$6,"",IF(IF(ISNUMBER(Roster!$D332),Setup!$C$34&lt;=Roster!$D332,FALSE),"",IF(OR(IF(Setup!$C$15&lt;=Setup!$C$16,AND(MONTH(P332)&gt;=Setup!$C$15,MONTH(P332)&lt;=Setup!$C$16),OR(MONTH(P332)&gt;=Setup!$C$15,MONTH(P332)&lt;=Setup!$C$16)),IF(Setup!$C$15&lt;=Setup!$C$16,AND(MONTH(WORKDAY(P332,-(Setup!$C$13+Setup!$G$34),Setup!$C$39:$C$50))&gt;=Setup!$C$15,MONTH(WORKDAY(P332,-(Setup!$C$13+Setup!$G$34),Setup!$C$39:$C$50))&lt;=Setup!$C$16),OR(MONTH(WORKDAY(P332,-(Setup!$C$13+Setup!$G$34),Setup!$C$39:$C$50))&gt;=Setup!$C$15,MONTH(WORKDAY(P332,-(Setup!$C$13+Setup!$G$34),Setup!$C$39:$C$50))&lt;=Setup!$C$16))),WORKDAY(P332,-(Setup!$C$13+Setup!$G$34+Setup!$C$14),Setup!$C$39:$C$50),WORKDAY(P332,-(Setup!$C$13+Setup!$G$34),Setup!$C$39:$C$50))+(327*100+15)/10000000)))</f>
        <v/>
      </c>
      <c r="AH332" t="str">
        <f t="shared" si="41"/>
        <v/>
      </c>
      <c r="AI332" t="str">
        <f t="shared" si="42"/>
        <v/>
      </c>
      <c r="AP332" t="str">
        <f>IF(ISNUMBER(Roster!$B332),MAX(1,YEAR(Setup!$C$5)-YEAR(Roster!$B332)+IF(EDATE(Roster!$B332,12*(YEAR(Setup!$C$5)-YEAR(Roster!$B332)))&lt;Setup!$C$5,1,0)),"")</f>
        <v/>
      </c>
      <c r="AQ332" s="32" t="str">
        <f>IF(AP332="","",EDATE(Roster!$B332,12*AP332))</f>
        <v/>
      </c>
      <c r="AR332" t="str">
        <f>IF(AQ332="","",IF(AQ332&lt;DATE(YEAR(Setup!$C$5)+1,MONTH(Setup!$C$5),DAY(Setup!$C$5)),AQ332+327/1000,""))</f>
        <v/>
      </c>
      <c r="AS332" t="str">
        <f t="shared" si="43"/>
        <v/>
      </c>
      <c r="AT332" t="str">
        <f>IF(AS332="","",IF(ISNUMBER(Roster!$D332),Roster!$D332&gt;=AP332,FALSE))</f>
        <v/>
      </c>
      <c r="AU332" t="str">
        <f t="shared" si="44"/>
        <v/>
      </c>
      <c r="AV332" t="str">
        <f ca="1">IF(327&gt;$AV$2,"",SMALL($AR$6:$AR$505,327))</f>
        <v/>
      </c>
      <c r="AW332" t="str">
        <f t="shared" ca="1" si="45"/>
        <v/>
      </c>
    </row>
    <row r="333" spans="2:49" x14ac:dyDescent="0.2">
      <c r="B333" s="32" t="str">
        <f>IF(AND(ISNUMBER(Roster!$B333),Setup!$B$20="Yes",ISNUMBER(Setup!$C$20)),EDATE(Roster!$B333,12*Setup!$C$20),"")</f>
        <v/>
      </c>
      <c r="C333" s="32" t="str">
        <f>IF(AND(ISNUMBER(Roster!$B333),Setup!$B$21="Yes",ISNUMBER(Setup!$C$21)),EDATE(Roster!$B333,12*Setup!$C$21),"")</f>
        <v/>
      </c>
      <c r="D333" s="32" t="str">
        <f>IF(AND(ISNUMBER(Roster!$B333),Setup!$B$22="Yes",ISNUMBER(Setup!$C$22)),EDATE(Roster!$B333,12*Setup!$C$22),"")</f>
        <v/>
      </c>
      <c r="E333" s="32" t="str">
        <f>IF(AND(ISNUMBER(Roster!$B333),Setup!$B$23="Yes",ISNUMBER(Setup!$C$23)),EDATE(Roster!$B333,12*Setup!$C$23),"")</f>
        <v/>
      </c>
      <c r="F333" s="32" t="str">
        <f>IF(AND(ISNUMBER(Roster!$B333),Setup!$B$24="Yes",ISNUMBER(Setup!$C$24)),EDATE(Roster!$B333,12*Setup!$C$24),"")</f>
        <v/>
      </c>
      <c r="G333" s="32" t="str">
        <f>IF(AND(ISNUMBER(Roster!$B333),Setup!$B$25="Yes",ISNUMBER(Setup!$C$25)),EDATE(Roster!$B333,12*Setup!$C$25),"")</f>
        <v/>
      </c>
      <c r="H333" s="32" t="str">
        <f>IF(AND(ISNUMBER(Roster!$B333),Setup!$B$26="Yes",ISNUMBER(Setup!$C$26)),EDATE(Roster!$B333,12*Setup!$C$26),"")</f>
        <v/>
      </c>
      <c r="I333" s="32" t="str">
        <f>IF(AND(ISNUMBER(Roster!$B333),Setup!$B$27="Yes",ISNUMBER(Setup!$C$27)),EDATE(Roster!$B333,12*Setup!$C$27),"")</f>
        <v/>
      </c>
      <c r="J333" s="32" t="str">
        <f>IF(AND(ISNUMBER(Roster!$B333),Setup!$B$28="Yes",ISNUMBER(Setup!$C$28)),EDATE(Roster!$B333,12*Setup!$C$28),"")</f>
        <v/>
      </c>
      <c r="K333" s="32" t="str">
        <f>IF(AND(ISNUMBER(Roster!$B333),Setup!$B$29="Yes",ISNUMBER(Setup!$C$29)),EDATE(Roster!$B333,12*Setup!$C$29),"")</f>
        <v/>
      </c>
      <c r="L333" s="32" t="str">
        <f>IF(AND(ISNUMBER(Roster!$B333),Setup!$B$30="Yes",ISNUMBER(Setup!$C$30)),EDATE(Roster!$B333,12*Setup!$C$30),"")</f>
        <v/>
      </c>
      <c r="M333" s="32" t="str">
        <f>IF(AND(ISNUMBER(Roster!$B333),Setup!$B$31="Yes",ISNUMBER(Setup!$C$31)),EDATE(Roster!$B333,12*Setup!$C$31),"")</f>
        <v/>
      </c>
      <c r="N333" s="32" t="str">
        <f>IF(AND(ISNUMBER(Roster!$B333),Setup!$B$32="Yes",ISNUMBER(Setup!$C$32)),EDATE(Roster!$B333,12*Setup!$C$32),"")</f>
        <v/>
      </c>
      <c r="O333" s="32" t="str">
        <f>IF(AND(ISNUMBER(Roster!$B333),Setup!$B$33="Yes",ISNUMBER(Setup!$C$33)),EDATE(Roster!$B333,12*Setup!$C$33),"")</f>
        <v/>
      </c>
      <c r="P333" s="32" t="str">
        <f>IF(AND(ISNUMBER(Roster!$B333),Setup!$B$34="Yes",ISNUMBER(Setup!$C$34)),EDATE(Roster!$B333,12*Setup!$C$34),"")</f>
        <v/>
      </c>
      <c r="R333" t="str">
        <f>IF(B333="","",IF(B333&lt;Setup!$C$5-Setup!$C$6,"",IF(IF(ISNUMBER(Roster!$D333),Setup!$C$20&lt;=Roster!$D333,FALSE),"",IF(OR(IF(Setup!$C$15&lt;=Setup!$C$16,AND(MONTH(B333)&gt;=Setup!$C$15,MONTH(B333)&lt;=Setup!$C$16),OR(MONTH(B333)&gt;=Setup!$C$15,MONTH(B333)&lt;=Setup!$C$16)),IF(Setup!$C$15&lt;=Setup!$C$16,AND(MONTH(WORKDAY(B333,-(Setup!$C$13+Setup!$G$20),Setup!$C$39:$C$50))&gt;=Setup!$C$15,MONTH(WORKDAY(B333,-(Setup!$C$13+Setup!$G$20),Setup!$C$39:$C$50))&lt;=Setup!$C$16),OR(MONTH(WORKDAY(B333,-(Setup!$C$13+Setup!$G$20),Setup!$C$39:$C$50))&gt;=Setup!$C$15,MONTH(WORKDAY(B333,-(Setup!$C$13+Setup!$G$20),Setup!$C$39:$C$50))&lt;=Setup!$C$16))),WORKDAY(B333,-(Setup!$C$13+Setup!$G$20+Setup!$C$14),Setup!$C$39:$C$50),WORKDAY(B333,-(Setup!$C$13+Setup!$G$20),Setup!$C$39:$C$50))+(328*100+1)/10000000)))</f>
        <v/>
      </c>
      <c r="S333" t="str">
        <f>IF(C333="","",IF(C333&lt;Setup!$C$5-Setup!$C$6,"",IF(IF(ISNUMBER(Roster!$D333),Setup!$C$21&lt;=Roster!$D333,FALSE),"",IF(OR(IF(Setup!$C$15&lt;=Setup!$C$16,AND(MONTH(C333)&gt;=Setup!$C$15,MONTH(C333)&lt;=Setup!$C$16),OR(MONTH(C333)&gt;=Setup!$C$15,MONTH(C333)&lt;=Setup!$C$16)),IF(Setup!$C$15&lt;=Setup!$C$16,AND(MONTH(WORKDAY(C333,-(Setup!$C$13+Setup!$G$21),Setup!$C$39:$C$50))&gt;=Setup!$C$15,MONTH(WORKDAY(C333,-(Setup!$C$13+Setup!$G$21),Setup!$C$39:$C$50))&lt;=Setup!$C$16),OR(MONTH(WORKDAY(C333,-(Setup!$C$13+Setup!$G$21),Setup!$C$39:$C$50))&gt;=Setup!$C$15,MONTH(WORKDAY(C333,-(Setup!$C$13+Setup!$G$21),Setup!$C$39:$C$50))&lt;=Setup!$C$16))),WORKDAY(C333,-(Setup!$C$13+Setup!$G$21+Setup!$C$14),Setup!$C$39:$C$50),WORKDAY(C333,-(Setup!$C$13+Setup!$G$21),Setup!$C$39:$C$50))+(328*100+2)/10000000)))</f>
        <v/>
      </c>
      <c r="T333" t="str">
        <f>IF(D333="","",IF(D333&lt;Setup!$C$5-Setup!$C$6,"",IF(IF(ISNUMBER(Roster!$D333),Setup!$C$22&lt;=Roster!$D333,FALSE),"",IF(OR(IF(Setup!$C$15&lt;=Setup!$C$16,AND(MONTH(D333)&gt;=Setup!$C$15,MONTH(D333)&lt;=Setup!$C$16),OR(MONTH(D333)&gt;=Setup!$C$15,MONTH(D333)&lt;=Setup!$C$16)),IF(Setup!$C$15&lt;=Setup!$C$16,AND(MONTH(WORKDAY(D333,-(Setup!$C$13+Setup!$G$22),Setup!$C$39:$C$50))&gt;=Setup!$C$15,MONTH(WORKDAY(D333,-(Setup!$C$13+Setup!$G$22),Setup!$C$39:$C$50))&lt;=Setup!$C$16),OR(MONTH(WORKDAY(D333,-(Setup!$C$13+Setup!$G$22),Setup!$C$39:$C$50))&gt;=Setup!$C$15,MONTH(WORKDAY(D333,-(Setup!$C$13+Setup!$G$22),Setup!$C$39:$C$50))&lt;=Setup!$C$16))),WORKDAY(D333,-(Setup!$C$13+Setup!$G$22+Setup!$C$14),Setup!$C$39:$C$50),WORKDAY(D333,-(Setup!$C$13+Setup!$G$22),Setup!$C$39:$C$50))+(328*100+3)/10000000)))</f>
        <v/>
      </c>
      <c r="U333" t="str">
        <f>IF(E333="","",IF(E333&lt;Setup!$C$5-Setup!$C$6,"",IF(IF(ISNUMBER(Roster!$D333),Setup!$C$23&lt;=Roster!$D333,FALSE),"",IF(OR(IF(Setup!$C$15&lt;=Setup!$C$16,AND(MONTH(E333)&gt;=Setup!$C$15,MONTH(E333)&lt;=Setup!$C$16),OR(MONTH(E333)&gt;=Setup!$C$15,MONTH(E333)&lt;=Setup!$C$16)),IF(Setup!$C$15&lt;=Setup!$C$16,AND(MONTH(WORKDAY(E333,-(Setup!$C$13+Setup!$G$23),Setup!$C$39:$C$50))&gt;=Setup!$C$15,MONTH(WORKDAY(E333,-(Setup!$C$13+Setup!$G$23),Setup!$C$39:$C$50))&lt;=Setup!$C$16),OR(MONTH(WORKDAY(E333,-(Setup!$C$13+Setup!$G$23),Setup!$C$39:$C$50))&gt;=Setup!$C$15,MONTH(WORKDAY(E333,-(Setup!$C$13+Setup!$G$23),Setup!$C$39:$C$50))&lt;=Setup!$C$16))),WORKDAY(E333,-(Setup!$C$13+Setup!$G$23+Setup!$C$14),Setup!$C$39:$C$50),WORKDAY(E333,-(Setup!$C$13+Setup!$G$23),Setup!$C$39:$C$50))+(328*100+4)/10000000)))</f>
        <v/>
      </c>
      <c r="V333" t="str">
        <f>IF(F333="","",IF(F333&lt;Setup!$C$5-Setup!$C$6,"",IF(IF(ISNUMBER(Roster!$D333),Setup!$C$24&lt;=Roster!$D333,FALSE),"",IF(OR(IF(Setup!$C$15&lt;=Setup!$C$16,AND(MONTH(F333)&gt;=Setup!$C$15,MONTH(F333)&lt;=Setup!$C$16),OR(MONTH(F333)&gt;=Setup!$C$15,MONTH(F333)&lt;=Setup!$C$16)),IF(Setup!$C$15&lt;=Setup!$C$16,AND(MONTH(WORKDAY(F333,-(Setup!$C$13+Setup!$G$24),Setup!$C$39:$C$50))&gt;=Setup!$C$15,MONTH(WORKDAY(F333,-(Setup!$C$13+Setup!$G$24),Setup!$C$39:$C$50))&lt;=Setup!$C$16),OR(MONTH(WORKDAY(F333,-(Setup!$C$13+Setup!$G$24),Setup!$C$39:$C$50))&gt;=Setup!$C$15,MONTH(WORKDAY(F333,-(Setup!$C$13+Setup!$G$24),Setup!$C$39:$C$50))&lt;=Setup!$C$16))),WORKDAY(F333,-(Setup!$C$13+Setup!$G$24+Setup!$C$14),Setup!$C$39:$C$50),WORKDAY(F333,-(Setup!$C$13+Setup!$G$24),Setup!$C$39:$C$50))+(328*100+5)/10000000)))</f>
        <v/>
      </c>
      <c r="W333" t="str">
        <f>IF(G333="","",IF(G333&lt;Setup!$C$5-Setup!$C$6,"",IF(IF(ISNUMBER(Roster!$D333),Setup!$C$25&lt;=Roster!$D333,FALSE),"",IF(OR(IF(Setup!$C$15&lt;=Setup!$C$16,AND(MONTH(G333)&gt;=Setup!$C$15,MONTH(G333)&lt;=Setup!$C$16),OR(MONTH(G333)&gt;=Setup!$C$15,MONTH(G333)&lt;=Setup!$C$16)),IF(Setup!$C$15&lt;=Setup!$C$16,AND(MONTH(WORKDAY(G333,-(Setup!$C$13+Setup!$G$25),Setup!$C$39:$C$50))&gt;=Setup!$C$15,MONTH(WORKDAY(G333,-(Setup!$C$13+Setup!$G$25),Setup!$C$39:$C$50))&lt;=Setup!$C$16),OR(MONTH(WORKDAY(G333,-(Setup!$C$13+Setup!$G$25),Setup!$C$39:$C$50))&gt;=Setup!$C$15,MONTH(WORKDAY(G333,-(Setup!$C$13+Setup!$G$25),Setup!$C$39:$C$50))&lt;=Setup!$C$16))),WORKDAY(G333,-(Setup!$C$13+Setup!$G$25+Setup!$C$14),Setup!$C$39:$C$50),WORKDAY(G333,-(Setup!$C$13+Setup!$G$25),Setup!$C$39:$C$50))+(328*100+6)/10000000)))</f>
        <v/>
      </c>
      <c r="X333" t="str">
        <f>IF(H333="","",IF(H333&lt;Setup!$C$5-Setup!$C$6,"",IF(IF(ISNUMBER(Roster!$D333),Setup!$C$26&lt;=Roster!$D333,FALSE),"",IF(OR(IF(Setup!$C$15&lt;=Setup!$C$16,AND(MONTH(H333)&gt;=Setup!$C$15,MONTH(H333)&lt;=Setup!$C$16),OR(MONTH(H333)&gt;=Setup!$C$15,MONTH(H333)&lt;=Setup!$C$16)),IF(Setup!$C$15&lt;=Setup!$C$16,AND(MONTH(WORKDAY(H333,-(Setup!$C$13+Setup!$G$26),Setup!$C$39:$C$50))&gt;=Setup!$C$15,MONTH(WORKDAY(H333,-(Setup!$C$13+Setup!$G$26),Setup!$C$39:$C$50))&lt;=Setup!$C$16),OR(MONTH(WORKDAY(H333,-(Setup!$C$13+Setup!$G$26),Setup!$C$39:$C$50))&gt;=Setup!$C$15,MONTH(WORKDAY(H333,-(Setup!$C$13+Setup!$G$26),Setup!$C$39:$C$50))&lt;=Setup!$C$16))),WORKDAY(H333,-(Setup!$C$13+Setup!$G$26+Setup!$C$14),Setup!$C$39:$C$50),WORKDAY(H333,-(Setup!$C$13+Setup!$G$26),Setup!$C$39:$C$50))+(328*100+7)/10000000)))</f>
        <v/>
      </c>
      <c r="Y333" t="str">
        <f>IF(I333="","",IF(I333&lt;Setup!$C$5-Setup!$C$6,"",IF(IF(ISNUMBER(Roster!$D333),Setup!$C$27&lt;=Roster!$D333,FALSE),"",IF(OR(IF(Setup!$C$15&lt;=Setup!$C$16,AND(MONTH(I333)&gt;=Setup!$C$15,MONTH(I333)&lt;=Setup!$C$16),OR(MONTH(I333)&gt;=Setup!$C$15,MONTH(I333)&lt;=Setup!$C$16)),IF(Setup!$C$15&lt;=Setup!$C$16,AND(MONTH(WORKDAY(I333,-(Setup!$C$13+Setup!$G$27),Setup!$C$39:$C$50))&gt;=Setup!$C$15,MONTH(WORKDAY(I333,-(Setup!$C$13+Setup!$G$27),Setup!$C$39:$C$50))&lt;=Setup!$C$16),OR(MONTH(WORKDAY(I333,-(Setup!$C$13+Setup!$G$27),Setup!$C$39:$C$50))&gt;=Setup!$C$15,MONTH(WORKDAY(I333,-(Setup!$C$13+Setup!$G$27),Setup!$C$39:$C$50))&lt;=Setup!$C$16))),WORKDAY(I333,-(Setup!$C$13+Setup!$G$27+Setup!$C$14),Setup!$C$39:$C$50),WORKDAY(I333,-(Setup!$C$13+Setup!$G$27),Setup!$C$39:$C$50))+(328*100+8)/10000000)))</f>
        <v/>
      </c>
      <c r="Z333" t="str">
        <f>IF(J333="","",IF(J333&lt;Setup!$C$5-Setup!$C$6,"",IF(IF(ISNUMBER(Roster!$D333),Setup!$C$28&lt;=Roster!$D333,FALSE),"",IF(OR(IF(Setup!$C$15&lt;=Setup!$C$16,AND(MONTH(J333)&gt;=Setup!$C$15,MONTH(J333)&lt;=Setup!$C$16),OR(MONTH(J333)&gt;=Setup!$C$15,MONTH(J333)&lt;=Setup!$C$16)),IF(Setup!$C$15&lt;=Setup!$C$16,AND(MONTH(WORKDAY(J333,-(Setup!$C$13+Setup!$G$28),Setup!$C$39:$C$50))&gt;=Setup!$C$15,MONTH(WORKDAY(J333,-(Setup!$C$13+Setup!$G$28),Setup!$C$39:$C$50))&lt;=Setup!$C$16),OR(MONTH(WORKDAY(J333,-(Setup!$C$13+Setup!$G$28),Setup!$C$39:$C$50))&gt;=Setup!$C$15,MONTH(WORKDAY(J333,-(Setup!$C$13+Setup!$G$28),Setup!$C$39:$C$50))&lt;=Setup!$C$16))),WORKDAY(J333,-(Setup!$C$13+Setup!$G$28+Setup!$C$14),Setup!$C$39:$C$50),WORKDAY(J333,-(Setup!$C$13+Setup!$G$28),Setup!$C$39:$C$50))+(328*100+9)/10000000)))</f>
        <v/>
      </c>
      <c r="AA333" t="str">
        <f>IF(K333="","",IF(K333&lt;Setup!$C$5-Setup!$C$6,"",IF(IF(ISNUMBER(Roster!$D333),Setup!$C$29&lt;=Roster!$D333,FALSE),"",IF(OR(IF(Setup!$C$15&lt;=Setup!$C$16,AND(MONTH(K333)&gt;=Setup!$C$15,MONTH(K333)&lt;=Setup!$C$16),OR(MONTH(K333)&gt;=Setup!$C$15,MONTH(K333)&lt;=Setup!$C$16)),IF(Setup!$C$15&lt;=Setup!$C$16,AND(MONTH(WORKDAY(K333,-(Setup!$C$13+Setup!$G$29),Setup!$C$39:$C$50))&gt;=Setup!$C$15,MONTH(WORKDAY(K333,-(Setup!$C$13+Setup!$G$29),Setup!$C$39:$C$50))&lt;=Setup!$C$16),OR(MONTH(WORKDAY(K333,-(Setup!$C$13+Setup!$G$29),Setup!$C$39:$C$50))&gt;=Setup!$C$15,MONTH(WORKDAY(K333,-(Setup!$C$13+Setup!$G$29),Setup!$C$39:$C$50))&lt;=Setup!$C$16))),WORKDAY(K333,-(Setup!$C$13+Setup!$G$29+Setup!$C$14),Setup!$C$39:$C$50),WORKDAY(K333,-(Setup!$C$13+Setup!$G$29),Setup!$C$39:$C$50))+(328*100+10)/10000000)))</f>
        <v/>
      </c>
      <c r="AB333" t="str">
        <f>IF(L333="","",IF(L333&lt;Setup!$C$5-Setup!$C$6,"",IF(IF(ISNUMBER(Roster!$D333),Setup!$C$30&lt;=Roster!$D333,FALSE),"",IF(OR(IF(Setup!$C$15&lt;=Setup!$C$16,AND(MONTH(L333)&gt;=Setup!$C$15,MONTH(L333)&lt;=Setup!$C$16),OR(MONTH(L333)&gt;=Setup!$C$15,MONTH(L333)&lt;=Setup!$C$16)),IF(Setup!$C$15&lt;=Setup!$C$16,AND(MONTH(WORKDAY(L333,-(Setup!$C$13+Setup!$G$30),Setup!$C$39:$C$50))&gt;=Setup!$C$15,MONTH(WORKDAY(L333,-(Setup!$C$13+Setup!$G$30),Setup!$C$39:$C$50))&lt;=Setup!$C$16),OR(MONTH(WORKDAY(L333,-(Setup!$C$13+Setup!$G$30),Setup!$C$39:$C$50))&gt;=Setup!$C$15,MONTH(WORKDAY(L333,-(Setup!$C$13+Setup!$G$30),Setup!$C$39:$C$50))&lt;=Setup!$C$16))),WORKDAY(L333,-(Setup!$C$13+Setup!$G$30+Setup!$C$14),Setup!$C$39:$C$50),WORKDAY(L333,-(Setup!$C$13+Setup!$G$30),Setup!$C$39:$C$50))+(328*100+11)/10000000)))</f>
        <v/>
      </c>
      <c r="AC333" t="str">
        <f>IF(M333="","",IF(M333&lt;Setup!$C$5-Setup!$C$6,"",IF(IF(ISNUMBER(Roster!$D333),Setup!$C$31&lt;=Roster!$D333,FALSE),"",IF(OR(IF(Setup!$C$15&lt;=Setup!$C$16,AND(MONTH(M333)&gt;=Setup!$C$15,MONTH(M333)&lt;=Setup!$C$16),OR(MONTH(M333)&gt;=Setup!$C$15,MONTH(M333)&lt;=Setup!$C$16)),IF(Setup!$C$15&lt;=Setup!$C$16,AND(MONTH(WORKDAY(M333,-(Setup!$C$13+Setup!$G$31),Setup!$C$39:$C$50))&gt;=Setup!$C$15,MONTH(WORKDAY(M333,-(Setup!$C$13+Setup!$G$31),Setup!$C$39:$C$50))&lt;=Setup!$C$16),OR(MONTH(WORKDAY(M333,-(Setup!$C$13+Setup!$G$31),Setup!$C$39:$C$50))&gt;=Setup!$C$15,MONTH(WORKDAY(M333,-(Setup!$C$13+Setup!$G$31),Setup!$C$39:$C$50))&lt;=Setup!$C$16))),WORKDAY(M333,-(Setup!$C$13+Setup!$G$31+Setup!$C$14),Setup!$C$39:$C$50),WORKDAY(M333,-(Setup!$C$13+Setup!$G$31),Setup!$C$39:$C$50))+(328*100+12)/10000000)))</f>
        <v/>
      </c>
      <c r="AD333" t="str">
        <f>IF(N333="","",IF(N333&lt;Setup!$C$5-Setup!$C$6,"",IF(IF(ISNUMBER(Roster!$D333),Setup!$C$32&lt;=Roster!$D333,FALSE),"",IF(OR(IF(Setup!$C$15&lt;=Setup!$C$16,AND(MONTH(N333)&gt;=Setup!$C$15,MONTH(N333)&lt;=Setup!$C$16),OR(MONTH(N333)&gt;=Setup!$C$15,MONTH(N333)&lt;=Setup!$C$16)),IF(Setup!$C$15&lt;=Setup!$C$16,AND(MONTH(WORKDAY(N333,-(Setup!$C$13+Setup!$G$32),Setup!$C$39:$C$50))&gt;=Setup!$C$15,MONTH(WORKDAY(N333,-(Setup!$C$13+Setup!$G$32),Setup!$C$39:$C$50))&lt;=Setup!$C$16),OR(MONTH(WORKDAY(N333,-(Setup!$C$13+Setup!$G$32),Setup!$C$39:$C$50))&gt;=Setup!$C$15,MONTH(WORKDAY(N333,-(Setup!$C$13+Setup!$G$32),Setup!$C$39:$C$50))&lt;=Setup!$C$16))),WORKDAY(N333,-(Setup!$C$13+Setup!$G$32+Setup!$C$14),Setup!$C$39:$C$50),WORKDAY(N333,-(Setup!$C$13+Setup!$G$32),Setup!$C$39:$C$50))+(328*100+13)/10000000)))</f>
        <v/>
      </c>
      <c r="AE333" t="str">
        <f>IF(O333="","",IF(O333&lt;Setup!$C$5-Setup!$C$6,"",IF(IF(ISNUMBER(Roster!$D333),Setup!$C$33&lt;=Roster!$D333,FALSE),"",IF(OR(IF(Setup!$C$15&lt;=Setup!$C$16,AND(MONTH(O333)&gt;=Setup!$C$15,MONTH(O333)&lt;=Setup!$C$16),OR(MONTH(O333)&gt;=Setup!$C$15,MONTH(O333)&lt;=Setup!$C$16)),IF(Setup!$C$15&lt;=Setup!$C$16,AND(MONTH(WORKDAY(O333,-(Setup!$C$13+Setup!$G$33),Setup!$C$39:$C$50))&gt;=Setup!$C$15,MONTH(WORKDAY(O333,-(Setup!$C$13+Setup!$G$33),Setup!$C$39:$C$50))&lt;=Setup!$C$16),OR(MONTH(WORKDAY(O333,-(Setup!$C$13+Setup!$G$33),Setup!$C$39:$C$50))&gt;=Setup!$C$15,MONTH(WORKDAY(O333,-(Setup!$C$13+Setup!$G$33),Setup!$C$39:$C$50))&lt;=Setup!$C$16))),WORKDAY(O333,-(Setup!$C$13+Setup!$G$33+Setup!$C$14),Setup!$C$39:$C$50),WORKDAY(O333,-(Setup!$C$13+Setup!$G$33),Setup!$C$39:$C$50))+(328*100+14)/10000000)))</f>
        <v/>
      </c>
      <c r="AF333" t="str">
        <f>IF(P333="","",IF(P333&lt;Setup!$C$5-Setup!$C$6,"",IF(IF(ISNUMBER(Roster!$D333),Setup!$C$34&lt;=Roster!$D333,FALSE),"",IF(OR(IF(Setup!$C$15&lt;=Setup!$C$16,AND(MONTH(P333)&gt;=Setup!$C$15,MONTH(P333)&lt;=Setup!$C$16),OR(MONTH(P333)&gt;=Setup!$C$15,MONTH(P333)&lt;=Setup!$C$16)),IF(Setup!$C$15&lt;=Setup!$C$16,AND(MONTH(WORKDAY(P333,-(Setup!$C$13+Setup!$G$34),Setup!$C$39:$C$50))&gt;=Setup!$C$15,MONTH(WORKDAY(P333,-(Setup!$C$13+Setup!$G$34),Setup!$C$39:$C$50))&lt;=Setup!$C$16),OR(MONTH(WORKDAY(P333,-(Setup!$C$13+Setup!$G$34),Setup!$C$39:$C$50))&gt;=Setup!$C$15,MONTH(WORKDAY(P333,-(Setup!$C$13+Setup!$G$34),Setup!$C$39:$C$50))&lt;=Setup!$C$16))),WORKDAY(P333,-(Setup!$C$13+Setup!$G$34+Setup!$C$14),Setup!$C$39:$C$50),WORKDAY(P333,-(Setup!$C$13+Setup!$G$34),Setup!$C$39:$C$50))+(328*100+15)/10000000)))</f>
        <v/>
      </c>
      <c r="AH333" t="str">
        <f t="shared" si="41"/>
        <v/>
      </c>
      <c r="AI333" t="str">
        <f t="shared" si="42"/>
        <v/>
      </c>
      <c r="AP333" t="str">
        <f>IF(ISNUMBER(Roster!$B333),MAX(1,YEAR(Setup!$C$5)-YEAR(Roster!$B333)+IF(EDATE(Roster!$B333,12*(YEAR(Setup!$C$5)-YEAR(Roster!$B333)))&lt;Setup!$C$5,1,0)),"")</f>
        <v/>
      </c>
      <c r="AQ333" s="32" t="str">
        <f>IF(AP333="","",EDATE(Roster!$B333,12*AP333))</f>
        <v/>
      </c>
      <c r="AR333" t="str">
        <f>IF(AQ333="","",IF(AQ333&lt;DATE(YEAR(Setup!$C$5)+1,MONTH(Setup!$C$5),DAY(Setup!$C$5)),AQ333+328/1000,""))</f>
        <v/>
      </c>
      <c r="AS333" t="str">
        <f t="shared" si="43"/>
        <v/>
      </c>
      <c r="AT333" t="str">
        <f>IF(AS333="","",IF(ISNUMBER(Roster!$D333),Roster!$D333&gt;=AP333,FALSE))</f>
        <v/>
      </c>
      <c r="AU333" t="str">
        <f t="shared" si="44"/>
        <v/>
      </c>
      <c r="AV333" t="str">
        <f ca="1">IF(328&gt;$AV$2,"",SMALL($AR$6:$AR$505,328))</f>
        <v/>
      </c>
      <c r="AW333" t="str">
        <f t="shared" ca="1" si="45"/>
        <v/>
      </c>
    </row>
    <row r="334" spans="2:49" x14ac:dyDescent="0.2">
      <c r="B334" s="32" t="str">
        <f>IF(AND(ISNUMBER(Roster!$B334),Setup!$B$20="Yes",ISNUMBER(Setup!$C$20)),EDATE(Roster!$B334,12*Setup!$C$20),"")</f>
        <v/>
      </c>
      <c r="C334" s="32" t="str">
        <f>IF(AND(ISNUMBER(Roster!$B334),Setup!$B$21="Yes",ISNUMBER(Setup!$C$21)),EDATE(Roster!$B334,12*Setup!$C$21),"")</f>
        <v/>
      </c>
      <c r="D334" s="32" t="str">
        <f>IF(AND(ISNUMBER(Roster!$B334),Setup!$B$22="Yes",ISNUMBER(Setup!$C$22)),EDATE(Roster!$B334,12*Setup!$C$22),"")</f>
        <v/>
      </c>
      <c r="E334" s="32" t="str">
        <f>IF(AND(ISNUMBER(Roster!$B334),Setup!$B$23="Yes",ISNUMBER(Setup!$C$23)),EDATE(Roster!$B334,12*Setup!$C$23),"")</f>
        <v/>
      </c>
      <c r="F334" s="32" t="str">
        <f>IF(AND(ISNUMBER(Roster!$B334),Setup!$B$24="Yes",ISNUMBER(Setup!$C$24)),EDATE(Roster!$B334,12*Setup!$C$24),"")</f>
        <v/>
      </c>
      <c r="G334" s="32" t="str">
        <f>IF(AND(ISNUMBER(Roster!$B334),Setup!$B$25="Yes",ISNUMBER(Setup!$C$25)),EDATE(Roster!$B334,12*Setup!$C$25),"")</f>
        <v/>
      </c>
      <c r="H334" s="32" t="str">
        <f>IF(AND(ISNUMBER(Roster!$B334),Setup!$B$26="Yes",ISNUMBER(Setup!$C$26)),EDATE(Roster!$B334,12*Setup!$C$26),"")</f>
        <v/>
      </c>
      <c r="I334" s="32" t="str">
        <f>IF(AND(ISNUMBER(Roster!$B334),Setup!$B$27="Yes",ISNUMBER(Setup!$C$27)),EDATE(Roster!$B334,12*Setup!$C$27),"")</f>
        <v/>
      </c>
      <c r="J334" s="32" t="str">
        <f>IF(AND(ISNUMBER(Roster!$B334),Setup!$B$28="Yes",ISNUMBER(Setup!$C$28)),EDATE(Roster!$B334,12*Setup!$C$28),"")</f>
        <v/>
      </c>
      <c r="K334" s="32" t="str">
        <f>IF(AND(ISNUMBER(Roster!$B334),Setup!$B$29="Yes",ISNUMBER(Setup!$C$29)),EDATE(Roster!$B334,12*Setup!$C$29),"")</f>
        <v/>
      </c>
      <c r="L334" s="32" t="str">
        <f>IF(AND(ISNUMBER(Roster!$B334),Setup!$B$30="Yes",ISNUMBER(Setup!$C$30)),EDATE(Roster!$B334,12*Setup!$C$30),"")</f>
        <v/>
      </c>
      <c r="M334" s="32" t="str">
        <f>IF(AND(ISNUMBER(Roster!$B334),Setup!$B$31="Yes",ISNUMBER(Setup!$C$31)),EDATE(Roster!$B334,12*Setup!$C$31),"")</f>
        <v/>
      </c>
      <c r="N334" s="32" t="str">
        <f>IF(AND(ISNUMBER(Roster!$B334),Setup!$B$32="Yes",ISNUMBER(Setup!$C$32)),EDATE(Roster!$B334,12*Setup!$C$32),"")</f>
        <v/>
      </c>
      <c r="O334" s="32" t="str">
        <f>IF(AND(ISNUMBER(Roster!$B334),Setup!$B$33="Yes",ISNUMBER(Setup!$C$33)),EDATE(Roster!$B334,12*Setup!$C$33),"")</f>
        <v/>
      </c>
      <c r="P334" s="32" t="str">
        <f>IF(AND(ISNUMBER(Roster!$B334),Setup!$B$34="Yes",ISNUMBER(Setup!$C$34)),EDATE(Roster!$B334,12*Setup!$C$34),"")</f>
        <v/>
      </c>
      <c r="R334" t="str">
        <f>IF(B334="","",IF(B334&lt;Setup!$C$5-Setup!$C$6,"",IF(IF(ISNUMBER(Roster!$D334),Setup!$C$20&lt;=Roster!$D334,FALSE),"",IF(OR(IF(Setup!$C$15&lt;=Setup!$C$16,AND(MONTH(B334)&gt;=Setup!$C$15,MONTH(B334)&lt;=Setup!$C$16),OR(MONTH(B334)&gt;=Setup!$C$15,MONTH(B334)&lt;=Setup!$C$16)),IF(Setup!$C$15&lt;=Setup!$C$16,AND(MONTH(WORKDAY(B334,-(Setup!$C$13+Setup!$G$20),Setup!$C$39:$C$50))&gt;=Setup!$C$15,MONTH(WORKDAY(B334,-(Setup!$C$13+Setup!$G$20),Setup!$C$39:$C$50))&lt;=Setup!$C$16),OR(MONTH(WORKDAY(B334,-(Setup!$C$13+Setup!$G$20),Setup!$C$39:$C$50))&gt;=Setup!$C$15,MONTH(WORKDAY(B334,-(Setup!$C$13+Setup!$G$20),Setup!$C$39:$C$50))&lt;=Setup!$C$16))),WORKDAY(B334,-(Setup!$C$13+Setup!$G$20+Setup!$C$14),Setup!$C$39:$C$50),WORKDAY(B334,-(Setup!$C$13+Setup!$G$20),Setup!$C$39:$C$50))+(329*100+1)/10000000)))</f>
        <v/>
      </c>
      <c r="S334" t="str">
        <f>IF(C334="","",IF(C334&lt;Setup!$C$5-Setup!$C$6,"",IF(IF(ISNUMBER(Roster!$D334),Setup!$C$21&lt;=Roster!$D334,FALSE),"",IF(OR(IF(Setup!$C$15&lt;=Setup!$C$16,AND(MONTH(C334)&gt;=Setup!$C$15,MONTH(C334)&lt;=Setup!$C$16),OR(MONTH(C334)&gt;=Setup!$C$15,MONTH(C334)&lt;=Setup!$C$16)),IF(Setup!$C$15&lt;=Setup!$C$16,AND(MONTH(WORKDAY(C334,-(Setup!$C$13+Setup!$G$21),Setup!$C$39:$C$50))&gt;=Setup!$C$15,MONTH(WORKDAY(C334,-(Setup!$C$13+Setup!$G$21),Setup!$C$39:$C$50))&lt;=Setup!$C$16),OR(MONTH(WORKDAY(C334,-(Setup!$C$13+Setup!$G$21),Setup!$C$39:$C$50))&gt;=Setup!$C$15,MONTH(WORKDAY(C334,-(Setup!$C$13+Setup!$G$21),Setup!$C$39:$C$50))&lt;=Setup!$C$16))),WORKDAY(C334,-(Setup!$C$13+Setup!$G$21+Setup!$C$14),Setup!$C$39:$C$50),WORKDAY(C334,-(Setup!$C$13+Setup!$G$21),Setup!$C$39:$C$50))+(329*100+2)/10000000)))</f>
        <v/>
      </c>
      <c r="T334" t="str">
        <f>IF(D334="","",IF(D334&lt;Setup!$C$5-Setup!$C$6,"",IF(IF(ISNUMBER(Roster!$D334),Setup!$C$22&lt;=Roster!$D334,FALSE),"",IF(OR(IF(Setup!$C$15&lt;=Setup!$C$16,AND(MONTH(D334)&gt;=Setup!$C$15,MONTH(D334)&lt;=Setup!$C$16),OR(MONTH(D334)&gt;=Setup!$C$15,MONTH(D334)&lt;=Setup!$C$16)),IF(Setup!$C$15&lt;=Setup!$C$16,AND(MONTH(WORKDAY(D334,-(Setup!$C$13+Setup!$G$22),Setup!$C$39:$C$50))&gt;=Setup!$C$15,MONTH(WORKDAY(D334,-(Setup!$C$13+Setup!$G$22),Setup!$C$39:$C$50))&lt;=Setup!$C$16),OR(MONTH(WORKDAY(D334,-(Setup!$C$13+Setup!$G$22),Setup!$C$39:$C$50))&gt;=Setup!$C$15,MONTH(WORKDAY(D334,-(Setup!$C$13+Setup!$G$22),Setup!$C$39:$C$50))&lt;=Setup!$C$16))),WORKDAY(D334,-(Setup!$C$13+Setup!$G$22+Setup!$C$14),Setup!$C$39:$C$50),WORKDAY(D334,-(Setup!$C$13+Setup!$G$22),Setup!$C$39:$C$50))+(329*100+3)/10000000)))</f>
        <v/>
      </c>
      <c r="U334" t="str">
        <f>IF(E334="","",IF(E334&lt;Setup!$C$5-Setup!$C$6,"",IF(IF(ISNUMBER(Roster!$D334),Setup!$C$23&lt;=Roster!$D334,FALSE),"",IF(OR(IF(Setup!$C$15&lt;=Setup!$C$16,AND(MONTH(E334)&gt;=Setup!$C$15,MONTH(E334)&lt;=Setup!$C$16),OR(MONTH(E334)&gt;=Setup!$C$15,MONTH(E334)&lt;=Setup!$C$16)),IF(Setup!$C$15&lt;=Setup!$C$16,AND(MONTH(WORKDAY(E334,-(Setup!$C$13+Setup!$G$23),Setup!$C$39:$C$50))&gt;=Setup!$C$15,MONTH(WORKDAY(E334,-(Setup!$C$13+Setup!$G$23),Setup!$C$39:$C$50))&lt;=Setup!$C$16),OR(MONTH(WORKDAY(E334,-(Setup!$C$13+Setup!$G$23),Setup!$C$39:$C$50))&gt;=Setup!$C$15,MONTH(WORKDAY(E334,-(Setup!$C$13+Setup!$G$23),Setup!$C$39:$C$50))&lt;=Setup!$C$16))),WORKDAY(E334,-(Setup!$C$13+Setup!$G$23+Setup!$C$14),Setup!$C$39:$C$50),WORKDAY(E334,-(Setup!$C$13+Setup!$G$23),Setup!$C$39:$C$50))+(329*100+4)/10000000)))</f>
        <v/>
      </c>
      <c r="V334" t="str">
        <f>IF(F334="","",IF(F334&lt;Setup!$C$5-Setup!$C$6,"",IF(IF(ISNUMBER(Roster!$D334),Setup!$C$24&lt;=Roster!$D334,FALSE),"",IF(OR(IF(Setup!$C$15&lt;=Setup!$C$16,AND(MONTH(F334)&gt;=Setup!$C$15,MONTH(F334)&lt;=Setup!$C$16),OR(MONTH(F334)&gt;=Setup!$C$15,MONTH(F334)&lt;=Setup!$C$16)),IF(Setup!$C$15&lt;=Setup!$C$16,AND(MONTH(WORKDAY(F334,-(Setup!$C$13+Setup!$G$24),Setup!$C$39:$C$50))&gt;=Setup!$C$15,MONTH(WORKDAY(F334,-(Setup!$C$13+Setup!$G$24),Setup!$C$39:$C$50))&lt;=Setup!$C$16),OR(MONTH(WORKDAY(F334,-(Setup!$C$13+Setup!$G$24),Setup!$C$39:$C$50))&gt;=Setup!$C$15,MONTH(WORKDAY(F334,-(Setup!$C$13+Setup!$G$24),Setup!$C$39:$C$50))&lt;=Setup!$C$16))),WORKDAY(F334,-(Setup!$C$13+Setup!$G$24+Setup!$C$14),Setup!$C$39:$C$50),WORKDAY(F334,-(Setup!$C$13+Setup!$G$24),Setup!$C$39:$C$50))+(329*100+5)/10000000)))</f>
        <v/>
      </c>
      <c r="W334" t="str">
        <f>IF(G334="","",IF(G334&lt;Setup!$C$5-Setup!$C$6,"",IF(IF(ISNUMBER(Roster!$D334),Setup!$C$25&lt;=Roster!$D334,FALSE),"",IF(OR(IF(Setup!$C$15&lt;=Setup!$C$16,AND(MONTH(G334)&gt;=Setup!$C$15,MONTH(G334)&lt;=Setup!$C$16),OR(MONTH(G334)&gt;=Setup!$C$15,MONTH(G334)&lt;=Setup!$C$16)),IF(Setup!$C$15&lt;=Setup!$C$16,AND(MONTH(WORKDAY(G334,-(Setup!$C$13+Setup!$G$25),Setup!$C$39:$C$50))&gt;=Setup!$C$15,MONTH(WORKDAY(G334,-(Setup!$C$13+Setup!$G$25),Setup!$C$39:$C$50))&lt;=Setup!$C$16),OR(MONTH(WORKDAY(G334,-(Setup!$C$13+Setup!$G$25),Setup!$C$39:$C$50))&gt;=Setup!$C$15,MONTH(WORKDAY(G334,-(Setup!$C$13+Setup!$G$25),Setup!$C$39:$C$50))&lt;=Setup!$C$16))),WORKDAY(G334,-(Setup!$C$13+Setup!$G$25+Setup!$C$14),Setup!$C$39:$C$50),WORKDAY(G334,-(Setup!$C$13+Setup!$G$25),Setup!$C$39:$C$50))+(329*100+6)/10000000)))</f>
        <v/>
      </c>
      <c r="X334" t="str">
        <f>IF(H334="","",IF(H334&lt;Setup!$C$5-Setup!$C$6,"",IF(IF(ISNUMBER(Roster!$D334),Setup!$C$26&lt;=Roster!$D334,FALSE),"",IF(OR(IF(Setup!$C$15&lt;=Setup!$C$16,AND(MONTH(H334)&gt;=Setup!$C$15,MONTH(H334)&lt;=Setup!$C$16),OR(MONTH(H334)&gt;=Setup!$C$15,MONTH(H334)&lt;=Setup!$C$16)),IF(Setup!$C$15&lt;=Setup!$C$16,AND(MONTH(WORKDAY(H334,-(Setup!$C$13+Setup!$G$26),Setup!$C$39:$C$50))&gt;=Setup!$C$15,MONTH(WORKDAY(H334,-(Setup!$C$13+Setup!$G$26),Setup!$C$39:$C$50))&lt;=Setup!$C$16),OR(MONTH(WORKDAY(H334,-(Setup!$C$13+Setup!$G$26),Setup!$C$39:$C$50))&gt;=Setup!$C$15,MONTH(WORKDAY(H334,-(Setup!$C$13+Setup!$G$26),Setup!$C$39:$C$50))&lt;=Setup!$C$16))),WORKDAY(H334,-(Setup!$C$13+Setup!$G$26+Setup!$C$14),Setup!$C$39:$C$50),WORKDAY(H334,-(Setup!$C$13+Setup!$G$26),Setup!$C$39:$C$50))+(329*100+7)/10000000)))</f>
        <v/>
      </c>
      <c r="Y334" t="str">
        <f>IF(I334="","",IF(I334&lt;Setup!$C$5-Setup!$C$6,"",IF(IF(ISNUMBER(Roster!$D334),Setup!$C$27&lt;=Roster!$D334,FALSE),"",IF(OR(IF(Setup!$C$15&lt;=Setup!$C$16,AND(MONTH(I334)&gt;=Setup!$C$15,MONTH(I334)&lt;=Setup!$C$16),OR(MONTH(I334)&gt;=Setup!$C$15,MONTH(I334)&lt;=Setup!$C$16)),IF(Setup!$C$15&lt;=Setup!$C$16,AND(MONTH(WORKDAY(I334,-(Setup!$C$13+Setup!$G$27),Setup!$C$39:$C$50))&gt;=Setup!$C$15,MONTH(WORKDAY(I334,-(Setup!$C$13+Setup!$G$27),Setup!$C$39:$C$50))&lt;=Setup!$C$16),OR(MONTH(WORKDAY(I334,-(Setup!$C$13+Setup!$G$27),Setup!$C$39:$C$50))&gt;=Setup!$C$15,MONTH(WORKDAY(I334,-(Setup!$C$13+Setup!$G$27),Setup!$C$39:$C$50))&lt;=Setup!$C$16))),WORKDAY(I334,-(Setup!$C$13+Setup!$G$27+Setup!$C$14),Setup!$C$39:$C$50),WORKDAY(I334,-(Setup!$C$13+Setup!$G$27),Setup!$C$39:$C$50))+(329*100+8)/10000000)))</f>
        <v/>
      </c>
      <c r="Z334" t="str">
        <f>IF(J334="","",IF(J334&lt;Setup!$C$5-Setup!$C$6,"",IF(IF(ISNUMBER(Roster!$D334),Setup!$C$28&lt;=Roster!$D334,FALSE),"",IF(OR(IF(Setup!$C$15&lt;=Setup!$C$16,AND(MONTH(J334)&gt;=Setup!$C$15,MONTH(J334)&lt;=Setup!$C$16),OR(MONTH(J334)&gt;=Setup!$C$15,MONTH(J334)&lt;=Setup!$C$16)),IF(Setup!$C$15&lt;=Setup!$C$16,AND(MONTH(WORKDAY(J334,-(Setup!$C$13+Setup!$G$28),Setup!$C$39:$C$50))&gt;=Setup!$C$15,MONTH(WORKDAY(J334,-(Setup!$C$13+Setup!$G$28),Setup!$C$39:$C$50))&lt;=Setup!$C$16),OR(MONTH(WORKDAY(J334,-(Setup!$C$13+Setup!$G$28),Setup!$C$39:$C$50))&gt;=Setup!$C$15,MONTH(WORKDAY(J334,-(Setup!$C$13+Setup!$G$28),Setup!$C$39:$C$50))&lt;=Setup!$C$16))),WORKDAY(J334,-(Setup!$C$13+Setup!$G$28+Setup!$C$14),Setup!$C$39:$C$50),WORKDAY(J334,-(Setup!$C$13+Setup!$G$28),Setup!$C$39:$C$50))+(329*100+9)/10000000)))</f>
        <v/>
      </c>
      <c r="AA334" t="str">
        <f>IF(K334="","",IF(K334&lt;Setup!$C$5-Setup!$C$6,"",IF(IF(ISNUMBER(Roster!$D334),Setup!$C$29&lt;=Roster!$D334,FALSE),"",IF(OR(IF(Setup!$C$15&lt;=Setup!$C$16,AND(MONTH(K334)&gt;=Setup!$C$15,MONTH(K334)&lt;=Setup!$C$16),OR(MONTH(K334)&gt;=Setup!$C$15,MONTH(K334)&lt;=Setup!$C$16)),IF(Setup!$C$15&lt;=Setup!$C$16,AND(MONTH(WORKDAY(K334,-(Setup!$C$13+Setup!$G$29),Setup!$C$39:$C$50))&gt;=Setup!$C$15,MONTH(WORKDAY(K334,-(Setup!$C$13+Setup!$G$29),Setup!$C$39:$C$50))&lt;=Setup!$C$16),OR(MONTH(WORKDAY(K334,-(Setup!$C$13+Setup!$G$29),Setup!$C$39:$C$50))&gt;=Setup!$C$15,MONTH(WORKDAY(K334,-(Setup!$C$13+Setup!$G$29),Setup!$C$39:$C$50))&lt;=Setup!$C$16))),WORKDAY(K334,-(Setup!$C$13+Setup!$G$29+Setup!$C$14),Setup!$C$39:$C$50),WORKDAY(K334,-(Setup!$C$13+Setup!$G$29),Setup!$C$39:$C$50))+(329*100+10)/10000000)))</f>
        <v/>
      </c>
      <c r="AB334" t="str">
        <f>IF(L334="","",IF(L334&lt;Setup!$C$5-Setup!$C$6,"",IF(IF(ISNUMBER(Roster!$D334),Setup!$C$30&lt;=Roster!$D334,FALSE),"",IF(OR(IF(Setup!$C$15&lt;=Setup!$C$16,AND(MONTH(L334)&gt;=Setup!$C$15,MONTH(L334)&lt;=Setup!$C$16),OR(MONTH(L334)&gt;=Setup!$C$15,MONTH(L334)&lt;=Setup!$C$16)),IF(Setup!$C$15&lt;=Setup!$C$16,AND(MONTH(WORKDAY(L334,-(Setup!$C$13+Setup!$G$30),Setup!$C$39:$C$50))&gt;=Setup!$C$15,MONTH(WORKDAY(L334,-(Setup!$C$13+Setup!$G$30),Setup!$C$39:$C$50))&lt;=Setup!$C$16),OR(MONTH(WORKDAY(L334,-(Setup!$C$13+Setup!$G$30),Setup!$C$39:$C$50))&gt;=Setup!$C$15,MONTH(WORKDAY(L334,-(Setup!$C$13+Setup!$G$30),Setup!$C$39:$C$50))&lt;=Setup!$C$16))),WORKDAY(L334,-(Setup!$C$13+Setup!$G$30+Setup!$C$14),Setup!$C$39:$C$50),WORKDAY(L334,-(Setup!$C$13+Setup!$G$30),Setup!$C$39:$C$50))+(329*100+11)/10000000)))</f>
        <v/>
      </c>
      <c r="AC334" t="str">
        <f>IF(M334="","",IF(M334&lt;Setup!$C$5-Setup!$C$6,"",IF(IF(ISNUMBER(Roster!$D334),Setup!$C$31&lt;=Roster!$D334,FALSE),"",IF(OR(IF(Setup!$C$15&lt;=Setup!$C$16,AND(MONTH(M334)&gt;=Setup!$C$15,MONTH(M334)&lt;=Setup!$C$16),OR(MONTH(M334)&gt;=Setup!$C$15,MONTH(M334)&lt;=Setup!$C$16)),IF(Setup!$C$15&lt;=Setup!$C$16,AND(MONTH(WORKDAY(M334,-(Setup!$C$13+Setup!$G$31),Setup!$C$39:$C$50))&gt;=Setup!$C$15,MONTH(WORKDAY(M334,-(Setup!$C$13+Setup!$G$31),Setup!$C$39:$C$50))&lt;=Setup!$C$16),OR(MONTH(WORKDAY(M334,-(Setup!$C$13+Setup!$G$31),Setup!$C$39:$C$50))&gt;=Setup!$C$15,MONTH(WORKDAY(M334,-(Setup!$C$13+Setup!$G$31),Setup!$C$39:$C$50))&lt;=Setup!$C$16))),WORKDAY(M334,-(Setup!$C$13+Setup!$G$31+Setup!$C$14),Setup!$C$39:$C$50),WORKDAY(M334,-(Setup!$C$13+Setup!$G$31),Setup!$C$39:$C$50))+(329*100+12)/10000000)))</f>
        <v/>
      </c>
      <c r="AD334" t="str">
        <f>IF(N334="","",IF(N334&lt;Setup!$C$5-Setup!$C$6,"",IF(IF(ISNUMBER(Roster!$D334),Setup!$C$32&lt;=Roster!$D334,FALSE),"",IF(OR(IF(Setup!$C$15&lt;=Setup!$C$16,AND(MONTH(N334)&gt;=Setup!$C$15,MONTH(N334)&lt;=Setup!$C$16),OR(MONTH(N334)&gt;=Setup!$C$15,MONTH(N334)&lt;=Setup!$C$16)),IF(Setup!$C$15&lt;=Setup!$C$16,AND(MONTH(WORKDAY(N334,-(Setup!$C$13+Setup!$G$32),Setup!$C$39:$C$50))&gt;=Setup!$C$15,MONTH(WORKDAY(N334,-(Setup!$C$13+Setup!$G$32),Setup!$C$39:$C$50))&lt;=Setup!$C$16),OR(MONTH(WORKDAY(N334,-(Setup!$C$13+Setup!$G$32),Setup!$C$39:$C$50))&gt;=Setup!$C$15,MONTH(WORKDAY(N334,-(Setup!$C$13+Setup!$G$32),Setup!$C$39:$C$50))&lt;=Setup!$C$16))),WORKDAY(N334,-(Setup!$C$13+Setup!$G$32+Setup!$C$14),Setup!$C$39:$C$50),WORKDAY(N334,-(Setup!$C$13+Setup!$G$32),Setup!$C$39:$C$50))+(329*100+13)/10000000)))</f>
        <v/>
      </c>
      <c r="AE334" t="str">
        <f>IF(O334="","",IF(O334&lt;Setup!$C$5-Setup!$C$6,"",IF(IF(ISNUMBER(Roster!$D334),Setup!$C$33&lt;=Roster!$D334,FALSE),"",IF(OR(IF(Setup!$C$15&lt;=Setup!$C$16,AND(MONTH(O334)&gt;=Setup!$C$15,MONTH(O334)&lt;=Setup!$C$16),OR(MONTH(O334)&gt;=Setup!$C$15,MONTH(O334)&lt;=Setup!$C$16)),IF(Setup!$C$15&lt;=Setup!$C$16,AND(MONTH(WORKDAY(O334,-(Setup!$C$13+Setup!$G$33),Setup!$C$39:$C$50))&gt;=Setup!$C$15,MONTH(WORKDAY(O334,-(Setup!$C$13+Setup!$G$33),Setup!$C$39:$C$50))&lt;=Setup!$C$16),OR(MONTH(WORKDAY(O334,-(Setup!$C$13+Setup!$G$33),Setup!$C$39:$C$50))&gt;=Setup!$C$15,MONTH(WORKDAY(O334,-(Setup!$C$13+Setup!$G$33),Setup!$C$39:$C$50))&lt;=Setup!$C$16))),WORKDAY(O334,-(Setup!$C$13+Setup!$G$33+Setup!$C$14),Setup!$C$39:$C$50),WORKDAY(O334,-(Setup!$C$13+Setup!$G$33),Setup!$C$39:$C$50))+(329*100+14)/10000000)))</f>
        <v/>
      </c>
      <c r="AF334" t="str">
        <f>IF(P334="","",IF(P334&lt;Setup!$C$5-Setup!$C$6,"",IF(IF(ISNUMBER(Roster!$D334),Setup!$C$34&lt;=Roster!$D334,FALSE),"",IF(OR(IF(Setup!$C$15&lt;=Setup!$C$16,AND(MONTH(P334)&gt;=Setup!$C$15,MONTH(P334)&lt;=Setup!$C$16),OR(MONTH(P334)&gt;=Setup!$C$15,MONTH(P334)&lt;=Setup!$C$16)),IF(Setup!$C$15&lt;=Setup!$C$16,AND(MONTH(WORKDAY(P334,-(Setup!$C$13+Setup!$G$34),Setup!$C$39:$C$50))&gt;=Setup!$C$15,MONTH(WORKDAY(P334,-(Setup!$C$13+Setup!$G$34),Setup!$C$39:$C$50))&lt;=Setup!$C$16),OR(MONTH(WORKDAY(P334,-(Setup!$C$13+Setup!$G$34),Setup!$C$39:$C$50))&gt;=Setup!$C$15,MONTH(WORKDAY(P334,-(Setup!$C$13+Setup!$G$34),Setup!$C$39:$C$50))&lt;=Setup!$C$16))),WORKDAY(P334,-(Setup!$C$13+Setup!$G$34+Setup!$C$14),Setup!$C$39:$C$50),WORKDAY(P334,-(Setup!$C$13+Setup!$G$34),Setup!$C$39:$C$50))+(329*100+15)/10000000)))</f>
        <v/>
      </c>
      <c r="AH334" t="str">
        <f t="shared" si="41"/>
        <v/>
      </c>
      <c r="AI334" t="str">
        <f t="shared" si="42"/>
        <v/>
      </c>
      <c r="AP334" t="str">
        <f>IF(ISNUMBER(Roster!$B334),MAX(1,YEAR(Setup!$C$5)-YEAR(Roster!$B334)+IF(EDATE(Roster!$B334,12*(YEAR(Setup!$C$5)-YEAR(Roster!$B334)))&lt;Setup!$C$5,1,0)),"")</f>
        <v/>
      </c>
      <c r="AQ334" s="32" t="str">
        <f>IF(AP334="","",EDATE(Roster!$B334,12*AP334))</f>
        <v/>
      </c>
      <c r="AR334" t="str">
        <f>IF(AQ334="","",IF(AQ334&lt;DATE(YEAR(Setup!$C$5)+1,MONTH(Setup!$C$5),DAY(Setup!$C$5)),AQ334+329/1000,""))</f>
        <v/>
      </c>
      <c r="AS334" t="str">
        <f t="shared" si="43"/>
        <v/>
      </c>
      <c r="AT334" t="str">
        <f>IF(AS334="","",IF(ISNUMBER(Roster!$D334),Roster!$D334&gt;=AP334,FALSE))</f>
        <v/>
      </c>
      <c r="AU334" t="str">
        <f t="shared" si="44"/>
        <v/>
      </c>
      <c r="AV334" t="str">
        <f ca="1">IF(329&gt;$AV$2,"",SMALL($AR$6:$AR$505,329))</f>
        <v/>
      </c>
      <c r="AW334" t="str">
        <f t="shared" ca="1" si="45"/>
        <v/>
      </c>
    </row>
    <row r="335" spans="2:49" x14ac:dyDescent="0.2">
      <c r="B335" s="32" t="str">
        <f>IF(AND(ISNUMBER(Roster!$B335),Setup!$B$20="Yes",ISNUMBER(Setup!$C$20)),EDATE(Roster!$B335,12*Setup!$C$20),"")</f>
        <v/>
      </c>
      <c r="C335" s="32" t="str">
        <f>IF(AND(ISNUMBER(Roster!$B335),Setup!$B$21="Yes",ISNUMBER(Setup!$C$21)),EDATE(Roster!$B335,12*Setup!$C$21),"")</f>
        <v/>
      </c>
      <c r="D335" s="32" t="str">
        <f>IF(AND(ISNUMBER(Roster!$B335),Setup!$B$22="Yes",ISNUMBER(Setup!$C$22)),EDATE(Roster!$B335,12*Setup!$C$22),"")</f>
        <v/>
      </c>
      <c r="E335" s="32" t="str">
        <f>IF(AND(ISNUMBER(Roster!$B335),Setup!$B$23="Yes",ISNUMBER(Setup!$C$23)),EDATE(Roster!$B335,12*Setup!$C$23),"")</f>
        <v/>
      </c>
      <c r="F335" s="32" t="str">
        <f>IF(AND(ISNUMBER(Roster!$B335),Setup!$B$24="Yes",ISNUMBER(Setup!$C$24)),EDATE(Roster!$B335,12*Setup!$C$24),"")</f>
        <v/>
      </c>
      <c r="G335" s="32" t="str">
        <f>IF(AND(ISNUMBER(Roster!$B335),Setup!$B$25="Yes",ISNUMBER(Setup!$C$25)),EDATE(Roster!$B335,12*Setup!$C$25),"")</f>
        <v/>
      </c>
      <c r="H335" s="32" t="str">
        <f>IF(AND(ISNUMBER(Roster!$B335),Setup!$B$26="Yes",ISNUMBER(Setup!$C$26)),EDATE(Roster!$B335,12*Setup!$C$26),"")</f>
        <v/>
      </c>
      <c r="I335" s="32" t="str">
        <f>IF(AND(ISNUMBER(Roster!$B335),Setup!$B$27="Yes",ISNUMBER(Setup!$C$27)),EDATE(Roster!$B335,12*Setup!$C$27),"")</f>
        <v/>
      </c>
      <c r="J335" s="32" t="str">
        <f>IF(AND(ISNUMBER(Roster!$B335),Setup!$B$28="Yes",ISNUMBER(Setup!$C$28)),EDATE(Roster!$B335,12*Setup!$C$28),"")</f>
        <v/>
      </c>
      <c r="K335" s="32" t="str">
        <f>IF(AND(ISNUMBER(Roster!$B335),Setup!$B$29="Yes",ISNUMBER(Setup!$C$29)),EDATE(Roster!$B335,12*Setup!$C$29),"")</f>
        <v/>
      </c>
      <c r="L335" s="32" t="str">
        <f>IF(AND(ISNUMBER(Roster!$B335),Setup!$B$30="Yes",ISNUMBER(Setup!$C$30)),EDATE(Roster!$B335,12*Setup!$C$30),"")</f>
        <v/>
      </c>
      <c r="M335" s="32" t="str">
        <f>IF(AND(ISNUMBER(Roster!$B335),Setup!$B$31="Yes",ISNUMBER(Setup!$C$31)),EDATE(Roster!$B335,12*Setup!$C$31),"")</f>
        <v/>
      </c>
      <c r="N335" s="32" t="str">
        <f>IF(AND(ISNUMBER(Roster!$B335),Setup!$B$32="Yes",ISNUMBER(Setup!$C$32)),EDATE(Roster!$B335,12*Setup!$C$32),"")</f>
        <v/>
      </c>
      <c r="O335" s="32" t="str">
        <f>IF(AND(ISNUMBER(Roster!$B335),Setup!$B$33="Yes",ISNUMBER(Setup!$C$33)),EDATE(Roster!$B335,12*Setup!$C$33),"")</f>
        <v/>
      </c>
      <c r="P335" s="32" t="str">
        <f>IF(AND(ISNUMBER(Roster!$B335),Setup!$B$34="Yes",ISNUMBER(Setup!$C$34)),EDATE(Roster!$B335,12*Setup!$C$34),"")</f>
        <v/>
      </c>
      <c r="R335" t="str">
        <f>IF(B335="","",IF(B335&lt;Setup!$C$5-Setup!$C$6,"",IF(IF(ISNUMBER(Roster!$D335),Setup!$C$20&lt;=Roster!$D335,FALSE),"",IF(OR(IF(Setup!$C$15&lt;=Setup!$C$16,AND(MONTH(B335)&gt;=Setup!$C$15,MONTH(B335)&lt;=Setup!$C$16),OR(MONTH(B335)&gt;=Setup!$C$15,MONTH(B335)&lt;=Setup!$C$16)),IF(Setup!$C$15&lt;=Setup!$C$16,AND(MONTH(WORKDAY(B335,-(Setup!$C$13+Setup!$G$20),Setup!$C$39:$C$50))&gt;=Setup!$C$15,MONTH(WORKDAY(B335,-(Setup!$C$13+Setup!$G$20),Setup!$C$39:$C$50))&lt;=Setup!$C$16),OR(MONTH(WORKDAY(B335,-(Setup!$C$13+Setup!$G$20),Setup!$C$39:$C$50))&gt;=Setup!$C$15,MONTH(WORKDAY(B335,-(Setup!$C$13+Setup!$G$20),Setup!$C$39:$C$50))&lt;=Setup!$C$16))),WORKDAY(B335,-(Setup!$C$13+Setup!$G$20+Setup!$C$14),Setup!$C$39:$C$50),WORKDAY(B335,-(Setup!$C$13+Setup!$G$20),Setup!$C$39:$C$50))+(330*100+1)/10000000)))</f>
        <v/>
      </c>
      <c r="S335" t="str">
        <f>IF(C335="","",IF(C335&lt;Setup!$C$5-Setup!$C$6,"",IF(IF(ISNUMBER(Roster!$D335),Setup!$C$21&lt;=Roster!$D335,FALSE),"",IF(OR(IF(Setup!$C$15&lt;=Setup!$C$16,AND(MONTH(C335)&gt;=Setup!$C$15,MONTH(C335)&lt;=Setup!$C$16),OR(MONTH(C335)&gt;=Setup!$C$15,MONTH(C335)&lt;=Setup!$C$16)),IF(Setup!$C$15&lt;=Setup!$C$16,AND(MONTH(WORKDAY(C335,-(Setup!$C$13+Setup!$G$21),Setup!$C$39:$C$50))&gt;=Setup!$C$15,MONTH(WORKDAY(C335,-(Setup!$C$13+Setup!$G$21),Setup!$C$39:$C$50))&lt;=Setup!$C$16),OR(MONTH(WORKDAY(C335,-(Setup!$C$13+Setup!$G$21),Setup!$C$39:$C$50))&gt;=Setup!$C$15,MONTH(WORKDAY(C335,-(Setup!$C$13+Setup!$G$21),Setup!$C$39:$C$50))&lt;=Setup!$C$16))),WORKDAY(C335,-(Setup!$C$13+Setup!$G$21+Setup!$C$14),Setup!$C$39:$C$50),WORKDAY(C335,-(Setup!$C$13+Setup!$G$21),Setup!$C$39:$C$50))+(330*100+2)/10000000)))</f>
        <v/>
      </c>
      <c r="T335" t="str">
        <f>IF(D335="","",IF(D335&lt;Setup!$C$5-Setup!$C$6,"",IF(IF(ISNUMBER(Roster!$D335),Setup!$C$22&lt;=Roster!$D335,FALSE),"",IF(OR(IF(Setup!$C$15&lt;=Setup!$C$16,AND(MONTH(D335)&gt;=Setup!$C$15,MONTH(D335)&lt;=Setup!$C$16),OR(MONTH(D335)&gt;=Setup!$C$15,MONTH(D335)&lt;=Setup!$C$16)),IF(Setup!$C$15&lt;=Setup!$C$16,AND(MONTH(WORKDAY(D335,-(Setup!$C$13+Setup!$G$22),Setup!$C$39:$C$50))&gt;=Setup!$C$15,MONTH(WORKDAY(D335,-(Setup!$C$13+Setup!$G$22),Setup!$C$39:$C$50))&lt;=Setup!$C$16),OR(MONTH(WORKDAY(D335,-(Setup!$C$13+Setup!$G$22),Setup!$C$39:$C$50))&gt;=Setup!$C$15,MONTH(WORKDAY(D335,-(Setup!$C$13+Setup!$G$22),Setup!$C$39:$C$50))&lt;=Setup!$C$16))),WORKDAY(D335,-(Setup!$C$13+Setup!$G$22+Setup!$C$14),Setup!$C$39:$C$50),WORKDAY(D335,-(Setup!$C$13+Setup!$G$22),Setup!$C$39:$C$50))+(330*100+3)/10000000)))</f>
        <v/>
      </c>
      <c r="U335" t="str">
        <f>IF(E335="","",IF(E335&lt;Setup!$C$5-Setup!$C$6,"",IF(IF(ISNUMBER(Roster!$D335),Setup!$C$23&lt;=Roster!$D335,FALSE),"",IF(OR(IF(Setup!$C$15&lt;=Setup!$C$16,AND(MONTH(E335)&gt;=Setup!$C$15,MONTH(E335)&lt;=Setup!$C$16),OR(MONTH(E335)&gt;=Setup!$C$15,MONTH(E335)&lt;=Setup!$C$16)),IF(Setup!$C$15&lt;=Setup!$C$16,AND(MONTH(WORKDAY(E335,-(Setup!$C$13+Setup!$G$23),Setup!$C$39:$C$50))&gt;=Setup!$C$15,MONTH(WORKDAY(E335,-(Setup!$C$13+Setup!$G$23),Setup!$C$39:$C$50))&lt;=Setup!$C$16),OR(MONTH(WORKDAY(E335,-(Setup!$C$13+Setup!$G$23),Setup!$C$39:$C$50))&gt;=Setup!$C$15,MONTH(WORKDAY(E335,-(Setup!$C$13+Setup!$G$23),Setup!$C$39:$C$50))&lt;=Setup!$C$16))),WORKDAY(E335,-(Setup!$C$13+Setup!$G$23+Setup!$C$14),Setup!$C$39:$C$50),WORKDAY(E335,-(Setup!$C$13+Setup!$G$23),Setup!$C$39:$C$50))+(330*100+4)/10000000)))</f>
        <v/>
      </c>
      <c r="V335" t="str">
        <f>IF(F335="","",IF(F335&lt;Setup!$C$5-Setup!$C$6,"",IF(IF(ISNUMBER(Roster!$D335),Setup!$C$24&lt;=Roster!$D335,FALSE),"",IF(OR(IF(Setup!$C$15&lt;=Setup!$C$16,AND(MONTH(F335)&gt;=Setup!$C$15,MONTH(F335)&lt;=Setup!$C$16),OR(MONTH(F335)&gt;=Setup!$C$15,MONTH(F335)&lt;=Setup!$C$16)),IF(Setup!$C$15&lt;=Setup!$C$16,AND(MONTH(WORKDAY(F335,-(Setup!$C$13+Setup!$G$24),Setup!$C$39:$C$50))&gt;=Setup!$C$15,MONTH(WORKDAY(F335,-(Setup!$C$13+Setup!$G$24),Setup!$C$39:$C$50))&lt;=Setup!$C$16),OR(MONTH(WORKDAY(F335,-(Setup!$C$13+Setup!$G$24),Setup!$C$39:$C$50))&gt;=Setup!$C$15,MONTH(WORKDAY(F335,-(Setup!$C$13+Setup!$G$24),Setup!$C$39:$C$50))&lt;=Setup!$C$16))),WORKDAY(F335,-(Setup!$C$13+Setup!$G$24+Setup!$C$14),Setup!$C$39:$C$50),WORKDAY(F335,-(Setup!$C$13+Setup!$G$24),Setup!$C$39:$C$50))+(330*100+5)/10000000)))</f>
        <v/>
      </c>
      <c r="W335" t="str">
        <f>IF(G335="","",IF(G335&lt;Setup!$C$5-Setup!$C$6,"",IF(IF(ISNUMBER(Roster!$D335),Setup!$C$25&lt;=Roster!$D335,FALSE),"",IF(OR(IF(Setup!$C$15&lt;=Setup!$C$16,AND(MONTH(G335)&gt;=Setup!$C$15,MONTH(G335)&lt;=Setup!$C$16),OR(MONTH(G335)&gt;=Setup!$C$15,MONTH(G335)&lt;=Setup!$C$16)),IF(Setup!$C$15&lt;=Setup!$C$16,AND(MONTH(WORKDAY(G335,-(Setup!$C$13+Setup!$G$25),Setup!$C$39:$C$50))&gt;=Setup!$C$15,MONTH(WORKDAY(G335,-(Setup!$C$13+Setup!$G$25),Setup!$C$39:$C$50))&lt;=Setup!$C$16),OR(MONTH(WORKDAY(G335,-(Setup!$C$13+Setup!$G$25),Setup!$C$39:$C$50))&gt;=Setup!$C$15,MONTH(WORKDAY(G335,-(Setup!$C$13+Setup!$G$25),Setup!$C$39:$C$50))&lt;=Setup!$C$16))),WORKDAY(G335,-(Setup!$C$13+Setup!$G$25+Setup!$C$14),Setup!$C$39:$C$50),WORKDAY(G335,-(Setup!$C$13+Setup!$G$25),Setup!$C$39:$C$50))+(330*100+6)/10000000)))</f>
        <v/>
      </c>
      <c r="X335" t="str">
        <f>IF(H335="","",IF(H335&lt;Setup!$C$5-Setup!$C$6,"",IF(IF(ISNUMBER(Roster!$D335),Setup!$C$26&lt;=Roster!$D335,FALSE),"",IF(OR(IF(Setup!$C$15&lt;=Setup!$C$16,AND(MONTH(H335)&gt;=Setup!$C$15,MONTH(H335)&lt;=Setup!$C$16),OR(MONTH(H335)&gt;=Setup!$C$15,MONTH(H335)&lt;=Setup!$C$16)),IF(Setup!$C$15&lt;=Setup!$C$16,AND(MONTH(WORKDAY(H335,-(Setup!$C$13+Setup!$G$26),Setup!$C$39:$C$50))&gt;=Setup!$C$15,MONTH(WORKDAY(H335,-(Setup!$C$13+Setup!$G$26),Setup!$C$39:$C$50))&lt;=Setup!$C$16),OR(MONTH(WORKDAY(H335,-(Setup!$C$13+Setup!$G$26),Setup!$C$39:$C$50))&gt;=Setup!$C$15,MONTH(WORKDAY(H335,-(Setup!$C$13+Setup!$G$26),Setup!$C$39:$C$50))&lt;=Setup!$C$16))),WORKDAY(H335,-(Setup!$C$13+Setup!$G$26+Setup!$C$14),Setup!$C$39:$C$50),WORKDAY(H335,-(Setup!$C$13+Setup!$G$26),Setup!$C$39:$C$50))+(330*100+7)/10000000)))</f>
        <v/>
      </c>
      <c r="Y335" t="str">
        <f>IF(I335="","",IF(I335&lt;Setup!$C$5-Setup!$C$6,"",IF(IF(ISNUMBER(Roster!$D335),Setup!$C$27&lt;=Roster!$D335,FALSE),"",IF(OR(IF(Setup!$C$15&lt;=Setup!$C$16,AND(MONTH(I335)&gt;=Setup!$C$15,MONTH(I335)&lt;=Setup!$C$16),OR(MONTH(I335)&gt;=Setup!$C$15,MONTH(I335)&lt;=Setup!$C$16)),IF(Setup!$C$15&lt;=Setup!$C$16,AND(MONTH(WORKDAY(I335,-(Setup!$C$13+Setup!$G$27),Setup!$C$39:$C$50))&gt;=Setup!$C$15,MONTH(WORKDAY(I335,-(Setup!$C$13+Setup!$G$27),Setup!$C$39:$C$50))&lt;=Setup!$C$16),OR(MONTH(WORKDAY(I335,-(Setup!$C$13+Setup!$G$27),Setup!$C$39:$C$50))&gt;=Setup!$C$15,MONTH(WORKDAY(I335,-(Setup!$C$13+Setup!$G$27),Setup!$C$39:$C$50))&lt;=Setup!$C$16))),WORKDAY(I335,-(Setup!$C$13+Setup!$G$27+Setup!$C$14),Setup!$C$39:$C$50),WORKDAY(I335,-(Setup!$C$13+Setup!$G$27),Setup!$C$39:$C$50))+(330*100+8)/10000000)))</f>
        <v/>
      </c>
      <c r="Z335" t="str">
        <f>IF(J335="","",IF(J335&lt;Setup!$C$5-Setup!$C$6,"",IF(IF(ISNUMBER(Roster!$D335),Setup!$C$28&lt;=Roster!$D335,FALSE),"",IF(OR(IF(Setup!$C$15&lt;=Setup!$C$16,AND(MONTH(J335)&gt;=Setup!$C$15,MONTH(J335)&lt;=Setup!$C$16),OR(MONTH(J335)&gt;=Setup!$C$15,MONTH(J335)&lt;=Setup!$C$16)),IF(Setup!$C$15&lt;=Setup!$C$16,AND(MONTH(WORKDAY(J335,-(Setup!$C$13+Setup!$G$28),Setup!$C$39:$C$50))&gt;=Setup!$C$15,MONTH(WORKDAY(J335,-(Setup!$C$13+Setup!$G$28),Setup!$C$39:$C$50))&lt;=Setup!$C$16),OR(MONTH(WORKDAY(J335,-(Setup!$C$13+Setup!$G$28),Setup!$C$39:$C$50))&gt;=Setup!$C$15,MONTH(WORKDAY(J335,-(Setup!$C$13+Setup!$G$28),Setup!$C$39:$C$50))&lt;=Setup!$C$16))),WORKDAY(J335,-(Setup!$C$13+Setup!$G$28+Setup!$C$14),Setup!$C$39:$C$50),WORKDAY(J335,-(Setup!$C$13+Setup!$G$28),Setup!$C$39:$C$50))+(330*100+9)/10000000)))</f>
        <v/>
      </c>
      <c r="AA335" t="str">
        <f>IF(K335="","",IF(K335&lt;Setup!$C$5-Setup!$C$6,"",IF(IF(ISNUMBER(Roster!$D335),Setup!$C$29&lt;=Roster!$D335,FALSE),"",IF(OR(IF(Setup!$C$15&lt;=Setup!$C$16,AND(MONTH(K335)&gt;=Setup!$C$15,MONTH(K335)&lt;=Setup!$C$16),OR(MONTH(K335)&gt;=Setup!$C$15,MONTH(K335)&lt;=Setup!$C$16)),IF(Setup!$C$15&lt;=Setup!$C$16,AND(MONTH(WORKDAY(K335,-(Setup!$C$13+Setup!$G$29),Setup!$C$39:$C$50))&gt;=Setup!$C$15,MONTH(WORKDAY(K335,-(Setup!$C$13+Setup!$G$29),Setup!$C$39:$C$50))&lt;=Setup!$C$16),OR(MONTH(WORKDAY(K335,-(Setup!$C$13+Setup!$G$29),Setup!$C$39:$C$50))&gt;=Setup!$C$15,MONTH(WORKDAY(K335,-(Setup!$C$13+Setup!$G$29),Setup!$C$39:$C$50))&lt;=Setup!$C$16))),WORKDAY(K335,-(Setup!$C$13+Setup!$G$29+Setup!$C$14),Setup!$C$39:$C$50),WORKDAY(K335,-(Setup!$C$13+Setup!$G$29),Setup!$C$39:$C$50))+(330*100+10)/10000000)))</f>
        <v/>
      </c>
      <c r="AB335" t="str">
        <f>IF(L335="","",IF(L335&lt;Setup!$C$5-Setup!$C$6,"",IF(IF(ISNUMBER(Roster!$D335),Setup!$C$30&lt;=Roster!$D335,FALSE),"",IF(OR(IF(Setup!$C$15&lt;=Setup!$C$16,AND(MONTH(L335)&gt;=Setup!$C$15,MONTH(L335)&lt;=Setup!$C$16),OR(MONTH(L335)&gt;=Setup!$C$15,MONTH(L335)&lt;=Setup!$C$16)),IF(Setup!$C$15&lt;=Setup!$C$16,AND(MONTH(WORKDAY(L335,-(Setup!$C$13+Setup!$G$30),Setup!$C$39:$C$50))&gt;=Setup!$C$15,MONTH(WORKDAY(L335,-(Setup!$C$13+Setup!$G$30),Setup!$C$39:$C$50))&lt;=Setup!$C$16),OR(MONTH(WORKDAY(L335,-(Setup!$C$13+Setup!$G$30),Setup!$C$39:$C$50))&gt;=Setup!$C$15,MONTH(WORKDAY(L335,-(Setup!$C$13+Setup!$G$30),Setup!$C$39:$C$50))&lt;=Setup!$C$16))),WORKDAY(L335,-(Setup!$C$13+Setup!$G$30+Setup!$C$14),Setup!$C$39:$C$50),WORKDAY(L335,-(Setup!$C$13+Setup!$G$30),Setup!$C$39:$C$50))+(330*100+11)/10000000)))</f>
        <v/>
      </c>
      <c r="AC335" t="str">
        <f>IF(M335="","",IF(M335&lt;Setup!$C$5-Setup!$C$6,"",IF(IF(ISNUMBER(Roster!$D335),Setup!$C$31&lt;=Roster!$D335,FALSE),"",IF(OR(IF(Setup!$C$15&lt;=Setup!$C$16,AND(MONTH(M335)&gt;=Setup!$C$15,MONTH(M335)&lt;=Setup!$C$16),OR(MONTH(M335)&gt;=Setup!$C$15,MONTH(M335)&lt;=Setup!$C$16)),IF(Setup!$C$15&lt;=Setup!$C$16,AND(MONTH(WORKDAY(M335,-(Setup!$C$13+Setup!$G$31),Setup!$C$39:$C$50))&gt;=Setup!$C$15,MONTH(WORKDAY(M335,-(Setup!$C$13+Setup!$G$31),Setup!$C$39:$C$50))&lt;=Setup!$C$16),OR(MONTH(WORKDAY(M335,-(Setup!$C$13+Setup!$G$31),Setup!$C$39:$C$50))&gt;=Setup!$C$15,MONTH(WORKDAY(M335,-(Setup!$C$13+Setup!$G$31),Setup!$C$39:$C$50))&lt;=Setup!$C$16))),WORKDAY(M335,-(Setup!$C$13+Setup!$G$31+Setup!$C$14),Setup!$C$39:$C$50),WORKDAY(M335,-(Setup!$C$13+Setup!$G$31),Setup!$C$39:$C$50))+(330*100+12)/10000000)))</f>
        <v/>
      </c>
      <c r="AD335" t="str">
        <f>IF(N335="","",IF(N335&lt;Setup!$C$5-Setup!$C$6,"",IF(IF(ISNUMBER(Roster!$D335),Setup!$C$32&lt;=Roster!$D335,FALSE),"",IF(OR(IF(Setup!$C$15&lt;=Setup!$C$16,AND(MONTH(N335)&gt;=Setup!$C$15,MONTH(N335)&lt;=Setup!$C$16),OR(MONTH(N335)&gt;=Setup!$C$15,MONTH(N335)&lt;=Setup!$C$16)),IF(Setup!$C$15&lt;=Setup!$C$16,AND(MONTH(WORKDAY(N335,-(Setup!$C$13+Setup!$G$32),Setup!$C$39:$C$50))&gt;=Setup!$C$15,MONTH(WORKDAY(N335,-(Setup!$C$13+Setup!$G$32),Setup!$C$39:$C$50))&lt;=Setup!$C$16),OR(MONTH(WORKDAY(N335,-(Setup!$C$13+Setup!$G$32),Setup!$C$39:$C$50))&gt;=Setup!$C$15,MONTH(WORKDAY(N335,-(Setup!$C$13+Setup!$G$32),Setup!$C$39:$C$50))&lt;=Setup!$C$16))),WORKDAY(N335,-(Setup!$C$13+Setup!$G$32+Setup!$C$14),Setup!$C$39:$C$50),WORKDAY(N335,-(Setup!$C$13+Setup!$G$32),Setup!$C$39:$C$50))+(330*100+13)/10000000)))</f>
        <v/>
      </c>
      <c r="AE335" t="str">
        <f>IF(O335="","",IF(O335&lt;Setup!$C$5-Setup!$C$6,"",IF(IF(ISNUMBER(Roster!$D335),Setup!$C$33&lt;=Roster!$D335,FALSE),"",IF(OR(IF(Setup!$C$15&lt;=Setup!$C$16,AND(MONTH(O335)&gt;=Setup!$C$15,MONTH(O335)&lt;=Setup!$C$16),OR(MONTH(O335)&gt;=Setup!$C$15,MONTH(O335)&lt;=Setup!$C$16)),IF(Setup!$C$15&lt;=Setup!$C$16,AND(MONTH(WORKDAY(O335,-(Setup!$C$13+Setup!$G$33),Setup!$C$39:$C$50))&gt;=Setup!$C$15,MONTH(WORKDAY(O335,-(Setup!$C$13+Setup!$G$33),Setup!$C$39:$C$50))&lt;=Setup!$C$16),OR(MONTH(WORKDAY(O335,-(Setup!$C$13+Setup!$G$33),Setup!$C$39:$C$50))&gt;=Setup!$C$15,MONTH(WORKDAY(O335,-(Setup!$C$13+Setup!$G$33),Setup!$C$39:$C$50))&lt;=Setup!$C$16))),WORKDAY(O335,-(Setup!$C$13+Setup!$G$33+Setup!$C$14),Setup!$C$39:$C$50),WORKDAY(O335,-(Setup!$C$13+Setup!$G$33),Setup!$C$39:$C$50))+(330*100+14)/10000000)))</f>
        <v/>
      </c>
      <c r="AF335" t="str">
        <f>IF(P335="","",IF(P335&lt;Setup!$C$5-Setup!$C$6,"",IF(IF(ISNUMBER(Roster!$D335),Setup!$C$34&lt;=Roster!$D335,FALSE),"",IF(OR(IF(Setup!$C$15&lt;=Setup!$C$16,AND(MONTH(P335)&gt;=Setup!$C$15,MONTH(P335)&lt;=Setup!$C$16),OR(MONTH(P335)&gt;=Setup!$C$15,MONTH(P335)&lt;=Setup!$C$16)),IF(Setup!$C$15&lt;=Setup!$C$16,AND(MONTH(WORKDAY(P335,-(Setup!$C$13+Setup!$G$34),Setup!$C$39:$C$50))&gt;=Setup!$C$15,MONTH(WORKDAY(P335,-(Setup!$C$13+Setup!$G$34),Setup!$C$39:$C$50))&lt;=Setup!$C$16),OR(MONTH(WORKDAY(P335,-(Setup!$C$13+Setup!$G$34),Setup!$C$39:$C$50))&gt;=Setup!$C$15,MONTH(WORKDAY(P335,-(Setup!$C$13+Setup!$G$34),Setup!$C$39:$C$50))&lt;=Setup!$C$16))),WORKDAY(P335,-(Setup!$C$13+Setup!$G$34+Setup!$C$14),Setup!$C$39:$C$50),WORKDAY(P335,-(Setup!$C$13+Setup!$G$34),Setup!$C$39:$C$50))+(330*100+15)/10000000)))</f>
        <v/>
      </c>
      <c r="AH335" t="str">
        <f t="shared" si="41"/>
        <v/>
      </c>
      <c r="AI335" t="str">
        <f t="shared" si="42"/>
        <v/>
      </c>
      <c r="AP335" t="str">
        <f>IF(ISNUMBER(Roster!$B335),MAX(1,YEAR(Setup!$C$5)-YEAR(Roster!$B335)+IF(EDATE(Roster!$B335,12*(YEAR(Setup!$C$5)-YEAR(Roster!$B335)))&lt;Setup!$C$5,1,0)),"")</f>
        <v/>
      </c>
      <c r="AQ335" s="32" t="str">
        <f>IF(AP335="","",EDATE(Roster!$B335,12*AP335))</f>
        <v/>
      </c>
      <c r="AR335" t="str">
        <f>IF(AQ335="","",IF(AQ335&lt;DATE(YEAR(Setup!$C$5)+1,MONTH(Setup!$C$5),DAY(Setup!$C$5)),AQ335+330/1000,""))</f>
        <v/>
      </c>
      <c r="AS335" t="str">
        <f t="shared" si="43"/>
        <v/>
      </c>
      <c r="AT335" t="str">
        <f>IF(AS335="","",IF(ISNUMBER(Roster!$D335),Roster!$D335&gt;=AP335,FALSE))</f>
        <v/>
      </c>
      <c r="AU335" t="str">
        <f t="shared" si="44"/>
        <v/>
      </c>
      <c r="AV335" t="str">
        <f ca="1">IF(330&gt;$AV$2,"",SMALL($AR$6:$AR$505,330))</f>
        <v/>
      </c>
      <c r="AW335" t="str">
        <f t="shared" ca="1" si="45"/>
        <v/>
      </c>
    </row>
    <row r="336" spans="2:49" x14ac:dyDescent="0.2">
      <c r="B336" s="32" t="str">
        <f>IF(AND(ISNUMBER(Roster!$B336),Setup!$B$20="Yes",ISNUMBER(Setup!$C$20)),EDATE(Roster!$B336,12*Setup!$C$20),"")</f>
        <v/>
      </c>
      <c r="C336" s="32" t="str">
        <f>IF(AND(ISNUMBER(Roster!$B336),Setup!$B$21="Yes",ISNUMBER(Setup!$C$21)),EDATE(Roster!$B336,12*Setup!$C$21),"")</f>
        <v/>
      </c>
      <c r="D336" s="32" t="str">
        <f>IF(AND(ISNUMBER(Roster!$B336),Setup!$B$22="Yes",ISNUMBER(Setup!$C$22)),EDATE(Roster!$B336,12*Setup!$C$22),"")</f>
        <v/>
      </c>
      <c r="E336" s="32" t="str">
        <f>IF(AND(ISNUMBER(Roster!$B336),Setup!$B$23="Yes",ISNUMBER(Setup!$C$23)),EDATE(Roster!$B336,12*Setup!$C$23),"")</f>
        <v/>
      </c>
      <c r="F336" s="32" t="str">
        <f>IF(AND(ISNUMBER(Roster!$B336),Setup!$B$24="Yes",ISNUMBER(Setup!$C$24)),EDATE(Roster!$B336,12*Setup!$C$24),"")</f>
        <v/>
      </c>
      <c r="G336" s="32" t="str">
        <f>IF(AND(ISNUMBER(Roster!$B336),Setup!$B$25="Yes",ISNUMBER(Setup!$C$25)),EDATE(Roster!$B336,12*Setup!$C$25),"")</f>
        <v/>
      </c>
      <c r="H336" s="32" t="str">
        <f>IF(AND(ISNUMBER(Roster!$B336),Setup!$B$26="Yes",ISNUMBER(Setup!$C$26)),EDATE(Roster!$B336,12*Setup!$C$26),"")</f>
        <v/>
      </c>
      <c r="I336" s="32" t="str">
        <f>IF(AND(ISNUMBER(Roster!$B336),Setup!$B$27="Yes",ISNUMBER(Setup!$C$27)),EDATE(Roster!$B336,12*Setup!$C$27),"")</f>
        <v/>
      </c>
      <c r="J336" s="32" t="str">
        <f>IF(AND(ISNUMBER(Roster!$B336),Setup!$B$28="Yes",ISNUMBER(Setup!$C$28)),EDATE(Roster!$B336,12*Setup!$C$28),"")</f>
        <v/>
      </c>
      <c r="K336" s="32" t="str">
        <f>IF(AND(ISNUMBER(Roster!$B336),Setup!$B$29="Yes",ISNUMBER(Setup!$C$29)),EDATE(Roster!$B336,12*Setup!$C$29),"")</f>
        <v/>
      </c>
      <c r="L336" s="32" t="str">
        <f>IF(AND(ISNUMBER(Roster!$B336),Setup!$B$30="Yes",ISNUMBER(Setup!$C$30)),EDATE(Roster!$B336,12*Setup!$C$30),"")</f>
        <v/>
      </c>
      <c r="M336" s="32" t="str">
        <f>IF(AND(ISNUMBER(Roster!$B336),Setup!$B$31="Yes",ISNUMBER(Setup!$C$31)),EDATE(Roster!$B336,12*Setup!$C$31),"")</f>
        <v/>
      </c>
      <c r="N336" s="32" t="str">
        <f>IF(AND(ISNUMBER(Roster!$B336),Setup!$B$32="Yes",ISNUMBER(Setup!$C$32)),EDATE(Roster!$B336,12*Setup!$C$32),"")</f>
        <v/>
      </c>
      <c r="O336" s="32" t="str">
        <f>IF(AND(ISNUMBER(Roster!$B336),Setup!$B$33="Yes",ISNUMBER(Setup!$C$33)),EDATE(Roster!$B336,12*Setup!$C$33),"")</f>
        <v/>
      </c>
      <c r="P336" s="32" t="str">
        <f>IF(AND(ISNUMBER(Roster!$B336),Setup!$B$34="Yes",ISNUMBER(Setup!$C$34)),EDATE(Roster!$B336,12*Setup!$C$34),"")</f>
        <v/>
      </c>
      <c r="R336" t="str">
        <f>IF(B336="","",IF(B336&lt;Setup!$C$5-Setup!$C$6,"",IF(IF(ISNUMBER(Roster!$D336),Setup!$C$20&lt;=Roster!$D336,FALSE),"",IF(OR(IF(Setup!$C$15&lt;=Setup!$C$16,AND(MONTH(B336)&gt;=Setup!$C$15,MONTH(B336)&lt;=Setup!$C$16),OR(MONTH(B336)&gt;=Setup!$C$15,MONTH(B336)&lt;=Setup!$C$16)),IF(Setup!$C$15&lt;=Setup!$C$16,AND(MONTH(WORKDAY(B336,-(Setup!$C$13+Setup!$G$20),Setup!$C$39:$C$50))&gt;=Setup!$C$15,MONTH(WORKDAY(B336,-(Setup!$C$13+Setup!$G$20),Setup!$C$39:$C$50))&lt;=Setup!$C$16),OR(MONTH(WORKDAY(B336,-(Setup!$C$13+Setup!$G$20),Setup!$C$39:$C$50))&gt;=Setup!$C$15,MONTH(WORKDAY(B336,-(Setup!$C$13+Setup!$G$20),Setup!$C$39:$C$50))&lt;=Setup!$C$16))),WORKDAY(B336,-(Setup!$C$13+Setup!$G$20+Setup!$C$14),Setup!$C$39:$C$50),WORKDAY(B336,-(Setup!$C$13+Setup!$G$20),Setup!$C$39:$C$50))+(331*100+1)/10000000)))</f>
        <v/>
      </c>
      <c r="S336" t="str">
        <f>IF(C336="","",IF(C336&lt;Setup!$C$5-Setup!$C$6,"",IF(IF(ISNUMBER(Roster!$D336),Setup!$C$21&lt;=Roster!$D336,FALSE),"",IF(OR(IF(Setup!$C$15&lt;=Setup!$C$16,AND(MONTH(C336)&gt;=Setup!$C$15,MONTH(C336)&lt;=Setup!$C$16),OR(MONTH(C336)&gt;=Setup!$C$15,MONTH(C336)&lt;=Setup!$C$16)),IF(Setup!$C$15&lt;=Setup!$C$16,AND(MONTH(WORKDAY(C336,-(Setup!$C$13+Setup!$G$21),Setup!$C$39:$C$50))&gt;=Setup!$C$15,MONTH(WORKDAY(C336,-(Setup!$C$13+Setup!$G$21),Setup!$C$39:$C$50))&lt;=Setup!$C$16),OR(MONTH(WORKDAY(C336,-(Setup!$C$13+Setup!$G$21),Setup!$C$39:$C$50))&gt;=Setup!$C$15,MONTH(WORKDAY(C336,-(Setup!$C$13+Setup!$G$21),Setup!$C$39:$C$50))&lt;=Setup!$C$16))),WORKDAY(C336,-(Setup!$C$13+Setup!$G$21+Setup!$C$14),Setup!$C$39:$C$50),WORKDAY(C336,-(Setup!$C$13+Setup!$G$21),Setup!$C$39:$C$50))+(331*100+2)/10000000)))</f>
        <v/>
      </c>
      <c r="T336" t="str">
        <f>IF(D336="","",IF(D336&lt;Setup!$C$5-Setup!$C$6,"",IF(IF(ISNUMBER(Roster!$D336),Setup!$C$22&lt;=Roster!$D336,FALSE),"",IF(OR(IF(Setup!$C$15&lt;=Setup!$C$16,AND(MONTH(D336)&gt;=Setup!$C$15,MONTH(D336)&lt;=Setup!$C$16),OR(MONTH(D336)&gt;=Setup!$C$15,MONTH(D336)&lt;=Setup!$C$16)),IF(Setup!$C$15&lt;=Setup!$C$16,AND(MONTH(WORKDAY(D336,-(Setup!$C$13+Setup!$G$22),Setup!$C$39:$C$50))&gt;=Setup!$C$15,MONTH(WORKDAY(D336,-(Setup!$C$13+Setup!$G$22),Setup!$C$39:$C$50))&lt;=Setup!$C$16),OR(MONTH(WORKDAY(D336,-(Setup!$C$13+Setup!$G$22),Setup!$C$39:$C$50))&gt;=Setup!$C$15,MONTH(WORKDAY(D336,-(Setup!$C$13+Setup!$G$22),Setup!$C$39:$C$50))&lt;=Setup!$C$16))),WORKDAY(D336,-(Setup!$C$13+Setup!$G$22+Setup!$C$14),Setup!$C$39:$C$50),WORKDAY(D336,-(Setup!$C$13+Setup!$G$22),Setup!$C$39:$C$50))+(331*100+3)/10000000)))</f>
        <v/>
      </c>
      <c r="U336" t="str">
        <f>IF(E336="","",IF(E336&lt;Setup!$C$5-Setup!$C$6,"",IF(IF(ISNUMBER(Roster!$D336),Setup!$C$23&lt;=Roster!$D336,FALSE),"",IF(OR(IF(Setup!$C$15&lt;=Setup!$C$16,AND(MONTH(E336)&gt;=Setup!$C$15,MONTH(E336)&lt;=Setup!$C$16),OR(MONTH(E336)&gt;=Setup!$C$15,MONTH(E336)&lt;=Setup!$C$16)),IF(Setup!$C$15&lt;=Setup!$C$16,AND(MONTH(WORKDAY(E336,-(Setup!$C$13+Setup!$G$23),Setup!$C$39:$C$50))&gt;=Setup!$C$15,MONTH(WORKDAY(E336,-(Setup!$C$13+Setup!$G$23),Setup!$C$39:$C$50))&lt;=Setup!$C$16),OR(MONTH(WORKDAY(E336,-(Setup!$C$13+Setup!$G$23),Setup!$C$39:$C$50))&gt;=Setup!$C$15,MONTH(WORKDAY(E336,-(Setup!$C$13+Setup!$G$23),Setup!$C$39:$C$50))&lt;=Setup!$C$16))),WORKDAY(E336,-(Setup!$C$13+Setup!$G$23+Setup!$C$14),Setup!$C$39:$C$50),WORKDAY(E336,-(Setup!$C$13+Setup!$G$23),Setup!$C$39:$C$50))+(331*100+4)/10000000)))</f>
        <v/>
      </c>
      <c r="V336" t="str">
        <f>IF(F336="","",IF(F336&lt;Setup!$C$5-Setup!$C$6,"",IF(IF(ISNUMBER(Roster!$D336),Setup!$C$24&lt;=Roster!$D336,FALSE),"",IF(OR(IF(Setup!$C$15&lt;=Setup!$C$16,AND(MONTH(F336)&gt;=Setup!$C$15,MONTH(F336)&lt;=Setup!$C$16),OR(MONTH(F336)&gt;=Setup!$C$15,MONTH(F336)&lt;=Setup!$C$16)),IF(Setup!$C$15&lt;=Setup!$C$16,AND(MONTH(WORKDAY(F336,-(Setup!$C$13+Setup!$G$24),Setup!$C$39:$C$50))&gt;=Setup!$C$15,MONTH(WORKDAY(F336,-(Setup!$C$13+Setup!$G$24),Setup!$C$39:$C$50))&lt;=Setup!$C$16),OR(MONTH(WORKDAY(F336,-(Setup!$C$13+Setup!$G$24),Setup!$C$39:$C$50))&gt;=Setup!$C$15,MONTH(WORKDAY(F336,-(Setup!$C$13+Setup!$G$24),Setup!$C$39:$C$50))&lt;=Setup!$C$16))),WORKDAY(F336,-(Setup!$C$13+Setup!$G$24+Setup!$C$14),Setup!$C$39:$C$50),WORKDAY(F336,-(Setup!$C$13+Setup!$G$24),Setup!$C$39:$C$50))+(331*100+5)/10000000)))</f>
        <v/>
      </c>
      <c r="W336" t="str">
        <f>IF(G336="","",IF(G336&lt;Setup!$C$5-Setup!$C$6,"",IF(IF(ISNUMBER(Roster!$D336),Setup!$C$25&lt;=Roster!$D336,FALSE),"",IF(OR(IF(Setup!$C$15&lt;=Setup!$C$16,AND(MONTH(G336)&gt;=Setup!$C$15,MONTH(G336)&lt;=Setup!$C$16),OR(MONTH(G336)&gt;=Setup!$C$15,MONTH(G336)&lt;=Setup!$C$16)),IF(Setup!$C$15&lt;=Setup!$C$16,AND(MONTH(WORKDAY(G336,-(Setup!$C$13+Setup!$G$25),Setup!$C$39:$C$50))&gt;=Setup!$C$15,MONTH(WORKDAY(G336,-(Setup!$C$13+Setup!$G$25),Setup!$C$39:$C$50))&lt;=Setup!$C$16),OR(MONTH(WORKDAY(G336,-(Setup!$C$13+Setup!$G$25),Setup!$C$39:$C$50))&gt;=Setup!$C$15,MONTH(WORKDAY(G336,-(Setup!$C$13+Setup!$G$25),Setup!$C$39:$C$50))&lt;=Setup!$C$16))),WORKDAY(G336,-(Setup!$C$13+Setup!$G$25+Setup!$C$14),Setup!$C$39:$C$50),WORKDAY(G336,-(Setup!$C$13+Setup!$G$25),Setup!$C$39:$C$50))+(331*100+6)/10000000)))</f>
        <v/>
      </c>
      <c r="X336" t="str">
        <f>IF(H336="","",IF(H336&lt;Setup!$C$5-Setup!$C$6,"",IF(IF(ISNUMBER(Roster!$D336),Setup!$C$26&lt;=Roster!$D336,FALSE),"",IF(OR(IF(Setup!$C$15&lt;=Setup!$C$16,AND(MONTH(H336)&gt;=Setup!$C$15,MONTH(H336)&lt;=Setup!$C$16),OR(MONTH(H336)&gt;=Setup!$C$15,MONTH(H336)&lt;=Setup!$C$16)),IF(Setup!$C$15&lt;=Setup!$C$16,AND(MONTH(WORKDAY(H336,-(Setup!$C$13+Setup!$G$26),Setup!$C$39:$C$50))&gt;=Setup!$C$15,MONTH(WORKDAY(H336,-(Setup!$C$13+Setup!$G$26),Setup!$C$39:$C$50))&lt;=Setup!$C$16),OR(MONTH(WORKDAY(H336,-(Setup!$C$13+Setup!$G$26),Setup!$C$39:$C$50))&gt;=Setup!$C$15,MONTH(WORKDAY(H336,-(Setup!$C$13+Setup!$G$26),Setup!$C$39:$C$50))&lt;=Setup!$C$16))),WORKDAY(H336,-(Setup!$C$13+Setup!$G$26+Setup!$C$14),Setup!$C$39:$C$50),WORKDAY(H336,-(Setup!$C$13+Setup!$G$26),Setup!$C$39:$C$50))+(331*100+7)/10000000)))</f>
        <v/>
      </c>
      <c r="Y336" t="str">
        <f>IF(I336="","",IF(I336&lt;Setup!$C$5-Setup!$C$6,"",IF(IF(ISNUMBER(Roster!$D336),Setup!$C$27&lt;=Roster!$D336,FALSE),"",IF(OR(IF(Setup!$C$15&lt;=Setup!$C$16,AND(MONTH(I336)&gt;=Setup!$C$15,MONTH(I336)&lt;=Setup!$C$16),OR(MONTH(I336)&gt;=Setup!$C$15,MONTH(I336)&lt;=Setup!$C$16)),IF(Setup!$C$15&lt;=Setup!$C$16,AND(MONTH(WORKDAY(I336,-(Setup!$C$13+Setup!$G$27),Setup!$C$39:$C$50))&gt;=Setup!$C$15,MONTH(WORKDAY(I336,-(Setup!$C$13+Setup!$G$27),Setup!$C$39:$C$50))&lt;=Setup!$C$16),OR(MONTH(WORKDAY(I336,-(Setup!$C$13+Setup!$G$27),Setup!$C$39:$C$50))&gt;=Setup!$C$15,MONTH(WORKDAY(I336,-(Setup!$C$13+Setup!$G$27),Setup!$C$39:$C$50))&lt;=Setup!$C$16))),WORKDAY(I336,-(Setup!$C$13+Setup!$G$27+Setup!$C$14),Setup!$C$39:$C$50),WORKDAY(I336,-(Setup!$C$13+Setup!$G$27),Setup!$C$39:$C$50))+(331*100+8)/10000000)))</f>
        <v/>
      </c>
      <c r="Z336" t="str">
        <f>IF(J336="","",IF(J336&lt;Setup!$C$5-Setup!$C$6,"",IF(IF(ISNUMBER(Roster!$D336),Setup!$C$28&lt;=Roster!$D336,FALSE),"",IF(OR(IF(Setup!$C$15&lt;=Setup!$C$16,AND(MONTH(J336)&gt;=Setup!$C$15,MONTH(J336)&lt;=Setup!$C$16),OR(MONTH(J336)&gt;=Setup!$C$15,MONTH(J336)&lt;=Setup!$C$16)),IF(Setup!$C$15&lt;=Setup!$C$16,AND(MONTH(WORKDAY(J336,-(Setup!$C$13+Setup!$G$28),Setup!$C$39:$C$50))&gt;=Setup!$C$15,MONTH(WORKDAY(J336,-(Setup!$C$13+Setup!$G$28),Setup!$C$39:$C$50))&lt;=Setup!$C$16),OR(MONTH(WORKDAY(J336,-(Setup!$C$13+Setup!$G$28),Setup!$C$39:$C$50))&gt;=Setup!$C$15,MONTH(WORKDAY(J336,-(Setup!$C$13+Setup!$G$28),Setup!$C$39:$C$50))&lt;=Setup!$C$16))),WORKDAY(J336,-(Setup!$C$13+Setup!$G$28+Setup!$C$14),Setup!$C$39:$C$50),WORKDAY(J336,-(Setup!$C$13+Setup!$G$28),Setup!$C$39:$C$50))+(331*100+9)/10000000)))</f>
        <v/>
      </c>
      <c r="AA336" t="str">
        <f>IF(K336="","",IF(K336&lt;Setup!$C$5-Setup!$C$6,"",IF(IF(ISNUMBER(Roster!$D336),Setup!$C$29&lt;=Roster!$D336,FALSE),"",IF(OR(IF(Setup!$C$15&lt;=Setup!$C$16,AND(MONTH(K336)&gt;=Setup!$C$15,MONTH(K336)&lt;=Setup!$C$16),OR(MONTH(K336)&gt;=Setup!$C$15,MONTH(K336)&lt;=Setup!$C$16)),IF(Setup!$C$15&lt;=Setup!$C$16,AND(MONTH(WORKDAY(K336,-(Setup!$C$13+Setup!$G$29),Setup!$C$39:$C$50))&gt;=Setup!$C$15,MONTH(WORKDAY(K336,-(Setup!$C$13+Setup!$G$29),Setup!$C$39:$C$50))&lt;=Setup!$C$16),OR(MONTH(WORKDAY(K336,-(Setup!$C$13+Setup!$G$29),Setup!$C$39:$C$50))&gt;=Setup!$C$15,MONTH(WORKDAY(K336,-(Setup!$C$13+Setup!$G$29),Setup!$C$39:$C$50))&lt;=Setup!$C$16))),WORKDAY(K336,-(Setup!$C$13+Setup!$G$29+Setup!$C$14),Setup!$C$39:$C$50),WORKDAY(K336,-(Setup!$C$13+Setup!$G$29),Setup!$C$39:$C$50))+(331*100+10)/10000000)))</f>
        <v/>
      </c>
      <c r="AB336" t="str">
        <f>IF(L336="","",IF(L336&lt;Setup!$C$5-Setup!$C$6,"",IF(IF(ISNUMBER(Roster!$D336),Setup!$C$30&lt;=Roster!$D336,FALSE),"",IF(OR(IF(Setup!$C$15&lt;=Setup!$C$16,AND(MONTH(L336)&gt;=Setup!$C$15,MONTH(L336)&lt;=Setup!$C$16),OR(MONTH(L336)&gt;=Setup!$C$15,MONTH(L336)&lt;=Setup!$C$16)),IF(Setup!$C$15&lt;=Setup!$C$16,AND(MONTH(WORKDAY(L336,-(Setup!$C$13+Setup!$G$30),Setup!$C$39:$C$50))&gt;=Setup!$C$15,MONTH(WORKDAY(L336,-(Setup!$C$13+Setup!$G$30),Setup!$C$39:$C$50))&lt;=Setup!$C$16),OR(MONTH(WORKDAY(L336,-(Setup!$C$13+Setup!$G$30),Setup!$C$39:$C$50))&gt;=Setup!$C$15,MONTH(WORKDAY(L336,-(Setup!$C$13+Setup!$G$30),Setup!$C$39:$C$50))&lt;=Setup!$C$16))),WORKDAY(L336,-(Setup!$C$13+Setup!$G$30+Setup!$C$14),Setup!$C$39:$C$50),WORKDAY(L336,-(Setup!$C$13+Setup!$G$30),Setup!$C$39:$C$50))+(331*100+11)/10000000)))</f>
        <v/>
      </c>
      <c r="AC336" t="str">
        <f>IF(M336="","",IF(M336&lt;Setup!$C$5-Setup!$C$6,"",IF(IF(ISNUMBER(Roster!$D336),Setup!$C$31&lt;=Roster!$D336,FALSE),"",IF(OR(IF(Setup!$C$15&lt;=Setup!$C$16,AND(MONTH(M336)&gt;=Setup!$C$15,MONTH(M336)&lt;=Setup!$C$16),OR(MONTH(M336)&gt;=Setup!$C$15,MONTH(M336)&lt;=Setup!$C$16)),IF(Setup!$C$15&lt;=Setup!$C$16,AND(MONTH(WORKDAY(M336,-(Setup!$C$13+Setup!$G$31),Setup!$C$39:$C$50))&gt;=Setup!$C$15,MONTH(WORKDAY(M336,-(Setup!$C$13+Setup!$G$31),Setup!$C$39:$C$50))&lt;=Setup!$C$16),OR(MONTH(WORKDAY(M336,-(Setup!$C$13+Setup!$G$31),Setup!$C$39:$C$50))&gt;=Setup!$C$15,MONTH(WORKDAY(M336,-(Setup!$C$13+Setup!$G$31),Setup!$C$39:$C$50))&lt;=Setup!$C$16))),WORKDAY(M336,-(Setup!$C$13+Setup!$G$31+Setup!$C$14),Setup!$C$39:$C$50),WORKDAY(M336,-(Setup!$C$13+Setup!$G$31),Setup!$C$39:$C$50))+(331*100+12)/10000000)))</f>
        <v/>
      </c>
      <c r="AD336" t="str">
        <f>IF(N336="","",IF(N336&lt;Setup!$C$5-Setup!$C$6,"",IF(IF(ISNUMBER(Roster!$D336),Setup!$C$32&lt;=Roster!$D336,FALSE),"",IF(OR(IF(Setup!$C$15&lt;=Setup!$C$16,AND(MONTH(N336)&gt;=Setup!$C$15,MONTH(N336)&lt;=Setup!$C$16),OR(MONTH(N336)&gt;=Setup!$C$15,MONTH(N336)&lt;=Setup!$C$16)),IF(Setup!$C$15&lt;=Setup!$C$16,AND(MONTH(WORKDAY(N336,-(Setup!$C$13+Setup!$G$32),Setup!$C$39:$C$50))&gt;=Setup!$C$15,MONTH(WORKDAY(N336,-(Setup!$C$13+Setup!$G$32),Setup!$C$39:$C$50))&lt;=Setup!$C$16),OR(MONTH(WORKDAY(N336,-(Setup!$C$13+Setup!$G$32),Setup!$C$39:$C$50))&gt;=Setup!$C$15,MONTH(WORKDAY(N336,-(Setup!$C$13+Setup!$G$32),Setup!$C$39:$C$50))&lt;=Setup!$C$16))),WORKDAY(N336,-(Setup!$C$13+Setup!$G$32+Setup!$C$14),Setup!$C$39:$C$50),WORKDAY(N336,-(Setup!$C$13+Setup!$G$32),Setup!$C$39:$C$50))+(331*100+13)/10000000)))</f>
        <v/>
      </c>
      <c r="AE336" t="str">
        <f>IF(O336="","",IF(O336&lt;Setup!$C$5-Setup!$C$6,"",IF(IF(ISNUMBER(Roster!$D336),Setup!$C$33&lt;=Roster!$D336,FALSE),"",IF(OR(IF(Setup!$C$15&lt;=Setup!$C$16,AND(MONTH(O336)&gt;=Setup!$C$15,MONTH(O336)&lt;=Setup!$C$16),OR(MONTH(O336)&gt;=Setup!$C$15,MONTH(O336)&lt;=Setup!$C$16)),IF(Setup!$C$15&lt;=Setup!$C$16,AND(MONTH(WORKDAY(O336,-(Setup!$C$13+Setup!$G$33),Setup!$C$39:$C$50))&gt;=Setup!$C$15,MONTH(WORKDAY(O336,-(Setup!$C$13+Setup!$G$33),Setup!$C$39:$C$50))&lt;=Setup!$C$16),OR(MONTH(WORKDAY(O336,-(Setup!$C$13+Setup!$G$33),Setup!$C$39:$C$50))&gt;=Setup!$C$15,MONTH(WORKDAY(O336,-(Setup!$C$13+Setup!$G$33),Setup!$C$39:$C$50))&lt;=Setup!$C$16))),WORKDAY(O336,-(Setup!$C$13+Setup!$G$33+Setup!$C$14),Setup!$C$39:$C$50),WORKDAY(O336,-(Setup!$C$13+Setup!$G$33),Setup!$C$39:$C$50))+(331*100+14)/10000000)))</f>
        <v/>
      </c>
      <c r="AF336" t="str">
        <f>IF(P336="","",IF(P336&lt;Setup!$C$5-Setup!$C$6,"",IF(IF(ISNUMBER(Roster!$D336),Setup!$C$34&lt;=Roster!$D336,FALSE),"",IF(OR(IF(Setup!$C$15&lt;=Setup!$C$16,AND(MONTH(P336)&gt;=Setup!$C$15,MONTH(P336)&lt;=Setup!$C$16),OR(MONTH(P336)&gt;=Setup!$C$15,MONTH(P336)&lt;=Setup!$C$16)),IF(Setup!$C$15&lt;=Setup!$C$16,AND(MONTH(WORKDAY(P336,-(Setup!$C$13+Setup!$G$34),Setup!$C$39:$C$50))&gt;=Setup!$C$15,MONTH(WORKDAY(P336,-(Setup!$C$13+Setup!$G$34),Setup!$C$39:$C$50))&lt;=Setup!$C$16),OR(MONTH(WORKDAY(P336,-(Setup!$C$13+Setup!$G$34),Setup!$C$39:$C$50))&gt;=Setup!$C$15,MONTH(WORKDAY(P336,-(Setup!$C$13+Setup!$G$34),Setup!$C$39:$C$50))&lt;=Setup!$C$16))),WORKDAY(P336,-(Setup!$C$13+Setup!$G$34+Setup!$C$14),Setup!$C$39:$C$50),WORKDAY(P336,-(Setup!$C$13+Setup!$G$34),Setup!$C$39:$C$50))+(331*100+15)/10000000)))</f>
        <v/>
      </c>
      <c r="AH336" t="str">
        <f t="shared" si="41"/>
        <v/>
      </c>
      <c r="AI336" t="str">
        <f t="shared" si="42"/>
        <v/>
      </c>
      <c r="AP336" t="str">
        <f>IF(ISNUMBER(Roster!$B336),MAX(1,YEAR(Setup!$C$5)-YEAR(Roster!$B336)+IF(EDATE(Roster!$B336,12*(YEAR(Setup!$C$5)-YEAR(Roster!$B336)))&lt;Setup!$C$5,1,0)),"")</f>
        <v/>
      </c>
      <c r="AQ336" s="32" t="str">
        <f>IF(AP336="","",EDATE(Roster!$B336,12*AP336))</f>
        <v/>
      </c>
      <c r="AR336" t="str">
        <f>IF(AQ336="","",IF(AQ336&lt;DATE(YEAR(Setup!$C$5)+1,MONTH(Setup!$C$5),DAY(Setup!$C$5)),AQ336+331/1000,""))</f>
        <v/>
      </c>
      <c r="AS336" t="str">
        <f t="shared" si="43"/>
        <v/>
      </c>
      <c r="AT336" t="str">
        <f>IF(AS336="","",IF(ISNUMBER(Roster!$D336),Roster!$D336&gt;=AP336,FALSE))</f>
        <v/>
      </c>
      <c r="AU336" t="str">
        <f t="shared" si="44"/>
        <v/>
      </c>
      <c r="AV336" t="str">
        <f ca="1">IF(331&gt;$AV$2,"",SMALL($AR$6:$AR$505,331))</f>
        <v/>
      </c>
      <c r="AW336" t="str">
        <f t="shared" ca="1" si="45"/>
        <v/>
      </c>
    </row>
    <row r="337" spans="2:49" x14ac:dyDescent="0.2">
      <c r="B337" s="32" t="str">
        <f>IF(AND(ISNUMBER(Roster!$B337),Setup!$B$20="Yes",ISNUMBER(Setup!$C$20)),EDATE(Roster!$B337,12*Setup!$C$20),"")</f>
        <v/>
      </c>
      <c r="C337" s="32" t="str">
        <f>IF(AND(ISNUMBER(Roster!$B337),Setup!$B$21="Yes",ISNUMBER(Setup!$C$21)),EDATE(Roster!$B337,12*Setup!$C$21),"")</f>
        <v/>
      </c>
      <c r="D337" s="32" t="str">
        <f>IF(AND(ISNUMBER(Roster!$B337),Setup!$B$22="Yes",ISNUMBER(Setup!$C$22)),EDATE(Roster!$B337,12*Setup!$C$22),"")</f>
        <v/>
      </c>
      <c r="E337" s="32" t="str">
        <f>IF(AND(ISNUMBER(Roster!$B337),Setup!$B$23="Yes",ISNUMBER(Setup!$C$23)),EDATE(Roster!$B337,12*Setup!$C$23),"")</f>
        <v/>
      </c>
      <c r="F337" s="32" t="str">
        <f>IF(AND(ISNUMBER(Roster!$B337),Setup!$B$24="Yes",ISNUMBER(Setup!$C$24)),EDATE(Roster!$B337,12*Setup!$C$24),"")</f>
        <v/>
      </c>
      <c r="G337" s="32" t="str">
        <f>IF(AND(ISNUMBER(Roster!$B337),Setup!$B$25="Yes",ISNUMBER(Setup!$C$25)),EDATE(Roster!$B337,12*Setup!$C$25),"")</f>
        <v/>
      </c>
      <c r="H337" s="32" t="str">
        <f>IF(AND(ISNUMBER(Roster!$B337),Setup!$B$26="Yes",ISNUMBER(Setup!$C$26)),EDATE(Roster!$B337,12*Setup!$C$26),"")</f>
        <v/>
      </c>
      <c r="I337" s="32" t="str">
        <f>IF(AND(ISNUMBER(Roster!$B337),Setup!$B$27="Yes",ISNUMBER(Setup!$C$27)),EDATE(Roster!$B337,12*Setup!$C$27),"")</f>
        <v/>
      </c>
      <c r="J337" s="32" t="str">
        <f>IF(AND(ISNUMBER(Roster!$B337),Setup!$B$28="Yes",ISNUMBER(Setup!$C$28)),EDATE(Roster!$B337,12*Setup!$C$28),"")</f>
        <v/>
      </c>
      <c r="K337" s="32" t="str">
        <f>IF(AND(ISNUMBER(Roster!$B337),Setup!$B$29="Yes",ISNUMBER(Setup!$C$29)),EDATE(Roster!$B337,12*Setup!$C$29),"")</f>
        <v/>
      </c>
      <c r="L337" s="32" t="str">
        <f>IF(AND(ISNUMBER(Roster!$B337),Setup!$B$30="Yes",ISNUMBER(Setup!$C$30)),EDATE(Roster!$B337,12*Setup!$C$30),"")</f>
        <v/>
      </c>
      <c r="M337" s="32" t="str">
        <f>IF(AND(ISNUMBER(Roster!$B337),Setup!$B$31="Yes",ISNUMBER(Setup!$C$31)),EDATE(Roster!$B337,12*Setup!$C$31),"")</f>
        <v/>
      </c>
      <c r="N337" s="32" t="str">
        <f>IF(AND(ISNUMBER(Roster!$B337),Setup!$B$32="Yes",ISNUMBER(Setup!$C$32)),EDATE(Roster!$B337,12*Setup!$C$32),"")</f>
        <v/>
      </c>
      <c r="O337" s="32" t="str">
        <f>IF(AND(ISNUMBER(Roster!$B337),Setup!$B$33="Yes",ISNUMBER(Setup!$C$33)),EDATE(Roster!$B337,12*Setup!$C$33),"")</f>
        <v/>
      </c>
      <c r="P337" s="32" t="str">
        <f>IF(AND(ISNUMBER(Roster!$B337),Setup!$B$34="Yes",ISNUMBER(Setup!$C$34)),EDATE(Roster!$B337,12*Setup!$C$34),"")</f>
        <v/>
      </c>
      <c r="R337" t="str">
        <f>IF(B337="","",IF(B337&lt;Setup!$C$5-Setup!$C$6,"",IF(IF(ISNUMBER(Roster!$D337),Setup!$C$20&lt;=Roster!$D337,FALSE),"",IF(OR(IF(Setup!$C$15&lt;=Setup!$C$16,AND(MONTH(B337)&gt;=Setup!$C$15,MONTH(B337)&lt;=Setup!$C$16),OR(MONTH(B337)&gt;=Setup!$C$15,MONTH(B337)&lt;=Setup!$C$16)),IF(Setup!$C$15&lt;=Setup!$C$16,AND(MONTH(WORKDAY(B337,-(Setup!$C$13+Setup!$G$20),Setup!$C$39:$C$50))&gt;=Setup!$C$15,MONTH(WORKDAY(B337,-(Setup!$C$13+Setup!$G$20),Setup!$C$39:$C$50))&lt;=Setup!$C$16),OR(MONTH(WORKDAY(B337,-(Setup!$C$13+Setup!$G$20),Setup!$C$39:$C$50))&gt;=Setup!$C$15,MONTH(WORKDAY(B337,-(Setup!$C$13+Setup!$G$20),Setup!$C$39:$C$50))&lt;=Setup!$C$16))),WORKDAY(B337,-(Setup!$C$13+Setup!$G$20+Setup!$C$14),Setup!$C$39:$C$50),WORKDAY(B337,-(Setup!$C$13+Setup!$G$20),Setup!$C$39:$C$50))+(332*100+1)/10000000)))</f>
        <v/>
      </c>
      <c r="S337" t="str">
        <f>IF(C337="","",IF(C337&lt;Setup!$C$5-Setup!$C$6,"",IF(IF(ISNUMBER(Roster!$D337),Setup!$C$21&lt;=Roster!$D337,FALSE),"",IF(OR(IF(Setup!$C$15&lt;=Setup!$C$16,AND(MONTH(C337)&gt;=Setup!$C$15,MONTH(C337)&lt;=Setup!$C$16),OR(MONTH(C337)&gt;=Setup!$C$15,MONTH(C337)&lt;=Setup!$C$16)),IF(Setup!$C$15&lt;=Setup!$C$16,AND(MONTH(WORKDAY(C337,-(Setup!$C$13+Setup!$G$21),Setup!$C$39:$C$50))&gt;=Setup!$C$15,MONTH(WORKDAY(C337,-(Setup!$C$13+Setup!$G$21),Setup!$C$39:$C$50))&lt;=Setup!$C$16),OR(MONTH(WORKDAY(C337,-(Setup!$C$13+Setup!$G$21),Setup!$C$39:$C$50))&gt;=Setup!$C$15,MONTH(WORKDAY(C337,-(Setup!$C$13+Setup!$G$21),Setup!$C$39:$C$50))&lt;=Setup!$C$16))),WORKDAY(C337,-(Setup!$C$13+Setup!$G$21+Setup!$C$14),Setup!$C$39:$C$50),WORKDAY(C337,-(Setup!$C$13+Setup!$G$21),Setup!$C$39:$C$50))+(332*100+2)/10000000)))</f>
        <v/>
      </c>
      <c r="T337" t="str">
        <f>IF(D337="","",IF(D337&lt;Setup!$C$5-Setup!$C$6,"",IF(IF(ISNUMBER(Roster!$D337),Setup!$C$22&lt;=Roster!$D337,FALSE),"",IF(OR(IF(Setup!$C$15&lt;=Setup!$C$16,AND(MONTH(D337)&gt;=Setup!$C$15,MONTH(D337)&lt;=Setup!$C$16),OR(MONTH(D337)&gt;=Setup!$C$15,MONTH(D337)&lt;=Setup!$C$16)),IF(Setup!$C$15&lt;=Setup!$C$16,AND(MONTH(WORKDAY(D337,-(Setup!$C$13+Setup!$G$22),Setup!$C$39:$C$50))&gt;=Setup!$C$15,MONTH(WORKDAY(D337,-(Setup!$C$13+Setup!$G$22),Setup!$C$39:$C$50))&lt;=Setup!$C$16),OR(MONTH(WORKDAY(D337,-(Setup!$C$13+Setup!$G$22),Setup!$C$39:$C$50))&gt;=Setup!$C$15,MONTH(WORKDAY(D337,-(Setup!$C$13+Setup!$G$22),Setup!$C$39:$C$50))&lt;=Setup!$C$16))),WORKDAY(D337,-(Setup!$C$13+Setup!$G$22+Setup!$C$14),Setup!$C$39:$C$50),WORKDAY(D337,-(Setup!$C$13+Setup!$G$22),Setup!$C$39:$C$50))+(332*100+3)/10000000)))</f>
        <v/>
      </c>
      <c r="U337" t="str">
        <f>IF(E337="","",IF(E337&lt;Setup!$C$5-Setup!$C$6,"",IF(IF(ISNUMBER(Roster!$D337),Setup!$C$23&lt;=Roster!$D337,FALSE),"",IF(OR(IF(Setup!$C$15&lt;=Setup!$C$16,AND(MONTH(E337)&gt;=Setup!$C$15,MONTH(E337)&lt;=Setup!$C$16),OR(MONTH(E337)&gt;=Setup!$C$15,MONTH(E337)&lt;=Setup!$C$16)),IF(Setup!$C$15&lt;=Setup!$C$16,AND(MONTH(WORKDAY(E337,-(Setup!$C$13+Setup!$G$23),Setup!$C$39:$C$50))&gt;=Setup!$C$15,MONTH(WORKDAY(E337,-(Setup!$C$13+Setup!$G$23),Setup!$C$39:$C$50))&lt;=Setup!$C$16),OR(MONTH(WORKDAY(E337,-(Setup!$C$13+Setup!$G$23),Setup!$C$39:$C$50))&gt;=Setup!$C$15,MONTH(WORKDAY(E337,-(Setup!$C$13+Setup!$G$23),Setup!$C$39:$C$50))&lt;=Setup!$C$16))),WORKDAY(E337,-(Setup!$C$13+Setup!$G$23+Setup!$C$14),Setup!$C$39:$C$50),WORKDAY(E337,-(Setup!$C$13+Setup!$G$23),Setup!$C$39:$C$50))+(332*100+4)/10000000)))</f>
        <v/>
      </c>
      <c r="V337" t="str">
        <f>IF(F337="","",IF(F337&lt;Setup!$C$5-Setup!$C$6,"",IF(IF(ISNUMBER(Roster!$D337),Setup!$C$24&lt;=Roster!$D337,FALSE),"",IF(OR(IF(Setup!$C$15&lt;=Setup!$C$16,AND(MONTH(F337)&gt;=Setup!$C$15,MONTH(F337)&lt;=Setup!$C$16),OR(MONTH(F337)&gt;=Setup!$C$15,MONTH(F337)&lt;=Setup!$C$16)),IF(Setup!$C$15&lt;=Setup!$C$16,AND(MONTH(WORKDAY(F337,-(Setup!$C$13+Setup!$G$24),Setup!$C$39:$C$50))&gt;=Setup!$C$15,MONTH(WORKDAY(F337,-(Setup!$C$13+Setup!$G$24),Setup!$C$39:$C$50))&lt;=Setup!$C$16),OR(MONTH(WORKDAY(F337,-(Setup!$C$13+Setup!$G$24),Setup!$C$39:$C$50))&gt;=Setup!$C$15,MONTH(WORKDAY(F337,-(Setup!$C$13+Setup!$G$24),Setup!$C$39:$C$50))&lt;=Setup!$C$16))),WORKDAY(F337,-(Setup!$C$13+Setup!$G$24+Setup!$C$14),Setup!$C$39:$C$50),WORKDAY(F337,-(Setup!$C$13+Setup!$G$24),Setup!$C$39:$C$50))+(332*100+5)/10000000)))</f>
        <v/>
      </c>
      <c r="W337" t="str">
        <f>IF(G337="","",IF(G337&lt;Setup!$C$5-Setup!$C$6,"",IF(IF(ISNUMBER(Roster!$D337),Setup!$C$25&lt;=Roster!$D337,FALSE),"",IF(OR(IF(Setup!$C$15&lt;=Setup!$C$16,AND(MONTH(G337)&gt;=Setup!$C$15,MONTH(G337)&lt;=Setup!$C$16),OR(MONTH(G337)&gt;=Setup!$C$15,MONTH(G337)&lt;=Setup!$C$16)),IF(Setup!$C$15&lt;=Setup!$C$16,AND(MONTH(WORKDAY(G337,-(Setup!$C$13+Setup!$G$25),Setup!$C$39:$C$50))&gt;=Setup!$C$15,MONTH(WORKDAY(G337,-(Setup!$C$13+Setup!$G$25),Setup!$C$39:$C$50))&lt;=Setup!$C$16),OR(MONTH(WORKDAY(G337,-(Setup!$C$13+Setup!$G$25),Setup!$C$39:$C$50))&gt;=Setup!$C$15,MONTH(WORKDAY(G337,-(Setup!$C$13+Setup!$G$25),Setup!$C$39:$C$50))&lt;=Setup!$C$16))),WORKDAY(G337,-(Setup!$C$13+Setup!$G$25+Setup!$C$14),Setup!$C$39:$C$50),WORKDAY(G337,-(Setup!$C$13+Setup!$G$25),Setup!$C$39:$C$50))+(332*100+6)/10000000)))</f>
        <v/>
      </c>
      <c r="X337" t="str">
        <f>IF(H337="","",IF(H337&lt;Setup!$C$5-Setup!$C$6,"",IF(IF(ISNUMBER(Roster!$D337),Setup!$C$26&lt;=Roster!$D337,FALSE),"",IF(OR(IF(Setup!$C$15&lt;=Setup!$C$16,AND(MONTH(H337)&gt;=Setup!$C$15,MONTH(H337)&lt;=Setup!$C$16),OR(MONTH(H337)&gt;=Setup!$C$15,MONTH(H337)&lt;=Setup!$C$16)),IF(Setup!$C$15&lt;=Setup!$C$16,AND(MONTH(WORKDAY(H337,-(Setup!$C$13+Setup!$G$26),Setup!$C$39:$C$50))&gt;=Setup!$C$15,MONTH(WORKDAY(H337,-(Setup!$C$13+Setup!$G$26),Setup!$C$39:$C$50))&lt;=Setup!$C$16),OR(MONTH(WORKDAY(H337,-(Setup!$C$13+Setup!$G$26),Setup!$C$39:$C$50))&gt;=Setup!$C$15,MONTH(WORKDAY(H337,-(Setup!$C$13+Setup!$G$26),Setup!$C$39:$C$50))&lt;=Setup!$C$16))),WORKDAY(H337,-(Setup!$C$13+Setup!$G$26+Setup!$C$14),Setup!$C$39:$C$50),WORKDAY(H337,-(Setup!$C$13+Setup!$G$26),Setup!$C$39:$C$50))+(332*100+7)/10000000)))</f>
        <v/>
      </c>
      <c r="Y337" t="str">
        <f>IF(I337="","",IF(I337&lt;Setup!$C$5-Setup!$C$6,"",IF(IF(ISNUMBER(Roster!$D337),Setup!$C$27&lt;=Roster!$D337,FALSE),"",IF(OR(IF(Setup!$C$15&lt;=Setup!$C$16,AND(MONTH(I337)&gt;=Setup!$C$15,MONTH(I337)&lt;=Setup!$C$16),OR(MONTH(I337)&gt;=Setup!$C$15,MONTH(I337)&lt;=Setup!$C$16)),IF(Setup!$C$15&lt;=Setup!$C$16,AND(MONTH(WORKDAY(I337,-(Setup!$C$13+Setup!$G$27),Setup!$C$39:$C$50))&gt;=Setup!$C$15,MONTH(WORKDAY(I337,-(Setup!$C$13+Setup!$G$27),Setup!$C$39:$C$50))&lt;=Setup!$C$16),OR(MONTH(WORKDAY(I337,-(Setup!$C$13+Setup!$G$27),Setup!$C$39:$C$50))&gt;=Setup!$C$15,MONTH(WORKDAY(I337,-(Setup!$C$13+Setup!$G$27),Setup!$C$39:$C$50))&lt;=Setup!$C$16))),WORKDAY(I337,-(Setup!$C$13+Setup!$G$27+Setup!$C$14),Setup!$C$39:$C$50),WORKDAY(I337,-(Setup!$C$13+Setup!$G$27),Setup!$C$39:$C$50))+(332*100+8)/10000000)))</f>
        <v/>
      </c>
      <c r="Z337" t="str">
        <f>IF(J337="","",IF(J337&lt;Setup!$C$5-Setup!$C$6,"",IF(IF(ISNUMBER(Roster!$D337),Setup!$C$28&lt;=Roster!$D337,FALSE),"",IF(OR(IF(Setup!$C$15&lt;=Setup!$C$16,AND(MONTH(J337)&gt;=Setup!$C$15,MONTH(J337)&lt;=Setup!$C$16),OR(MONTH(J337)&gt;=Setup!$C$15,MONTH(J337)&lt;=Setup!$C$16)),IF(Setup!$C$15&lt;=Setup!$C$16,AND(MONTH(WORKDAY(J337,-(Setup!$C$13+Setup!$G$28),Setup!$C$39:$C$50))&gt;=Setup!$C$15,MONTH(WORKDAY(J337,-(Setup!$C$13+Setup!$G$28),Setup!$C$39:$C$50))&lt;=Setup!$C$16),OR(MONTH(WORKDAY(J337,-(Setup!$C$13+Setup!$G$28),Setup!$C$39:$C$50))&gt;=Setup!$C$15,MONTH(WORKDAY(J337,-(Setup!$C$13+Setup!$G$28),Setup!$C$39:$C$50))&lt;=Setup!$C$16))),WORKDAY(J337,-(Setup!$C$13+Setup!$G$28+Setup!$C$14),Setup!$C$39:$C$50),WORKDAY(J337,-(Setup!$C$13+Setup!$G$28),Setup!$C$39:$C$50))+(332*100+9)/10000000)))</f>
        <v/>
      </c>
      <c r="AA337" t="str">
        <f>IF(K337="","",IF(K337&lt;Setup!$C$5-Setup!$C$6,"",IF(IF(ISNUMBER(Roster!$D337),Setup!$C$29&lt;=Roster!$D337,FALSE),"",IF(OR(IF(Setup!$C$15&lt;=Setup!$C$16,AND(MONTH(K337)&gt;=Setup!$C$15,MONTH(K337)&lt;=Setup!$C$16),OR(MONTH(K337)&gt;=Setup!$C$15,MONTH(K337)&lt;=Setup!$C$16)),IF(Setup!$C$15&lt;=Setup!$C$16,AND(MONTH(WORKDAY(K337,-(Setup!$C$13+Setup!$G$29),Setup!$C$39:$C$50))&gt;=Setup!$C$15,MONTH(WORKDAY(K337,-(Setup!$C$13+Setup!$G$29),Setup!$C$39:$C$50))&lt;=Setup!$C$16),OR(MONTH(WORKDAY(K337,-(Setup!$C$13+Setup!$G$29),Setup!$C$39:$C$50))&gt;=Setup!$C$15,MONTH(WORKDAY(K337,-(Setup!$C$13+Setup!$G$29),Setup!$C$39:$C$50))&lt;=Setup!$C$16))),WORKDAY(K337,-(Setup!$C$13+Setup!$G$29+Setup!$C$14),Setup!$C$39:$C$50),WORKDAY(K337,-(Setup!$C$13+Setup!$G$29),Setup!$C$39:$C$50))+(332*100+10)/10000000)))</f>
        <v/>
      </c>
      <c r="AB337" t="str">
        <f>IF(L337="","",IF(L337&lt;Setup!$C$5-Setup!$C$6,"",IF(IF(ISNUMBER(Roster!$D337),Setup!$C$30&lt;=Roster!$D337,FALSE),"",IF(OR(IF(Setup!$C$15&lt;=Setup!$C$16,AND(MONTH(L337)&gt;=Setup!$C$15,MONTH(L337)&lt;=Setup!$C$16),OR(MONTH(L337)&gt;=Setup!$C$15,MONTH(L337)&lt;=Setup!$C$16)),IF(Setup!$C$15&lt;=Setup!$C$16,AND(MONTH(WORKDAY(L337,-(Setup!$C$13+Setup!$G$30),Setup!$C$39:$C$50))&gt;=Setup!$C$15,MONTH(WORKDAY(L337,-(Setup!$C$13+Setup!$G$30),Setup!$C$39:$C$50))&lt;=Setup!$C$16),OR(MONTH(WORKDAY(L337,-(Setup!$C$13+Setup!$G$30),Setup!$C$39:$C$50))&gt;=Setup!$C$15,MONTH(WORKDAY(L337,-(Setup!$C$13+Setup!$G$30),Setup!$C$39:$C$50))&lt;=Setup!$C$16))),WORKDAY(L337,-(Setup!$C$13+Setup!$G$30+Setup!$C$14),Setup!$C$39:$C$50),WORKDAY(L337,-(Setup!$C$13+Setup!$G$30),Setup!$C$39:$C$50))+(332*100+11)/10000000)))</f>
        <v/>
      </c>
      <c r="AC337" t="str">
        <f>IF(M337="","",IF(M337&lt;Setup!$C$5-Setup!$C$6,"",IF(IF(ISNUMBER(Roster!$D337),Setup!$C$31&lt;=Roster!$D337,FALSE),"",IF(OR(IF(Setup!$C$15&lt;=Setup!$C$16,AND(MONTH(M337)&gt;=Setup!$C$15,MONTH(M337)&lt;=Setup!$C$16),OR(MONTH(M337)&gt;=Setup!$C$15,MONTH(M337)&lt;=Setup!$C$16)),IF(Setup!$C$15&lt;=Setup!$C$16,AND(MONTH(WORKDAY(M337,-(Setup!$C$13+Setup!$G$31),Setup!$C$39:$C$50))&gt;=Setup!$C$15,MONTH(WORKDAY(M337,-(Setup!$C$13+Setup!$G$31),Setup!$C$39:$C$50))&lt;=Setup!$C$16),OR(MONTH(WORKDAY(M337,-(Setup!$C$13+Setup!$G$31),Setup!$C$39:$C$50))&gt;=Setup!$C$15,MONTH(WORKDAY(M337,-(Setup!$C$13+Setup!$G$31),Setup!$C$39:$C$50))&lt;=Setup!$C$16))),WORKDAY(M337,-(Setup!$C$13+Setup!$G$31+Setup!$C$14),Setup!$C$39:$C$50),WORKDAY(M337,-(Setup!$C$13+Setup!$G$31),Setup!$C$39:$C$50))+(332*100+12)/10000000)))</f>
        <v/>
      </c>
      <c r="AD337" t="str">
        <f>IF(N337="","",IF(N337&lt;Setup!$C$5-Setup!$C$6,"",IF(IF(ISNUMBER(Roster!$D337),Setup!$C$32&lt;=Roster!$D337,FALSE),"",IF(OR(IF(Setup!$C$15&lt;=Setup!$C$16,AND(MONTH(N337)&gt;=Setup!$C$15,MONTH(N337)&lt;=Setup!$C$16),OR(MONTH(N337)&gt;=Setup!$C$15,MONTH(N337)&lt;=Setup!$C$16)),IF(Setup!$C$15&lt;=Setup!$C$16,AND(MONTH(WORKDAY(N337,-(Setup!$C$13+Setup!$G$32),Setup!$C$39:$C$50))&gt;=Setup!$C$15,MONTH(WORKDAY(N337,-(Setup!$C$13+Setup!$G$32),Setup!$C$39:$C$50))&lt;=Setup!$C$16),OR(MONTH(WORKDAY(N337,-(Setup!$C$13+Setup!$G$32),Setup!$C$39:$C$50))&gt;=Setup!$C$15,MONTH(WORKDAY(N337,-(Setup!$C$13+Setup!$G$32),Setup!$C$39:$C$50))&lt;=Setup!$C$16))),WORKDAY(N337,-(Setup!$C$13+Setup!$G$32+Setup!$C$14),Setup!$C$39:$C$50),WORKDAY(N337,-(Setup!$C$13+Setup!$G$32),Setup!$C$39:$C$50))+(332*100+13)/10000000)))</f>
        <v/>
      </c>
      <c r="AE337" t="str">
        <f>IF(O337="","",IF(O337&lt;Setup!$C$5-Setup!$C$6,"",IF(IF(ISNUMBER(Roster!$D337),Setup!$C$33&lt;=Roster!$D337,FALSE),"",IF(OR(IF(Setup!$C$15&lt;=Setup!$C$16,AND(MONTH(O337)&gt;=Setup!$C$15,MONTH(O337)&lt;=Setup!$C$16),OR(MONTH(O337)&gt;=Setup!$C$15,MONTH(O337)&lt;=Setup!$C$16)),IF(Setup!$C$15&lt;=Setup!$C$16,AND(MONTH(WORKDAY(O337,-(Setup!$C$13+Setup!$G$33),Setup!$C$39:$C$50))&gt;=Setup!$C$15,MONTH(WORKDAY(O337,-(Setup!$C$13+Setup!$G$33),Setup!$C$39:$C$50))&lt;=Setup!$C$16),OR(MONTH(WORKDAY(O337,-(Setup!$C$13+Setup!$G$33),Setup!$C$39:$C$50))&gt;=Setup!$C$15,MONTH(WORKDAY(O337,-(Setup!$C$13+Setup!$G$33),Setup!$C$39:$C$50))&lt;=Setup!$C$16))),WORKDAY(O337,-(Setup!$C$13+Setup!$G$33+Setup!$C$14),Setup!$C$39:$C$50),WORKDAY(O337,-(Setup!$C$13+Setup!$G$33),Setup!$C$39:$C$50))+(332*100+14)/10000000)))</f>
        <v/>
      </c>
      <c r="AF337" t="str">
        <f>IF(P337="","",IF(P337&lt;Setup!$C$5-Setup!$C$6,"",IF(IF(ISNUMBER(Roster!$D337),Setup!$C$34&lt;=Roster!$D337,FALSE),"",IF(OR(IF(Setup!$C$15&lt;=Setup!$C$16,AND(MONTH(P337)&gt;=Setup!$C$15,MONTH(P337)&lt;=Setup!$C$16),OR(MONTH(P337)&gt;=Setup!$C$15,MONTH(P337)&lt;=Setup!$C$16)),IF(Setup!$C$15&lt;=Setup!$C$16,AND(MONTH(WORKDAY(P337,-(Setup!$C$13+Setup!$G$34),Setup!$C$39:$C$50))&gt;=Setup!$C$15,MONTH(WORKDAY(P337,-(Setup!$C$13+Setup!$G$34),Setup!$C$39:$C$50))&lt;=Setup!$C$16),OR(MONTH(WORKDAY(P337,-(Setup!$C$13+Setup!$G$34),Setup!$C$39:$C$50))&gt;=Setup!$C$15,MONTH(WORKDAY(P337,-(Setup!$C$13+Setup!$G$34),Setup!$C$39:$C$50))&lt;=Setup!$C$16))),WORKDAY(P337,-(Setup!$C$13+Setup!$G$34+Setup!$C$14),Setup!$C$39:$C$50),WORKDAY(P337,-(Setup!$C$13+Setup!$G$34),Setup!$C$39:$C$50))+(332*100+15)/10000000)))</f>
        <v/>
      </c>
      <c r="AH337" t="str">
        <f t="shared" si="41"/>
        <v/>
      </c>
      <c r="AI337" t="str">
        <f t="shared" si="42"/>
        <v/>
      </c>
      <c r="AP337" t="str">
        <f>IF(ISNUMBER(Roster!$B337),MAX(1,YEAR(Setup!$C$5)-YEAR(Roster!$B337)+IF(EDATE(Roster!$B337,12*(YEAR(Setup!$C$5)-YEAR(Roster!$B337)))&lt;Setup!$C$5,1,0)),"")</f>
        <v/>
      </c>
      <c r="AQ337" s="32" t="str">
        <f>IF(AP337="","",EDATE(Roster!$B337,12*AP337))</f>
        <v/>
      </c>
      <c r="AR337" t="str">
        <f>IF(AQ337="","",IF(AQ337&lt;DATE(YEAR(Setup!$C$5)+1,MONTH(Setup!$C$5),DAY(Setup!$C$5)),AQ337+332/1000,""))</f>
        <v/>
      </c>
      <c r="AS337" t="str">
        <f t="shared" si="43"/>
        <v/>
      </c>
      <c r="AT337" t="str">
        <f>IF(AS337="","",IF(ISNUMBER(Roster!$D337),Roster!$D337&gt;=AP337,FALSE))</f>
        <v/>
      </c>
      <c r="AU337" t="str">
        <f t="shared" si="44"/>
        <v/>
      </c>
      <c r="AV337" t="str">
        <f ca="1">IF(332&gt;$AV$2,"",SMALL($AR$6:$AR$505,332))</f>
        <v/>
      </c>
      <c r="AW337" t="str">
        <f t="shared" ca="1" si="45"/>
        <v/>
      </c>
    </row>
    <row r="338" spans="2:49" x14ac:dyDescent="0.2">
      <c r="B338" s="32" t="str">
        <f>IF(AND(ISNUMBER(Roster!$B338),Setup!$B$20="Yes",ISNUMBER(Setup!$C$20)),EDATE(Roster!$B338,12*Setup!$C$20),"")</f>
        <v/>
      </c>
      <c r="C338" s="32" t="str">
        <f>IF(AND(ISNUMBER(Roster!$B338),Setup!$B$21="Yes",ISNUMBER(Setup!$C$21)),EDATE(Roster!$B338,12*Setup!$C$21),"")</f>
        <v/>
      </c>
      <c r="D338" s="32" t="str">
        <f>IF(AND(ISNUMBER(Roster!$B338),Setup!$B$22="Yes",ISNUMBER(Setup!$C$22)),EDATE(Roster!$B338,12*Setup!$C$22),"")</f>
        <v/>
      </c>
      <c r="E338" s="32" t="str">
        <f>IF(AND(ISNUMBER(Roster!$B338),Setup!$B$23="Yes",ISNUMBER(Setup!$C$23)),EDATE(Roster!$B338,12*Setup!$C$23),"")</f>
        <v/>
      </c>
      <c r="F338" s="32" t="str">
        <f>IF(AND(ISNUMBER(Roster!$B338),Setup!$B$24="Yes",ISNUMBER(Setup!$C$24)),EDATE(Roster!$B338,12*Setup!$C$24),"")</f>
        <v/>
      </c>
      <c r="G338" s="32" t="str">
        <f>IF(AND(ISNUMBER(Roster!$B338),Setup!$B$25="Yes",ISNUMBER(Setup!$C$25)),EDATE(Roster!$B338,12*Setup!$C$25),"")</f>
        <v/>
      </c>
      <c r="H338" s="32" t="str">
        <f>IF(AND(ISNUMBER(Roster!$B338),Setup!$B$26="Yes",ISNUMBER(Setup!$C$26)),EDATE(Roster!$B338,12*Setup!$C$26),"")</f>
        <v/>
      </c>
      <c r="I338" s="32" t="str">
        <f>IF(AND(ISNUMBER(Roster!$B338),Setup!$B$27="Yes",ISNUMBER(Setup!$C$27)),EDATE(Roster!$B338,12*Setup!$C$27),"")</f>
        <v/>
      </c>
      <c r="J338" s="32" t="str">
        <f>IF(AND(ISNUMBER(Roster!$B338),Setup!$B$28="Yes",ISNUMBER(Setup!$C$28)),EDATE(Roster!$B338,12*Setup!$C$28),"")</f>
        <v/>
      </c>
      <c r="K338" s="32" t="str">
        <f>IF(AND(ISNUMBER(Roster!$B338),Setup!$B$29="Yes",ISNUMBER(Setup!$C$29)),EDATE(Roster!$B338,12*Setup!$C$29),"")</f>
        <v/>
      </c>
      <c r="L338" s="32" t="str">
        <f>IF(AND(ISNUMBER(Roster!$B338),Setup!$B$30="Yes",ISNUMBER(Setup!$C$30)),EDATE(Roster!$B338,12*Setup!$C$30),"")</f>
        <v/>
      </c>
      <c r="M338" s="32" t="str">
        <f>IF(AND(ISNUMBER(Roster!$B338),Setup!$B$31="Yes",ISNUMBER(Setup!$C$31)),EDATE(Roster!$B338,12*Setup!$C$31),"")</f>
        <v/>
      </c>
      <c r="N338" s="32" t="str">
        <f>IF(AND(ISNUMBER(Roster!$B338),Setup!$B$32="Yes",ISNUMBER(Setup!$C$32)),EDATE(Roster!$B338,12*Setup!$C$32),"")</f>
        <v/>
      </c>
      <c r="O338" s="32" t="str">
        <f>IF(AND(ISNUMBER(Roster!$B338),Setup!$B$33="Yes",ISNUMBER(Setup!$C$33)),EDATE(Roster!$B338,12*Setup!$C$33),"")</f>
        <v/>
      </c>
      <c r="P338" s="32" t="str">
        <f>IF(AND(ISNUMBER(Roster!$B338),Setup!$B$34="Yes",ISNUMBER(Setup!$C$34)),EDATE(Roster!$B338,12*Setup!$C$34),"")</f>
        <v/>
      </c>
      <c r="R338" t="str">
        <f>IF(B338="","",IF(B338&lt;Setup!$C$5-Setup!$C$6,"",IF(IF(ISNUMBER(Roster!$D338),Setup!$C$20&lt;=Roster!$D338,FALSE),"",IF(OR(IF(Setup!$C$15&lt;=Setup!$C$16,AND(MONTH(B338)&gt;=Setup!$C$15,MONTH(B338)&lt;=Setup!$C$16),OR(MONTH(B338)&gt;=Setup!$C$15,MONTH(B338)&lt;=Setup!$C$16)),IF(Setup!$C$15&lt;=Setup!$C$16,AND(MONTH(WORKDAY(B338,-(Setup!$C$13+Setup!$G$20),Setup!$C$39:$C$50))&gt;=Setup!$C$15,MONTH(WORKDAY(B338,-(Setup!$C$13+Setup!$G$20),Setup!$C$39:$C$50))&lt;=Setup!$C$16),OR(MONTH(WORKDAY(B338,-(Setup!$C$13+Setup!$G$20),Setup!$C$39:$C$50))&gt;=Setup!$C$15,MONTH(WORKDAY(B338,-(Setup!$C$13+Setup!$G$20),Setup!$C$39:$C$50))&lt;=Setup!$C$16))),WORKDAY(B338,-(Setup!$C$13+Setup!$G$20+Setup!$C$14),Setup!$C$39:$C$50),WORKDAY(B338,-(Setup!$C$13+Setup!$G$20),Setup!$C$39:$C$50))+(333*100+1)/10000000)))</f>
        <v/>
      </c>
      <c r="S338" t="str">
        <f>IF(C338="","",IF(C338&lt;Setup!$C$5-Setup!$C$6,"",IF(IF(ISNUMBER(Roster!$D338),Setup!$C$21&lt;=Roster!$D338,FALSE),"",IF(OR(IF(Setup!$C$15&lt;=Setup!$C$16,AND(MONTH(C338)&gt;=Setup!$C$15,MONTH(C338)&lt;=Setup!$C$16),OR(MONTH(C338)&gt;=Setup!$C$15,MONTH(C338)&lt;=Setup!$C$16)),IF(Setup!$C$15&lt;=Setup!$C$16,AND(MONTH(WORKDAY(C338,-(Setup!$C$13+Setup!$G$21),Setup!$C$39:$C$50))&gt;=Setup!$C$15,MONTH(WORKDAY(C338,-(Setup!$C$13+Setup!$G$21),Setup!$C$39:$C$50))&lt;=Setup!$C$16),OR(MONTH(WORKDAY(C338,-(Setup!$C$13+Setup!$G$21),Setup!$C$39:$C$50))&gt;=Setup!$C$15,MONTH(WORKDAY(C338,-(Setup!$C$13+Setup!$G$21),Setup!$C$39:$C$50))&lt;=Setup!$C$16))),WORKDAY(C338,-(Setup!$C$13+Setup!$G$21+Setup!$C$14),Setup!$C$39:$C$50),WORKDAY(C338,-(Setup!$C$13+Setup!$G$21),Setup!$C$39:$C$50))+(333*100+2)/10000000)))</f>
        <v/>
      </c>
      <c r="T338" t="str">
        <f>IF(D338="","",IF(D338&lt;Setup!$C$5-Setup!$C$6,"",IF(IF(ISNUMBER(Roster!$D338),Setup!$C$22&lt;=Roster!$D338,FALSE),"",IF(OR(IF(Setup!$C$15&lt;=Setup!$C$16,AND(MONTH(D338)&gt;=Setup!$C$15,MONTH(D338)&lt;=Setup!$C$16),OR(MONTH(D338)&gt;=Setup!$C$15,MONTH(D338)&lt;=Setup!$C$16)),IF(Setup!$C$15&lt;=Setup!$C$16,AND(MONTH(WORKDAY(D338,-(Setup!$C$13+Setup!$G$22),Setup!$C$39:$C$50))&gt;=Setup!$C$15,MONTH(WORKDAY(D338,-(Setup!$C$13+Setup!$G$22),Setup!$C$39:$C$50))&lt;=Setup!$C$16),OR(MONTH(WORKDAY(D338,-(Setup!$C$13+Setup!$G$22),Setup!$C$39:$C$50))&gt;=Setup!$C$15,MONTH(WORKDAY(D338,-(Setup!$C$13+Setup!$G$22),Setup!$C$39:$C$50))&lt;=Setup!$C$16))),WORKDAY(D338,-(Setup!$C$13+Setup!$G$22+Setup!$C$14),Setup!$C$39:$C$50),WORKDAY(D338,-(Setup!$C$13+Setup!$G$22),Setup!$C$39:$C$50))+(333*100+3)/10000000)))</f>
        <v/>
      </c>
      <c r="U338" t="str">
        <f>IF(E338="","",IF(E338&lt;Setup!$C$5-Setup!$C$6,"",IF(IF(ISNUMBER(Roster!$D338),Setup!$C$23&lt;=Roster!$D338,FALSE),"",IF(OR(IF(Setup!$C$15&lt;=Setup!$C$16,AND(MONTH(E338)&gt;=Setup!$C$15,MONTH(E338)&lt;=Setup!$C$16),OR(MONTH(E338)&gt;=Setup!$C$15,MONTH(E338)&lt;=Setup!$C$16)),IF(Setup!$C$15&lt;=Setup!$C$16,AND(MONTH(WORKDAY(E338,-(Setup!$C$13+Setup!$G$23),Setup!$C$39:$C$50))&gt;=Setup!$C$15,MONTH(WORKDAY(E338,-(Setup!$C$13+Setup!$G$23),Setup!$C$39:$C$50))&lt;=Setup!$C$16),OR(MONTH(WORKDAY(E338,-(Setup!$C$13+Setup!$G$23),Setup!$C$39:$C$50))&gt;=Setup!$C$15,MONTH(WORKDAY(E338,-(Setup!$C$13+Setup!$G$23),Setup!$C$39:$C$50))&lt;=Setup!$C$16))),WORKDAY(E338,-(Setup!$C$13+Setup!$G$23+Setup!$C$14),Setup!$C$39:$C$50),WORKDAY(E338,-(Setup!$C$13+Setup!$G$23),Setup!$C$39:$C$50))+(333*100+4)/10000000)))</f>
        <v/>
      </c>
      <c r="V338" t="str">
        <f>IF(F338="","",IF(F338&lt;Setup!$C$5-Setup!$C$6,"",IF(IF(ISNUMBER(Roster!$D338),Setup!$C$24&lt;=Roster!$D338,FALSE),"",IF(OR(IF(Setup!$C$15&lt;=Setup!$C$16,AND(MONTH(F338)&gt;=Setup!$C$15,MONTH(F338)&lt;=Setup!$C$16),OR(MONTH(F338)&gt;=Setup!$C$15,MONTH(F338)&lt;=Setup!$C$16)),IF(Setup!$C$15&lt;=Setup!$C$16,AND(MONTH(WORKDAY(F338,-(Setup!$C$13+Setup!$G$24),Setup!$C$39:$C$50))&gt;=Setup!$C$15,MONTH(WORKDAY(F338,-(Setup!$C$13+Setup!$G$24),Setup!$C$39:$C$50))&lt;=Setup!$C$16),OR(MONTH(WORKDAY(F338,-(Setup!$C$13+Setup!$G$24),Setup!$C$39:$C$50))&gt;=Setup!$C$15,MONTH(WORKDAY(F338,-(Setup!$C$13+Setup!$G$24),Setup!$C$39:$C$50))&lt;=Setup!$C$16))),WORKDAY(F338,-(Setup!$C$13+Setup!$G$24+Setup!$C$14),Setup!$C$39:$C$50),WORKDAY(F338,-(Setup!$C$13+Setup!$G$24),Setup!$C$39:$C$50))+(333*100+5)/10000000)))</f>
        <v/>
      </c>
      <c r="W338" t="str">
        <f>IF(G338="","",IF(G338&lt;Setup!$C$5-Setup!$C$6,"",IF(IF(ISNUMBER(Roster!$D338),Setup!$C$25&lt;=Roster!$D338,FALSE),"",IF(OR(IF(Setup!$C$15&lt;=Setup!$C$16,AND(MONTH(G338)&gt;=Setup!$C$15,MONTH(G338)&lt;=Setup!$C$16),OR(MONTH(G338)&gt;=Setup!$C$15,MONTH(G338)&lt;=Setup!$C$16)),IF(Setup!$C$15&lt;=Setup!$C$16,AND(MONTH(WORKDAY(G338,-(Setup!$C$13+Setup!$G$25),Setup!$C$39:$C$50))&gt;=Setup!$C$15,MONTH(WORKDAY(G338,-(Setup!$C$13+Setup!$G$25),Setup!$C$39:$C$50))&lt;=Setup!$C$16),OR(MONTH(WORKDAY(G338,-(Setup!$C$13+Setup!$G$25),Setup!$C$39:$C$50))&gt;=Setup!$C$15,MONTH(WORKDAY(G338,-(Setup!$C$13+Setup!$G$25),Setup!$C$39:$C$50))&lt;=Setup!$C$16))),WORKDAY(G338,-(Setup!$C$13+Setup!$G$25+Setup!$C$14),Setup!$C$39:$C$50),WORKDAY(G338,-(Setup!$C$13+Setup!$G$25),Setup!$C$39:$C$50))+(333*100+6)/10000000)))</f>
        <v/>
      </c>
      <c r="X338" t="str">
        <f>IF(H338="","",IF(H338&lt;Setup!$C$5-Setup!$C$6,"",IF(IF(ISNUMBER(Roster!$D338),Setup!$C$26&lt;=Roster!$D338,FALSE),"",IF(OR(IF(Setup!$C$15&lt;=Setup!$C$16,AND(MONTH(H338)&gt;=Setup!$C$15,MONTH(H338)&lt;=Setup!$C$16),OR(MONTH(H338)&gt;=Setup!$C$15,MONTH(H338)&lt;=Setup!$C$16)),IF(Setup!$C$15&lt;=Setup!$C$16,AND(MONTH(WORKDAY(H338,-(Setup!$C$13+Setup!$G$26),Setup!$C$39:$C$50))&gt;=Setup!$C$15,MONTH(WORKDAY(H338,-(Setup!$C$13+Setup!$G$26),Setup!$C$39:$C$50))&lt;=Setup!$C$16),OR(MONTH(WORKDAY(H338,-(Setup!$C$13+Setup!$G$26),Setup!$C$39:$C$50))&gt;=Setup!$C$15,MONTH(WORKDAY(H338,-(Setup!$C$13+Setup!$G$26),Setup!$C$39:$C$50))&lt;=Setup!$C$16))),WORKDAY(H338,-(Setup!$C$13+Setup!$G$26+Setup!$C$14),Setup!$C$39:$C$50),WORKDAY(H338,-(Setup!$C$13+Setup!$G$26),Setup!$C$39:$C$50))+(333*100+7)/10000000)))</f>
        <v/>
      </c>
      <c r="Y338" t="str">
        <f>IF(I338="","",IF(I338&lt;Setup!$C$5-Setup!$C$6,"",IF(IF(ISNUMBER(Roster!$D338),Setup!$C$27&lt;=Roster!$D338,FALSE),"",IF(OR(IF(Setup!$C$15&lt;=Setup!$C$16,AND(MONTH(I338)&gt;=Setup!$C$15,MONTH(I338)&lt;=Setup!$C$16),OR(MONTH(I338)&gt;=Setup!$C$15,MONTH(I338)&lt;=Setup!$C$16)),IF(Setup!$C$15&lt;=Setup!$C$16,AND(MONTH(WORKDAY(I338,-(Setup!$C$13+Setup!$G$27),Setup!$C$39:$C$50))&gt;=Setup!$C$15,MONTH(WORKDAY(I338,-(Setup!$C$13+Setup!$G$27),Setup!$C$39:$C$50))&lt;=Setup!$C$16),OR(MONTH(WORKDAY(I338,-(Setup!$C$13+Setup!$G$27),Setup!$C$39:$C$50))&gt;=Setup!$C$15,MONTH(WORKDAY(I338,-(Setup!$C$13+Setup!$G$27),Setup!$C$39:$C$50))&lt;=Setup!$C$16))),WORKDAY(I338,-(Setup!$C$13+Setup!$G$27+Setup!$C$14),Setup!$C$39:$C$50),WORKDAY(I338,-(Setup!$C$13+Setup!$G$27),Setup!$C$39:$C$50))+(333*100+8)/10000000)))</f>
        <v/>
      </c>
      <c r="Z338" t="str">
        <f>IF(J338="","",IF(J338&lt;Setup!$C$5-Setup!$C$6,"",IF(IF(ISNUMBER(Roster!$D338),Setup!$C$28&lt;=Roster!$D338,FALSE),"",IF(OR(IF(Setup!$C$15&lt;=Setup!$C$16,AND(MONTH(J338)&gt;=Setup!$C$15,MONTH(J338)&lt;=Setup!$C$16),OR(MONTH(J338)&gt;=Setup!$C$15,MONTH(J338)&lt;=Setup!$C$16)),IF(Setup!$C$15&lt;=Setup!$C$16,AND(MONTH(WORKDAY(J338,-(Setup!$C$13+Setup!$G$28),Setup!$C$39:$C$50))&gt;=Setup!$C$15,MONTH(WORKDAY(J338,-(Setup!$C$13+Setup!$G$28),Setup!$C$39:$C$50))&lt;=Setup!$C$16),OR(MONTH(WORKDAY(J338,-(Setup!$C$13+Setup!$G$28),Setup!$C$39:$C$50))&gt;=Setup!$C$15,MONTH(WORKDAY(J338,-(Setup!$C$13+Setup!$G$28),Setup!$C$39:$C$50))&lt;=Setup!$C$16))),WORKDAY(J338,-(Setup!$C$13+Setup!$G$28+Setup!$C$14),Setup!$C$39:$C$50),WORKDAY(J338,-(Setup!$C$13+Setup!$G$28),Setup!$C$39:$C$50))+(333*100+9)/10000000)))</f>
        <v/>
      </c>
      <c r="AA338" t="str">
        <f>IF(K338="","",IF(K338&lt;Setup!$C$5-Setup!$C$6,"",IF(IF(ISNUMBER(Roster!$D338),Setup!$C$29&lt;=Roster!$D338,FALSE),"",IF(OR(IF(Setup!$C$15&lt;=Setup!$C$16,AND(MONTH(K338)&gt;=Setup!$C$15,MONTH(K338)&lt;=Setup!$C$16),OR(MONTH(K338)&gt;=Setup!$C$15,MONTH(K338)&lt;=Setup!$C$16)),IF(Setup!$C$15&lt;=Setup!$C$16,AND(MONTH(WORKDAY(K338,-(Setup!$C$13+Setup!$G$29),Setup!$C$39:$C$50))&gt;=Setup!$C$15,MONTH(WORKDAY(K338,-(Setup!$C$13+Setup!$G$29),Setup!$C$39:$C$50))&lt;=Setup!$C$16),OR(MONTH(WORKDAY(K338,-(Setup!$C$13+Setup!$G$29),Setup!$C$39:$C$50))&gt;=Setup!$C$15,MONTH(WORKDAY(K338,-(Setup!$C$13+Setup!$G$29),Setup!$C$39:$C$50))&lt;=Setup!$C$16))),WORKDAY(K338,-(Setup!$C$13+Setup!$G$29+Setup!$C$14),Setup!$C$39:$C$50),WORKDAY(K338,-(Setup!$C$13+Setup!$G$29),Setup!$C$39:$C$50))+(333*100+10)/10000000)))</f>
        <v/>
      </c>
      <c r="AB338" t="str">
        <f>IF(L338="","",IF(L338&lt;Setup!$C$5-Setup!$C$6,"",IF(IF(ISNUMBER(Roster!$D338),Setup!$C$30&lt;=Roster!$D338,FALSE),"",IF(OR(IF(Setup!$C$15&lt;=Setup!$C$16,AND(MONTH(L338)&gt;=Setup!$C$15,MONTH(L338)&lt;=Setup!$C$16),OR(MONTH(L338)&gt;=Setup!$C$15,MONTH(L338)&lt;=Setup!$C$16)),IF(Setup!$C$15&lt;=Setup!$C$16,AND(MONTH(WORKDAY(L338,-(Setup!$C$13+Setup!$G$30),Setup!$C$39:$C$50))&gt;=Setup!$C$15,MONTH(WORKDAY(L338,-(Setup!$C$13+Setup!$G$30),Setup!$C$39:$C$50))&lt;=Setup!$C$16),OR(MONTH(WORKDAY(L338,-(Setup!$C$13+Setup!$G$30),Setup!$C$39:$C$50))&gt;=Setup!$C$15,MONTH(WORKDAY(L338,-(Setup!$C$13+Setup!$G$30),Setup!$C$39:$C$50))&lt;=Setup!$C$16))),WORKDAY(L338,-(Setup!$C$13+Setup!$G$30+Setup!$C$14),Setup!$C$39:$C$50),WORKDAY(L338,-(Setup!$C$13+Setup!$G$30),Setup!$C$39:$C$50))+(333*100+11)/10000000)))</f>
        <v/>
      </c>
      <c r="AC338" t="str">
        <f>IF(M338="","",IF(M338&lt;Setup!$C$5-Setup!$C$6,"",IF(IF(ISNUMBER(Roster!$D338),Setup!$C$31&lt;=Roster!$D338,FALSE),"",IF(OR(IF(Setup!$C$15&lt;=Setup!$C$16,AND(MONTH(M338)&gt;=Setup!$C$15,MONTH(M338)&lt;=Setup!$C$16),OR(MONTH(M338)&gt;=Setup!$C$15,MONTH(M338)&lt;=Setup!$C$16)),IF(Setup!$C$15&lt;=Setup!$C$16,AND(MONTH(WORKDAY(M338,-(Setup!$C$13+Setup!$G$31),Setup!$C$39:$C$50))&gt;=Setup!$C$15,MONTH(WORKDAY(M338,-(Setup!$C$13+Setup!$G$31),Setup!$C$39:$C$50))&lt;=Setup!$C$16),OR(MONTH(WORKDAY(M338,-(Setup!$C$13+Setup!$G$31),Setup!$C$39:$C$50))&gt;=Setup!$C$15,MONTH(WORKDAY(M338,-(Setup!$C$13+Setup!$G$31),Setup!$C$39:$C$50))&lt;=Setup!$C$16))),WORKDAY(M338,-(Setup!$C$13+Setup!$G$31+Setup!$C$14),Setup!$C$39:$C$50),WORKDAY(M338,-(Setup!$C$13+Setup!$G$31),Setup!$C$39:$C$50))+(333*100+12)/10000000)))</f>
        <v/>
      </c>
      <c r="AD338" t="str">
        <f>IF(N338="","",IF(N338&lt;Setup!$C$5-Setup!$C$6,"",IF(IF(ISNUMBER(Roster!$D338),Setup!$C$32&lt;=Roster!$D338,FALSE),"",IF(OR(IF(Setup!$C$15&lt;=Setup!$C$16,AND(MONTH(N338)&gt;=Setup!$C$15,MONTH(N338)&lt;=Setup!$C$16),OR(MONTH(N338)&gt;=Setup!$C$15,MONTH(N338)&lt;=Setup!$C$16)),IF(Setup!$C$15&lt;=Setup!$C$16,AND(MONTH(WORKDAY(N338,-(Setup!$C$13+Setup!$G$32),Setup!$C$39:$C$50))&gt;=Setup!$C$15,MONTH(WORKDAY(N338,-(Setup!$C$13+Setup!$G$32),Setup!$C$39:$C$50))&lt;=Setup!$C$16),OR(MONTH(WORKDAY(N338,-(Setup!$C$13+Setup!$G$32),Setup!$C$39:$C$50))&gt;=Setup!$C$15,MONTH(WORKDAY(N338,-(Setup!$C$13+Setup!$G$32),Setup!$C$39:$C$50))&lt;=Setup!$C$16))),WORKDAY(N338,-(Setup!$C$13+Setup!$G$32+Setup!$C$14),Setup!$C$39:$C$50),WORKDAY(N338,-(Setup!$C$13+Setup!$G$32),Setup!$C$39:$C$50))+(333*100+13)/10000000)))</f>
        <v/>
      </c>
      <c r="AE338" t="str">
        <f>IF(O338="","",IF(O338&lt;Setup!$C$5-Setup!$C$6,"",IF(IF(ISNUMBER(Roster!$D338),Setup!$C$33&lt;=Roster!$D338,FALSE),"",IF(OR(IF(Setup!$C$15&lt;=Setup!$C$16,AND(MONTH(O338)&gt;=Setup!$C$15,MONTH(O338)&lt;=Setup!$C$16),OR(MONTH(O338)&gt;=Setup!$C$15,MONTH(O338)&lt;=Setup!$C$16)),IF(Setup!$C$15&lt;=Setup!$C$16,AND(MONTH(WORKDAY(O338,-(Setup!$C$13+Setup!$G$33),Setup!$C$39:$C$50))&gt;=Setup!$C$15,MONTH(WORKDAY(O338,-(Setup!$C$13+Setup!$G$33),Setup!$C$39:$C$50))&lt;=Setup!$C$16),OR(MONTH(WORKDAY(O338,-(Setup!$C$13+Setup!$G$33),Setup!$C$39:$C$50))&gt;=Setup!$C$15,MONTH(WORKDAY(O338,-(Setup!$C$13+Setup!$G$33),Setup!$C$39:$C$50))&lt;=Setup!$C$16))),WORKDAY(O338,-(Setup!$C$13+Setup!$G$33+Setup!$C$14),Setup!$C$39:$C$50),WORKDAY(O338,-(Setup!$C$13+Setup!$G$33),Setup!$C$39:$C$50))+(333*100+14)/10000000)))</f>
        <v/>
      </c>
      <c r="AF338" t="str">
        <f>IF(P338="","",IF(P338&lt;Setup!$C$5-Setup!$C$6,"",IF(IF(ISNUMBER(Roster!$D338),Setup!$C$34&lt;=Roster!$D338,FALSE),"",IF(OR(IF(Setup!$C$15&lt;=Setup!$C$16,AND(MONTH(P338)&gt;=Setup!$C$15,MONTH(P338)&lt;=Setup!$C$16),OR(MONTH(P338)&gt;=Setup!$C$15,MONTH(P338)&lt;=Setup!$C$16)),IF(Setup!$C$15&lt;=Setup!$C$16,AND(MONTH(WORKDAY(P338,-(Setup!$C$13+Setup!$G$34),Setup!$C$39:$C$50))&gt;=Setup!$C$15,MONTH(WORKDAY(P338,-(Setup!$C$13+Setup!$G$34),Setup!$C$39:$C$50))&lt;=Setup!$C$16),OR(MONTH(WORKDAY(P338,-(Setup!$C$13+Setup!$G$34),Setup!$C$39:$C$50))&gt;=Setup!$C$15,MONTH(WORKDAY(P338,-(Setup!$C$13+Setup!$G$34),Setup!$C$39:$C$50))&lt;=Setup!$C$16))),WORKDAY(P338,-(Setup!$C$13+Setup!$G$34+Setup!$C$14),Setup!$C$39:$C$50),WORKDAY(P338,-(Setup!$C$13+Setup!$G$34),Setup!$C$39:$C$50))+(333*100+15)/10000000)))</f>
        <v/>
      </c>
      <c r="AH338" t="str">
        <f t="shared" si="41"/>
        <v/>
      </c>
      <c r="AI338" t="str">
        <f t="shared" si="42"/>
        <v/>
      </c>
      <c r="AP338" t="str">
        <f>IF(ISNUMBER(Roster!$B338),MAX(1,YEAR(Setup!$C$5)-YEAR(Roster!$B338)+IF(EDATE(Roster!$B338,12*(YEAR(Setup!$C$5)-YEAR(Roster!$B338)))&lt;Setup!$C$5,1,0)),"")</f>
        <v/>
      </c>
      <c r="AQ338" s="32" t="str">
        <f>IF(AP338="","",EDATE(Roster!$B338,12*AP338))</f>
        <v/>
      </c>
      <c r="AR338" t="str">
        <f>IF(AQ338="","",IF(AQ338&lt;DATE(YEAR(Setup!$C$5)+1,MONTH(Setup!$C$5),DAY(Setup!$C$5)),AQ338+333/1000,""))</f>
        <v/>
      </c>
      <c r="AS338" t="str">
        <f t="shared" si="43"/>
        <v/>
      </c>
      <c r="AT338" t="str">
        <f>IF(AS338="","",IF(ISNUMBER(Roster!$D338),Roster!$D338&gt;=AP338,FALSE))</f>
        <v/>
      </c>
      <c r="AU338" t="str">
        <f t="shared" si="44"/>
        <v/>
      </c>
      <c r="AV338" t="str">
        <f ca="1">IF(333&gt;$AV$2,"",SMALL($AR$6:$AR$505,333))</f>
        <v/>
      </c>
      <c r="AW338" t="str">
        <f t="shared" ca="1" si="45"/>
        <v/>
      </c>
    </row>
    <row r="339" spans="2:49" x14ac:dyDescent="0.2">
      <c r="B339" s="32" t="str">
        <f>IF(AND(ISNUMBER(Roster!$B339),Setup!$B$20="Yes",ISNUMBER(Setup!$C$20)),EDATE(Roster!$B339,12*Setup!$C$20),"")</f>
        <v/>
      </c>
      <c r="C339" s="32" t="str">
        <f>IF(AND(ISNUMBER(Roster!$B339),Setup!$B$21="Yes",ISNUMBER(Setup!$C$21)),EDATE(Roster!$B339,12*Setup!$C$21),"")</f>
        <v/>
      </c>
      <c r="D339" s="32" t="str">
        <f>IF(AND(ISNUMBER(Roster!$B339),Setup!$B$22="Yes",ISNUMBER(Setup!$C$22)),EDATE(Roster!$B339,12*Setup!$C$22),"")</f>
        <v/>
      </c>
      <c r="E339" s="32" t="str">
        <f>IF(AND(ISNUMBER(Roster!$B339),Setup!$B$23="Yes",ISNUMBER(Setup!$C$23)),EDATE(Roster!$B339,12*Setup!$C$23),"")</f>
        <v/>
      </c>
      <c r="F339" s="32" t="str">
        <f>IF(AND(ISNUMBER(Roster!$B339),Setup!$B$24="Yes",ISNUMBER(Setup!$C$24)),EDATE(Roster!$B339,12*Setup!$C$24),"")</f>
        <v/>
      </c>
      <c r="G339" s="32" t="str">
        <f>IF(AND(ISNUMBER(Roster!$B339),Setup!$B$25="Yes",ISNUMBER(Setup!$C$25)),EDATE(Roster!$B339,12*Setup!$C$25),"")</f>
        <v/>
      </c>
      <c r="H339" s="32" t="str">
        <f>IF(AND(ISNUMBER(Roster!$B339),Setup!$B$26="Yes",ISNUMBER(Setup!$C$26)),EDATE(Roster!$B339,12*Setup!$C$26),"")</f>
        <v/>
      </c>
      <c r="I339" s="32" t="str">
        <f>IF(AND(ISNUMBER(Roster!$B339),Setup!$B$27="Yes",ISNUMBER(Setup!$C$27)),EDATE(Roster!$B339,12*Setup!$C$27),"")</f>
        <v/>
      </c>
      <c r="J339" s="32" t="str">
        <f>IF(AND(ISNUMBER(Roster!$B339),Setup!$B$28="Yes",ISNUMBER(Setup!$C$28)),EDATE(Roster!$B339,12*Setup!$C$28),"")</f>
        <v/>
      </c>
      <c r="K339" s="32" t="str">
        <f>IF(AND(ISNUMBER(Roster!$B339),Setup!$B$29="Yes",ISNUMBER(Setup!$C$29)),EDATE(Roster!$B339,12*Setup!$C$29),"")</f>
        <v/>
      </c>
      <c r="L339" s="32" t="str">
        <f>IF(AND(ISNUMBER(Roster!$B339),Setup!$B$30="Yes",ISNUMBER(Setup!$C$30)),EDATE(Roster!$B339,12*Setup!$C$30),"")</f>
        <v/>
      </c>
      <c r="M339" s="32" t="str">
        <f>IF(AND(ISNUMBER(Roster!$B339),Setup!$B$31="Yes",ISNUMBER(Setup!$C$31)),EDATE(Roster!$B339,12*Setup!$C$31),"")</f>
        <v/>
      </c>
      <c r="N339" s="32" t="str">
        <f>IF(AND(ISNUMBER(Roster!$B339),Setup!$B$32="Yes",ISNUMBER(Setup!$C$32)),EDATE(Roster!$B339,12*Setup!$C$32),"")</f>
        <v/>
      </c>
      <c r="O339" s="32" t="str">
        <f>IF(AND(ISNUMBER(Roster!$B339),Setup!$B$33="Yes",ISNUMBER(Setup!$C$33)),EDATE(Roster!$B339,12*Setup!$C$33),"")</f>
        <v/>
      </c>
      <c r="P339" s="32" t="str">
        <f>IF(AND(ISNUMBER(Roster!$B339),Setup!$B$34="Yes",ISNUMBER(Setup!$C$34)),EDATE(Roster!$B339,12*Setup!$C$34),"")</f>
        <v/>
      </c>
      <c r="R339" t="str">
        <f>IF(B339="","",IF(B339&lt;Setup!$C$5-Setup!$C$6,"",IF(IF(ISNUMBER(Roster!$D339),Setup!$C$20&lt;=Roster!$D339,FALSE),"",IF(OR(IF(Setup!$C$15&lt;=Setup!$C$16,AND(MONTH(B339)&gt;=Setup!$C$15,MONTH(B339)&lt;=Setup!$C$16),OR(MONTH(B339)&gt;=Setup!$C$15,MONTH(B339)&lt;=Setup!$C$16)),IF(Setup!$C$15&lt;=Setup!$C$16,AND(MONTH(WORKDAY(B339,-(Setup!$C$13+Setup!$G$20),Setup!$C$39:$C$50))&gt;=Setup!$C$15,MONTH(WORKDAY(B339,-(Setup!$C$13+Setup!$G$20),Setup!$C$39:$C$50))&lt;=Setup!$C$16),OR(MONTH(WORKDAY(B339,-(Setup!$C$13+Setup!$G$20),Setup!$C$39:$C$50))&gt;=Setup!$C$15,MONTH(WORKDAY(B339,-(Setup!$C$13+Setup!$G$20),Setup!$C$39:$C$50))&lt;=Setup!$C$16))),WORKDAY(B339,-(Setup!$C$13+Setup!$G$20+Setup!$C$14),Setup!$C$39:$C$50),WORKDAY(B339,-(Setup!$C$13+Setup!$G$20),Setup!$C$39:$C$50))+(334*100+1)/10000000)))</f>
        <v/>
      </c>
      <c r="S339" t="str">
        <f>IF(C339="","",IF(C339&lt;Setup!$C$5-Setup!$C$6,"",IF(IF(ISNUMBER(Roster!$D339),Setup!$C$21&lt;=Roster!$D339,FALSE),"",IF(OR(IF(Setup!$C$15&lt;=Setup!$C$16,AND(MONTH(C339)&gt;=Setup!$C$15,MONTH(C339)&lt;=Setup!$C$16),OR(MONTH(C339)&gt;=Setup!$C$15,MONTH(C339)&lt;=Setup!$C$16)),IF(Setup!$C$15&lt;=Setup!$C$16,AND(MONTH(WORKDAY(C339,-(Setup!$C$13+Setup!$G$21),Setup!$C$39:$C$50))&gt;=Setup!$C$15,MONTH(WORKDAY(C339,-(Setup!$C$13+Setup!$G$21),Setup!$C$39:$C$50))&lt;=Setup!$C$16),OR(MONTH(WORKDAY(C339,-(Setup!$C$13+Setup!$G$21),Setup!$C$39:$C$50))&gt;=Setup!$C$15,MONTH(WORKDAY(C339,-(Setup!$C$13+Setup!$G$21),Setup!$C$39:$C$50))&lt;=Setup!$C$16))),WORKDAY(C339,-(Setup!$C$13+Setup!$G$21+Setup!$C$14),Setup!$C$39:$C$50),WORKDAY(C339,-(Setup!$C$13+Setup!$G$21),Setup!$C$39:$C$50))+(334*100+2)/10000000)))</f>
        <v/>
      </c>
      <c r="T339" t="str">
        <f>IF(D339="","",IF(D339&lt;Setup!$C$5-Setup!$C$6,"",IF(IF(ISNUMBER(Roster!$D339),Setup!$C$22&lt;=Roster!$D339,FALSE),"",IF(OR(IF(Setup!$C$15&lt;=Setup!$C$16,AND(MONTH(D339)&gt;=Setup!$C$15,MONTH(D339)&lt;=Setup!$C$16),OR(MONTH(D339)&gt;=Setup!$C$15,MONTH(D339)&lt;=Setup!$C$16)),IF(Setup!$C$15&lt;=Setup!$C$16,AND(MONTH(WORKDAY(D339,-(Setup!$C$13+Setup!$G$22),Setup!$C$39:$C$50))&gt;=Setup!$C$15,MONTH(WORKDAY(D339,-(Setup!$C$13+Setup!$G$22),Setup!$C$39:$C$50))&lt;=Setup!$C$16),OR(MONTH(WORKDAY(D339,-(Setup!$C$13+Setup!$G$22),Setup!$C$39:$C$50))&gt;=Setup!$C$15,MONTH(WORKDAY(D339,-(Setup!$C$13+Setup!$G$22),Setup!$C$39:$C$50))&lt;=Setup!$C$16))),WORKDAY(D339,-(Setup!$C$13+Setup!$G$22+Setup!$C$14),Setup!$C$39:$C$50),WORKDAY(D339,-(Setup!$C$13+Setup!$G$22),Setup!$C$39:$C$50))+(334*100+3)/10000000)))</f>
        <v/>
      </c>
      <c r="U339" t="str">
        <f>IF(E339="","",IF(E339&lt;Setup!$C$5-Setup!$C$6,"",IF(IF(ISNUMBER(Roster!$D339),Setup!$C$23&lt;=Roster!$D339,FALSE),"",IF(OR(IF(Setup!$C$15&lt;=Setup!$C$16,AND(MONTH(E339)&gt;=Setup!$C$15,MONTH(E339)&lt;=Setup!$C$16),OR(MONTH(E339)&gt;=Setup!$C$15,MONTH(E339)&lt;=Setup!$C$16)),IF(Setup!$C$15&lt;=Setup!$C$16,AND(MONTH(WORKDAY(E339,-(Setup!$C$13+Setup!$G$23),Setup!$C$39:$C$50))&gt;=Setup!$C$15,MONTH(WORKDAY(E339,-(Setup!$C$13+Setup!$G$23),Setup!$C$39:$C$50))&lt;=Setup!$C$16),OR(MONTH(WORKDAY(E339,-(Setup!$C$13+Setup!$G$23),Setup!$C$39:$C$50))&gt;=Setup!$C$15,MONTH(WORKDAY(E339,-(Setup!$C$13+Setup!$G$23),Setup!$C$39:$C$50))&lt;=Setup!$C$16))),WORKDAY(E339,-(Setup!$C$13+Setup!$G$23+Setup!$C$14),Setup!$C$39:$C$50),WORKDAY(E339,-(Setup!$C$13+Setup!$G$23),Setup!$C$39:$C$50))+(334*100+4)/10000000)))</f>
        <v/>
      </c>
      <c r="V339" t="str">
        <f>IF(F339="","",IF(F339&lt;Setup!$C$5-Setup!$C$6,"",IF(IF(ISNUMBER(Roster!$D339),Setup!$C$24&lt;=Roster!$D339,FALSE),"",IF(OR(IF(Setup!$C$15&lt;=Setup!$C$16,AND(MONTH(F339)&gt;=Setup!$C$15,MONTH(F339)&lt;=Setup!$C$16),OR(MONTH(F339)&gt;=Setup!$C$15,MONTH(F339)&lt;=Setup!$C$16)),IF(Setup!$C$15&lt;=Setup!$C$16,AND(MONTH(WORKDAY(F339,-(Setup!$C$13+Setup!$G$24),Setup!$C$39:$C$50))&gt;=Setup!$C$15,MONTH(WORKDAY(F339,-(Setup!$C$13+Setup!$G$24),Setup!$C$39:$C$50))&lt;=Setup!$C$16),OR(MONTH(WORKDAY(F339,-(Setup!$C$13+Setup!$G$24),Setup!$C$39:$C$50))&gt;=Setup!$C$15,MONTH(WORKDAY(F339,-(Setup!$C$13+Setup!$G$24),Setup!$C$39:$C$50))&lt;=Setup!$C$16))),WORKDAY(F339,-(Setup!$C$13+Setup!$G$24+Setup!$C$14),Setup!$C$39:$C$50),WORKDAY(F339,-(Setup!$C$13+Setup!$G$24),Setup!$C$39:$C$50))+(334*100+5)/10000000)))</f>
        <v/>
      </c>
      <c r="W339" t="str">
        <f>IF(G339="","",IF(G339&lt;Setup!$C$5-Setup!$C$6,"",IF(IF(ISNUMBER(Roster!$D339),Setup!$C$25&lt;=Roster!$D339,FALSE),"",IF(OR(IF(Setup!$C$15&lt;=Setup!$C$16,AND(MONTH(G339)&gt;=Setup!$C$15,MONTH(G339)&lt;=Setup!$C$16),OR(MONTH(G339)&gt;=Setup!$C$15,MONTH(G339)&lt;=Setup!$C$16)),IF(Setup!$C$15&lt;=Setup!$C$16,AND(MONTH(WORKDAY(G339,-(Setup!$C$13+Setup!$G$25),Setup!$C$39:$C$50))&gt;=Setup!$C$15,MONTH(WORKDAY(G339,-(Setup!$C$13+Setup!$G$25),Setup!$C$39:$C$50))&lt;=Setup!$C$16),OR(MONTH(WORKDAY(G339,-(Setup!$C$13+Setup!$G$25),Setup!$C$39:$C$50))&gt;=Setup!$C$15,MONTH(WORKDAY(G339,-(Setup!$C$13+Setup!$G$25),Setup!$C$39:$C$50))&lt;=Setup!$C$16))),WORKDAY(G339,-(Setup!$C$13+Setup!$G$25+Setup!$C$14),Setup!$C$39:$C$50),WORKDAY(G339,-(Setup!$C$13+Setup!$G$25),Setup!$C$39:$C$50))+(334*100+6)/10000000)))</f>
        <v/>
      </c>
      <c r="X339" t="str">
        <f>IF(H339="","",IF(H339&lt;Setup!$C$5-Setup!$C$6,"",IF(IF(ISNUMBER(Roster!$D339),Setup!$C$26&lt;=Roster!$D339,FALSE),"",IF(OR(IF(Setup!$C$15&lt;=Setup!$C$16,AND(MONTH(H339)&gt;=Setup!$C$15,MONTH(H339)&lt;=Setup!$C$16),OR(MONTH(H339)&gt;=Setup!$C$15,MONTH(H339)&lt;=Setup!$C$16)),IF(Setup!$C$15&lt;=Setup!$C$16,AND(MONTH(WORKDAY(H339,-(Setup!$C$13+Setup!$G$26),Setup!$C$39:$C$50))&gt;=Setup!$C$15,MONTH(WORKDAY(H339,-(Setup!$C$13+Setup!$G$26),Setup!$C$39:$C$50))&lt;=Setup!$C$16),OR(MONTH(WORKDAY(H339,-(Setup!$C$13+Setup!$G$26),Setup!$C$39:$C$50))&gt;=Setup!$C$15,MONTH(WORKDAY(H339,-(Setup!$C$13+Setup!$G$26),Setup!$C$39:$C$50))&lt;=Setup!$C$16))),WORKDAY(H339,-(Setup!$C$13+Setup!$G$26+Setup!$C$14),Setup!$C$39:$C$50),WORKDAY(H339,-(Setup!$C$13+Setup!$G$26),Setup!$C$39:$C$50))+(334*100+7)/10000000)))</f>
        <v/>
      </c>
      <c r="Y339" t="str">
        <f>IF(I339="","",IF(I339&lt;Setup!$C$5-Setup!$C$6,"",IF(IF(ISNUMBER(Roster!$D339),Setup!$C$27&lt;=Roster!$D339,FALSE),"",IF(OR(IF(Setup!$C$15&lt;=Setup!$C$16,AND(MONTH(I339)&gt;=Setup!$C$15,MONTH(I339)&lt;=Setup!$C$16),OR(MONTH(I339)&gt;=Setup!$C$15,MONTH(I339)&lt;=Setup!$C$16)),IF(Setup!$C$15&lt;=Setup!$C$16,AND(MONTH(WORKDAY(I339,-(Setup!$C$13+Setup!$G$27),Setup!$C$39:$C$50))&gt;=Setup!$C$15,MONTH(WORKDAY(I339,-(Setup!$C$13+Setup!$G$27),Setup!$C$39:$C$50))&lt;=Setup!$C$16),OR(MONTH(WORKDAY(I339,-(Setup!$C$13+Setup!$G$27),Setup!$C$39:$C$50))&gt;=Setup!$C$15,MONTH(WORKDAY(I339,-(Setup!$C$13+Setup!$G$27),Setup!$C$39:$C$50))&lt;=Setup!$C$16))),WORKDAY(I339,-(Setup!$C$13+Setup!$G$27+Setup!$C$14),Setup!$C$39:$C$50),WORKDAY(I339,-(Setup!$C$13+Setup!$G$27),Setup!$C$39:$C$50))+(334*100+8)/10000000)))</f>
        <v/>
      </c>
      <c r="Z339" t="str">
        <f>IF(J339="","",IF(J339&lt;Setup!$C$5-Setup!$C$6,"",IF(IF(ISNUMBER(Roster!$D339),Setup!$C$28&lt;=Roster!$D339,FALSE),"",IF(OR(IF(Setup!$C$15&lt;=Setup!$C$16,AND(MONTH(J339)&gt;=Setup!$C$15,MONTH(J339)&lt;=Setup!$C$16),OR(MONTH(J339)&gt;=Setup!$C$15,MONTH(J339)&lt;=Setup!$C$16)),IF(Setup!$C$15&lt;=Setup!$C$16,AND(MONTH(WORKDAY(J339,-(Setup!$C$13+Setup!$G$28),Setup!$C$39:$C$50))&gt;=Setup!$C$15,MONTH(WORKDAY(J339,-(Setup!$C$13+Setup!$G$28),Setup!$C$39:$C$50))&lt;=Setup!$C$16),OR(MONTH(WORKDAY(J339,-(Setup!$C$13+Setup!$G$28),Setup!$C$39:$C$50))&gt;=Setup!$C$15,MONTH(WORKDAY(J339,-(Setup!$C$13+Setup!$G$28),Setup!$C$39:$C$50))&lt;=Setup!$C$16))),WORKDAY(J339,-(Setup!$C$13+Setup!$G$28+Setup!$C$14),Setup!$C$39:$C$50),WORKDAY(J339,-(Setup!$C$13+Setup!$G$28),Setup!$C$39:$C$50))+(334*100+9)/10000000)))</f>
        <v/>
      </c>
      <c r="AA339" t="str">
        <f>IF(K339="","",IF(K339&lt;Setup!$C$5-Setup!$C$6,"",IF(IF(ISNUMBER(Roster!$D339),Setup!$C$29&lt;=Roster!$D339,FALSE),"",IF(OR(IF(Setup!$C$15&lt;=Setup!$C$16,AND(MONTH(K339)&gt;=Setup!$C$15,MONTH(K339)&lt;=Setup!$C$16),OR(MONTH(K339)&gt;=Setup!$C$15,MONTH(K339)&lt;=Setup!$C$16)),IF(Setup!$C$15&lt;=Setup!$C$16,AND(MONTH(WORKDAY(K339,-(Setup!$C$13+Setup!$G$29),Setup!$C$39:$C$50))&gt;=Setup!$C$15,MONTH(WORKDAY(K339,-(Setup!$C$13+Setup!$G$29),Setup!$C$39:$C$50))&lt;=Setup!$C$16),OR(MONTH(WORKDAY(K339,-(Setup!$C$13+Setup!$G$29),Setup!$C$39:$C$50))&gt;=Setup!$C$15,MONTH(WORKDAY(K339,-(Setup!$C$13+Setup!$G$29),Setup!$C$39:$C$50))&lt;=Setup!$C$16))),WORKDAY(K339,-(Setup!$C$13+Setup!$G$29+Setup!$C$14),Setup!$C$39:$C$50),WORKDAY(K339,-(Setup!$C$13+Setup!$G$29),Setup!$C$39:$C$50))+(334*100+10)/10000000)))</f>
        <v/>
      </c>
      <c r="AB339" t="str">
        <f>IF(L339="","",IF(L339&lt;Setup!$C$5-Setup!$C$6,"",IF(IF(ISNUMBER(Roster!$D339),Setup!$C$30&lt;=Roster!$D339,FALSE),"",IF(OR(IF(Setup!$C$15&lt;=Setup!$C$16,AND(MONTH(L339)&gt;=Setup!$C$15,MONTH(L339)&lt;=Setup!$C$16),OR(MONTH(L339)&gt;=Setup!$C$15,MONTH(L339)&lt;=Setup!$C$16)),IF(Setup!$C$15&lt;=Setup!$C$16,AND(MONTH(WORKDAY(L339,-(Setup!$C$13+Setup!$G$30),Setup!$C$39:$C$50))&gt;=Setup!$C$15,MONTH(WORKDAY(L339,-(Setup!$C$13+Setup!$G$30),Setup!$C$39:$C$50))&lt;=Setup!$C$16),OR(MONTH(WORKDAY(L339,-(Setup!$C$13+Setup!$G$30),Setup!$C$39:$C$50))&gt;=Setup!$C$15,MONTH(WORKDAY(L339,-(Setup!$C$13+Setup!$G$30),Setup!$C$39:$C$50))&lt;=Setup!$C$16))),WORKDAY(L339,-(Setup!$C$13+Setup!$G$30+Setup!$C$14),Setup!$C$39:$C$50),WORKDAY(L339,-(Setup!$C$13+Setup!$G$30),Setup!$C$39:$C$50))+(334*100+11)/10000000)))</f>
        <v/>
      </c>
      <c r="AC339" t="str">
        <f>IF(M339="","",IF(M339&lt;Setup!$C$5-Setup!$C$6,"",IF(IF(ISNUMBER(Roster!$D339),Setup!$C$31&lt;=Roster!$D339,FALSE),"",IF(OR(IF(Setup!$C$15&lt;=Setup!$C$16,AND(MONTH(M339)&gt;=Setup!$C$15,MONTH(M339)&lt;=Setup!$C$16),OR(MONTH(M339)&gt;=Setup!$C$15,MONTH(M339)&lt;=Setup!$C$16)),IF(Setup!$C$15&lt;=Setup!$C$16,AND(MONTH(WORKDAY(M339,-(Setup!$C$13+Setup!$G$31),Setup!$C$39:$C$50))&gt;=Setup!$C$15,MONTH(WORKDAY(M339,-(Setup!$C$13+Setup!$G$31),Setup!$C$39:$C$50))&lt;=Setup!$C$16),OR(MONTH(WORKDAY(M339,-(Setup!$C$13+Setup!$G$31),Setup!$C$39:$C$50))&gt;=Setup!$C$15,MONTH(WORKDAY(M339,-(Setup!$C$13+Setup!$G$31),Setup!$C$39:$C$50))&lt;=Setup!$C$16))),WORKDAY(M339,-(Setup!$C$13+Setup!$G$31+Setup!$C$14),Setup!$C$39:$C$50),WORKDAY(M339,-(Setup!$C$13+Setup!$G$31),Setup!$C$39:$C$50))+(334*100+12)/10000000)))</f>
        <v/>
      </c>
      <c r="AD339" t="str">
        <f>IF(N339="","",IF(N339&lt;Setup!$C$5-Setup!$C$6,"",IF(IF(ISNUMBER(Roster!$D339),Setup!$C$32&lt;=Roster!$D339,FALSE),"",IF(OR(IF(Setup!$C$15&lt;=Setup!$C$16,AND(MONTH(N339)&gt;=Setup!$C$15,MONTH(N339)&lt;=Setup!$C$16),OR(MONTH(N339)&gt;=Setup!$C$15,MONTH(N339)&lt;=Setup!$C$16)),IF(Setup!$C$15&lt;=Setup!$C$16,AND(MONTH(WORKDAY(N339,-(Setup!$C$13+Setup!$G$32),Setup!$C$39:$C$50))&gt;=Setup!$C$15,MONTH(WORKDAY(N339,-(Setup!$C$13+Setup!$G$32),Setup!$C$39:$C$50))&lt;=Setup!$C$16),OR(MONTH(WORKDAY(N339,-(Setup!$C$13+Setup!$G$32),Setup!$C$39:$C$50))&gt;=Setup!$C$15,MONTH(WORKDAY(N339,-(Setup!$C$13+Setup!$G$32),Setup!$C$39:$C$50))&lt;=Setup!$C$16))),WORKDAY(N339,-(Setup!$C$13+Setup!$G$32+Setup!$C$14),Setup!$C$39:$C$50),WORKDAY(N339,-(Setup!$C$13+Setup!$G$32),Setup!$C$39:$C$50))+(334*100+13)/10000000)))</f>
        <v/>
      </c>
      <c r="AE339" t="str">
        <f>IF(O339="","",IF(O339&lt;Setup!$C$5-Setup!$C$6,"",IF(IF(ISNUMBER(Roster!$D339),Setup!$C$33&lt;=Roster!$D339,FALSE),"",IF(OR(IF(Setup!$C$15&lt;=Setup!$C$16,AND(MONTH(O339)&gt;=Setup!$C$15,MONTH(O339)&lt;=Setup!$C$16),OR(MONTH(O339)&gt;=Setup!$C$15,MONTH(O339)&lt;=Setup!$C$16)),IF(Setup!$C$15&lt;=Setup!$C$16,AND(MONTH(WORKDAY(O339,-(Setup!$C$13+Setup!$G$33),Setup!$C$39:$C$50))&gt;=Setup!$C$15,MONTH(WORKDAY(O339,-(Setup!$C$13+Setup!$G$33),Setup!$C$39:$C$50))&lt;=Setup!$C$16),OR(MONTH(WORKDAY(O339,-(Setup!$C$13+Setup!$G$33),Setup!$C$39:$C$50))&gt;=Setup!$C$15,MONTH(WORKDAY(O339,-(Setup!$C$13+Setup!$G$33),Setup!$C$39:$C$50))&lt;=Setup!$C$16))),WORKDAY(O339,-(Setup!$C$13+Setup!$G$33+Setup!$C$14),Setup!$C$39:$C$50),WORKDAY(O339,-(Setup!$C$13+Setup!$G$33),Setup!$C$39:$C$50))+(334*100+14)/10000000)))</f>
        <v/>
      </c>
      <c r="AF339" t="str">
        <f>IF(P339="","",IF(P339&lt;Setup!$C$5-Setup!$C$6,"",IF(IF(ISNUMBER(Roster!$D339),Setup!$C$34&lt;=Roster!$D339,FALSE),"",IF(OR(IF(Setup!$C$15&lt;=Setup!$C$16,AND(MONTH(P339)&gt;=Setup!$C$15,MONTH(P339)&lt;=Setup!$C$16),OR(MONTH(P339)&gt;=Setup!$C$15,MONTH(P339)&lt;=Setup!$C$16)),IF(Setup!$C$15&lt;=Setup!$C$16,AND(MONTH(WORKDAY(P339,-(Setup!$C$13+Setup!$G$34),Setup!$C$39:$C$50))&gt;=Setup!$C$15,MONTH(WORKDAY(P339,-(Setup!$C$13+Setup!$G$34),Setup!$C$39:$C$50))&lt;=Setup!$C$16),OR(MONTH(WORKDAY(P339,-(Setup!$C$13+Setup!$G$34),Setup!$C$39:$C$50))&gt;=Setup!$C$15,MONTH(WORKDAY(P339,-(Setup!$C$13+Setup!$G$34),Setup!$C$39:$C$50))&lt;=Setup!$C$16))),WORKDAY(P339,-(Setup!$C$13+Setup!$G$34+Setup!$C$14),Setup!$C$39:$C$50),WORKDAY(P339,-(Setup!$C$13+Setup!$G$34),Setup!$C$39:$C$50))+(334*100+15)/10000000)))</f>
        <v/>
      </c>
      <c r="AH339" t="str">
        <f t="shared" si="41"/>
        <v/>
      </c>
      <c r="AI339" t="str">
        <f t="shared" si="42"/>
        <v/>
      </c>
      <c r="AP339" t="str">
        <f>IF(ISNUMBER(Roster!$B339),MAX(1,YEAR(Setup!$C$5)-YEAR(Roster!$B339)+IF(EDATE(Roster!$B339,12*(YEAR(Setup!$C$5)-YEAR(Roster!$B339)))&lt;Setup!$C$5,1,0)),"")</f>
        <v/>
      </c>
      <c r="AQ339" s="32" t="str">
        <f>IF(AP339="","",EDATE(Roster!$B339,12*AP339))</f>
        <v/>
      </c>
      <c r="AR339" t="str">
        <f>IF(AQ339="","",IF(AQ339&lt;DATE(YEAR(Setup!$C$5)+1,MONTH(Setup!$C$5),DAY(Setup!$C$5)),AQ339+334/1000,""))</f>
        <v/>
      </c>
      <c r="AS339" t="str">
        <f t="shared" si="43"/>
        <v/>
      </c>
      <c r="AT339" t="str">
        <f>IF(AS339="","",IF(ISNUMBER(Roster!$D339),Roster!$D339&gt;=AP339,FALSE))</f>
        <v/>
      </c>
      <c r="AU339" t="str">
        <f t="shared" si="44"/>
        <v/>
      </c>
      <c r="AV339" t="str">
        <f ca="1">IF(334&gt;$AV$2,"",SMALL($AR$6:$AR$505,334))</f>
        <v/>
      </c>
      <c r="AW339" t="str">
        <f t="shared" ca="1" si="45"/>
        <v/>
      </c>
    </row>
    <row r="340" spans="2:49" x14ac:dyDescent="0.2">
      <c r="B340" s="32" t="str">
        <f>IF(AND(ISNUMBER(Roster!$B340),Setup!$B$20="Yes",ISNUMBER(Setup!$C$20)),EDATE(Roster!$B340,12*Setup!$C$20),"")</f>
        <v/>
      </c>
      <c r="C340" s="32" t="str">
        <f>IF(AND(ISNUMBER(Roster!$B340),Setup!$B$21="Yes",ISNUMBER(Setup!$C$21)),EDATE(Roster!$B340,12*Setup!$C$21),"")</f>
        <v/>
      </c>
      <c r="D340" s="32" t="str">
        <f>IF(AND(ISNUMBER(Roster!$B340),Setup!$B$22="Yes",ISNUMBER(Setup!$C$22)),EDATE(Roster!$B340,12*Setup!$C$22),"")</f>
        <v/>
      </c>
      <c r="E340" s="32" t="str">
        <f>IF(AND(ISNUMBER(Roster!$B340),Setup!$B$23="Yes",ISNUMBER(Setup!$C$23)),EDATE(Roster!$B340,12*Setup!$C$23),"")</f>
        <v/>
      </c>
      <c r="F340" s="32" t="str">
        <f>IF(AND(ISNUMBER(Roster!$B340),Setup!$B$24="Yes",ISNUMBER(Setup!$C$24)),EDATE(Roster!$B340,12*Setup!$C$24),"")</f>
        <v/>
      </c>
      <c r="G340" s="32" t="str">
        <f>IF(AND(ISNUMBER(Roster!$B340),Setup!$B$25="Yes",ISNUMBER(Setup!$C$25)),EDATE(Roster!$B340,12*Setup!$C$25),"")</f>
        <v/>
      </c>
      <c r="H340" s="32" t="str">
        <f>IF(AND(ISNUMBER(Roster!$B340),Setup!$B$26="Yes",ISNUMBER(Setup!$C$26)),EDATE(Roster!$B340,12*Setup!$C$26),"")</f>
        <v/>
      </c>
      <c r="I340" s="32" t="str">
        <f>IF(AND(ISNUMBER(Roster!$B340),Setup!$B$27="Yes",ISNUMBER(Setup!$C$27)),EDATE(Roster!$B340,12*Setup!$C$27),"")</f>
        <v/>
      </c>
      <c r="J340" s="32" t="str">
        <f>IF(AND(ISNUMBER(Roster!$B340),Setup!$B$28="Yes",ISNUMBER(Setup!$C$28)),EDATE(Roster!$B340,12*Setup!$C$28),"")</f>
        <v/>
      </c>
      <c r="K340" s="32" t="str">
        <f>IF(AND(ISNUMBER(Roster!$B340),Setup!$B$29="Yes",ISNUMBER(Setup!$C$29)),EDATE(Roster!$B340,12*Setup!$C$29),"")</f>
        <v/>
      </c>
      <c r="L340" s="32" t="str">
        <f>IF(AND(ISNUMBER(Roster!$B340),Setup!$B$30="Yes",ISNUMBER(Setup!$C$30)),EDATE(Roster!$B340,12*Setup!$C$30),"")</f>
        <v/>
      </c>
      <c r="M340" s="32" t="str">
        <f>IF(AND(ISNUMBER(Roster!$B340),Setup!$B$31="Yes",ISNUMBER(Setup!$C$31)),EDATE(Roster!$B340,12*Setup!$C$31),"")</f>
        <v/>
      </c>
      <c r="N340" s="32" t="str">
        <f>IF(AND(ISNUMBER(Roster!$B340),Setup!$B$32="Yes",ISNUMBER(Setup!$C$32)),EDATE(Roster!$B340,12*Setup!$C$32),"")</f>
        <v/>
      </c>
      <c r="O340" s="32" t="str">
        <f>IF(AND(ISNUMBER(Roster!$B340),Setup!$B$33="Yes",ISNUMBER(Setup!$C$33)),EDATE(Roster!$B340,12*Setup!$C$33),"")</f>
        <v/>
      </c>
      <c r="P340" s="32" t="str">
        <f>IF(AND(ISNUMBER(Roster!$B340),Setup!$B$34="Yes",ISNUMBER(Setup!$C$34)),EDATE(Roster!$B340,12*Setup!$C$34),"")</f>
        <v/>
      </c>
      <c r="R340" t="str">
        <f>IF(B340="","",IF(B340&lt;Setup!$C$5-Setup!$C$6,"",IF(IF(ISNUMBER(Roster!$D340),Setup!$C$20&lt;=Roster!$D340,FALSE),"",IF(OR(IF(Setup!$C$15&lt;=Setup!$C$16,AND(MONTH(B340)&gt;=Setup!$C$15,MONTH(B340)&lt;=Setup!$C$16),OR(MONTH(B340)&gt;=Setup!$C$15,MONTH(B340)&lt;=Setup!$C$16)),IF(Setup!$C$15&lt;=Setup!$C$16,AND(MONTH(WORKDAY(B340,-(Setup!$C$13+Setup!$G$20),Setup!$C$39:$C$50))&gt;=Setup!$C$15,MONTH(WORKDAY(B340,-(Setup!$C$13+Setup!$G$20),Setup!$C$39:$C$50))&lt;=Setup!$C$16),OR(MONTH(WORKDAY(B340,-(Setup!$C$13+Setup!$G$20),Setup!$C$39:$C$50))&gt;=Setup!$C$15,MONTH(WORKDAY(B340,-(Setup!$C$13+Setup!$G$20),Setup!$C$39:$C$50))&lt;=Setup!$C$16))),WORKDAY(B340,-(Setup!$C$13+Setup!$G$20+Setup!$C$14),Setup!$C$39:$C$50),WORKDAY(B340,-(Setup!$C$13+Setup!$G$20),Setup!$C$39:$C$50))+(335*100+1)/10000000)))</f>
        <v/>
      </c>
      <c r="S340" t="str">
        <f>IF(C340="","",IF(C340&lt;Setup!$C$5-Setup!$C$6,"",IF(IF(ISNUMBER(Roster!$D340),Setup!$C$21&lt;=Roster!$D340,FALSE),"",IF(OR(IF(Setup!$C$15&lt;=Setup!$C$16,AND(MONTH(C340)&gt;=Setup!$C$15,MONTH(C340)&lt;=Setup!$C$16),OR(MONTH(C340)&gt;=Setup!$C$15,MONTH(C340)&lt;=Setup!$C$16)),IF(Setup!$C$15&lt;=Setup!$C$16,AND(MONTH(WORKDAY(C340,-(Setup!$C$13+Setup!$G$21),Setup!$C$39:$C$50))&gt;=Setup!$C$15,MONTH(WORKDAY(C340,-(Setup!$C$13+Setup!$G$21),Setup!$C$39:$C$50))&lt;=Setup!$C$16),OR(MONTH(WORKDAY(C340,-(Setup!$C$13+Setup!$G$21),Setup!$C$39:$C$50))&gt;=Setup!$C$15,MONTH(WORKDAY(C340,-(Setup!$C$13+Setup!$G$21),Setup!$C$39:$C$50))&lt;=Setup!$C$16))),WORKDAY(C340,-(Setup!$C$13+Setup!$G$21+Setup!$C$14),Setup!$C$39:$C$50),WORKDAY(C340,-(Setup!$C$13+Setup!$G$21),Setup!$C$39:$C$50))+(335*100+2)/10000000)))</f>
        <v/>
      </c>
      <c r="T340" t="str">
        <f>IF(D340="","",IF(D340&lt;Setup!$C$5-Setup!$C$6,"",IF(IF(ISNUMBER(Roster!$D340),Setup!$C$22&lt;=Roster!$D340,FALSE),"",IF(OR(IF(Setup!$C$15&lt;=Setup!$C$16,AND(MONTH(D340)&gt;=Setup!$C$15,MONTH(D340)&lt;=Setup!$C$16),OR(MONTH(D340)&gt;=Setup!$C$15,MONTH(D340)&lt;=Setup!$C$16)),IF(Setup!$C$15&lt;=Setup!$C$16,AND(MONTH(WORKDAY(D340,-(Setup!$C$13+Setup!$G$22),Setup!$C$39:$C$50))&gt;=Setup!$C$15,MONTH(WORKDAY(D340,-(Setup!$C$13+Setup!$G$22),Setup!$C$39:$C$50))&lt;=Setup!$C$16),OR(MONTH(WORKDAY(D340,-(Setup!$C$13+Setup!$G$22),Setup!$C$39:$C$50))&gt;=Setup!$C$15,MONTH(WORKDAY(D340,-(Setup!$C$13+Setup!$G$22),Setup!$C$39:$C$50))&lt;=Setup!$C$16))),WORKDAY(D340,-(Setup!$C$13+Setup!$G$22+Setup!$C$14),Setup!$C$39:$C$50),WORKDAY(D340,-(Setup!$C$13+Setup!$G$22),Setup!$C$39:$C$50))+(335*100+3)/10000000)))</f>
        <v/>
      </c>
      <c r="U340" t="str">
        <f>IF(E340="","",IF(E340&lt;Setup!$C$5-Setup!$C$6,"",IF(IF(ISNUMBER(Roster!$D340),Setup!$C$23&lt;=Roster!$D340,FALSE),"",IF(OR(IF(Setup!$C$15&lt;=Setup!$C$16,AND(MONTH(E340)&gt;=Setup!$C$15,MONTH(E340)&lt;=Setup!$C$16),OR(MONTH(E340)&gt;=Setup!$C$15,MONTH(E340)&lt;=Setup!$C$16)),IF(Setup!$C$15&lt;=Setup!$C$16,AND(MONTH(WORKDAY(E340,-(Setup!$C$13+Setup!$G$23),Setup!$C$39:$C$50))&gt;=Setup!$C$15,MONTH(WORKDAY(E340,-(Setup!$C$13+Setup!$G$23),Setup!$C$39:$C$50))&lt;=Setup!$C$16),OR(MONTH(WORKDAY(E340,-(Setup!$C$13+Setup!$G$23),Setup!$C$39:$C$50))&gt;=Setup!$C$15,MONTH(WORKDAY(E340,-(Setup!$C$13+Setup!$G$23),Setup!$C$39:$C$50))&lt;=Setup!$C$16))),WORKDAY(E340,-(Setup!$C$13+Setup!$G$23+Setup!$C$14),Setup!$C$39:$C$50),WORKDAY(E340,-(Setup!$C$13+Setup!$G$23),Setup!$C$39:$C$50))+(335*100+4)/10000000)))</f>
        <v/>
      </c>
      <c r="V340" t="str">
        <f>IF(F340="","",IF(F340&lt;Setup!$C$5-Setup!$C$6,"",IF(IF(ISNUMBER(Roster!$D340),Setup!$C$24&lt;=Roster!$D340,FALSE),"",IF(OR(IF(Setup!$C$15&lt;=Setup!$C$16,AND(MONTH(F340)&gt;=Setup!$C$15,MONTH(F340)&lt;=Setup!$C$16),OR(MONTH(F340)&gt;=Setup!$C$15,MONTH(F340)&lt;=Setup!$C$16)),IF(Setup!$C$15&lt;=Setup!$C$16,AND(MONTH(WORKDAY(F340,-(Setup!$C$13+Setup!$G$24),Setup!$C$39:$C$50))&gt;=Setup!$C$15,MONTH(WORKDAY(F340,-(Setup!$C$13+Setup!$G$24),Setup!$C$39:$C$50))&lt;=Setup!$C$16),OR(MONTH(WORKDAY(F340,-(Setup!$C$13+Setup!$G$24),Setup!$C$39:$C$50))&gt;=Setup!$C$15,MONTH(WORKDAY(F340,-(Setup!$C$13+Setup!$G$24),Setup!$C$39:$C$50))&lt;=Setup!$C$16))),WORKDAY(F340,-(Setup!$C$13+Setup!$G$24+Setup!$C$14),Setup!$C$39:$C$50),WORKDAY(F340,-(Setup!$C$13+Setup!$G$24),Setup!$C$39:$C$50))+(335*100+5)/10000000)))</f>
        <v/>
      </c>
      <c r="W340" t="str">
        <f>IF(G340="","",IF(G340&lt;Setup!$C$5-Setup!$C$6,"",IF(IF(ISNUMBER(Roster!$D340),Setup!$C$25&lt;=Roster!$D340,FALSE),"",IF(OR(IF(Setup!$C$15&lt;=Setup!$C$16,AND(MONTH(G340)&gt;=Setup!$C$15,MONTH(G340)&lt;=Setup!$C$16),OR(MONTH(G340)&gt;=Setup!$C$15,MONTH(G340)&lt;=Setup!$C$16)),IF(Setup!$C$15&lt;=Setup!$C$16,AND(MONTH(WORKDAY(G340,-(Setup!$C$13+Setup!$G$25),Setup!$C$39:$C$50))&gt;=Setup!$C$15,MONTH(WORKDAY(G340,-(Setup!$C$13+Setup!$G$25),Setup!$C$39:$C$50))&lt;=Setup!$C$16),OR(MONTH(WORKDAY(G340,-(Setup!$C$13+Setup!$G$25),Setup!$C$39:$C$50))&gt;=Setup!$C$15,MONTH(WORKDAY(G340,-(Setup!$C$13+Setup!$G$25),Setup!$C$39:$C$50))&lt;=Setup!$C$16))),WORKDAY(G340,-(Setup!$C$13+Setup!$G$25+Setup!$C$14),Setup!$C$39:$C$50),WORKDAY(G340,-(Setup!$C$13+Setup!$G$25),Setup!$C$39:$C$50))+(335*100+6)/10000000)))</f>
        <v/>
      </c>
      <c r="X340" t="str">
        <f>IF(H340="","",IF(H340&lt;Setup!$C$5-Setup!$C$6,"",IF(IF(ISNUMBER(Roster!$D340),Setup!$C$26&lt;=Roster!$D340,FALSE),"",IF(OR(IF(Setup!$C$15&lt;=Setup!$C$16,AND(MONTH(H340)&gt;=Setup!$C$15,MONTH(H340)&lt;=Setup!$C$16),OR(MONTH(H340)&gt;=Setup!$C$15,MONTH(H340)&lt;=Setup!$C$16)),IF(Setup!$C$15&lt;=Setup!$C$16,AND(MONTH(WORKDAY(H340,-(Setup!$C$13+Setup!$G$26),Setup!$C$39:$C$50))&gt;=Setup!$C$15,MONTH(WORKDAY(H340,-(Setup!$C$13+Setup!$G$26),Setup!$C$39:$C$50))&lt;=Setup!$C$16),OR(MONTH(WORKDAY(H340,-(Setup!$C$13+Setup!$G$26),Setup!$C$39:$C$50))&gt;=Setup!$C$15,MONTH(WORKDAY(H340,-(Setup!$C$13+Setup!$G$26),Setup!$C$39:$C$50))&lt;=Setup!$C$16))),WORKDAY(H340,-(Setup!$C$13+Setup!$G$26+Setup!$C$14),Setup!$C$39:$C$50),WORKDAY(H340,-(Setup!$C$13+Setup!$G$26),Setup!$C$39:$C$50))+(335*100+7)/10000000)))</f>
        <v/>
      </c>
      <c r="Y340" t="str">
        <f>IF(I340="","",IF(I340&lt;Setup!$C$5-Setup!$C$6,"",IF(IF(ISNUMBER(Roster!$D340),Setup!$C$27&lt;=Roster!$D340,FALSE),"",IF(OR(IF(Setup!$C$15&lt;=Setup!$C$16,AND(MONTH(I340)&gt;=Setup!$C$15,MONTH(I340)&lt;=Setup!$C$16),OR(MONTH(I340)&gt;=Setup!$C$15,MONTH(I340)&lt;=Setup!$C$16)),IF(Setup!$C$15&lt;=Setup!$C$16,AND(MONTH(WORKDAY(I340,-(Setup!$C$13+Setup!$G$27),Setup!$C$39:$C$50))&gt;=Setup!$C$15,MONTH(WORKDAY(I340,-(Setup!$C$13+Setup!$G$27),Setup!$C$39:$C$50))&lt;=Setup!$C$16),OR(MONTH(WORKDAY(I340,-(Setup!$C$13+Setup!$G$27),Setup!$C$39:$C$50))&gt;=Setup!$C$15,MONTH(WORKDAY(I340,-(Setup!$C$13+Setup!$G$27),Setup!$C$39:$C$50))&lt;=Setup!$C$16))),WORKDAY(I340,-(Setup!$C$13+Setup!$G$27+Setup!$C$14),Setup!$C$39:$C$50),WORKDAY(I340,-(Setup!$C$13+Setup!$G$27),Setup!$C$39:$C$50))+(335*100+8)/10000000)))</f>
        <v/>
      </c>
      <c r="Z340" t="str">
        <f>IF(J340="","",IF(J340&lt;Setup!$C$5-Setup!$C$6,"",IF(IF(ISNUMBER(Roster!$D340),Setup!$C$28&lt;=Roster!$D340,FALSE),"",IF(OR(IF(Setup!$C$15&lt;=Setup!$C$16,AND(MONTH(J340)&gt;=Setup!$C$15,MONTH(J340)&lt;=Setup!$C$16),OR(MONTH(J340)&gt;=Setup!$C$15,MONTH(J340)&lt;=Setup!$C$16)),IF(Setup!$C$15&lt;=Setup!$C$16,AND(MONTH(WORKDAY(J340,-(Setup!$C$13+Setup!$G$28),Setup!$C$39:$C$50))&gt;=Setup!$C$15,MONTH(WORKDAY(J340,-(Setup!$C$13+Setup!$G$28),Setup!$C$39:$C$50))&lt;=Setup!$C$16),OR(MONTH(WORKDAY(J340,-(Setup!$C$13+Setup!$G$28),Setup!$C$39:$C$50))&gt;=Setup!$C$15,MONTH(WORKDAY(J340,-(Setup!$C$13+Setup!$G$28),Setup!$C$39:$C$50))&lt;=Setup!$C$16))),WORKDAY(J340,-(Setup!$C$13+Setup!$G$28+Setup!$C$14),Setup!$C$39:$C$50),WORKDAY(J340,-(Setup!$C$13+Setup!$G$28),Setup!$C$39:$C$50))+(335*100+9)/10000000)))</f>
        <v/>
      </c>
      <c r="AA340" t="str">
        <f>IF(K340="","",IF(K340&lt;Setup!$C$5-Setup!$C$6,"",IF(IF(ISNUMBER(Roster!$D340),Setup!$C$29&lt;=Roster!$D340,FALSE),"",IF(OR(IF(Setup!$C$15&lt;=Setup!$C$16,AND(MONTH(K340)&gt;=Setup!$C$15,MONTH(K340)&lt;=Setup!$C$16),OR(MONTH(K340)&gt;=Setup!$C$15,MONTH(K340)&lt;=Setup!$C$16)),IF(Setup!$C$15&lt;=Setup!$C$16,AND(MONTH(WORKDAY(K340,-(Setup!$C$13+Setup!$G$29),Setup!$C$39:$C$50))&gt;=Setup!$C$15,MONTH(WORKDAY(K340,-(Setup!$C$13+Setup!$G$29),Setup!$C$39:$C$50))&lt;=Setup!$C$16),OR(MONTH(WORKDAY(K340,-(Setup!$C$13+Setup!$G$29),Setup!$C$39:$C$50))&gt;=Setup!$C$15,MONTH(WORKDAY(K340,-(Setup!$C$13+Setup!$G$29),Setup!$C$39:$C$50))&lt;=Setup!$C$16))),WORKDAY(K340,-(Setup!$C$13+Setup!$G$29+Setup!$C$14),Setup!$C$39:$C$50),WORKDAY(K340,-(Setup!$C$13+Setup!$G$29),Setup!$C$39:$C$50))+(335*100+10)/10000000)))</f>
        <v/>
      </c>
      <c r="AB340" t="str">
        <f>IF(L340="","",IF(L340&lt;Setup!$C$5-Setup!$C$6,"",IF(IF(ISNUMBER(Roster!$D340),Setup!$C$30&lt;=Roster!$D340,FALSE),"",IF(OR(IF(Setup!$C$15&lt;=Setup!$C$16,AND(MONTH(L340)&gt;=Setup!$C$15,MONTH(L340)&lt;=Setup!$C$16),OR(MONTH(L340)&gt;=Setup!$C$15,MONTH(L340)&lt;=Setup!$C$16)),IF(Setup!$C$15&lt;=Setup!$C$16,AND(MONTH(WORKDAY(L340,-(Setup!$C$13+Setup!$G$30),Setup!$C$39:$C$50))&gt;=Setup!$C$15,MONTH(WORKDAY(L340,-(Setup!$C$13+Setup!$G$30),Setup!$C$39:$C$50))&lt;=Setup!$C$16),OR(MONTH(WORKDAY(L340,-(Setup!$C$13+Setup!$G$30),Setup!$C$39:$C$50))&gt;=Setup!$C$15,MONTH(WORKDAY(L340,-(Setup!$C$13+Setup!$G$30),Setup!$C$39:$C$50))&lt;=Setup!$C$16))),WORKDAY(L340,-(Setup!$C$13+Setup!$G$30+Setup!$C$14),Setup!$C$39:$C$50),WORKDAY(L340,-(Setup!$C$13+Setup!$G$30),Setup!$C$39:$C$50))+(335*100+11)/10000000)))</f>
        <v/>
      </c>
      <c r="AC340" t="str">
        <f>IF(M340="","",IF(M340&lt;Setup!$C$5-Setup!$C$6,"",IF(IF(ISNUMBER(Roster!$D340),Setup!$C$31&lt;=Roster!$D340,FALSE),"",IF(OR(IF(Setup!$C$15&lt;=Setup!$C$16,AND(MONTH(M340)&gt;=Setup!$C$15,MONTH(M340)&lt;=Setup!$C$16),OR(MONTH(M340)&gt;=Setup!$C$15,MONTH(M340)&lt;=Setup!$C$16)),IF(Setup!$C$15&lt;=Setup!$C$16,AND(MONTH(WORKDAY(M340,-(Setup!$C$13+Setup!$G$31),Setup!$C$39:$C$50))&gt;=Setup!$C$15,MONTH(WORKDAY(M340,-(Setup!$C$13+Setup!$G$31),Setup!$C$39:$C$50))&lt;=Setup!$C$16),OR(MONTH(WORKDAY(M340,-(Setup!$C$13+Setup!$G$31),Setup!$C$39:$C$50))&gt;=Setup!$C$15,MONTH(WORKDAY(M340,-(Setup!$C$13+Setup!$G$31),Setup!$C$39:$C$50))&lt;=Setup!$C$16))),WORKDAY(M340,-(Setup!$C$13+Setup!$G$31+Setup!$C$14),Setup!$C$39:$C$50),WORKDAY(M340,-(Setup!$C$13+Setup!$G$31),Setup!$C$39:$C$50))+(335*100+12)/10000000)))</f>
        <v/>
      </c>
      <c r="AD340" t="str">
        <f>IF(N340="","",IF(N340&lt;Setup!$C$5-Setup!$C$6,"",IF(IF(ISNUMBER(Roster!$D340),Setup!$C$32&lt;=Roster!$D340,FALSE),"",IF(OR(IF(Setup!$C$15&lt;=Setup!$C$16,AND(MONTH(N340)&gt;=Setup!$C$15,MONTH(N340)&lt;=Setup!$C$16),OR(MONTH(N340)&gt;=Setup!$C$15,MONTH(N340)&lt;=Setup!$C$16)),IF(Setup!$C$15&lt;=Setup!$C$16,AND(MONTH(WORKDAY(N340,-(Setup!$C$13+Setup!$G$32),Setup!$C$39:$C$50))&gt;=Setup!$C$15,MONTH(WORKDAY(N340,-(Setup!$C$13+Setup!$G$32),Setup!$C$39:$C$50))&lt;=Setup!$C$16),OR(MONTH(WORKDAY(N340,-(Setup!$C$13+Setup!$G$32),Setup!$C$39:$C$50))&gt;=Setup!$C$15,MONTH(WORKDAY(N340,-(Setup!$C$13+Setup!$G$32),Setup!$C$39:$C$50))&lt;=Setup!$C$16))),WORKDAY(N340,-(Setup!$C$13+Setup!$G$32+Setup!$C$14),Setup!$C$39:$C$50),WORKDAY(N340,-(Setup!$C$13+Setup!$G$32),Setup!$C$39:$C$50))+(335*100+13)/10000000)))</f>
        <v/>
      </c>
      <c r="AE340" t="str">
        <f>IF(O340="","",IF(O340&lt;Setup!$C$5-Setup!$C$6,"",IF(IF(ISNUMBER(Roster!$D340),Setup!$C$33&lt;=Roster!$D340,FALSE),"",IF(OR(IF(Setup!$C$15&lt;=Setup!$C$16,AND(MONTH(O340)&gt;=Setup!$C$15,MONTH(O340)&lt;=Setup!$C$16),OR(MONTH(O340)&gt;=Setup!$C$15,MONTH(O340)&lt;=Setup!$C$16)),IF(Setup!$C$15&lt;=Setup!$C$16,AND(MONTH(WORKDAY(O340,-(Setup!$C$13+Setup!$G$33),Setup!$C$39:$C$50))&gt;=Setup!$C$15,MONTH(WORKDAY(O340,-(Setup!$C$13+Setup!$G$33),Setup!$C$39:$C$50))&lt;=Setup!$C$16),OR(MONTH(WORKDAY(O340,-(Setup!$C$13+Setup!$G$33),Setup!$C$39:$C$50))&gt;=Setup!$C$15,MONTH(WORKDAY(O340,-(Setup!$C$13+Setup!$G$33),Setup!$C$39:$C$50))&lt;=Setup!$C$16))),WORKDAY(O340,-(Setup!$C$13+Setup!$G$33+Setup!$C$14),Setup!$C$39:$C$50),WORKDAY(O340,-(Setup!$C$13+Setup!$G$33),Setup!$C$39:$C$50))+(335*100+14)/10000000)))</f>
        <v/>
      </c>
      <c r="AF340" t="str">
        <f>IF(P340="","",IF(P340&lt;Setup!$C$5-Setup!$C$6,"",IF(IF(ISNUMBER(Roster!$D340),Setup!$C$34&lt;=Roster!$D340,FALSE),"",IF(OR(IF(Setup!$C$15&lt;=Setup!$C$16,AND(MONTH(P340)&gt;=Setup!$C$15,MONTH(P340)&lt;=Setup!$C$16),OR(MONTH(P340)&gt;=Setup!$C$15,MONTH(P340)&lt;=Setup!$C$16)),IF(Setup!$C$15&lt;=Setup!$C$16,AND(MONTH(WORKDAY(P340,-(Setup!$C$13+Setup!$G$34),Setup!$C$39:$C$50))&gt;=Setup!$C$15,MONTH(WORKDAY(P340,-(Setup!$C$13+Setup!$G$34),Setup!$C$39:$C$50))&lt;=Setup!$C$16),OR(MONTH(WORKDAY(P340,-(Setup!$C$13+Setup!$G$34),Setup!$C$39:$C$50))&gt;=Setup!$C$15,MONTH(WORKDAY(P340,-(Setup!$C$13+Setup!$G$34),Setup!$C$39:$C$50))&lt;=Setup!$C$16))),WORKDAY(P340,-(Setup!$C$13+Setup!$G$34+Setup!$C$14),Setup!$C$39:$C$50),WORKDAY(P340,-(Setup!$C$13+Setup!$G$34),Setup!$C$39:$C$50))+(335*100+15)/10000000)))</f>
        <v/>
      </c>
      <c r="AH340" t="str">
        <f t="shared" si="41"/>
        <v/>
      </c>
      <c r="AI340" t="str">
        <f t="shared" si="42"/>
        <v/>
      </c>
      <c r="AP340" t="str">
        <f>IF(ISNUMBER(Roster!$B340),MAX(1,YEAR(Setup!$C$5)-YEAR(Roster!$B340)+IF(EDATE(Roster!$B340,12*(YEAR(Setup!$C$5)-YEAR(Roster!$B340)))&lt;Setup!$C$5,1,0)),"")</f>
        <v/>
      </c>
      <c r="AQ340" s="32" t="str">
        <f>IF(AP340="","",EDATE(Roster!$B340,12*AP340))</f>
        <v/>
      </c>
      <c r="AR340" t="str">
        <f>IF(AQ340="","",IF(AQ340&lt;DATE(YEAR(Setup!$C$5)+1,MONTH(Setup!$C$5),DAY(Setup!$C$5)),AQ340+335/1000,""))</f>
        <v/>
      </c>
      <c r="AS340" t="str">
        <f t="shared" si="43"/>
        <v/>
      </c>
      <c r="AT340" t="str">
        <f>IF(AS340="","",IF(ISNUMBER(Roster!$D340),Roster!$D340&gt;=AP340,FALSE))</f>
        <v/>
      </c>
      <c r="AU340" t="str">
        <f t="shared" si="44"/>
        <v/>
      </c>
      <c r="AV340" t="str">
        <f ca="1">IF(335&gt;$AV$2,"",SMALL($AR$6:$AR$505,335))</f>
        <v/>
      </c>
      <c r="AW340" t="str">
        <f t="shared" ca="1" si="45"/>
        <v/>
      </c>
    </row>
    <row r="341" spans="2:49" x14ac:dyDescent="0.2">
      <c r="B341" s="32" t="str">
        <f>IF(AND(ISNUMBER(Roster!$B341),Setup!$B$20="Yes",ISNUMBER(Setup!$C$20)),EDATE(Roster!$B341,12*Setup!$C$20),"")</f>
        <v/>
      </c>
      <c r="C341" s="32" t="str">
        <f>IF(AND(ISNUMBER(Roster!$B341),Setup!$B$21="Yes",ISNUMBER(Setup!$C$21)),EDATE(Roster!$B341,12*Setup!$C$21),"")</f>
        <v/>
      </c>
      <c r="D341" s="32" t="str">
        <f>IF(AND(ISNUMBER(Roster!$B341),Setup!$B$22="Yes",ISNUMBER(Setup!$C$22)),EDATE(Roster!$B341,12*Setup!$C$22),"")</f>
        <v/>
      </c>
      <c r="E341" s="32" t="str">
        <f>IF(AND(ISNUMBER(Roster!$B341),Setup!$B$23="Yes",ISNUMBER(Setup!$C$23)),EDATE(Roster!$B341,12*Setup!$C$23),"")</f>
        <v/>
      </c>
      <c r="F341" s="32" t="str">
        <f>IF(AND(ISNUMBER(Roster!$B341),Setup!$B$24="Yes",ISNUMBER(Setup!$C$24)),EDATE(Roster!$B341,12*Setup!$C$24),"")</f>
        <v/>
      </c>
      <c r="G341" s="32" t="str">
        <f>IF(AND(ISNUMBER(Roster!$B341),Setup!$B$25="Yes",ISNUMBER(Setup!$C$25)),EDATE(Roster!$B341,12*Setup!$C$25),"")</f>
        <v/>
      </c>
      <c r="H341" s="32" t="str">
        <f>IF(AND(ISNUMBER(Roster!$B341),Setup!$B$26="Yes",ISNUMBER(Setup!$C$26)),EDATE(Roster!$B341,12*Setup!$C$26),"")</f>
        <v/>
      </c>
      <c r="I341" s="32" t="str">
        <f>IF(AND(ISNUMBER(Roster!$B341),Setup!$B$27="Yes",ISNUMBER(Setup!$C$27)),EDATE(Roster!$B341,12*Setup!$C$27),"")</f>
        <v/>
      </c>
      <c r="J341" s="32" t="str">
        <f>IF(AND(ISNUMBER(Roster!$B341),Setup!$B$28="Yes",ISNUMBER(Setup!$C$28)),EDATE(Roster!$B341,12*Setup!$C$28),"")</f>
        <v/>
      </c>
      <c r="K341" s="32" t="str">
        <f>IF(AND(ISNUMBER(Roster!$B341),Setup!$B$29="Yes",ISNUMBER(Setup!$C$29)),EDATE(Roster!$B341,12*Setup!$C$29),"")</f>
        <v/>
      </c>
      <c r="L341" s="32" t="str">
        <f>IF(AND(ISNUMBER(Roster!$B341),Setup!$B$30="Yes",ISNUMBER(Setup!$C$30)),EDATE(Roster!$B341,12*Setup!$C$30),"")</f>
        <v/>
      </c>
      <c r="M341" s="32" t="str">
        <f>IF(AND(ISNUMBER(Roster!$B341),Setup!$B$31="Yes",ISNUMBER(Setup!$C$31)),EDATE(Roster!$B341,12*Setup!$C$31),"")</f>
        <v/>
      </c>
      <c r="N341" s="32" t="str">
        <f>IF(AND(ISNUMBER(Roster!$B341),Setup!$B$32="Yes",ISNUMBER(Setup!$C$32)),EDATE(Roster!$B341,12*Setup!$C$32),"")</f>
        <v/>
      </c>
      <c r="O341" s="32" t="str">
        <f>IF(AND(ISNUMBER(Roster!$B341),Setup!$B$33="Yes",ISNUMBER(Setup!$C$33)),EDATE(Roster!$B341,12*Setup!$C$33),"")</f>
        <v/>
      </c>
      <c r="P341" s="32" t="str">
        <f>IF(AND(ISNUMBER(Roster!$B341),Setup!$B$34="Yes",ISNUMBER(Setup!$C$34)),EDATE(Roster!$B341,12*Setup!$C$34),"")</f>
        <v/>
      </c>
      <c r="R341" t="str">
        <f>IF(B341="","",IF(B341&lt;Setup!$C$5-Setup!$C$6,"",IF(IF(ISNUMBER(Roster!$D341),Setup!$C$20&lt;=Roster!$D341,FALSE),"",IF(OR(IF(Setup!$C$15&lt;=Setup!$C$16,AND(MONTH(B341)&gt;=Setup!$C$15,MONTH(B341)&lt;=Setup!$C$16),OR(MONTH(B341)&gt;=Setup!$C$15,MONTH(B341)&lt;=Setup!$C$16)),IF(Setup!$C$15&lt;=Setup!$C$16,AND(MONTH(WORKDAY(B341,-(Setup!$C$13+Setup!$G$20),Setup!$C$39:$C$50))&gt;=Setup!$C$15,MONTH(WORKDAY(B341,-(Setup!$C$13+Setup!$G$20),Setup!$C$39:$C$50))&lt;=Setup!$C$16),OR(MONTH(WORKDAY(B341,-(Setup!$C$13+Setup!$G$20),Setup!$C$39:$C$50))&gt;=Setup!$C$15,MONTH(WORKDAY(B341,-(Setup!$C$13+Setup!$G$20),Setup!$C$39:$C$50))&lt;=Setup!$C$16))),WORKDAY(B341,-(Setup!$C$13+Setup!$G$20+Setup!$C$14),Setup!$C$39:$C$50),WORKDAY(B341,-(Setup!$C$13+Setup!$G$20),Setup!$C$39:$C$50))+(336*100+1)/10000000)))</f>
        <v/>
      </c>
      <c r="S341" t="str">
        <f>IF(C341="","",IF(C341&lt;Setup!$C$5-Setup!$C$6,"",IF(IF(ISNUMBER(Roster!$D341),Setup!$C$21&lt;=Roster!$D341,FALSE),"",IF(OR(IF(Setup!$C$15&lt;=Setup!$C$16,AND(MONTH(C341)&gt;=Setup!$C$15,MONTH(C341)&lt;=Setup!$C$16),OR(MONTH(C341)&gt;=Setup!$C$15,MONTH(C341)&lt;=Setup!$C$16)),IF(Setup!$C$15&lt;=Setup!$C$16,AND(MONTH(WORKDAY(C341,-(Setup!$C$13+Setup!$G$21),Setup!$C$39:$C$50))&gt;=Setup!$C$15,MONTH(WORKDAY(C341,-(Setup!$C$13+Setup!$G$21),Setup!$C$39:$C$50))&lt;=Setup!$C$16),OR(MONTH(WORKDAY(C341,-(Setup!$C$13+Setup!$G$21),Setup!$C$39:$C$50))&gt;=Setup!$C$15,MONTH(WORKDAY(C341,-(Setup!$C$13+Setup!$G$21),Setup!$C$39:$C$50))&lt;=Setup!$C$16))),WORKDAY(C341,-(Setup!$C$13+Setup!$G$21+Setup!$C$14),Setup!$C$39:$C$50),WORKDAY(C341,-(Setup!$C$13+Setup!$G$21),Setup!$C$39:$C$50))+(336*100+2)/10000000)))</f>
        <v/>
      </c>
      <c r="T341" t="str">
        <f>IF(D341="","",IF(D341&lt;Setup!$C$5-Setup!$C$6,"",IF(IF(ISNUMBER(Roster!$D341),Setup!$C$22&lt;=Roster!$D341,FALSE),"",IF(OR(IF(Setup!$C$15&lt;=Setup!$C$16,AND(MONTH(D341)&gt;=Setup!$C$15,MONTH(D341)&lt;=Setup!$C$16),OR(MONTH(D341)&gt;=Setup!$C$15,MONTH(D341)&lt;=Setup!$C$16)),IF(Setup!$C$15&lt;=Setup!$C$16,AND(MONTH(WORKDAY(D341,-(Setup!$C$13+Setup!$G$22),Setup!$C$39:$C$50))&gt;=Setup!$C$15,MONTH(WORKDAY(D341,-(Setup!$C$13+Setup!$G$22),Setup!$C$39:$C$50))&lt;=Setup!$C$16),OR(MONTH(WORKDAY(D341,-(Setup!$C$13+Setup!$G$22),Setup!$C$39:$C$50))&gt;=Setup!$C$15,MONTH(WORKDAY(D341,-(Setup!$C$13+Setup!$G$22),Setup!$C$39:$C$50))&lt;=Setup!$C$16))),WORKDAY(D341,-(Setup!$C$13+Setup!$G$22+Setup!$C$14),Setup!$C$39:$C$50),WORKDAY(D341,-(Setup!$C$13+Setup!$G$22),Setup!$C$39:$C$50))+(336*100+3)/10000000)))</f>
        <v/>
      </c>
      <c r="U341" t="str">
        <f>IF(E341="","",IF(E341&lt;Setup!$C$5-Setup!$C$6,"",IF(IF(ISNUMBER(Roster!$D341),Setup!$C$23&lt;=Roster!$D341,FALSE),"",IF(OR(IF(Setup!$C$15&lt;=Setup!$C$16,AND(MONTH(E341)&gt;=Setup!$C$15,MONTH(E341)&lt;=Setup!$C$16),OR(MONTH(E341)&gt;=Setup!$C$15,MONTH(E341)&lt;=Setup!$C$16)),IF(Setup!$C$15&lt;=Setup!$C$16,AND(MONTH(WORKDAY(E341,-(Setup!$C$13+Setup!$G$23),Setup!$C$39:$C$50))&gt;=Setup!$C$15,MONTH(WORKDAY(E341,-(Setup!$C$13+Setup!$G$23),Setup!$C$39:$C$50))&lt;=Setup!$C$16),OR(MONTH(WORKDAY(E341,-(Setup!$C$13+Setup!$G$23),Setup!$C$39:$C$50))&gt;=Setup!$C$15,MONTH(WORKDAY(E341,-(Setup!$C$13+Setup!$G$23),Setup!$C$39:$C$50))&lt;=Setup!$C$16))),WORKDAY(E341,-(Setup!$C$13+Setup!$G$23+Setup!$C$14),Setup!$C$39:$C$50),WORKDAY(E341,-(Setup!$C$13+Setup!$G$23),Setup!$C$39:$C$50))+(336*100+4)/10000000)))</f>
        <v/>
      </c>
      <c r="V341" t="str">
        <f>IF(F341="","",IF(F341&lt;Setup!$C$5-Setup!$C$6,"",IF(IF(ISNUMBER(Roster!$D341),Setup!$C$24&lt;=Roster!$D341,FALSE),"",IF(OR(IF(Setup!$C$15&lt;=Setup!$C$16,AND(MONTH(F341)&gt;=Setup!$C$15,MONTH(F341)&lt;=Setup!$C$16),OR(MONTH(F341)&gt;=Setup!$C$15,MONTH(F341)&lt;=Setup!$C$16)),IF(Setup!$C$15&lt;=Setup!$C$16,AND(MONTH(WORKDAY(F341,-(Setup!$C$13+Setup!$G$24),Setup!$C$39:$C$50))&gt;=Setup!$C$15,MONTH(WORKDAY(F341,-(Setup!$C$13+Setup!$G$24),Setup!$C$39:$C$50))&lt;=Setup!$C$16),OR(MONTH(WORKDAY(F341,-(Setup!$C$13+Setup!$G$24),Setup!$C$39:$C$50))&gt;=Setup!$C$15,MONTH(WORKDAY(F341,-(Setup!$C$13+Setup!$G$24),Setup!$C$39:$C$50))&lt;=Setup!$C$16))),WORKDAY(F341,-(Setup!$C$13+Setup!$G$24+Setup!$C$14),Setup!$C$39:$C$50),WORKDAY(F341,-(Setup!$C$13+Setup!$G$24),Setup!$C$39:$C$50))+(336*100+5)/10000000)))</f>
        <v/>
      </c>
      <c r="W341" t="str">
        <f>IF(G341="","",IF(G341&lt;Setup!$C$5-Setup!$C$6,"",IF(IF(ISNUMBER(Roster!$D341),Setup!$C$25&lt;=Roster!$D341,FALSE),"",IF(OR(IF(Setup!$C$15&lt;=Setup!$C$16,AND(MONTH(G341)&gt;=Setup!$C$15,MONTH(G341)&lt;=Setup!$C$16),OR(MONTH(G341)&gt;=Setup!$C$15,MONTH(G341)&lt;=Setup!$C$16)),IF(Setup!$C$15&lt;=Setup!$C$16,AND(MONTH(WORKDAY(G341,-(Setup!$C$13+Setup!$G$25),Setup!$C$39:$C$50))&gt;=Setup!$C$15,MONTH(WORKDAY(G341,-(Setup!$C$13+Setup!$G$25),Setup!$C$39:$C$50))&lt;=Setup!$C$16),OR(MONTH(WORKDAY(G341,-(Setup!$C$13+Setup!$G$25),Setup!$C$39:$C$50))&gt;=Setup!$C$15,MONTH(WORKDAY(G341,-(Setup!$C$13+Setup!$G$25),Setup!$C$39:$C$50))&lt;=Setup!$C$16))),WORKDAY(G341,-(Setup!$C$13+Setup!$G$25+Setup!$C$14),Setup!$C$39:$C$50),WORKDAY(G341,-(Setup!$C$13+Setup!$G$25),Setup!$C$39:$C$50))+(336*100+6)/10000000)))</f>
        <v/>
      </c>
      <c r="X341" t="str">
        <f>IF(H341="","",IF(H341&lt;Setup!$C$5-Setup!$C$6,"",IF(IF(ISNUMBER(Roster!$D341),Setup!$C$26&lt;=Roster!$D341,FALSE),"",IF(OR(IF(Setup!$C$15&lt;=Setup!$C$16,AND(MONTH(H341)&gt;=Setup!$C$15,MONTH(H341)&lt;=Setup!$C$16),OR(MONTH(H341)&gt;=Setup!$C$15,MONTH(H341)&lt;=Setup!$C$16)),IF(Setup!$C$15&lt;=Setup!$C$16,AND(MONTH(WORKDAY(H341,-(Setup!$C$13+Setup!$G$26),Setup!$C$39:$C$50))&gt;=Setup!$C$15,MONTH(WORKDAY(H341,-(Setup!$C$13+Setup!$G$26),Setup!$C$39:$C$50))&lt;=Setup!$C$16),OR(MONTH(WORKDAY(H341,-(Setup!$C$13+Setup!$G$26),Setup!$C$39:$C$50))&gt;=Setup!$C$15,MONTH(WORKDAY(H341,-(Setup!$C$13+Setup!$G$26),Setup!$C$39:$C$50))&lt;=Setup!$C$16))),WORKDAY(H341,-(Setup!$C$13+Setup!$G$26+Setup!$C$14),Setup!$C$39:$C$50),WORKDAY(H341,-(Setup!$C$13+Setup!$G$26),Setup!$C$39:$C$50))+(336*100+7)/10000000)))</f>
        <v/>
      </c>
      <c r="Y341" t="str">
        <f>IF(I341="","",IF(I341&lt;Setup!$C$5-Setup!$C$6,"",IF(IF(ISNUMBER(Roster!$D341),Setup!$C$27&lt;=Roster!$D341,FALSE),"",IF(OR(IF(Setup!$C$15&lt;=Setup!$C$16,AND(MONTH(I341)&gt;=Setup!$C$15,MONTH(I341)&lt;=Setup!$C$16),OR(MONTH(I341)&gt;=Setup!$C$15,MONTH(I341)&lt;=Setup!$C$16)),IF(Setup!$C$15&lt;=Setup!$C$16,AND(MONTH(WORKDAY(I341,-(Setup!$C$13+Setup!$G$27),Setup!$C$39:$C$50))&gt;=Setup!$C$15,MONTH(WORKDAY(I341,-(Setup!$C$13+Setup!$G$27),Setup!$C$39:$C$50))&lt;=Setup!$C$16),OR(MONTH(WORKDAY(I341,-(Setup!$C$13+Setup!$G$27),Setup!$C$39:$C$50))&gt;=Setup!$C$15,MONTH(WORKDAY(I341,-(Setup!$C$13+Setup!$G$27),Setup!$C$39:$C$50))&lt;=Setup!$C$16))),WORKDAY(I341,-(Setup!$C$13+Setup!$G$27+Setup!$C$14),Setup!$C$39:$C$50),WORKDAY(I341,-(Setup!$C$13+Setup!$G$27),Setup!$C$39:$C$50))+(336*100+8)/10000000)))</f>
        <v/>
      </c>
      <c r="Z341" t="str">
        <f>IF(J341="","",IF(J341&lt;Setup!$C$5-Setup!$C$6,"",IF(IF(ISNUMBER(Roster!$D341),Setup!$C$28&lt;=Roster!$D341,FALSE),"",IF(OR(IF(Setup!$C$15&lt;=Setup!$C$16,AND(MONTH(J341)&gt;=Setup!$C$15,MONTH(J341)&lt;=Setup!$C$16),OR(MONTH(J341)&gt;=Setup!$C$15,MONTH(J341)&lt;=Setup!$C$16)),IF(Setup!$C$15&lt;=Setup!$C$16,AND(MONTH(WORKDAY(J341,-(Setup!$C$13+Setup!$G$28),Setup!$C$39:$C$50))&gt;=Setup!$C$15,MONTH(WORKDAY(J341,-(Setup!$C$13+Setup!$G$28),Setup!$C$39:$C$50))&lt;=Setup!$C$16),OR(MONTH(WORKDAY(J341,-(Setup!$C$13+Setup!$G$28),Setup!$C$39:$C$50))&gt;=Setup!$C$15,MONTH(WORKDAY(J341,-(Setup!$C$13+Setup!$G$28),Setup!$C$39:$C$50))&lt;=Setup!$C$16))),WORKDAY(J341,-(Setup!$C$13+Setup!$G$28+Setup!$C$14),Setup!$C$39:$C$50),WORKDAY(J341,-(Setup!$C$13+Setup!$G$28),Setup!$C$39:$C$50))+(336*100+9)/10000000)))</f>
        <v/>
      </c>
      <c r="AA341" t="str">
        <f>IF(K341="","",IF(K341&lt;Setup!$C$5-Setup!$C$6,"",IF(IF(ISNUMBER(Roster!$D341),Setup!$C$29&lt;=Roster!$D341,FALSE),"",IF(OR(IF(Setup!$C$15&lt;=Setup!$C$16,AND(MONTH(K341)&gt;=Setup!$C$15,MONTH(K341)&lt;=Setup!$C$16),OR(MONTH(K341)&gt;=Setup!$C$15,MONTH(K341)&lt;=Setup!$C$16)),IF(Setup!$C$15&lt;=Setup!$C$16,AND(MONTH(WORKDAY(K341,-(Setup!$C$13+Setup!$G$29),Setup!$C$39:$C$50))&gt;=Setup!$C$15,MONTH(WORKDAY(K341,-(Setup!$C$13+Setup!$G$29),Setup!$C$39:$C$50))&lt;=Setup!$C$16),OR(MONTH(WORKDAY(K341,-(Setup!$C$13+Setup!$G$29),Setup!$C$39:$C$50))&gt;=Setup!$C$15,MONTH(WORKDAY(K341,-(Setup!$C$13+Setup!$G$29),Setup!$C$39:$C$50))&lt;=Setup!$C$16))),WORKDAY(K341,-(Setup!$C$13+Setup!$G$29+Setup!$C$14),Setup!$C$39:$C$50),WORKDAY(K341,-(Setup!$C$13+Setup!$G$29),Setup!$C$39:$C$50))+(336*100+10)/10000000)))</f>
        <v/>
      </c>
      <c r="AB341" t="str">
        <f>IF(L341="","",IF(L341&lt;Setup!$C$5-Setup!$C$6,"",IF(IF(ISNUMBER(Roster!$D341),Setup!$C$30&lt;=Roster!$D341,FALSE),"",IF(OR(IF(Setup!$C$15&lt;=Setup!$C$16,AND(MONTH(L341)&gt;=Setup!$C$15,MONTH(L341)&lt;=Setup!$C$16),OR(MONTH(L341)&gt;=Setup!$C$15,MONTH(L341)&lt;=Setup!$C$16)),IF(Setup!$C$15&lt;=Setup!$C$16,AND(MONTH(WORKDAY(L341,-(Setup!$C$13+Setup!$G$30),Setup!$C$39:$C$50))&gt;=Setup!$C$15,MONTH(WORKDAY(L341,-(Setup!$C$13+Setup!$G$30),Setup!$C$39:$C$50))&lt;=Setup!$C$16),OR(MONTH(WORKDAY(L341,-(Setup!$C$13+Setup!$G$30),Setup!$C$39:$C$50))&gt;=Setup!$C$15,MONTH(WORKDAY(L341,-(Setup!$C$13+Setup!$G$30),Setup!$C$39:$C$50))&lt;=Setup!$C$16))),WORKDAY(L341,-(Setup!$C$13+Setup!$G$30+Setup!$C$14),Setup!$C$39:$C$50),WORKDAY(L341,-(Setup!$C$13+Setup!$G$30),Setup!$C$39:$C$50))+(336*100+11)/10000000)))</f>
        <v/>
      </c>
      <c r="AC341" t="str">
        <f>IF(M341="","",IF(M341&lt;Setup!$C$5-Setup!$C$6,"",IF(IF(ISNUMBER(Roster!$D341),Setup!$C$31&lt;=Roster!$D341,FALSE),"",IF(OR(IF(Setup!$C$15&lt;=Setup!$C$16,AND(MONTH(M341)&gt;=Setup!$C$15,MONTH(M341)&lt;=Setup!$C$16),OR(MONTH(M341)&gt;=Setup!$C$15,MONTH(M341)&lt;=Setup!$C$16)),IF(Setup!$C$15&lt;=Setup!$C$16,AND(MONTH(WORKDAY(M341,-(Setup!$C$13+Setup!$G$31),Setup!$C$39:$C$50))&gt;=Setup!$C$15,MONTH(WORKDAY(M341,-(Setup!$C$13+Setup!$G$31),Setup!$C$39:$C$50))&lt;=Setup!$C$16),OR(MONTH(WORKDAY(M341,-(Setup!$C$13+Setup!$G$31),Setup!$C$39:$C$50))&gt;=Setup!$C$15,MONTH(WORKDAY(M341,-(Setup!$C$13+Setup!$G$31),Setup!$C$39:$C$50))&lt;=Setup!$C$16))),WORKDAY(M341,-(Setup!$C$13+Setup!$G$31+Setup!$C$14),Setup!$C$39:$C$50),WORKDAY(M341,-(Setup!$C$13+Setup!$G$31),Setup!$C$39:$C$50))+(336*100+12)/10000000)))</f>
        <v/>
      </c>
      <c r="AD341" t="str">
        <f>IF(N341="","",IF(N341&lt;Setup!$C$5-Setup!$C$6,"",IF(IF(ISNUMBER(Roster!$D341),Setup!$C$32&lt;=Roster!$D341,FALSE),"",IF(OR(IF(Setup!$C$15&lt;=Setup!$C$16,AND(MONTH(N341)&gt;=Setup!$C$15,MONTH(N341)&lt;=Setup!$C$16),OR(MONTH(N341)&gt;=Setup!$C$15,MONTH(N341)&lt;=Setup!$C$16)),IF(Setup!$C$15&lt;=Setup!$C$16,AND(MONTH(WORKDAY(N341,-(Setup!$C$13+Setup!$G$32),Setup!$C$39:$C$50))&gt;=Setup!$C$15,MONTH(WORKDAY(N341,-(Setup!$C$13+Setup!$G$32),Setup!$C$39:$C$50))&lt;=Setup!$C$16),OR(MONTH(WORKDAY(N341,-(Setup!$C$13+Setup!$G$32),Setup!$C$39:$C$50))&gt;=Setup!$C$15,MONTH(WORKDAY(N341,-(Setup!$C$13+Setup!$G$32),Setup!$C$39:$C$50))&lt;=Setup!$C$16))),WORKDAY(N341,-(Setup!$C$13+Setup!$G$32+Setup!$C$14),Setup!$C$39:$C$50),WORKDAY(N341,-(Setup!$C$13+Setup!$G$32),Setup!$C$39:$C$50))+(336*100+13)/10000000)))</f>
        <v/>
      </c>
      <c r="AE341" t="str">
        <f>IF(O341="","",IF(O341&lt;Setup!$C$5-Setup!$C$6,"",IF(IF(ISNUMBER(Roster!$D341),Setup!$C$33&lt;=Roster!$D341,FALSE),"",IF(OR(IF(Setup!$C$15&lt;=Setup!$C$16,AND(MONTH(O341)&gt;=Setup!$C$15,MONTH(O341)&lt;=Setup!$C$16),OR(MONTH(O341)&gt;=Setup!$C$15,MONTH(O341)&lt;=Setup!$C$16)),IF(Setup!$C$15&lt;=Setup!$C$16,AND(MONTH(WORKDAY(O341,-(Setup!$C$13+Setup!$G$33),Setup!$C$39:$C$50))&gt;=Setup!$C$15,MONTH(WORKDAY(O341,-(Setup!$C$13+Setup!$G$33),Setup!$C$39:$C$50))&lt;=Setup!$C$16),OR(MONTH(WORKDAY(O341,-(Setup!$C$13+Setup!$G$33),Setup!$C$39:$C$50))&gt;=Setup!$C$15,MONTH(WORKDAY(O341,-(Setup!$C$13+Setup!$G$33),Setup!$C$39:$C$50))&lt;=Setup!$C$16))),WORKDAY(O341,-(Setup!$C$13+Setup!$G$33+Setup!$C$14),Setup!$C$39:$C$50),WORKDAY(O341,-(Setup!$C$13+Setup!$G$33),Setup!$C$39:$C$50))+(336*100+14)/10000000)))</f>
        <v/>
      </c>
      <c r="AF341" t="str">
        <f>IF(P341="","",IF(P341&lt;Setup!$C$5-Setup!$C$6,"",IF(IF(ISNUMBER(Roster!$D341),Setup!$C$34&lt;=Roster!$D341,FALSE),"",IF(OR(IF(Setup!$C$15&lt;=Setup!$C$16,AND(MONTH(P341)&gt;=Setup!$C$15,MONTH(P341)&lt;=Setup!$C$16),OR(MONTH(P341)&gt;=Setup!$C$15,MONTH(P341)&lt;=Setup!$C$16)),IF(Setup!$C$15&lt;=Setup!$C$16,AND(MONTH(WORKDAY(P341,-(Setup!$C$13+Setup!$G$34),Setup!$C$39:$C$50))&gt;=Setup!$C$15,MONTH(WORKDAY(P341,-(Setup!$C$13+Setup!$G$34),Setup!$C$39:$C$50))&lt;=Setup!$C$16),OR(MONTH(WORKDAY(P341,-(Setup!$C$13+Setup!$G$34),Setup!$C$39:$C$50))&gt;=Setup!$C$15,MONTH(WORKDAY(P341,-(Setup!$C$13+Setup!$G$34),Setup!$C$39:$C$50))&lt;=Setup!$C$16))),WORKDAY(P341,-(Setup!$C$13+Setup!$G$34+Setup!$C$14),Setup!$C$39:$C$50),WORKDAY(P341,-(Setup!$C$13+Setup!$G$34),Setup!$C$39:$C$50))+(336*100+15)/10000000)))</f>
        <v/>
      </c>
      <c r="AH341" t="str">
        <f t="shared" si="41"/>
        <v/>
      </c>
      <c r="AI341" t="str">
        <f t="shared" si="42"/>
        <v/>
      </c>
      <c r="AP341" t="str">
        <f>IF(ISNUMBER(Roster!$B341),MAX(1,YEAR(Setup!$C$5)-YEAR(Roster!$B341)+IF(EDATE(Roster!$B341,12*(YEAR(Setup!$C$5)-YEAR(Roster!$B341)))&lt;Setup!$C$5,1,0)),"")</f>
        <v/>
      </c>
      <c r="AQ341" s="32" t="str">
        <f>IF(AP341="","",EDATE(Roster!$B341,12*AP341))</f>
        <v/>
      </c>
      <c r="AR341" t="str">
        <f>IF(AQ341="","",IF(AQ341&lt;DATE(YEAR(Setup!$C$5)+1,MONTH(Setup!$C$5),DAY(Setup!$C$5)),AQ341+336/1000,""))</f>
        <v/>
      </c>
      <c r="AS341" t="str">
        <f t="shared" si="43"/>
        <v/>
      </c>
      <c r="AT341" t="str">
        <f>IF(AS341="","",IF(ISNUMBER(Roster!$D341),Roster!$D341&gt;=AP341,FALSE))</f>
        <v/>
      </c>
      <c r="AU341" t="str">
        <f t="shared" si="44"/>
        <v/>
      </c>
      <c r="AV341" t="str">
        <f ca="1">IF(336&gt;$AV$2,"",SMALL($AR$6:$AR$505,336))</f>
        <v/>
      </c>
      <c r="AW341" t="str">
        <f t="shared" ca="1" si="45"/>
        <v/>
      </c>
    </row>
    <row r="342" spans="2:49" x14ac:dyDescent="0.2">
      <c r="B342" s="32" t="str">
        <f>IF(AND(ISNUMBER(Roster!$B342),Setup!$B$20="Yes",ISNUMBER(Setup!$C$20)),EDATE(Roster!$B342,12*Setup!$C$20),"")</f>
        <v/>
      </c>
      <c r="C342" s="32" t="str">
        <f>IF(AND(ISNUMBER(Roster!$B342),Setup!$B$21="Yes",ISNUMBER(Setup!$C$21)),EDATE(Roster!$B342,12*Setup!$C$21),"")</f>
        <v/>
      </c>
      <c r="D342" s="32" t="str">
        <f>IF(AND(ISNUMBER(Roster!$B342),Setup!$B$22="Yes",ISNUMBER(Setup!$C$22)),EDATE(Roster!$B342,12*Setup!$C$22),"")</f>
        <v/>
      </c>
      <c r="E342" s="32" t="str">
        <f>IF(AND(ISNUMBER(Roster!$B342),Setup!$B$23="Yes",ISNUMBER(Setup!$C$23)),EDATE(Roster!$B342,12*Setup!$C$23),"")</f>
        <v/>
      </c>
      <c r="F342" s="32" t="str">
        <f>IF(AND(ISNUMBER(Roster!$B342),Setup!$B$24="Yes",ISNUMBER(Setup!$C$24)),EDATE(Roster!$B342,12*Setup!$C$24),"")</f>
        <v/>
      </c>
      <c r="G342" s="32" t="str">
        <f>IF(AND(ISNUMBER(Roster!$B342),Setup!$B$25="Yes",ISNUMBER(Setup!$C$25)),EDATE(Roster!$B342,12*Setup!$C$25),"")</f>
        <v/>
      </c>
      <c r="H342" s="32" t="str">
        <f>IF(AND(ISNUMBER(Roster!$B342),Setup!$B$26="Yes",ISNUMBER(Setup!$C$26)),EDATE(Roster!$B342,12*Setup!$C$26),"")</f>
        <v/>
      </c>
      <c r="I342" s="32" t="str">
        <f>IF(AND(ISNUMBER(Roster!$B342),Setup!$B$27="Yes",ISNUMBER(Setup!$C$27)),EDATE(Roster!$B342,12*Setup!$C$27),"")</f>
        <v/>
      </c>
      <c r="J342" s="32" t="str">
        <f>IF(AND(ISNUMBER(Roster!$B342),Setup!$B$28="Yes",ISNUMBER(Setup!$C$28)),EDATE(Roster!$B342,12*Setup!$C$28),"")</f>
        <v/>
      </c>
      <c r="K342" s="32" t="str">
        <f>IF(AND(ISNUMBER(Roster!$B342),Setup!$B$29="Yes",ISNUMBER(Setup!$C$29)),EDATE(Roster!$B342,12*Setup!$C$29),"")</f>
        <v/>
      </c>
      <c r="L342" s="32" t="str">
        <f>IF(AND(ISNUMBER(Roster!$B342),Setup!$B$30="Yes",ISNUMBER(Setup!$C$30)),EDATE(Roster!$B342,12*Setup!$C$30),"")</f>
        <v/>
      </c>
      <c r="M342" s="32" t="str">
        <f>IF(AND(ISNUMBER(Roster!$B342),Setup!$B$31="Yes",ISNUMBER(Setup!$C$31)),EDATE(Roster!$B342,12*Setup!$C$31),"")</f>
        <v/>
      </c>
      <c r="N342" s="32" t="str">
        <f>IF(AND(ISNUMBER(Roster!$B342),Setup!$B$32="Yes",ISNUMBER(Setup!$C$32)),EDATE(Roster!$B342,12*Setup!$C$32),"")</f>
        <v/>
      </c>
      <c r="O342" s="32" t="str">
        <f>IF(AND(ISNUMBER(Roster!$B342),Setup!$B$33="Yes",ISNUMBER(Setup!$C$33)),EDATE(Roster!$B342,12*Setup!$C$33),"")</f>
        <v/>
      </c>
      <c r="P342" s="32" t="str">
        <f>IF(AND(ISNUMBER(Roster!$B342),Setup!$B$34="Yes",ISNUMBER(Setup!$C$34)),EDATE(Roster!$B342,12*Setup!$C$34),"")</f>
        <v/>
      </c>
      <c r="R342" t="str">
        <f>IF(B342="","",IF(B342&lt;Setup!$C$5-Setup!$C$6,"",IF(IF(ISNUMBER(Roster!$D342),Setup!$C$20&lt;=Roster!$D342,FALSE),"",IF(OR(IF(Setup!$C$15&lt;=Setup!$C$16,AND(MONTH(B342)&gt;=Setup!$C$15,MONTH(B342)&lt;=Setup!$C$16),OR(MONTH(B342)&gt;=Setup!$C$15,MONTH(B342)&lt;=Setup!$C$16)),IF(Setup!$C$15&lt;=Setup!$C$16,AND(MONTH(WORKDAY(B342,-(Setup!$C$13+Setup!$G$20),Setup!$C$39:$C$50))&gt;=Setup!$C$15,MONTH(WORKDAY(B342,-(Setup!$C$13+Setup!$G$20),Setup!$C$39:$C$50))&lt;=Setup!$C$16),OR(MONTH(WORKDAY(B342,-(Setup!$C$13+Setup!$G$20),Setup!$C$39:$C$50))&gt;=Setup!$C$15,MONTH(WORKDAY(B342,-(Setup!$C$13+Setup!$G$20),Setup!$C$39:$C$50))&lt;=Setup!$C$16))),WORKDAY(B342,-(Setup!$C$13+Setup!$G$20+Setup!$C$14),Setup!$C$39:$C$50),WORKDAY(B342,-(Setup!$C$13+Setup!$G$20),Setup!$C$39:$C$50))+(337*100+1)/10000000)))</f>
        <v/>
      </c>
      <c r="S342" t="str">
        <f>IF(C342="","",IF(C342&lt;Setup!$C$5-Setup!$C$6,"",IF(IF(ISNUMBER(Roster!$D342),Setup!$C$21&lt;=Roster!$D342,FALSE),"",IF(OR(IF(Setup!$C$15&lt;=Setup!$C$16,AND(MONTH(C342)&gt;=Setup!$C$15,MONTH(C342)&lt;=Setup!$C$16),OR(MONTH(C342)&gt;=Setup!$C$15,MONTH(C342)&lt;=Setup!$C$16)),IF(Setup!$C$15&lt;=Setup!$C$16,AND(MONTH(WORKDAY(C342,-(Setup!$C$13+Setup!$G$21),Setup!$C$39:$C$50))&gt;=Setup!$C$15,MONTH(WORKDAY(C342,-(Setup!$C$13+Setup!$G$21),Setup!$C$39:$C$50))&lt;=Setup!$C$16),OR(MONTH(WORKDAY(C342,-(Setup!$C$13+Setup!$G$21),Setup!$C$39:$C$50))&gt;=Setup!$C$15,MONTH(WORKDAY(C342,-(Setup!$C$13+Setup!$G$21),Setup!$C$39:$C$50))&lt;=Setup!$C$16))),WORKDAY(C342,-(Setup!$C$13+Setup!$G$21+Setup!$C$14),Setup!$C$39:$C$50),WORKDAY(C342,-(Setup!$C$13+Setup!$G$21),Setup!$C$39:$C$50))+(337*100+2)/10000000)))</f>
        <v/>
      </c>
      <c r="T342" t="str">
        <f>IF(D342="","",IF(D342&lt;Setup!$C$5-Setup!$C$6,"",IF(IF(ISNUMBER(Roster!$D342),Setup!$C$22&lt;=Roster!$D342,FALSE),"",IF(OR(IF(Setup!$C$15&lt;=Setup!$C$16,AND(MONTH(D342)&gt;=Setup!$C$15,MONTH(D342)&lt;=Setup!$C$16),OR(MONTH(D342)&gt;=Setup!$C$15,MONTH(D342)&lt;=Setup!$C$16)),IF(Setup!$C$15&lt;=Setup!$C$16,AND(MONTH(WORKDAY(D342,-(Setup!$C$13+Setup!$G$22),Setup!$C$39:$C$50))&gt;=Setup!$C$15,MONTH(WORKDAY(D342,-(Setup!$C$13+Setup!$G$22),Setup!$C$39:$C$50))&lt;=Setup!$C$16),OR(MONTH(WORKDAY(D342,-(Setup!$C$13+Setup!$G$22),Setup!$C$39:$C$50))&gt;=Setup!$C$15,MONTH(WORKDAY(D342,-(Setup!$C$13+Setup!$G$22),Setup!$C$39:$C$50))&lt;=Setup!$C$16))),WORKDAY(D342,-(Setup!$C$13+Setup!$G$22+Setup!$C$14),Setup!$C$39:$C$50),WORKDAY(D342,-(Setup!$C$13+Setup!$G$22),Setup!$C$39:$C$50))+(337*100+3)/10000000)))</f>
        <v/>
      </c>
      <c r="U342" t="str">
        <f>IF(E342="","",IF(E342&lt;Setup!$C$5-Setup!$C$6,"",IF(IF(ISNUMBER(Roster!$D342),Setup!$C$23&lt;=Roster!$D342,FALSE),"",IF(OR(IF(Setup!$C$15&lt;=Setup!$C$16,AND(MONTH(E342)&gt;=Setup!$C$15,MONTH(E342)&lt;=Setup!$C$16),OR(MONTH(E342)&gt;=Setup!$C$15,MONTH(E342)&lt;=Setup!$C$16)),IF(Setup!$C$15&lt;=Setup!$C$16,AND(MONTH(WORKDAY(E342,-(Setup!$C$13+Setup!$G$23),Setup!$C$39:$C$50))&gt;=Setup!$C$15,MONTH(WORKDAY(E342,-(Setup!$C$13+Setup!$G$23),Setup!$C$39:$C$50))&lt;=Setup!$C$16),OR(MONTH(WORKDAY(E342,-(Setup!$C$13+Setup!$G$23),Setup!$C$39:$C$50))&gt;=Setup!$C$15,MONTH(WORKDAY(E342,-(Setup!$C$13+Setup!$G$23),Setup!$C$39:$C$50))&lt;=Setup!$C$16))),WORKDAY(E342,-(Setup!$C$13+Setup!$G$23+Setup!$C$14),Setup!$C$39:$C$50),WORKDAY(E342,-(Setup!$C$13+Setup!$G$23),Setup!$C$39:$C$50))+(337*100+4)/10000000)))</f>
        <v/>
      </c>
      <c r="V342" t="str">
        <f>IF(F342="","",IF(F342&lt;Setup!$C$5-Setup!$C$6,"",IF(IF(ISNUMBER(Roster!$D342),Setup!$C$24&lt;=Roster!$D342,FALSE),"",IF(OR(IF(Setup!$C$15&lt;=Setup!$C$16,AND(MONTH(F342)&gt;=Setup!$C$15,MONTH(F342)&lt;=Setup!$C$16),OR(MONTH(F342)&gt;=Setup!$C$15,MONTH(F342)&lt;=Setup!$C$16)),IF(Setup!$C$15&lt;=Setup!$C$16,AND(MONTH(WORKDAY(F342,-(Setup!$C$13+Setup!$G$24),Setup!$C$39:$C$50))&gt;=Setup!$C$15,MONTH(WORKDAY(F342,-(Setup!$C$13+Setup!$G$24),Setup!$C$39:$C$50))&lt;=Setup!$C$16),OR(MONTH(WORKDAY(F342,-(Setup!$C$13+Setup!$G$24),Setup!$C$39:$C$50))&gt;=Setup!$C$15,MONTH(WORKDAY(F342,-(Setup!$C$13+Setup!$G$24),Setup!$C$39:$C$50))&lt;=Setup!$C$16))),WORKDAY(F342,-(Setup!$C$13+Setup!$G$24+Setup!$C$14),Setup!$C$39:$C$50),WORKDAY(F342,-(Setup!$C$13+Setup!$G$24),Setup!$C$39:$C$50))+(337*100+5)/10000000)))</f>
        <v/>
      </c>
      <c r="W342" t="str">
        <f>IF(G342="","",IF(G342&lt;Setup!$C$5-Setup!$C$6,"",IF(IF(ISNUMBER(Roster!$D342),Setup!$C$25&lt;=Roster!$D342,FALSE),"",IF(OR(IF(Setup!$C$15&lt;=Setup!$C$16,AND(MONTH(G342)&gt;=Setup!$C$15,MONTH(G342)&lt;=Setup!$C$16),OR(MONTH(G342)&gt;=Setup!$C$15,MONTH(G342)&lt;=Setup!$C$16)),IF(Setup!$C$15&lt;=Setup!$C$16,AND(MONTH(WORKDAY(G342,-(Setup!$C$13+Setup!$G$25),Setup!$C$39:$C$50))&gt;=Setup!$C$15,MONTH(WORKDAY(G342,-(Setup!$C$13+Setup!$G$25),Setup!$C$39:$C$50))&lt;=Setup!$C$16),OR(MONTH(WORKDAY(G342,-(Setup!$C$13+Setup!$G$25),Setup!$C$39:$C$50))&gt;=Setup!$C$15,MONTH(WORKDAY(G342,-(Setup!$C$13+Setup!$G$25),Setup!$C$39:$C$50))&lt;=Setup!$C$16))),WORKDAY(G342,-(Setup!$C$13+Setup!$G$25+Setup!$C$14),Setup!$C$39:$C$50),WORKDAY(G342,-(Setup!$C$13+Setup!$G$25),Setup!$C$39:$C$50))+(337*100+6)/10000000)))</f>
        <v/>
      </c>
      <c r="X342" t="str">
        <f>IF(H342="","",IF(H342&lt;Setup!$C$5-Setup!$C$6,"",IF(IF(ISNUMBER(Roster!$D342),Setup!$C$26&lt;=Roster!$D342,FALSE),"",IF(OR(IF(Setup!$C$15&lt;=Setup!$C$16,AND(MONTH(H342)&gt;=Setup!$C$15,MONTH(H342)&lt;=Setup!$C$16),OR(MONTH(H342)&gt;=Setup!$C$15,MONTH(H342)&lt;=Setup!$C$16)),IF(Setup!$C$15&lt;=Setup!$C$16,AND(MONTH(WORKDAY(H342,-(Setup!$C$13+Setup!$G$26),Setup!$C$39:$C$50))&gt;=Setup!$C$15,MONTH(WORKDAY(H342,-(Setup!$C$13+Setup!$G$26),Setup!$C$39:$C$50))&lt;=Setup!$C$16),OR(MONTH(WORKDAY(H342,-(Setup!$C$13+Setup!$G$26),Setup!$C$39:$C$50))&gt;=Setup!$C$15,MONTH(WORKDAY(H342,-(Setup!$C$13+Setup!$G$26),Setup!$C$39:$C$50))&lt;=Setup!$C$16))),WORKDAY(H342,-(Setup!$C$13+Setup!$G$26+Setup!$C$14),Setup!$C$39:$C$50),WORKDAY(H342,-(Setup!$C$13+Setup!$G$26),Setup!$C$39:$C$50))+(337*100+7)/10000000)))</f>
        <v/>
      </c>
      <c r="Y342" t="str">
        <f>IF(I342="","",IF(I342&lt;Setup!$C$5-Setup!$C$6,"",IF(IF(ISNUMBER(Roster!$D342),Setup!$C$27&lt;=Roster!$D342,FALSE),"",IF(OR(IF(Setup!$C$15&lt;=Setup!$C$16,AND(MONTH(I342)&gt;=Setup!$C$15,MONTH(I342)&lt;=Setup!$C$16),OR(MONTH(I342)&gt;=Setup!$C$15,MONTH(I342)&lt;=Setup!$C$16)),IF(Setup!$C$15&lt;=Setup!$C$16,AND(MONTH(WORKDAY(I342,-(Setup!$C$13+Setup!$G$27),Setup!$C$39:$C$50))&gt;=Setup!$C$15,MONTH(WORKDAY(I342,-(Setup!$C$13+Setup!$G$27),Setup!$C$39:$C$50))&lt;=Setup!$C$16),OR(MONTH(WORKDAY(I342,-(Setup!$C$13+Setup!$G$27),Setup!$C$39:$C$50))&gt;=Setup!$C$15,MONTH(WORKDAY(I342,-(Setup!$C$13+Setup!$G$27),Setup!$C$39:$C$50))&lt;=Setup!$C$16))),WORKDAY(I342,-(Setup!$C$13+Setup!$G$27+Setup!$C$14),Setup!$C$39:$C$50),WORKDAY(I342,-(Setup!$C$13+Setup!$G$27),Setup!$C$39:$C$50))+(337*100+8)/10000000)))</f>
        <v/>
      </c>
      <c r="Z342" t="str">
        <f>IF(J342="","",IF(J342&lt;Setup!$C$5-Setup!$C$6,"",IF(IF(ISNUMBER(Roster!$D342),Setup!$C$28&lt;=Roster!$D342,FALSE),"",IF(OR(IF(Setup!$C$15&lt;=Setup!$C$16,AND(MONTH(J342)&gt;=Setup!$C$15,MONTH(J342)&lt;=Setup!$C$16),OR(MONTH(J342)&gt;=Setup!$C$15,MONTH(J342)&lt;=Setup!$C$16)),IF(Setup!$C$15&lt;=Setup!$C$16,AND(MONTH(WORKDAY(J342,-(Setup!$C$13+Setup!$G$28),Setup!$C$39:$C$50))&gt;=Setup!$C$15,MONTH(WORKDAY(J342,-(Setup!$C$13+Setup!$G$28),Setup!$C$39:$C$50))&lt;=Setup!$C$16),OR(MONTH(WORKDAY(J342,-(Setup!$C$13+Setup!$G$28),Setup!$C$39:$C$50))&gt;=Setup!$C$15,MONTH(WORKDAY(J342,-(Setup!$C$13+Setup!$G$28),Setup!$C$39:$C$50))&lt;=Setup!$C$16))),WORKDAY(J342,-(Setup!$C$13+Setup!$G$28+Setup!$C$14),Setup!$C$39:$C$50),WORKDAY(J342,-(Setup!$C$13+Setup!$G$28),Setup!$C$39:$C$50))+(337*100+9)/10000000)))</f>
        <v/>
      </c>
      <c r="AA342" t="str">
        <f>IF(K342="","",IF(K342&lt;Setup!$C$5-Setup!$C$6,"",IF(IF(ISNUMBER(Roster!$D342),Setup!$C$29&lt;=Roster!$D342,FALSE),"",IF(OR(IF(Setup!$C$15&lt;=Setup!$C$16,AND(MONTH(K342)&gt;=Setup!$C$15,MONTH(K342)&lt;=Setup!$C$16),OR(MONTH(K342)&gt;=Setup!$C$15,MONTH(K342)&lt;=Setup!$C$16)),IF(Setup!$C$15&lt;=Setup!$C$16,AND(MONTH(WORKDAY(K342,-(Setup!$C$13+Setup!$G$29),Setup!$C$39:$C$50))&gt;=Setup!$C$15,MONTH(WORKDAY(K342,-(Setup!$C$13+Setup!$G$29),Setup!$C$39:$C$50))&lt;=Setup!$C$16),OR(MONTH(WORKDAY(K342,-(Setup!$C$13+Setup!$G$29),Setup!$C$39:$C$50))&gt;=Setup!$C$15,MONTH(WORKDAY(K342,-(Setup!$C$13+Setup!$G$29),Setup!$C$39:$C$50))&lt;=Setup!$C$16))),WORKDAY(K342,-(Setup!$C$13+Setup!$G$29+Setup!$C$14),Setup!$C$39:$C$50),WORKDAY(K342,-(Setup!$C$13+Setup!$G$29),Setup!$C$39:$C$50))+(337*100+10)/10000000)))</f>
        <v/>
      </c>
      <c r="AB342" t="str">
        <f>IF(L342="","",IF(L342&lt;Setup!$C$5-Setup!$C$6,"",IF(IF(ISNUMBER(Roster!$D342),Setup!$C$30&lt;=Roster!$D342,FALSE),"",IF(OR(IF(Setup!$C$15&lt;=Setup!$C$16,AND(MONTH(L342)&gt;=Setup!$C$15,MONTH(L342)&lt;=Setup!$C$16),OR(MONTH(L342)&gt;=Setup!$C$15,MONTH(L342)&lt;=Setup!$C$16)),IF(Setup!$C$15&lt;=Setup!$C$16,AND(MONTH(WORKDAY(L342,-(Setup!$C$13+Setup!$G$30),Setup!$C$39:$C$50))&gt;=Setup!$C$15,MONTH(WORKDAY(L342,-(Setup!$C$13+Setup!$G$30),Setup!$C$39:$C$50))&lt;=Setup!$C$16),OR(MONTH(WORKDAY(L342,-(Setup!$C$13+Setup!$G$30),Setup!$C$39:$C$50))&gt;=Setup!$C$15,MONTH(WORKDAY(L342,-(Setup!$C$13+Setup!$G$30),Setup!$C$39:$C$50))&lt;=Setup!$C$16))),WORKDAY(L342,-(Setup!$C$13+Setup!$G$30+Setup!$C$14),Setup!$C$39:$C$50),WORKDAY(L342,-(Setup!$C$13+Setup!$G$30),Setup!$C$39:$C$50))+(337*100+11)/10000000)))</f>
        <v/>
      </c>
      <c r="AC342" t="str">
        <f>IF(M342="","",IF(M342&lt;Setup!$C$5-Setup!$C$6,"",IF(IF(ISNUMBER(Roster!$D342),Setup!$C$31&lt;=Roster!$D342,FALSE),"",IF(OR(IF(Setup!$C$15&lt;=Setup!$C$16,AND(MONTH(M342)&gt;=Setup!$C$15,MONTH(M342)&lt;=Setup!$C$16),OR(MONTH(M342)&gt;=Setup!$C$15,MONTH(M342)&lt;=Setup!$C$16)),IF(Setup!$C$15&lt;=Setup!$C$16,AND(MONTH(WORKDAY(M342,-(Setup!$C$13+Setup!$G$31),Setup!$C$39:$C$50))&gt;=Setup!$C$15,MONTH(WORKDAY(M342,-(Setup!$C$13+Setup!$G$31),Setup!$C$39:$C$50))&lt;=Setup!$C$16),OR(MONTH(WORKDAY(M342,-(Setup!$C$13+Setup!$G$31),Setup!$C$39:$C$50))&gt;=Setup!$C$15,MONTH(WORKDAY(M342,-(Setup!$C$13+Setup!$G$31),Setup!$C$39:$C$50))&lt;=Setup!$C$16))),WORKDAY(M342,-(Setup!$C$13+Setup!$G$31+Setup!$C$14),Setup!$C$39:$C$50),WORKDAY(M342,-(Setup!$C$13+Setup!$G$31),Setup!$C$39:$C$50))+(337*100+12)/10000000)))</f>
        <v/>
      </c>
      <c r="AD342" t="str">
        <f>IF(N342="","",IF(N342&lt;Setup!$C$5-Setup!$C$6,"",IF(IF(ISNUMBER(Roster!$D342),Setup!$C$32&lt;=Roster!$D342,FALSE),"",IF(OR(IF(Setup!$C$15&lt;=Setup!$C$16,AND(MONTH(N342)&gt;=Setup!$C$15,MONTH(N342)&lt;=Setup!$C$16),OR(MONTH(N342)&gt;=Setup!$C$15,MONTH(N342)&lt;=Setup!$C$16)),IF(Setup!$C$15&lt;=Setup!$C$16,AND(MONTH(WORKDAY(N342,-(Setup!$C$13+Setup!$G$32),Setup!$C$39:$C$50))&gt;=Setup!$C$15,MONTH(WORKDAY(N342,-(Setup!$C$13+Setup!$G$32),Setup!$C$39:$C$50))&lt;=Setup!$C$16),OR(MONTH(WORKDAY(N342,-(Setup!$C$13+Setup!$G$32),Setup!$C$39:$C$50))&gt;=Setup!$C$15,MONTH(WORKDAY(N342,-(Setup!$C$13+Setup!$G$32),Setup!$C$39:$C$50))&lt;=Setup!$C$16))),WORKDAY(N342,-(Setup!$C$13+Setup!$G$32+Setup!$C$14),Setup!$C$39:$C$50),WORKDAY(N342,-(Setup!$C$13+Setup!$G$32),Setup!$C$39:$C$50))+(337*100+13)/10000000)))</f>
        <v/>
      </c>
      <c r="AE342" t="str">
        <f>IF(O342="","",IF(O342&lt;Setup!$C$5-Setup!$C$6,"",IF(IF(ISNUMBER(Roster!$D342),Setup!$C$33&lt;=Roster!$D342,FALSE),"",IF(OR(IF(Setup!$C$15&lt;=Setup!$C$16,AND(MONTH(O342)&gt;=Setup!$C$15,MONTH(O342)&lt;=Setup!$C$16),OR(MONTH(O342)&gt;=Setup!$C$15,MONTH(O342)&lt;=Setup!$C$16)),IF(Setup!$C$15&lt;=Setup!$C$16,AND(MONTH(WORKDAY(O342,-(Setup!$C$13+Setup!$G$33),Setup!$C$39:$C$50))&gt;=Setup!$C$15,MONTH(WORKDAY(O342,-(Setup!$C$13+Setup!$G$33),Setup!$C$39:$C$50))&lt;=Setup!$C$16),OR(MONTH(WORKDAY(O342,-(Setup!$C$13+Setup!$G$33),Setup!$C$39:$C$50))&gt;=Setup!$C$15,MONTH(WORKDAY(O342,-(Setup!$C$13+Setup!$G$33),Setup!$C$39:$C$50))&lt;=Setup!$C$16))),WORKDAY(O342,-(Setup!$C$13+Setup!$G$33+Setup!$C$14),Setup!$C$39:$C$50),WORKDAY(O342,-(Setup!$C$13+Setup!$G$33),Setup!$C$39:$C$50))+(337*100+14)/10000000)))</f>
        <v/>
      </c>
      <c r="AF342" t="str">
        <f>IF(P342="","",IF(P342&lt;Setup!$C$5-Setup!$C$6,"",IF(IF(ISNUMBER(Roster!$D342),Setup!$C$34&lt;=Roster!$D342,FALSE),"",IF(OR(IF(Setup!$C$15&lt;=Setup!$C$16,AND(MONTH(P342)&gt;=Setup!$C$15,MONTH(P342)&lt;=Setup!$C$16),OR(MONTH(P342)&gt;=Setup!$C$15,MONTH(P342)&lt;=Setup!$C$16)),IF(Setup!$C$15&lt;=Setup!$C$16,AND(MONTH(WORKDAY(P342,-(Setup!$C$13+Setup!$G$34),Setup!$C$39:$C$50))&gt;=Setup!$C$15,MONTH(WORKDAY(P342,-(Setup!$C$13+Setup!$G$34),Setup!$C$39:$C$50))&lt;=Setup!$C$16),OR(MONTH(WORKDAY(P342,-(Setup!$C$13+Setup!$G$34),Setup!$C$39:$C$50))&gt;=Setup!$C$15,MONTH(WORKDAY(P342,-(Setup!$C$13+Setup!$G$34),Setup!$C$39:$C$50))&lt;=Setup!$C$16))),WORKDAY(P342,-(Setup!$C$13+Setup!$G$34+Setup!$C$14),Setup!$C$39:$C$50),WORKDAY(P342,-(Setup!$C$13+Setup!$G$34),Setup!$C$39:$C$50))+(337*100+15)/10000000)))</f>
        <v/>
      </c>
      <c r="AH342" t="str">
        <f t="shared" si="41"/>
        <v/>
      </c>
      <c r="AI342" t="str">
        <f t="shared" si="42"/>
        <v/>
      </c>
      <c r="AP342" t="str">
        <f>IF(ISNUMBER(Roster!$B342),MAX(1,YEAR(Setup!$C$5)-YEAR(Roster!$B342)+IF(EDATE(Roster!$B342,12*(YEAR(Setup!$C$5)-YEAR(Roster!$B342)))&lt;Setup!$C$5,1,0)),"")</f>
        <v/>
      </c>
      <c r="AQ342" s="32" t="str">
        <f>IF(AP342="","",EDATE(Roster!$B342,12*AP342))</f>
        <v/>
      </c>
      <c r="AR342" t="str">
        <f>IF(AQ342="","",IF(AQ342&lt;DATE(YEAR(Setup!$C$5)+1,MONTH(Setup!$C$5),DAY(Setup!$C$5)),AQ342+337/1000,""))</f>
        <v/>
      </c>
      <c r="AS342" t="str">
        <f t="shared" si="43"/>
        <v/>
      </c>
      <c r="AT342" t="str">
        <f>IF(AS342="","",IF(ISNUMBER(Roster!$D342),Roster!$D342&gt;=AP342,FALSE))</f>
        <v/>
      </c>
      <c r="AU342" t="str">
        <f t="shared" si="44"/>
        <v/>
      </c>
      <c r="AV342" t="str">
        <f ca="1">IF(337&gt;$AV$2,"",SMALL($AR$6:$AR$505,337))</f>
        <v/>
      </c>
      <c r="AW342" t="str">
        <f t="shared" ca="1" si="45"/>
        <v/>
      </c>
    </row>
    <row r="343" spans="2:49" x14ac:dyDescent="0.2">
      <c r="B343" s="32" t="str">
        <f>IF(AND(ISNUMBER(Roster!$B343),Setup!$B$20="Yes",ISNUMBER(Setup!$C$20)),EDATE(Roster!$B343,12*Setup!$C$20),"")</f>
        <v/>
      </c>
      <c r="C343" s="32" t="str">
        <f>IF(AND(ISNUMBER(Roster!$B343),Setup!$B$21="Yes",ISNUMBER(Setup!$C$21)),EDATE(Roster!$B343,12*Setup!$C$21),"")</f>
        <v/>
      </c>
      <c r="D343" s="32" t="str">
        <f>IF(AND(ISNUMBER(Roster!$B343),Setup!$B$22="Yes",ISNUMBER(Setup!$C$22)),EDATE(Roster!$B343,12*Setup!$C$22),"")</f>
        <v/>
      </c>
      <c r="E343" s="32" t="str">
        <f>IF(AND(ISNUMBER(Roster!$B343),Setup!$B$23="Yes",ISNUMBER(Setup!$C$23)),EDATE(Roster!$B343,12*Setup!$C$23),"")</f>
        <v/>
      </c>
      <c r="F343" s="32" t="str">
        <f>IF(AND(ISNUMBER(Roster!$B343),Setup!$B$24="Yes",ISNUMBER(Setup!$C$24)),EDATE(Roster!$B343,12*Setup!$C$24),"")</f>
        <v/>
      </c>
      <c r="G343" s="32" t="str">
        <f>IF(AND(ISNUMBER(Roster!$B343),Setup!$B$25="Yes",ISNUMBER(Setup!$C$25)),EDATE(Roster!$B343,12*Setup!$C$25),"")</f>
        <v/>
      </c>
      <c r="H343" s="32" t="str">
        <f>IF(AND(ISNUMBER(Roster!$B343),Setup!$B$26="Yes",ISNUMBER(Setup!$C$26)),EDATE(Roster!$B343,12*Setup!$C$26),"")</f>
        <v/>
      </c>
      <c r="I343" s="32" t="str">
        <f>IF(AND(ISNUMBER(Roster!$B343),Setup!$B$27="Yes",ISNUMBER(Setup!$C$27)),EDATE(Roster!$B343,12*Setup!$C$27),"")</f>
        <v/>
      </c>
      <c r="J343" s="32" t="str">
        <f>IF(AND(ISNUMBER(Roster!$B343),Setup!$B$28="Yes",ISNUMBER(Setup!$C$28)),EDATE(Roster!$B343,12*Setup!$C$28),"")</f>
        <v/>
      </c>
      <c r="K343" s="32" t="str">
        <f>IF(AND(ISNUMBER(Roster!$B343),Setup!$B$29="Yes",ISNUMBER(Setup!$C$29)),EDATE(Roster!$B343,12*Setup!$C$29),"")</f>
        <v/>
      </c>
      <c r="L343" s="32" t="str">
        <f>IF(AND(ISNUMBER(Roster!$B343),Setup!$B$30="Yes",ISNUMBER(Setup!$C$30)),EDATE(Roster!$B343,12*Setup!$C$30),"")</f>
        <v/>
      </c>
      <c r="M343" s="32" t="str">
        <f>IF(AND(ISNUMBER(Roster!$B343),Setup!$B$31="Yes",ISNUMBER(Setup!$C$31)),EDATE(Roster!$B343,12*Setup!$C$31),"")</f>
        <v/>
      </c>
      <c r="N343" s="32" t="str">
        <f>IF(AND(ISNUMBER(Roster!$B343),Setup!$B$32="Yes",ISNUMBER(Setup!$C$32)),EDATE(Roster!$B343,12*Setup!$C$32),"")</f>
        <v/>
      </c>
      <c r="O343" s="32" t="str">
        <f>IF(AND(ISNUMBER(Roster!$B343),Setup!$B$33="Yes",ISNUMBER(Setup!$C$33)),EDATE(Roster!$B343,12*Setup!$C$33),"")</f>
        <v/>
      </c>
      <c r="P343" s="32" t="str">
        <f>IF(AND(ISNUMBER(Roster!$B343),Setup!$B$34="Yes",ISNUMBER(Setup!$C$34)),EDATE(Roster!$B343,12*Setup!$C$34),"")</f>
        <v/>
      </c>
      <c r="R343" t="str">
        <f>IF(B343="","",IF(B343&lt;Setup!$C$5-Setup!$C$6,"",IF(IF(ISNUMBER(Roster!$D343),Setup!$C$20&lt;=Roster!$D343,FALSE),"",IF(OR(IF(Setup!$C$15&lt;=Setup!$C$16,AND(MONTH(B343)&gt;=Setup!$C$15,MONTH(B343)&lt;=Setup!$C$16),OR(MONTH(B343)&gt;=Setup!$C$15,MONTH(B343)&lt;=Setup!$C$16)),IF(Setup!$C$15&lt;=Setup!$C$16,AND(MONTH(WORKDAY(B343,-(Setup!$C$13+Setup!$G$20),Setup!$C$39:$C$50))&gt;=Setup!$C$15,MONTH(WORKDAY(B343,-(Setup!$C$13+Setup!$G$20),Setup!$C$39:$C$50))&lt;=Setup!$C$16),OR(MONTH(WORKDAY(B343,-(Setup!$C$13+Setup!$G$20),Setup!$C$39:$C$50))&gt;=Setup!$C$15,MONTH(WORKDAY(B343,-(Setup!$C$13+Setup!$G$20),Setup!$C$39:$C$50))&lt;=Setup!$C$16))),WORKDAY(B343,-(Setup!$C$13+Setup!$G$20+Setup!$C$14),Setup!$C$39:$C$50),WORKDAY(B343,-(Setup!$C$13+Setup!$G$20),Setup!$C$39:$C$50))+(338*100+1)/10000000)))</f>
        <v/>
      </c>
      <c r="S343" t="str">
        <f>IF(C343="","",IF(C343&lt;Setup!$C$5-Setup!$C$6,"",IF(IF(ISNUMBER(Roster!$D343),Setup!$C$21&lt;=Roster!$D343,FALSE),"",IF(OR(IF(Setup!$C$15&lt;=Setup!$C$16,AND(MONTH(C343)&gt;=Setup!$C$15,MONTH(C343)&lt;=Setup!$C$16),OR(MONTH(C343)&gt;=Setup!$C$15,MONTH(C343)&lt;=Setup!$C$16)),IF(Setup!$C$15&lt;=Setup!$C$16,AND(MONTH(WORKDAY(C343,-(Setup!$C$13+Setup!$G$21),Setup!$C$39:$C$50))&gt;=Setup!$C$15,MONTH(WORKDAY(C343,-(Setup!$C$13+Setup!$G$21),Setup!$C$39:$C$50))&lt;=Setup!$C$16),OR(MONTH(WORKDAY(C343,-(Setup!$C$13+Setup!$G$21),Setup!$C$39:$C$50))&gt;=Setup!$C$15,MONTH(WORKDAY(C343,-(Setup!$C$13+Setup!$G$21),Setup!$C$39:$C$50))&lt;=Setup!$C$16))),WORKDAY(C343,-(Setup!$C$13+Setup!$G$21+Setup!$C$14),Setup!$C$39:$C$50),WORKDAY(C343,-(Setup!$C$13+Setup!$G$21),Setup!$C$39:$C$50))+(338*100+2)/10000000)))</f>
        <v/>
      </c>
      <c r="T343" t="str">
        <f>IF(D343="","",IF(D343&lt;Setup!$C$5-Setup!$C$6,"",IF(IF(ISNUMBER(Roster!$D343),Setup!$C$22&lt;=Roster!$D343,FALSE),"",IF(OR(IF(Setup!$C$15&lt;=Setup!$C$16,AND(MONTH(D343)&gt;=Setup!$C$15,MONTH(D343)&lt;=Setup!$C$16),OR(MONTH(D343)&gt;=Setup!$C$15,MONTH(D343)&lt;=Setup!$C$16)),IF(Setup!$C$15&lt;=Setup!$C$16,AND(MONTH(WORKDAY(D343,-(Setup!$C$13+Setup!$G$22),Setup!$C$39:$C$50))&gt;=Setup!$C$15,MONTH(WORKDAY(D343,-(Setup!$C$13+Setup!$G$22),Setup!$C$39:$C$50))&lt;=Setup!$C$16),OR(MONTH(WORKDAY(D343,-(Setup!$C$13+Setup!$G$22),Setup!$C$39:$C$50))&gt;=Setup!$C$15,MONTH(WORKDAY(D343,-(Setup!$C$13+Setup!$G$22),Setup!$C$39:$C$50))&lt;=Setup!$C$16))),WORKDAY(D343,-(Setup!$C$13+Setup!$G$22+Setup!$C$14),Setup!$C$39:$C$50),WORKDAY(D343,-(Setup!$C$13+Setup!$G$22),Setup!$C$39:$C$50))+(338*100+3)/10000000)))</f>
        <v/>
      </c>
      <c r="U343" t="str">
        <f>IF(E343="","",IF(E343&lt;Setup!$C$5-Setup!$C$6,"",IF(IF(ISNUMBER(Roster!$D343),Setup!$C$23&lt;=Roster!$D343,FALSE),"",IF(OR(IF(Setup!$C$15&lt;=Setup!$C$16,AND(MONTH(E343)&gt;=Setup!$C$15,MONTH(E343)&lt;=Setup!$C$16),OR(MONTH(E343)&gt;=Setup!$C$15,MONTH(E343)&lt;=Setup!$C$16)),IF(Setup!$C$15&lt;=Setup!$C$16,AND(MONTH(WORKDAY(E343,-(Setup!$C$13+Setup!$G$23),Setup!$C$39:$C$50))&gt;=Setup!$C$15,MONTH(WORKDAY(E343,-(Setup!$C$13+Setup!$G$23),Setup!$C$39:$C$50))&lt;=Setup!$C$16),OR(MONTH(WORKDAY(E343,-(Setup!$C$13+Setup!$G$23),Setup!$C$39:$C$50))&gt;=Setup!$C$15,MONTH(WORKDAY(E343,-(Setup!$C$13+Setup!$G$23),Setup!$C$39:$C$50))&lt;=Setup!$C$16))),WORKDAY(E343,-(Setup!$C$13+Setup!$G$23+Setup!$C$14),Setup!$C$39:$C$50),WORKDAY(E343,-(Setup!$C$13+Setup!$G$23),Setup!$C$39:$C$50))+(338*100+4)/10000000)))</f>
        <v/>
      </c>
      <c r="V343" t="str">
        <f>IF(F343="","",IF(F343&lt;Setup!$C$5-Setup!$C$6,"",IF(IF(ISNUMBER(Roster!$D343),Setup!$C$24&lt;=Roster!$D343,FALSE),"",IF(OR(IF(Setup!$C$15&lt;=Setup!$C$16,AND(MONTH(F343)&gt;=Setup!$C$15,MONTH(F343)&lt;=Setup!$C$16),OR(MONTH(F343)&gt;=Setup!$C$15,MONTH(F343)&lt;=Setup!$C$16)),IF(Setup!$C$15&lt;=Setup!$C$16,AND(MONTH(WORKDAY(F343,-(Setup!$C$13+Setup!$G$24),Setup!$C$39:$C$50))&gt;=Setup!$C$15,MONTH(WORKDAY(F343,-(Setup!$C$13+Setup!$G$24),Setup!$C$39:$C$50))&lt;=Setup!$C$16),OR(MONTH(WORKDAY(F343,-(Setup!$C$13+Setup!$G$24),Setup!$C$39:$C$50))&gt;=Setup!$C$15,MONTH(WORKDAY(F343,-(Setup!$C$13+Setup!$G$24),Setup!$C$39:$C$50))&lt;=Setup!$C$16))),WORKDAY(F343,-(Setup!$C$13+Setup!$G$24+Setup!$C$14),Setup!$C$39:$C$50),WORKDAY(F343,-(Setup!$C$13+Setup!$G$24),Setup!$C$39:$C$50))+(338*100+5)/10000000)))</f>
        <v/>
      </c>
      <c r="W343" t="str">
        <f>IF(G343="","",IF(G343&lt;Setup!$C$5-Setup!$C$6,"",IF(IF(ISNUMBER(Roster!$D343),Setup!$C$25&lt;=Roster!$D343,FALSE),"",IF(OR(IF(Setup!$C$15&lt;=Setup!$C$16,AND(MONTH(G343)&gt;=Setup!$C$15,MONTH(G343)&lt;=Setup!$C$16),OR(MONTH(G343)&gt;=Setup!$C$15,MONTH(G343)&lt;=Setup!$C$16)),IF(Setup!$C$15&lt;=Setup!$C$16,AND(MONTH(WORKDAY(G343,-(Setup!$C$13+Setup!$G$25),Setup!$C$39:$C$50))&gt;=Setup!$C$15,MONTH(WORKDAY(G343,-(Setup!$C$13+Setup!$G$25),Setup!$C$39:$C$50))&lt;=Setup!$C$16),OR(MONTH(WORKDAY(G343,-(Setup!$C$13+Setup!$G$25),Setup!$C$39:$C$50))&gt;=Setup!$C$15,MONTH(WORKDAY(G343,-(Setup!$C$13+Setup!$G$25),Setup!$C$39:$C$50))&lt;=Setup!$C$16))),WORKDAY(G343,-(Setup!$C$13+Setup!$G$25+Setup!$C$14),Setup!$C$39:$C$50),WORKDAY(G343,-(Setup!$C$13+Setup!$G$25),Setup!$C$39:$C$50))+(338*100+6)/10000000)))</f>
        <v/>
      </c>
      <c r="X343" t="str">
        <f>IF(H343="","",IF(H343&lt;Setup!$C$5-Setup!$C$6,"",IF(IF(ISNUMBER(Roster!$D343),Setup!$C$26&lt;=Roster!$D343,FALSE),"",IF(OR(IF(Setup!$C$15&lt;=Setup!$C$16,AND(MONTH(H343)&gt;=Setup!$C$15,MONTH(H343)&lt;=Setup!$C$16),OR(MONTH(H343)&gt;=Setup!$C$15,MONTH(H343)&lt;=Setup!$C$16)),IF(Setup!$C$15&lt;=Setup!$C$16,AND(MONTH(WORKDAY(H343,-(Setup!$C$13+Setup!$G$26),Setup!$C$39:$C$50))&gt;=Setup!$C$15,MONTH(WORKDAY(H343,-(Setup!$C$13+Setup!$G$26),Setup!$C$39:$C$50))&lt;=Setup!$C$16),OR(MONTH(WORKDAY(H343,-(Setup!$C$13+Setup!$G$26),Setup!$C$39:$C$50))&gt;=Setup!$C$15,MONTH(WORKDAY(H343,-(Setup!$C$13+Setup!$G$26),Setup!$C$39:$C$50))&lt;=Setup!$C$16))),WORKDAY(H343,-(Setup!$C$13+Setup!$G$26+Setup!$C$14),Setup!$C$39:$C$50),WORKDAY(H343,-(Setup!$C$13+Setup!$G$26),Setup!$C$39:$C$50))+(338*100+7)/10000000)))</f>
        <v/>
      </c>
      <c r="Y343" t="str">
        <f>IF(I343="","",IF(I343&lt;Setup!$C$5-Setup!$C$6,"",IF(IF(ISNUMBER(Roster!$D343),Setup!$C$27&lt;=Roster!$D343,FALSE),"",IF(OR(IF(Setup!$C$15&lt;=Setup!$C$16,AND(MONTH(I343)&gt;=Setup!$C$15,MONTH(I343)&lt;=Setup!$C$16),OR(MONTH(I343)&gt;=Setup!$C$15,MONTH(I343)&lt;=Setup!$C$16)),IF(Setup!$C$15&lt;=Setup!$C$16,AND(MONTH(WORKDAY(I343,-(Setup!$C$13+Setup!$G$27),Setup!$C$39:$C$50))&gt;=Setup!$C$15,MONTH(WORKDAY(I343,-(Setup!$C$13+Setup!$G$27),Setup!$C$39:$C$50))&lt;=Setup!$C$16),OR(MONTH(WORKDAY(I343,-(Setup!$C$13+Setup!$G$27),Setup!$C$39:$C$50))&gt;=Setup!$C$15,MONTH(WORKDAY(I343,-(Setup!$C$13+Setup!$G$27),Setup!$C$39:$C$50))&lt;=Setup!$C$16))),WORKDAY(I343,-(Setup!$C$13+Setup!$G$27+Setup!$C$14),Setup!$C$39:$C$50),WORKDAY(I343,-(Setup!$C$13+Setup!$G$27),Setup!$C$39:$C$50))+(338*100+8)/10000000)))</f>
        <v/>
      </c>
      <c r="Z343" t="str">
        <f>IF(J343="","",IF(J343&lt;Setup!$C$5-Setup!$C$6,"",IF(IF(ISNUMBER(Roster!$D343),Setup!$C$28&lt;=Roster!$D343,FALSE),"",IF(OR(IF(Setup!$C$15&lt;=Setup!$C$16,AND(MONTH(J343)&gt;=Setup!$C$15,MONTH(J343)&lt;=Setup!$C$16),OR(MONTH(J343)&gt;=Setup!$C$15,MONTH(J343)&lt;=Setup!$C$16)),IF(Setup!$C$15&lt;=Setup!$C$16,AND(MONTH(WORKDAY(J343,-(Setup!$C$13+Setup!$G$28),Setup!$C$39:$C$50))&gt;=Setup!$C$15,MONTH(WORKDAY(J343,-(Setup!$C$13+Setup!$G$28),Setup!$C$39:$C$50))&lt;=Setup!$C$16),OR(MONTH(WORKDAY(J343,-(Setup!$C$13+Setup!$G$28),Setup!$C$39:$C$50))&gt;=Setup!$C$15,MONTH(WORKDAY(J343,-(Setup!$C$13+Setup!$G$28),Setup!$C$39:$C$50))&lt;=Setup!$C$16))),WORKDAY(J343,-(Setup!$C$13+Setup!$G$28+Setup!$C$14),Setup!$C$39:$C$50),WORKDAY(J343,-(Setup!$C$13+Setup!$G$28),Setup!$C$39:$C$50))+(338*100+9)/10000000)))</f>
        <v/>
      </c>
      <c r="AA343" t="str">
        <f>IF(K343="","",IF(K343&lt;Setup!$C$5-Setup!$C$6,"",IF(IF(ISNUMBER(Roster!$D343),Setup!$C$29&lt;=Roster!$D343,FALSE),"",IF(OR(IF(Setup!$C$15&lt;=Setup!$C$16,AND(MONTH(K343)&gt;=Setup!$C$15,MONTH(K343)&lt;=Setup!$C$16),OR(MONTH(K343)&gt;=Setup!$C$15,MONTH(K343)&lt;=Setup!$C$16)),IF(Setup!$C$15&lt;=Setup!$C$16,AND(MONTH(WORKDAY(K343,-(Setup!$C$13+Setup!$G$29),Setup!$C$39:$C$50))&gt;=Setup!$C$15,MONTH(WORKDAY(K343,-(Setup!$C$13+Setup!$G$29),Setup!$C$39:$C$50))&lt;=Setup!$C$16),OR(MONTH(WORKDAY(K343,-(Setup!$C$13+Setup!$G$29),Setup!$C$39:$C$50))&gt;=Setup!$C$15,MONTH(WORKDAY(K343,-(Setup!$C$13+Setup!$G$29),Setup!$C$39:$C$50))&lt;=Setup!$C$16))),WORKDAY(K343,-(Setup!$C$13+Setup!$G$29+Setup!$C$14),Setup!$C$39:$C$50),WORKDAY(K343,-(Setup!$C$13+Setup!$G$29),Setup!$C$39:$C$50))+(338*100+10)/10000000)))</f>
        <v/>
      </c>
      <c r="AB343" t="str">
        <f>IF(L343="","",IF(L343&lt;Setup!$C$5-Setup!$C$6,"",IF(IF(ISNUMBER(Roster!$D343),Setup!$C$30&lt;=Roster!$D343,FALSE),"",IF(OR(IF(Setup!$C$15&lt;=Setup!$C$16,AND(MONTH(L343)&gt;=Setup!$C$15,MONTH(L343)&lt;=Setup!$C$16),OR(MONTH(L343)&gt;=Setup!$C$15,MONTH(L343)&lt;=Setup!$C$16)),IF(Setup!$C$15&lt;=Setup!$C$16,AND(MONTH(WORKDAY(L343,-(Setup!$C$13+Setup!$G$30),Setup!$C$39:$C$50))&gt;=Setup!$C$15,MONTH(WORKDAY(L343,-(Setup!$C$13+Setup!$G$30),Setup!$C$39:$C$50))&lt;=Setup!$C$16),OR(MONTH(WORKDAY(L343,-(Setup!$C$13+Setup!$G$30),Setup!$C$39:$C$50))&gt;=Setup!$C$15,MONTH(WORKDAY(L343,-(Setup!$C$13+Setup!$G$30),Setup!$C$39:$C$50))&lt;=Setup!$C$16))),WORKDAY(L343,-(Setup!$C$13+Setup!$G$30+Setup!$C$14),Setup!$C$39:$C$50),WORKDAY(L343,-(Setup!$C$13+Setup!$G$30),Setup!$C$39:$C$50))+(338*100+11)/10000000)))</f>
        <v/>
      </c>
      <c r="AC343" t="str">
        <f>IF(M343="","",IF(M343&lt;Setup!$C$5-Setup!$C$6,"",IF(IF(ISNUMBER(Roster!$D343),Setup!$C$31&lt;=Roster!$D343,FALSE),"",IF(OR(IF(Setup!$C$15&lt;=Setup!$C$16,AND(MONTH(M343)&gt;=Setup!$C$15,MONTH(M343)&lt;=Setup!$C$16),OR(MONTH(M343)&gt;=Setup!$C$15,MONTH(M343)&lt;=Setup!$C$16)),IF(Setup!$C$15&lt;=Setup!$C$16,AND(MONTH(WORKDAY(M343,-(Setup!$C$13+Setup!$G$31),Setup!$C$39:$C$50))&gt;=Setup!$C$15,MONTH(WORKDAY(M343,-(Setup!$C$13+Setup!$G$31),Setup!$C$39:$C$50))&lt;=Setup!$C$16),OR(MONTH(WORKDAY(M343,-(Setup!$C$13+Setup!$G$31),Setup!$C$39:$C$50))&gt;=Setup!$C$15,MONTH(WORKDAY(M343,-(Setup!$C$13+Setup!$G$31),Setup!$C$39:$C$50))&lt;=Setup!$C$16))),WORKDAY(M343,-(Setup!$C$13+Setup!$G$31+Setup!$C$14),Setup!$C$39:$C$50),WORKDAY(M343,-(Setup!$C$13+Setup!$G$31),Setup!$C$39:$C$50))+(338*100+12)/10000000)))</f>
        <v/>
      </c>
      <c r="AD343" t="str">
        <f>IF(N343="","",IF(N343&lt;Setup!$C$5-Setup!$C$6,"",IF(IF(ISNUMBER(Roster!$D343),Setup!$C$32&lt;=Roster!$D343,FALSE),"",IF(OR(IF(Setup!$C$15&lt;=Setup!$C$16,AND(MONTH(N343)&gt;=Setup!$C$15,MONTH(N343)&lt;=Setup!$C$16),OR(MONTH(N343)&gt;=Setup!$C$15,MONTH(N343)&lt;=Setup!$C$16)),IF(Setup!$C$15&lt;=Setup!$C$16,AND(MONTH(WORKDAY(N343,-(Setup!$C$13+Setup!$G$32),Setup!$C$39:$C$50))&gt;=Setup!$C$15,MONTH(WORKDAY(N343,-(Setup!$C$13+Setup!$G$32),Setup!$C$39:$C$50))&lt;=Setup!$C$16),OR(MONTH(WORKDAY(N343,-(Setup!$C$13+Setup!$G$32),Setup!$C$39:$C$50))&gt;=Setup!$C$15,MONTH(WORKDAY(N343,-(Setup!$C$13+Setup!$G$32),Setup!$C$39:$C$50))&lt;=Setup!$C$16))),WORKDAY(N343,-(Setup!$C$13+Setup!$G$32+Setup!$C$14),Setup!$C$39:$C$50),WORKDAY(N343,-(Setup!$C$13+Setup!$G$32),Setup!$C$39:$C$50))+(338*100+13)/10000000)))</f>
        <v/>
      </c>
      <c r="AE343" t="str">
        <f>IF(O343="","",IF(O343&lt;Setup!$C$5-Setup!$C$6,"",IF(IF(ISNUMBER(Roster!$D343),Setup!$C$33&lt;=Roster!$D343,FALSE),"",IF(OR(IF(Setup!$C$15&lt;=Setup!$C$16,AND(MONTH(O343)&gt;=Setup!$C$15,MONTH(O343)&lt;=Setup!$C$16),OR(MONTH(O343)&gt;=Setup!$C$15,MONTH(O343)&lt;=Setup!$C$16)),IF(Setup!$C$15&lt;=Setup!$C$16,AND(MONTH(WORKDAY(O343,-(Setup!$C$13+Setup!$G$33),Setup!$C$39:$C$50))&gt;=Setup!$C$15,MONTH(WORKDAY(O343,-(Setup!$C$13+Setup!$G$33),Setup!$C$39:$C$50))&lt;=Setup!$C$16),OR(MONTH(WORKDAY(O343,-(Setup!$C$13+Setup!$G$33),Setup!$C$39:$C$50))&gt;=Setup!$C$15,MONTH(WORKDAY(O343,-(Setup!$C$13+Setup!$G$33),Setup!$C$39:$C$50))&lt;=Setup!$C$16))),WORKDAY(O343,-(Setup!$C$13+Setup!$G$33+Setup!$C$14),Setup!$C$39:$C$50),WORKDAY(O343,-(Setup!$C$13+Setup!$G$33),Setup!$C$39:$C$50))+(338*100+14)/10000000)))</f>
        <v/>
      </c>
      <c r="AF343" t="str">
        <f>IF(P343="","",IF(P343&lt;Setup!$C$5-Setup!$C$6,"",IF(IF(ISNUMBER(Roster!$D343),Setup!$C$34&lt;=Roster!$D343,FALSE),"",IF(OR(IF(Setup!$C$15&lt;=Setup!$C$16,AND(MONTH(P343)&gt;=Setup!$C$15,MONTH(P343)&lt;=Setup!$C$16),OR(MONTH(P343)&gt;=Setup!$C$15,MONTH(P343)&lt;=Setup!$C$16)),IF(Setup!$C$15&lt;=Setup!$C$16,AND(MONTH(WORKDAY(P343,-(Setup!$C$13+Setup!$G$34),Setup!$C$39:$C$50))&gt;=Setup!$C$15,MONTH(WORKDAY(P343,-(Setup!$C$13+Setup!$G$34),Setup!$C$39:$C$50))&lt;=Setup!$C$16),OR(MONTH(WORKDAY(P343,-(Setup!$C$13+Setup!$G$34),Setup!$C$39:$C$50))&gt;=Setup!$C$15,MONTH(WORKDAY(P343,-(Setup!$C$13+Setup!$G$34),Setup!$C$39:$C$50))&lt;=Setup!$C$16))),WORKDAY(P343,-(Setup!$C$13+Setup!$G$34+Setup!$C$14),Setup!$C$39:$C$50),WORKDAY(P343,-(Setup!$C$13+Setup!$G$34),Setup!$C$39:$C$50))+(338*100+15)/10000000)))</f>
        <v/>
      </c>
      <c r="AH343" t="str">
        <f t="shared" si="41"/>
        <v/>
      </c>
      <c r="AI343" t="str">
        <f t="shared" si="42"/>
        <v/>
      </c>
      <c r="AP343" t="str">
        <f>IF(ISNUMBER(Roster!$B343),MAX(1,YEAR(Setup!$C$5)-YEAR(Roster!$B343)+IF(EDATE(Roster!$B343,12*(YEAR(Setup!$C$5)-YEAR(Roster!$B343)))&lt;Setup!$C$5,1,0)),"")</f>
        <v/>
      </c>
      <c r="AQ343" s="32" t="str">
        <f>IF(AP343="","",EDATE(Roster!$B343,12*AP343))</f>
        <v/>
      </c>
      <c r="AR343" t="str">
        <f>IF(AQ343="","",IF(AQ343&lt;DATE(YEAR(Setup!$C$5)+1,MONTH(Setup!$C$5),DAY(Setup!$C$5)),AQ343+338/1000,""))</f>
        <v/>
      </c>
      <c r="AS343" t="str">
        <f t="shared" si="43"/>
        <v/>
      </c>
      <c r="AT343" t="str">
        <f>IF(AS343="","",IF(ISNUMBER(Roster!$D343),Roster!$D343&gt;=AP343,FALSE))</f>
        <v/>
      </c>
      <c r="AU343" t="str">
        <f t="shared" si="44"/>
        <v/>
      </c>
      <c r="AV343" t="str">
        <f ca="1">IF(338&gt;$AV$2,"",SMALL($AR$6:$AR$505,338))</f>
        <v/>
      </c>
      <c r="AW343" t="str">
        <f t="shared" ca="1" si="45"/>
        <v/>
      </c>
    </row>
    <row r="344" spans="2:49" x14ac:dyDescent="0.2">
      <c r="B344" s="32" t="str">
        <f>IF(AND(ISNUMBER(Roster!$B344),Setup!$B$20="Yes",ISNUMBER(Setup!$C$20)),EDATE(Roster!$B344,12*Setup!$C$20),"")</f>
        <v/>
      </c>
      <c r="C344" s="32" t="str">
        <f>IF(AND(ISNUMBER(Roster!$B344),Setup!$B$21="Yes",ISNUMBER(Setup!$C$21)),EDATE(Roster!$B344,12*Setup!$C$21),"")</f>
        <v/>
      </c>
      <c r="D344" s="32" t="str">
        <f>IF(AND(ISNUMBER(Roster!$B344),Setup!$B$22="Yes",ISNUMBER(Setup!$C$22)),EDATE(Roster!$B344,12*Setup!$C$22),"")</f>
        <v/>
      </c>
      <c r="E344" s="32" t="str">
        <f>IF(AND(ISNUMBER(Roster!$B344),Setup!$B$23="Yes",ISNUMBER(Setup!$C$23)),EDATE(Roster!$B344,12*Setup!$C$23),"")</f>
        <v/>
      </c>
      <c r="F344" s="32" t="str">
        <f>IF(AND(ISNUMBER(Roster!$B344),Setup!$B$24="Yes",ISNUMBER(Setup!$C$24)),EDATE(Roster!$B344,12*Setup!$C$24),"")</f>
        <v/>
      </c>
      <c r="G344" s="32" t="str">
        <f>IF(AND(ISNUMBER(Roster!$B344),Setup!$B$25="Yes",ISNUMBER(Setup!$C$25)),EDATE(Roster!$B344,12*Setup!$C$25),"")</f>
        <v/>
      </c>
      <c r="H344" s="32" t="str">
        <f>IF(AND(ISNUMBER(Roster!$B344),Setup!$B$26="Yes",ISNUMBER(Setup!$C$26)),EDATE(Roster!$B344,12*Setup!$C$26),"")</f>
        <v/>
      </c>
      <c r="I344" s="32" t="str">
        <f>IF(AND(ISNUMBER(Roster!$B344),Setup!$B$27="Yes",ISNUMBER(Setup!$C$27)),EDATE(Roster!$B344,12*Setup!$C$27),"")</f>
        <v/>
      </c>
      <c r="J344" s="32" t="str">
        <f>IF(AND(ISNUMBER(Roster!$B344),Setup!$B$28="Yes",ISNUMBER(Setup!$C$28)),EDATE(Roster!$B344,12*Setup!$C$28),"")</f>
        <v/>
      </c>
      <c r="K344" s="32" t="str">
        <f>IF(AND(ISNUMBER(Roster!$B344),Setup!$B$29="Yes",ISNUMBER(Setup!$C$29)),EDATE(Roster!$B344,12*Setup!$C$29),"")</f>
        <v/>
      </c>
      <c r="L344" s="32" t="str">
        <f>IF(AND(ISNUMBER(Roster!$B344),Setup!$B$30="Yes",ISNUMBER(Setup!$C$30)),EDATE(Roster!$B344,12*Setup!$C$30),"")</f>
        <v/>
      </c>
      <c r="M344" s="32" t="str">
        <f>IF(AND(ISNUMBER(Roster!$B344),Setup!$B$31="Yes",ISNUMBER(Setup!$C$31)),EDATE(Roster!$B344,12*Setup!$C$31),"")</f>
        <v/>
      </c>
      <c r="N344" s="32" t="str">
        <f>IF(AND(ISNUMBER(Roster!$B344),Setup!$B$32="Yes",ISNUMBER(Setup!$C$32)),EDATE(Roster!$B344,12*Setup!$C$32),"")</f>
        <v/>
      </c>
      <c r="O344" s="32" t="str">
        <f>IF(AND(ISNUMBER(Roster!$B344),Setup!$B$33="Yes",ISNUMBER(Setup!$C$33)),EDATE(Roster!$B344,12*Setup!$C$33),"")</f>
        <v/>
      </c>
      <c r="P344" s="32" t="str">
        <f>IF(AND(ISNUMBER(Roster!$B344),Setup!$B$34="Yes",ISNUMBER(Setup!$C$34)),EDATE(Roster!$B344,12*Setup!$C$34),"")</f>
        <v/>
      </c>
      <c r="R344" t="str">
        <f>IF(B344="","",IF(B344&lt;Setup!$C$5-Setup!$C$6,"",IF(IF(ISNUMBER(Roster!$D344),Setup!$C$20&lt;=Roster!$D344,FALSE),"",IF(OR(IF(Setup!$C$15&lt;=Setup!$C$16,AND(MONTH(B344)&gt;=Setup!$C$15,MONTH(B344)&lt;=Setup!$C$16),OR(MONTH(B344)&gt;=Setup!$C$15,MONTH(B344)&lt;=Setup!$C$16)),IF(Setup!$C$15&lt;=Setup!$C$16,AND(MONTH(WORKDAY(B344,-(Setup!$C$13+Setup!$G$20),Setup!$C$39:$C$50))&gt;=Setup!$C$15,MONTH(WORKDAY(B344,-(Setup!$C$13+Setup!$G$20),Setup!$C$39:$C$50))&lt;=Setup!$C$16),OR(MONTH(WORKDAY(B344,-(Setup!$C$13+Setup!$G$20),Setup!$C$39:$C$50))&gt;=Setup!$C$15,MONTH(WORKDAY(B344,-(Setup!$C$13+Setup!$G$20),Setup!$C$39:$C$50))&lt;=Setup!$C$16))),WORKDAY(B344,-(Setup!$C$13+Setup!$G$20+Setup!$C$14),Setup!$C$39:$C$50),WORKDAY(B344,-(Setup!$C$13+Setup!$G$20),Setup!$C$39:$C$50))+(339*100+1)/10000000)))</f>
        <v/>
      </c>
      <c r="S344" t="str">
        <f>IF(C344="","",IF(C344&lt;Setup!$C$5-Setup!$C$6,"",IF(IF(ISNUMBER(Roster!$D344),Setup!$C$21&lt;=Roster!$D344,FALSE),"",IF(OR(IF(Setup!$C$15&lt;=Setup!$C$16,AND(MONTH(C344)&gt;=Setup!$C$15,MONTH(C344)&lt;=Setup!$C$16),OR(MONTH(C344)&gt;=Setup!$C$15,MONTH(C344)&lt;=Setup!$C$16)),IF(Setup!$C$15&lt;=Setup!$C$16,AND(MONTH(WORKDAY(C344,-(Setup!$C$13+Setup!$G$21),Setup!$C$39:$C$50))&gt;=Setup!$C$15,MONTH(WORKDAY(C344,-(Setup!$C$13+Setup!$G$21),Setup!$C$39:$C$50))&lt;=Setup!$C$16),OR(MONTH(WORKDAY(C344,-(Setup!$C$13+Setup!$G$21),Setup!$C$39:$C$50))&gt;=Setup!$C$15,MONTH(WORKDAY(C344,-(Setup!$C$13+Setup!$G$21),Setup!$C$39:$C$50))&lt;=Setup!$C$16))),WORKDAY(C344,-(Setup!$C$13+Setup!$G$21+Setup!$C$14),Setup!$C$39:$C$50),WORKDAY(C344,-(Setup!$C$13+Setup!$G$21),Setup!$C$39:$C$50))+(339*100+2)/10000000)))</f>
        <v/>
      </c>
      <c r="T344" t="str">
        <f>IF(D344="","",IF(D344&lt;Setup!$C$5-Setup!$C$6,"",IF(IF(ISNUMBER(Roster!$D344),Setup!$C$22&lt;=Roster!$D344,FALSE),"",IF(OR(IF(Setup!$C$15&lt;=Setup!$C$16,AND(MONTH(D344)&gt;=Setup!$C$15,MONTH(D344)&lt;=Setup!$C$16),OR(MONTH(D344)&gt;=Setup!$C$15,MONTH(D344)&lt;=Setup!$C$16)),IF(Setup!$C$15&lt;=Setup!$C$16,AND(MONTH(WORKDAY(D344,-(Setup!$C$13+Setup!$G$22),Setup!$C$39:$C$50))&gt;=Setup!$C$15,MONTH(WORKDAY(D344,-(Setup!$C$13+Setup!$G$22),Setup!$C$39:$C$50))&lt;=Setup!$C$16),OR(MONTH(WORKDAY(D344,-(Setup!$C$13+Setup!$G$22),Setup!$C$39:$C$50))&gt;=Setup!$C$15,MONTH(WORKDAY(D344,-(Setup!$C$13+Setup!$G$22),Setup!$C$39:$C$50))&lt;=Setup!$C$16))),WORKDAY(D344,-(Setup!$C$13+Setup!$G$22+Setup!$C$14),Setup!$C$39:$C$50),WORKDAY(D344,-(Setup!$C$13+Setup!$G$22),Setup!$C$39:$C$50))+(339*100+3)/10000000)))</f>
        <v/>
      </c>
      <c r="U344" t="str">
        <f>IF(E344="","",IF(E344&lt;Setup!$C$5-Setup!$C$6,"",IF(IF(ISNUMBER(Roster!$D344),Setup!$C$23&lt;=Roster!$D344,FALSE),"",IF(OR(IF(Setup!$C$15&lt;=Setup!$C$16,AND(MONTH(E344)&gt;=Setup!$C$15,MONTH(E344)&lt;=Setup!$C$16),OR(MONTH(E344)&gt;=Setup!$C$15,MONTH(E344)&lt;=Setup!$C$16)),IF(Setup!$C$15&lt;=Setup!$C$16,AND(MONTH(WORKDAY(E344,-(Setup!$C$13+Setup!$G$23),Setup!$C$39:$C$50))&gt;=Setup!$C$15,MONTH(WORKDAY(E344,-(Setup!$C$13+Setup!$G$23),Setup!$C$39:$C$50))&lt;=Setup!$C$16),OR(MONTH(WORKDAY(E344,-(Setup!$C$13+Setup!$G$23),Setup!$C$39:$C$50))&gt;=Setup!$C$15,MONTH(WORKDAY(E344,-(Setup!$C$13+Setup!$G$23),Setup!$C$39:$C$50))&lt;=Setup!$C$16))),WORKDAY(E344,-(Setup!$C$13+Setup!$G$23+Setup!$C$14),Setup!$C$39:$C$50),WORKDAY(E344,-(Setup!$C$13+Setup!$G$23),Setup!$C$39:$C$50))+(339*100+4)/10000000)))</f>
        <v/>
      </c>
      <c r="V344" t="str">
        <f>IF(F344="","",IF(F344&lt;Setup!$C$5-Setup!$C$6,"",IF(IF(ISNUMBER(Roster!$D344),Setup!$C$24&lt;=Roster!$D344,FALSE),"",IF(OR(IF(Setup!$C$15&lt;=Setup!$C$16,AND(MONTH(F344)&gt;=Setup!$C$15,MONTH(F344)&lt;=Setup!$C$16),OR(MONTH(F344)&gt;=Setup!$C$15,MONTH(F344)&lt;=Setup!$C$16)),IF(Setup!$C$15&lt;=Setup!$C$16,AND(MONTH(WORKDAY(F344,-(Setup!$C$13+Setup!$G$24),Setup!$C$39:$C$50))&gt;=Setup!$C$15,MONTH(WORKDAY(F344,-(Setup!$C$13+Setup!$G$24),Setup!$C$39:$C$50))&lt;=Setup!$C$16),OR(MONTH(WORKDAY(F344,-(Setup!$C$13+Setup!$G$24),Setup!$C$39:$C$50))&gt;=Setup!$C$15,MONTH(WORKDAY(F344,-(Setup!$C$13+Setup!$G$24),Setup!$C$39:$C$50))&lt;=Setup!$C$16))),WORKDAY(F344,-(Setup!$C$13+Setup!$G$24+Setup!$C$14),Setup!$C$39:$C$50),WORKDAY(F344,-(Setup!$C$13+Setup!$G$24),Setup!$C$39:$C$50))+(339*100+5)/10000000)))</f>
        <v/>
      </c>
      <c r="W344" t="str">
        <f>IF(G344="","",IF(G344&lt;Setup!$C$5-Setup!$C$6,"",IF(IF(ISNUMBER(Roster!$D344),Setup!$C$25&lt;=Roster!$D344,FALSE),"",IF(OR(IF(Setup!$C$15&lt;=Setup!$C$16,AND(MONTH(G344)&gt;=Setup!$C$15,MONTH(G344)&lt;=Setup!$C$16),OR(MONTH(G344)&gt;=Setup!$C$15,MONTH(G344)&lt;=Setup!$C$16)),IF(Setup!$C$15&lt;=Setup!$C$16,AND(MONTH(WORKDAY(G344,-(Setup!$C$13+Setup!$G$25),Setup!$C$39:$C$50))&gt;=Setup!$C$15,MONTH(WORKDAY(G344,-(Setup!$C$13+Setup!$G$25),Setup!$C$39:$C$50))&lt;=Setup!$C$16),OR(MONTH(WORKDAY(G344,-(Setup!$C$13+Setup!$G$25),Setup!$C$39:$C$50))&gt;=Setup!$C$15,MONTH(WORKDAY(G344,-(Setup!$C$13+Setup!$G$25),Setup!$C$39:$C$50))&lt;=Setup!$C$16))),WORKDAY(G344,-(Setup!$C$13+Setup!$G$25+Setup!$C$14),Setup!$C$39:$C$50),WORKDAY(G344,-(Setup!$C$13+Setup!$G$25),Setup!$C$39:$C$50))+(339*100+6)/10000000)))</f>
        <v/>
      </c>
      <c r="X344" t="str">
        <f>IF(H344="","",IF(H344&lt;Setup!$C$5-Setup!$C$6,"",IF(IF(ISNUMBER(Roster!$D344),Setup!$C$26&lt;=Roster!$D344,FALSE),"",IF(OR(IF(Setup!$C$15&lt;=Setup!$C$16,AND(MONTH(H344)&gt;=Setup!$C$15,MONTH(H344)&lt;=Setup!$C$16),OR(MONTH(H344)&gt;=Setup!$C$15,MONTH(H344)&lt;=Setup!$C$16)),IF(Setup!$C$15&lt;=Setup!$C$16,AND(MONTH(WORKDAY(H344,-(Setup!$C$13+Setup!$G$26),Setup!$C$39:$C$50))&gt;=Setup!$C$15,MONTH(WORKDAY(H344,-(Setup!$C$13+Setup!$G$26),Setup!$C$39:$C$50))&lt;=Setup!$C$16),OR(MONTH(WORKDAY(H344,-(Setup!$C$13+Setup!$G$26),Setup!$C$39:$C$50))&gt;=Setup!$C$15,MONTH(WORKDAY(H344,-(Setup!$C$13+Setup!$G$26),Setup!$C$39:$C$50))&lt;=Setup!$C$16))),WORKDAY(H344,-(Setup!$C$13+Setup!$G$26+Setup!$C$14),Setup!$C$39:$C$50),WORKDAY(H344,-(Setup!$C$13+Setup!$G$26),Setup!$C$39:$C$50))+(339*100+7)/10000000)))</f>
        <v/>
      </c>
      <c r="Y344" t="str">
        <f>IF(I344="","",IF(I344&lt;Setup!$C$5-Setup!$C$6,"",IF(IF(ISNUMBER(Roster!$D344),Setup!$C$27&lt;=Roster!$D344,FALSE),"",IF(OR(IF(Setup!$C$15&lt;=Setup!$C$16,AND(MONTH(I344)&gt;=Setup!$C$15,MONTH(I344)&lt;=Setup!$C$16),OR(MONTH(I344)&gt;=Setup!$C$15,MONTH(I344)&lt;=Setup!$C$16)),IF(Setup!$C$15&lt;=Setup!$C$16,AND(MONTH(WORKDAY(I344,-(Setup!$C$13+Setup!$G$27),Setup!$C$39:$C$50))&gt;=Setup!$C$15,MONTH(WORKDAY(I344,-(Setup!$C$13+Setup!$G$27),Setup!$C$39:$C$50))&lt;=Setup!$C$16),OR(MONTH(WORKDAY(I344,-(Setup!$C$13+Setup!$G$27),Setup!$C$39:$C$50))&gt;=Setup!$C$15,MONTH(WORKDAY(I344,-(Setup!$C$13+Setup!$G$27),Setup!$C$39:$C$50))&lt;=Setup!$C$16))),WORKDAY(I344,-(Setup!$C$13+Setup!$G$27+Setup!$C$14),Setup!$C$39:$C$50),WORKDAY(I344,-(Setup!$C$13+Setup!$G$27),Setup!$C$39:$C$50))+(339*100+8)/10000000)))</f>
        <v/>
      </c>
      <c r="Z344" t="str">
        <f>IF(J344="","",IF(J344&lt;Setup!$C$5-Setup!$C$6,"",IF(IF(ISNUMBER(Roster!$D344),Setup!$C$28&lt;=Roster!$D344,FALSE),"",IF(OR(IF(Setup!$C$15&lt;=Setup!$C$16,AND(MONTH(J344)&gt;=Setup!$C$15,MONTH(J344)&lt;=Setup!$C$16),OR(MONTH(J344)&gt;=Setup!$C$15,MONTH(J344)&lt;=Setup!$C$16)),IF(Setup!$C$15&lt;=Setup!$C$16,AND(MONTH(WORKDAY(J344,-(Setup!$C$13+Setup!$G$28),Setup!$C$39:$C$50))&gt;=Setup!$C$15,MONTH(WORKDAY(J344,-(Setup!$C$13+Setup!$G$28),Setup!$C$39:$C$50))&lt;=Setup!$C$16),OR(MONTH(WORKDAY(J344,-(Setup!$C$13+Setup!$G$28),Setup!$C$39:$C$50))&gt;=Setup!$C$15,MONTH(WORKDAY(J344,-(Setup!$C$13+Setup!$G$28),Setup!$C$39:$C$50))&lt;=Setup!$C$16))),WORKDAY(J344,-(Setup!$C$13+Setup!$G$28+Setup!$C$14),Setup!$C$39:$C$50),WORKDAY(J344,-(Setup!$C$13+Setup!$G$28),Setup!$C$39:$C$50))+(339*100+9)/10000000)))</f>
        <v/>
      </c>
      <c r="AA344" t="str">
        <f>IF(K344="","",IF(K344&lt;Setup!$C$5-Setup!$C$6,"",IF(IF(ISNUMBER(Roster!$D344),Setup!$C$29&lt;=Roster!$D344,FALSE),"",IF(OR(IF(Setup!$C$15&lt;=Setup!$C$16,AND(MONTH(K344)&gt;=Setup!$C$15,MONTH(K344)&lt;=Setup!$C$16),OR(MONTH(K344)&gt;=Setup!$C$15,MONTH(K344)&lt;=Setup!$C$16)),IF(Setup!$C$15&lt;=Setup!$C$16,AND(MONTH(WORKDAY(K344,-(Setup!$C$13+Setup!$G$29),Setup!$C$39:$C$50))&gt;=Setup!$C$15,MONTH(WORKDAY(K344,-(Setup!$C$13+Setup!$G$29),Setup!$C$39:$C$50))&lt;=Setup!$C$16),OR(MONTH(WORKDAY(K344,-(Setup!$C$13+Setup!$G$29),Setup!$C$39:$C$50))&gt;=Setup!$C$15,MONTH(WORKDAY(K344,-(Setup!$C$13+Setup!$G$29),Setup!$C$39:$C$50))&lt;=Setup!$C$16))),WORKDAY(K344,-(Setup!$C$13+Setup!$G$29+Setup!$C$14),Setup!$C$39:$C$50),WORKDAY(K344,-(Setup!$C$13+Setup!$G$29),Setup!$C$39:$C$50))+(339*100+10)/10000000)))</f>
        <v/>
      </c>
      <c r="AB344" t="str">
        <f>IF(L344="","",IF(L344&lt;Setup!$C$5-Setup!$C$6,"",IF(IF(ISNUMBER(Roster!$D344),Setup!$C$30&lt;=Roster!$D344,FALSE),"",IF(OR(IF(Setup!$C$15&lt;=Setup!$C$16,AND(MONTH(L344)&gt;=Setup!$C$15,MONTH(L344)&lt;=Setup!$C$16),OR(MONTH(L344)&gt;=Setup!$C$15,MONTH(L344)&lt;=Setup!$C$16)),IF(Setup!$C$15&lt;=Setup!$C$16,AND(MONTH(WORKDAY(L344,-(Setup!$C$13+Setup!$G$30),Setup!$C$39:$C$50))&gt;=Setup!$C$15,MONTH(WORKDAY(L344,-(Setup!$C$13+Setup!$G$30),Setup!$C$39:$C$50))&lt;=Setup!$C$16),OR(MONTH(WORKDAY(L344,-(Setup!$C$13+Setup!$G$30),Setup!$C$39:$C$50))&gt;=Setup!$C$15,MONTH(WORKDAY(L344,-(Setup!$C$13+Setup!$G$30),Setup!$C$39:$C$50))&lt;=Setup!$C$16))),WORKDAY(L344,-(Setup!$C$13+Setup!$G$30+Setup!$C$14),Setup!$C$39:$C$50),WORKDAY(L344,-(Setup!$C$13+Setup!$G$30),Setup!$C$39:$C$50))+(339*100+11)/10000000)))</f>
        <v/>
      </c>
      <c r="AC344" t="str">
        <f>IF(M344="","",IF(M344&lt;Setup!$C$5-Setup!$C$6,"",IF(IF(ISNUMBER(Roster!$D344),Setup!$C$31&lt;=Roster!$D344,FALSE),"",IF(OR(IF(Setup!$C$15&lt;=Setup!$C$16,AND(MONTH(M344)&gt;=Setup!$C$15,MONTH(M344)&lt;=Setup!$C$16),OR(MONTH(M344)&gt;=Setup!$C$15,MONTH(M344)&lt;=Setup!$C$16)),IF(Setup!$C$15&lt;=Setup!$C$16,AND(MONTH(WORKDAY(M344,-(Setup!$C$13+Setup!$G$31),Setup!$C$39:$C$50))&gt;=Setup!$C$15,MONTH(WORKDAY(M344,-(Setup!$C$13+Setup!$G$31),Setup!$C$39:$C$50))&lt;=Setup!$C$16),OR(MONTH(WORKDAY(M344,-(Setup!$C$13+Setup!$G$31),Setup!$C$39:$C$50))&gt;=Setup!$C$15,MONTH(WORKDAY(M344,-(Setup!$C$13+Setup!$G$31),Setup!$C$39:$C$50))&lt;=Setup!$C$16))),WORKDAY(M344,-(Setup!$C$13+Setup!$G$31+Setup!$C$14),Setup!$C$39:$C$50),WORKDAY(M344,-(Setup!$C$13+Setup!$G$31),Setup!$C$39:$C$50))+(339*100+12)/10000000)))</f>
        <v/>
      </c>
      <c r="AD344" t="str">
        <f>IF(N344="","",IF(N344&lt;Setup!$C$5-Setup!$C$6,"",IF(IF(ISNUMBER(Roster!$D344),Setup!$C$32&lt;=Roster!$D344,FALSE),"",IF(OR(IF(Setup!$C$15&lt;=Setup!$C$16,AND(MONTH(N344)&gt;=Setup!$C$15,MONTH(N344)&lt;=Setup!$C$16),OR(MONTH(N344)&gt;=Setup!$C$15,MONTH(N344)&lt;=Setup!$C$16)),IF(Setup!$C$15&lt;=Setup!$C$16,AND(MONTH(WORKDAY(N344,-(Setup!$C$13+Setup!$G$32),Setup!$C$39:$C$50))&gt;=Setup!$C$15,MONTH(WORKDAY(N344,-(Setup!$C$13+Setup!$G$32),Setup!$C$39:$C$50))&lt;=Setup!$C$16),OR(MONTH(WORKDAY(N344,-(Setup!$C$13+Setup!$G$32),Setup!$C$39:$C$50))&gt;=Setup!$C$15,MONTH(WORKDAY(N344,-(Setup!$C$13+Setup!$G$32),Setup!$C$39:$C$50))&lt;=Setup!$C$16))),WORKDAY(N344,-(Setup!$C$13+Setup!$G$32+Setup!$C$14),Setup!$C$39:$C$50),WORKDAY(N344,-(Setup!$C$13+Setup!$G$32),Setup!$C$39:$C$50))+(339*100+13)/10000000)))</f>
        <v/>
      </c>
      <c r="AE344" t="str">
        <f>IF(O344="","",IF(O344&lt;Setup!$C$5-Setup!$C$6,"",IF(IF(ISNUMBER(Roster!$D344),Setup!$C$33&lt;=Roster!$D344,FALSE),"",IF(OR(IF(Setup!$C$15&lt;=Setup!$C$16,AND(MONTH(O344)&gt;=Setup!$C$15,MONTH(O344)&lt;=Setup!$C$16),OR(MONTH(O344)&gt;=Setup!$C$15,MONTH(O344)&lt;=Setup!$C$16)),IF(Setup!$C$15&lt;=Setup!$C$16,AND(MONTH(WORKDAY(O344,-(Setup!$C$13+Setup!$G$33),Setup!$C$39:$C$50))&gt;=Setup!$C$15,MONTH(WORKDAY(O344,-(Setup!$C$13+Setup!$G$33),Setup!$C$39:$C$50))&lt;=Setup!$C$16),OR(MONTH(WORKDAY(O344,-(Setup!$C$13+Setup!$G$33),Setup!$C$39:$C$50))&gt;=Setup!$C$15,MONTH(WORKDAY(O344,-(Setup!$C$13+Setup!$G$33),Setup!$C$39:$C$50))&lt;=Setup!$C$16))),WORKDAY(O344,-(Setup!$C$13+Setup!$G$33+Setup!$C$14),Setup!$C$39:$C$50),WORKDAY(O344,-(Setup!$C$13+Setup!$G$33),Setup!$C$39:$C$50))+(339*100+14)/10000000)))</f>
        <v/>
      </c>
      <c r="AF344" t="str">
        <f>IF(P344="","",IF(P344&lt;Setup!$C$5-Setup!$C$6,"",IF(IF(ISNUMBER(Roster!$D344),Setup!$C$34&lt;=Roster!$D344,FALSE),"",IF(OR(IF(Setup!$C$15&lt;=Setup!$C$16,AND(MONTH(P344)&gt;=Setup!$C$15,MONTH(P344)&lt;=Setup!$C$16),OR(MONTH(P344)&gt;=Setup!$C$15,MONTH(P344)&lt;=Setup!$C$16)),IF(Setup!$C$15&lt;=Setup!$C$16,AND(MONTH(WORKDAY(P344,-(Setup!$C$13+Setup!$G$34),Setup!$C$39:$C$50))&gt;=Setup!$C$15,MONTH(WORKDAY(P344,-(Setup!$C$13+Setup!$G$34),Setup!$C$39:$C$50))&lt;=Setup!$C$16),OR(MONTH(WORKDAY(P344,-(Setup!$C$13+Setup!$G$34),Setup!$C$39:$C$50))&gt;=Setup!$C$15,MONTH(WORKDAY(P344,-(Setup!$C$13+Setup!$G$34),Setup!$C$39:$C$50))&lt;=Setup!$C$16))),WORKDAY(P344,-(Setup!$C$13+Setup!$G$34+Setup!$C$14),Setup!$C$39:$C$50),WORKDAY(P344,-(Setup!$C$13+Setup!$G$34),Setup!$C$39:$C$50))+(339*100+15)/10000000)))</f>
        <v/>
      </c>
      <c r="AH344" t="str">
        <f t="shared" si="41"/>
        <v/>
      </c>
      <c r="AI344" t="str">
        <f t="shared" si="42"/>
        <v/>
      </c>
      <c r="AP344" t="str">
        <f>IF(ISNUMBER(Roster!$B344),MAX(1,YEAR(Setup!$C$5)-YEAR(Roster!$B344)+IF(EDATE(Roster!$B344,12*(YEAR(Setup!$C$5)-YEAR(Roster!$B344)))&lt;Setup!$C$5,1,0)),"")</f>
        <v/>
      </c>
      <c r="AQ344" s="32" t="str">
        <f>IF(AP344="","",EDATE(Roster!$B344,12*AP344))</f>
        <v/>
      </c>
      <c r="AR344" t="str">
        <f>IF(AQ344="","",IF(AQ344&lt;DATE(YEAR(Setup!$C$5)+1,MONTH(Setup!$C$5),DAY(Setup!$C$5)),AQ344+339/1000,""))</f>
        <v/>
      </c>
      <c r="AS344" t="str">
        <f t="shared" si="43"/>
        <v/>
      </c>
      <c r="AT344" t="str">
        <f>IF(AS344="","",IF(ISNUMBER(Roster!$D344),Roster!$D344&gt;=AP344,FALSE))</f>
        <v/>
      </c>
      <c r="AU344" t="str">
        <f t="shared" si="44"/>
        <v/>
      </c>
      <c r="AV344" t="str">
        <f ca="1">IF(339&gt;$AV$2,"",SMALL($AR$6:$AR$505,339))</f>
        <v/>
      </c>
      <c r="AW344" t="str">
        <f t="shared" ca="1" si="45"/>
        <v/>
      </c>
    </row>
    <row r="345" spans="2:49" x14ac:dyDescent="0.2">
      <c r="B345" s="32" t="str">
        <f>IF(AND(ISNUMBER(Roster!$B345),Setup!$B$20="Yes",ISNUMBER(Setup!$C$20)),EDATE(Roster!$B345,12*Setup!$C$20),"")</f>
        <v/>
      </c>
      <c r="C345" s="32" t="str">
        <f>IF(AND(ISNUMBER(Roster!$B345),Setup!$B$21="Yes",ISNUMBER(Setup!$C$21)),EDATE(Roster!$B345,12*Setup!$C$21),"")</f>
        <v/>
      </c>
      <c r="D345" s="32" t="str">
        <f>IF(AND(ISNUMBER(Roster!$B345),Setup!$B$22="Yes",ISNUMBER(Setup!$C$22)),EDATE(Roster!$B345,12*Setup!$C$22),"")</f>
        <v/>
      </c>
      <c r="E345" s="32" t="str">
        <f>IF(AND(ISNUMBER(Roster!$B345),Setup!$B$23="Yes",ISNUMBER(Setup!$C$23)),EDATE(Roster!$B345,12*Setup!$C$23),"")</f>
        <v/>
      </c>
      <c r="F345" s="32" t="str">
        <f>IF(AND(ISNUMBER(Roster!$B345),Setup!$B$24="Yes",ISNUMBER(Setup!$C$24)),EDATE(Roster!$B345,12*Setup!$C$24),"")</f>
        <v/>
      </c>
      <c r="G345" s="32" t="str">
        <f>IF(AND(ISNUMBER(Roster!$B345),Setup!$B$25="Yes",ISNUMBER(Setup!$C$25)),EDATE(Roster!$B345,12*Setup!$C$25),"")</f>
        <v/>
      </c>
      <c r="H345" s="32" t="str">
        <f>IF(AND(ISNUMBER(Roster!$B345),Setup!$B$26="Yes",ISNUMBER(Setup!$C$26)),EDATE(Roster!$B345,12*Setup!$C$26),"")</f>
        <v/>
      </c>
      <c r="I345" s="32" t="str">
        <f>IF(AND(ISNUMBER(Roster!$B345),Setup!$B$27="Yes",ISNUMBER(Setup!$C$27)),EDATE(Roster!$B345,12*Setup!$C$27),"")</f>
        <v/>
      </c>
      <c r="J345" s="32" t="str">
        <f>IF(AND(ISNUMBER(Roster!$B345),Setup!$B$28="Yes",ISNUMBER(Setup!$C$28)),EDATE(Roster!$B345,12*Setup!$C$28),"")</f>
        <v/>
      </c>
      <c r="K345" s="32" t="str">
        <f>IF(AND(ISNUMBER(Roster!$B345),Setup!$B$29="Yes",ISNUMBER(Setup!$C$29)),EDATE(Roster!$B345,12*Setup!$C$29),"")</f>
        <v/>
      </c>
      <c r="L345" s="32" t="str">
        <f>IF(AND(ISNUMBER(Roster!$B345),Setup!$B$30="Yes",ISNUMBER(Setup!$C$30)),EDATE(Roster!$B345,12*Setup!$C$30),"")</f>
        <v/>
      </c>
      <c r="M345" s="32" t="str">
        <f>IF(AND(ISNUMBER(Roster!$B345),Setup!$B$31="Yes",ISNUMBER(Setup!$C$31)),EDATE(Roster!$B345,12*Setup!$C$31),"")</f>
        <v/>
      </c>
      <c r="N345" s="32" t="str">
        <f>IF(AND(ISNUMBER(Roster!$B345),Setup!$B$32="Yes",ISNUMBER(Setup!$C$32)),EDATE(Roster!$B345,12*Setup!$C$32),"")</f>
        <v/>
      </c>
      <c r="O345" s="32" t="str">
        <f>IF(AND(ISNUMBER(Roster!$B345),Setup!$B$33="Yes",ISNUMBER(Setup!$C$33)),EDATE(Roster!$B345,12*Setup!$C$33),"")</f>
        <v/>
      </c>
      <c r="P345" s="32" t="str">
        <f>IF(AND(ISNUMBER(Roster!$B345),Setup!$B$34="Yes",ISNUMBER(Setup!$C$34)),EDATE(Roster!$B345,12*Setup!$C$34),"")</f>
        <v/>
      </c>
      <c r="R345" t="str">
        <f>IF(B345="","",IF(B345&lt;Setup!$C$5-Setup!$C$6,"",IF(IF(ISNUMBER(Roster!$D345),Setup!$C$20&lt;=Roster!$D345,FALSE),"",IF(OR(IF(Setup!$C$15&lt;=Setup!$C$16,AND(MONTH(B345)&gt;=Setup!$C$15,MONTH(B345)&lt;=Setup!$C$16),OR(MONTH(B345)&gt;=Setup!$C$15,MONTH(B345)&lt;=Setup!$C$16)),IF(Setup!$C$15&lt;=Setup!$C$16,AND(MONTH(WORKDAY(B345,-(Setup!$C$13+Setup!$G$20),Setup!$C$39:$C$50))&gt;=Setup!$C$15,MONTH(WORKDAY(B345,-(Setup!$C$13+Setup!$G$20),Setup!$C$39:$C$50))&lt;=Setup!$C$16),OR(MONTH(WORKDAY(B345,-(Setup!$C$13+Setup!$G$20),Setup!$C$39:$C$50))&gt;=Setup!$C$15,MONTH(WORKDAY(B345,-(Setup!$C$13+Setup!$G$20),Setup!$C$39:$C$50))&lt;=Setup!$C$16))),WORKDAY(B345,-(Setup!$C$13+Setup!$G$20+Setup!$C$14),Setup!$C$39:$C$50),WORKDAY(B345,-(Setup!$C$13+Setup!$G$20),Setup!$C$39:$C$50))+(340*100+1)/10000000)))</f>
        <v/>
      </c>
      <c r="S345" t="str">
        <f>IF(C345="","",IF(C345&lt;Setup!$C$5-Setup!$C$6,"",IF(IF(ISNUMBER(Roster!$D345),Setup!$C$21&lt;=Roster!$D345,FALSE),"",IF(OR(IF(Setup!$C$15&lt;=Setup!$C$16,AND(MONTH(C345)&gt;=Setup!$C$15,MONTH(C345)&lt;=Setup!$C$16),OR(MONTH(C345)&gt;=Setup!$C$15,MONTH(C345)&lt;=Setup!$C$16)),IF(Setup!$C$15&lt;=Setup!$C$16,AND(MONTH(WORKDAY(C345,-(Setup!$C$13+Setup!$G$21),Setup!$C$39:$C$50))&gt;=Setup!$C$15,MONTH(WORKDAY(C345,-(Setup!$C$13+Setup!$G$21),Setup!$C$39:$C$50))&lt;=Setup!$C$16),OR(MONTH(WORKDAY(C345,-(Setup!$C$13+Setup!$G$21),Setup!$C$39:$C$50))&gt;=Setup!$C$15,MONTH(WORKDAY(C345,-(Setup!$C$13+Setup!$G$21),Setup!$C$39:$C$50))&lt;=Setup!$C$16))),WORKDAY(C345,-(Setup!$C$13+Setup!$G$21+Setup!$C$14),Setup!$C$39:$C$50),WORKDAY(C345,-(Setup!$C$13+Setup!$G$21),Setup!$C$39:$C$50))+(340*100+2)/10000000)))</f>
        <v/>
      </c>
      <c r="T345" t="str">
        <f>IF(D345="","",IF(D345&lt;Setup!$C$5-Setup!$C$6,"",IF(IF(ISNUMBER(Roster!$D345),Setup!$C$22&lt;=Roster!$D345,FALSE),"",IF(OR(IF(Setup!$C$15&lt;=Setup!$C$16,AND(MONTH(D345)&gt;=Setup!$C$15,MONTH(D345)&lt;=Setup!$C$16),OR(MONTH(D345)&gt;=Setup!$C$15,MONTH(D345)&lt;=Setup!$C$16)),IF(Setup!$C$15&lt;=Setup!$C$16,AND(MONTH(WORKDAY(D345,-(Setup!$C$13+Setup!$G$22),Setup!$C$39:$C$50))&gt;=Setup!$C$15,MONTH(WORKDAY(D345,-(Setup!$C$13+Setup!$G$22),Setup!$C$39:$C$50))&lt;=Setup!$C$16),OR(MONTH(WORKDAY(D345,-(Setup!$C$13+Setup!$G$22),Setup!$C$39:$C$50))&gt;=Setup!$C$15,MONTH(WORKDAY(D345,-(Setup!$C$13+Setup!$G$22),Setup!$C$39:$C$50))&lt;=Setup!$C$16))),WORKDAY(D345,-(Setup!$C$13+Setup!$G$22+Setup!$C$14),Setup!$C$39:$C$50),WORKDAY(D345,-(Setup!$C$13+Setup!$G$22),Setup!$C$39:$C$50))+(340*100+3)/10000000)))</f>
        <v/>
      </c>
      <c r="U345" t="str">
        <f>IF(E345="","",IF(E345&lt;Setup!$C$5-Setup!$C$6,"",IF(IF(ISNUMBER(Roster!$D345),Setup!$C$23&lt;=Roster!$D345,FALSE),"",IF(OR(IF(Setup!$C$15&lt;=Setup!$C$16,AND(MONTH(E345)&gt;=Setup!$C$15,MONTH(E345)&lt;=Setup!$C$16),OR(MONTH(E345)&gt;=Setup!$C$15,MONTH(E345)&lt;=Setup!$C$16)),IF(Setup!$C$15&lt;=Setup!$C$16,AND(MONTH(WORKDAY(E345,-(Setup!$C$13+Setup!$G$23),Setup!$C$39:$C$50))&gt;=Setup!$C$15,MONTH(WORKDAY(E345,-(Setup!$C$13+Setup!$G$23),Setup!$C$39:$C$50))&lt;=Setup!$C$16),OR(MONTH(WORKDAY(E345,-(Setup!$C$13+Setup!$G$23),Setup!$C$39:$C$50))&gt;=Setup!$C$15,MONTH(WORKDAY(E345,-(Setup!$C$13+Setup!$G$23),Setup!$C$39:$C$50))&lt;=Setup!$C$16))),WORKDAY(E345,-(Setup!$C$13+Setup!$G$23+Setup!$C$14),Setup!$C$39:$C$50),WORKDAY(E345,-(Setup!$C$13+Setup!$G$23),Setup!$C$39:$C$50))+(340*100+4)/10000000)))</f>
        <v/>
      </c>
      <c r="V345" t="str">
        <f>IF(F345="","",IF(F345&lt;Setup!$C$5-Setup!$C$6,"",IF(IF(ISNUMBER(Roster!$D345),Setup!$C$24&lt;=Roster!$D345,FALSE),"",IF(OR(IF(Setup!$C$15&lt;=Setup!$C$16,AND(MONTH(F345)&gt;=Setup!$C$15,MONTH(F345)&lt;=Setup!$C$16),OR(MONTH(F345)&gt;=Setup!$C$15,MONTH(F345)&lt;=Setup!$C$16)),IF(Setup!$C$15&lt;=Setup!$C$16,AND(MONTH(WORKDAY(F345,-(Setup!$C$13+Setup!$G$24),Setup!$C$39:$C$50))&gt;=Setup!$C$15,MONTH(WORKDAY(F345,-(Setup!$C$13+Setup!$G$24),Setup!$C$39:$C$50))&lt;=Setup!$C$16),OR(MONTH(WORKDAY(F345,-(Setup!$C$13+Setup!$G$24),Setup!$C$39:$C$50))&gt;=Setup!$C$15,MONTH(WORKDAY(F345,-(Setup!$C$13+Setup!$G$24),Setup!$C$39:$C$50))&lt;=Setup!$C$16))),WORKDAY(F345,-(Setup!$C$13+Setup!$G$24+Setup!$C$14),Setup!$C$39:$C$50),WORKDAY(F345,-(Setup!$C$13+Setup!$G$24),Setup!$C$39:$C$50))+(340*100+5)/10000000)))</f>
        <v/>
      </c>
      <c r="W345" t="str">
        <f>IF(G345="","",IF(G345&lt;Setup!$C$5-Setup!$C$6,"",IF(IF(ISNUMBER(Roster!$D345),Setup!$C$25&lt;=Roster!$D345,FALSE),"",IF(OR(IF(Setup!$C$15&lt;=Setup!$C$16,AND(MONTH(G345)&gt;=Setup!$C$15,MONTH(G345)&lt;=Setup!$C$16),OR(MONTH(G345)&gt;=Setup!$C$15,MONTH(G345)&lt;=Setup!$C$16)),IF(Setup!$C$15&lt;=Setup!$C$16,AND(MONTH(WORKDAY(G345,-(Setup!$C$13+Setup!$G$25),Setup!$C$39:$C$50))&gt;=Setup!$C$15,MONTH(WORKDAY(G345,-(Setup!$C$13+Setup!$G$25),Setup!$C$39:$C$50))&lt;=Setup!$C$16),OR(MONTH(WORKDAY(G345,-(Setup!$C$13+Setup!$G$25),Setup!$C$39:$C$50))&gt;=Setup!$C$15,MONTH(WORKDAY(G345,-(Setup!$C$13+Setup!$G$25),Setup!$C$39:$C$50))&lt;=Setup!$C$16))),WORKDAY(G345,-(Setup!$C$13+Setup!$G$25+Setup!$C$14),Setup!$C$39:$C$50),WORKDAY(G345,-(Setup!$C$13+Setup!$G$25),Setup!$C$39:$C$50))+(340*100+6)/10000000)))</f>
        <v/>
      </c>
      <c r="X345" t="str">
        <f>IF(H345="","",IF(H345&lt;Setup!$C$5-Setup!$C$6,"",IF(IF(ISNUMBER(Roster!$D345),Setup!$C$26&lt;=Roster!$D345,FALSE),"",IF(OR(IF(Setup!$C$15&lt;=Setup!$C$16,AND(MONTH(H345)&gt;=Setup!$C$15,MONTH(H345)&lt;=Setup!$C$16),OR(MONTH(H345)&gt;=Setup!$C$15,MONTH(H345)&lt;=Setup!$C$16)),IF(Setup!$C$15&lt;=Setup!$C$16,AND(MONTH(WORKDAY(H345,-(Setup!$C$13+Setup!$G$26),Setup!$C$39:$C$50))&gt;=Setup!$C$15,MONTH(WORKDAY(H345,-(Setup!$C$13+Setup!$G$26),Setup!$C$39:$C$50))&lt;=Setup!$C$16),OR(MONTH(WORKDAY(H345,-(Setup!$C$13+Setup!$G$26),Setup!$C$39:$C$50))&gt;=Setup!$C$15,MONTH(WORKDAY(H345,-(Setup!$C$13+Setup!$G$26),Setup!$C$39:$C$50))&lt;=Setup!$C$16))),WORKDAY(H345,-(Setup!$C$13+Setup!$G$26+Setup!$C$14),Setup!$C$39:$C$50),WORKDAY(H345,-(Setup!$C$13+Setup!$G$26),Setup!$C$39:$C$50))+(340*100+7)/10000000)))</f>
        <v/>
      </c>
      <c r="Y345" t="str">
        <f>IF(I345="","",IF(I345&lt;Setup!$C$5-Setup!$C$6,"",IF(IF(ISNUMBER(Roster!$D345),Setup!$C$27&lt;=Roster!$D345,FALSE),"",IF(OR(IF(Setup!$C$15&lt;=Setup!$C$16,AND(MONTH(I345)&gt;=Setup!$C$15,MONTH(I345)&lt;=Setup!$C$16),OR(MONTH(I345)&gt;=Setup!$C$15,MONTH(I345)&lt;=Setup!$C$16)),IF(Setup!$C$15&lt;=Setup!$C$16,AND(MONTH(WORKDAY(I345,-(Setup!$C$13+Setup!$G$27),Setup!$C$39:$C$50))&gt;=Setup!$C$15,MONTH(WORKDAY(I345,-(Setup!$C$13+Setup!$G$27),Setup!$C$39:$C$50))&lt;=Setup!$C$16),OR(MONTH(WORKDAY(I345,-(Setup!$C$13+Setup!$G$27),Setup!$C$39:$C$50))&gt;=Setup!$C$15,MONTH(WORKDAY(I345,-(Setup!$C$13+Setup!$G$27),Setup!$C$39:$C$50))&lt;=Setup!$C$16))),WORKDAY(I345,-(Setup!$C$13+Setup!$G$27+Setup!$C$14),Setup!$C$39:$C$50),WORKDAY(I345,-(Setup!$C$13+Setup!$G$27),Setup!$C$39:$C$50))+(340*100+8)/10000000)))</f>
        <v/>
      </c>
      <c r="Z345" t="str">
        <f>IF(J345="","",IF(J345&lt;Setup!$C$5-Setup!$C$6,"",IF(IF(ISNUMBER(Roster!$D345),Setup!$C$28&lt;=Roster!$D345,FALSE),"",IF(OR(IF(Setup!$C$15&lt;=Setup!$C$16,AND(MONTH(J345)&gt;=Setup!$C$15,MONTH(J345)&lt;=Setup!$C$16),OR(MONTH(J345)&gt;=Setup!$C$15,MONTH(J345)&lt;=Setup!$C$16)),IF(Setup!$C$15&lt;=Setup!$C$16,AND(MONTH(WORKDAY(J345,-(Setup!$C$13+Setup!$G$28),Setup!$C$39:$C$50))&gt;=Setup!$C$15,MONTH(WORKDAY(J345,-(Setup!$C$13+Setup!$G$28),Setup!$C$39:$C$50))&lt;=Setup!$C$16),OR(MONTH(WORKDAY(J345,-(Setup!$C$13+Setup!$G$28),Setup!$C$39:$C$50))&gt;=Setup!$C$15,MONTH(WORKDAY(J345,-(Setup!$C$13+Setup!$G$28),Setup!$C$39:$C$50))&lt;=Setup!$C$16))),WORKDAY(J345,-(Setup!$C$13+Setup!$G$28+Setup!$C$14),Setup!$C$39:$C$50),WORKDAY(J345,-(Setup!$C$13+Setup!$G$28),Setup!$C$39:$C$50))+(340*100+9)/10000000)))</f>
        <v/>
      </c>
      <c r="AA345" t="str">
        <f>IF(K345="","",IF(K345&lt;Setup!$C$5-Setup!$C$6,"",IF(IF(ISNUMBER(Roster!$D345),Setup!$C$29&lt;=Roster!$D345,FALSE),"",IF(OR(IF(Setup!$C$15&lt;=Setup!$C$16,AND(MONTH(K345)&gt;=Setup!$C$15,MONTH(K345)&lt;=Setup!$C$16),OR(MONTH(K345)&gt;=Setup!$C$15,MONTH(K345)&lt;=Setup!$C$16)),IF(Setup!$C$15&lt;=Setup!$C$16,AND(MONTH(WORKDAY(K345,-(Setup!$C$13+Setup!$G$29),Setup!$C$39:$C$50))&gt;=Setup!$C$15,MONTH(WORKDAY(K345,-(Setup!$C$13+Setup!$G$29),Setup!$C$39:$C$50))&lt;=Setup!$C$16),OR(MONTH(WORKDAY(K345,-(Setup!$C$13+Setup!$G$29),Setup!$C$39:$C$50))&gt;=Setup!$C$15,MONTH(WORKDAY(K345,-(Setup!$C$13+Setup!$G$29),Setup!$C$39:$C$50))&lt;=Setup!$C$16))),WORKDAY(K345,-(Setup!$C$13+Setup!$G$29+Setup!$C$14),Setup!$C$39:$C$50),WORKDAY(K345,-(Setup!$C$13+Setup!$G$29),Setup!$C$39:$C$50))+(340*100+10)/10000000)))</f>
        <v/>
      </c>
      <c r="AB345" t="str">
        <f>IF(L345="","",IF(L345&lt;Setup!$C$5-Setup!$C$6,"",IF(IF(ISNUMBER(Roster!$D345),Setup!$C$30&lt;=Roster!$D345,FALSE),"",IF(OR(IF(Setup!$C$15&lt;=Setup!$C$16,AND(MONTH(L345)&gt;=Setup!$C$15,MONTH(L345)&lt;=Setup!$C$16),OR(MONTH(L345)&gt;=Setup!$C$15,MONTH(L345)&lt;=Setup!$C$16)),IF(Setup!$C$15&lt;=Setup!$C$16,AND(MONTH(WORKDAY(L345,-(Setup!$C$13+Setup!$G$30),Setup!$C$39:$C$50))&gt;=Setup!$C$15,MONTH(WORKDAY(L345,-(Setup!$C$13+Setup!$G$30),Setup!$C$39:$C$50))&lt;=Setup!$C$16),OR(MONTH(WORKDAY(L345,-(Setup!$C$13+Setup!$G$30),Setup!$C$39:$C$50))&gt;=Setup!$C$15,MONTH(WORKDAY(L345,-(Setup!$C$13+Setup!$G$30),Setup!$C$39:$C$50))&lt;=Setup!$C$16))),WORKDAY(L345,-(Setup!$C$13+Setup!$G$30+Setup!$C$14),Setup!$C$39:$C$50),WORKDAY(L345,-(Setup!$C$13+Setup!$G$30),Setup!$C$39:$C$50))+(340*100+11)/10000000)))</f>
        <v/>
      </c>
      <c r="AC345" t="str">
        <f>IF(M345="","",IF(M345&lt;Setup!$C$5-Setup!$C$6,"",IF(IF(ISNUMBER(Roster!$D345),Setup!$C$31&lt;=Roster!$D345,FALSE),"",IF(OR(IF(Setup!$C$15&lt;=Setup!$C$16,AND(MONTH(M345)&gt;=Setup!$C$15,MONTH(M345)&lt;=Setup!$C$16),OR(MONTH(M345)&gt;=Setup!$C$15,MONTH(M345)&lt;=Setup!$C$16)),IF(Setup!$C$15&lt;=Setup!$C$16,AND(MONTH(WORKDAY(M345,-(Setup!$C$13+Setup!$G$31),Setup!$C$39:$C$50))&gt;=Setup!$C$15,MONTH(WORKDAY(M345,-(Setup!$C$13+Setup!$G$31),Setup!$C$39:$C$50))&lt;=Setup!$C$16),OR(MONTH(WORKDAY(M345,-(Setup!$C$13+Setup!$G$31),Setup!$C$39:$C$50))&gt;=Setup!$C$15,MONTH(WORKDAY(M345,-(Setup!$C$13+Setup!$G$31),Setup!$C$39:$C$50))&lt;=Setup!$C$16))),WORKDAY(M345,-(Setup!$C$13+Setup!$G$31+Setup!$C$14),Setup!$C$39:$C$50),WORKDAY(M345,-(Setup!$C$13+Setup!$G$31),Setup!$C$39:$C$50))+(340*100+12)/10000000)))</f>
        <v/>
      </c>
      <c r="AD345" t="str">
        <f>IF(N345="","",IF(N345&lt;Setup!$C$5-Setup!$C$6,"",IF(IF(ISNUMBER(Roster!$D345),Setup!$C$32&lt;=Roster!$D345,FALSE),"",IF(OR(IF(Setup!$C$15&lt;=Setup!$C$16,AND(MONTH(N345)&gt;=Setup!$C$15,MONTH(N345)&lt;=Setup!$C$16),OR(MONTH(N345)&gt;=Setup!$C$15,MONTH(N345)&lt;=Setup!$C$16)),IF(Setup!$C$15&lt;=Setup!$C$16,AND(MONTH(WORKDAY(N345,-(Setup!$C$13+Setup!$G$32),Setup!$C$39:$C$50))&gt;=Setup!$C$15,MONTH(WORKDAY(N345,-(Setup!$C$13+Setup!$G$32),Setup!$C$39:$C$50))&lt;=Setup!$C$16),OR(MONTH(WORKDAY(N345,-(Setup!$C$13+Setup!$G$32),Setup!$C$39:$C$50))&gt;=Setup!$C$15,MONTH(WORKDAY(N345,-(Setup!$C$13+Setup!$G$32),Setup!$C$39:$C$50))&lt;=Setup!$C$16))),WORKDAY(N345,-(Setup!$C$13+Setup!$G$32+Setup!$C$14),Setup!$C$39:$C$50),WORKDAY(N345,-(Setup!$C$13+Setup!$G$32),Setup!$C$39:$C$50))+(340*100+13)/10000000)))</f>
        <v/>
      </c>
      <c r="AE345" t="str">
        <f>IF(O345="","",IF(O345&lt;Setup!$C$5-Setup!$C$6,"",IF(IF(ISNUMBER(Roster!$D345),Setup!$C$33&lt;=Roster!$D345,FALSE),"",IF(OR(IF(Setup!$C$15&lt;=Setup!$C$16,AND(MONTH(O345)&gt;=Setup!$C$15,MONTH(O345)&lt;=Setup!$C$16),OR(MONTH(O345)&gt;=Setup!$C$15,MONTH(O345)&lt;=Setup!$C$16)),IF(Setup!$C$15&lt;=Setup!$C$16,AND(MONTH(WORKDAY(O345,-(Setup!$C$13+Setup!$G$33),Setup!$C$39:$C$50))&gt;=Setup!$C$15,MONTH(WORKDAY(O345,-(Setup!$C$13+Setup!$G$33),Setup!$C$39:$C$50))&lt;=Setup!$C$16),OR(MONTH(WORKDAY(O345,-(Setup!$C$13+Setup!$G$33),Setup!$C$39:$C$50))&gt;=Setup!$C$15,MONTH(WORKDAY(O345,-(Setup!$C$13+Setup!$G$33),Setup!$C$39:$C$50))&lt;=Setup!$C$16))),WORKDAY(O345,-(Setup!$C$13+Setup!$G$33+Setup!$C$14),Setup!$C$39:$C$50),WORKDAY(O345,-(Setup!$C$13+Setup!$G$33),Setup!$C$39:$C$50))+(340*100+14)/10000000)))</f>
        <v/>
      </c>
      <c r="AF345" t="str">
        <f>IF(P345="","",IF(P345&lt;Setup!$C$5-Setup!$C$6,"",IF(IF(ISNUMBER(Roster!$D345),Setup!$C$34&lt;=Roster!$D345,FALSE),"",IF(OR(IF(Setup!$C$15&lt;=Setup!$C$16,AND(MONTH(P345)&gt;=Setup!$C$15,MONTH(P345)&lt;=Setup!$C$16),OR(MONTH(P345)&gt;=Setup!$C$15,MONTH(P345)&lt;=Setup!$C$16)),IF(Setup!$C$15&lt;=Setup!$C$16,AND(MONTH(WORKDAY(P345,-(Setup!$C$13+Setup!$G$34),Setup!$C$39:$C$50))&gt;=Setup!$C$15,MONTH(WORKDAY(P345,-(Setup!$C$13+Setup!$G$34),Setup!$C$39:$C$50))&lt;=Setup!$C$16),OR(MONTH(WORKDAY(P345,-(Setup!$C$13+Setup!$G$34),Setup!$C$39:$C$50))&gt;=Setup!$C$15,MONTH(WORKDAY(P345,-(Setup!$C$13+Setup!$G$34),Setup!$C$39:$C$50))&lt;=Setup!$C$16))),WORKDAY(P345,-(Setup!$C$13+Setup!$G$34+Setup!$C$14),Setup!$C$39:$C$50),WORKDAY(P345,-(Setup!$C$13+Setup!$G$34),Setup!$C$39:$C$50))+(340*100+15)/10000000)))</f>
        <v/>
      </c>
      <c r="AH345" t="str">
        <f t="shared" si="41"/>
        <v/>
      </c>
      <c r="AI345" t="str">
        <f t="shared" si="42"/>
        <v/>
      </c>
      <c r="AP345" t="str">
        <f>IF(ISNUMBER(Roster!$B345),MAX(1,YEAR(Setup!$C$5)-YEAR(Roster!$B345)+IF(EDATE(Roster!$B345,12*(YEAR(Setup!$C$5)-YEAR(Roster!$B345)))&lt;Setup!$C$5,1,0)),"")</f>
        <v/>
      </c>
      <c r="AQ345" s="32" t="str">
        <f>IF(AP345="","",EDATE(Roster!$B345,12*AP345))</f>
        <v/>
      </c>
      <c r="AR345" t="str">
        <f>IF(AQ345="","",IF(AQ345&lt;DATE(YEAR(Setup!$C$5)+1,MONTH(Setup!$C$5),DAY(Setup!$C$5)),AQ345+340/1000,""))</f>
        <v/>
      </c>
      <c r="AS345" t="str">
        <f t="shared" si="43"/>
        <v/>
      </c>
      <c r="AT345" t="str">
        <f>IF(AS345="","",IF(ISNUMBER(Roster!$D345),Roster!$D345&gt;=AP345,FALSE))</f>
        <v/>
      </c>
      <c r="AU345" t="str">
        <f t="shared" si="44"/>
        <v/>
      </c>
      <c r="AV345" t="str">
        <f ca="1">IF(340&gt;$AV$2,"",SMALL($AR$6:$AR$505,340))</f>
        <v/>
      </c>
      <c r="AW345" t="str">
        <f t="shared" ca="1" si="45"/>
        <v/>
      </c>
    </row>
    <row r="346" spans="2:49" x14ac:dyDescent="0.2">
      <c r="B346" s="32" t="str">
        <f>IF(AND(ISNUMBER(Roster!$B346),Setup!$B$20="Yes",ISNUMBER(Setup!$C$20)),EDATE(Roster!$B346,12*Setup!$C$20),"")</f>
        <v/>
      </c>
      <c r="C346" s="32" t="str">
        <f>IF(AND(ISNUMBER(Roster!$B346),Setup!$B$21="Yes",ISNUMBER(Setup!$C$21)),EDATE(Roster!$B346,12*Setup!$C$21),"")</f>
        <v/>
      </c>
      <c r="D346" s="32" t="str">
        <f>IF(AND(ISNUMBER(Roster!$B346),Setup!$B$22="Yes",ISNUMBER(Setup!$C$22)),EDATE(Roster!$B346,12*Setup!$C$22),"")</f>
        <v/>
      </c>
      <c r="E346" s="32" t="str">
        <f>IF(AND(ISNUMBER(Roster!$B346),Setup!$B$23="Yes",ISNUMBER(Setup!$C$23)),EDATE(Roster!$B346,12*Setup!$C$23),"")</f>
        <v/>
      </c>
      <c r="F346" s="32" t="str">
        <f>IF(AND(ISNUMBER(Roster!$B346),Setup!$B$24="Yes",ISNUMBER(Setup!$C$24)),EDATE(Roster!$B346,12*Setup!$C$24),"")</f>
        <v/>
      </c>
      <c r="G346" s="32" t="str">
        <f>IF(AND(ISNUMBER(Roster!$B346),Setup!$B$25="Yes",ISNUMBER(Setup!$C$25)),EDATE(Roster!$B346,12*Setup!$C$25),"")</f>
        <v/>
      </c>
      <c r="H346" s="32" t="str">
        <f>IF(AND(ISNUMBER(Roster!$B346),Setup!$B$26="Yes",ISNUMBER(Setup!$C$26)),EDATE(Roster!$B346,12*Setup!$C$26),"")</f>
        <v/>
      </c>
      <c r="I346" s="32" t="str">
        <f>IF(AND(ISNUMBER(Roster!$B346),Setup!$B$27="Yes",ISNUMBER(Setup!$C$27)),EDATE(Roster!$B346,12*Setup!$C$27),"")</f>
        <v/>
      </c>
      <c r="J346" s="32" t="str">
        <f>IF(AND(ISNUMBER(Roster!$B346),Setup!$B$28="Yes",ISNUMBER(Setup!$C$28)),EDATE(Roster!$B346,12*Setup!$C$28),"")</f>
        <v/>
      </c>
      <c r="K346" s="32" t="str">
        <f>IF(AND(ISNUMBER(Roster!$B346),Setup!$B$29="Yes",ISNUMBER(Setup!$C$29)),EDATE(Roster!$B346,12*Setup!$C$29),"")</f>
        <v/>
      </c>
      <c r="L346" s="32" t="str">
        <f>IF(AND(ISNUMBER(Roster!$B346),Setup!$B$30="Yes",ISNUMBER(Setup!$C$30)),EDATE(Roster!$B346,12*Setup!$C$30),"")</f>
        <v/>
      </c>
      <c r="M346" s="32" t="str">
        <f>IF(AND(ISNUMBER(Roster!$B346),Setup!$B$31="Yes",ISNUMBER(Setup!$C$31)),EDATE(Roster!$B346,12*Setup!$C$31),"")</f>
        <v/>
      </c>
      <c r="N346" s="32" t="str">
        <f>IF(AND(ISNUMBER(Roster!$B346),Setup!$B$32="Yes",ISNUMBER(Setup!$C$32)),EDATE(Roster!$B346,12*Setup!$C$32),"")</f>
        <v/>
      </c>
      <c r="O346" s="32" t="str">
        <f>IF(AND(ISNUMBER(Roster!$B346),Setup!$B$33="Yes",ISNUMBER(Setup!$C$33)),EDATE(Roster!$B346,12*Setup!$C$33),"")</f>
        <v/>
      </c>
      <c r="P346" s="32" t="str">
        <f>IF(AND(ISNUMBER(Roster!$B346),Setup!$B$34="Yes",ISNUMBER(Setup!$C$34)),EDATE(Roster!$B346,12*Setup!$C$34),"")</f>
        <v/>
      </c>
      <c r="R346" t="str">
        <f>IF(B346="","",IF(B346&lt;Setup!$C$5-Setup!$C$6,"",IF(IF(ISNUMBER(Roster!$D346),Setup!$C$20&lt;=Roster!$D346,FALSE),"",IF(OR(IF(Setup!$C$15&lt;=Setup!$C$16,AND(MONTH(B346)&gt;=Setup!$C$15,MONTH(B346)&lt;=Setup!$C$16),OR(MONTH(B346)&gt;=Setup!$C$15,MONTH(B346)&lt;=Setup!$C$16)),IF(Setup!$C$15&lt;=Setup!$C$16,AND(MONTH(WORKDAY(B346,-(Setup!$C$13+Setup!$G$20),Setup!$C$39:$C$50))&gt;=Setup!$C$15,MONTH(WORKDAY(B346,-(Setup!$C$13+Setup!$G$20),Setup!$C$39:$C$50))&lt;=Setup!$C$16),OR(MONTH(WORKDAY(B346,-(Setup!$C$13+Setup!$G$20),Setup!$C$39:$C$50))&gt;=Setup!$C$15,MONTH(WORKDAY(B346,-(Setup!$C$13+Setup!$G$20),Setup!$C$39:$C$50))&lt;=Setup!$C$16))),WORKDAY(B346,-(Setup!$C$13+Setup!$G$20+Setup!$C$14),Setup!$C$39:$C$50),WORKDAY(B346,-(Setup!$C$13+Setup!$G$20),Setup!$C$39:$C$50))+(341*100+1)/10000000)))</f>
        <v/>
      </c>
      <c r="S346" t="str">
        <f>IF(C346="","",IF(C346&lt;Setup!$C$5-Setup!$C$6,"",IF(IF(ISNUMBER(Roster!$D346),Setup!$C$21&lt;=Roster!$D346,FALSE),"",IF(OR(IF(Setup!$C$15&lt;=Setup!$C$16,AND(MONTH(C346)&gt;=Setup!$C$15,MONTH(C346)&lt;=Setup!$C$16),OR(MONTH(C346)&gt;=Setup!$C$15,MONTH(C346)&lt;=Setup!$C$16)),IF(Setup!$C$15&lt;=Setup!$C$16,AND(MONTH(WORKDAY(C346,-(Setup!$C$13+Setup!$G$21),Setup!$C$39:$C$50))&gt;=Setup!$C$15,MONTH(WORKDAY(C346,-(Setup!$C$13+Setup!$G$21),Setup!$C$39:$C$50))&lt;=Setup!$C$16),OR(MONTH(WORKDAY(C346,-(Setup!$C$13+Setup!$G$21),Setup!$C$39:$C$50))&gt;=Setup!$C$15,MONTH(WORKDAY(C346,-(Setup!$C$13+Setup!$G$21),Setup!$C$39:$C$50))&lt;=Setup!$C$16))),WORKDAY(C346,-(Setup!$C$13+Setup!$G$21+Setup!$C$14),Setup!$C$39:$C$50),WORKDAY(C346,-(Setup!$C$13+Setup!$G$21),Setup!$C$39:$C$50))+(341*100+2)/10000000)))</f>
        <v/>
      </c>
      <c r="T346" t="str">
        <f>IF(D346="","",IF(D346&lt;Setup!$C$5-Setup!$C$6,"",IF(IF(ISNUMBER(Roster!$D346),Setup!$C$22&lt;=Roster!$D346,FALSE),"",IF(OR(IF(Setup!$C$15&lt;=Setup!$C$16,AND(MONTH(D346)&gt;=Setup!$C$15,MONTH(D346)&lt;=Setup!$C$16),OR(MONTH(D346)&gt;=Setup!$C$15,MONTH(D346)&lt;=Setup!$C$16)),IF(Setup!$C$15&lt;=Setup!$C$16,AND(MONTH(WORKDAY(D346,-(Setup!$C$13+Setup!$G$22),Setup!$C$39:$C$50))&gt;=Setup!$C$15,MONTH(WORKDAY(D346,-(Setup!$C$13+Setup!$G$22),Setup!$C$39:$C$50))&lt;=Setup!$C$16),OR(MONTH(WORKDAY(D346,-(Setup!$C$13+Setup!$G$22),Setup!$C$39:$C$50))&gt;=Setup!$C$15,MONTH(WORKDAY(D346,-(Setup!$C$13+Setup!$G$22),Setup!$C$39:$C$50))&lt;=Setup!$C$16))),WORKDAY(D346,-(Setup!$C$13+Setup!$G$22+Setup!$C$14),Setup!$C$39:$C$50),WORKDAY(D346,-(Setup!$C$13+Setup!$G$22),Setup!$C$39:$C$50))+(341*100+3)/10000000)))</f>
        <v/>
      </c>
      <c r="U346" t="str">
        <f>IF(E346="","",IF(E346&lt;Setup!$C$5-Setup!$C$6,"",IF(IF(ISNUMBER(Roster!$D346),Setup!$C$23&lt;=Roster!$D346,FALSE),"",IF(OR(IF(Setup!$C$15&lt;=Setup!$C$16,AND(MONTH(E346)&gt;=Setup!$C$15,MONTH(E346)&lt;=Setup!$C$16),OR(MONTH(E346)&gt;=Setup!$C$15,MONTH(E346)&lt;=Setup!$C$16)),IF(Setup!$C$15&lt;=Setup!$C$16,AND(MONTH(WORKDAY(E346,-(Setup!$C$13+Setup!$G$23),Setup!$C$39:$C$50))&gt;=Setup!$C$15,MONTH(WORKDAY(E346,-(Setup!$C$13+Setup!$G$23),Setup!$C$39:$C$50))&lt;=Setup!$C$16),OR(MONTH(WORKDAY(E346,-(Setup!$C$13+Setup!$G$23),Setup!$C$39:$C$50))&gt;=Setup!$C$15,MONTH(WORKDAY(E346,-(Setup!$C$13+Setup!$G$23),Setup!$C$39:$C$50))&lt;=Setup!$C$16))),WORKDAY(E346,-(Setup!$C$13+Setup!$G$23+Setup!$C$14),Setup!$C$39:$C$50),WORKDAY(E346,-(Setup!$C$13+Setup!$G$23),Setup!$C$39:$C$50))+(341*100+4)/10000000)))</f>
        <v/>
      </c>
      <c r="V346" t="str">
        <f>IF(F346="","",IF(F346&lt;Setup!$C$5-Setup!$C$6,"",IF(IF(ISNUMBER(Roster!$D346),Setup!$C$24&lt;=Roster!$D346,FALSE),"",IF(OR(IF(Setup!$C$15&lt;=Setup!$C$16,AND(MONTH(F346)&gt;=Setup!$C$15,MONTH(F346)&lt;=Setup!$C$16),OR(MONTH(F346)&gt;=Setup!$C$15,MONTH(F346)&lt;=Setup!$C$16)),IF(Setup!$C$15&lt;=Setup!$C$16,AND(MONTH(WORKDAY(F346,-(Setup!$C$13+Setup!$G$24),Setup!$C$39:$C$50))&gt;=Setup!$C$15,MONTH(WORKDAY(F346,-(Setup!$C$13+Setup!$G$24),Setup!$C$39:$C$50))&lt;=Setup!$C$16),OR(MONTH(WORKDAY(F346,-(Setup!$C$13+Setup!$G$24),Setup!$C$39:$C$50))&gt;=Setup!$C$15,MONTH(WORKDAY(F346,-(Setup!$C$13+Setup!$G$24),Setup!$C$39:$C$50))&lt;=Setup!$C$16))),WORKDAY(F346,-(Setup!$C$13+Setup!$G$24+Setup!$C$14),Setup!$C$39:$C$50),WORKDAY(F346,-(Setup!$C$13+Setup!$G$24),Setup!$C$39:$C$50))+(341*100+5)/10000000)))</f>
        <v/>
      </c>
      <c r="W346" t="str">
        <f>IF(G346="","",IF(G346&lt;Setup!$C$5-Setup!$C$6,"",IF(IF(ISNUMBER(Roster!$D346),Setup!$C$25&lt;=Roster!$D346,FALSE),"",IF(OR(IF(Setup!$C$15&lt;=Setup!$C$16,AND(MONTH(G346)&gt;=Setup!$C$15,MONTH(G346)&lt;=Setup!$C$16),OR(MONTH(G346)&gt;=Setup!$C$15,MONTH(G346)&lt;=Setup!$C$16)),IF(Setup!$C$15&lt;=Setup!$C$16,AND(MONTH(WORKDAY(G346,-(Setup!$C$13+Setup!$G$25),Setup!$C$39:$C$50))&gt;=Setup!$C$15,MONTH(WORKDAY(G346,-(Setup!$C$13+Setup!$G$25),Setup!$C$39:$C$50))&lt;=Setup!$C$16),OR(MONTH(WORKDAY(G346,-(Setup!$C$13+Setup!$G$25),Setup!$C$39:$C$50))&gt;=Setup!$C$15,MONTH(WORKDAY(G346,-(Setup!$C$13+Setup!$G$25),Setup!$C$39:$C$50))&lt;=Setup!$C$16))),WORKDAY(G346,-(Setup!$C$13+Setup!$G$25+Setup!$C$14),Setup!$C$39:$C$50),WORKDAY(G346,-(Setup!$C$13+Setup!$G$25),Setup!$C$39:$C$50))+(341*100+6)/10000000)))</f>
        <v/>
      </c>
      <c r="X346" t="str">
        <f>IF(H346="","",IF(H346&lt;Setup!$C$5-Setup!$C$6,"",IF(IF(ISNUMBER(Roster!$D346),Setup!$C$26&lt;=Roster!$D346,FALSE),"",IF(OR(IF(Setup!$C$15&lt;=Setup!$C$16,AND(MONTH(H346)&gt;=Setup!$C$15,MONTH(H346)&lt;=Setup!$C$16),OR(MONTH(H346)&gt;=Setup!$C$15,MONTH(H346)&lt;=Setup!$C$16)),IF(Setup!$C$15&lt;=Setup!$C$16,AND(MONTH(WORKDAY(H346,-(Setup!$C$13+Setup!$G$26),Setup!$C$39:$C$50))&gt;=Setup!$C$15,MONTH(WORKDAY(H346,-(Setup!$C$13+Setup!$G$26),Setup!$C$39:$C$50))&lt;=Setup!$C$16),OR(MONTH(WORKDAY(H346,-(Setup!$C$13+Setup!$G$26),Setup!$C$39:$C$50))&gt;=Setup!$C$15,MONTH(WORKDAY(H346,-(Setup!$C$13+Setup!$G$26),Setup!$C$39:$C$50))&lt;=Setup!$C$16))),WORKDAY(H346,-(Setup!$C$13+Setup!$G$26+Setup!$C$14),Setup!$C$39:$C$50),WORKDAY(H346,-(Setup!$C$13+Setup!$G$26),Setup!$C$39:$C$50))+(341*100+7)/10000000)))</f>
        <v/>
      </c>
      <c r="Y346" t="str">
        <f>IF(I346="","",IF(I346&lt;Setup!$C$5-Setup!$C$6,"",IF(IF(ISNUMBER(Roster!$D346),Setup!$C$27&lt;=Roster!$D346,FALSE),"",IF(OR(IF(Setup!$C$15&lt;=Setup!$C$16,AND(MONTH(I346)&gt;=Setup!$C$15,MONTH(I346)&lt;=Setup!$C$16),OR(MONTH(I346)&gt;=Setup!$C$15,MONTH(I346)&lt;=Setup!$C$16)),IF(Setup!$C$15&lt;=Setup!$C$16,AND(MONTH(WORKDAY(I346,-(Setup!$C$13+Setup!$G$27),Setup!$C$39:$C$50))&gt;=Setup!$C$15,MONTH(WORKDAY(I346,-(Setup!$C$13+Setup!$G$27),Setup!$C$39:$C$50))&lt;=Setup!$C$16),OR(MONTH(WORKDAY(I346,-(Setup!$C$13+Setup!$G$27),Setup!$C$39:$C$50))&gt;=Setup!$C$15,MONTH(WORKDAY(I346,-(Setup!$C$13+Setup!$G$27),Setup!$C$39:$C$50))&lt;=Setup!$C$16))),WORKDAY(I346,-(Setup!$C$13+Setup!$G$27+Setup!$C$14),Setup!$C$39:$C$50),WORKDAY(I346,-(Setup!$C$13+Setup!$G$27),Setup!$C$39:$C$50))+(341*100+8)/10000000)))</f>
        <v/>
      </c>
      <c r="Z346" t="str">
        <f>IF(J346="","",IF(J346&lt;Setup!$C$5-Setup!$C$6,"",IF(IF(ISNUMBER(Roster!$D346),Setup!$C$28&lt;=Roster!$D346,FALSE),"",IF(OR(IF(Setup!$C$15&lt;=Setup!$C$16,AND(MONTH(J346)&gt;=Setup!$C$15,MONTH(J346)&lt;=Setup!$C$16),OR(MONTH(J346)&gt;=Setup!$C$15,MONTH(J346)&lt;=Setup!$C$16)),IF(Setup!$C$15&lt;=Setup!$C$16,AND(MONTH(WORKDAY(J346,-(Setup!$C$13+Setup!$G$28),Setup!$C$39:$C$50))&gt;=Setup!$C$15,MONTH(WORKDAY(J346,-(Setup!$C$13+Setup!$G$28),Setup!$C$39:$C$50))&lt;=Setup!$C$16),OR(MONTH(WORKDAY(J346,-(Setup!$C$13+Setup!$G$28),Setup!$C$39:$C$50))&gt;=Setup!$C$15,MONTH(WORKDAY(J346,-(Setup!$C$13+Setup!$G$28),Setup!$C$39:$C$50))&lt;=Setup!$C$16))),WORKDAY(J346,-(Setup!$C$13+Setup!$G$28+Setup!$C$14),Setup!$C$39:$C$50),WORKDAY(J346,-(Setup!$C$13+Setup!$G$28),Setup!$C$39:$C$50))+(341*100+9)/10000000)))</f>
        <v/>
      </c>
      <c r="AA346" t="str">
        <f>IF(K346="","",IF(K346&lt;Setup!$C$5-Setup!$C$6,"",IF(IF(ISNUMBER(Roster!$D346),Setup!$C$29&lt;=Roster!$D346,FALSE),"",IF(OR(IF(Setup!$C$15&lt;=Setup!$C$16,AND(MONTH(K346)&gt;=Setup!$C$15,MONTH(K346)&lt;=Setup!$C$16),OR(MONTH(K346)&gt;=Setup!$C$15,MONTH(K346)&lt;=Setup!$C$16)),IF(Setup!$C$15&lt;=Setup!$C$16,AND(MONTH(WORKDAY(K346,-(Setup!$C$13+Setup!$G$29),Setup!$C$39:$C$50))&gt;=Setup!$C$15,MONTH(WORKDAY(K346,-(Setup!$C$13+Setup!$G$29),Setup!$C$39:$C$50))&lt;=Setup!$C$16),OR(MONTH(WORKDAY(K346,-(Setup!$C$13+Setup!$G$29),Setup!$C$39:$C$50))&gt;=Setup!$C$15,MONTH(WORKDAY(K346,-(Setup!$C$13+Setup!$G$29),Setup!$C$39:$C$50))&lt;=Setup!$C$16))),WORKDAY(K346,-(Setup!$C$13+Setup!$G$29+Setup!$C$14),Setup!$C$39:$C$50),WORKDAY(K346,-(Setup!$C$13+Setup!$G$29),Setup!$C$39:$C$50))+(341*100+10)/10000000)))</f>
        <v/>
      </c>
      <c r="AB346" t="str">
        <f>IF(L346="","",IF(L346&lt;Setup!$C$5-Setup!$C$6,"",IF(IF(ISNUMBER(Roster!$D346),Setup!$C$30&lt;=Roster!$D346,FALSE),"",IF(OR(IF(Setup!$C$15&lt;=Setup!$C$16,AND(MONTH(L346)&gt;=Setup!$C$15,MONTH(L346)&lt;=Setup!$C$16),OR(MONTH(L346)&gt;=Setup!$C$15,MONTH(L346)&lt;=Setup!$C$16)),IF(Setup!$C$15&lt;=Setup!$C$16,AND(MONTH(WORKDAY(L346,-(Setup!$C$13+Setup!$G$30),Setup!$C$39:$C$50))&gt;=Setup!$C$15,MONTH(WORKDAY(L346,-(Setup!$C$13+Setup!$G$30),Setup!$C$39:$C$50))&lt;=Setup!$C$16),OR(MONTH(WORKDAY(L346,-(Setup!$C$13+Setup!$G$30),Setup!$C$39:$C$50))&gt;=Setup!$C$15,MONTH(WORKDAY(L346,-(Setup!$C$13+Setup!$G$30),Setup!$C$39:$C$50))&lt;=Setup!$C$16))),WORKDAY(L346,-(Setup!$C$13+Setup!$G$30+Setup!$C$14),Setup!$C$39:$C$50),WORKDAY(L346,-(Setup!$C$13+Setup!$G$30),Setup!$C$39:$C$50))+(341*100+11)/10000000)))</f>
        <v/>
      </c>
      <c r="AC346" t="str">
        <f>IF(M346="","",IF(M346&lt;Setup!$C$5-Setup!$C$6,"",IF(IF(ISNUMBER(Roster!$D346),Setup!$C$31&lt;=Roster!$D346,FALSE),"",IF(OR(IF(Setup!$C$15&lt;=Setup!$C$16,AND(MONTH(M346)&gt;=Setup!$C$15,MONTH(M346)&lt;=Setup!$C$16),OR(MONTH(M346)&gt;=Setup!$C$15,MONTH(M346)&lt;=Setup!$C$16)),IF(Setup!$C$15&lt;=Setup!$C$16,AND(MONTH(WORKDAY(M346,-(Setup!$C$13+Setup!$G$31),Setup!$C$39:$C$50))&gt;=Setup!$C$15,MONTH(WORKDAY(M346,-(Setup!$C$13+Setup!$G$31),Setup!$C$39:$C$50))&lt;=Setup!$C$16),OR(MONTH(WORKDAY(M346,-(Setup!$C$13+Setup!$G$31),Setup!$C$39:$C$50))&gt;=Setup!$C$15,MONTH(WORKDAY(M346,-(Setup!$C$13+Setup!$G$31),Setup!$C$39:$C$50))&lt;=Setup!$C$16))),WORKDAY(M346,-(Setup!$C$13+Setup!$G$31+Setup!$C$14),Setup!$C$39:$C$50),WORKDAY(M346,-(Setup!$C$13+Setup!$G$31),Setup!$C$39:$C$50))+(341*100+12)/10000000)))</f>
        <v/>
      </c>
      <c r="AD346" t="str">
        <f>IF(N346="","",IF(N346&lt;Setup!$C$5-Setup!$C$6,"",IF(IF(ISNUMBER(Roster!$D346),Setup!$C$32&lt;=Roster!$D346,FALSE),"",IF(OR(IF(Setup!$C$15&lt;=Setup!$C$16,AND(MONTH(N346)&gt;=Setup!$C$15,MONTH(N346)&lt;=Setup!$C$16),OR(MONTH(N346)&gt;=Setup!$C$15,MONTH(N346)&lt;=Setup!$C$16)),IF(Setup!$C$15&lt;=Setup!$C$16,AND(MONTH(WORKDAY(N346,-(Setup!$C$13+Setup!$G$32),Setup!$C$39:$C$50))&gt;=Setup!$C$15,MONTH(WORKDAY(N346,-(Setup!$C$13+Setup!$G$32),Setup!$C$39:$C$50))&lt;=Setup!$C$16),OR(MONTH(WORKDAY(N346,-(Setup!$C$13+Setup!$G$32),Setup!$C$39:$C$50))&gt;=Setup!$C$15,MONTH(WORKDAY(N346,-(Setup!$C$13+Setup!$G$32),Setup!$C$39:$C$50))&lt;=Setup!$C$16))),WORKDAY(N346,-(Setup!$C$13+Setup!$G$32+Setup!$C$14),Setup!$C$39:$C$50),WORKDAY(N346,-(Setup!$C$13+Setup!$G$32),Setup!$C$39:$C$50))+(341*100+13)/10000000)))</f>
        <v/>
      </c>
      <c r="AE346" t="str">
        <f>IF(O346="","",IF(O346&lt;Setup!$C$5-Setup!$C$6,"",IF(IF(ISNUMBER(Roster!$D346),Setup!$C$33&lt;=Roster!$D346,FALSE),"",IF(OR(IF(Setup!$C$15&lt;=Setup!$C$16,AND(MONTH(O346)&gt;=Setup!$C$15,MONTH(O346)&lt;=Setup!$C$16),OR(MONTH(O346)&gt;=Setup!$C$15,MONTH(O346)&lt;=Setup!$C$16)),IF(Setup!$C$15&lt;=Setup!$C$16,AND(MONTH(WORKDAY(O346,-(Setup!$C$13+Setup!$G$33),Setup!$C$39:$C$50))&gt;=Setup!$C$15,MONTH(WORKDAY(O346,-(Setup!$C$13+Setup!$G$33),Setup!$C$39:$C$50))&lt;=Setup!$C$16),OR(MONTH(WORKDAY(O346,-(Setup!$C$13+Setup!$G$33),Setup!$C$39:$C$50))&gt;=Setup!$C$15,MONTH(WORKDAY(O346,-(Setup!$C$13+Setup!$G$33),Setup!$C$39:$C$50))&lt;=Setup!$C$16))),WORKDAY(O346,-(Setup!$C$13+Setup!$G$33+Setup!$C$14),Setup!$C$39:$C$50),WORKDAY(O346,-(Setup!$C$13+Setup!$G$33),Setup!$C$39:$C$50))+(341*100+14)/10000000)))</f>
        <v/>
      </c>
      <c r="AF346" t="str">
        <f>IF(P346="","",IF(P346&lt;Setup!$C$5-Setup!$C$6,"",IF(IF(ISNUMBER(Roster!$D346),Setup!$C$34&lt;=Roster!$D346,FALSE),"",IF(OR(IF(Setup!$C$15&lt;=Setup!$C$16,AND(MONTH(P346)&gt;=Setup!$C$15,MONTH(P346)&lt;=Setup!$C$16),OR(MONTH(P346)&gt;=Setup!$C$15,MONTH(P346)&lt;=Setup!$C$16)),IF(Setup!$C$15&lt;=Setup!$C$16,AND(MONTH(WORKDAY(P346,-(Setup!$C$13+Setup!$G$34),Setup!$C$39:$C$50))&gt;=Setup!$C$15,MONTH(WORKDAY(P346,-(Setup!$C$13+Setup!$G$34),Setup!$C$39:$C$50))&lt;=Setup!$C$16),OR(MONTH(WORKDAY(P346,-(Setup!$C$13+Setup!$G$34),Setup!$C$39:$C$50))&gt;=Setup!$C$15,MONTH(WORKDAY(P346,-(Setup!$C$13+Setup!$G$34),Setup!$C$39:$C$50))&lt;=Setup!$C$16))),WORKDAY(P346,-(Setup!$C$13+Setup!$G$34+Setup!$C$14),Setup!$C$39:$C$50),WORKDAY(P346,-(Setup!$C$13+Setup!$G$34),Setup!$C$39:$C$50))+(341*100+15)/10000000)))</f>
        <v/>
      </c>
      <c r="AH346" t="str">
        <f t="shared" si="41"/>
        <v/>
      </c>
      <c r="AI346" t="str">
        <f t="shared" si="42"/>
        <v/>
      </c>
      <c r="AP346" t="str">
        <f>IF(ISNUMBER(Roster!$B346),MAX(1,YEAR(Setup!$C$5)-YEAR(Roster!$B346)+IF(EDATE(Roster!$B346,12*(YEAR(Setup!$C$5)-YEAR(Roster!$B346)))&lt;Setup!$C$5,1,0)),"")</f>
        <v/>
      </c>
      <c r="AQ346" s="32" t="str">
        <f>IF(AP346="","",EDATE(Roster!$B346,12*AP346))</f>
        <v/>
      </c>
      <c r="AR346" t="str">
        <f>IF(AQ346="","",IF(AQ346&lt;DATE(YEAR(Setup!$C$5)+1,MONTH(Setup!$C$5),DAY(Setup!$C$5)),AQ346+341/1000,""))</f>
        <v/>
      </c>
      <c r="AS346" t="str">
        <f t="shared" si="43"/>
        <v/>
      </c>
      <c r="AT346" t="str">
        <f>IF(AS346="","",IF(ISNUMBER(Roster!$D346),Roster!$D346&gt;=AP346,FALSE))</f>
        <v/>
      </c>
      <c r="AU346" t="str">
        <f t="shared" si="44"/>
        <v/>
      </c>
      <c r="AV346" t="str">
        <f ca="1">IF(341&gt;$AV$2,"",SMALL($AR$6:$AR$505,341))</f>
        <v/>
      </c>
      <c r="AW346" t="str">
        <f t="shared" ca="1" si="45"/>
        <v/>
      </c>
    </row>
    <row r="347" spans="2:49" x14ac:dyDescent="0.2">
      <c r="B347" s="32" t="str">
        <f>IF(AND(ISNUMBER(Roster!$B347),Setup!$B$20="Yes",ISNUMBER(Setup!$C$20)),EDATE(Roster!$B347,12*Setup!$C$20),"")</f>
        <v/>
      </c>
      <c r="C347" s="32" t="str">
        <f>IF(AND(ISNUMBER(Roster!$B347),Setup!$B$21="Yes",ISNUMBER(Setup!$C$21)),EDATE(Roster!$B347,12*Setup!$C$21),"")</f>
        <v/>
      </c>
      <c r="D347" s="32" t="str">
        <f>IF(AND(ISNUMBER(Roster!$B347),Setup!$B$22="Yes",ISNUMBER(Setup!$C$22)),EDATE(Roster!$B347,12*Setup!$C$22),"")</f>
        <v/>
      </c>
      <c r="E347" s="32" t="str">
        <f>IF(AND(ISNUMBER(Roster!$B347),Setup!$B$23="Yes",ISNUMBER(Setup!$C$23)),EDATE(Roster!$B347,12*Setup!$C$23),"")</f>
        <v/>
      </c>
      <c r="F347" s="32" t="str">
        <f>IF(AND(ISNUMBER(Roster!$B347),Setup!$B$24="Yes",ISNUMBER(Setup!$C$24)),EDATE(Roster!$B347,12*Setup!$C$24),"")</f>
        <v/>
      </c>
      <c r="G347" s="32" t="str">
        <f>IF(AND(ISNUMBER(Roster!$B347),Setup!$B$25="Yes",ISNUMBER(Setup!$C$25)),EDATE(Roster!$B347,12*Setup!$C$25),"")</f>
        <v/>
      </c>
      <c r="H347" s="32" t="str">
        <f>IF(AND(ISNUMBER(Roster!$B347),Setup!$B$26="Yes",ISNUMBER(Setup!$C$26)),EDATE(Roster!$B347,12*Setup!$C$26),"")</f>
        <v/>
      </c>
      <c r="I347" s="32" t="str">
        <f>IF(AND(ISNUMBER(Roster!$B347),Setup!$B$27="Yes",ISNUMBER(Setup!$C$27)),EDATE(Roster!$B347,12*Setup!$C$27),"")</f>
        <v/>
      </c>
      <c r="J347" s="32" t="str">
        <f>IF(AND(ISNUMBER(Roster!$B347),Setup!$B$28="Yes",ISNUMBER(Setup!$C$28)),EDATE(Roster!$B347,12*Setup!$C$28),"")</f>
        <v/>
      </c>
      <c r="K347" s="32" t="str">
        <f>IF(AND(ISNUMBER(Roster!$B347),Setup!$B$29="Yes",ISNUMBER(Setup!$C$29)),EDATE(Roster!$B347,12*Setup!$C$29),"")</f>
        <v/>
      </c>
      <c r="L347" s="32" t="str">
        <f>IF(AND(ISNUMBER(Roster!$B347),Setup!$B$30="Yes",ISNUMBER(Setup!$C$30)),EDATE(Roster!$B347,12*Setup!$C$30),"")</f>
        <v/>
      </c>
      <c r="M347" s="32" t="str">
        <f>IF(AND(ISNUMBER(Roster!$B347),Setup!$B$31="Yes",ISNUMBER(Setup!$C$31)),EDATE(Roster!$B347,12*Setup!$C$31),"")</f>
        <v/>
      </c>
      <c r="N347" s="32" t="str">
        <f>IF(AND(ISNUMBER(Roster!$B347),Setup!$B$32="Yes",ISNUMBER(Setup!$C$32)),EDATE(Roster!$B347,12*Setup!$C$32),"")</f>
        <v/>
      </c>
      <c r="O347" s="32" t="str">
        <f>IF(AND(ISNUMBER(Roster!$B347),Setup!$B$33="Yes",ISNUMBER(Setup!$C$33)),EDATE(Roster!$B347,12*Setup!$C$33),"")</f>
        <v/>
      </c>
      <c r="P347" s="32" t="str">
        <f>IF(AND(ISNUMBER(Roster!$B347),Setup!$B$34="Yes",ISNUMBER(Setup!$C$34)),EDATE(Roster!$B347,12*Setup!$C$34),"")</f>
        <v/>
      </c>
      <c r="R347" t="str">
        <f>IF(B347="","",IF(B347&lt;Setup!$C$5-Setup!$C$6,"",IF(IF(ISNUMBER(Roster!$D347),Setup!$C$20&lt;=Roster!$D347,FALSE),"",IF(OR(IF(Setup!$C$15&lt;=Setup!$C$16,AND(MONTH(B347)&gt;=Setup!$C$15,MONTH(B347)&lt;=Setup!$C$16),OR(MONTH(B347)&gt;=Setup!$C$15,MONTH(B347)&lt;=Setup!$C$16)),IF(Setup!$C$15&lt;=Setup!$C$16,AND(MONTH(WORKDAY(B347,-(Setup!$C$13+Setup!$G$20),Setup!$C$39:$C$50))&gt;=Setup!$C$15,MONTH(WORKDAY(B347,-(Setup!$C$13+Setup!$G$20),Setup!$C$39:$C$50))&lt;=Setup!$C$16),OR(MONTH(WORKDAY(B347,-(Setup!$C$13+Setup!$G$20),Setup!$C$39:$C$50))&gt;=Setup!$C$15,MONTH(WORKDAY(B347,-(Setup!$C$13+Setup!$G$20),Setup!$C$39:$C$50))&lt;=Setup!$C$16))),WORKDAY(B347,-(Setup!$C$13+Setup!$G$20+Setup!$C$14),Setup!$C$39:$C$50),WORKDAY(B347,-(Setup!$C$13+Setup!$G$20),Setup!$C$39:$C$50))+(342*100+1)/10000000)))</f>
        <v/>
      </c>
      <c r="S347" t="str">
        <f>IF(C347="","",IF(C347&lt;Setup!$C$5-Setup!$C$6,"",IF(IF(ISNUMBER(Roster!$D347),Setup!$C$21&lt;=Roster!$D347,FALSE),"",IF(OR(IF(Setup!$C$15&lt;=Setup!$C$16,AND(MONTH(C347)&gt;=Setup!$C$15,MONTH(C347)&lt;=Setup!$C$16),OR(MONTH(C347)&gt;=Setup!$C$15,MONTH(C347)&lt;=Setup!$C$16)),IF(Setup!$C$15&lt;=Setup!$C$16,AND(MONTH(WORKDAY(C347,-(Setup!$C$13+Setup!$G$21),Setup!$C$39:$C$50))&gt;=Setup!$C$15,MONTH(WORKDAY(C347,-(Setup!$C$13+Setup!$G$21),Setup!$C$39:$C$50))&lt;=Setup!$C$16),OR(MONTH(WORKDAY(C347,-(Setup!$C$13+Setup!$G$21),Setup!$C$39:$C$50))&gt;=Setup!$C$15,MONTH(WORKDAY(C347,-(Setup!$C$13+Setup!$G$21),Setup!$C$39:$C$50))&lt;=Setup!$C$16))),WORKDAY(C347,-(Setup!$C$13+Setup!$G$21+Setup!$C$14),Setup!$C$39:$C$50),WORKDAY(C347,-(Setup!$C$13+Setup!$G$21),Setup!$C$39:$C$50))+(342*100+2)/10000000)))</f>
        <v/>
      </c>
      <c r="T347" t="str">
        <f>IF(D347="","",IF(D347&lt;Setup!$C$5-Setup!$C$6,"",IF(IF(ISNUMBER(Roster!$D347),Setup!$C$22&lt;=Roster!$D347,FALSE),"",IF(OR(IF(Setup!$C$15&lt;=Setup!$C$16,AND(MONTH(D347)&gt;=Setup!$C$15,MONTH(D347)&lt;=Setup!$C$16),OR(MONTH(D347)&gt;=Setup!$C$15,MONTH(D347)&lt;=Setup!$C$16)),IF(Setup!$C$15&lt;=Setup!$C$16,AND(MONTH(WORKDAY(D347,-(Setup!$C$13+Setup!$G$22),Setup!$C$39:$C$50))&gt;=Setup!$C$15,MONTH(WORKDAY(D347,-(Setup!$C$13+Setup!$G$22),Setup!$C$39:$C$50))&lt;=Setup!$C$16),OR(MONTH(WORKDAY(D347,-(Setup!$C$13+Setup!$G$22),Setup!$C$39:$C$50))&gt;=Setup!$C$15,MONTH(WORKDAY(D347,-(Setup!$C$13+Setup!$G$22),Setup!$C$39:$C$50))&lt;=Setup!$C$16))),WORKDAY(D347,-(Setup!$C$13+Setup!$G$22+Setup!$C$14),Setup!$C$39:$C$50),WORKDAY(D347,-(Setup!$C$13+Setup!$G$22),Setup!$C$39:$C$50))+(342*100+3)/10000000)))</f>
        <v/>
      </c>
      <c r="U347" t="str">
        <f>IF(E347="","",IF(E347&lt;Setup!$C$5-Setup!$C$6,"",IF(IF(ISNUMBER(Roster!$D347),Setup!$C$23&lt;=Roster!$D347,FALSE),"",IF(OR(IF(Setup!$C$15&lt;=Setup!$C$16,AND(MONTH(E347)&gt;=Setup!$C$15,MONTH(E347)&lt;=Setup!$C$16),OR(MONTH(E347)&gt;=Setup!$C$15,MONTH(E347)&lt;=Setup!$C$16)),IF(Setup!$C$15&lt;=Setup!$C$16,AND(MONTH(WORKDAY(E347,-(Setup!$C$13+Setup!$G$23),Setup!$C$39:$C$50))&gt;=Setup!$C$15,MONTH(WORKDAY(E347,-(Setup!$C$13+Setup!$G$23),Setup!$C$39:$C$50))&lt;=Setup!$C$16),OR(MONTH(WORKDAY(E347,-(Setup!$C$13+Setup!$G$23),Setup!$C$39:$C$50))&gt;=Setup!$C$15,MONTH(WORKDAY(E347,-(Setup!$C$13+Setup!$G$23),Setup!$C$39:$C$50))&lt;=Setup!$C$16))),WORKDAY(E347,-(Setup!$C$13+Setup!$G$23+Setup!$C$14),Setup!$C$39:$C$50),WORKDAY(E347,-(Setup!$C$13+Setup!$G$23),Setup!$C$39:$C$50))+(342*100+4)/10000000)))</f>
        <v/>
      </c>
      <c r="V347" t="str">
        <f>IF(F347="","",IF(F347&lt;Setup!$C$5-Setup!$C$6,"",IF(IF(ISNUMBER(Roster!$D347),Setup!$C$24&lt;=Roster!$D347,FALSE),"",IF(OR(IF(Setup!$C$15&lt;=Setup!$C$16,AND(MONTH(F347)&gt;=Setup!$C$15,MONTH(F347)&lt;=Setup!$C$16),OR(MONTH(F347)&gt;=Setup!$C$15,MONTH(F347)&lt;=Setup!$C$16)),IF(Setup!$C$15&lt;=Setup!$C$16,AND(MONTH(WORKDAY(F347,-(Setup!$C$13+Setup!$G$24),Setup!$C$39:$C$50))&gt;=Setup!$C$15,MONTH(WORKDAY(F347,-(Setup!$C$13+Setup!$G$24),Setup!$C$39:$C$50))&lt;=Setup!$C$16),OR(MONTH(WORKDAY(F347,-(Setup!$C$13+Setup!$G$24),Setup!$C$39:$C$50))&gt;=Setup!$C$15,MONTH(WORKDAY(F347,-(Setup!$C$13+Setup!$G$24),Setup!$C$39:$C$50))&lt;=Setup!$C$16))),WORKDAY(F347,-(Setup!$C$13+Setup!$G$24+Setup!$C$14),Setup!$C$39:$C$50),WORKDAY(F347,-(Setup!$C$13+Setup!$G$24),Setup!$C$39:$C$50))+(342*100+5)/10000000)))</f>
        <v/>
      </c>
      <c r="W347" t="str">
        <f>IF(G347="","",IF(G347&lt;Setup!$C$5-Setup!$C$6,"",IF(IF(ISNUMBER(Roster!$D347),Setup!$C$25&lt;=Roster!$D347,FALSE),"",IF(OR(IF(Setup!$C$15&lt;=Setup!$C$16,AND(MONTH(G347)&gt;=Setup!$C$15,MONTH(G347)&lt;=Setup!$C$16),OR(MONTH(G347)&gt;=Setup!$C$15,MONTH(G347)&lt;=Setup!$C$16)),IF(Setup!$C$15&lt;=Setup!$C$16,AND(MONTH(WORKDAY(G347,-(Setup!$C$13+Setup!$G$25),Setup!$C$39:$C$50))&gt;=Setup!$C$15,MONTH(WORKDAY(G347,-(Setup!$C$13+Setup!$G$25),Setup!$C$39:$C$50))&lt;=Setup!$C$16),OR(MONTH(WORKDAY(G347,-(Setup!$C$13+Setup!$G$25),Setup!$C$39:$C$50))&gt;=Setup!$C$15,MONTH(WORKDAY(G347,-(Setup!$C$13+Setup!$G$25),Setup!$C$39:$C$50))&lt;=Setup!$C$16))),WORKDAY(G347,-(Setup!$C$13+Setup!$G$25+Setup!$C$14),Setup!$C$39:$C$50),WORKDAY(G347,-(Setup!$C$13+Setup!$G$25),Setup!$C$39:$C$50))+(342*100+6)/10000000)))</f>
        <v/>
      </c>
      <c r="X347" t="str">
        <f>IF(H347="","",IF(H347&lt;Setup!$C$5-Setup!$C$6,"",IF(IF(ISNUMBER(Roster!$D347),Setup!$C$26&lt;=Roster!$D347,FALSE),"",IF(OR(IF(Setup!$C$15&lt;=Setup!$C$16,AND(MONTH(H347)&gt;=Setup!$C$15,MONTH(H347)&lt;=Setup!$C$16),OR(MONTH(H347)&gt;=Setup!$C$15,MONTH(H347)&lt;=Setup!$C$16)),IF(Setup!$C$15&lt;=Setup!$C$16,AND(MONTH(WORKDAY(H347,-(Setup!$C$13+Setup!$G$26),Setup!$C$39:$C$50))&gt;=Setup!$C$15,MONTH(WORKDAY(H347,-(Setup!$C$13+Setup!$G$26),Setup!$C$39:$C$50))&lt;=Setup!$C$16),OR(MONTH(WORKDAY(H347,-(Setup!$C$13+Setup!$G$26),Setup!$C$39:$C$50))&gt;=Setup!$C$15,MONTH(WORKDAY(H347,-(Setup!$C$13+Setup!$G$26),Setup!$C$39:$C$50))&lt;=Setup!$C$16))),WORKDAY(H347,-(Setup!$C$13+Setup!$G$26+Setup!$C$14),Setup!$C$39:$C$50),WORKDAY(H347,-(Setup!$C$13+Setup!$G$26),Setup!$C$39:$C$50))+(342*100+7)/10000000)))</f>
        <v/>
      </c>
      <c r="Y347" t="str">
        <f>IF(I347="","",IF(I347&lt;Setup!$C$5-Setup!$C$6,"",IF(IF(ISNUMBER(Roster!$D347),Setup!$C$27&lt;=Roster!$D347,FALSE),"",IF(OR(IF(Setup!$C$15&lt;=Setup!$C$16,AND(MONTH(I347)&gt;=Setup!$C$15,MONTH(I347)&lt;=Setup!$C$16),OR(MONTH(I347)&gt;=Setup!$C$15,MONTH(I347)&lt;=Setup!$C$16)),IF(Setup!$C$15&lt;=Setup!$C$16,AND(MONTH(WORKDAY(I347,-(Setup!$C$13+Setup!$G$27),Setup!$C$39:$C$50))&gt;=Setup!$C$15,MONTH(WORKDAY(I347,-(Setup!$C$13+Setup!$G$27),Setup!$C$39:$C$50))&lt;=Setup!$C$16),OR(MONTH(WORKDAY(I347,-(Setup!$C$13+Setup!$G$27),Setup!$C$39:$C$50))&gt;=Setup!$C$15,MONTH(WORKDAY(I347,-(Setup!$C$13+Setup!$G$27),Setup!$C$39:$C$50))&lt;=Setup!$C$16))),WORKDAY(I347,-(Setup!$C$13+Setup!$G$27+Setup!$C$14),Setup!$C$39:$C$50),WORKDAY(I347,-(Setup!$C$13+Setup!$G$27),Setup!$C$39:$C$50))+(342*100+8)/10000000)))</f>
        <v/>
      </c>
      <c r="Z347" t="str">
        <f>IF(J347="","",IF(J347&lt;Setup!$C$5-Setup!$C$6,"",IF(IF(ISNUMBER(Roster!$D347),Setup!$C$28&lt;=Roster!$D347,FALSE),"",IF(OR(IF(Setup!$C$15&lt;=Setup!$C$16,AND(MONTH(J347)&gt;=Setup!$C$15,MONTH(J347)&lt;=Setup!$C$16),OR(MONTH(J347)&gt;=Setup!$C$15,MONTH(J347)&lt;=Setup!$C$16)),IF(Setup!$C$15&lt;=Setup!$C$16,AND(MONTH(WORKDAY(J347,-(Setup!$C$13+Setup!$G$28),Setup!$C$39:$C$50))&gt;=Setup!$C$15,MONTH(WORKDAY(J347,-(Setup!$C$13+Setup!$G$28),Setup!$C$39:$C$50))&lt;=Setup!$C$16),OR(MONTH(WORKDAY(J347,-(Setup!$C$13+Setup!$G$28),Setup!$C$39:$C$50))&gt;=Setup!$C$15,MONTH(WORKDAY(J347,-(Setup!$C$13+Setup!$G$28),Setup!$C$39:$C$50))&lt;=Setup!$C$16))),WORKDAY(J347,-(Setup!$C$13+Setup!$G$28+Setup!$C$14),Setup!$C$39:$C$50),WORKDAY(J347,-(Setup!$C$13+Setup!$G$28),Setup!$C$39:$C$50))+(342*100+9)/10000000)))</f>
        <v/>
      </c>
      <c r="AA347" t="str">
        <f>IF(K347="","",IF(K347&lt;Setup!$C$5-Setup!$C$6,"",IF(IF(ISNUMBER(Roster!$D347),Setup!$C$29&lt;=Roster!$D347,FALSE),"",IF(OR(IF(Setup!$C$15&lt;=Setup!$C$16,AND(MONTH(K347)&gt;=Setup!$C$15,MONTH(K347)&lt;=Setup!$C$16),OR(MONTH(K347)&gt;=Setup!$C$15,MONTH(K347)&lt;=Setup!$C$16)),IF(Setup!$C$15&lt;=Setup!$C$16,AND(MONTH(WORKDAY(K347,-(Setup!$C$13+Setup!$G$29),Setup!$C$39:$C$50))&gt;=Setup!$C$15,MONTH(WORKDAY(K347,-(Setup!$C$13+Setup!$G$29),Setup!$C$39:$C$50))&lt;=Setup!$C$16),OR(MONTH(WORKDAY(K347,-(Setup!$C$13+Setup!$G$29),Setup!$C$39:$C$50))&gt;=Setup!$C$15,MONTH(WORKDAY(K347,-(Setup!$C$13+Setup!$G$29),Setup!$C$39:$C$50))&lt;=Setup!$C$16))),WORKDAY(K347,-(Setup!$C$13+Setup!$G$29+Setup!$C$14),Setup!$C$39:$C$50),WORKDAY(K347,-(Setup!$C$13+Setup!$G$29),Setup!$C$39:$C$50))+(342*100+10)/10000000)))</f>
        <v/>
      </c>
      <c r="AB347" t="str">
        <f>IF(L347="","",IF(L347&lt;Setup!$C$5-Setup!$C$6,"",IF(IF(ISNUMBER(Roster!$D347),Setup!$C$30&lt;=Roster!$D347,FALSE),"",IF(OR(IF(Setup!$C$15&lt;=Setup!$C$16,AND(MONTH(L347)&gt;=Setup!$C$15,MONTH(L347)&lt;=Setup!$C$16),OR(MONTH(L347)&gt;=Setup!$C$15,MONTH(L347)&lt;=Setup!$C$16)),IF(Setup!$C$15&lt;=Setup!$C$16,AND(MONTH(WORKDAY(L347,-(Setup!$C$13+Setup!$G$30),Setup!$C$39:$C$50))&gt;=Setup!$C$15,MONTH(WORKDAY(L347,-(Setup!$C$13+Setup!$G$30),Setup!$C$39:$C$50))&lt;=Setup!$C$16),OR(MONTH(WORKDAY(L347,-(Setup!$C$13+Setup!$G$30),Setup!$C$39:$C$50))&gt;=Setup!$C$15,MONTH(WORKDAY(L347,-(Setup!$C$13+Setup!$G$30),Setup!$C$39:$C$50))&lt;=Setup!$C$16))),WORKDAY(L347,-(Setup!$C$13+Setup!$G$30+Setup!$C$14),Setup!$C$39:$C$50),WORKDAY(L347,-(Setup!$C$13+Setup!$G$30),Setup!$C$39:$C$50))+(342*100+11)/10000000)))</f>
        <v/>
      </c>
      <c r="AC347" t="str">
        <f>IF(M347="","",IF(M347&lt;Setup!$C$5-Setup!$C$6,"",IF(IF(ISNUMBER(Roster!$D347),Setup!$C$31&lt;=Roster!$D347,FALSE),"",IF(OR(IF(Setup!$C$15&lt;=Setup!$C$16,AND(MONTH(M347)&gt;=Setup!$C$15,MONTH(M347)&lt;=Setup!$C$16),OR(MONTH(M347)&gt;=Setup!$C$15,MONTH(M347)&lt;=Setup!$C$16)),IF(Setup!$C$15&lt;=Setup!$C$16,AND(MONTH(WORKDAY(M347,-(Setup!$C$13+Setup!$G$31),Setup!$C$39:$C$50))&gt;=Setup!$C$15,MONTH(WORKDAY(M347,-(Setup!$C$13+Setup!$G$31),Setup!$C$39:$C$50))&lt;=Setup!$C$16),OR(MONTH(WORKDAY(M347,-(Setup!$C$13+Setup!$G$31),Setup!$C$39:$C$50))&gt;=Setup!$C$15,MONTH(WORKDAY(M347,-(Setup!$C$13+Setup!$G$31),Setup!$C$39:$C$50))&lt;=Setup!$C$16))),WORKDAY(M347,-(Setup!$C$13+Setup!$G$31+Setup!$C$14),Setup!$C$39:$C$50),WORKDAY(M347,-(Setup!$C$13+Setup!$G$31),Setup!$C$39:$C$50))+(342*100+12)/10000000)))</f>
        <v/>
      </c>
      <c r="AD347" t="str">
        <f>IF(N347="","",IF(N347&lt;Setup!$C$5-Setup!$C$6,"",IF(IF(ISNUMBER(Roster!$D347),Setup!$C$32&lt;=Roster!$D347,FALSE),"",IF(OR(IF(Setup!$C$15&lt;=Setup!$C$16,AND(MONTH(N347)&gt;=Setup!$C$15,MONTH(N347)&lt;=Setup!$C$16),OR(MONTH(N347)&gt;=Setup!$C$15,MONTH(N347)&lt;=Setup!$C$16)),IF(Setup!$C$15&lt;=Setup!$C$16,AND(MONTH(WORKDAY(N347,-(Setup!$C$13+Setup!$G$32),Setup!$C$39:$C$50))&gt;=Setup!$C$15,MONTH(WORKDAY(N347,-(Setup!$C$13+Setup!$G$32),Setup!$C$39:$C$50))&lt;=Setup!$C$16),OR(MONTH(WORKDAY(N347,-(Setup!$C$13+Setup!$G$32),Setup!$C$39:$C$50))&gt;=Setup!$C$15,MONTH(WORKDAY(N347,-(Setup!$C$13+Setup!$G$32),Setup!$C$39:$C$50))&lt;=Setup!$C$16))),WORKDAY(N347,-(Setup!$C$13+Setup!$G$32+Setup!$C$14),Setup!$C$39:$C$50),WORKDAY(N347,-(Setup!$C$13+Setup!$G$32),Setup!$C$39:$C$50))+(342*100+13)/10000000)))</f>
        <v/>
      </c>
      <c r="AE347" t="str">
        <f>IF(O347="","",IF(O347&lt;Setup!$C$5-Setup!$C$6,"",IF(IF(ISNUMBER(Roster!$D347),Setup!$C$33&lt;=Roster!$D347,FALSE),"",IF(OR(IF(Setup!$C$15&lt;=Setup!$C$16,AND(MONTH(O347)&gt;=Setup!$C$15,MONTH(O347)&lt;=Setup!$C$16),OR(MONTH(O347)&gt;=Setup!$C$15,MONTH(O347)&lt;=Setup!$C$16)),IF(Setup!$C$15&lt;=Setup!$C$16,AND(MONTH(WORKDAY(O347,-(Setup!$C$13+Setup!$G$33),Setup!$C$39:$C$50))&gt;=Setup!$C$15,MONTH(WORKDAY(O347,-(Setup!$C$13+Setup!$G$33),Setup!$C$39:$C$50))&lt;=Setup!$C$16),OR(MONTH(WORKDAY(O347,-(Setup!$C$13+Setup!$G$33),Setup!$C$39:$C$50))&gt;=Setup!$C$15,MONTH(WORKDAY(O347,-(Setup!$C$13+Setup!$G$33),Setup!$C$39:$C$50))&lt;=Setup!$C$16))),WORKDAY(O347,-(Setup!$C$13+Setup!$G$33+Setup!$C$14),Setup!$C$39:$C$50),WORKDAY(O347,-(Setup!$C$13+Setup!$G$33),Setup!$C$39:$C$50))+(342*100+14)/10000000)))</f>
        <v/>
      </c>
      <c r="AF347" t="str">
        <f>IF(P347="","",IF(P347&lt;Setup!$C$5-Setup!$C$6,"",IF(IF(ISNUMBER(Roster!$D347),Setup!$C$34&lt;=Roster!$D347,FALSE),"",IF(OR(IF(Setup!$C$15&lt;=Setup!$C$16,AND(MONTH(P347)&gt;=Setup!$C$15,MONTH(P347)&lt;=Setup!$C$16),OR(MONTH(P347)&gt;=Setup!$C$15,MONTH(P347)&lt;=Setup!$C$16)),IF(Setup!$C$15&lt;=Setup!$C$16,AND(MONTH(WORKDAY(P347,-(Setup!$C$13+Setup!$G$34),Setup!$C$39:$C$50))&gt;=Setup!$C$15,MONTH(WORKDAY(P347,-(Setup!$C$13+Setup!$G$34),Setup!$C$39:$C$50))&lt;=Setup!$C$16),OR(MONTH(WORKDAY(P347,-(Setup!$C$13+Setup!$G$34),Setup!$C$39:$C$50))&gt;=Setup!$C$15,MONTH(WORKDAY(P347,-(Setup!$C$13+Setup!$G$34),Setup!$C$39:$C$50))&lt;=Setup!$C$16))),WORKDAY(P347,-(Setup!$C$13+Setup!$G$34+Setup!$C$14),Setup!$C$39:$C$50),WORKDAY(P347,-(Setup!$C$13+Setup!$G$34),Setup!$C$39:$C$50))+(342*100+15)/10000000)))</f>
        <v/>
      </c>
      <c r="AH347" t="str">
        <f t="shared" si="41"/>
        <v/>
      </c>
      <c r="AI347" t="str">
        <f t="shared" si="42"/>
        <v/>
      </c>
      <c r="AP347" t="str">
        <f>IF(ISNUMBER(Roster!$B347),MAX(1,YEAR(Setup!$C$5)-YEAR(Roster!$B347)+IF(EDATE(Roster!$B347,12*(YEAR(Setup!$C$5)-YEAR(Roster!$B347)))&lt;Setup!$C$5,1,0)),"")</f>
        <v/>
      </c>
      <c r="AQ347" s="32" t="str">
        <f>IF(AP347="","",EDATE(Roster!$B347,12*AP347))</f>
        <v/>
      </c>
      <c r="AR347" t="str">
        <f>IF(AQ347="","",IF(AQ347&lt;DATE(YEAR(Setup!$C$5)+1,MONTH(Setup!$C$5),DAY(Setup!$C$5)),AQ347+342/1000,""))</f>
        <v/>
      </c>
      <c r="AS347" t="str">
        <f t="shared" si="43"/>
        <v/>
      </c>
      <c r="AT347" t="str">
        <f>IF(AS347="","",IF(ISNUMBER(Roster!$D347),Roster!$D347&gt;=AP347,FALSE))</f>
        <v/>
      </c>
      <c r="AU347" t="str">
        <f t="shared" si="44"/>
        <v/>
      </c>
      <c r="AV347" t="str">
        <f ca="1">IF(342&gt;$AV$2,"",SMALL($AR$6:$AR$505,342))</f>
        <v/>
      </c>
      <c r="AW347" t="str">
        <f t="shared" ca="1" si="45"/>
        <v/>
      </c>
    </row>
    <row r="348" spans="2:49" x14ac:dyDescent="0.2">
      <c r="B348" s="32" t="str">
        <f>IF(AND(ISNUMBER(Roster!$B348),Setup!$B$20="Yes",ISNUMBER(Setup!$C$20)),EDATE(Roster!$B348,12*Setup!$C$20),"")</f>
        <v/>
      </c>
      <c r="C348" s="32" t="str">
        <f>IF(AND(ISNUMBER(Roster!$B348),Setup!$B$21="Yes",ISNUMBER(Setup!$C$21)),EDATE(Roster!$B348,12*Setup!$C$21),"")</f>
        <v/>
      </c>
      <c r="D348" s="32" t="str">
        <f>IF(AND(ISNUMBER(Roster!$B348),Setup!$B$22="Yes",ISNUMBER(Setup!$C$22)),EDATE(Roster!$B348,12*Setup!$C$22),"")</f>
        <v/>
      </c>
      <c r="E348" s="32" t="str">
        <f>IF(AND(ISNUMBER(Roster!$B348),Setup!$B$23="Yes",ISNUMBER(Setup!$C$23)),EDATE(Roster!$B348,12*Setup!$C$23),"")</f>
        <v/>
      </c>
      <c r="F348" s="32" t="str">
        <f>IF(AND(ISNUMBER(Roster!$B348),Setup!$B$24="Yes",ISNUMBER(Setup!$C$24)),EDATE(Roster!$B348,12*Setup!$C$24),"")</f>
        <v/>
      </c>
      <c r="G348" s="32" t="str">
        <f>IF(AND(ISNUMBER(Roster!$B348),Setup!$B$25="Yes",ISNUMBER(Setup!$C$25)),EDATE(Roster!$B348,12*Setup!$C$25),"")</f>
        <v/>
      </c>
      <c r="H348" s="32" t="str">
        <f>IF(AND(ISNUMBER(Roster!$B348),Setup!$B$26="Yes",ISNUMBER(Setup!$C$26)),EDATE(Roster!$B348,12*Setup!$C$26),"")</f>
        <v/>
      </c>
      <c r="I348" s="32" t="str">
        <f>IF(AND(ISNUMBER(Roster!$B348),Setup!$B$27="Yes",ISNUMBER(Setup!$C$27)),EDATE(Roster!$B348,12*Setup!$C$27),"")</f>
        <v/>
      </c>
      <c r="J348" s="32" t="str">
        <f>IF(AND(ISNUMBER(Roster!$B348),Setup!$B$28="Yes",ISNUMBER(Setup!$C$28)),EDATE(Roster!$B348,12*Setup!$C$28),"")</f>
        <v/>
      </c>
      <c r="K348" s="32" t="str">
        <f>IF(AND(ISNUMBER(Roster!$B348),Setup!$B$29="Yes",ISNUMBER(Setup!$C$29)),EDATE(Roster!$B348,12*Setup!$C$29),"")</f>
        <v/>
      </c>
      <c r="L348" s="32" t="str">
        <f>IF(AND(ISNUMBER(Roster!$B348),Setup!$B$30="Yes",ISNUMBER(Setup!$C$30)),EDATE(Roster!$B348,12*Setup!$C$30),"")</f>
        <v/>
      </c>
      <c r="M348" s="32" t="str">
        <f>IF(AND(ISNUMBER(Roster!$B348),Setup!$B$31="Yes",ISNUMBER(Setup!$C$31)),EDATE(Roster!$B348,12*Setup!$C$31),"")</f>
        <v/>
      </c>
      <c r="N348" s="32" t="str">
        <f>IF(AND(ISNUMBER(Roster!$B348),Setup!$B$32="Yes",ISNUMBER(Setup!$C$32)),EDATE(Roster!$B348,12*Setup!$C$32),"")</f>
        <v/>
      </c>
      <c r="O348" s="32" t="str">
        <f>IF(AND(ISNUMBER(Roster!$B348),Setup!$B$33="Yes",ISNUMBER(Setup!$C$33)),EDATE(Roster!$B348,12*Setup!$C$33),"")</f>
        <v/>
      </c>
      <c r="P348" s="32" t="str">
        <f>IF(AND(ISNUMBER(Roster!$B348),Setup!$B$34="Yes",ISNUMBER(Setup!$C$34)),EDATE(Roster!$B348,12*Setup!$C$34),"")</f>
        <v/>
      </c>
      <c r="R348" t="str">
        <f>IF(B348="","",IF(B348&lt;Setup!$C$5-Setup!$C$6,"",IF(IF(ISNUMBER(Roster!$D348),Setup!$C$20&lt;=Roster!$D348,FALSE),"",IF(OR(IF(Setup!$C$15&lt;=Setup!$C$16,AND(MONTH(B348)&gt;=Setup!$C$15,MONTH(B348)&lt;=Setup!$C$16),OR(MONTH(B348)&gt;=Setup!$C$15,MONTH(B348)&lt;=Setup!$C$16)),IF(Setup!$C$15&lt;=Setup!$C$16,AND(MONTH(WORKDAY(B348,-(Setup!$C$13+Setup!$G$20),Setup!$C$39:$C$50))&gt;=Setup!$C$15,MONTH(WORKDAY(B348,-(Setup!$C$13+Setup!$G$20),Setup!$C$39:$C$50))&lt;=Setup!$C$16),OR(MONTH(WORKDAY(B348,-(Setup!$C$13+Setup!$G$20),Setup!$C$39:$C$50))&gt;=Setup!$C$15,MONTH(WORKDAY(B348,-(Setup!$C$13+Setup!$G$20),Setup!$C$39:$C$50))&lt;=Setup!$C$16))),WORKDAY(B348,-(Setup!$C$13+Setup!$G$20+Setup!$C$14),Setup!$C$39:$C$50),WORKDAY(B348,-(Setup!$C$13+Setup!$G$20),Setup!$C$39:$C$50))+(343*100+1)/10000000)))</f>
        <v/>
      </c>
      <c r="S348" t="str">
        <f>IF(C348="","",IF(C348&lt;Setup!$C$5-Setup!$C$6,"",IF(IF(ISNUMBER(Roster!$D348),Setup!$C$21&lt;=Roster!$D348,FALSE),"",IF(OR(IF(Setup!$C$15&lt;=Setup!$C$16,AND(MONTH(C348)&gt;=Setup!$C$15,MONTH(C348)&lt;=Setup!$C$16),OR(MONTH(C348)&gt;=Setup!$C$15,MONTH(C348)&lt;=Setup!$C$16)),IF(Setup!$C$15&lt;=Setup!$C$16,AND(MONTH(WORKDAY(C348,-(Setup!$C$13+Setup!$G$21),Setup!$C$39:$C$50))&gt;=Setup!$C$15,MONTH(WORKDAY(C348,-(Setup!$C$13+Setup!$G$21),Setup!$C$39:$C$50))&lt;=Setup!$C$16),OR(MONTH(WORKDAY(C348,-(Setup!$C$13+Setup!$G$21),Setup!$C$39:$C$50))&gt;=Setup!$C$15,MONTH(WORKDAY(C348,-(Setup!$C$13+Setup!$G$21),Setup!$C$39:$C$50))&lt;=Setup!$C$16))),WORKDAY(C348,-(Setup!$C$13+Setup!$G$21+Setup!$C$14),Setup!$C$39:$C$50),WORKDAY(C348,-(Setup!$C$13+Setup!$G$21),Setup!$C$39:$C$50))+(343*100+2)/10000000)))</f>
        <v/>
      </c>
      <c r="T348" t="str">
        <f>IF(D348="","",IF(D348&lt;Setup!$C$5-Setup!$C$6,"",IF(IF(ISNUMBER(Roster!$D348),Setup!$C$22&lt;=Roster!$D348,FALSE),"",IF(OR(IF(Setup!$C$15&lt;=Setup!$C$16,AND(MONTH(D348)&gt;=Setup!$C$15,MONTH(D348)&lt;=Setup!$C$16),OR(MONTH(D348)&gt;=Setup!$C$15,MONTH(D348)&lt;=Setup!$C$16)),IF(Setup!$C$15&lt;=Setup!$C$16,AND(MONTH(WORKDAY(D348,-(Setup!$C$13+Setup!$G$22),Setup!$C$39:$C$50))&gt;=Setup!$C$15,MONTH(WORKDAY(D348,-(Setup!$C$13+Setup!$G$22),Setup!$C$39:$C$50))&lt;=Setup!$C$16),OR(MONTH(WORKDAY(D348,-(Setup!$C$13+Setup!$G$22),Setup!$C$39:$C$50))&gt;=Setup!$C$15,MONTH(WORKDAY(D348,-(Setup!$C$13+Setup!$G$22),Setup!$C$39:$C$50))&lt;=Setup!$C$16))),WORKDAY(D348,-(Setup!$C$13+Setup!$G$22+Setup!$C$14),Setup!$C$39:$C$50),WORKDAY(D348,-(Setup!$C$13+Setup!$G$22),Setup!$C$39:$C$50))+(343*100+3)/10000000)))</f>
        <v/>
      </c>
      <c r="U348" t="str">
        <f>IF(E348="","",IF(E348&lt;Setup!$C$5-Setup!$C$6,"",IF(IF(ISNUMBER(Roster!$D348),Setup!$C$23&lt;=Roster!$D348,FALSE),"",IF(OR(IF(Setup!$C$15&lt;=Setup!$C$16,AND(MONTH(E348)&gt;=Setup!$C$15,MONTH(E348)&lt;=Setup!$C$16),OR(MONTH(E348)&gt;=Setup!$C$15,MONTH(E348)&lt;=Setup!$C$16)),IF(Setup!$C$15&lt;=Setup!$C$16,AND(MONTH(WORKDAY(E348,-(Setup!$C$13+Setup!$G$23),Setup!$C$39:$C$50))&gt;=Setup!$C$15,MONTH(WORKDAY(E348,-(Setup!$C$13+Setup!$G$23),Setup!$C$39:$C$50))&lt;=Setup!$C$16),OR(MONTH(WORKDAY(E348,-(Setup!$C$13+Setup!$G$23),Setup!$C$39:$C$50))&gt;=Setup!$C$15,MONTH(WORKDAY(E348,-(Setup!$C$13+Setup!$G$23),Setup!$C$39:$C$50))&lt;=Setup!$C$16))),WORKDAY(E348,-(Setup!$C$13+Setup!$G$23+Setup!$C$14),Setup!$C$39:$C$50),WORKDAY(E348,-(Setup!$C$13+Setup!$G$23),Setup!$C$39:$C$50))+(343*100+4)/10000000)))</f>
        <v/>
      </c>
      <c r="V348" t="str">
        <f>IF(F348="","",IF(F348&lt;Setup!$C$5-Setup!$C$6,"",IF(IF(ISNUMBER(Roster!$D348),Setup!$C$24&lt;=Roster!$D348,FALSE),"",IF(OR(IF(Setup!$C$15&lt;=Setup!$C$16,AND(MONTH(F348)&gt;=Setup!$C$15,MONTH(F348)&lt;=Setup!$C$16),OR(MONTH(F348)&gt;=Setup!$C$15,MONTH(F348)&lt;=Setup!$C$16)),IF(Setup!$C$15&lt;=Setup!$C$16,AND(MONTH(WORKDAY(F348,-(Setup!$C$13+Setup!$G$24),Setup!$C$39:$C$50))&gt;=Setup!$C$15,MONTH(WORKDAY(F348,-(Setup!$C$13+Setup!$G$24),Setup!$C$39:$C$50))&lt;=Setup!$C$16),OR(MONTH(WORKDAY(F348,-(Setup!$C$13+Setup!$G$24),Setup!$C$39:$C$50))&gt;=Setup!$C$15,MONTH(WORKDAY(F348,-(Setup!$C$13+Setup!$G$24),Setup!$C$39:$C$50))&lt;=Setup!$C$16))),WORKDAY(F348,-(Setup!$C$13+Setup!$G$24+Setup!$C$14),Setup!$C$39:$C$50),WORKDAY(F348,-(Setup!$C$13+Setup!$G$24),Setup!$C$39:$C$50))+(343*100+5)/10000000)))</f>
        <v/>
      </c>
      <c r="W348" t="str">
        <f>IF(G348="","",IF(G348&lt;Setup!$C$5-Setup!$C$6,"",IF(IF(ISNUMBER(Roster!$D348),Setup!$C$25&lt;=Roster!$D348,FALSE),"",IF(OR(IF(Setup!$C$15&lt;=Setup!$C$16,AND(MONTH(G348)&gt;=Setup!$C$15,MONTH(G348)&lt;=Setup!$C$16),OR(MONTH(G348)&gt;=Setup!$C$15,MONTH(G348)&lt;=Setup!$C$16)),IF(Setup!$C$15&lt;=Setup!$C$16,AND(MONTH(WORKDAY(G348,-(Setup!$C$13+Setup!$G$25),Setup!$C$39:$C$50))&gt;=Setup!$C$15,MONTH(WORKDAY(G348,-(Setup!$C$13+Setup!$G$25),Setup!$C$39:$C$50))&lt;=Setup!$C$16),OR(MONTH(WORKDAY(G348,-(Setup!$C$13+Setup!$G$25),Setup!$C$39:$C$50))&gt;=Setup!$C$15,MONTH(WORKDAY(G348,-(Setup!$C$13+Setup!$G$25),Setup!$C$39:$C$50))&lt;=Setup!$C$16))),WORKDAY(G348,-(Setup!$C$13+Setup!$G$25+Setup!$C$14),Setup!$C$39:$C$50),WORKDAY(G348,-(Setup!$C$13+Setup!$G$25),Setup!$C$39:$C$50))+(343*100+6)/10000000)))</f>
        <v/>
      </c>
      <c r="X348" t="str">
        <f>IF(H348="","",IF(H348&lt;Setup!$C$5-Setup!$C$6,"",IF(IF(ISNUMBER(Roster!$D348),Setup!$C$26&lt;=Roster!$D348,FALSE),"",IF(OR(IF(Setup!$C$15&lt;=Setup!$C$16,AND(MONTH(H348)&gt;=Setup!$C$15,MONTH(H348)&lt;=Setup!$C$16),OR(MONTH(H348)&gt;=Setup!$C$15,MONTH(H348)&lt;=Setup!$C$16)),IF(Setup!$C$15&lt;=Setup!$C$16,AND(MONTH(WORKDAY(H348,-(Setup!$C$13+Setup!$G$26),Setup!$C$39:$C$50))&gt;=Setup!$C$15,MONTH(WORKDAY(H348,-(Setup!$C$13+Setup!$G$26),Setup!$C$39:$C$50))&lt;=Setup!$C$16),OR(MONTH(WORKDAY(H348,-(Setup!$C$13+Setup!$G$26),Setup!$C$39:$C$50))&gt;=Setup!$C$15,MONTH(WORKDAY(H348,-(Setup!$C$13+Setup!$G$26),Setup!$C$39:$C$50))&lt;=Setup!$C$16))),WORKDAY(H348,-(Setup!$C$13+Setup!$G$26+Setup!$C$14),Setup!$C$39:$C$50),WORKDAY(H348,-(Setup!$C$13+Setup!$G$26),Setup!$C$39:$C$50))+(343*100+7)/10000000)))</f>
        <v/>
      </c>
      <c r="Y348" t="str">
        <f>IF(I348="","",IF(I348&lt;Setup!$C$5-Setup!$C$6,"",IF(IF(ISNUMBER(Roster!$D348),Setup!$C$27&lt;=Roster!$D348,FALSE),"",IF(OR(IF(Setup!$C$15&lt;=Setup!$C$16,AND(MONTH(I348)&gt;=Setup!$C$15,MONTH(I348)&lt;=Setup!$C$16),OR(MONTH(I348)&gt;=Setup!$C$15,MONTH(I348)&lt;=Setup!$C$16)),IF(Setup!$C$15&lt;=Setup!$C$16,AND(MONTH(WORKDAY(I348,-(Setup!$C$13+Setup!$G$27),Setup!$C$39:$C$50))&gt;=Setup!$C$15,MONTH(WORKDAY(I348,-(Setup!$C$13+Setup!$G$27),Setup!$C$39:$C$50))&lt;=Setup!$C$16),OR(MONTH(WORKDAY(I348,-(Setup!$C$13+Setup!$G$27),Setup!$C$39:$C$50))&gt;=Setup!$C$15,MONTH(WORKDAY(I348,-(Setup!$C$13+Setup!$G$27),Setup!$C$39:$C$50))&lt;=Setup!$C$16))),WORKDAY(I348,-(Setup!$C$13+Setup!$G$27+Setup!$C$14),Setup!$C$39:$C$50),WORKDAY(I348,-(Setup!$C$13+Setup!$G$27),Setup!$C$39:$C$50))+(343*100+8)/10000000)))</f>
        <v/>
      </c>
      <c r="Z348" t="str">
        <f>IF(J348="","",IF(J348&lt;Setup!$C$5-Setup!$C$6,"",IF(IF(ISNUMBER(Roster!$D348),Setup!$C$28&lt;=Roster!$D348,FALSE),"",IF(OR(IF(Setup!$C$15&lt;=Setup!$C$16,AND(MONTH(J348)&gt;=Setup!$C$15,MONTH(J348)&lt;=Setup!$C$16),OR(MONTH(J348)&gt;=Setup!$C$15,MONTH(J348)&lt;=Setup!$C$16)),IF(Setup!$C$15&lt;=Setup!$C$16,AND(MONTH(WORKDAY(J348,-(Setup!$C$13+Setup!$G$28),Setup!$C$39:$C$50))&gt;=Setup!$C$15,MONTH(WORKDAY(J348,-(Setup!$C$13+Setup!$G$28),Setup!$C$39:$C$50))&lt;=Setup!$C$16),OR(MONTH(WORKDAY(J348,-(Setup!$C$13+Setup!$G$28),Setup!$C$39:$C$50))&gt;=Setup!$C$15,MONTH(WORKDAY(J348,-(Setup!$C$13+Setup!$G$28),Setup!$C$39:$C$50))&lt;=Setup!$C$16))),WORKDAY(J348,-(Setup!$C$13+Setup!$G$28+Setup!$C$14),Setup!$C$39:$C$50),WORKDAY(J348,-(Setup!$C$13+Setup!$G$28),Setup!$C$39:$C$50))+(343*100+9)/10000000)))</f>
        <v/>
      </c>
      <c r="AA348" t="str">
        <f>IF(K348="","",IF(K348&lt;Setup!$C$5-Setup!$C$6,"",IF(IF(ISNUMBER(Roster!$D348),Setup!$C$29&lt;=Roster!$D348,FALSE),"",IF(OR(IF(Setup!$C$15&lt;=Setup!$C$16,AND(MONTH(K348)&gt;=Setup!$C$15,MONTH(K348)&lt;=Setup!$C$16),OR(MONTH(K348)&gt;=Setup!$C$15,MONTH(K348)&lt;=Setup!$C$16)),IF(Setup!$C$15&lt;=Setup!$C$16,AND(MONTH(WORKDAY(K348,-(Setup!$C$13+Setup!$G$29),Setup!$C$39:$C$50))&gt;=Setup!$C$15,MONTH(WORKDAY(K348,-(Setup!$C$13+Setup!$G$29),Setup!$C$39:$C$50))&lt;=Setup!$C$16),OR(MONTH(WORKDAY(K348,-(Setup!$C$13+Setup!$G$29),Setup!$C$39:$C$50))&gt;=Setup!$C$15,MONTH(WORKDAY(K348,-(Setup!$C$13+Setup!$G$29),Setup!$C$39:$C$50))&lt;=Setup!$C$16))),WORKDAY(K348,-(Setup!$C$13+Setup!$G$29+Setup!$C$14),Setup!$C$39:$C$50),WORKDAY(K348,-(Setup!$C$13+Setup!$G$29),Setup!$C$39:$C$50))+(343*100+10)/10000000)))</f>
        <v/>
      </c>
      <c r="AB348" t="str">
        <f>IF(L348="","",IF(L348&lt;Setup!$C$5-Setup!$C$6,"",IF(IF(ISNUMBER(Roster!$D348),Setup!$C$30&lt;=Roster!$D348,FALSE),"",IF(OR(IF(Setup!$C$15&lt;=Setup!$C$16,AND(MONTH(L348)&gt;=Setup!$C$15,MONTH(L348)&lt;=Setup!$C$16),OR(MONTH(L348)&gt;=Setup!$C$15,MONTH(L348)&lt;=Setup!$C$16)),IF(Setup!$C$15&lt;=Setup!$C$16,AND(MONTH(WORKDAY(L348,-(Setup!$C$13+Setup!$G$30),Setup!$C$39:$C$50))&gt;=Setup!$C$15,MONTH(WORKDAY(L348,-(Setup!$C$13+Setup!$G$30),Setup!$C$39:$C$50))&lt;=Setup!$C$16),OR(MONTH(WORKDAY(L348,-(Setup!$C$13+Setup!$G$30),Setup!$C$39:$C$50))&gt;=Setup!$C$15,MONTH(WORKDAY(L348,-(Setup!$C$13+Setup!$G$30),Setup!$C$39:$C$50))&lt;=Setup!$C$16))),WORKDAY(L348,-(Setup!$C$13+Setup!$G$30+Setup!$C$14),Setup!$C$39:$C$50),WORKDAY(L348,-(Setup!$C$13+Setup!$G$30),Setup!$C$39:$C$50))+(343*100+11)/10000000)))</f>
        <v/>
      </c>
      <c r="AC348" t="str">
        <f>IF(M348="","",IF(M348&lt;Setup!$C$5-Setup!$C$6,"",IF(IF(ISNUMBER(Roster!$D348),Setup!$C$31&lt;=Roster!$D348,FALSE),"",IF(OR(IF(Setup!$C$15&lt;=Setup!$C$16,AND(MONTH(M348)&gt;=Setup!$C$15,MONTH(M348)&lt;=Setup!$C$16),OR(MONTH(M348)&gt;=Setup!$C$15,MONTH(M348)&lt;=Setup!$C$16)),IF(Setup!$C$15&lt;=Setup!$C$16,AND(MONTH(WORKDAY(M348,-(Setup!$C$13+Setup!$G$31),Setup!$C$39:$C$50))&gt;=Setup!$C$15,MONTH(WORKDAY(M348,-(Setup!$C$13+Setup!$G$31),Setup!$C$39:$C$50))&lt;=Setup!$C$16),OR(MONTH(WORKDAY(M348,-(Setup!$C$13+Setup!$G$31),Setup!$C$39:$C$50))&gt;=Setup!$C$15,MONTH(WORKDAY(M348,-(Setup!$C$13+Setup!$G$31),Setup!$C$39:$C$50))&lt;=Setup!$C$16))),WORKDAY(M348,-(Setup!$C$13+Setup!$G$31+Setup!$C$14),Setup!$C$39:$C$50),WORKDAY(M348,-(Setup!$C$13+Setup!$G$31),Setup!$C$39:$C$50))+(343*100+12)/10000000)))</f>
        <v/>
      </c>
      <c r="AD348" t="str">
        <f>IF(N348="","",IF(N348&lt;Setup!$C$5-Setup!$C$6,"",IF(IF(ISNUMBER(Roster!$D348),Setup!$C$32&lt;=Roster!$D348,FALSE),"",IF(OR(IF(Setup!$C$15&lt;=Setup!$C$16,AND(MONTH(N348)&gt;=Setup!$C$15,MONTH(N348)&lt;=Setup!$C$16),OR(MONTH(N348)&gt;=Setup!$C$15,MONTH(N348)&lt;=Setup!$C$16)),IF(Setup!$C$15&lt;=Setup!$C$16,AND(MONTH(WORKDAY(N348,-(Setup!$C$13+Setup!$G$32),Setup!$C$39:$C$50))&gt;=Setup!$C$15,MONTH(WORKDAY(N348,-(Setup!$C$13+Setup!$G$32),Setup!$C$39:$C$50))&lt;=Setup!$C$16),OR(MONTH(WORKDAY(N348,-(Setup!$C$13+Setup!$G$32),Setup!$C$39:$C$50))&gt;=Setup!$C$15,MONTH(WORKDAY(N348,-(Setup!$C$13+Setup!$G$32),Setup!$C$39:$C$50))&lt;=Setup!$C$16))),WORKDAY(N348,-(Setup!$C$13+Setup!$G$32+Setup!$C$14),Setup!$C$39:$C$50),WORKDAY(N348,-(Setup!$C$13+Setup!$G$32),Setup!$C$39:$C$50))+(343*100+13)/10000000)))</f>
        <v/>
      </c>
      <c r="AE348" t="str">
        <f>IF(O348="","",IF(O348&lt;Setup!$C$5-Setup!$C$6,"",IF(IF(ISNUMBER(Roster!$D348),Setup!$C$33&lt;=Roster!$D348,FALSE),"",IF(OR(IF(Setup!$C$15&lt;=Setup!$C$16,AND(MONTH(O348)&gt;=Setup!$C$15,MONTH(O348)&lt;=Setup!$C$16),OR(MONTH(O348)&gt;=Setup!$C$15,MONTH(O348)&lt;=Setup!$C$16)),IF(Setup!$C$15&lt;=Setup!$C$16,AND(MONTH(WORKDAY(O348,-(Setup!$C$13+Setup!$G$33),Setup!$C$39:$C$50))&gt;=Setup!$C$15,MONTH(WORKDAY(O348,-(Setup!$C$13+Setup!$G$33),Setup!$C$39:$C$50))&lt;=Setup!$C$16),OR(MONTH(WORKDAY(O348,-(Setup!$C$13+Setup!$G$33),Setup!$C$39:$C$50))&gt;=Setup!$C$15,MONTH(WORKDAY(O348,-(Setup!$C$13+Setup!$G$33),Setup!$C$39:$C$50))&lt;=Setup!$C$16))),WORKDAY(O348,-(Setup!$C$13+Setup!$G$33+Setup!$C$14),Setup!$C$39:$C$50),WORKDAY(O348,-(Setup!$C$13+Setup!$G$33),Setup!$C$39:$C$50))+(343*100+14)/10000000)))</f>
        <v/>
      </c>
      <c r="AF348" t="str">
        <f>IF(P348="","",IF(P348&lt;Setup!$C$5-Setup!$C$6,"",IF(IF(ISNUMBER(Roster!$D348),Setup!$C$34&lt;=Roster!$D348,FALSE),"",IF(OR(IF(Setup!$C$15&lt;=Setup!$C$16,AND(MONTH(P348)&gt;=Setup!$C$15,MONTH(P348)&lt;=Setup!$C$16),OR(MONTH(P348)&gt;=Setup!$C$15,MONTH(P348)&lt;=Setup!$C$16)),IF(Setup!$C$15&lt;=Setup!$C$16,AND(MONTH(WORKDAY(P348,-(Setup!$C$13+Setup!$G$34),Setup!$C$39:$C$50))&gt;=Setup!$C$15,MONTH(WORKDAY(P348,-(Setup!$C$13+Setup!$G$34),Setup!$C$39:$C$50))&lt;=Setup!$C$16),OR(MONTH(WORKDAY(P348,-(Setup!$C$13+Setup!$G$34),Setup!$C$39:$C$50))&gt;=Setup!$C$15,MONTH(WORKDAY(P348,-(Setup!$C$13+Setup!$G$34),Setup!$C$39:$C$50))&lt;=Setup!$C$16))),WORKDAY(P348,-(Setup!$C$13+Setup!$G$34+Setup!$C$14),Setup!$C$39:$C$50),WORKDAY(P348,-(Setup!$C$13+Setup!$G$34),Setup!$C$39:$C$50))+(343*100+15)/10000000)))</f>
        <v/>
      </c>
      <c r="AH348" t="str">
        <f t="shared" si="41"/>
        <v/>
      </c>
      <c r="AI348" t="str">
        <f t="shared" si="42"/>
        <v/>
      </c>
      <c r="AP348" t="str">
        <f>IF(ISNUMBER(Roster!$B348),MAX(1,YEAR(Setup!$C$5)-YEAR(Roster!$B348)+IF(EDATE(Roster!$B348,12*(YEAR(Setup!$C$5)-YEAR(Roster!$B348)))&lt;Setup!$C$5,1,0)),"")</f>
        <v/>
      </c>
      <c r="AQ348" s="32" t="str">
        <f>IF(AP348="","",EDATE(Roster!$B348,12*AP348))</f>
        <v/>
      </c>
      <c r="AR348" t="str">
        <f>IF(AQ348="","",IF(AQ348&lt;DATE(YEAR(Setup!$C$5)+1,MONTH(Setup!$C$5),DAY(Setup!$C$5)),AQ348+343/1000,""))</f>
        <v/>
      </c>
      <c r="AS348" t="str">
        <f t="shared" si="43"/>
        <v/>
      </c>
      <c r="AT348" t="str">
        <f>IF(AS348="","",IF(ISNUMBER(Roster!$D348),Roster!$D348&gt;=AP348,FALSE))</f>
        <v/>
      </c>
      <c r="AU348" t="str">
        <f t="shared" si="44"/>
        <v/>
      </c>
      <c r="AV348" t="str">
        <f ca="1">IF(343&gt;$AV$2,"",SMALL($AR$6:$AR$505,343))</f>
        <v/>
      </c>
      <c r="AW348" t="str">
        <f t="shared" ca="1" si="45"/>
        <v/>
      </c>
    </row>
    <row r="349" spans="2:49" x14ac:dyDescent="0.2">
      <c r="B349" s="32" t="str">
        <f>IF(AND(ISNUMBER(Roster!$B349),Setup!$B$20="Yes",ISNUMBER(Setup!$C$20)),EDATE(Roster!$B349,12*Setup!$C$20),"")</f>
        <v/>
      </c>
      <c r="C349" s="32" t="str">
        <f>IF(AND(ISNUMBER(Roster!$B349),Setup!$B$21="Yes",ISNUMBER(Setup!$C$21)),EDATE(Roster!$B349,12*Setup!$C$21),"")</f>
        <v/>
      </c>
      <c r="D349" s="32" t="str">
        <f>IF(AND(ISNUMBER(Roster!$B349),Setup!$B$22="Yes",ISNUMBER(Setup!$C$22)),EDATE(Roster!$B349,12*Setup!$C$22),"")</f>
        <v/>
      </c>
      <c r="E349" s="32" t="str">
        <f>IF(AND(ISNUMBER(Roster!$B349),Setup!$B$23="Yes",ISNUMBER(Setup!$C$23)),EDATE(Roster!$B349,12*Setup!$C$23),"")</f>
        <v/>
      </c>
      <c r="F349" s="32" t="str">
        <f>IF(AND(ISNUMBER(Roster!$B349),Setup!$B$24="Yes",ISNUMBER(Setup!$C$24)),EDATE(Roster!$B349,12*Setup!$C$24),"")</f>
        <v/>
      </c>
      <c r="G349" s="32" t="str">
        <f>IF(AND(ISNUMBER(Roster!$B349),Setup!$B$25="Yes",ISNUMBER(Setup!$C$25)),EDATE(Roster!$B349,12*Setup!$C$25),"")</f>
        <v/>
      </c>
      <c r="H349" s="32" t="str">
        <f>IF(AND(ISNUMBER(Roster!$B349),Setup!$B$26="Yes",ISNUMBER(Setup!$C$26)),EDATE(Roster!$B349,12*Setup!$C$26),"")</f>
        <v/>
      </c>
      <c r="I349" s="32" t="str">
        <f>IF(AND(ISNUMBER(Roster!$B349),Setup!$B$27="Yes",ISNUMBER(Setup!$C$27)),EDATE(Roster!$B349,12*Setup!$C$27),"")</f>
        <v/>
      </c>
      <c r="J349" s="32" t="str">
        <f>IF(AND(ISNUMBER(Roster!$B349),Setup!$B$28="Yes",ISNUMBER(Setup!$C$28)),EDATE(Roster!$B349,12*Setup!$C$28),"")</f>
        <v/>
      </c>
      <c r="K349" s="32" t="str">
        <f>IF(AND(ISNUMBER(Roster!$B349),Setup!$B$29="Yes",ISNUMBER(Setup!$C$29)),EDATE(Roster!$B349,12*Setup!$C$29),"")</f>
        <v/>
      </c>
      <c r="L349" s="32" t="str">
        <f>IF(AND(ISNUMBER(Roster!$B349),Setup!$B$30="Yes",ISNUMBER(Setup!$C$30)),EDATE(Roster!$B349,12*Setup!$C$30),"")</f>
        <v/>
      </c>
      <c r="M349" s="32" t="str">
        <f>IF(AND(ISNUMBER(Roster!$B349),Setup!$B$31="Yes",ISNUMBER(Setup!$C$31)),EDATE(Roster!$B349,12*Setup!$C$31),"")</f>
        <v/>
      </c>
      <c r="N349" s="32" t="str">
        <f>IF(AND(ISNUMBER(Roster!$B349),Setup!$B$32="Yes",ISNUMBER(Setup!$C$32)),EDATE(Roster!$B349,12*Setup!$C$32),"")</f>
        <v/>
      </c>
      <c r="O349" s="32" t="str">
        <f>IF(AND(ISNUMBER(Roster!$B349),Setup!$B$33="Yes",ISNUMBER(Setup!$C$33)),EDATE(Roster!$B349,12*Setup!$C$33),"")</f>
        <v/>
      </c>
      <c r="P349" s="32" t="str">
        <f>IF(AND(ISNUMBER(Roster!$B349),Setup!$B$34="Yes",ISNUMBER(Setup!$C$34)),EDATE(Roster!$B349,12*Setup!$C$34),"")</f>
        <v/>
      </c>
      <c r="R349" t="str">
        <f>IF(B349="","",IF(B349&lt;Setup!$C$5-Setup!$C$6,"",IF(IF(ISNUMBER(Roster!$D349),Setup!$C$20&lt;=Roster!$D349,FALSE),"",IF(OR(IF(Setup!$C$15&lt;=Setup!$C$16,AND(MONTH(B349)&gt;=Setup!$C$15,MONTH(B349)&lt;=Setup!$C$16),OR(MONTH(B349)&gt;=Setup!$C$15,MONTH(B349)&lt;=Setup!$C$16)),IF(Setup!$C$15&lt;=Setup!$C$16,AND(MONTH(WORKDAY(B349,-(Setup!$C$13+Setup!$G$20),Setup!$C$39:$C$50))&gt;=Setup!$C$15,MONTH(WORKDAY(B349,-(Setup!$C$13+Setup!$G$20),Setup!$C$39:$C$50))&lt;=Setup!$C$16),OR(MONTH(WORKDAY(B349,-(Setup!$C$13+Setup!$G$20),Setup!$C$39:$C$50))&gt;=Setup!$C$15,MONTH(WORKDAY(B349,-(Setup!$C$13+Setup!$G$20),Setup!$C$39:$C$50))&lt;=Setup!$C$16))),WORKDAY(B349,-(Setup!$C$13+Setup!$G$20+Setup!$C$14),Setup!$C$39:$C$50),WORKDAY(B349,-(Setup!$C$13+Setup!$G$20),Setup!$C$39:$C$50))+(344*100+1)/10000000)))</f>
        <v/>
      </c>
      <c r="S349" t="str">
        <f>IF(C349="","",IF(C349&lt;Setup!$C$5-Setup!$C$6,"",IF(IF(ISNUMBER(Roster!$D349),Setup!$C$21&lt;=Roster!$D349,FALSE),"",IF(OR(IF(Setup!$C$15&lt;=Setup!$C$16,AND(MONTH(C349)&gt;=Setup!$C$15,MONTH(C349)&lt;=Setup!$C$16),OR(MONTH(C349)&gt;=Setup!$C$15,MONTH(C349)&lt;=Setup!$C$16)),IF(Setup!$C$15&lt;=Setup!$C$16,AND(MONTH(WORKDAY(C349,-(Setup!$C$13+Setup!$G$21),Setup!$C$39:$C$50))&gt;=Setup!$C$15,MONTH(WORKDAY(C349,-(Setup!$C$13+Setup!$G$21),Setup!$C$39:$C$50))&lt;=Setup!$C$16),OR(MONTH(WORKDAY(C349,-(Setup!$C$13+Setup!$G$21),Setup!$C$39:$C$50))&gt;=Setup!$C$15,MONTH(WORKDAY(C349,-(Setup!$C$13+Setup!$G$21),Setup!$C$39:$C$50))&lt;=Setup!$C$16))),WORKDAY(C349,-(Setup!$C$13+Setup!$G$21+Setup!$C$14),Setup!$C$39:$C$50),WORKDAY(C349,-(Setup!$C$13+Setup!$G$21),Setup!$C$39:$C$50))+(344*100+2)/10000000)))</f>
        <v/>
      </c>
      <c r="T349" t="str">
        <f>IF(D349="","",IF(D349&lt;Setup!$C$5-Setup!$C$6,"",IF(IF(ISNUMBER(Roster!$D349),Setup!$C$22&lt;=Roster!$D349,FALSE),"",IF(OR(IF(Setup!$C$15&lt;=Setup!$C$16,AND(MONTH(D349)&gt;=Setup!$C$15,MONTH(D349)&lt;=Setup!$C$16),OR(MONTH(D349)&gt;=Setup!$C$15,MONTH(D349)&lt;=Setup!$C$16)),IF(Setup!$C$15&lt;=Setup!$C$16,AND(MONTH(WORKDAY(D349,-(Setup!$C$13+Setup!$G$22),Setup!$C$39:$C$50))&gt;=Setup!$C$15,MONTH(WORKDAY(D349,-(Setup!$C$13+Setup!$G$22),Setup!$C$39:$C$50))&lt;=Setup!$C$16),OR(MONTH(WORKDAY(D349,-(Setup!$C$13+Setup!$G$22),Setup!$C$39:$C$50))&gt;=Setup!$C$15,MONTH(WORKDAY(D349,-(Setup!$C$13+Setup!$G$22),Setup!$C$39:$C$50))&lt;=Setup!$C$16))),WORKDAY(D349,-(Setup!$C$13+Setup!$G$22+Setup!$C$14),Setup!$C$39:$C$50),WORKDAY(D349,-(Setup!$C$13+Setup!$G$22),Setup!$C$39:$C$50))+(344*100+3)/10000000)))</f>
        <v/>
      </c>
      <c r="U349" t="str">
        <f>IF(E349="","",IF(E349&lt;Setup!$C$5-Setup!$C$6,"",IF(IF(ISNUMBER(Roster!$D349),Setup!$C$23&lt;=Roster!$D349,FALSE),"",IF(OR(IF(Setup!$C$15&lt;=Setup!$C$16,AND(MONTH(E349)&gt;=Setup!$C$15,MONTH(E349)&lt;=Setup!$C$16),OR(MONTH(E349)&gt;=Setup!$C$15,MONTH(E349)&lt;=Setup!$C$16)),IF(Setup!$C$15&lt;=Setup!$C$16,AND(MONTH(WORKDAY(E349,-(Setup!$C$13+Setup!$G$23),Setup!$C$39:$C$50))&gt;=Setup!$C$15,MONTH(WORKDAY(E349,-(Setup!$C$13+Setup!$G$23),Setup!$C$39:$C$50))&lt;=Setup!$C$16),OR(MONTH(WORKDAY(E349,-(Setup!$C$13+Setup!$G$23),Setup!$C$39:$C$50))&gt;=Setup!$C$15,MONTH(WORKDAY(E349,-(Setup!$C$13+Setup!$G$23),Setup!$C$39:$C$50))&lt;=Setup!$C$16))),WORKDAY(E349,-(Setup!$C$13+Setup!$G$23+Setup!$C$14),Setup!$C$39:$C$50),WORKDAY(E349,-(Setup!$C$13+Setup!$G$23),Setup!$C$39:$C$50))+(344*100+4)/10000000)))</f>
        <v/>
      </c>
      <c r="V349" t="str">
        <f>IF(F349="","",IF(F349&lt;Setup!$C$5-Setup!$C$6,"",IF(IF(ISNUMBER(Roster!$D349),Setup!$C$24&lt;=Roster!$D349,FALSE),"",IF(OR(IF(Setup!$C$15&lt;=Setup!$C$16,AND(MONTH(F349)&gt;=Setup!$C$15,MONTH(F349)&lt;=Setup!$C$16),OR(MONTH(F349)&gt;=Setup!$C$15,MONTH(F349)&lt;=Setup!$C$16)),IF(Setup!$C$15&lt;=Setup!$C$16,AND(MONTH(WORKDAY(F349,-(Setup!$C$13+Setup!$G$24),Setup!$C$39:$C$50))&gt;=Setup!$C$15,MONTH(WORKDAY(F349,-(Setup!$C$13+Setup!$G$24),Setup!$C$39:$C$50))&lt;=Setup!$C$16),OR(MONTH(WORKDAY(F349,-(Setup!$C$13+Setup!$G$24),Setup!$C$39:$C$50))&gt;=Setup!$C$15,MONTH(WORKDAY(F349,-(Setup!$C$13+Setup!$G$24),Setup!$C$39:$C$50))&lt;=Setup!$C$16))),WORKDAY(F349,-(Setup!$C$13+Setup!$G$24+Setup!$C$14),Setup!$C$39:$C$50),WORKDAY(F349,-(Setup!$C$13+Setup!$G$24),Setup!$C$39:$C$50))+(344*100+5)/10000000)))</f>
        <v/>
      </c>
      <c r="W349" t="str">
        <f>IF(G349="","",IF(G349&lt;Setup!$C$5-Setup!$C$6,"",IF(IF(ISNUMBER(Roster!$D349),Setup!$C$25&lt;=Roster!$D349,FALSE),"",IF(OR(IF(Setup!$C$15&lt;=Setup!$C$16,AND(MONTH(G349)&gt;=Setup!$C$15,MONTH(G349)&lt;=Setup!$C$16),OR(MONTH(G349)&gt;=Setup!$C$15,MONTH(G349)&lt;=Setup!$C$16)),IF(Setup!$C$15&lt;=Setup!$C$16,AND(MONTH(WORKDAY(G349,-(Setup!$C$13+Setup!$G$25),Setup!$C$39:$C$50))&gt;=Setup!$C$15,MONTH(WORKDAY(G349,-(Setup!$C$13+Setup!$G$25),Setup!$C$39:$C$50))&lt;=Setup!$C$16),OR(MONTH(WORKDAY(G349,-(Setup!$C$13+Setup!$G$25),Setup!$C$39:$C$50))&gt;=Setup!$C$15,MONTH(WORKDAY(G349,-(Setup!$C$13+Setup!$G$25),Setup!$C$39:$C$50))&lt;=Setup!$C$16))),WORKDAY(G349,-(Setup!$C$13+Setup!$G$25+Setup!$C$14),Setup!$C$39:$C$50),WORKDAY(G349,-(Setup!$C$13+Setup!$G$25),Setup!$C$39:$C$50))+(344*100+6)/10000000)))</f>
        <v/>
      </c>
      <c r="X349" t="str">
        <f>IF(H349="","",IF(H349&lt;Setup!$C$5-Setup!$C$6,"",IF(IF(ISNUMBER(Roster!$D349),Setup!$C$26&lt;=Roster!$D349,FALSE),"",IF(OR(IF(Setup!$C$15&lt;=Setup!$C$16,AND(MONTH(H349)&gt;=Setup!$C$15,MONTH(H349)&lt;=Setup!$C$16),OR(MONTH(H349)&gt;=Setup!$C$15,MONTH(H349)&lt;=Setup!$C$16)),IF(Setup!$C$15&lt;=Setup!$C$16,AND(MONTH(WORKDAY(H349,-(Setup!$C$13+Setup!$G$26),Setup!$C$39:$C$50))&gt;=Setup!$C$15,MONTH(WORKDAY(H349,-(Setup!$C$13+Setup!$G$26),Setup!$C$39:$C$50))&lt;=Setup!$C$16),OR(MONTH(WORKDAY(H349,-(Setup!$C$13+Setup!$G$26),Setup!$C$39:$C$50))&gt;=Setup!$C$15,MONTH(WORKDAY(H349,-(Setup!$C$13+Setup!$G$26),Setup!$C$39:$C$50))&lt;=Setup!$C$16))),WORKDAY(H349,-(Setup!$C$13+Setup!$G$26+Setup!$C$14),Setup!$C$39:$C$50),WORKDAY(H349,-(Setup!$C$13+Setup!$G$26),Setup!$C$39:$C$50))+(344*100+7)/10000000)))</f>
        <v/>
      </c>
      <c r="Y349" t="str">
        <f>IF(I349="","",IF(I349&lt;Setup!$C$5-Setup!$C$6,"",IF(IF(ISNUMBER(Roster!$D349),Setup!$C$27&lt;=Roster!$D349,FALSE),"",IF(OR(IF(Setup!$C$15&lt;=Setup!$C$16,AND(MONTH(I349)&gt;=Setup!$C$15,MONTH(I349)&lt;=Setup!$C$16),OR(MONTH(I349)&gt;=Setup!$C$15,MONTH(I349)&lt;=Setup!$C$16)),IF(Setup!$C$15&lt;=Setup!$C$16,AND(MONTH(WORKDAY(I349,-(Setup!$C$13+Setup!$G$27),Setup!$C$39:$C$50))&gt;=Setup!$C$15,MONTH(WORKDAY(I349,-(Setup!$C$13+Setup!$G$27),Setup!$C$39:$C$50))&lt;=Setup!$C$16),OR(MONTH(WORKDAY(I349,-(Setup!$C$13+Setup!$G$27),Setup!$C$39:$C$50))&gt;=Setup!$C$15,MONTH(WORKDAY(I349,-(Setup!$C$13+Setup!$G$27),Setup!$C$39:$C$50))&lt;=Setup!$C$16))),WORKDAY(I349,-(Setup!$C$13+Setup!$G$27+Setup!$C$14),Setup!$C$39:$C$50),WORKDAY(I349,-(Setup!$C$13+Setup!$G$27),Setup!$C$39:$C$50))+(344*100+8)/10000000)))</f>
        <v/>
      </c>
      <c r="Z349" t="str">
        <f>IF(J349="","",IF(J349&lt;Setup!$C$5-Setup!$C$6,"",IF(IF(ISNUMBER(Roster!$D349),Setup!$C$28&lt;=Roster!$D349,FALSE),"",IF(OR(IF(Setup!$C$15&lt;=Setup!$C$16,AND(MONTH(J349)&gt;=Setup!$C$15,MONTH(J349)&lt;=Setup!$C$16),OR(MONTH(J349)&gt;=Setup!$C$15,MONTH(J349)&lt;=Setup!$C$16)),IF(Setup!$C$15&lt;=Setup!$C$16,AND(MONTH(WORKDAY(J349,-(Setup!$C$13+Setup!$G$28),Setup!$C$39:$C$50))&gt;=Setup!$C$15,MONTH(WORKDAY(J349,-(Setup!$C$13+Setup!$G$28),Setup!$C$39:$C$50))&lt;=Setup!$C$16),OR(MONTH(WORKDAY(J349,-(Setup!$C$13+Setup!$G$28),Setup!$C$39:$C$50))&gt;=Setup!$C$15,MONTH(WORKDAY(J349,-(Setup!$C$13+Setup!$G$28),Setup!$C$39:$C$50))&lt;=Setup!$C$16))),WORKDAY(J349,-(Setup!$C$13+Setup!$G$28+Setup!$C$14),Setup!$C$39:$C$50),WORKDAY(J349,-(Setup!$C$13+Setup!$G$28),Setup!$C$39:$C$50))+(344*100+9)/10000000)))</f>
        <v/>
      </c>
      <c r="AA349" t="str">
        <f>IF(K349="","",IF(K349&lt;Setup!$C$5-Setup!$C$6,"",IF(IF(ISNUMBER(Roster!$D349),Setup!$C$29&lt;=Roster!$D349,FALSE),"",IF(OR(IF(Setup!$C$15&lt;=Setup!$C$16,AND(MONTH(K349)&gt;=Setup!$C$15,MONTH(K349)&lt;=Setup!$C$16),OR(MONTH(K349)&gt;=Setup!$C$15,MONTH(K349)&lt;=Setup!$C$16)),IF(Setup!$C$15&lt;=Setup!$C$16,AND(MONTH(WORKDAY(K349,-(Setup!$C$13+Setup!$G$29),Setup!$C$39:$C$50))&gt;=Setup!$C$15,MONTH(WORKDAY(K349,-(Setup!$C$13+Setup!$G$29),Setup!$C$39:$C$50))&lt;=Setup!$C$16),OR(MONTH(WORKDAY(K349,-(Setup!$C$13+Setup!$G$29),Setup!$C$39:$C$50))&gt;=Setup!$C$15,MONTH(WORKDAY(K349,-(Setup!$C$13+Setup!$G$29),Setup!$C$39:$C$50))&lt;=Setup!$C$16))),WORKDAY(K349,-(Setup!$C$13+Setup!$G$29+Setup!$C$14),Setup!$C$39:$C$50),WORKDAY(K349,-(Setup!$C$13+Setup!$G$29),Setup!$C$39:$C$50))+(344*100+10)/10000000)))</f>
        <v/>
      </c>
      <c r="AB349" t="str">
        <f>IF(L349="","",IF(L349&lt;Setup!$C$5-Setup!$C$6,"",IF(IF(ISNUMBER(Roster!$D349),Setup!$C$30&lt;=Roster!$D349,FALSE),"",IF(OR(IF(Setup!$C$15&lt;=Setup!$C$16,AND(MONTH(L349)&gt;=Setup!$C$15,MONTH(L349)&lt;=Setup!$C$16),OR(MONTH(L349)&gt;=Setup!$C$15,MONTH(L349)&lt;=Setup!$C$16)),IF(Setup!$C$15&lt;=Setup!$C$16,AND(MONTH(WORKDAY(L349,-(Setup!$C$13+Setup!$G$30),Setup!$C$39:$C$50))&gt;=Setup!$C$15,MONTH(WORKDAY(L349,-(Setup!$C$13+Setup!$G$30),Setup!$C$39:$C$50))&lt;=Setup!$C$16),OR(MONTH(WORKDAY(L349,-(Setup!$C$13+Setup!$G$30),Setup!$C$39:$C$50))&gt;=Setup!$C$15,MONTH(WORKDAY(L349,-(Setup!$C$13+Setup!$G$30),Setup!$C$39:$C$50))&lt;=Setup!$C$16))),WORKDAY(L349,-(Setup!$C$13+Setup!$G$30+Setup!$C$14),Setup!$C$39:$C$50),WORKDAY(L349,-(Setup!$C$13+Setup!$G$30),Setup!$C$39:$C$50))+(344*100+11)/10000000)))</f>
        <v/>
      </c>
      <c r="AC349" t="str">
        <f>IF(M349="","",IF(M349&lt;Setup!$C$5-Setup!$C$6,"",IF(IF(ISNUMBER(Roster!$D349),Setup!$C$31&lt;=Roster!$D349,FALSE),"",IF(OR(IF(Setup!$C$15&lt;=Setup!$C$16,AND(MONTH(M349)&gt;=Setup!$C$15,MONTH(M349)&lt;=Setup!$C$16),OR(MONTH(M349)&gt;=Setup!$C$15,MONTH(M349)&lt;=Setup!$C$16)),IF(Setup!$C$15&lt;=Setup!$C$16,AND(MONTH(WORKDAY(M349,-(Setup!$C$13+Setup!$G$31),Setup!$C$39:$C$50))&gt;=Setup!$C$15,MONTH(WORKDAY(M349,-(Setup!$C$13+Setup!$G$31),Setup!$C$39:$C$50))&lt;=Setup!$C$16),OR(MONTH(WORKDAY(M349,-(Setup!$C$13+Setup!$G$31),Setup!$C$39:$C$50))&gt;=Setup!$C$15,MONTH(WORKDAY(M349,-(Setup!$C$13+Setup!$G$31),Setup!$C$39:$C$50))&lt;=Setup!$C$16))),WORKDAY(M349,-(Setup!$C$13+Setup!$G$31+Setup!$C$14),Setup!$C$39:$C$50),WORKDAY(M349,-(Setup!$C$13+Setup!$G$31),Setup!$C$39:$C$50))+(344*100+12)/10000000)))</f>
        <v/>
      </c>
      <c r="AD349" t="str">
        <f>IF(N349="","",IF(N349&lt;Setup!$C$5-Setup!$C$6,"",IF(IF(ISNUMBER(Roster!$D349),Setup!$C$32&lt;=Roster!$D349,FALSE),"",IF(OR(IF(Setup!$C$15&lt;=Setup!$C$16,AND(MONTH(N349)&gt;=Setup!$C$15,MONTH(N349)&lt;=Setup!$C$16),OR(MONTH(N349)&gt;=Setup!$C$15,MONTH(N349)&lt;=Setup!$C$16)),IF(Setup!$C$15&lt;=Setup!$C$16,AND(MONTH(WORKDAY(N349,-(Setup!$C$13+Setup!$G$32),Setup!$C$39:$C$50))&gt;=Setup!$C$15,MONTH(WORKDAY(N349,-(Setup!$C$13+Setup!$G$32),Setup!$C$39:$C$50))&lt;=Setup!$C$16),OR(MONTH(WORKDAY(N349,-(Setup!$C$13+Setup!$G$32),Setup!$C$39:$C$50))&gt;=Setup!$C$15,MONTH(WORKDAY(N349,-(Setup!$C$13+Setup!$G$32),Setup!$C$39:$C$50))&lt;=Setup!$C$16))),WORKDAY(N349,-(Setup!$C$13+Setup!$G$32+Setup!$C$14),Setup!$C$39:$C$50),WORKDAY(N349,-(Setup!$C$13+Setup!$G$32),Setup!$C$39:$C$50))+(344*100+13)/10000000)))</f>
        <v/>
      </c>
      <c r="AE349" t="str">
        <f>IF(O349="","",IF(O349&lt;Setup!$C$5-Setup!$C$6,"",IF(IF(ISNUMBER(Roster!$D349),Setup!$C$33&lt;=Roster!$D349,FALSE),"",IF(OR(IF(Setup!$C$15&lt;=Setup!$C$16,AND(MONTH(O349)&gt;=Setup!$C$15,MONTH(O349)&lt;=Setup!$C$16),OR(MONTH(O349)&gt;=Setup!$C$15,MONTH(O349)&lt;=Setup!$C$16)),IF(Setup!$C$15&lt;=Setup!$C$16,AND(MONTH(WORKDAY(O349,-(Setup!$C$13+Setup!$G$33),Setup!$C$39:$C$50))&gt;=Setup!$C$15,MONTH(WORKDAY(O349,-(Setup!$C$13+Setup!$G$33),Setup!$C$39:$C$50))&lt;=Setup!$C$16),OR(MONTH(WORKDAY(O349,-(Setup!$C$13+Setup!$G$33),Setup!$C$39:$C$50))&gt;=Setup!$C$15,MONTH(WORKDAY(O349,-(Setup!$C$13+Setup!$G$33),Setup!$C$39:$C$50))&lt;=Setup!$C$16))),WORKDAY(O349,-(Setup!$C$13+Setup!$G$33+Setup!$C$14),Setup!$C$39:$C$50),WORKDAY(O349,-(Setup!$C$13+Setup!$G$33),Setup!$C$39:$C$50))+(344*100+14)/10000000)))</f>
        <v/>
      </c>
      <c r="AF349" t="str">
        <f>IF(P349="","",IF(P349&lt;Setup!$C$5-Setup!$C$6,"",IF(IF(ISNUMBER(Roster!$D349),Setup!$C$34&lt;=Roster!$D349,FALSE),"",IF(OR(IF(Setup!$C$15&lt;=Setup!$C$16,AND(MONTH(P349)&gt;=Setup!$C$15,MONTH(P349)&lt;=Setup!$C$16),OR(MONTH(P349)&gt;=Setup!$C$15,MONTH(P349)&lt;=Setup!$C$16)),IF(Setup!$C$15&lt;=Setup!$C$16,AND(MONTH(WORKDAY(P349,-(Setup!$C$13+Setup!$G$34),Setup!$C$39:$C$50))&gt;=Setup!$C$15,MONTH(WORKDAY(P349,-(Setup!$C$13+Setup!$G$34),Setup!$C$39:$C$50))&lt;=Setup!$C$16),OR(MONTH(WORKDAY(P349,-(Setup!$C$13+Setup!$G$34),Setup!$C$39:$C$50))&gt;=Setup!$C$15,MONTH(WORKDAY(P349,-(Setup!$C$13+Setup!$G$34),Setup!$C$39:$C$50))&lt;=Setup!$C$16))),WORKDAY(P349,-(Setup!$C$13+Setup!$G$34+Setup!$C$14),Setup!$C$39:$C$50),WORKDAY(P349,-(Setup!$C$13+Setup!$G$34),Setup!$C$39:$C$50))+(344*100+15)/10000000)))</f>
        <v/>
      </c>
      <c r="AH349" t="str">
        <f t="shared" si="41"/>
        <v/>
      </c>
      <c r="AI349" t="str">
        <f t="shared" si="42"/>
        <v/>
      </c>
      <c r="AP349" t="str">
        <f>IF(ISNUMBER(Roster!$B349),MAX(1,YEAR(Setup!$C$5)-YEAR(Roster!$B349)+IF(EDATE(Roster!$B349,12*(YEAR(Setup!$C$5)-YEAR(Roster!$B349)))&lt;Setup!$C$5,1,0)),"")</f>
        <v/>
      </c>
      <c r="AQ349" s="32" t="str">
        <f>IF(AP349="","",EDATE(Roster!$B349,12*AP349))</f>
        <v/>
      </c>
      <c r="AR349" t="str">
        <f>IF(AQ349="","",IF(AQ349&lt;DATE(YEAR(Setup!$C$5)+1,MONTH(Setup!$C$5),DAY(Setup!$C$5)),AQ349+344/1000,""))</f>
        <v/>
      </c>
      <c r="AS349" t="str">
        <f t="shared" si="43"/>
        <v/>
      </c>
      <c r="AT349" t="str">
        <f>IF(AS349="","",IF(ISNUMBER(Roster!$D349),Roster!$D349&gt;=AP349,FALSE))</f>
        <v/>
      </c>
      <c r="AU349" t="str">
        <f t="shared" si="44"/>
        <v/>
      </c>
      <c r="AV349" t="str">
        <f ca="1">IF(344&gt;$AV$2,"",SMALL($AR$6:$AR$505,344))</f>
        <v/>
      </c>
      <c r="AW349" t="str">
        <f t="shared" ca="1" si="45"/>
        <v/>
      </c>
    </row>
    <row r="350" spans="2:49" x14ac:dyDescent="0.2">
      <c r="B350" s="32" t="str">
        <f>IF(AND(ISNUMBER(Roster!$B350),Setup!$B$20="Yes",ISNUMBER(Setup!$C$20)),EDATE(Roster!$B350,12*Setup!$C$20),"")</f>
        <v/>
      </c>
      <c r="C350" s="32" t="str">
        <f>IF(AND(ISNUMBER(Roster!$B350),Setup!$B$21="Yes",ISNUMBER(Setup!$C$21)),EDATE(Roster!$B350,12*Setup!$C$21),"")</f>
        <v/>
      </c>
      <c r="D350" s="32" t="str">
        <f>IF(AND(ISNUMBER(Roster!$B350),Setup!$B$22="Yes",ISNUMBER(Setup!$C$22)),EDATE(Roster!$B350,12*Setup!$C$22),"")</f>
        <v/>
      </c>
      <c r="E350" s="32" t="str">
        <f>IF(AND(ISNUMBER(Roster!$B350),Setup!$B$23="Yes",ISNUMBER(Setup!$C$23)),EDATE(Roster!$B350,12*Setup!$C$23),"")</f>
        <v/>
      </c>
      <c r="F350" s="32" t="str">
        <f>IF(AND(ISNUMBER(Roster!$B350),Setup!$B$24="Yes",ISNUMBER(Setup!$C$24)),EDATE(Roster!$B350,12*Setup!$C$24),"")</f>
        <v/>
      </c>
      <c r="G350" s="32" t="str">
        <f>IF(AND(ISNUMBER(Roster!$B350),Setup!$B$25="Yes",ISNUMBER(Setup!$C$25)),EDATE(Roster!$B350,12*Setup!$C$25),"")</f>
        <v/>
      </c>
      <c r="H350" s="32" t="str">
        <f>IF(AND(ISNUMBER(Roster!$B350),Setup!$B$26="Yes",ISNUMBER(Setup!$C$26)),EDATE(Roster!$B350,12*Setup!$C$26),"")</f>
        <v/>
      </c>
      <c r="I350" s="32" t="str">
        <f>IF(AND(ISNUMBER(Roster!$B350),Setup!$B$27="Yes",ISNUMBER(Setup!$C$27)),EDATE(Roster!$B350,12*Setup!$C$27),"")</f>
        <v/>
      </c>
      <c r="J350" s="32" t="str">
        <f>IF(AND(ISNUMBER(Roster!$B350),Setup!$B$28="Yes",ISNUMBER(Setup!$C$28)),EDATE(Roster!$B350,12*Setup!$C$28),"")</f>
        <v/>
      </c>
      <c r="K350" s="32" t="str">
        <f>IF(AND(ISNUMBER(Roster!$B350),Setup!$B$29="Yes",ISNUMBER(Setup!$C$29)),EDATE(Roster!$B350,12*Setup!$C$29),"")</f>
        <v/>
      </c>
      <c r="L350" s="32" t="str">
        <f>IF(AND(ISNUMBER(Roster!$B350),Setup!$B$30="Yes",ISNUMBER(Setup!$C$30)),EDATE(Roster!$B350,12*Setup!$C$30),"")</f>
        <v/>
      </c>
      <c r="M350" s="32" t="str">
        <f>IF(AND(ISNUMBER(Roster!$B350),Setup!$B$31="Yes",ISNUMBER(Setup!$C$31)),EDATE(Roster!$B350,12*Setup!$C$31),"")</f>
        <v/>
      </c>
      <c r="N350" s="32" t="str">
        <f>IF(AND(ISNUMBER(Roster!$B350),Setup!$B$32="Yes",ISNUMBER(Setup!$C$32)),EDATE(Roster!$B350,12*Setup!$C$32),"")</f>
        <v/>
      </c>
      <c r="O350" s="32" t="str">
        <f>IF(AND(ISNUMBER(Roster!$B350),Setup!$B$33="Yes",ISNUMBER(Setup!$C$33)),EDATE(Roster!$B350,12*Setup!$C$33),"")</f>
        <v/>
      </c>
      <c r="P350" s="32" t="str">
        <f>IF(AND(ISNUMBER(Roster!$B350),Setup!$B$34="Yes",ISNUMBER(Setup!$C$34)),EDATE(Roster!$B350,12*Setup!$C$34),"")</f>
        <v/>
      </c>
      <c r="R350" t="str">
        <f>IF(B350="","",IF(B350&lt;Setup!$C$5-Setup!$C$6,"",IF(IF(ISNUMBER(Roster!$D350),Setup!$C$20&lt;=Roster!$D350,FALSE),"",IF(OR(IF(Setup!$C$15&lt;=Setup!$C$16,AND(MONTH(B350)&gt;=Setup!$C$15,MONTH(B350)&lt;=Setup!$C$16),OR(MONTH(B350)&gt;=Setup!$C$15,MONTH(B350)&lt;=Setup!$C$16)),IF(Setup!$C$15&lt;=Setup!$C$16,AND(MONTH(WORKDAY(B350,-(Setup!$C$13+Setup!$G$20),Setup!$C$39:$C$50))&gt;=Setup!$C$15,MONTH(WORKDAY(B350,-(Setup!$C$13+Setup!$G$20),Setup!$C$39:$C$50))&lt;=Setup!$C$16),OR(MONTH(WORKDAY(B350,-(Setup!$C$13+Setup!$G$20),Setup!$C$39:$C$50))&gt;=Setup!$C$15,MONTH(WORKDAY(B350,-(Setup!$C$13+Setup!$G$20),Setup!$C$39:$C$50))&lt;=Setup!$C$16))),WORKDAY(B350,-(Setup!$C$13+Setup!$G$20+Setup!$C$14),Setup!$C$39:$C$50),WORKDAY(B350,-(Setup!$C$13+Setup!$G$20),Setup!$C$39:$C$50))+(345*100+1)/10000000)))</f>
        <v/>
      </c>
      <c r="S350" t="str">
        <f>IF(C350="","",IF(C350&lt;Setup!$C$5-Setup!$C$6,"",IF(IF(ISNUMBER(Roster!$D350),Setup!$C$21&lt;=Roster!$D350,FALSE),"",IF(OR(IF(Setup!$C$15&lt;=Setup!$C$16,AND(MONTH(C350)&gt;=Setup!$C$15,MONTH(C350)&lt;=Setup!$C$16),OR(MONTH(C350)&gt;=Setup!$C$15,MONTH(C350)&lt;=Setup!$C$16)),IF(Setup!$C$15&lt;=Setup!$C$16,AND(MONTH(WORKDAY(C350,-(Setup!$C$13+Setup!$G$21),Setup!$C$39:$C$50))&gt;=Setup!$C$15,MONTH(WORKDAY(C350,-(Setup!$C$13+Setup!$G$21),Setup!$C$39:$C$50))&lt;=Setup!$C$16),OR(MONTH(WORKDAY(C350,-(Setup!$C$13+Setup!$G$21),Setup!$C$39:$C$50))&gt;=Setup!$C$15,MONTH(WORKDAY(C350,-(Setup!$C$13+Setup!$G$21),Setup!$C$39:$C$50))&lt;=Setup!$C$16))),WORKDAY(C350,-(Setup!$C$13+Setup!$G$21+Setup!$C$14),Setup!$C$39:$C$50),WORKDAY(C350,-(Setup!$C$13+Setup!$G$21),Setup!$C$39:$C$50))+(345*100+2)/10000000)))</f>
        <v/>
      </c>
      <c r="T350" t="str">
        <f>IF(D350="","",IF(D350&lt;Setup!$C$5-Setup!$C$6,"",IF(IF(ISNUMBER(Roster!$D350),Setup!$C$22&lt;=Roster!$D350,FALSE),"",IF(OR(IF(Setup!$C$15&lt;=Setup!$C$16,AND(MONTH(D350)&gt;=Setup!$C$15,MONTH(D350)&lt;=Setup!$C$16),OR(MONTH(D350)&gt;=Setup!$C$15,MONTH(D350)&lt;=Setup!$C$16)),IF(Setup!$C$15&lt;=Setup!$C$16,AND(MONTH(WORKDAY(D350,-(Setup!$C$13+Setup!$G$22),Setup!$C$39:$C$50))&gt;=Setup!$C$15,MONTH(WORKDAY(D350,-(Setup!$C$13+Setup!$G$22),Setup!$C$39:$C$50))&lt;=Setup!$C$16),OR(MONTH(WORKDAY(D350,-(Setup!$C$13+Setup!$G$22),Setup!$C$39:$C$50))&gt;=Setup!$C$15,MONTH(WORKDAY(D350,-(Setup!$C$13+Setup!$G$22),Setup!$C$39:$C$50))&lt;=Setup!$C$16))),WORKDAY(D350,-(Setup!$C$13+Setup!$G$22+Setup!$C$14),Setup!$C$39:$C$50),WORKDAY(D350,-(Setup!$C$13+Setup!$G$22),Setup!$C$39:$C$50))+(345*100+3)/10000000)))</f>
        <v/>
      </c>
      <c r="U350" t="str">
        <f>IF(E350="","",IF(E350&lt;Setup!$C$5-Setup!$C$6,"",IF(IF(ISNUMBER(Roster!$D350),Setup!$C$23&lt;=Roster!$D350,FALSE),"",IF(OR(IF(Setup!$C$15&lt;=Setup!$C$16,AND(MONTH(E350)&gt;=Setup!$C$15,MONTH(E350)&lt;=Setup!$C$16),OR(MONTH(E350)&gt;=Setup!$C$15,MONTH(E350)&lt;=Setup!$C$16)),IF(Setup!$C$15&lt;=Setup!$C$16,AND(MONTH(WORKDAY(E350,-(Setup!$C$13+Setup!$G$23),Setup!$C$39:$C$50))&gt;=Setup!$C$15,MONTH(WORKDAY(E350,-(Setup!$C$13+Setup!$G$23),Setup!$C$39:$C$50))&lt;=Setup!$C$16),OR(MONTH(WORKDAY(E350,-(Setup!$C$13+Setup!$G$23),Setup!$C$39:$C$50))&gt;=Setup!$C$15,MONTH(WORKDAY(E350,-(Setup!$C$13+Setup!$G$23),Setup!$C$39:$C$50))&lt;=Setup!$C$16))),WORKDAY(E350,-(Setup!$C$13+Setup!$G$23+Setup!$C$14),Setup!$C$39:$C$50),WORKDAY(E350,-(Setup!$C$13+Setup!$G$23),Setup!$C$39:$C$50))+(345*100+4)/10000000)))</f>
        <v/>
      </c>
      <c r="V350" t="str">
        <f>IF(F350="","",IF(F350&lt;Setup!$C$5-Setup!$C$6,"",IF(IF(ISNUMBER(Roster!$D350),Setup!$C$24&lt;=Roster!$D350,FALSE),"",IF(OR(IF(Setup!$C$15&lt;=Setup!$C$16,AND(MONTH(F350)&gt;=Setup!$C$15,MONTH(F350)&lt;=Setup!$C$16),OR(MONTH(F350)&gt;=Setup!$C$15,MONTH(F350)&lt;=Setup!$C$16)),IF(Setup!$C$15&lt;=Setup!$C$16,AND(MONTH(WORKDAY(F350,-(Setup!$C$13+Setup!$G$24),Setup!$C$39:$C$50))&gt;=Setup!$C$15,MONTH(WORKDAY(F350,-(Setup!$C$13+Setup!$G$24),Setup!$C$39:$C$50))&lt;=Setup!$C$16),OR(MONTH(WORKDAY(F350,-(Setup!$C$13+Setup!$G$24),Setup!$C$39:$C$50))&gt;=Setup!$C$15,MONTH(WORKDAY(F350,-(Setup!$C$13+Setup!$G$24),Setup!$C$39:$C$50))&lt;=Setup!$C$16))),WORKDAY(F350,-(Setup!$C$13+Setup!$G$24+Setup!$C$14),Setup!$C$39:$C$50),WORKDAY(F350,-(Setup!$C$13+Setup!$G$24),Setup!$C$39:$C$50))+(345*100+5)/10000000)))</f>
        <v/>
      </c>
      <c r="W350" t="str">
        <f>IF(G350="","",IF(G350&lt;Setup!$C$5-Setup!$C$6,"",IF(IF(ISNUMBER(Roster!$D350),Setup!$C$25&lt;=Roster!$D350,FALSE),"",IF(OR(IF(Setup!$C$15&lt;=Setup!$C$16,AND(MONTH(G350)&gt;=Setup!$C$15,MONTH(G350)&lt;=Setup!$C$16),OR(MONTH(G350)&gt;=Setup!$C$15,MONTH(G350)&lt;=Setup!$C$16)),IF(Setup!$C$15&lt;=Setup!$C$16,AND(MONTH(WORKDAY(G350,-(Setup!$C$13+Setup!$G$25),Setup!$C$39:$C$50))&gt;=Setup!$C$15,MONTH(WORKDAY(G350,-(Setup!$C$13+Setup!$G$25),Setup!$C$39:$C$50))&lt;=Setup!$C$16),OR(MONTH(WORKDAY(G350,-(Setup!$C$13+Setup!$G$25),Setup!$C$39:$C$50))&gt;=Setup!$C$15,MONTH(WORKDAY(G350,-(Setup!$C$13+Setup!$G$25),Setup!$C$39:$C$50))&lt;=Setup!$C$16))),WORKDAY(G350,-(Setup!$C$13+Setup!$G$25+Setup!$C$14),Setup!$C$39:$C$50),WORKDAY(G350,-(Setup!$C$13+Setup!$G$25),Setup!$C$39:$C$50))+(345*100+6)/10000000)))</f>
        <v/>
      </c>
      <c r="X350" t="str">
        <f>IF(H350="","",IF(H350&lt;Setup!$C$5-Setup!$C$6,"",IF(IF(ISNUMBER(Roster!$D350),Setup!$C$26&lt;=Roster!$D350,FALSE),"",IF(OR(IF(Setup!$C$15&lt;=Setup!$C$16,AND(MONTH(H350)&gt;=Setup!$C$15,MONTH(H350)&lt;=Setup!$C$16),OR(MONTH(H350)&gt;=Setup!$C$15,MONTH(H350)&lt;=Setup!$C$16)),IF(Setup!$C$15&lt;=Setup!$C$16,AND(MONTH(WORKDAY(H350,-(Setup!$C$13+Setup!$G$26),Setup!$C$39:$C$50))&gt;=Setup!$C$15,MONTH(WORKDAY(H350,-(Setup!$C$13+Setup!$G$26),Setup!$C$39:$C$50))&lt;=Setup!$C$16),OR(MONTH(WORKDAY(H350,-(Setup!$C$13+Setup!$G$26),Setup!$C$39:$C$50))&gt;=Setup!$C$15,MONTH(WORKDAY(H350,-(Setup!$C$13+Setup!$G$26),Setup!$C$39:$C$50))&lt;=Setup!$C$16))),WORKDAY(H350,-(Setup!$C$13+Setup!$G$26+Setup!$C$14),Setup!$C$39:$C$50),WORKDAY(H350,-(Setup!$C$13+Setup!$G$26),Setup!$C$39:$C$50))+(345*100+7)/10000000)))</f>
        <v/>
      </c>
      <c r="Y350" t="str">
        <f>IF(I350="","",IF(I350&lt;Setup!$C$5-Setup!$C$6,"",IF(IF(ISNUMBER(Roster!$D350),Setup!$C$27&lt;=Roster!$D350,FALSE),"",IF(OR(IF(Setup!$C$15&lt;=Setup!$C$16,AND(MONTH(I350)&gt;=Setup!$C$15,MONTH(I350)&lt;=Setup!$C$16),OR(MONTH(I350)&gt;=Setup!$C$15,MONTH(I350)&lt;=Setup!$C$16)),IF(Setup!$C$15&lt;=Setup!$C$16,AND(MONTH(WORKDAY(I350,-(Setup!$C$13+Setup!$G$27),Setup!$C$39:$C$50))&gt;=Setup!$C$15,MONTH(WORKDAY(I350,-(Setup!$C$13+Setup!$G$27),Setup!$C$39:$C$50))&lt;=Setup!$C$16),OR(MONTH(WORKDAY(I350,-(Setup!$C$13+Setup!$G$27),Setup!$C$39:$C$50))&gt;=Setup!$C$15,MONTH(WORKDAY(I350,-(Setup!$C$13+Setup!$G$27),Setup!$C$39:$C$50))&lt;=Setup!$C$16))),WORKDAY(I350,-(Setup!$C$13+Setup!$G$27+Setup!$C$14),Setup!$C$39:$C$50),WORKDAY(I350,-(Setup!$C$13+Setup!$G$27),Setup!$C$39:$C$50))+(345*100+8)/10000000)))</f>
        <v/>
      </c>
      <c r="Z350" t="str">
        <f>IF(J350="","",IF(J350&lt;Setup!$C$5-Setup!$C$6,"",IF(IF(ISNUMBER(Roster!$D350),Setup!$C$28&lt;=Roster!$D350,FALSE),"",IF(OR(IF(Setup!$C$15&lt;=Setup!$C$16,AND(MONTH(J350)&gt;=Setup!$C$15,MONTH(J350)&lt;=Setup!$C$16),OR(MONTH(J350)&gt;=Setup!$C$15,MONTH(J350)&lt;=Setup!$C$16)),IF(Setup!$C$15&lt;=Setup!$C$16,AND(MONTH(WORKDAY(J350,-(Setup!$C$13+Setup!$G$28),Setup!$C$39:$C$50))&gt;=Setup!$C$15,MONTH(WORKDAY(J350,-(Setup!$C$13+Setup!$G$28),Setup!$C$39:$C$50))&lt;=Setup!$C$16),OR(MONTH(WORKDAY(J350,-(Setup!$C$13+Setup!$G$28),Setup!$C$39:$C$50))&gt;=Setup!$C$15,MONTH(WORKDAY(J350,-(Setup!$C$13+Setup!$G$28),Setup!$C$39:$C$50))&lt;=Setup!$C$16))),WORKDAY(J350,-(Setup!$C$13+Setup!$G$28+Setup!$C$14),Setup!$C$39:$C$50),WORKDAY(J350,-(Setup!$C$13+Setup!$G$28),Setup!$C$39:$C$50))+(345*100+9)/10000000)))</f>
        <v/>
      </c>
      <c r="AA350" t="str">
        <f>IF(K350="","",IF(K350&lt;Setup!$C$5-Setup!$C$6,"",IF(IF(ISNUMBER(Roster!$D350),Setup!$C$29&lt;=Roster!$D350,FALSE),"",IF(OR(IF(Setup!$C$15&lt;=Setup!$C$16,AND(MONTH(K350)&gt;=Setup!$C$15,MONTH(K350)&lt;=Setup!$C$16),OR(MONTH(K350)&gt;=Setup!$C$15,MONTH(K350)&lt;=Setup!$C$16)),IF(Setup!$C$15&lt;=Setup!$C$16,AND(MONTH(WORKDAY(K350,-(Setup!$C$13+Setup!$G$29),Setup!$C$39:$C$50))&gt;=Setup!$C$15,MONTH(WORKDAY(K350,-(Setup!$C$13+Setup!$G$29),Setup!$C$39:$C$50))&lt;=Setup!$C$16),OR(MONTH(WORKDAY(K350,-(Setup!$C$13+Setup!$G$29),Setup!$C$39:$C$50))&gt;=Setup!$C$15,MONTH(WORKDAY(K350,-(Setup!$C$13+Setup!$G$29),Setup!$C$39:$C$50))&lt;=Setup!$C$16))),WORKDAY(K350,-(Setup!$C$13+Setup!$G$29+Setup!$C$14),Setup!$C$39:$C$50),WORKDAY(K350,-(Setup!$C$13+Setup!$G$29),Setup!$C$39:$C$50))+(345*100+10)/10000000)))</f>
        <v/>
      </c>
      <c r="AB350" t="str">
        <f>IF(L350="","",IF(L350&lt;Setup!$C$5-Setup!$C$6,"",IF(IF(ISNUMBER(Roster!$D350),Setup!$C$30&lt;=Roster!$D350,FALSE),"",IF(OR(IF(Setup!$C$15&lt;=Setup!$C$16,AND(MONTH(L350)&gt;=Setup!$C$15,MONTH(L350)&lt;=Setup!$C$16),OR(MONTH(L350)&gt;=Setup!$C$15,MONTH(L350)&lt;=Setup!$C$16)),IF(Setup!$C$15&lt;=Setup!$C$16,AND(MONTH(WORKDAY(L350,-(Setup!$C$13+Setup!$G$30),Setup!$C$39:$C$50))&gt;=Setup!$C$15,MONTH(WORKDAY(L350,-(Setup!$C$13+Setup!$G$30),Setup!$C$39:$C$50))&lt;=Setup!$C$16),OR(MONTH(WORKDAY(L350,-(Setup!$C$13+Setup!$G$30),Setup!$C$39:$C$50))&gt;=Setup!$C$15,MONTH(WORKDAY(L350,-(Setup!$C$13+Setup!$G$30),Setup!$C$39:$C$50))&lt;=Setup!$C$16))),WORKDAY(L350,-(Setup!$C$13+Setup!$G$30+Setup!$C$14),Setup!$C$39:$C$50),WORKDAY(L350,-(Setup!$C$13+Setup!$G$30),Setup!$C$39:$C$50))+(345*100+11)/10000000)))</f>
        <v/>
      </c>
      <c r="AC350" t="str">
        <f>IF(M350="","",IF(M350&lt;Setup!$C$5-Setup!$C$6,"",IF(IF(ISNUMBER(Roster!$D350),Setup!$C$31&lt;=Roster!$D350,FALSE),"",IF(OR(IF(Setup!$C$15&lt;=Setup!$C$16,AND(MONTH(M350)&gt;=Setup!$C$15,MONTH(M350)&lt;=Setup!$C$16),OR(MONTH(M350)&gt;=Setup!$C$15,MONTH(M350)&lt;=Setup!$C$16)),IF(Setup!$C$15&lt;=Setup!$C$16,AND(MONTH(WORKDAY(M350,-(Setup!$C$13+Setup!$G$31),Setup!$C$39:$C$50))&gt;=Setup!$C$15,MONTH(WORKDAY(M350,-(Setup!$C$13+Setup!$G$31),Setup!$C$39:$C$50))&lt;=Setup!$C$16),OR(MONTH(WORKDAY(M350,-(Setup!$C$13+Setup!$G$31),Setup!$C$39:$C$50))&gt;=Setup!$C$15,MONTH(WORKDAY(M350,-(Setup!$C$13+Setup!$G$31),Setup!$C$39:$C$50))&lt;=Setup!$C$16))),WORKDAY(M350,-(Setup!$C$13+Setup!$G$31+Setup!$C$14),Setup!$C$39:$C$50),WORKDAY(M350,-(Setup!$C$13+Setup!$G$31),Setup!$C$39:$C$50))+(345*100+12)/10000000)))</f>
        <v/>
      </c>
      <c r="AD350" t="str">
        <f>IF(N350="","",IF(N350&lt;Setup!$C$5-Setup!$C$6,"",IF(IF(ISNUMBER(Roster!$D350),Setup!$C$32&lt;=Roster!$D350,FALSE),"",IF(OR(IF(Setup!$C$15&lt;=Setup!$C$16,AND(MONTH(N350)&gt;=Setup!$C$15,MONTH(N350)&lt;=Setup!$C$16),OR(MONTH(N350)&gt;=Setup!$C$15,MONTH(N350)&lt;=Setup!$C$16)),IF(Setup!$C$15&lt;=Setup!$C$16,AND(MONTH(WORKDAY(N350,-(Setup!$C$13+Setup!$G$32),Setup!$C$39:$C$50))&gt;=Setup!$C$15,MONTH(WORKDAY(N350,-(Setup!$C$13+Setup!$G$32),Setup!$C$39:$C$50))&lt;=Setup!$C$16),OR(MONTH(WORKDAY(N350,-(Setup!$C$13+Setup!$G$32),Setup!$C$39:$C$50))&gt;=Setup!$C$15,MONTH(WORKDAY(N350,-(Setup!$C$13+Setup!$G$32),Setup!$C$39:$C$50))&lt;=Setup!$C$16))),WORKDAY(N350,-(Setup!$C$13+Setup!$G$32+Setup!$C$14),Setup!$C$39:$C$50),WORKDAY(N350,-(Setup!$C$13+Setup!$G$32),Setup!$C$39:$C$50))+(345*100+13)/10000000)))</f>
        <v/>
      </c>
      <c r="AE350" t="str">
        <f>IF(O350="","",IF(O350&lt;Setup!$C$5-Setup!$C$6,"",IF(IF(ISNUMBER(Roster!$D350),Setup!$C$33&lt;=Roster!$D350,FALSE),"",IF(OR(IF(Setup!$C$15&lt;=Setup!$C$16,AND(MONTH(O350)&gt;=Setup!$C$15,MONTH(O350)&lt;=Setup!$C$16),OR(MONTH(O350)&gt;=Setup!$C$15,MONTH(O350)&lt;=Setup!$C$16)),IF(Setup!$C$15&lt;=Setup!$C$16,AND(MONTH(WORKDAY(O350,-(Setup!$C$13+Setup!$G$33),Setup!$C$39:$C$50))&gt;=Setup!$C$15,MONTH(WORKDAY(O350,-(Setup!$C$13+Setup!$G$33),Setup!$C$39:$C$50))&lt;=Setup!$C$16),OR(MONTH(WORKDAY(O350,-(Setup!$C$13+Setup!$G$33),Setup!$C$39:$C$50))&gt;=Setup!$C$15,MONTH(WORKDAY(O350,-(Setup!$C$13+Setup!$G$33),Setup!$C$39:$C$50))&lt;=Setup!$C$16))),WORKDAY(O350,-(Setup!$C$13+Setup!$G$33+Setup!$C$14),Setup!$C$39:$C$50),WORKDAY(O350,-(Setup!$C$13+Setup!$G$33),Setup!$C$39:$C$50))+(345*100+14)/10000000)))</f>
        <v/>
      </c>
      <c r="AF350" t="str">
        <f>IF(P350="","",IF(P350&lt;Setup!$C$5-Setup!$C$6,"",IF(IF(ISNUMBER(Roster!$D350),Setup!$C$34&lt;=Roster!$D350,FALSE),"",IF(OR(IF(Setup!$C$15&lt;=Setup!$C$16,AND(MONTH(P350)&gt;=Setup!$C$15,MONTH(P350)&lt;=Setup!$C$16),OR(MONTH(P350)&gt;=Setup!$C$15,MONTH(P350)&lt;=Setup!$C$16)),IF(Setup!$C$15&lt;=Setup!$C$16,AND(MONTH(WORKDAY(P350,-(Setup!$C$13+Setup!$G$34),Setup!$C$39:$C$50))&gt;=Setup!$C$15,MONTH(WORKDAY(P350,-(Setup!$C$13+Setup!$G$34),Setup!$C$39:$C$50))&lt;=Setup!$C$16),OR(MONTH(WORKDAY(P350,-(Setup!$C$13+Setup!$G$34),Setup!$C$39:$C$50))&gt;=Setup!$C$15,MONTH(WORKDAY(P350,-(Setup!$C$13+Setup!$G$34),Setup!$C$39:$C$50))&lt;=Setup!$C$16))),WORKDAY(P350,-(Setup!$C$13+Setup!$G$34+Setup!$C$14),Setup!$C$39:$C$50),WORKDAY(P350,-(Setup!$C$13+Setup!$G$34),Setup!$C$39:$C$50))+(345*100+15)/10000000)))</f>
        <v/>
      </c>
      <c r="AH350" t="str">
        <f t="shared" si="41"/>
        <v/>
      </c>
      <c r="AI350" t="str">
        <f t="shared" si="42"/>
        <v/>
      </c>
      <c r="AP350" t="str">
        <f>IF(ISNUMBER(Roster!$B350),MAX(1,YEAR(Setup!$C$5)-YEAR(Roster!$B350)+IF(EDATE(Roster!$B350,12*(YEAR(Setup!$C$5)-YEAR(Roster!$B350)))&lt;Setup!$C$5,1,0)),"")</f>
        <v/>
      </c>
      <c r="AQ350" s="32" t="str">
        <f>IF(AP350="","",EDATE(Roster!$B350,12*AP350))</f>
        <v/>
      </c>
      <c r="AR350" t="str">
        <f>IF(AQ350="","",IF(AQ350&lt;DATE(YEAR(Setup!$C$5)+1,MONTH(Setup!$C$5),DAY(Setup!$C$5)),AQ350+345/1000,""))</f>
        <v/>
      </c>
      <c r="AS350" t="str">
        <f t="shared" si="43"/>
        <v/>
      </c>
      <c r="AT350" t="str">
        <f>IF(AS350="","",IF(ISNUMBER(Roster!$D350),Roster!$D350&gt;=AP350,FALSE))</f>
        <v/>
      </c>
      <c r="AU350" t="str">
        <f t="shared" si="44"/>
        <v/>
      </c>
      <c r="AV350" t="str">
        <f ca="1">IF(345&gt;$AV$2,"",SMALL($AR$6:$AR$505,345))</f>
        <v/>
      </c>
      <c r="AW350" t="str">
        <f t="shared" ca="1" si="45"/>
        <v/>
      </c>
    </row>
    <row r="351" spans="2:49" x14ac:dyDescent="0.2">
      <c r="B351" s="32" t="str">
        <f>IF(AND(ISNUMBER(Roster!$B351),Setup!$B$20="Yes",ISNUMBER(Setup!$C$20)),EDATE(Roster!$B351,12*Setup!$C$20),"")</f>
        <v/>
      </c>
      <c r="C351" s="32" t="str">
        <f>IF(AND(ISNUMBER(Roster!$B351),Setup!$B$21="Yes",ISNUMBER(Setup!$C$21)),EDATE(Roster!$B351,12*Setup!$C$21),"")</f>
        <v/>
      </c>
      <c r="D351" s="32" t="str">
        <f>IF(AND(ISNUMBER(Roster!$B351),Setup!$B$22="Yes",ISNUMBER(Setup!$C$22)),EDATE(Roster!$B351,12*Setup!$C$22),"")</f>
        <v/>
      </c>
      <c r="E351" s="32" t="str">
        <f>IF(AND(ISNUMBER(Roster!$B351),Setup!$B$23="Yes",ISNUMBER(Setup!$C$23)),EDATE(Roster!$B351,12*Setup!$C$23),"")</f>
        <v/>
      </c>
      <c r="F351" s="32" t="str">
        <f>IF(AND(ISNUMBER(Roster!$B351),Setup!$B$24="Yes",ISNUMBER(Setup!$C$24)),EDATE(Roster!$B351,12*Setup!$C$24),"")</f>
        <v/>
      </c>
      <c r="G351" s="32" t="str">
        <f>IF(AND(ISNUMBER(Roster!$B351),Setup!$B$25="Yes",ISNUMBER(Setup!$C$25)),EDATE(Roster!$B351,12*Setup!$C$25),"")</f>
        <v/>
      </c>
      <c r="H351" s="32" t="str">
        <f>IF(AND(ISNUMBER(Roster!$B351),Setup!$B$26="Yes",ISNUMBER(Setup!$C$26)),EDATE(Roster!$B351,12*Setup!$C$26),"")</f>
        <v/>
      </c>
      <c r="I351" s="32" t="str">
        <f>IF(AND(ISNUMBER(Roster!$B351),Setup!$B$27="Yes",ISNUMBER(Setup!$C$27)),EDATE(Roster!$B351,12*Setup!$C$27),"")</f>
        <v/>
      </c>
      <c r="J351" s="32" t="str">
        <f>IF(AND(ISNUMBER(Roster!$B351),Setup!$B$28="Yes",ISNUMBER(Setup!$C$28)),EDATE(Roster!$B351,12*Setup!$C$28),"")</f>
        <v/>
      </c>
      <c r="K351" s="32" t="str">
        <f>IF(AND(ISNUMBER(Roster!$B351),Setup!$B$29="Yes",ISNUMBER(Setup!$C$29)),EDATE(Roster!$B351,12*Setup!$C$29),"")</f>
        <v/>
      </c>
      <c r="L351" s="32" t="str">
        <f>IF(AND(ISNUMBER(Roster!$B351),Setup!$B$30="Yes",ISNUMBER(Setup!$C$30)),EDATE(Roster!$B351,12*Setup!$C$30),"")</f>
        <v/>
      </c>
      <c r="M351" s="32" t="str">
        <f>IF(AND(ISNUMBER(Roster!$B351),Setup!$B$31="Yes",ISNUMBER(Setup!$C$31)),EDATE(Roster!$B351,12*Setup!$C$31),"")</f>
        <v/>
      </c>
      <c r="N351" s="32" t="str">
        <f>IF(AND(ISNUMBER(Roster!$B351),Setup!$B$32="Yes",ISNUMBER(Setup!$C$32)),EDATE(Roster!$B351,12*Setup!$C$32),"")</f>
        <v/>
      </c>
      <c r="O351" s="32" t="str">
        <f>IF(AND(ISNUMBER(Roster!$B351),Setup!$B$33="Yes",ISNUMBER(Setup!$C$33)),EDATE(Roster!$B351,12*Setup!$C$33),"")</f>
        <v/>
      </c>
      <c r="P351" s="32" t="str">
        <f>IF(AND(ISNUMBER(Roster!$B351),Setup!$B$34="Yes",ISNUMBER(Setup!$C$34)),EDATE(Roster!$B351,12*Setup!$C$34),"")</f>
        <v/>
      </c>
      <c r="R351" t="str">
        <f>IF(B351="","",IF(B351&lt;Setup!$C$5-Setup!$C$6,"",IF(IF(ISNUMBER(Roster!$D351),Setup!$C$20&lt;=Roster!$D351,FALSE),"",IF(OR(IF(Setup!$C$15&lt;=Setup!$C$16,AND(MONTH(B351)&gt;=Setup!$C$15,MONTH(B351)&lt;=Setup!$C$16),OR(MONTH(B351)&gt;=Setup!$C$15,MONTH(B351)&lt;=Setup!$C$16)),IF(Setup!$C$15&lt;=Setup!$C$16,AND(MONTH(WORKDAY(B351,-(Setup!$C$13+Setup!$G$20),Setup!$C$39:$C$50))&gt;=Setup!$C$15,MONTH(WORKDAY(B351,-(Setup!$C$13+Setup!$G$20),Setup!$C$39:$C$50))&lt;=Setup!$C$16),OR(MONTH(WORKDAY(B351,-(Setup!$C$13+Setup!$G$20),Setup!$C$39:$C$50))&gt;=Setup!$C$15,MONTH(WORKDAY(B351,-(Setup!$C$13+Setup!$G$20),Setup!$C$39:$C$50))&lt;=Setup!$C$16))),WORKDAY(B351,-(Setup!$C$13+Setup!$G$20+Setup!$C$14),Setup!$C$39:$C$50),WORKDAY(B351,-(Setup!$C$13+Setup!$G$20),Setup!$C$39:$C$50))+(346*100+1)/10000000)))</f>
        <v/>
      </c>
      <c r="S351" t="str">
        <f>IF(C351="","",IF(C351&lt;Setup!$C$5-Setup!$C$6,"",IF(IF(ISNUMBER(Roster!$D351),Setup!$C$21&lt;=Roster!$D351,FALSE),"",IF(OR(IF(Setup!$C$15&lt;=Setup!$C$16,AND(MONTH(C351)&gt;=Setup!$C$15,MONTH(C351)&lt;=Setup!$C$16),OR(MONTH(C351)&gt;=Setup!$C$15,MONTH(C351)&lt;=Setup!$C$16)),IF(Setup!$C$15&lt;=Setup!$C$16,AND(MONTH(WORKDAY(C351,-(Setup!$C$13+Setup!$G$21),Setup!$C$39:$C$50))&gt;=Setup!$C$15,MONTH(WORKDAY(C351,-(Setup!$C$13+Setup!$G$21),Setup!$C$39:$C$50))&lt;=Setup!$C$16),OR(MONTH(WORKDAY(C351,-(Setup!$C$13+Setup!$G$21),Setup!$C$39:$C$50))&gt;=Setup!$C$15,MONTH(WORKDAY(C351,-(Setup!$C$13+Setup!$G$21),Setup!$C$39:$C$50))&lt;=Setup!$C$16))),WORKDAY(C351,-(Setup!$C$13+Setup!$G$21+Setup!$C$14),Setup!$C$39:$C$50),WORKDAY(C351,-(Setup!$C$13+Setup!$G$21),Setup!$C$39:$C$50))+(346*100+2)/10000000)))</f>
        <v/>
      </c>
      <c r="T351" t="str">
        <f>IF(D351="","",IF(D351&lt;Setup!$C$5-Setup!$C$6,"",IF(IF(ISNUMBER(Roster!$D351),Setup!$C$22&lt;=Roster!$D351,FALSE),"",IF(OR(IF(Setup!$C$15&lt;=Setup!$C$16,AND(MONTH(D351)&gt;=Setup!$C$15,MONTH(D351)&lt;=Setup!$C$16),OR(MONTH(D351)&gt;=Setup!$C$15,MONTH(D351)&lt;=Setup!$C$16)),IF(Setup!$C$15&lt;=Setup!$C$16,AND(MONTH(WORKDAY(D351,-(Setup!$C$13+Setup!$G$22),Setup!$C$39:$C$50))&gt;=Setup!$C$15,MONTH(WORKDAY(D351,-(Setup!$C$13+Setup!$G$22),Setup!$C$39:$C$50))&lt;=Setup!$C$16),OR(MONTH(WORKDAY(D351,-(Setup!$C$13+Setup!$G$22),Setup!$C$39:$C$50))&gt;=Setup!$C$15,MONTH(WORKDAY(D351,-(Setup!$C$13+Setup!$G$22),Setup!$C$39:$C$50))&lt;=Setup!$C$16))),WORKDAY(D351,-(Setup!$C$13+Setup!$G$22+Setup!$C$14),Setup!$C$39:$C$50),WORKDAY(D351,-(Setup!$C$13+Setup!$G$22),Setup!$C$39:$C$50))+(346*100+3)/10000000)))</f>
        <v/>
      </c>
      <c r="U351" t="str">
        <f>IF(E351="","",IF(E351&lt;Setup!$C$5-Setup!$C$6,"",IF(IF(ISNUMBER(Roster!$D351),Setup!$C$23&lt;=Roster!$D351,FALSE),"",IF(OR(IF(Setup!$C$15&lt;=Setup!$C$16,AND(MONTH(E351)&gt;=Setup!$C$15,MONTH(E351)&lt;=Setup!$C$16),OR(MONTH(E351)&gt;=Setup!$C$15,MONTH(E351)&lt;=Setup!$C$16)),IF(Setup!$C$15&lt;=Setup!$C$16,AND(MONTH(WORKDAY(E351,-(Setup!$C$13+Setup!$G$23),Setup!$C$39:$C$50))&gt;=Setup!$C$15,MONTH(WORKDAY(E351,-(Setup!$C$13+Setup!$G$23),Setup!$C$39:$C$50))&lt;=Setup!$C$16),OR(MONTH(WORKDAY(E351,-(Setup!$C$13+Setup!$G$23),Setup!$C$39:$C$50))&gt;=Setup!$C$15,MONTH(WORKDAY(E351,-(Setup!$C$13+Setup!$G$23),Setup!$C$39:$C$50))&lt;=Setup!$C$16))),WORKDAY(E351,-(Setup!$C$13+Setup!$G$23+Setup!$C$14),Setup!$C$39:$C$50),WORKDAY(E351,-(Setup!$C$13+Setup!$G$23),Setup!$C$39:$C$50))+(346*100+4)/10000000)))</f>
        <v/>
      </c>
      <c r="V351" t="str">
        <f>IF(F351="","",IF(F351&lt;Setup!$C$5-Setup!$C$6,"",IF(IF(ISNUMBER(Roster!$D351),Setup!$C$24&lt;=Roster!$D351,FALSE),"",IF(OR(IF(Setup!$C$15&lt;=Setup!$C$16,AND(MONTH(F351)&gt;=Setup!$C$15,MONTH(F351)&lt;=Setup!$C$16),OR(MONTH(F351)&gt;=Setup!$C$15,MONTH(F351)&lt;=Setup!$C$16)),IF(Setup!$C$15&lt;=Setup!$C$16,AND(MONTH(WORKDAY(F351,-(Setup!$C$13+Setup!$G$24),Setup!$C$39:$C$50))&gt;=Setup!$C$15,MONTH(WORKDAY(F351,-(Setup!$C$13+Setup!$G$24),Setup!$C$39:$C$50))&lt;=Setup!$C$16),OR(MONTH(WORKDAY(F351,-(Setup!$C$13+Setup!$G$24),Setup!$C$39:$C$50))&gt;=Setup!$C$15,MONTH(WORKDAY(F351,-(Setup!$C$13+Setup!$G$24),Setup!$C$39:$C$50))&lt;=Setup!$C$16))),WORKDAY(F351,-(Setup!$C$13+Setup!$G$24+Setup!$C$14),Setup!$C$39:$C$50),WORKDAY(F351,-(Setup!$C$13+Setup!$G$24),Setup!$C$39:$C$50))+(346*100+5)/10000000)))</f>
        <v/>
      </c>
      <c r="W351" t="str">
        <f>IF(G351="","",IF(G351&lt;Setup!$C$5-Setup!$C$6,"",IF(IF(ISNUMBER(Roster!$D351),Setup!$C$25&lt;=Roster!$D351,FALSE),"",IF(OR(IF(Setup!$C$15&lt;=Setup!$C$16,AND(MONTH(G351)&gt;=Setup!$C$15,MONTH(G351)&lt;=Setup!$C$16),OR(MONTH(G351)&gt;=Setup!$C$15,MONTH(G351)&lt;=Setup!$C$16)),IF(Setup!$C$15&lt;=Setup!$C$16,AND(MONTH(WORKDAY(G351,-(Setup!$C$13+Setup!$G$25),Setup!$C$39:$C$50))&gt;=Setup!$C$15,MONTH(WORKDAY(G351,-(Setup!$C$13+Setup!$G$25),Setup!$C$39:$C$50))&lt;=Setup!$C$16),OR(MONTH(WORKDAY(G351,-(Setup!$C$13+Setup!$G$25),Setup!$C$39:$C$50))&gt;=Setup!$C$15,MONTH(WORKDAY(G351,-(Setup!$C$13+Setup!$G$25),Setup!$C$39:$C$50))&lt;=Setup!$C$16))),WORKDAY(G351,-(Setup!$C$13+Setup!$G$25+Setup!$C$14),Setup!$C$39:$C$50),WORKDAY(G351,-(Setup!$C$13+Setup!$G$25),Setup!$C$39:$C$50))+(346*100+6)/10000000)))</f>
        <v/>
      </c>
      <c r="X351" t="str">
        <f>IF(H351="","",IF(H351&lt;Setup!$C$5-Setup!$C$6,"",IF(IF(ISNUMBER(Roster!$D351),Setup!$C$26&lt;=Roster!$D351,FALSE),"",IF(OR(IF(Setup!$C$15&lt;=Setup!$C$16,AND(MONTH(H351)&gt;=Setup!$C$15,MONTH(H351)&lt;=Setup!$C$16),OR(MONTH(H351)&gt;=Setup!$C$15,MONTH(H351)&lt;=Setup!$C$16)),IF(Setup!$C$15&lt;=Setup!$C$16,AND(MONTH(WORKDAY(H351,-(Setup!$C$13+Setup!$G$26),Setup!$C$39:$C$50))&gt;=Setup!$C$15,MONTH(WORKDAY(H351,-(Setup!$C$13+Setup!$G$26),Setup!$C$39:$C$50))&lt;=Setup!$C$16),OR(MONTH(WORKDAY(H351,-(Setup!$C$13+Setup!$G$26),Setup!$C$39:$C$50))&gt;=Setup!$C$15,MONTH(WORKDAY(H351,-(Setup!$C$13+Setup!$G$26),Setup!$C$39:$C$50))&lt;=Setup!$C$16))),WORKDAY(H351,-(Setup!$C$13+Setup!$G$26+Setup!$C$14),Setup!$C$39:$C$50),WORKDAY(H351,-(Setup!$C$13+Setup!$G$26),Setup!$C$39:$C$50))+(346*100+7)/10000000)))</f>
        <v/>
      </c>
      <c r="Y351" t="str">
        <f>IF(I351="","",IF(I351&lt;Setup!$C$5-Setup!$C$6,"",IF(IF(ISNUMBER(Roster!$D351),Setup!$C$27&lt;=Roster!$D351,FALSE),"",IF(OR(IF(Setup!$C$15&lt;=Setup!$C$16,AND(MONTH(I351)&gt;=Setup!$C$15,MONTH(I351)&lt;=Setup!$C$16),OR(MONTH(I351)&gt;=Setup!$C$15,MONTH(I351)&lt;=Setup!$C$16)),IF(Setup!$C$15&lt;=Setup!$C$16,AND(MONTH(WORKDAY(I351,-(Setup!$C$13+Setup!$G$27),Setup!$C$39:$C$50))&gt;=Setup!$C$15,MONTH(WORKDAY(I351,-(Setup!$C$13+Setup!$G$27),Setup!$C$39:$C$50))&lt;=Setup!$C$16),OR(MONTH(WORKDAY(I351,-(Setup!$C$13+Setup!$G$27),Setup!$C$39:$C$50))&gt;=Setup!$C$15,MONTH(WORKDAY(I351,-(Setup!$C$13+Setup!$G$27),Setup!$C$39:$C$50))&lt;=Setup!$C$16))),WORKDAY(I351,-(Setup!$C$13+Setup!$G$27+Setup!$C$14),Setup!$C$39:$C$50),WORKDAY(I351,-(Setup!$C$13+Setup!$G$27),Setup!$C$39:$C$50))+(346*100+8)/10000000)))</f>
        <v/>
      </c>
      <c r="Z351" t="str">
        <f>IF(J351="","",IF(J351&lt;Setup!$C$5-Setup!$C$6,"",IF(IF(ISNUMBER(Roster!$D351),Setup!$C$28&lt;=Roster!$D351,FALSE),"",IF(OR(IF(Setup!$C$15&lt;=Setup!$C$16,AND(MONTH(J351)&gt;=Setup!$C$15,MONTH(J351)&lt;=Setup!$C$16),OR(MONTH(J351)&gt;=Setup!$C$15,MONTH(J351)&lt;=Setup!$C$16)),IF(Setup!$C$15&lt;=Setup!$C$16,AND(MONTH(WORKDAY(J351,-(Setup!$C$13+Setup!$G$28),Setup!$C$39:$C$50))&gt;=Setup!$C$15,MONTH(WORKDAY(J351,-(Setup!$C$13+Setup!$G$28),Setup!$C$39:$C$50))&lt;=Setup!$C$16),OR(MONTH(WORKDAY(J351,-(Setup!$C$13+Setup!$G$28),Setup!$C$39:$C$50))&gt;=Setup!$C$15,MONTH(WORKDAY(J351,-(Setup!$C$13+Setup!$G$28),Setup!$C$39:$C$50))&lt;=Setup!$C$16))),WORKDAY(J351,-(Setup!$C$13+Setup!$G$28+Setup!$C$14),Setup!$C$39:$C$50),WORKDAY(J351,-(Setup!$C$13+Setup!$G$28),Setup!$C$39:$C$50))+(346*100+9)/10000000)))</f>
        <v/>
      </c>
      <c r="AA351" t="str">
        <f>IF(K351="","",IF(K351&lt;Setup!$C$5-Setup!$C$6,"",IF(IF(ISNUMBER(Roster!$D351),Setup!$C$29&lt;=Roster!$D351,FALSE),"",IF(OR(IF(Setup!$C$15&lt;=Setup!$C$16,AND(MONTH(K351)&gt;=Setup!$C$15,MONTH(K351)&lt;=Setup!$C$16),OR(MONTH(K351)&gt;=Setup!$C$15,MONTH(K351)&lt;=Setup!$C$16)),IF(Setup!$C$15&lt;=Setup!$C$16,AND(MONTH(WORKDAY(K351,-(Setup!$C$13+Setup!$G$29),Setup!$C$39:$C$50))&gt;=Setup!$C$15,MONTH(WORKDAY(K351,-(Setup!$C$13+Setup!$G$29),Setup!$C$39:$C$50))&lt;=Setup!$C$16),OR(MONTH(WORKDAY(K351,-(Setup!$C$13+Setup!$G$29),Setup!$C$39:$C$50))&gt;=Setup!$C$15,MONTH(WORKDAY(K351,-(Setup!$C$13+Setup!$G$29),Setup!$C$39:$C$50))&lt;=Setup!$C$16))),WORKDAY(K351,-(Setup!$C$13+Setup!$G$29+Setup!$C$14),Setup!$C$39:$C$50),WORKDAY(K351,-(Setup!$C$13+Setup!$G$29),Setup!$C$39:$C$50))+(346*100+10)/10000000)))</f>
        <v/>
      </c>
      <c r="AB351" t="str">
        <f>IF(L351="","",IF(L351&lt;Setup!$C$5-Setup!$C$6,"",IF(IF(ISNUMBER(Roster!$D351),Setup!$C$30&lt;=Roster!$D351,FALSE),"",IF(OR(IF(Setup!$C$15&lt;=Setup!$C$16,AND(MONTH(L351)&gt;=Setup!$C$15,MONTH(L351)&lt;=Setup!$C$16),OR(MONTH(L351)&gt;=Setup!$C$15,MONTH(L351)&lt;=Setup!$C$16)),IF(Setup!$C$15&lt;=Setup!$C$16,AND(MONTH(WORKDAY(L351,-(Setup!$C$13+Setup!$G$30),Setup!$C$39:$C$50))&gt;=Setup!$C$15,MONTH(WORKDAY(L351,-(Setup!$C$13+Setup!$G$30),Setup!$C$39:$C$50))&lt;=Setup!$C$16),OR(MONTH(WORKDAY(L351,-(Setup!$C$13+Setup!$G$30),Setup!$C$39:$C$50))&gt;=Setup!$C$15,MONTH(WORKDAY(L351,-(Setup!$C$13+Setup!$G$30),Setup!$C$39:$C$50))&lt;=Setup!$C$16))),WORKDAY(L351,-(Setup!$C$13+Setup!$G$30+Setup!$C$14),Setup!$C$39:$C$50),WORKDAY(L351,-(Setup!$C$13+Setup!$G$30),Setup!$C$39:$C$50))+(346*100+11)/10000000)))</f>
        <v/>
      </c>
      <c r="AC351" t="str">
        <f>IF(M351="","",IF(M351&lt;Setup!$C$5-Setup!$C$6,"",IF(IF(ISNUMBER(Roster!$D351),Setup!$C$31&lt;=Roster!$D351,FALSE),"",IF(OR(IF(Setup!$C$15&lt;=Setup!$C$16,AND(MONTH(M351)&gt;=Setup!$C$15,MONTH(M351)&lt;=Setup!$C$16),OR(MONTH(M351)&gt;=Setup!$C$15,MONTH(M351)&lt;=Setup!$C$16)),IF(Setup!$C$15&lt;=Setup!$C$16,AND(MONTH(WORKDAY(M351,-(Setup!$C$13+Setup!$G$31),Setup!$C$39:$C$50))&gt;=Setup!$C$15,MONTH(WORKDAY(M351,-(Setup!$C$13+Setup!$G$31),Setup!$C$39:$C$50))&lt;=Setup!$C$16),OR(MONTH(WORKDAY(M351,-(Setup!$C$13+Setup!$G$31),Setup!$C$39:$C$50))&gt;=Setup!$C$15,MONTH(WORKDAY(M351,-(Setup!$C$13+Setup!$G$31),Setup!$C$39:$C$50))&lt;=Setup!$C$16))),WORKDAY(M351,-(Setup!$C$13+Setup!$G$31+Setup!$C$14),Setup!$C$39:$C$50),WORKDAY(M351,-(Setup!$C$13+Setup!$G$31),Setup!$C$39:$C$50))+(346*100+12)/10000000)))</f>
        <v/>
      </c>
      <c r="AD351" t="str">
        <f>IF(N351="","",IF(N351&lt;Setup!$C$5-Setup!$C$6,"",IF(IF(ISNUMBER(Roster!$D351),Setup!$C$32&lt;=Roster!$D351,FALSE),"",IF(OR(IF(Setup!$C$15&lt;=Setup!$C$16,AND(MONTH(N351)&gt;=Setup!$C$15,MONTH(N351)&lt;=Setup!$C$16),OR(MONTH(N351)&gt;=Setup!$C$15,MONTH(N351)&lt;=Setup!$C$16)),IF(Setup!$C$15&lt;=Setup!$C$16,AND(MONTH(WORKDAY(N351,-(Setup!$C$13+Setup!$G$32),Setup!$C$39:$C$50))&gt;=Setup!$C$15,MONTH(WORKDAY(N351,-(Setup!$C$13+Setup!$G$32),Setup!$C$39:$C$50))&lt;=Setup!$C$16),OR(MONTH(WORKDAY(N351,-(Setup!$C$13+Setup!$G$32),Setup!$C$39:$C$50))&gt;=Setup!$C$15,MONTH(WORKDAY(N351,-(Setup!$C$13+Setup!$G$32),Setup!$C$39:$C$50))&lt;=Setup!$C$16))),WORKDAY(N351,-(Setup!$C$13+Setup!$G$32+Setup!$C$14),Setup!$C$39:$C$50),WORKDAY(N351,-(Setup!$C$13+Setup!$G$32),Setup!$C$39:$C$50))+(346*100+13)/10000000)))</f>
        <v/>
      </c>
      <c r="AE351" t="str">
        <f>IF(O351="","",IF(O351&lt;Setup!$C$5-Setup!$C$6,"",IF(IF(ISNUMBER(Roster!$D351),Setup!$C$33&lt;=Roster!$D351,FALSE),"",IF(OR(IF(Setup!$C$15&lt;=Setup!$C$16,AND(MONTH(O351)&gt;=Setup!$C$15,MONTH(O351)&lt;=Setup!$C$16),OR(MONTH(O351)&gt;=Setup!$C$15,MONTH(O351)&lt;=Setup!$C$16)),IF(Setup!$C$15&lt;=Setup!$C$16,AND(MONTH(WORKDAY(O351,-(Setup!$C$13+Setup!$G$33),Setup!$C$39:$C$50))&gt;=Setup!$C$15,MONTH(WORKDAY(O351,-(Setup!$C$13+Setup!$G$33),Setup!$C$39:$C$50))&lt;=Setup!$C$16),OR(MONTH(WORKDAY(O351,-(Setup!$C$13+Setup!$G$33),Setup!$C$39:$C$50))&gt;=Setup!$C$15,MONTH(WORKDAY(O351,-(Setup!$C$13+Setup!$G$33),Setup!$C$39:$C$50))&lt;=Setup!$C$16))),WORKDAY(O351,-(Setup!$C$13+Setup!$G$33+Setup!$C$14),Setup!$C$39:$C$50),WORKDAY(O351,-(Setup!$C$13+Setup!$G$33),Setup!$C$39:$C$50))+(346*100+14)/10000000)))</f>
        <v/>
      </c>
      <c r="AF351" t="str">
        <f>IF(P351="","",IF(P351&lt;Setup!$C$5-Setup!$C$6,"",IF(IF(ISNUMBER(Roster!$D351),Setup!$C$34&lt;=Roster!$D351,FALSE),"",IF(OR(IF(Setup!$C$15&lt;=Setup!$C$16,AND(MONTH(P351)&gt;=Setup!$C$15,MONTH(P351)&lt;=Setup!$C$16),OR(MONTH(P351)&gt;=Setup!$C$15,MONTH(P351)&lt;=Setup!$C$16)),IF(Setup!$C$15&lt;=Setup!$C$16,AND(MONTH(WORKDAY(P351,-(Setup!$C$13+Setup!$G$34),Setup!$C$39:$C$50))&gt;=Setup!$C$15,MONTH(WORKDAY(P351,-(Setup!$C$13+Setup!$G$34),Setup!$C$39:$C$50))&lt;=Setup!$C$16),OR(MONTH(WORKDAY(P351,-(Setup!$C$13+Setup!$G$34),Setup!$C$39:$C$50))&gt;=Setup!$C$15,MONTH(WORKDAY(P351,-(Setup!$C$13+Setup!$G$34),Setup!$C$39:$C$50))&lt;=Setup!$C$16))),WORKDAY(P351,-(Setup!$C$13+Setup!$G$34+Setup!$C$14),Setup!$C$39:$C$50),WORKDAY(P351,-(Setup!$C$13+Setup!$G$34),Setup!$C$39:$C$50))+(346*100+15)/10000000)))</f>
        <v/>
      </c>
      <c r="AH351" t="str">
        <f t="shared" si="41"/>
        <v/>
      </c>
      <c r="AI351" t="str">
        <f t="shared" si="42"/>
        <v/>
      </c>
      <c r="AP351" t="str">
        <f>IF(ISNUMBER(Roster!$B351),MAX(1,YEAR(Setup!$C$5)-YEAR(Roster!$B351)+IF(EDATE(Roster!$B351,12*(YEAR(Setup!$C$5)-YEAR(Roster!$B351)))&lt;Setup!$C$5,1,0)),"")</f>
        <v/>
      </c>
      <c r="AQ351" s="32" t="str">
        <f>IF(AP351="","",EDATE(Roster!$B351,12*AP351))</f>
        <v/>
      </c>
      <c r="AR351" t="str">
        <f>IF(AQ351="","",IF(AQ351&lt;DATE(YEAR(Setup!$C$5)+1,MONTH(Setup!$C$5),DAY(Setup!$C$5)),AQ351+346/1000,""))</f>
        <v/>
      </c>
      <c r="AS351" t="str">
        <f t="shared" si="43"/>
        <v/>
      </c>
      <c r="AT351" t="str">
        <f>IF(AS351="","",IF(ISNUMBER(Roster!$D351),Roster!$D351&gt;=AP351,FALSE))</f>
        <v/>
      </c>
      <c r="AU351" t="str">
        <f t="shared" si="44"/>
        <v/>
      </c>
      <c r="AV351" t="str">
        <f ca="1">IF(346&gt;$AV$2,"",SMALL($AR$6:$AR$505,346))</f>
        <v/>
      </c>
      <c r="AW351" t="str">
        <f t="shared" ca="1" si="45"/>
        <v/>
      </c>
    </row>
    <row r="352" spans="2:49" x14ac:dyDescent="0.2">
      <c r="B352" s="32" t="str">
        <f>IF(AND(ISNUMBER(Roster!$B352),Setup!$B$20="Yes",ISNUMBER(Setup!$C$20)),EDATE(Roster!$B352,12*Setup!$C$20),"")</f>
        <v/>
      </c>
      <c r="C352" s="32" t="str">
        <f>IF(AND(ISNUMBER(Roster!$B352),Setup!$B$21="Yes",ISNUMBER(Setup!$C$21)),EDATE(Roster!$B352,12*Setup!$C$21),"")</f>
        <v/>
      </c>
      <c r="D352" s="32" t="str">
        <f>IF(AND(ISNUMBER(Roster!$B352),Setup!$B$22="Yes",ISNUMBER(Setup!$C$22)),EDATE(Roster!$B352,12*Setup!$C$22),"")</f>
        <v/>
      </c>
      <c r="E352" s="32" t="str">
        <f>IF(AND(ISNUMBER(Roster!$B352),Setup!$B$23="Yes",ISNUMBER(Setup!$C$23)),EDATE(Roster!$B352,12*Setup!$C$23),"")</f>
        <v/>
      </c>
      <c r="F352" s="32" t="str">
        <f>IF(AND(ISNUMBER(Roster!$B352),Setup!$B$24="Yes",ISNUMBER(Setup!$C$24)),EDATE(Roster!$B352,12*Setup!$C$24),"")</f>
        <v/>
      </c>
      <c r="G352" s="32" t="str">
        <f>IF(AND(ISNUMBER(Roster!$B352),Setup!$B$25="Yes",ISNUMBER(Setup!$C$25)),EDATE(Roster!$B352,12*Setup!$C$25),"")</f>
        <v/>
      </c>
      <c r="H352" s="32" t="str">
        <f>IF(AND(ISNUMBER(Roster!$B352),Setup!$B$26="Yes",ISNUMBER(Setup!$C$26)),EDATE(Roster!$B352,12*Setup!$C$26),"")</f>
        <v/>
      </c>
      <c r="I352" s="32" t="str">
        <f>IF(AND(ISNUMBER(Roster!$B352),Setup!$B$27="Yes",ISNUMBER(Setup!$C$27)),EDATE(Roster!$B352,12*Setup!$C$27),"")</f>
        <v/>
      </c>
      <c r="J352" s="32" t="str">
        <f>IF(AND(ISNUMBER(Roster!$B352),Setup!$B$28="Yes",ISNUMBER(Setup!$C$28)),EDATE(Roster!$B352,12*Setup!$C$28),"")</f>
        <v/>
      </c>
      <c r="K352" s="32" t="str">
        <f>IF(AND(ISNUMBER(Roster!$B352),Setup!$B$29="Yes",ISNUMBER(Setup!$C$29)),EDATE(Roster!$B352,12*Setup!$C$29),"")</f>
        <v/>
      </c>
      <c r="L352" s="32" t="str">
        <f>IF(AND(ISNUMBER(Roster!$B352),Setup!$B$30="Yes",ISNUMBER(Setup!$C$30)),EDATE(Roster!$B352,12*Setup!$C$30),"")</f>
        <v/>
      </c>
      <c r="M352" s="32" t="str">
        <f>IF(AND(ISNUMBER(Roster!$B352),Setup!$B$31="Yes",ISNUMBER(Setup!$C$31)),EDATE(Roster!$B352,12*Setup!$C$31),"")</f>
        <v/>
      </c>
      <c r="N352" s="32" t="str">
        <f>IF(AND(ISNUMBER(Roster!$B352),Setup!$B$32="Yes",ISNUMBER(Setup!$C$32)),EDATE(Roster!$B352,12*Setup!$C$32),"")</f>
        <v/>
      </c>
      <c r="O352" s="32" t="str">
        <f>IF(AND(ISNUMBER(Roster!$B352),Setup!$B$33="Yes",ISNUMBER(Setup!$C$33)),EDATE(Roster!$B352,12*Setup!$C$33),"")</f>
        <v/>
      </c>
      <c r="P352" s="32" t="str">
        <f>IF(AND(ISNUMBER(Roster!$B352),Setup!$B$34="Yes",ISNUMBER(Setup!$C$34)),EDATE(Roster!$B352,12*Setup!$C$34),"")</f>
        <v/>
      </c>
      <c r="R352" t="str">
        <f>IF(B352="","",IF(B352&lt;Setup!$C$5-Setup!$C$6,"",IF(IF(ISNUMBER(Roster!$D352),Setup!$C$20&lt;=Roster!$D352,FALSE),"",IF(OR(IF(Setup!$C$15&lt;=Setup!$C$16,AND(MONTH(B352)&gt;=Setup!$C$15,MONTH(B352)&lt;=Setup!$C$16),OR(MONTH(B352)&gt;=Setup!$C$15,MONTH(B352)&lt;=Setup!$C$16)),IF(Setup!$C$15&lt;=Setup!$C$16,AND(MONTH(WORKDAY(B352,-(Setup!$C$13+Setup!$G$20),Setup!$C$39:$C$50))&gt;=Setup!$C$15,MONTH(WORKDAY(B352,-(Setup!$C$13+Setup!$G$20),Setup!$C$39:$C$50))&lt;=Setup!$C$16),OR(MONTH(WORKDAY(B352,-(Setup!$C$13+Setup!$G$20),Setup!$C$39:$C$50))&gt;=Setup!$C$15,MONTH(WORKDAY(B352,-(Setup!$C$13+Setup!$G$20),Setup!$C$39:$C$50))&lt;=Setup!$C$16))),WORKDAY(B352,-(Setup!$C$13+Setup!$G$20+Setup!$C$14),Setup!$C$39:$C$50),WORKDAY(B352,-(Setup!$C$13+Setup!$G$20),Setup!$C$39:$C$50))+(347*100+1)/10000000)))</f>
        <v/>
      </c>
      <c r="S352" t="str">
        <f>IF(C352="","",IF(C352&lt;Setup!$C$5-Setup!$C$6,"",IF(IF(ISNUMBER(Roster!$D352),Setup!$C$21&lt;=Roster!$D352,FALSE),"",IF(OR(IF(Setup!$C$15&lt;=Setup!$C$16,AND(MONTH(C352)&gt;=Setup!$C$15,MONTH(C352)&lt;=Setup!$C$16),OR(MONTH(C352)&gt;=Setup!$C$15,MONTH(C352)&lt;=Setup!$C$16)),IF(Setup!$C$15&lt;=Setup!$C$16,AND(MONTH(WORKDAY(C352,-(Setup!$C$13+Setup!$G$21),Setup!$C$39:$C$50))&gt;=Setup!$C$15,MONTH(WORKDAY(C352,-(Setup!$C$13+Setup!$G$21),Setup!$C$39:$C$50))&lt;=Setup!$C$16),OR(MONTH(WORKDAY(C352,-(Setup!$C$13+Setup!$G$21),Setup!$C$39:$C$50))&gt;=Setup!$C$15,MONTH(WORKDAY(C352,-(Setup!$C$13+Setup!$G$21),Setup!$C$39:$C$50))&lt;=Setup!$C$16))),WORKDAY(C352,-(Setup!$C$13+Setup!$G$21+Setup!$C$14),Setup!$C$39:$C$50),WORKDAY(C352,-(Setup!$C$13+Setup!$G$21),Setup!$C$39:$C$50))+(347*100+2)/10000000)))</f>
        <v/>
      </c>
      <c r="T352" t="str">
        <f>IF(D352="","",IF(D352&lt;Setup!$C$5-Setup!$C$6,"",IF(IF(ISNUMBER(Roster!$D352),Setup!$C$22&lt;=Roster!$D352,FALSE),"",IF(OR(IF(Setup!$C$15&lt;=Setup!$C$16,AND(MONTH(D352)&gt;=Setup!$C$15,MONTH(D352)&lt;=Setup!$C$16),OR(MONTH(D352)&gt;=Setup!$C$15,MONTH(D352)&lt;=Setup!$C$16)),IF(Setup!$C$15&lt;=Setup!$C$16,AND(MONTH(WORKDAY(D352,-(Setup!$C$13+Setup!$G$22),Setup!$C$39:$C$50))&gt;=Setup!$C$15,MONTH(WORKDAY(D352,-(Setup!$C$13+Setup!$G$22),Setup!$C$39:$C$50))&lt;=Setup!$C$16),OR(MONTH(WORKDAY(D352,-(Setup!$C$13+Setup!$G$22),Setup!$C$39:$C$50))&gt;=Setup!$C$15,MONTH(WORKDAY(D352,-(Setup!$C$13+Setup!$G$22),Setup!$C$39:$C$50))&lt;=Setup!$C$16))),WORKDAY(D352,-(Setup!$C$13+Setup!$G$22+Setup!$C$14),Setup!$C$39:$C$50),WORKDAY(D352,-(Setup!$C$13+Setup!$G$22),Setup!$C$39:$C$50))+(347*100+3)/10000000)))</f>
        <v/>
      </c>
      <c r="U352" t="str">
        <f>IF(E352="","",IF(E352&lt;Setup!$C$5-Setup!$C$6,"",IF(IF(ISNUMBER(Roster!$D352),Setup!$C$23&lt;=Roster!$D352,FALSE),"",IF(OR(IF(Setup!$C$15&lt;=Setup!$C$16,AND(MONTH(E352)&gt;=Setup!$C$15,MONTH(E352)&lt;=Setup!$C$16),OR(MONTH(E352)&gt;=Setup!$C$15,MONTH(E352)&lt;=Setup!$C$16)),IF(Setup!$C$15&lt;=Setup!$C$16,AND(MONTH(WORKDAY(E352,-(Setup!$C$13+Setup!$G$23),Setup!$C$39:$C$50))&gt;=Setup!$C$15,MONTH(WORKDAY(E352,-(Setup!$C$13+Setup!$G$23),Setup!$C$39:$C$50))&lt;=Setup!$C$16),OR(MONTH(WORKDAY(E352,-(Setup!$C$13+Setup!$G$23),Setup!$C$39:$C$50))&gt;=Setup!$C$15,MONTH(WORKDAY(E352,-(Setup!$C$13+Setup!$G$23),Setup!$C$39:$C$50))&lt;=Setup!$C$16))),WORKDAY(E352,-(Setup!$C$13+Setup!$G$23+Setup!$C$14),Setup!$C$39:$C$50),WORKDAY(E352,-(Setup!$C$13+Setup!$G$23),Setup!$C$39:$C$50))+(347*100+4)/10000000)))</f>
        <v/>
      </c>
      <c r="V352" t="str">
        <f>IF(F352="","",IF(F352&lt;Setup!$C$5-Setup!$C$6,"",IF(IF(ISNUMBER(Roster!$D352),Setup!$C$24&lt;=Roster!$D352,FALSE),"",IF(OR(IF(Setup!$C$15&lt;=Setup!$C$16,AND(MONTH(F352)&gt;=Setup!$C$15,MONTH(F352)&lt;=Setup!$C$16),OR(MONTH(F352)&gt;=Setup!$C$15,MONTH(F352)&lt;=Setup!$C$16)),IF(Setup!$C$15&lt;=Setup!$C$16,AND(MONTH(WORKDAY(F352,-(Setup!$C$13+Setup!$G$24),Setup!$C$39:$C$50))&gt;=Setup!$C$15,MONTH(WORKDAY(F352,-(Setup!$C$13+Setup!$G$24),Setup!$C$39:$C$50))&lt;=Setup!$C$16),OR(MONTH(WORKDAY(F352,-(Setup!$C$13+Setup!$G$24),Setup!$C$39:$C$50))&gt;=Setup!$C$15,MONTH(WORKDAY(F352,-(Setup!$C$13+Setup!$G$24),Setup!$C$39:$C$50))&lt;=Setup!$C$16))),WORKDAY(F352,-(Setup!$C$13+Setup!$G$24+Setup!$C$14),Setup!$C$39:$C$50),WORKDAY(F352,-(Setup!$C$13+Setup!$G$24),Setup!$C$39:$C$50))+(347*100+5)/10000000)))</f>
        <v/>
      </c>
      <c r="W352" t="str">
        <f>IF(G352="","",IF(G352&lt;Setup!$C$5-Setup!$C$6,"",IF(IF(ISNUMBER(Roster!$D352),Setup!$C$25&lt;=Roster!$D352,FALSE),"",IF(OR(IF(Setup!$C$15&lt;=Setup!$C$16,AND(MONTH(G352)&gt;=Setup!$C$15,MONTH(G352)&lt;=Setup!$C$16),OR(MONTH(G352)&gt;=Setup!$C$15,MONTH(G352)&lt;=Setup!$C$16)),IF(Setup!$C$15&lt;=Setup!$C$16,AND(MONTH(WORKDAY(G352,-(Setup!$C$13+Setup!$G$25),Setup!$C$39:$C$50))&gt;=Setup!$C$15,MONTH(WORKDAY(G352,-(Setup!$C$13+Setup!$G$25),Setup!$C$39:$C$50))&lt;=Setup!$C$16),OR(MONTH(WORKDAY(G352,-(Setup!$C$13+Setup!$G$25),Setup!$C$39:$C$50))&gt;=Setup!$C$15,MONTH(WORKDAY(G352,-(Setup!$C$13+Setup!$G$25),Setup!$C$39:$C$50))&lt;=Setup!$C$16))),WORKDAY(G352,-(Setup!$C$13+Setup!$G$25+Setup!$C$14),Setup!$C$39:$C$50),WORKDAY(G352,-(Setup!$C$13+Setup!$G$25),Setup!$C$39:$C$50))+(347*100+6)/10000000)))</f>
        <v/>
      </c>
      <c r="X352" t="str">
        <f>IF(H352="","",IF(H352&lt;Setup!$C$5-Setup!$C$6,"",IF(IF(ISNUMBER(Roster!$D352),Setup!$C$26&lt;=Roster!$D352,FALSE),"",IF(OR(IF(Setup!$C$15&lt;=Setup!$C$16,AND(MONTH(H352)&gt;=Setup!$C$15,MONTH(H352)&lt;=Setup!$C$16),OR(MONTH(H352)&gt;=Setup!$C$15,MONTH(H352)&lt;=Setup!$C$16)),IF(Setup!$C$15&lt;=Setup!$C$16,AND(MONTH(WORKDAY(H352,-(Setup!$C$13+Setup!$G$26),Setup!$C$39:$C$50))&gt;=Setup!$C$15,MONTH(WORKDAY(H352,-(Setup!$C$13+Setup!$G$26),Setup!$C$39:$C$50))&lt;=Setup!$C$16),OR(MONTH(WORKDAY(H352,-(Setup!$C$13+Setup!$G$26),Setup!$C$39:$C$50))&gt;=Setup!$C$15,MONTH(WORKDAY(H352,-(Setup!$C$13+Setup!$G$26),Setup!$C$39:$C$50))&lt;=Setup!$C$16))),WORKDAY(H352,-(Setup!$C$13+Setup!$G$26+Setup!$C$14),Setup!$C$39:$C$50),WORKDAY(H352,-(Setup!$C$13+Setup!$G$26),Setup!$C$39:$C$50))+(347*100+7)/10000000)))</f>
        <v/>
      </c>
      <c r="Y352" t="str">
        <f>IF(I352="","",IF(I352&lt;Setup!$C$5-Setup!$C$6,"",IF(IF(ISNUMBER(Roster!$D352),Setup!$C$27&lt;=Roster!$D352,FALSE),"",IF(OR(IF(Setup!$C$15&lt;=Setup!$C$16,AND(MONTH(I352)&gt;=Setup!$C$15,MONTH(I352)&lt;=Setup!$C$16),OR(MONTH(I352)&gt;=Setup!$C$15,MONTH(I352)&lt;=Setup!$C$16)),IF(Setup!$C$15&lt;=Setup!$C$16,AND(MONTH(WORKDAY(I352,-(Setup!$C$13+Setup!$G$27),Setup!$C$39:$C$50))&gt;=Setup!$C$15,MONTH(WORKDAY(I352,-(Setup!$C$13+Setup!$G$27),Setup!$C$39:$C$50))&lt;=Setup!$C$16),OR(MONTH(WORKDAY(I352,-(Setup!$C$13+Setup!$G$27),Setup!$C$39:$C$50))&gt;=Setup!$C$15,MONTH(WORKDAY(I352,-(Setup!$C$13+Setup!$G$27),Setup!$C$39:$C$50))&lt;=Setup!$C$16))),WORKDAY(I352,-(Setup!$C$13+Setup!$G$27+Setup!$C$14),Setup!$C$39:$C$50),WORKDAY(I352,-(Setup!$C$13+Setup!$G$27),Setup!$C$39:$C$50))+(347*100+8)/10000000)))</f>
        <v/>
      </c>
      <c r="Z352" t="str">
        <f>IF(J352="","",IF(J352&lt;Setup!$C$5-Setup!$C$6,"",IF(IF(ISNUMBER(Roster!$D352),Setup!$C$28&lt;=Roster!$D352,FALSE),"",IF(OR(IF(Setup!$C$15&lt;=Setup!$C$16,AND(MONTH(J352)&gt;=Setup!$C$15,MONTH(J352)&lt;=Setup!$C$16),OR(MONTH(J352)&gt;=Setup!$C$15,MONTH(J352)&lt;=Setup!$C$16)),IF(Setup!$C$15&lt;=Setup!$C$16,AND(MONTH(WORKDAY(J352,-(Setup!$C$13+Setup!$G$28),Setup!$C$39:$C$50))&gt;=Setup!$C$15,MONTH(WORKDAY(J352,-(Setup!$C$13+Setup!$G$28),Setup!$C$39:$C$50))&lt;=Setup!$C$16),OR(MONTH(WORKDAY(J352,-(Setup!$C$13+Setup!$G$28),Setup!$C$39:$C$50))&gt;=Setup!$C$15,MONTH(WORKDAY(J352,-(Setup!$C$13+Setup!$G$28),Setup!$C$39:$C$50))&lt;=Setup!$C$16))),WORKDAY(J352,-(Setup!$C$13+Setup!$G$28+Setup!$C$14),Setup!$C$39:$C$50),WORKDAY(J352,-(Setup!$C$13+Setup!$G$28),Setup!$C$39:$C$50))+(347*100+9)/10000000)))</f>
        <v/>
      </c>
      <c r="AA352" t="str">
        <f>IF(K352="","",IF(K352&lt;Setup!$C$5-Setup!$C$6,"",IF(IF(ISNUMBER(Roster!$D352),Setup!$C$29&lt;=Roster!$D352,FALSE),"",IF(OR(IF(Setup!$C$15&lt;=Setup!$C$16,AND(MONTH(K352)&gt;=Setup!$C$15,MONTH(K352)&lt;=Setup!$C$16),OR(MONTH(K352)&gt;=Setup!$C$15,MONTH(K352)&lt;=Setup!$C$16)),IF(Setup!$C$15&lt;=Setup!$C$16,AND(MONTH(WORKDAY(K352,-(Setup!$C$13+Setup!$G$29),Setup!$C$39:$C$50))&gt;=Setup!$C$15,MONTH(WORKDAY(K352,-(Setup!$C$13+Setup!$G$29),Setup!$C$39:$C$50))&lt;=Setup!$C$16),OR(MONTH(WORKDAY(K352,-(Setup!$C$13+Setup!$G$29),Setup!$C$39:$C$50))&gt;=Setup!$C$15,MONTH(WORKDAY(K352,-(Setup!$C$13+Setup!$G$29),Setup!$C$39:$C$50))&lt;=Setup!$C$16))),WORKDAY(K352,-(Setup!$C$13+Setup!$G$29+Setup!$C$14),Setup!$C$39:$C$50),WORKDAY(K352,-(Setup!$C$13+Setup!$G$29),Setup!$C$39:$C$50))+(347*100+10)/10000000)))</f>
        <v/>
      </c>
      <c r="AB352" t="str">
        <f>IF(L352="","",IF(L352&lt;Setup!$C$5-Setup!$C$6,"",IF(IF(ISNUMBER(Roster!$D352),Setup!$C$30&lt;=Roster!$D352,FALSE),"",IF(OR(IF(Setup!$C$15&lt;=Setup!$C$16,AND(MONTH(L352)&gt;=Setup!$C$15,MONTH(L352)&lt;=Setup!$C$16),OR(MONTH(L352)&gt;=Setup!$C$15,MONTH(L352)&lt;=Setup!$C$16)),IF(Setup!$C$15&lt;=Setup!$C$16,AND(MONTH(WORKDAY(L352,-(Setup!$C$13+Setup!$G$30),Setup!$C$39:$C$50))&gt;=Setup!$C$15,MONTH(WORKDAY(L352,-(Setup!$C$13+Setup!$G$30),Setup!$C$39:$C$50))&lt;=Setup!$C$16),OR(MONTH(WORKDAY(L352,-(Setup!$C$13+Setup!$G$30),Setup!$C$39:$C$50))&gt;=Setup!$C$15,MONTH(WORKDAY(L352,-(Setup!$C$13+Setup!$G$30),Setup!$C$39:$C$50))&lt;=Setup!$C$16))),WORKDAY(L352,-(Setup!$C$13+Setup!$G$30+Setup!$C$14),Setup!$C$39:$C$50),WORKDAY(L352,-(Setup!$C$13+Setup!$G$30),Setup!$C$39:$C$50))+(347*100+11)/10000000)))</f>
        <v/>
      </c>
      <c r="AC352" t="str">
        <f>IF(M352="","",IF(M352&lt;Setup!$C$5-Setup!$C$6,"",IF(IF(ISNUMBER(Roster!$D352),Setup!$C$31&lt;=Roster!$D352,FALSE),"",IF(OR(IF(Setup!$C$15&lt;=Setup!$C$16,AND(MONTH(M352)&gt;=Setup!$C$15,MONTH(M352)&lt;=Setup!$C$16),OR(MONTH(M352)&gt;=Setup!$C$15,MONTH(M352)&lt;=Setup!$C$16)),IF(Setup!$C$15&lt;=Setup!$C$16,AND(MONTH(WORKDAY(M352,-(Setup!$C$13+Setup!$G$31),Setup!$C$39:$C$50))&gt;=Setup!$C$15,MONTH(WORKDAY(M352,-(Setup!$C$13+Setup!$G$31),Setup!$C$39:$C$50))&lt;=Setup!$C$16),OR(MONTH(WORKDAY(M352,-(Setup!$C$13+Setup!$G$31),Setup!$C$39:$C$50))&gt;=Setup!$C$15,MONTH(WORKDAY(M352,-(Setup!$C$13+Setup!$G$31),Setup!$C$39:$C$50))&lt;=Setup!$C$16))),WORKDAY(M352,-(Setup!$C$13+Setup!$G$31+Setup!$C$14),Setup!$C$39:$C$50),WORKDAY(M352,-(Setup!$C$13+Setup!$G$31),Setup!$C$39:$C$50))+(347*100+12)/10000000)))</f>
        <v/>
      </c>
      <c r="AD352" t="str">
        <f>IF(N352="","",IF(N352&lt;Setup!$C$5-Setup!$C$6,"",IF(IF(ISNUMBER(Roster!$D352),Setup!$C$32&lt;=Roster!$D352,FALSE),"",IF(OR(IF(Setup!$C$15&lt;=Setup!$C$16,AND(MONTH(N352)&gt;=Setup!$C$15,MONTH(N352)&lt;=Setup!$C$16),OR(MONTH(N352)&gt;=Setup!$C$15,MONTH(N352)&lt;=Setup!$C$16)),IF(Setup!$C$15&lt;=Setup!$C$16,AND(MONTH(WORKDAY(N352,-(Setup!$C$13+Setup!$G$32),Setup!$C$39:$C$50))&gt;=Setup!$C$15,MONTH(WORKDAY(N352,-(Setup!$C$13+Setup!$G$32),Setup!$C$39:$C$50))&lt;=Setup!$C$16),OR(MONTH(WORKDAY(N352,-(Setup!$C$13+Setup!$G$32),Setup!$C$39:$C$50))&gt;=Setup!$C$15,MONTH(WORKDAY(N352,-(Setup!$C$13+Setup!$G$32),Setup!$C$39:$C$50))&lt;=Setup!$C$16))),WORKDAY(N352,-(Setup!$C$13+Setup!$G$32+Setup!$C$14),Setup!$C$39:$C$50),WORKDAY(N352,-(Setup!$C$13+Setup!$G$32),Setup!$C$39:$C$50))+(347*100+13)/10000000)))</f>
        <v/>
      </c>
      <c r="AE352" t="str">
        <f>IF(O352="","",IF(O352&lt;Setup!$C$5-Setup!$C$6,"",IF(IF(ISNUMBER(Roster!$D352),Setup!$C$33&lt;=Roster!$D352,FALSE),"",IF(OR(IF(Setup!$C$15&lt;=Setup!$C$16,AND(MONTH(O352)&gt;=Setup!$C$15,MONTH(O352)&lt;=Setup!$C$16),OR(MONTH(O352)&gt;=Setup!$C$15,MONTH(O352)&lt;=Setup!$C$16)),IF(Setup!$C$15&lt;=Setup!$C$16,AND(MONTH(WORKDAY(O352,-(Setup!$C$13+Setup!$G$33),Setup!$C$39:$C$50))&gt;=Setup!$C$15,MONTH(WORKDAY(O352,-(Setup!$C$13+Setup!$G$33),Setup!$C$39:$C$50))&lt;=Setup!$C$16),OR(MONTH(WORKDAY(O352,-(Setup!$C$13+Setup!$G$33),Setup!$C$39:$C$50))&gt;=Setup!$C$15,MONTH(WORKDAY(O352,-(Setup!$C$13+Setup!$G$33),Setup!$C$39:$C$50))&lt;=Setup!$C$16))),WORKDAY(O352,-(Setup!$C$13+Setup!$G$33+Setup!$C$14),Setup!$C$39:$C$50),WORKDAY(O352,-(Setup!$C$13+Setup!$G$33),Setup!$C$39:$C$50))+(347*100+14)/10000000)))</f>
        <v/>
      </c>
      <c r="AF352" t="str">
        <f>IF(P352="","",IF(P352&lt;Setup!$C$5-Setup!$C$6,"",IF(IF(ISNUMBER(Roster!$D352),Setup!$C$34&lt;=Roster!$D352,FALSE),"",IF(OR(IF(Setup!$C$15&lt;=Setup!$C$16,AND(MONTH(P352)&gt;=Setup!$C$15,MONTH(P352)&lt;=Setup!$C$16),OR(MONTH(P352)&gt;=Setup!$C$15,MONTH(P352)&lt;=Setup!$C$16)),IF(Setup!$C$15&lt;=Setup!$C$16,AND(MONTH(WORKDAY(P352,-(Setup!$C$13+Setup!$G$34),Setup!$C$39:$C$50))&gt;=Setup!$C$15,MONTH(WORKDAY(P352,-(Setup!$C$13+Setup!$G$34),Setup!$C$39:$C$50))&lt;=Setup!$C$16),OR(MONTH(WORKDAY(P352,-(Setup!$C$13+Setup!$G$34),Setup!$C$39:$C$50))&gt;=Setup!$C$15,MONTH(WORKDAY(P352,-(Setup!$C$13+Setup!$G$34),Setup!$C$39:$C$50))&lt;=Setup!$C$16))),WORKDAY(P352,-(Setup!$C$13+Setup!$G$34+Setup!$C$14),Setup!$C$39:$C$50),WORKDAY(P352,-(Setup!$C$13+Setup!$G$34),Setup!$C$39:$C$50))+(347*100+15)/10000000)))</f>
        <v/>
      </c>
      <c r="AH352" t="str">
        <f t="shared" si="41"/>
        <v/>
      </c>
      <c r="AI352" t="str">
        <f t="shared" si="42"/>
        <v/>
      </c>
      <c r="AP352" t="str">
        <f>IF(ISNUMBER(Roster!$B352),MAX(1,YEAR(Setup!$C$5)-YEAR(Roster!$B352)+IF(EDATE(Roster!$B352,12*(YEAR(Setup!$C$5)-YEAR(Roster!$B352)))&lt;Setup!$C$5,1,0)),"")</f>
        <v/>
      </c>
      <c r="AQ352" s="32" t="str">
        <f>IF(AP352="","",EDATE(Roster!$B352,12*AP352))</f>
        <v/>
      </c>
      <c r="AR352" t="str">
        <f>IF(AQ352="","",IF(AQ352&lt;DATE(YEAR(Setup!$C$5)+1,MONTH(Setup!$C$5),DAY(Setup!$C$5)),AQ352+347/1000,""))</f>
        <v/>
      </c>
      <c r="AS352" t="str">
        <f t="shared" si="43"/>
        <v/>
      </c>
      <c r="AT352" t="str">
        <f>IF(AS352="","",IF(ISNUMBER(Roster!$D352),Roster!$D352&gt;=AP352,FALSE))</f>
        <v/>
      </c>
      <c r="AU352" t="str">
        <f t="shared" si="44"/>
        <v/>
      </c>
      <c r="AV352" t="str">
        <f ca="1">IF(347&gt;$AV$2,"",SMALL($AR$6:$AR$505,347))</f>
        <v/>
      </c>
      <c r="AW352" t="str">
        <f t="shared" ca="1" si="45"/>
        <v/>
      </c>
    </row>
    <row r="353" spans="2:49" x14ac:dyDescent="0.2">
      <c r="B353" s="32" t="str">
        <f>IF(AND(ISNUMBER(Roster!$B353),Setup!$B$20="Yes",ISNUMBER(Setup!$C$20)),EDATE(Roster!$B353,12*Setup!$C$20),"")</f>
        <v/>
      </c>
      <c r="C353" s="32" t="str">
        <f>IF(AND(ISNUMBER(Roster!$B353),Setup!$B$21="Yes",ISNUMBER(Setup!$C$21)),EDATE(Roster!$B353,12*Setup!$C$21),"")</f>
        <v/>
      </c>
      <c r="D353" s="32" t="str">
        <f>IF(AND(ISNUMBER(Roster!$B353),Setup!$B$22="Yes",ISNUMBER(Setup!$C$22)),EDATE(Roster!$B353,12*Setup!$C$22),"")</f>
        <v/>
      </c>
      <c r="E353" s="32" t="str">
        <f>IF(AND(ISNUMBER(Roster!$B353),Setup!$B$23="Yes",ISNUMBER(Setup!$C$23)),EDATE(Roster!$B353,12*Setup!$C$23),"")</f>
        <v/>
      </c>
      <c r="F353" s="32" t="str">
        <f>IF(AND(ISNUMBER(Roster!$B353),Setup!$B$24="Yes",ISNUMBER(Setup!$C$24)),EDATE(Roster!$B353,12*Setup!$C$24),"")</f>
        <v/>
      </c>
      <c r="G353" s="32" t="str">
        <f>IF(AND(ISNUMBER(Roster!$B353),Setup!$B$25="Yes",ISNUMBER(Setup!$C$25)),EDATE(Roster!$B353,12*Setup!$C$25),"")</f>
        <v/>
      </c>
      <c r="H353" s="32" t="str">
        <f>IF(AND(ISNUMBER(Roster!$B353),Setup!$B$26="Yes",ISNUMBER(Setup!$C$26)),EDATE(Roster!$B353,12*Setup!$C$26),"")</f>
        <v/>
      </c>
      <c r="I353" s="32" t="str">
        <f>IF(AND(ISNUMBER(Roster!$B353),Setup!$B$27="Yes",ISNUMBER(Setup!$C$27)),EDATE(Roster!$B353,12*Setup!$C$27),"")</f>
        <v/>
      </c>
      <c r="J353" s="32" t="str">
        <f>IF(AND(ISNUMBER(Roster!$B353),Setup!$B$28="Yes",ISNUMBER(Setup!$C$28)),EDATE(Roster!$B353,12*Setup!$C$28),"")</f>
        <v/>
      </c>
      <c r="K353" s="32" t="str">
        <f>IF(AND(ISNUMBER(Roster!$B353),Setup!$B$29="Yes",ISNUMBER(Setup!$C$29)),EDATE(Roster!$B353,12*Setup!$C$29),"")</f>
        <v/>
      </c>
      <c r="L353" s="32" t="str">
        <f>IF(AND(ISNUMBER(Roster!$B353),Setup!$B$30="Yes",ISNUMBER(Setup!$C$30)),EDATE(Roster!$B353,12*Setup!$C$30),"")</f>
        <v/>
      </c>
      <c r="M353" s="32" t="str">
        <f>IF(AND(ISNUMBER(Roster!$B353),Setup!$B$31="Yes",ISNUMBER(Setup!$C$31)),EDATE(Roster!$B353,12*Setup!$C$31),"")</f>
        <v/>
      </c>
      <c r="N353" s="32" t="str">
        <f>IF(AND(ISNUMBER(Roster!$B353),Setup!$B$32="Yes",ISNUMBER(Setup!$C$32)),EDATE(Roster!$B353,12*Setup!$C$32),"")</f>
        <v/>
      </c>
      <c r="O353" s="32" t="str">
        <f>IF(AND(ISNUMBER(Roster!$B353),Setup!$B$33="Yes",ISNUMBER(Setup!$C$33)),EDATE(Roster!$B353,12*Setup!$C$33),"")</f>
        <v/>
      </c>
      <c r="P353" s="32" t="str">
        <f>IF(AND(ISNUMBER(Roster!$B353),Setup!$B$34="Yes",ISNUMBER(Setup!$C$34)),EDATE(Roster!$B353,12*Setup!$C$34),"")</f>
        <v/>
      </c>
      <c r="R353" t="str">
        <f>IF(B353="","",IF(B353&lt;Setup!$C$5-Setup!$C$6,"",IF(IF(ISNUMBER(Roster!$D353),Setup!$C$20&lt;=Roster!$D353,FALSE),"",IF(OR(IF(Setup!$C$15&lt;=Setup!$C$16,AND(MONTH(B353)&gt;=Setup!$C$15,MONTH(B353)&lt;=Setup!$C$16),OR(MONTH(B353)&gt;=Setup!$C$15,MONTH(B353)&lt;=Setup!$C$16)),IF(Setup!$C$15&lt;=Setup!$C$16,AND(MONTH(WORKDAY(B353,-(Setup!$C$13+Setup!$G$20),Setup!$C$39:$C$50))&gt;=Setup!$C$15,MONTH(WORKDAY(B353,-(Setup!$C$13+Setup!$G$20),Setup!$C$39:$C$50))&lt;=Setup!$C$16),OR(MONTH(WORKDAY(B353,-(Setup!$C$13+Setup!$G$20),Setup!$C$39:$C$50))&gt;=Setup!$C$15,MONTH(WORKDAY(B353,-(Setup!$C$13+Setup!$G$20),Setup!$C$39:$C$50))&lt;=Setup!$C$16))),WORKDAY(B353,-(Setup!$C$13+Setup!$G$20+Setup!$C$14),Setup!$C$39:$C$50),WORKDAY(B353,-(Setup!$C$13+Setup!$G$20),Setup!$C$39:$C$50))+(348*100+1)/10000000)))</f>
        <v/>
      </c>
      <c r="S353" t="str">
        <f>IF(C353="","",IF(C353&lt;Setup!$C$5-Setup!$C$6,"",IF(IF(ISNUMBER(Roster!$D353),Setup!$C$21&lt;=Roster!$D353,FALSE),"",IF(OR(IF(Setup!$C$15&lt;=Setup!$C$16,AND(MONTH(C353)&gt;=Setup!$C$15,MONTH(C353)&lt;=Setup!$C$16),OR(MONTH(C353)&gt;=Setup!$C$15,MONTH(C353)&lt;=Setup!$C$16)),IF(Setup!$C$15&lt;=Setup!$C$16,AND(MONTH(WORKDAY(C353,-(Setup!$C$13+Setup!$G$21),Setup!$C$39:$C$50))&gt;=Setup!$C$15,MONTH(WORKDAY(C353,-(Setup!$C$13+Setup!$G$21),Setup!$C$39:$C$50))&lt;=Setup!$C$16),OR(MONTH(WORKDAY(C353,-(Setup!$C$13+Setup!$G$21),Setup!$C$39:$C$50))&gt;=Setup!$C$15,MONTH(WORKDAY(C353,-(Setup!$C$13+Setup!$G$21),Setup!$C$39:$C$50))&lt;=Setup!$C$16))),WORKDAY(C353,-(Setup!$C$13+Setup!$G$21+Setup!$C$14),Setup!$C$39:$C$50),WORKDAY(C353,-(Setup!$C$13+Setup!$G$21),Setup!$C$39:$C$50))+(348*100+2)/10000000)))</f>
        <v/>
      </c>
      <c r="T353" t="str">
        <f>IF(D353="","",IF(D353&lt;Setup!$C$5-Setup!$C$6,"",IF(IF(ISNUMBER(Roster!$D353),Setup!$C$22&lt;=Roster!$D353,FALSE),"",IF(OR(IF(Setup!$C$15&lt;=Setup!$C$16,AND(MONTH(D353)&gt;=Setup!$C$15,MONTH(D353)&lt;=Setup!$C$16),OR(MONTH(D353)&gt;=Setup!$C$15,MONTH(D353)&lt;=Setup!$C$16)),IF(Setup!$C$15&lt;=Setup!$C$16,AND(MONTH(WORKDAY(D353,-(Setup!$C$13+Setup!$G$22),Setup!$C$39:$C$50))&gt;=Setup!$C$15,MONTH(WORKDAY(D353,-(Setup!$C$13+Setup!$G$22),Setup!$C$39:$C$50))&lt;=Setup!$C$16),OR(MONTH(WORKDAY(D353,-(Setup!$C$13+Setup!$G$22),Setup!$C$39:$C$50))&gt;=Setup!$C$15,MONTH(WORKDAY(D353,-(Setup!$C$13+Setup!$G$22),Setup!$C$39:$C$50))&lt;=Setup!$C$16))),WORKDAY(D353,-(Setup!$C$13+Setup!$G$22+Setup!$C$14),Setup!$C$39:$C$50),WORKDAY(D353,-(Setup!$C$13+Setup!$G$22),Setup!$C$39:$C$50))+(348*100+3)/10000000)))</f>
        <v/>
      </c>
      <c r="U353" t="str">
        <f>IF(E353="","",IF(E353&lt;Setup!$C$5-Setup!$C$6,"",IF(IF(ISNUMBER(Roster!$D353),Setup!$C$23&lt;=Roster!$D353,FALSE),"",IF(OR(IF(Setup!$C$15&lt;=Setup!$C$16,AND(MONTH(E353)&gt;=Setup!$C$15,MONTH(E353)&lt;=Setup!$C$16),OR(MONTH(E353)&gt;=Setup!$C$15,MONTH(E353)&lt;=Setup!$C$16)),IF(Setup!$C$15&lt;=Setup!$C$16,AND(MONTH(WORKDAY(E353,-(Setup!$C$13+Setup!$G$23),Setup!$C$39:$C$50))&gt;=Setup!$C$15,MONTH(WORKDAY(E353,-(Setup!$C$13+Setup!$G$23),Setup!$C$39:$C$50))&lt;=Setup!$C$16),OR(MONTH(WORKDAY(E353,-(Setup!$C$13+Setup!$G$23),Setup!$C$39:$C$50))&gt;=Setup!$C$15,MONTH(WORKDAY(E353,-(Setup!$C$13+Setup!$G$23),Setup!$C$39:$C$50))&lt;=Setup!$C$16))),WORKDAY(E353,-(Setup!$C$13+Setup!$G$23+Setup!$C$14),Setup!$C$39:$C$50),WORKDAY(E353,-(Setup!$C$13+Setup!$G$23),Setup!$C$39:$C$50))+(348*100+4)/10000000)))</f>
        <v/>
      </c>
      <c r="V353" t="str">
        <f>IF(F353="","",IF(F353&lt;Setup!$C$5-Setup!$C$6,"",IF(IF(ISNUMBER(Roster!$D353),Setup!$C$24&lt;=Roster!$D353,FALSE),"",IF(OR(IF(Setup!$C$15&lt;=Setup!$C$16,AND(MONTH(F353)&gt;=Setup!$C$15,MONTH(F353)&lt;=Setup!$C$16),OR(MONTH(F353)&gt;=Setup!$C$15,MONTH(F353)&lt;=Setup!$C$16)),IF(Setup!$C$15&lt;=Setup!$C$16,AND(MONTH(WORKDAY(F353,-(Setup!$C$13+Setup!$G$24),Setup!$C$39:$C$50))&gt;=Setup!$C$15,MONTH(WORKDAY(F353,-(Setup!$C$13+Setup!$G$24),Setup!$C$39:$C$50))&lt;=Setup!$C$16),OR(MONTH(WORKDAY(F353,-(Setup!$C$13+Setup!$G$24),Setup!$C$39:$C$50))&gt;=Setup!$C$15,MONTH(WORKDAY(F353,-(Setup!$C$13+Setup!$G$24),Setup!$C$39:$C$50))&lt;=Setup!$C$16))),WORKDAY(F353,-(Setup!$C$13+Setup!$G$24+Setup!$C$14),Setup!$C$39:$C$50),WORKDAY(F353,-(Setup!$C$13+Setup!$G$24),Setup!$C$39:$C$50))+(348*100+5)/10000000)))</f>
        <v/>
      </c>
      <c r="W353" t="str">
        <f>IF(G353="","",IF(G353&lt;Setup!$C$5-Setup!$C$6,"",IF(IF(ISNUMBER(Roster!$D353),Setup!$C$25&lt;=Roster!$D353,FALSE),"",IF(OR(IF(Setup!$C$15&lt;=Setup!$C$16,AND(MONTH(G353)&gt;=Setup!$C$15,MONTH(G353)&lt;=Setup!$C$16),OR(MONTH(G353)&gt;=Setup!$C$15,MONTH(G353)&lt;=Setup!$C$16)),IF(Setup!$C$15&lt;=Setup!$C$16,AND(MONTH(WORKDAY(G353,-(Setup!$C$13+Setup!$G$25),Setup!$C$39:$C$50))&gt;=Setup!$C$15,MONTH(WORKDAY(G353,-(Setup!$C$13+Setup!$G$25),Setup!$C$39:$C$50))&lt;=Setup!$C$16),OR(MONTH(WORKDAY(G353,-(Setup!$C$13+Setup!$G$25),Setup!$C$39:$C$50))&gt;=Setup!$C$15,MONTH(WORKDAY(G353,-(Setup!$C$13+Setup!$G$25),Setup!$C$39:$C$50))&lt;=Setup!$C$16))),WORKDAY(G353,-(Setup!$C$13+Setup!$G$25+Setup!$C$14),Setup!$C$39:$C$50),WORKDAY(G353,-(Setup!$C$13+Setup!$G$25),Setup!$C$39:$C$50))+(348*100+6)/10000000)))</f>
        <v/>
      </c>
      <c r="X353" t="str">
        <f>IF(H353="","",IF(H353&lt;Setup!$C$5-Setup!$C$6,"",IF(IF(ISNUMBER(Roster!$D353),Setup!$C$26&lt;=Roster!$D353,FALSE),"",IF(OR(IF(Setup!$C$15&lt;=Setup!$C$16,AND(MONTH(H353)&gt;=Setup!$C$15,MONTH(H353)&lt;=Setup!$C$16),OR(MONTH(H353)&gt;=Setup!$C$15,MONTH(H353)&lt;=Setup!$C$16)),IF(Setup!$C$15&lt;=Setup!$C$16,AND(MONTH(WORKDAY(H353,-(Setup!$C$13+Setup!$G$26),Setup!$C$39:$C$50))&gt;=Setup!$C$15,MONTH(WORKDAY(H353,-(Setup!$C$13+Setup!$G$26),Setup!$C$39:$C$50))&lt;=Setup!$C$16),OR(MONTH(WORKDAY(H353,-(Setup!$C$13+Setup!$G$26),Setup!$C$39:$C$50))&gt;=Setup!$C$15,MONTH(WORKDAY(H353,-(Setup!$C$13+Setup!$G$26),Setup!$C$39:$C$50))&lt;=Setup!$C$16))),WORKDAY(H353,-(Setup!$C$13+Setup!$G$26+Setup!$C$14),Setup!$C$39:$C$50),WORKDAY(H353,-(Setup!$C$13+Setup!$G$26),Setup!$C$39:$C$50))+(348*100+7)/10000000)))</f>
        <v/>
      </c>
      <c r="Y353" t="str">
        <f>IF(I353="","",IF(I353&lt;Setup!$C$5-Setup!$C$6,"",IF(IF(ISNUMBER(Roster!$D353),Setup!$C$27&lt;=Roster!$D353,FALSE),"",IF(OR(IF(Setup!$C$15&lt;=Setup!$C$16,AND(MONTH(I353)&gt;=Setup!$C$15,MONTH(I353)&lt;=Setup!$C$16),OR(MONTH(I353)&gt;=Setup!$C$15,MONTH(I353)&lt;=Setup!$C$16)),IF(Setup!$C$15&lt;=Setup!$C$16,AND(MONTH(WORKDAY(I353,-(Setup!$C$13+Setup!$G$27),Setup!$C$39:$C$50))&gt;=Setup!$C$15,MONTH(WORKDAY(I353,-(Setup!$C$13+Setup!$G$27),Setup!$C$39:$C$50))&lt;=Setup!$C$16),OR(MONTH(WORKDAY(I353,-(Setup!$C$13+Setup!$G$27),Setup!$C$39:$C$50))&gt;=Setup!$C$15,MONTH(WORKDAY(I353,-(Setup!$C$13+Setup!$G$27),Setup!$C$39:$C$50))&lt;=Setup!$C$16))),WORKDAY(I353,-(Setup!$C$13+Setup!$G$27+Setup!$C$14),Setup!$C$39:$C$50),WORKDAY(I353,-(Setup!$C$13+Setup!$G$27),Setup!$C$39:$C$50))+(348*100+8)/10000000)))</f>
        <v/>
      </c>
      <c r="Z353" t="str">
        <f>IF(J353="","",IF(J353&lt;Setup!$C$5-Setup!$C$6,"",IF(IF(ISNUMBER(Roster!$D353),Setup!$C$28&lt;=Roster!$D353,FALSE),"",IF(OR(IF(Setup!$C$15&lt;=Setup!$C$16,AND(MONTH(J353)&gt;=Setup!$C$15,MONTH(J353)&lt;=Setup!$C$16),OR(MONTH(J353)&gt;=Setup!$C$15,MONTH(J353)&lt;=Setup!$C$16)),IF(Setup!$C$15&lt;=Setup!$C$16,AND(MONTH(WORKDAY(J353,-(Setup!$C$13+Setup!$G$28),Setup!$C$39:$C$50))&gt;=Setup!$C$15,MONTH(WORKDAY(J353,-(Setup!$C$13+Setup!$G$28),Setup!$C$39:$C$50))&lt;=Setup!$C$16),OR(MONTH(WORKDAY(J353,-(Setup!$C$13+Setup!$G$28),Setup!$C$39:$C$50))&gt;=Setup!$C$15,MONTH(WORKDAY(J353,-(Setup!$C$13+Setup!$G$28),Setup!$C$39:$C$50))&lt;=Setup!$C$16))),WORKDAY(J353,-(Setup!$C$13+Setup!$G$28+Setup!$C$14),Setup!$C$39:$C$50),WORKDAY(J353,-(Setup!$C$13+Setup!$G$28),Setup!$C$39:$C$50))+(348*100+9)/10000000)))</f>
        <v/>
      </c>
      <c r="AA353" t="str">
        <f>IF(K353="","",IF(K353&lt;Setup!$C$5-Setup!$C$6,"",IF(IF(ISNUMBER(Roster!$D353),Setup!$C$29&lt;=Roster!$D353,FALSE),"",IF(OR(IF(Setup!$C$15&lt;=Setup!$C$16,AND(MONTH(K353)&gt;=Setup!$C$15,MONTH(K353)&lt;=Setup!$C$16),OR(MONTH(K353)&gt;=Setup!$C$15,MONTH(K353)&lt;=Setup!$C$16)),IF(Setup!$C$15&lt;=Setup!$C$16,AND(MONTH(WORKDAY(K353,-(Setup!$C$13+Setup!$G$29),Setup!$C$39:$C$50))&gt;=Setup!$C$15,MONTH(WORKDAY(K353,-(Setup!$C$13+Setup!$G$29),Setup!$C$39:$C$50))&lt;=Setup!$C$16),OR(MONTH(WORKDAY(K353,-(Setup!$C$13+Setup!$G$29),Setup!$C$39:$C$50))&gt;=Setup!$C$15,MONTH(WORKDAY(K353,-(Setup!$C$13+Setup!$G$29),Setup!$C$39:$C$50))&lt;=Setup!$C$16))),WORKDAY(K353,-(Setup!$C$13+Setup!$G$29+Setup!$C$14),Setup!$C$39:$C$50),WORKDAY(K353,-(Setup!$C$13+Setup!$G$29),Setup!$C$39:$C$50))+(348*100+10)/10000000)))</f>
        <v/>
      </c>
      <c r="AB353" t="str">
        <f>IF(L353="","",IF(L353&lt;Setup!$C$5-Setup!$C$6,"",IF(IF(ISNUMBER(Roster!$D353),Setup!$C$30&lt;=Roster!$D353,FALSE),"",IF(OR(IF(Setup!$C$15&lt;=Setup!$C$16,AND(MONTH(L353)&gt;=Setup!$C$15,MONTH(L353)&lt;=Setup!$C$16),OR(MONTH(L353)&gt;=Setup!$C$15,MONTH(L353)&lt;=Setup!$C$16)),IF(Setup!$C$15&lt;=Setup!$C$16,AND(MONTH(WORKDAY(L353,-(Setup!$C$13+Setup!$G$30),Setup!$C$39:$C$50))&gt;=Setup!$C$15,MONTH(WORKDAY(L353,-(Setup!$C$13+Setup!$G$30),Setup!$C$39:$C$50))&lt;=Setup!$C$16),OR(MONTH(WORKDAY(L353,-(Setup!$C$13+Setup!$G$30),Setup!$C$39:$C$50))&gt;=Setup!$C$15,MONTH(WORKDAY(L353,-(Setup!$C$13+Setup!$G$30),Setup!$C$39:$C$50))&lt;=Setup!$C$16))),WORKDAY(L353,-(Setup!$C$13+Setup!$G$30+Setup!$C$14),Setup!$C$39:$C$50),WORKDAY(L353,-(Setup!$C$13+Setup!$G$30),Setup!$C$39:$C$50))+(348*100+11)/10000000)))</f>
        <v/>
      </c>
      <c r="AC353" t="str">
        <f>IF(M353="","",IF(M353&lt;Setup!$C$5-Setup!$C$6,"",IF(IF(ISNUMBER(Roster!$D353),Setup!$C$31&lt;=Roster!$D353,FALSE),"",IF(OR(IF(Setup!$C$15&lt;=Setup!$C$16,AND(MONTH(M353)&gt;=Setup!$C$15,MONTH(M353)&lt;=Setup!$C$16),OR(MONTH(M353)&gt;=Setup!$C$15,MONTH(M353)&lt;=Setup!$C$16)),IF(Setup!$C$15&lt;=Setup!$C$16,AND(MONTH(WORKDAY(M353,-(Setup!$C$13+Setup!$G$31),Setup!$C$39:$C$50))&gt;=Setup!$C$15,MONTH(WORKDAY(M353,-(Setup!$C$13+Setup!$G$31),Setup!$C$39:$C$50))&lt;=Setup!$C$16),OR(MONTH(WORKDAY(M353,-(Setup!$C$13+Setup!$G$31),Setup!$C$39:$C$50))&gt;=Setup!$C$15,MONTH(WORKDAY(M353,-(Setup!$C$13+Setup!$G$31),Setup!$C$39:$C$50))&lt;=Setup!$C$16))),WORKDAY(M353,-(Setup!$C$13+Setup!$G$31+Setup!$C$14),Setup!$C$39:$C$50),WORKDAY(M353,-(Setup!$C$13+Setup!$G$31),Setup!$C$39:$C$50))+(348*100+12)/10000000)))</f>
        <v/>
      </c>
      <c r="AD353" t="str">
        <f>IF(N353="","",IF(N353&lt;Setup!$C$5-Setup!$C$6,"",IF(IF(ISNUMBER(Roster!$D353),Setup!$C$32&lt;=Roster!$D353,FALSE),"",IF(OR(IF(Setup!$C$15&lt;=Setup!$C$16,AND(MONTH(N353)&gt;=Setup!$C$15,MONTH(N353)&lt;=Setup!$C$16),OR(MONTH(N353)&gt;=Setup!$C$15,MONTH(N353)&lt;=Setup!$C$16)),IF(Setup!$C$15&lt;=Setup!$C$16,AND(MONTH(WORKDAY(N353,-(Setup!$C$13+Setup!$G$32),Setup!$C$39:$C$50))&gt;=Setup!$C$15,MONTH(WORKDAY(N353,-(Setup!$C$13+Setup!$G$32),Setup!$C$39:$C$50))&lt;=Setup!$C$16),OR(MONTH(WORKDAY(N353,-(Setup!$C$13+Setup!$G$32),Setup!$C$39:$C$50))&gt;=Setup!$C$15,MONTH(WORKDAY(N353,-(Setup!$C$13+Setup!$G$32),Setup!$C$39:$C$50))&lt;=Setup!$C$16))),WORKDAY(N353,-(Setup!$C$13+Setup!$G$32+Setup!$C$14),Setup!$C$39:$C$50),WORKDAY(N353,-(Setup!$C$13+Setup!$G$32),Setup!$C$39:$C$50))+(348*100+13)/10000000)))</f>
        <v/>
      </c>
      <c r="AE353" t="str">
        <f>IF(O353="","",IF(O353&lt;Setup!$C$5-Setup!$C$6,"",IF(IF(ISNUMBER(Roster!$D353),Setup!$C$33&lt;=Roster!$D353,FALSE),"",IF(OR(IF(Setup!$C$15&lt;=Setup!$C$16,AND(MONTH(O353)&gt;=Setup!$C$15,MONTH(O353)&lt;=Setup!$C$16),OR(MONTH(O353)&gt;=Setup!$C$15,MONTH(O353)&lt;=Setup!$C$16)),IF(Setup!$C$15&lt;=Setup!$C$16,AND(MONTH(WORKDAY(O353,-(Setup!$C$13+Setup!$G$33),Setup!$C$39:$C$50))&gt;=Setup!$C$15,MONTH(WORKDAY(O353,-(Setup!$C$13+Setup!$G$33),Setup!$C$39:$C$50))&lt;=Setup!$C$16),OR(MONTH(WORKDAY(O353,-(Setup!$C$13+Setup!$G$33),Setup!$C$39:$C$50))&gt;=Setup!$C$15,MONTH(WORKDAY(O353,-(Setup!$C$13+Setup!$G$33),Setup!$C$39:$C$50))&lt;=Setup!$C$16))),WORKDAY(O353,-(Setup!$C$13+Setup!$G$33+Setup!$C$14),Setup!$C$39:$C$50),WORKDAY(O353,-(Setup!$C$13+Setup!$G$33),Setup!$C$39:$C$50))+(348*100+14)/10000000)))</f>
        <v/>
      </c>
      <c r="AF353" t="str">
        <f>IF(P353="","",IF(P353&lt;Setup!$C$5-Setup!$C$6,"",IF(IF(ISNUMBER(Roster!$D353),Setup!$C$34&lt;=Roster!$D353,FALSE),"",IF(OR(IF(Setup!$C$15&lt;=Setup!$C$16,AND(MONTH(P353)&gt;=Setup!$C$15,MONTH(P353)&lt;=Setup!$C$16),OR(MONTH(P353)&gt;=Setup!$C$15,MONTH(P353)&lt;=Setup!$C$16)),IF(Setup!$C$15&lt;=Setup!$C$16,AND(MONTH(WORKDAY(P353,-(Setup!$C$13+Setup!$G$34),Setup!$C$39:$C$50))&gt;=Setup!$C$15,MONTH(WORKDAY(P353,-(Setup!$C$13+Setup!$G$34),Setup!$C$39:$C$50))&lt;=Setup!$C$16),OR(MONTH(WORKDAY(P353,-(Setup!$C$13+Setup!$G$34),Setup!$C$39:$C$50))&gt;=Setup!$C$15,MONTH(WORKDAY(P353,-(Setup!$C$13+Setup!$G$34),Setup!$C$39:$C$50))&lt;=Setup!$C$16))),WORKDAY(P353,-(Setup!$C$13+Setup!$G$34+Setup!$C$14),Setup!$C$39:$C$50),WORKDAY(P353,-(Setup!$C$13+Setup!$G$34),Setup!$C$39:$C$50))+(348*100+15)/10000000)))</f>
        <v/>
      </c>
      <c r="AH353" t="str">
        <f t="shared" si="41"/>
        <v/>
      </c>
      <c r="AI353" t="str">
        <f t="shared" si="42"/>
        <v/>
      </c>
      <c r="AP353" t="str">
        <f>IF(ISNUMBER(Roster!$B353),MAX(1,YEAR(Setup!$C$5)-YEAR(Roster!$B353)+IF(EDATE(Roster!$B353,12*(YEAR(Setup!$C$5)-YEAR(Roster!$B353)))&lt;Setup!$C$5,1,0)),"")</f>
        <v/>
      </c>
      <c r="AQ353" s="32" t="str">
        <f>IF(AP353="","",EDATE(Roster!$B353,12*AP353))</f>
        <v/>
      </c>
      <c r="AR353" t="str">
        <f>IF(AQ353="","",IF(AQ353&lt;DATE(YEAR(Setup!$C$5)+1,MONTH(Setup!$C$5),DAY(Setup!$C$5)),AQ353+348/1000,""))</f>
        <v/>
      </c>
      <c r="AS353" t="str">
        <f t="shared" si="43"/>
        <v/>
      </c>
      <c r="AT353" t="str">
        <f>IF(AS353="","",IF(ISNUMBER(Roster!$D353),Roster!$D353&gt;=AP353,FALSE))</f>
        <v/>
      </c>
      <c r="AU353" t="str">
        <f t="shared" si="44"/>
        <v/>
      </c>
      <c r="AV353" t="str">
        <f ca="1">IF(348&gt;$AV$2,"",SMALL($AR$6:$AR$505,348))</f>
        <v/>
      </c>
      <c r="AW353" t="str">
        <f t="shared" ca="1" si="45"/>
        <v/>
      </c>
    </row>
    <row r="354" spans="2:49" x14ac:dyDescent="0.2">
      <c r="B354" s="32" t="str">
        <f>IF(AND(ISNUMBER(Roster!$B354),Setup!$B$20="Yes",ISNUMBER(Setup!$C$20)),EDATE(Roster!$B354,12*Setup!$C$20),"")</f>
        <v/>
      </c>
      <c r="C354" s="32" t="str">
        <f>IF(AND(ISNUMBER(Roster!$B354),Setup!$B$21="Yes",ISNUMBER(Setup!$C$21)),EDATE(Roster!$B354,12*Setup!$C$21),"")</f>
        <v/>
      </c>
      <c r="D354" s="32" t="str">
        <f>IF(AND(ISNUMBER(Roster!$B354),Setup!$B$22="Yes",ISNUMBER(Setup!$C$22)),EDATE(Roster!$B354,12*Setup!$C$22),"")</f>
        <v/>
      </c>
      <c r="E354" s="32" t="str">
        <f>IF(AND(ISNUMBER(Roster!$B354),Setup!$B$23="Yes",ISNUMBER(Setup!$C$23)),EDATE(Roster!$B354,12*Setup!$C$23),"")</f>
        <v/>
      </c>
      <c r="F354" s="32" t="str">
        <f>IF(AND(ISNUMBER(Roster!$B354),Setup!$B$24="Yes",ISNUMBER(Setup!$C$24)),EDATE(Roster!$B354,12*Setup!$C$24),"")</f>
        <v/>
      </c>
      <c r="G354" s="32" t="str">
        <f>IF(AND(ISNUMBER(Roster!$B354),Setup!$B$25="Yes",ISNUMBER(Setup!$C$25)),EDATE(Roster!$B354,12*Setup!$C$25),"")</f>
        <v/>
      </c>
      <c r="H354" s="32" t="str">
        <f>IF(AND(ISNUMBER(Roster!$B354),Setup!$B$26="Yes",ISNUMBER(Setup!$C$26)),EDATE(Roster!$B354,12*Setup!$C$26),"")</f>
        <v/>
      </c>
      <c r="I354" s="32" t="str">
        <f>IF(AND(ISNUMBER(Roster!$B354),Setup!$B$27="Yes",ISNUMBER(Setup!$C$27)),EDATE(Roster!$B354,12*Setup!$C$27),"")</f>
        <v/>
      </c>
      <c r="J354" s="32" t="str">
        <f>IF(AND(ISNUMBER(Roster!$B354),Setup!$B$28="Yes",ISNUMBER(Setup!$C$28)),EDATE(Roster!$B354,12*Setup!$C$28),"")</f>
        <v/>
      </c>
      <c r="K354" s="32" t="str">
        <f>IF(AND(ISNUMBER(Roster!$B354),Setup!$B$29="Yes",ISNUMBER(Setup!$C$29)),EDATE(Roster!$B354,12*Setup!$C$29),"")</f>
        <v/>
      </c>
      <c r="L354" s="32" t="str">
        <f>IF(AND(ISNUMBER(Roster!$B354),Setup!$B$30="Yes",ISNUMBER(Setup!$C$30)),EDATE(Roster!$B354,12*Setup!$C$30),"")</f>
        <v/>
      </c>
      <c r="M354" s="32" t="str">
        <f>IF(AND(ISNUMBER(Roster!$B354),Setup!$B$31="Yes",ISNUMBER(Setup!$C$31)),EDATE(Roster!$B354,12*Setup!$C$31),"")</f>
        <v/>
      </c>
      <c r="N354" s="32" t="str">
        <f>IF(AND(ISNUMBER(Roster!$B354),Setup!$B$32="Yes",ISNUMBER(Setup!$C$32)),EDATE(Roster!$B354,12*Setup!$C$32),"")</f>
        <v/>
      </c>
      <c r="O354" s="32" t="str">
        <f>IF(AND(ISNUMBER(Roster!$B354),Setup!$B$33="Yes",ISNUMBER(Setup!$C$33)),EDATE(Roster!$B354,12*Setup!$C$33),"")</f>
        <v/>
      </c>
      <c r="P354" s="32" t="str">
        <f>IF(AND(ISNUMBER(Roster!$B354),Setup!$B$34="Yes",ISNUMBER(Setup!$C$34)),EDATE(Roster!$B354,12*Setup!$C$34),"")</f>
        <v/>
      </c>
      <c r="R354" t="str">
        <f>IF(B354="","",IF(B354&lt;Setup!$C$5-Setup!$C$6,"",IF(IF(ISNUMBER(Roster!$D354),Setup!$C$20&lt;=Roster!$D354,FALSE),"",IF(OR(IF(Setup!$C$15&lt;=Setup!$C$16,AND(MONTH(B354)&gt;=Setup!$C$15,MONTH(B354)&lt;=Setup!$C$16),OR(MONTH(B354)&gt;=Setup!$C$15,MONTH(B354)&lt;=Setup!$C$16)),IF(Setup!$C$15&lt;=Setup!$C$16,AND(MONTH(WORKDAY(B354,-(Setup!$C$13+Setup!$G$20),Setup!$C$39:$C$50))&gt;=Setup!$C$15,MONTH(WORKDAY(B354,-(Setup!$C$13+Setup!$G$20),Setup!$C$39:$C$50))&lt;=Setup!$C$16),OR(MONTH(WORKDAY(B354,-(Setup!$C$13+Setup!$G$20),Setup!$C$39:$C$50))&gt;=Setup!$C$15,MONTH(WORKDAY(B354,-(Setup!$C$13+Setup!$G$20),Setup!$C$39:$C$50))&lt;=Setup!$C$16))),WORKDAY(B354,-(Setup!$C$13+Setup!$G$20+Setup!$C$14),Setup!$C$39:$C$50),WORKDAY(B354,-(Setup!$C$13+Setup!$G$20),Setup!$C$39:$C$50))+(349*100+1)/10000000)))</f>
        <v/>
      </c>
      <c r="S354" t="str">
        <f>IF(C354="","",IF(C354&lt;Setup!$C$5-Setup!$C$6,"",IF(IF(ISNUMBER(Roster!$D354),Setup!$C$21&lt;=Roster!$D354,FALSE),"",IF(OR(IF(Setup!$C$15&lt;=Setup!$C$16,AND(MONTH(C354)&gt;=Setup!$C$15,MONTH(C354)&lt;=Setup!$C$16),OR(MONTH(C354)&gt;=Setup!$C$15,MONTH(C354)&lt;=Setup!$C$16)),IF(Setup!$C$15&lt;=Setup!$C$16,AND(MONTH(WORKDAY(C354,-(Setup!$C$13+Setup!$G$21),Setup!$C$39:$C$50))&gt;=Setup!$C$15,MONTH(WORKDAY(C354,-(Setup!$C$13+Setup!$G$21),Setup!$C$39:$C$50))&lt;=Setup!$C$16),OR(MONTH(WORKDAY(C354,-(Setup!$C$13+Setup!$G$21),Setup!$C$39:$C$50))&gt;=Setup!$C$15,MONTH(WORKDAY(C354,-(Setup!$C$13+Setup!$G$21),Setup!$C$39:$C$50))&lt;=Setup!$C$16))),WORKDAY(C354,-(Setup!$C$13+Setup!$G$21+Setup!$C$14),Setup!$C$39:$C$50),WORKDAY(C354,-(Setup!$C$13+Setup!$G$21),Setup!$C$39:$C$50))+(349*100+2)/10000000)))</f>
        <v/>
      </c>
      <c r="T354" t="str">
        <f>IF(D354="","",IF(D354&lt;Setup!$C$5-Setup!$C$6,"",IF(IF(ISNUMBER(Roster!$D354),Setup!$C$22&lt;=Roster!$D354,FALSE),"",IF(OR(IF(Setup!$C$15&lt;=Setup!$C$16,AND(MONTH(D354)&gt;=Setup!$C$15,MONTH(D354)&lt;=Setup!$C$16),OR(MONTH(D354)&gt;=Setup!$C$15,MONTH(D354)&lt;=Setup!$C$16)),IF(Setup!$C$15&lt;=Setup!$C$16,AND(MONTH(WORKDAY(D354,-(Setup!$C$13+Setup!$G$22),Setup!$C$39:$C$50))&gt;=Setup!$C$15,MONTH(WORKDAY(D354,-(Setup!$C$13+Setup!$G$22),Setup!$C$39:$C$50))&lt;=Setup!$C$16),OR(MONTH(WORKDAY(D354,-(Setup!$C$13+Setup!$G$22),Setup!$C$39:$C$50))&gt;=Setup!$C$15,MONTH(WORKDAY(D354,-(Setup!$C$13+Setup!$G$22),Setup!$C$39:$C$50))&lt;=Setup!$C$16))),WORKDAY(D354,-(Setup!$C$13+Setup!$G$22+Setup!$C$14),Setup!$C$39:$C$50),WORKDAY(D354,-(Setup!$C$13+Setup!$G$22),Setup!$C$39:$C$50))+(349*100+3)/10000000)))</f>
        <v/>
      </c>
      <c r="U354" t="str">
        <f>IF(E354="","",IF(E354&lt;Setup!$C$5-Setup!$C$6,"",IF(IF(ISNUMBER(Roster!$D354),Setup!$C$23&lt;=Roster!$D354,FALSE),"",IF(OR(IF(Setup!$C$15&lt;=Setup!$C$16,AND(MONTH(E354)&gt;=Setup!$C$15,MONTH(E354)&lt;=Setup!$C$16),OR(MONTH(E354)&gt;=Setup!$C$15,MONTH(E354)&lt;=Setup!$C$16)),IF(Setup!$C$15&lt;=Setup!$C$16,AND(MONTH(WORKDAY(E354,-(Setup!$C$13+Setup!$G$23),Setup!$C$39:$C$50))&gt;=Setup!$C$15,MONTH(WORKDAY(E354,-(Setup!$C$13+Setup!$G$23),Setup!$C$39:$C$50))&lt;=Setup!$C$16),OR(MONTH(WORKDAY(E354,-(Setup!$C$13+Setup!$G$23),Setup!$C$39:$C$50))&gt;=Setup!$C$15,MONTH(WORKDAY(E354,-(Setup!$C$13+Setup!$G$23),Setup!$C$39:$C$50))&lt;=Setup!$C$16))),WORKDAY(E354,-(Setup!$C$13+Setup!$G$23+Setup!$C$14),Setup!$C$39:$C$50),WORKDAY(E354,-(Setup!$C$13+Setup!$G$23),Setup!$C$39:$C$50))+(349*100+4)/10000000)))</f>
        <v/>
      </c>
      <c r="V354" t="str">
        <f>IF(F354="","",IF(F354&lt;Setup!$C$5-Setup!$C$6,"",IF(IF(ISNUMBER(Roster!$D354),Setup!$C$24&lt;=Roster!$D354,FALSE),"",IF(OR(IF(Setup!$C$15&lt;=Setup!$C$16,AND(MONTH(F354)&gt;=Setup!$C$15,MONTH(F354)&lt;=Setup!$C$16),OR(MONTH(F354)&gt;=Setup!$C$15,MONTH(F354)&lt;=Setup!$C$16)),IF(Setup!$C$15&lt;=Setup!$C$16,AND(MONTH(WORKDAY(F354,-(Setup!$C$13+Setup!$G$24),Setup!$C$39:$C$50))&gt;=Setup!$C$15,MONTH(WORKDAY(F354,-(Setup!$C$13+Setup!$G$24),Setup!$C$39:$C$50))&lt;=Setup!$C$16),OR(MONTH(WORKDAY(F354,-(Setup!$C$13+Setup!$G$24),Setup!$C$39:$C$50))&gt;=Setup!$C$15,MONTH(WORKDAY(F354,-(Setup!$C$13+Setup!$G$24),Setup!$C$39:$C$50))&lt;=Setup!$C$16))),WORKDAY(F354,-(Setup!$C$13+Setup!$G$24+Setup!$C$14),Setup!$C$39:$C$50),WORKDAY(F354,-(Setup!$C$13+Setup!$G$24),Setup!$C$39:$C$50))+(349*100+5)/10000000)))</f>
        <v/>
      </c>
      <c r="W354" t="str">
        <f>IF(G354="","",IF(G354&lt;Setup!$C$5-Setup!$C$6,"",IF(IF(ISNUMBER(Roster!$D354),Setup!$C$25&lt;=Roster!$D354,FALSE),"",IF(OR(IF(Setup!$C$15&lt;=Setup!$C$16,AND(MONTH(G354)&gt;=Setup!$C$15,MONTH(G354)&lt;=Setup!$C$16),OR(MONTH(G354)&gt;=Setup!$C$15,MONTH(G354)&lt;=Setup!$C$16)),IF(Setup!$C$15&lt;=Setup!$C$16,AND(MONTH(WORKDAY(G354,-(Setup!$C$13+Setup!$G$25),Setup!$C$39:$C$50))&gt;=Setup!$C$15,MONTH(WORKDAY(G354,-(Setup!$C$13+Setup!$G$25),Setup!$C$39:$C$50))&lt;=Setup!$C$16),OR(MONTH(WORKDAY(G354,-(Setup!$C$13+Setup!$G$25),Setup!$C$39:$C$50))&gt;=Setup!$C$15,MONTH(WORKDAY(G354,-(Setup!$C$13+Setup!$G$25),Setup!$C$39:$C$50))&lt;=Setup!$C$16))),WORKDAY(G354,-(Setup!$C$13+Setup!$G$25+Setup!$C$14),Setup!$C$39:$C$50),WORKDAY(G354,-(Setup!$C$13+Setup!$G$25),Setup!$C$39:$C$50))+(349*100+6)/10000000)))</f>
        <v/>
      </c>
      <c r="X354" t="str">
        <f>IF(H354="","",IF(H354&lt;Setup!$C$5-Setup!$C$6,"",IF(IF(ISNUMBER(Roster!$D354),Setup!$C$26&lt;=Roster!$D354,FALSE),"",IF(OR(IF(Setup!$C$15&lt;=Setup!$C$16,AND(MONTH(H354)&gt;=Setup!$C$15,MONTH(H354)&lt;=Setup!$C$16),OR(MONTH(H354)&gt;=Setup!$C$15,MONTH(H354)&lt;=Setup!$C$16)),IF(Setup!$C$15&lt;=Setup!$C$16,AND(MONTH(WORKDAY(H354,-(Setup!$C$13+Setup!$G$26),Setup!$C$39:$C$50))&gt;=Setup!$C$15,MONTH(WORKDAY(H354,-(Setup!$C$13+Setup!$G$26),Setup!$C$39:$C$50))&lt;=Setup!$C$16),OR(MONTH(WORKDAY(H354,-(Setup!$C$13+Setup!$G$26),Setup!$C$39:$C$50))&gt;=Setup!$C$15,MONTH(WORKDAY(H354,-(Setup!$C$13+Setup!$G$26),Setup!$C$39:$C$50))&lt;=Setup!$C$16))),WORKDAY(H354,-(Setup!$C$13+Setup!$G$26+Setup!$C$14),Setup!$C$39:$C$50),WORKDAY(H354,-(Setup!$C$13+Setup!$G$26),Setup!$C$39:$C$50))+(349*100+7)/10000000)))</f>
        <v/>
      </c>
      <c r="Y354" t="str">
        <f>IF(I354="","",IF(I354&lt;Setup!$C$5-Setup!$C$6,"",IF(IF(ISNUMBER(Roster!$D354),Setup!$C$27&lt;=Roster!$D354,FALSE),"",IF(OR(IF(Setup!$C$15&lt;=Setup!$C$16,AND(MONTH(I354)&gt;=Setup!$C$15,MONTH(I354)&lt;=Setup!$C$16),OR(MONTH(I354)&gt;=Setup!$C$15,MONTH(I354)&lt;=Setup!$C$16)),IF(Setup!$C$15&lt;=Setup!$C$16,AND(MONTH(WORKDAY(I354,-(Setup!$C$13+Setup!$G$27),Setup!$C$39:$C$50))&gt;=Setup!$C$15,MONTH(WORKDAY(I354,-(Setup!$C$13+Setup!$G$27),Setup!$C$39:$C$50))&lt;=Setup!$C$16),OR(MONTH(WORKDAY(I354,-(Setup!$C$13+Setup!$G$27),Setup!$C$39:$C$50))&gt;=Setup!$C$15,MONTH(WORKDAY(I354,-(Setup!$C$13+Setup!$G$27),Setup!$C$39:$C$50))&lt;=Setup!$C$16))),WORKDAY(I354,-(Setup!$C$13+Setup!$G$27+Setup!$C$14),Setup!$C$39:$C$50),WORKDAY(I354,-(Setup!$C$13+Setup!$G$27),Setup!$C$39:$C$50))+(349*100+8)/10000000)))</f>
        <v/>
      </c>
      <c r="Z354" t="str">
        <f>IF(J354="","",IF(J354&lt;Setup!$C$5-Setup!$C$6,"",IF(IF(ISNUMBER(Roster!$D354),Setup!$C$28&lt;=Roster!$D354,FALSE),"",IF(OR(IF(Setup!$C$15&lt;=Setup!$C$16,AND(MONTH(J354)&gt;=Setup!$C$15,MONTH(J354)&lt;=Setup!$C$16),OR(MONTH(J354)&gt;=Setup!$C$15,MONTH(J354)&lt;=Setup!$C$16)),IF(Setup!$C$15&lt;=Setup!$C$16,AND(MONTH(WORKDAY(J354,-(Setup!$C$13+Setup!$G$28),Setup!$C$39:$C$50))&gt;=Setup!$C$15,MONTH(WORKDAY(J354,-(Setup!$C$13+Setup!$G$28),Setup!$C$39:$C$50))&lt;=Setup!$C$16),OR(MONTH(WORKDAY(J354,-(Setup!$C$13+Setup!$G$28),Setup!$C$39:$C$50))&gt;=Setup!$C$15,MONTH(WORKDAY(J354,-(Setup!$C$13+Setup!$G$28),Setup!$C$39:$C$50))&lt;=Setup!$C$16))),WORKDAY(J354,-(Setup!$C$13+Setup!$G$28+Setup!$C$14),Setup!$C$39:$C$50),WORKDAY(J354,-(Setup!$C$13+Setup!$G$28),Setup!$C$39:$C$50))+(349*100+9)/10000000)))</f>
        <v/>
      </c>
      <c r="AA354" t="str">
        <f>IF(K354="","",IF(K354&lt;Setup!$C$5-Setup!$C$6,"",IF(IF(ISNUMBER(Roster!$D354),Setup!$C$29&lt;=Roster!$D354,FALSE),"",IF(OR(IF(Setup!$C$15&lt;=Setup!$C$16,AND(MONTH(K354)&gt;=Setup!$C$15,MONTH(K354)&lt;=Setup!$C$16),OR(MONTH(K354)&gt;=Setup!$C$15,MONTH(K354)&lt;=Setup!$C$16)),IF(Setup!$C$15&lt;=Setup!$C$16,AND(MONTH(WORKDAY(K354,-(Setup!$C$13+Setup!$G$29),Setup!$C$39:$C$50))&gt;=Setup!$C$15,MONTH(WORKDAY(K354,-(Setup!$C$13+Setup!$G$29),Setup!$C$39:$C$50))&lt;=Setup!$C$16),OR(MONTH(WORKDAY(K354,-(Setup!$C$13+Setup!$G$29),Setup!$C$39:$C$50))&gt;=Setup!$C$15,MONTH(WORKDAY(K354,-(Setup!$C$13+Setup!$G$29),Setup!$C$39:$C$50))&lt;=Setup!$C$16))),WORKDAY(K354,-(Setup!$C$13+Setup!$G$29+Setup!$C$14),Setup!$C$39:$C$50),WORKDAY(K354,-(Setup!$C$13+Setup!$G$29),Setup!$C$39:$C$50))+(349*100+10)/10000000)))</f>
        <v/>
      </c>
      <c r="AB354" t="str">
        <f>IF(L354="","",IF(L354&lt;Setup!$C$5-Setup!$C$6,"",IF(IF(ISNUMBER(Roster!$D354),Setup!$C$30&lt;=Roster!$D354,FALSE),"",IF(OR(IF(Setup!$C$15&lt;=Setup!$C$16,AND(MONTH(L354)&gt;=Setup!$C$15,MONTH(L354)&lt;=Setup!$C$16),OR(MONTH(L354)&gt;=Setup!$C$15,MONTH(L354)&lt;=Setup!$C$16)),IF(Setup!$C$15&lt;=Setup!$C$16,AND(MONTH(WORKDAY(L354,-(Setup!$C$13+Setup!$G$30),Setup!$C$39:$C$50))&gt;=Setup!$C$15,MONTH(WORKDAY(L354,-(Setup!$C$13+Setup!$G$30),Setup!$C$39:$C$50))&lt;=Setup!$C$16),OR(MONTH(WORKDAY(L354,-(Setup!$C$13+Setup!$G$30),Setup!$C$39:$C$50))&gt;=Setup!$C$15,MONTH(WORKDAY(L354,-(Setup!$C$13+Setup!$G$30),Setup!$C$39:$C$50))&lt;=Setup!$C$16))),WORKDAY(L354,-(Setup!$C$13+Setup!$G$30+Setup!$C$14),Setup!$C$39:$C$50),WORKDAY(L354,-(Setup!$C$13+Setup!$G$30),Setup!$C$39:$C$50))+(349*100+11)/10000000)))</f>
        <v/>
      </c>
      <c r="AC354" t="str">
        <f>IF(M354="","",IF(M354&lt;Setup!$C$5-Setup!$C$6,"",IF(IF(ISNUMBER(Roster!$D354),Setup!$C$31&lt;=Roster!$D354,FALSE),"",IF(OR(IF(Setup!$C$15&lt;=Setup!$C$16,AND(MONTH(M354)&gt;=Setup!$C$15,MONTH(M354)&lt;=Setup!$C$16),OR(MONTH(M354)&gt;=Setup!$C$15,MONTH(M354)&lt;=Setup!$C$16)),IF(Setup!$C$15&lt;=Setup!$C$16,AND(MONTH(WORKDAY(M354,-(Setup!$C$13+Setup!$G$31),Setup!$C$39:$C$50))&gt;=Setup!$C$15,MONTH(WORKDAY(M354,-(Setup!$C$13+Setup!$G$31),Setup!$C$39:$C$50))&lt;=Setup!$C$16),OR(MONTH(WORKDAY(M354,-(Setup!$C$13+Setup!$G$31),Setup!$C$39:$C$50))&gt;=Setup!$C$15,MONTH(WORKDAY(M354,-(Setup!$C$13+Setup!$G$31),Setup!$C$39:$C$50))&lt;=Setup!$C$16))),WORKDAY(M354,-(Setup!$C$13+Setup!$G$31+Setup!$C$14),Setup!$C$39:$C$50),WORKDAY(M354,-(Setup!$C$13+Setup!$G$31),Setup!$C$39:$C$50))+(349*100+12)/10000000)))</f>
        <v/>
      </c>
      <c r="AD354" t="str">
        <f>IF(N354="","",IF(N354&lt;Setup!$C$5-Setup!$C$6,"",IF(IF(ISNUMBER(Roster!$D354),Setup!$C$32&lt;=Roster!$D354,FALSE),"",IF(OR(IF(Setup!$C$15&lt;=Setup!$C$16,AND(MONTH(N354)&gt;=Setup!$C$15,MONTH(N354)&lt;=Setup!$C$16),OR(MONTH(N354)&gt;=Setup!$C$15,MONTH(N354)&lt;=Setup!$C$16)),IF(Setup!$C$15&lt;=Setup!$C$16,AND(MONTH(WORKDAY(N354,-(Setup!$C$13+Setup!$G$32),Setup!$C$39:$C$50))&gt;=Setup!$C$15,MONTH(WORKDAY(N354,-(Setup!$C$13+Setup!$G$32),Setup!$C$39:$C$50))&lt;=Setup!$C$16),OR(MONTH(WORKDAY(N354,-(Setup!$C$13+Setup!$G$32),Setup!$C$39:$C$50))&gt;=Setup!$C$15,MONTH(WORKDAY(N354,-(Setup!$C$13+Setup!$G$32),Setup!$C$39:$C$50))&lt;=Setup!$C$16))),WORKDAY(N354,-(Setup!$C$13+Setup!$G$32+Setup!$C$14),Setup!$C$39:$C$50),WORKDAY(N354,-(Setup!$C$13+Setup!$G$32),Setup!$C$39:$C$50))+(349*100+13)/10000000)))</f>
        <v/>
      </c>
      <c r="AE354" t="str">
        <f>IF(O354="","",IF(O354&lt;Setup!$C$5-Setup!$C$6,"",IF(IF(ISNUMBER(Roster!$D354),Setup!$C$33&lt;=Roster!$D354,FALSE),"",IF(OR(IF(Setup!$C$15&lt;=Setup!$C$16,AND(MONTH(O354)&gt;=Setup!$C$15,MONTH(O354)&lt;=Setup!$C$16),OR(MONTH(O354)&gt;=Setup!$C$15,MONTH(O354)&lt;=Setup!$C$16)),IF(Setup!$C$15&lt;=Setup!$C$16,AND(MONTH(WORKDAY(O354,-(Setup!$C$13+Setup!$G$33),Setup!$C$39:$C$50))&gt;=Setup!$C$15,MONTH(WORKDAY(O354,-(Setup!$C$13+Setup!$G$33),Setup!$C$39:$C$50))&lt;=Setup!$C$16),OR(MONTH(WORKDAY(O354,-(Setup!$C$13+Setup!$G$33),Setup!$C$39:$C$50))&gt;=Setup!$C$15,MONTH(WORKDAY(O354,-(Setup!$C$13+Setup!$G$33),Setup!$C$39:$C$50))&lt;=Setup!$C$16))),WORKDAY(O354,-(Setup!$C$13+Setup!$G$33+Setup!$C$14),Setup!$C$39:$C$50),WORKDAY(O354,-(Setup!$C$13+Setup!$G$33),Setup!$C$39:$C$50))+(349*100+14)/10000000)))</f>
        <v/>
      </c>
      <c r="AF354" t="str">
        <f>IF(P354="","",IF(P354&lt;Setup!$C$5-Setup!$C$6,"",IF(IF(ISNUMBER(Roster!$D354),Setup!$C$34&lt;=Roster!$D354,FALSE),"",IF(OR(IF(Setup!$C$15&lt;=Setup!$C$16,AND(MONTH(P354)&gt;=Setup!$C$15,MONTH(P354)&lt;=Setup!$C$16),OR(MONTH(P354)&gt;=Setup!$C$15,MONTH(P354)&lt;=Setup!$C$16)),IF(Setup!$C$15&lt;=Setup!$C$16,AND(MONTH(WORKDAY(P354,-(Setup!$C$13+Setup!$G$34),Setup!$C$39:$C$50))&gt;=Setup!$C$15,MONTH(WORKDAY(P354,-(Setup!$C$13+Setup!$G$34),Setup!$C$39:$C$50))&lt;=Setup!$C$16),OR(MONTH(WORKDAY(P354,-(Setup!$C$13+Setup!$G$34),Setup!$C$39:$C$50))&gt;=Setup!$C$15,MONTH(WORKDAY(P354,-(Setup!$C$13+Setup!$G$34),Setup!$C$39:$C$50))&lt;=Setup!$C$16))),WORKDAY(P354,-(Setup!$C$13+Setup!$G$34+Setup!$C$14),Setup!$C$39:$C$50),WORKDAY(P354,-(Setup!$C$13+Setup!$G$34),Setup!$C$39:$C$50))+(349*100+15)/10000000)))</f>
        <v/>
      </c>
      <c r="AH354" t="str">
        <f t="shared" si="41"/>
        <v/>
      </c>
      <c r="AI354" t="str">
        <f t="shared" si="42"/>
        <v/>
      </c>
      <c r="AP354" t="str">
        <f>IF(ISNUMBER(Roster!$B354),MAX(1,YEAR(Setup!$C$5)-YEAR(Roster!$B354)+IF(EDATE(Roster!$B354,12*(YEAR(Setup!$C$5)-YEAR(Roster!$B354)))&lt;Setup!$C$5,1,0)),"")</f>
        <v/>
      </c>
      <c r="AQ354" s="32" t="str">
        <f>IF(AP354="","",EDATE(Roster!$B354,12*AP354))</f>
        <v/>
      </c>
      <c r="AR354" t="str">
        <f>IF(AQ354="","",IF(AQ354&lt;DATE(YEAR(Setup!$C$5)+1,MONTH(Setup!$C$5),DAY(Setup!$C$5)),AQ354+349/1000,""))</f>
        <v/>
      </c>
      <c r="AS354" t="str">
        <f t="shared" si="43"/>
        <v/>
      </c>
      <c r="AT354" t="str">
        <f>IF(AS354="","",IF(ISNUMBER(Roster!$D354),Roster!$D354&gt;=AP354,FALSE))</f>
        <v/>
      </c>
      <c r="AU354" t="str">
        <f t="shared" si="44"/>
        <v/>
      </c>
      <c r="AV354" t="str">
        <f ca="1">IF(349&gt;$AV$2,"",SMALL($AR$6:$AR$505,349))</f>
        <v/>
      </c>
      <c r="AW354" t="str">
        <f t="shared" ca="1" si="45"/>
        <v/>
      </c>
    </row>
    <row r="355" spans="2:49" x14ac:dyDescent="0.2">
      <c r="B355" s="32" t="str">
        <f>IF(AND(ISNUMBER(Roster!$B355),Setup!$B$20="Yes",ISNUMBER(Setup!$C$20)),EDATE(Roster!$B355,12*Setup!$C$20),"")</f>
        <v/>
      </c>
      <c r="C355" s="32" t="str">
        <f>IF(AND(ISNUMBER(Roster!$B355),Setup!$B$21="Yes",ISNUMBER(Setup!$C$21)),EDATE(Roster!$B355,12*Setup!$C$21),"")</f>
        <v/>
      </c>
      <c r="D355" s="32" t="str">
        <f>IF(AND(ISNUMBER(Roster!$B355),Setup!$B$22="Yes",ISNUMBER(Setup!$C$22)),EDATE(Roster!$B355,12*Setup!$C$22),"")</f>
        <v/>
      </c>
      <c r="E355" s="32" t="str">
        <f>IF(AND(ISNUMBER(Roster!$B355),Setup!$B$23="Yes",ISNUMBER(Setup!$C$23)),EDATE(Roster!$B355,12*Setup!$C$23),"")</f>
        <v/>
      </c>
      <c r="F355" s="32" t="str">
        <f>IF(AND(ISNUMBER(Roster!$B355),Setup!$B$24="Yes",ISNUMBER(Setup!$C$24)),EDATE(Roster!$B355,12*Setup!$C$24),"")</f>
        <v/>
      </c>
      <c r="G355" s="32" t="str">
        <f>IF(AND(ISNUMBER(Roster!$B355),Setup!$B$25="Yes",ISNUMBER(Setup!$C$25)),EDATE(Roster!$B355,12*Setup!$C$25),"")</f>
        <v/>
      </c>
      <c r="H355" s="32" t="str">
        <f>IF(AND(ISNUMBER(Roster!$B355),Setup!$B$26="Yes",ISNUMBER(Setup!$C$26)),EDATE(Roster!$B355,12*Setup!$C$26),"")</f>
        <v/>
      </c>
      <c r="I355" s="32" t="str">
        <f>IF(AND(ISNUMBER(Roster!$B355),Setup!$B$27="Yes",ISNUMBER(Setup!$C$27)),EDATE(Roster!$B355,12*Setup!$C$27),"")</f>
        <v/>
      </c>
      <c r="J355" s="32" t="str">
        <f>IF(AND(ISNUMBER(Roster!$B355),Setup!$B$28="Yes",ISNUMBER(Setup!$C$28)),EDATE(Roster!$B355,12*Setup!$C$28),"")</f>
        <v/>
      </c>
      <c r="K355" s="32" t="str">
        <f>IF(AND(ISNUMBER(Roster!$B355),Setup!$B$29="Yes",ISNUMBER(Setup!$C$29)),EDATE(Roster!$B355,12*Setup!$C$29),"")</f>
        <v/>
      </c>
      <c r="L355" s="32" t="str">
        <f>IF(AND(ISNUMBER(Roster!$B355),Setup!$B$30="Yes",ISNUMBER(Setup!$C$30)),EDATE(Roster!$B355,12*Setup!$C$30),"")</f>
        <v/>
      </c>
      <c r="M355" s="32" t="str">
        <f>IF(AND(ISNUMBER(Roster!$B355),Setup!$B$31="Yes",ISNUMBER(Setup!$C$31)),EDATE(Roster!$B355,12*Setup!$C$31),"")</f>
        <v/>
      </c>
      <c r="N355" s="32" t="str">
        <f>IF(AND(ISNUMBER(Roster!$B355),Setup!$B$32="Yes",ISNUMBER(Setup!$C$32)),EDATE(Roster!$B355,12*Setup!$C$32),"")</f>
        <v/>
      </c>
      <c r="O355" s="32" t="str">
        <f>IF(AND(ISNUMBER(Roster!$B355),Setup!$B$33="Yes",ISNUMBER(Setup!$C$33)),EDATE(Roster!$B355,12*Setup!$C$33),"")</f>
        <v/>
      </c>
      <c r="P355" s="32" t="str">
        <f>IF(AND(ISNUMBER(Roster!$B355),Setup!$B$34="Yes",ISNUMBER(Setup!$C$34)),EDATE(Roster!$B355,12*Setup!$C$34),"")</f>
        <v/>
      </c>
      <c r="R355" t="str">
        <f>IF(B355="","",IF(B355&lt;Setup!$C$5-Setup!$C$6,"",IF(IF(ISNUMBER(Roster!$D355),Setup!$C$20&lt;=Roster!$D355,FALSE),"",IF(OR(IF(Setup!$C$15&lt;=Setup!$C$16,AND(MONTH(B355)&gt;=Setup!$C$15,MONTH(B355)&lt;=Setup!$C$16),OR(MONTH(B355)&gt;=Setup!$C$15,MONTH(B355)&lt;=Setup!$C$16)),IF(Setup!$C$15&lt;=Setup!$C$16,AND(MONTH(WORKDAY(B355,-(Setup!$C$13+Setup!$G$20),Setup!$C$39:$C$50))&gt;=Setup!$C$15,MONTH(WORKDAY(B355,-(Setup!$C$13+Setup!$G$20),Setup!$C$39:$C$50))&lt;=Setup!$C$16),OR(MONTH(WORKDAY(B355,-(Setup!$C$13+Setup!$G$20),Setup!$C$39:$C$50))&gt;=Setup!$C$15,MONTH(WORKDAY(B355,-(Setup!$C$13+Setup!$G$20),Setup!$C$39:$C$50))&lt;=Setup!$C$16))),WORKDAY(B355,-(Setup!$C$13+Setup!$G$20+Setup!$C$14),Setup!$C$39:$C$50),WORKDAY(B355,-(Setup!$C$13+Setup!$G$20),Setup!$C$39:$C$50))+(350*100+1)/10000000)))</f>
        <v/>
      </c>
      <c r="S355" t="str">
        <f>IF(C355="","",IF(C355&lt;Setup!$C$5-Setup!$C$6,"",IF(IF(ISNUMBER(Roster!$D355),Setup!$C$21&lt;=Roster!$D355,FALSE),"",IF(OR(IF(Setup!$C$15&lt;=Setup!$C$16,AND(MONTH(C355)&gt;=Setup!$C$15,MONTH(C355)&lt;=Setup!$C$16),OR(MONTH(C355)&gt;=Setup!$C$15,MONTH(C355)&lt;=Setup!$C$16)),IF(Setup!$C$15&lt;=Setup!$C$16,AND(MONTH(WORKDAY(C355,-(Setup!$C$13+Setup!$G$21),Setup!$C$39:$C$50))&gt;=Setup!$C$15,MONTH(WORKDAY(C355,-(Setup!$C$13+Setup!$G$21),Setup!$C$39:$C$50))&lt;=Setup!$C$16),OR(MONTH(WORKDAY(C355,-(Setup!$C$13+Setup!$G$21),Setup!$C$39:$C$50))&gt;=Setup!$C$15,MONTH(WORKDAY(C355,-(Setup!$C$13+Setup!$G$21),Setup!$C$39:$C$50))&lt;=Setup!$C$16))),WORKDAY(C355,-(Setup!$C$13+Setup!$G$21+Setup!$C$14),Setup!$C$39:$C$50),WORKDAY(C355,-(Setup!$C$13+Setup!$G$21),Setup!$C$39:$C$50))+(350*100+2)/10000000)))</f>
        <v/>
      </c>
      <c r="T355" t="str">
        <f>IF(D355="","",IF(D355&lt;Setup!$C$5-Setup!$C$6,"",IF(IF(ISNUMBER(Roster!$D355),Setup!$C$22&lt;=Roster!$D355,FALSE),"",IF(OR(IF(Setup!$C$15&lt;=Setup!$C$16,AND(MONTH(D355)&gt;=Setup!$C$15,MONTH(D355)&lt;=Setup!$C$16),OR(MONTH(D355)&gt;=Setup!$C$15,MONTH(D355)&lt;=Setup!$C$16)),IF(Setup!$C$15&lt;=Setup!$C$16,AND(MONTH(WORKDAY(D355,-(Setup!$C$13+Setup!$G$22),Setup!$C$39:$C$50))&gt;=Setup!$C$15,MONTH(WORKDAY(D355,-(Setup!$C$13+Setup!$G$22),Setup!$C$39:$C$50))&lt;=Setup!$C$16),OR(MONTH(WORKDAY(D355,-(Setup!$C$13+Setup!$G$22),Setup!$C$39:$C$50))&gt;=Setup!$C$15,MONTH(WORKDAY(D355,-(Setup!$C$13+Setup!$G$22),Setup!$C$39:$C$50))&lt;=Setup!$C$16))),WORKDAY(D355,-(Setup!$C$13+Setup!$G$22+Setup!$C$14),Setup!$C$39:$C$50),WORKDAY(D355,-(Setup!$C$13+Setup!$G$22),Setup!$C$39:$C$50))+(350*100+3)/10000000)))</f>
        <v/>
      </c>
      <c r="U355" t="str">
        <f>IF(E355="","",IF(E355&lt;Setup!$C$5-Setup!$C$6,"",IF(IF(ISNUMBER(Roster!$D355),Setup!$C$23&lt;=Roster!$D355,FALSE),"",IF(OR(IF(Setup!$C$15&lt;=Setup!$C$16,AND(MONTH(E355)&gt;=Setup!$C$15,MONTH(E355)&lt;=Setup!$C$16),OR(MONTH(E355)&gt;=Setup!$C$15,MONTH(E355)&lt;=Setup!$C$16)),IF(Setup!$C$15&lt;=Setup!$C$16,AND(MONTH(WORKDAY(E355,-(Setup!$C$13+Setup!$G$23),Setup!$C$39:$C$50))&gt;=Setup!$C$15,MONTH(WORKDAY(E355,-(Setup!$C$13+Setup!$G$23),Setup!$C$39:$C$50))&lt;=Setup!$C$16),OR(MONTH(WORKDAY(E355,-(Setup!$C$13+Setup!$G$23),Setup!$C$39:$C$50))&gt;=Setup!$C$15,MONTH(WORKDAY(E355,-(Setup!$C$13+Setup!$G$23),Setup!$C$39:$C$50))&lt;=Setup!$C$16))),WORKDAY(E355,-(Setup!$C$13+Setup!$G$23+Setup!$C$14),Setup!$C$39:$C$50),WORKDAY(E355,-(Setup!$C$13+Setup!$G$23),Setup!$C$39:$C$50))+(350*100+4)/10000000)))</f>
        <v/>
      </c>
      <c r="V355" t="str">
        <f>IF(F355="","",IF(F355&lt;Setup!$C$5-Setup!$C$6,"",IF(IF(ISNUMBER(Roster!$D355),Setup!$C$24&lt;=Roster!$D355,FALSE),"",IF(OR(IF(Setup!$C$15&lt;=Setup!$C$16,AND(MONTH(F355)&gt;=Setup!$C$15,MONTH(F355)&lt;=Setup!$C$16),OR(MONTH(F355)&gt;=Setup!$C$15,MONTH(F355)&lt;=Setup!$C$16)),IF(Setup!$C$15&lt;=Setup!$C$16,AND(MONTH(WORKDAY(F355,-(Setup!$C$13+Setup!$G$24),Setup!$C$39:$C$50))&gt;=Setup!$C$15,MONTH(WORKDAY(F355,-(Setup!$C$13+Setup!$G$24),Setup!$C$39:$C$50))&lt;=Setup!$C$16),OR(MONTH(WORKDAY(F355,-(Setup!$C$13+Setup!$G$24),Setup!$C$39:$C$50))&gt;=Setup!$C$15,MONTH(WORKDAY(F355,-(Setup!$C$13+Setup!$G$24),Setup!$C$39:$C$50))&lt;=Setup!$C$16))),WORKDAY(F355,-(Setup!$C$13+Setup!$G$24+Setup!$C$14),Setup!$C$39:$C$50),WORKDAY(F355,-(Setup!$C$13+Setup!$G$24),Setup!$C$39:$C$50))+(350*100+5)/10000000)))</f>
        <v/>
      </c>
      <c r="W355" t="str">
        <f>IF(G355="","",IF(G355&lt;Setup!$C$5-Setup!$C$6,"",IF(IF(ISNUMBER(Roster!$D355),Setup!$C$25&lt;=Roster!$D355,FALSE),"",IF(OR(IF(Setup!$C$15&lt;=Setup!$C$16,AND(MONTH(G355)&gt;=Setup!$C$15,MONTH(G355)&lt;=Setup!$C$16),OR(MONTH(G355)&gt;=Setup!$C$15,MONTH(G355)&lt;=Setup!$C$16)),IF(Setup!$C$15&lt;=Setup!$C$16,AND(MONTH(WORKDAY(G355,-(Setup!$C$13+Setup!$G$25),Setup!$C$39:$C$50))&gt;=Setup!$C$15,MONTH(WORKDAY(G355,-(Setup!$C$13+Setup!$G$25),Setup!$C$39:$C$50))&lt;=Setup!$C$16),OR(MONTH(WORKDAY(G355,-(Setup!$C$13+Setup!$G$25),Setup!$C$39:$C$50))&gt;=Setup!$C$15,MONTH(WORKDAY(G355,-(Setup!$C$13+Setup!$G$25),Setup!$C$39:$C$50))&lt;=Setup!$C$16))),WORKDAY(G355,-(Setup!$C$13+Setup!$G$25+Setup!$C$14),Setup!$C$39:$C$50),WORKDAY(G355,-(Setup!$C$13+Setup!$G$25),Setup!$C$39:$C$50))+(350*100+6)/10000000)))</f>
        <v/>
      </c>
      <c r="X355" t="str">
        <f>IF(H355="","",IF(H355&lt;Setup!$C$5-Setup!$C$6,"",IF(IF(ISNUMBER(Roster!$D355),Setup!$C$26&lt;=Roster!$D355,FALSE),"",IF(OR(IF(Setup!$C$15&lt;=Setup!$C$16,AND(MONTH(H355)&gt;=Setup!$C$15,MONTH(H355)&lt;=Setup!$C$16),OR(MONTH(H355)&gt;=Setup!$C$15,MONTH(H355)&lt;=Setup!$C$16)),IF(Setup!$C$15&lt;=Setup!$C$16,AND(MONTH(WORKDAY(H355,-(Setup!$C$13+Setup!$G$26),Setup!$C$39:$C$50))&gt;=Setup!$C$15,MONTH(WORKDAY(H355,-(Setup!$C$13+Setup!$G$26),Setup!$C$39:$C$50))&lt;=Setup!$C$16),OR(MONTH(WORKDAY(H355,-(Setup!$C$13+Setup!$G$26),Setup!$C$39:$C$50))&gt;=Setup!$C$15,MONTH(WORKDAY(H355,-(Setup!$C$13+Setup!$G$26),Setup!$C$39:$C$50))&lt;=Setup!$C$16))),WORKDAY(H355,-(Setup!$C$13+Setup!$G$26+Setup!$C$14),Setup!$C$39:$C$50),WORKDAY(H355,-(Setup!$C$13+Setup!$G$26),Setup!$C$39:$C$50))+(350*100+7)/10000000)))</f>
        <v/>
      </c>
      <c r="Y355" t="str">
        <f>IF(I355="","",IF(I355&lt;Setup!$C$5-Setup!$C$6,"",IF(IF(ISNUMBER(Roster!$D355),Setup!$C$27&lt;=Roster!$D355,FALSE),"",IF(OR(IF(Setup!$C$15&lt;=Setup!$C$16,AND(MONTH(I355)&gt;=Setup!$C$15,MONTH(I355)&lt;=Setup!$C$16),OR(MONTH(I355)&gt;=Setup!$C$15,MONTH(I355)&lt;=Setup!$C$16)),IF(Setup!$C$15&lt;=Setup!$C$16,AND(MONTH(WORKDAY(I355,-(Setup!$C$13+Setup!$G$27),Setup!$C$39:$C$50))&gt;=Setup!$C$15,MONTH(WORKDAY(I355,-(Setup!$C$13+Setup!$G$27),Setup!$C$39:$C$50))&lt;=Setup!$C$16),OR(MONTH(WORKDAY(I355,-(Setup!$C$13+Setup!$G$27),Setup!$C$39:$C$50))&gt;=Setup!$C$15,MONTH(WORKDAY(I355,-(Setup!$C$13+Setup!$G$27),Setup!$C$39:$C$50))&lt;=Setup!$C$16))),WORKDAY(I355,-(Setup!$C$13+Setup!$G$27+Setup!$C$14),Setup!$C$39:$C$50),WORKDAY(I355,-(Setup!$C$13+Setup!$G$27),Setup!$C$39:$C$50))+(350*100+8)/10000000)))</f>
        <v/>
      </c>
      <c r="Z355" t="str">
        <f>IF(J355="","",IF(J355&lt;Setup!$C$5-Setup!$C$6,"",IF(IF(ISNUMBER(Roster!$D355),Setup!$C$28&lt;=Roster!$D355,FALSE),"",IF(OR(IF(Setup!$C$15&lt;=Setup!$C$16,AND(MONTH(J355)&gt;=Setup!$C$15,MONTH(J355)&lt;=Setup!$C$16),OR(MONTH(J355)&gt;=Setup!$C$15,MONTH(J355)&lt;=Setup!$C$16)),IF(Setup!$C$15&lt;=Setup!$C$16,AND(MONTH(WORKDAY(J355,-(Setup!$C$13+Setup!$G$28),Setup!$C$39:$C$50))&gt;=Setup!$C$15,MONTH(WORKDAY(J355,-(Setup!$C$13+Setup!$G$28),Setup!$C$39:$C$50))&lt;=Setup!$C$16),OR(MONTH(WORKDAY(J355,-(Setup!$C$13+Setup!$G$28),Setup!$C$39:$C$50))&gt;=Setup!$C$15,MONTH(WORKDAY(J355,-(Setup!$C$13+Setup!$G$28),Setup!$C$39:$C$50))&lt;=Setup!$C$16))),WORKDAY(J355,-(Setup!$C$13+Setup!$G$28+Setup!$C$14),Setup!$C$39:$C$50),WORKDAY(J355,-(Setup!$C$13+Setup!$G$28),Setup!$C$39:$C$50))+(350*100+9)/10000000)))</f>
        <v/>
      </c>
      <c r="AA355" t="str">
        <f>IF(K355="","",IF(K355&lt;Setup!$C$5-Setup!$C$6,"",IF(IF(ISNUMBER(Roster!$D355),Setup!$C$29&lt;=Roster!$D355,FALSE),"",IF(OR(IF(Setup!$C$15&lt;=Setup!$C$16,AND(MONTH(K355)&gt;=Setup!$C$15,MONTH(K355)&lt;=Setup!$C$16),OR(MONTH(K355)&gt;=Setup!$C$15,MONTH(K355)&lt;=Setup!$C$16)),IF(Setup!$C$15&lt;=Setup!$C$16,AND(MONTH(WORKDAY(K355,-(Setup!$C$13+Setup!$G$29),Setup!$C$39:$C$50))&gt;=Setup!$C$15,MONTH(WORKDAY(K355,-(Setup!$C$13+Setup!$G$29),Setup!$C$39:$C$50))&lt;=Setup!$C$16),OR(MONTH(WORKDAY(K355,-(Setup!$C$13+Setup!$G$29),Setup!$C$39:$C$50))&gt;=Setup!$C$15,MONTH(WORKDAY(K355,-(Setup!$C$13+Setup!$G$29),Setup!$C$39:$C$50))&lt;=Setup!$C$16))),WORKDAY(K355,-(Setup!$C$13+Setup!$G$29+Setup!$C$14),Setup!$C$39:$C$50),WORKDAY(K355,-(Setup!$C$13+Setup!$G$29),Setup!$C$39:$C$50))+(350*100+10)/10000000)))</f>
        <v/>
      </c>
      <c r="AB355" t="str">
        <f>IF(L355="","",IF(L355&lt;Setup!$C$5-Setup!$C$6,"",IF(IF(ISNUMBER(Roster!$D355),Setup!$C$30&lt;=Roster!$D355,FALSE),"",IF(OR(IF(Setup!$C$15&lt;=Setup!$C$16,AND(MONTH(L355)&gt;=Setup!$C$15,MONTH(L355)&lt;=Setup!$C$16),OR(MONTH(L355)&gt;=Setup!$C$15,MONTH(L355)&lt;=Setup!$C$16)),IF(Setup!$C$15&lt;=Setup!$C$16,AND(MONTH(WORKDAY(L355,-(Setup!$C$13+Setup!$G$30),Setup!$C$39:$C$50))&gt;=Setup!$C$15,MONTH(WORKDAY(L355,-(Setup!$C$13+Setup!$G$30),Setup!$C$39:$C$50))&lt;=Setup!$C$16),OR(MONTH(WORKDAY(L355,-(Setup!$C$13+Setup!$G$30),Setup!$C$39:$C$50))&gt;=Setup!$C$15,MONTH(WORKDAY(L355,-(Setup!$C$13+Setup!$G$30),Setup!$C$39:$C$50))&lt;=Setup!$C$16))),WORKDAY(L355,-(Setup!$C$13+Setup!$G$30+Setup!$C$14),Setup!$C$39:$C$50),WORKDAY(L355,-(Setup!$C$13+Setup!$G$30),Setup!$C$39:$C$50))+(350*100+11)/10000000)))</f>
        <v/>
      </c>
      <c r="AC355" t="str">
        <f>IF(M355="","",IF(M355&lt;Setup!$C$5-Setup!$C$6,"",IF(IF(ISNUMBER(Roster!$D355),Setup!$C$31&lt;=Roster!$D355,FALSE),"",IF(OR(IF(Setup!$C$15&lt;=Setup!$C$16,AND(MONTH(M355)&gt;=Setup!$C$15,MONTH(M355)&lt;=Setup!$C$16),OR(MONTH(M355)&gt;=Setup!$C$15,MONTH(M355)&lt;=Setup!$C$16)),IF(Setup!$C$15&lt;=Setup!$C$16,AND(MONTH(WORKDAY(M355,-(Setup!$C$13+Setup!$G$31),Setup!$C$39:$C$50))&gt;=Setup!$C$15,MONTH(WORKDAY(M355,-(Setup!$C$13+Setup!$G$31),Setup!$C$39:$C$50))&lt;=Setup!$C$16),OR(MONTH(WORKDAY(M355,-(Setup!$C$13+Setup!$G$31),Setup!$C$39:$C$50))&gt;=Setup!$C$15,MONTH(WORKDAY(M355,-(Setup!$C$13+Setup!$G$31),Setup!$C$39:$C$50))&lt;=Setup!$C$16))),WORKDAY(M355,-(Setup!$C$13+Setup!$G$31+Setup!$C$14),Setup!$C$39:$C$50),WORKDAY(M355,-(Setup!$C$13+Setup!$G$31),Setup!$C$39:$C$50))+(350*100+12)/10000000)))</f>
        <v/>
      </c>
      <c r="AD355" t="str">
        <f>IF(N355="","",IF(N355&lt;Setup!$C$5-Setup!$C$6,"",IF(IF(ISNUMBER(Roster!$D355),Setup!$C$32&lt;=Roster!$D355,FALSE),"",IF(OR(IF(Setup!$C$15&lt;=Setup!$C$16,AND(MONTH(N355)&gt;=Setup!$C$15,MONTH(N355)&lt;=Setup!$C$16),OR(MONTH(N355)&gt;=Setup!$C$15,MONTH(N355)&lt;=Setup!$C$16)),IF(Setup!$C$15&lt;=Setup!$C$16,AND(MONTH(WORKDAY(N355,-(Setup!$C$13+Setup!$G$32),Setup!$C$39:$C$50))&gt;=Setup!$C$15,MONTH(WORKDAY(N355,-(Setup!$C$13+Setup!$G$32),Setup!$C$39:$C$50))&lt;=Setup!$C$16),OR(MONTH(WORKDAY(N355,-(Setup!$C$13+Setup!$G$32),Setup!$C$39:$C$50))&gt;=Setup!$C$15,MONTH(WORKDAY(N355,-(Setup!$C$13+Setup!$G$32),Setup!$C$39:$C$50))&lt;=Setup!$C$16))),WORKDAY(N355,-(Setup!$C$13+Setup!$G$32+Setup!$C$14),Setup!$C$39:$C$50),WORKDAY(N355,-(Setup!$C$13+Setup!$G$32),Setup!$C$39:$C$50))+(350*100+13)/10000000)))</f>
        <v/>
      </c>
      <c r="AE355" t="str">
        <f>IF(O355="","",IF(O355&lt;Setup!$C$5-Setup!$C$6,"",IF(IF(ISNUMBER(Roster!$D355),Setup!$C$33&lt;=Roster!$D355,FALSE),"",IF(OR(IF(Setup!$C$15&lt;=Setup!$C$16,AND(MONTH(O355)&gt;=Setup!$C$15,MONTH(O355)&lt;=Setup!$C$16),OR(MONTH(O355)&gt;=Setup!$C$15,MONTH(O355)&lt;=Setup!$C$16)),IF(Setup!$C$15&lt;=Setup!$C$16,AND(MONTH(WORKDAY(O355,-(Setup!$C$13+Setup!$G$33),Setup!$C$39:$C$50))&gt;=Setup!$C$15,MONTH(WORKDAY(O355,-(Setup!$C$13+Setup!$G$33),Setup!$C$39:$C$50))&lt;=Setup!$C$16),OR(MONTH(WORKDAY(O355,-(Setup!$C$13+Setup!$G$33),Setup!$C$39:$C$50))&gt;=Setup!$C$15,MONTH(WORKDAY(O355,-(Setup!$C$13+Setup!$G$33),Setup!$C$39:$C$50))&lt;=Setup!$C$16))),WORKDAY(O355,-(Setup!$C$13+Setup!$G$33+Setup!$C$14),Setup!$C$39:$C$50),WORKDAY(O355,-(Setup!$C$13+Setup!$G$33),Setup!$C$39:$C$50))+(350*100+14)/10000000)))</f>
        <v/>
      </c>
      <c r="AF355" t="str">
        <f>IF(P355="","",IF(P355&lt;Setup!$C$5-Setup!$C$6,"",IF(IF(ISNUMBER(Roster!$D355),Setup!$C$34&lt;=Roster!$D355,FALSE),"",IF(OR(IF(Setup!$C$15&lt;=Setup!$C$16,AND(MONTH(P355)&gt;=Setup!$C$15,MONTH(P355)&lt;=Setup!$C$16),OR(MONTH(P355)&gt;=Setup!$C$15,MONTH(P355)&lt;=Setup!$C$16)),IF(Setup!$C$15&lt;=Setup!$C$16,AND(MONTH(WORKDAY(P355,-(Setup!$C$13+Setup!$G$34),Setup!$C$39:$C$50))&gt;=Setup!$C$15,MONTH(WORKDAY(P355,-(Setup!$C$13+Setup!$G$34),Setup!$C$39:$C$50))&lt;=Setup!$C$16),OR(MONTH(WORKDAY(P355,-(Setup!$C$13+Setup!$G$34),Setup!$C$39:$C$50))&gt;=Setup!$C$15,MONTH(WORKDAY(P355,-(Setup!$C$13+Setup!$G$34),Setup!$C$39:$C$50))&lt;=Setup!$C$16))),WORKDAY(P355,-(Setup!$C$13+Setup!$G$34+Setup!$C$14),Setup!$C$39:$C$50),WORKDAY(P355,-(Setup!$C$13+Setup!$G$34),Setup!$C$39:$C$50))+(350*100+15)/10000000)))</f>
        <v/>
      </c>
      <c r="AH355" t="str">
        <f t="shared" si="41"/>
        <v/>
      </c>
      <c r="AI355" t="str">
        <f t="shared" si="42"/>
        <v/>
      </c>
      <c r="AP355" t="str">
        <f>IF(ISNUMBER(Roster!$B355),MAX(1,YEAR(Setup!$C$5)-YEAR(Roster!$B355)+IF(EDATE(Roster!$B355,12*(YEAR(Setup!$C$5)-YEAR(Roster!$B355)))&lt;Setup!$C$5,1,0)),"")</f>
        <v/>
      </c>
      <c r="AQ355" s="32" t="str">
        <f>IF(AP355="","",EDATE(Roster!$B355,12*AP355))</f>
        <v/>
      </c>
      <c r="AR355" t="str">
        <f>IF(AQ355="","",IF(AQ355&lt;DATE(YEAR(Setup!$C$5)+1,MONTH(Setup!$C$5),DAY(Setup!$C$5)),AQ355+350/1000,""))</f>
        <v/>
      </c>
      <c r="AS355" t="str">
        <f t="shared" si="43"/>
        <v/>
      </c>
      <c r="AT355" t="str">
        <f>IF(AS355="","",IF(ISNUMBER(Roster!$D355),Roster!$D355&gt;=AP355,FALSE))</f>
        <v/>
      </c>
      <c r="AU355" t="str">
        <f t="shared" si="44"/>
        <v/>
      </c>
      <c r="AV355" t="str">
        <f ca="1">IF(350&gt;$AV$2,"",SMALL($AR$6:$AR$505,350))</f>
        <v/>
      </c>
      <c r="AW355" t="str">
        <f t="shared" ca="1" si="45"/>
        <v/>
      </c>
    </row>
    <row r="356" spans="2:49" x14ac:dyDescent="0.2">
      <c r="B356" s="32" t="str">
        <f>IF(AND(ISNUMBER(Roster!$B356),Setup!$B$20="Yes",ISNUMBER(Setup!$C$20)),EDATE(Roster!$B356,12*Setup!$C$20),"")</f>
        <v/>
      </c>
      <c r="C356" s="32" t="str">
        <f>IF(AND(ISNUMBER(Roster!$B356),Setup!$B$21="Yes",ISNUMBER(Setup!$C$21)),EDATE(Roster!$B356,12*Setup!$C$21),"")</f>
        <v/>
      </c>
      <c r="D356" s="32" t="str">
        <f>IF(AND(ISNUMBER(Roster!$B356),Setup!$B$22="Yes",ISNUMBER(Setup!$C$22)),EDATE(Roster!$B356,12*Setup!$C$22),"")</f>
        <v/>
      </c>
      <c r="E356" s="32" t="str">
        <f>IF(AND(ISNUMBER(Roster!$B356),Setup!$B$23="Yes",ISNUMBER(Setup!$C$23)),EDATE(Roster!$B356,12*Setup!$C$23),"")</f>
        <v/>
      </c>
      <c r="F356" s="32" t="str">
        <f>IF(AND(ISNUMBER(Roster!$B356),Setup!$B$24="Yes",ISNUMBER(Setup!$C$24)),EDATE(Roster!$B356,12*Setup!$C$24),"")</f>
        <v/>
      </c>
      <c r="G356" s="32" t="str">
        <f>IF(AND(ISNUMBER(Roster!$B356),Setup!$B$25="Yes",ISNUMBER(Setup!$C$25)),EDATE(Roster!$B356,12*Setup!$C$25),"")</f>
        <v/>
      </c>
      <c r="H356" s="32" t="str">
        <f>IF(AND(ISNUMBER(Roster!$B356),Setup!$B$26="Yes",ISNUMBER(Setup!$C$26)),EDATE(Roster!$B356,12*Setup!$C$26),"")</f>
        <v/>
      </c>
      <c r="I356" s="32" t="str">
        <f>IF(AND(ISNUMBER(Roster!$B356),Setup!$B$27="Yes",ISNUMBER(Setup!$C$27)),EDATE(Roster!$B356,12*Setup!$C$27),"")</f>
        <v/>
      </c>
      <c r="J356" s="32" t="str">
        <f>IF(AND(ISNUMBER(Roster!$B356),Setup!$B$28="Yes",ISNUMBER(Setup!$C$28)),EDATE(Roster!$B356,12*Setup!$C$28),"")</f>
        <v/>
      </c>
      <c r="K356" s="32" t="str">
        <f>IF(AND(ISNUMBER(Roster!$B356),Setup!$B$29="Yes",ISNUMBER(Setup!$C$29)),EDATE(Roster!$B356,12*Setup!$C$29),"")</f>
        <v/>
      </c>
      <c r="L356" s="32" t="str">
        <f>IF(AND(ISNUMBER(Roster!$B356),Setup!$B$30="Yes",ISNUMBER(Setup!$C$30)),EDATE(Roster!$B356,12*Setup!$C$30),"")</f>
        <v/>
      </c>
      <c r="M356" s="32" t="str">
        <f>IF(AND(ISNUMBER(Roster!$B356),Setup!$B$31="Yes",ISNUMBER(Setup!$C$31)),EDATE(Roster!$B356,12*Setup!$C$31),"")</f>
        <v/>
      </c>
      <c r="N356" s="32" t="str">
        <f>IF(AND(ISNUMBER(Roster!$B356),Setup!$B$32="Yes",ISNUMBER(Setup!$C$32)),EDATE(Roster!$B356,12*Setup!$C$32),"")</f>
        <v/>
      </c>
      <c r="O356" s="32" t="str">
        <f>IF(AND(ISNUMBER(Roster!$B356),Setup!$B$33="Yes",ISNUMBER(Setup!$C$33)),EDATE(Roster!$B356,12*Setup!$C$33),"")</f>
        <v/>
      </c>
      <c r="P356" s="32" t="str">
        <f>IF(AND(ISNUMBER(Roster!$B356),Setup!$B$34="Yes",ISNUMBER(Setup!$C$34)),EDATE(Roster!$B356,12*Setup!$C$34),"")</f>
        <v/>
      </c>
      <c r="R356" t="str">
        <f>IF(B356="","",IF(B356&lt;Setup!$C$5-Setup!$C$6,"",IF(IF(ISNUMBER(Roster!$D356),Setup!$C$20&lt;=Roster!$D356,FALSE),"",IF(OR(IF(Setup!$C$15&lt;=Setup!$C$16,AND(MONTH(B356)&gt;=Setup!$C$15,MONTH(B356)&lt;=Setup!$C$16),OR(MONTH(B356)&gt;=Setup!$C$15,MONTH(B356)&lt;=Setup!$C$16)),IF(Setup!$C$15&lt;=Setup!$C$16,AND(MONTH(WORKDAY(B356,-(Setup!$C$13+Setup!$G$20),Setup!$C$39:$C$50))&gt;=Setup!$C$15,MONTH(WORKDAY(B356,-(Setup!$C$13+Setup!$G$20),Setup!$C$39:$C$50))&lt;=Setup!$C$16),OR(MONTH(WORKDAY(B356,-(Setup!$C$13+Setup!$G$20),Setup!$C$39:$C$50))&gt;=Setup!$C$15,MONTH(WORKDAY(B356,-(Setup!$C$13+Setup!$G$20),Setup!$C$39:$C$50))&lt;=Setup!$C$16))),WORKDAY(B356,-(Setup!$C$13+Setup!$G$20+Setup!$C$14),Setup!$C$39:$C$50),WORKDAY(B356,-(Setup!$C$13+Setup!$G$20),Setup!$C$39:$C$50))+(351*100+1)/10000000)))</f>
        <v/>
      </c>
      <c r="S356" t="str">
        <f>IF(C356="","",IF(C356&lt;Setup!$C$5-Setup!$C$6,"",IF(IF(ISNUMBER(Roster!$D356),Setup!$C$21&lt;=Roster!$D356,FALSE),"",IF(OR(IF(Setup!$C$15&lt;=Setup!$C$16,AND(MONTH(C356)&gt;=Setup!$C$15,MONTH(C356)&lt;=Setup!$C$16),OR(MONTH(C356)&gt;=Setup!$C$15,MONTH(C356)&lt;=Setup!$C$16)),IF(Setup!$C$15&lt;=Setup!$C$16,AND(MONTH(WORKDAY(C356,-(Setup!$C$13+Setup!$G$21),Setup!$C$39:$C$50))&gt;=Setup!$C$15,MONTH(WORKDAY(C356,-(Setup!$C$13+Setup!$G$21),Setup!$C$39:$C$50))&lt;=Setup!$C$16),OR(MONTH(WORKDAY(C356,-(Setup!$C$13+Setup!$G$21),Setup!$C$39:$C$50))&gt;=Setup!$C$15,MONTH(WORKDAY(C356,-(Setup!$C$13+Setup!$G$21),Setup!$C$39:$C$50))&lt;=Setup!$C$16))),WORKDAY(C356,-(Setup!$C$13+Setup!$G$21+Setup!$C$14),Setup!$C$39:$C$50),WORKDAY(C356,-(Setup!$C$13+Setup!$G$21),Setup!$C$39:$C$50))+(351*100+2)/10000000)))</f>
        <v/>
      </c>
      <c r="T356" t="str">
        <f>IF(D356="","",IF(D356&lt;Setup!$C$5-Setup!$C$6,"",IF(IF(ISNUMBER(Roster!$D356),Setup!$C$22&lt;=Roster!$D356,FALSE),"",IF(OR(IF(Setup!$C$15&lt;=Setup!$C$16,AND(MONTH(D356)&gt;=Setup!$C$15,MONTH(D356)&lt;=Setup!$C$16),OR(MONTH(D356)&gt;=Setup!$C$15,MONTH(D356)&lt;=Setup!$C$16)),IF(Setup!$C$15&lt;=Setup!$C$16,AND(MONTH(WORKDAY(D356,-(Setup!$C$13+Setup!$G$22),Setup!$C$39:$C$50))&gt;=Setup!$C$15,MONTH(WORKDAY(D356,-(Setup!$C$13+Setup!$G$22),Setup!$C$39:$C$50))&lt;=Setup!$C$16),OR(MONTH(WORKDAY(D356,-(Setup!$C$13+Setup!$G$22),Setup!$C$39:$C$50))&gt;=Setup!$C$15,MONTH(WORKDAY(D356,-(Setup!$C$13+Setup!$G$22),Setup!$C$39:$C$50))&lt;=Setup!$C$16))),WORKDAY(D356,-(Setup!$C$13+Setup!$G$22+Setup!$C$14),Setup!$C$39:$C$50),WORKDAY(D356,-(Setup!$C$13+Setup!$G$22),Setup!$C$39:$C$50))+(351*100+3)/10000000)))</f>
        <v/>
      </c>
      <c r="U356" t="str">
        <f>IF(E356="","",IF(E356&lt;Setup!$C$5-Setup!$C$6,"",IF(IF(ISNUMBER(Roster!$D356),Setup!$C$23&lt;=Roster!$D356,FALSE),"",IF(OR(IF(Setup!$C$15&lt;=Setup!$C$16,AND(MONTH(E356)&gt;=Setup!$C$15,MONTH(E356)&lt;=Setup!$C$16),OR(MONTH(E356)&gt;=Setup!$C$15,MONTH(E356)&lt;=Setup!$C$16)),IF(Setup!$C$15&lt;=Setup!$C$16,AND(MONTH(WORKDAY(E356,-(Setup!$C$13+Setup!$G$23),Setup!$C$39:$C$50))&gt;=Setup!$C$15,MONTH(WORKDAY(E356,-(Setup!$C$13+Setup!$G$23),Setup!$C$39:$C$50))&lt;=Setup!$C$16),OR(MONTH(WORKDAY(E356,-(Setup!$C$13+Setup!$G$23),Setup!$C$39:$C$50))&gt;=Setup!$C$15,MONTH(WORKDAY(E356,-(Setup!$C$13+Setup!$G$23),Setup!$C$39:$C$50))&lt;=Setup!$C$16))),WORKDAY(E356,-(Setup!$C$13+Setup!$G$23+Setup!$C$14),Setup!$C$39:$C$50),WORKDAY(E356,-(Setup!$C$13+Setup!$G$23),Setup!$C$39:$C$50))+(351*100+4)/10000000)))</f>
        <v/>
      </c>
      <c r="V356" t="str">
        <f>IF(F356="","",IF(F356&lt;Setup!$C$5-Setup!$C$6,"",IF(IF(ISNUMBER(Roster!$D356),Setup!$C$24&lt;=Roster!$D356,FALSE),"",IF(OR(IF(Setup!$C$15&lt;=Setup!$C$16,AND(MONTH(F356)&gt;=Setup!$C$15,MONTH(F356)&lt;=Setup!$C$16),OR(MONTH(F356)&gt;=Setup!$C$15,MONTH(F356)&lt;=Setup!$C$16)),IF(Setup!$C$15&lt;=Setup!$C$16,AND(MONTH(WORKDAY(F356,-(Setup!$C$13+Setup!$G$24),Setup!$C$39:$C$50))&gt;=Setup!$C$15,MONTH(WORKDAY(F356,-(Setup!$C$13+Setup!$G$24),Setup!$C$39:$C$50))&lt;=Setup!$C$16),OR(MONTH(WORKDAY(F356,-(Setup!$C$13+Setup!$G$24),Setup!$C$39:$C$50))&gt;=Setup!$C$15,MONTH(WORKDAY(F356,-(Setup!$C$13+Setup!$G$24),Setup!$C$39:$C$50))&lt;=Setup!$C$16))),WORKDAY(F356,-(Setup!$C$13+Setup!$G$24+Setup!$C$14),Setup!$C$39:$C$50),WORKDAY(F356,-(Setup!$C$13+Setup!$G$24),Setup!$C$39:$C$50))+(351*100+5)/10000000)))</f>
        <v/>
      </c>
      <c r="W356" t="str">
        <f>IF(G356="","",IF(G356&lt;Setup!$C$5-Setup!$C$6,"",IF(IF(ISNUMBER(Roster!$D356),Setup!$C$25&lt;=Roster!$D356,FALSE),"",IF(OR(IF(Setup!$C$15&lt;=Setup!$C$16,AND(MONTH(G356)&gt;=Setup!$C$15,MONTH(G356)&lt;=Setup!$C$16),OR(MONTH(G356)&gt;=Setup!$C$15,MONTH(G356)&lt;=Setup!$C$16)),IF(Setup!$C$15&lt;=Setup!$C$16,AND(MONTH(WORKDAY(G356,-(Setup!$C$13+Setup!$G$25),Setup!$C$39:$C$50))&gt;=Setup!$C$15,MONTH(WORKDAY(G356,-(Setup!$C$13+Setup!$G$25),Setup!$C$39:$C$50))&lt;=Setup!$C$16),OR(MONTH(WORKDAY(G356,-(Setup!$C$13+Setup!$G$25),Setup!$C$39:$C$50))&gt;=Setup!$C$15,MONTH(WORKDAY(G356,-(Setup!$C$13+Setup!$G$25),Setup!$C$39:$C$50))&lt;=Setup!$C$16))),WORKDAY(G356,-(Setup!$C$13+Setup!$G$25+Setup!$C$14),Setup!$C$39:$C$50),WORKDAY(G356,-(Setup!$C$13+Setup!$G$25),Setup!$C$39:$C$50))+(351*100+6)/10000000)))</f>
        <v/>
      </c>
      <c r="X356" t="str">
        <f>IF(H356="","",IF(H356&lt;Setup!$C$5-Setup!$C$6,"",IF(IF(ISNUMBER(Roster!$D356),Setup!$C$26&lt;=Roster!$D356,FALSE),"",IF(OR(IF(Setup!$C$15&lt;=Setup!$C$16,AND(MONTH(H356)&gt;=Setup!$C$15,MONTH(H356)&lt;=Setup!$C$16),OR(MONTH(H356)&gt;=Setup!$C$15,MONTH(H356)&lt;=Setup!$C$16)),IF(Setup!$C$15&lt;=Setup!$C$16,AND(MONTH(WORKDAY(H356,-(Setup!$C$13+Setup!$G$26),Setup!$C$39:$C$50))&gt;=Setup!$C$15,MONTH(WORKDAY(H356,-(Setup!$C$13+Setup!$G$26),Setup!$C$39:$C$50))&lt;=Setup!$C$16),OR(MONTH(WORKDAY(H356,-(Setup!$C$13+Setup!$G$26),Setup!$C$39:$C$50))&gt;=Setup!$C$15,MONTH(WORKDAY(H356,-(Setup!$C$13+Setup!$G$26),Setup!$C$39:$C$50))&lt;=Setup!$C$16))),WORKDAY(H356,-(Setup!$C$13+Setup!$G$26+Setup!$C$14),Setup!$C$39:$C$50),WORKDAY(H356,-(Setup!$C$13+Setup!$G$26),Setup!$C$39:$C$50))+(351*100+7)/10000000)))</f>
        <v/>
      </c>
      <c r="Y356" t="str">
        <f>IF(I356="","",IF(I356&lt;Setup!$C$5-Setup!$C$6,"",IF(IF(ISNUMBER(Roster!$D356),Setup!$C$27&lt;=Roster!$D356,FALSE),"",IF(OR(IF(Setup!$C$15&lt;=Setup!$C$16,AND(MONTH(I356)&gt;=Setup!$C$15,MONTH(I356)&lt;=Setup!$C$16),OR(MONTH(I356)&gt;=Setup!$C$15,MONTH(I356)&lt;=Setup!$C$16)),IF(Setup!$C$15&lt;=Setup!$C$16,AND(MONTH(WORKDAY(I356,-(Setup!$C$13+Setup!$G$27),Setup!$C$39:$C$50))&gt;=Setup!$C$15,MONTH(WORKDAY(I356,-(Setup!$C$13+Setup!$G$27),Setup!$C$39:$C$50))&lt;=Setup!$C$16),OR(MONTH(WORKDAY(I356,-(Setup!$C$13+Setup!$G$27),Setup!$C$39:$C$50))&gt;=Setup!$C$15,MONTH(WORKDAY(I356,-(Setup!$C$13+Setup!$G$27),Setup!$C$39:$C$50))&lt;=Setup!$C$16))),WORKDAY(I356,-(Setup!$C$13+Setup!$G$27+Setup!$C$14),Setup!$C$39:$C$50),WORKDAY(I356,-(Setup!$C$13+Setup!$G$27),Setup!$C$39:$C$50))+(351*100+8)/10000000)))</f>
        <v/>
      </c>
      <c r="Z356" t="str">
        <f>IF(J356="","",IF(J356&lt;Setup!$C$5-Setup!$C$6,"",IF(IF(ISNUMBER(Roster!$D356),Setup!$C$28&lt;=Roster!$D356,FALSE),"",IF(OR(IF(Setup!$C$15&lt;=Setup!$C$16,AND(MONTH(J356)&gt;=Setup!$C$15,MONTH(J356)&lt;=Setup!$C$16),OR(MONTH(J356)&gt;=Setup!$C$15,MONTH(J356)&lt;=Setup!$C$16)),IF(Setup!$C$15&lt;=Setup!$C$16,AND(MONTH(WORKDAY(J356,-(Setup!$C$13+Setup!$G$28),Setup!$C$39:$C$50))&gt;=Setup!$C$15,MONTH(WORKDAY(J356,-(Setup!$C$13+Setup!$G$28),Setup!$C$39:$C$50))&lt;=Setup!$C$16),OR(MONTH(WORKDAY(J356,-(Setup!$C$13+Setup!$G$28),Setup!$C$39:$C$50))&gt;=Setup!$C$15,MONTH(WORKDAY(J356,-(Setup!$C$13+Setup!$G$28),Setup!$C$39:$C$50))&lt;=Setup!$C$16))),WORKDAY(J356,-(Setup!$C$13+Setup!$G$28+Setup!$C$14),Setup!$C$39:$C$50),WORKDAY(J356,-(Setup!$C$13+Setup!$G$28),Setup!$C$39:$C$50))+(351*100+9)/10000000)))</f>
        <v/>
      </c>
      <c r="AA356" t="str">
        <f>IF(K356="","",IF(K356&lt;Setup!$C$5-Setup!$C$6,"",IF(IF(ISNUMBER(Roster!$D356),Setup!$C$29&lt;=Roster!$D356,FALSE),"",IF(OR(IF(Setup!$C$15&lt;=Setup!$C$16,AND(MONTH(K356)&gt;=Setup!$C$15,MONTH(K356)&lt;=Setup!$C$16),OR(MONTH(K356)&gt;=Setup!$C$15,MONTH(K356)&lt;=Setup!$C$16)),IF(Setup!$C$15&lt;=Setup!$C$16,AND(MONTH(WORKDAY(K356,-(Setup!$C$13+Setup!$G$29),Setup!$C$39:$C$50))&gt;=Setup!$C$15,MONTH(WORKDAY(K356,-(Setup!$C$13+Setup!$G$29),Setup!$C$39:$C$50))&lt;=Setup!$C$16),OR(MONTH(WORKDAY(K356,-(Setup!$C$13+Setup!$G$29),Setup!$C$39:$C$50))&gt;=Setup!$C$15,MONTH(WORKDAY(K356,-(Setup!$C$13+Setup!$G$29),Setup!$C$39:$C$50))&lt;=Setup!$C$16))),WORKDAY(K356,-(Setup!$C$13+Setup!$G$29+Setup!$C$14),Setup!$C$39:$C$50),WORKDAY(K356,-(Setup!$C$13+Setup!$G$29),Setup!$C$39:$C$50))+(351*100+10)/10000000)))</f>
        <v/>
      </c>
      <c r="AB356" t="str">
        <f>IF(L356="","",IF(L356&lt;Setup!$C$5-Setup!$C$6,"",IF(IF(ISNUMBER(Roster!$D356),Setup!$C$30&lt;=Roster!$D356,FALSE),"",IF(OR(IF(Setup!$C$15&lt;=Setup!$C$16,AND(MONTH(L356)&gt;=Setup!$C$15,MONTH(L356)&lt;=Setup!$C$16),OR(MONTH(L356)&gt;=Setup!$C$15,MONTH(L356)&lt;=Setup!$C$16)),IF(Setup!$C$15&lt;=Setup!$C$16,AND(MONTH(WORKDAY(L356,-(Setup!$C$13+Setup!$G$30),Setup!$C$39:$C$50))&gt;=Setup!$C$15,MONTH(WORKDAY(L356,-(Setup!$C$13+Setup!$G$30),Setup!$C$39:$C$50))&lt;=Setup!$C$16),OR(MONTH(WORKDAY(L356,-(Setup!$C$13+Setup!$G$30),Setup!$C$39:$C$50))&gt;=Setup!$C$15,MONTH(WORKDAY(L356,-(Setup!$C$13+Setup!$G$30),Setup!$C$39:$C$50))&lt;=Setup!$C$16))),WORKDAY(L356,-(Setup!$C$13+Setup!$G$30+Setup!$C$14),Setup!$C$39:$C$50),WORKDAY(L356,-(Setup!$C$13+Setup!$G$30),Setup!$C$39:$C$50))+(351*100+11)/10000000)))</f>
        <v/>
      </c>
      <c r="AC356" t="str">
        <f>IF(M356="","",IF(M356&lt;Setup!$C$5-Setup!$C$6,"",IF(IF(ISNUMBER(Roster!$D356),Setup!$C$31&lt;=Roster!$D356,FALSE),"",IF(OR(IF(Setup!$C$15&lt;=Setup!$C$16,AND(MONTH(M356)&gt;=Setup!$C$15,MONTH(M356)&lt;=Setup!$C$16),OR(MONTH(M356)&gt;=Setup!$C$15,MONTH(M356)&lt;=Setup!$C$16)),IF(Setup!$C$15&lt;=Setup!$C$16,AND(MONTH(WORKDAY(M356,-(Setup!$C$13+Setup!$G$31),Setup!$C$39:$C$50))&gt;=Setup!$C$15,MONTH(WORKDAY(M356,-(Setup!$C$13+Setup!$G$31),Setup!$C$39:$C$50))&lt;=Setup!$C$16),OR(MONTH(WORKDAY(M356,-(Setup!$C$13+Setup!$G$31),Setup!$C$39:$C$50))&gt;=Setup!$C$15,MONTH(WORKDAY(M356,-(Setup!$C$13+Setup!$G$31),Setup!$C$39:$C$50))&lt;=Setup!$C$16))),WORKDAY(M356,-(Setup!$C$13+Setup!$G$31+Setup!$C$14),Setup!$C$39:$C$50),WORKDAY(M356,-(Setup!$C$13+Setup!$G$31),Setup!$C$39:$C$50))+(351*100+12)/10000000)))</f>
        <v/>
      </c>
      <c r="AD356" t="str">
        <f>IF(N356="","",IF(N356&lt;Setup!$C$5-Setup!$C$6,"",IF(IF(ISNUMBER(Roster!$D356),Setup!$C$32&lt;=Roster!$D356,FALSE),"",IF(OR(IF(Setup!$C$15&lt;=Setup!$C$16,AND(MONTH(N356)&gt;=Setup!$C$15,MONTH(N356)&lt;=Setup!$C$16),OR(MONTH(N356)&gt;=Setup!$C$15,MONTH(N356)&lt;=Setup!$C$16)),IF(Setup!$C$15&lt;=Setup!$C$16,AND(MONTH(WORKDAY(N356,-(Setup!$C$13+Setup!$G$32),Setup!$C$39:$C$50))&gt;=Setup!$C$15,MONTH(WORKDAY(N356,-(Setup!$C$13+Setup!$G$32),Setup!$C$39:$C$50))&lt;=Setup!$C$16),OR(MONTH(WORKDAY(N356,-(Setup!$C$13+Setup!$G$32),Setup!$C$39:$C$50))&gt;=Setup!$C$15,MONTH(WORKDAY(N356,-(Setup!$C$13+Setup!$G$32),Setup!$C$39:$C$50))&lt;=Setup!$C$16))),WORKDAY(N356,-(Setup!$C$13+Setup!$G$32+Setup!$C$14),Setup!$C$39:$C$50),WORKDAY(N356,-(Setup!$C$13+Setup!$G$32),Setup!$C$39:$C$50))+(351*100+13)/10000000)))</f>
        <v/>
      </c>
      <c r="AE356" t="str">
        <f>IF(O356="","",IF(O356&lt;Setup!$C$5-Setup!$C$6,"",IF(IF(ISNUMBER(Roster!$D356),Setup!$C$33&lt;=Roster!$D356,FALSE),"",IF(OR(IF(Setup!$C$15&lt;=Setup!$C$16,AND(MONTH(O356)&gt;=Setup!$C$15,MONTH(O356)&lt;=Setup!$C$16),OR(MONTH(O356)&gt;=Setup!$C$15,MONTH(O356)&lt;=Setup!$C$16)),IF(Setup!$C$15&lt;=Setup!$C$16,AND(MONTH(WORKDAY(O356,-(Setup!$C$13+Setup!$G$33),Setup!$C$39:$C$50))&gt;=Setup!$C$15,MONTH(WORKDAY(O356,-(Setup!$C$13+Setup!$G$33),Setup!$C$39:$C$50))&lt;=Setup!$C$16),OR(MONTH(WORKDAY(O356,-(Setup!$C$13+Setup!$G$33),Setup!$C$39:$C$50))&gt;=Setup!$C$15,MONTH(WORKDAY(O356,-(Setup!$C$13+Setup!$G$33),Setup!$C$39:$C$50))&lt;=Setup!$C$16))),WORKDAY(O356,-(Setup!$C$13+Setup!$G$33+Setup!$C$14),Setup!$C$39:$C$50),WORKDAY(O356,-(Setup!$C$13+Setup!$G$33),Setup!$C$39:$C$50))+(351*100+14)/10000000)))</f>
        <v/>
      </c>
      <c r="AF356" t="str">
        <f>IF(P356="","",IF(P356&lt;Setup!$C$5-Setup!$C$6,"",IF(IF(ISNUMBER(Roster!$D356),Setup!$C$34&lt;=Roster!$D356,FALSE),"",IF(OR(IF(Setup!$C$15&lt;=Setup!$C$16,AND(MONTH(P356)&gt;=Setup!$C$15,MONTH(P356)&lt;=Setup!$C$16),OR(MONTH(P356)&gt;=Setup!$C$15,MONTH(P356)&lt;=Setup!$C$16)),IF(Setup!$C$15&lt;=Setup!$C$16,AND(MONTH(WORKDAY(P356,-(Setup!$C$13+Setup!$G$34),Setup!$C$39:$C$50))&gt;=Setup!$C$15,MONTH(WORKDAY(P356,-(Setup!$C$13+Setup!$G$34),Setup!$C$39:$C$50))&lt;=Setup!$C$16),OR(MONTH(WORKDAY(P356,-(Setup!$C$13+Setup!$G$34),Setup!$C$39:$C$50))&gt;=Setup!$C$15,MONTH(WORKDAY(P356,-(Setup!$C$13+Setup!$G$34),Setup!$C$39:$C$50))&lt;=Setup!$C$16))),WORKDAY(P356,-(Setup!$C$13+Setup!$G$34+Setup!$C$14),Setup!$C$39:$C$50),WORKDAY(P356,-(Setup!$C$13+Setup!$G$34),Setup!$C$39:$C$50))+(351*100+15)/10000000)))</f>
        <v/>
      </c>
      <c r="AH356" t="str">
        <f t="shared" si="41"/>
        <v/>
      </c>
      <c r="AI356" t="str">
        <f t="shared" si="42"/>
        <v/>
      </c>
      <c r="AP356" t="str">
        <f>IF(ISNUMBER(Roster!$B356),MAX(1,YEAR(Setup!$C$5)-YEAR(Roster!$B356)+IF(EDATE(Roster!$B356,12*(YEAR(Setup!$C$5)-YEAR(Roster!$B356)))&lt;Setup!$C$5,1,0)),"")</f>
        <v/>
      </c>
      <c r="AQ356" s="32" t="str">
        <f>IF(AP356="","",EDATE(Roster!$B356,12*AP356))</f>
        <v/>
      </c>
      <c r="AR356" t="str">
        <f>IF(AQ356="","",IF(AQ356&lt;DATE(YEAR(Setup!$C$5)+1,MONTH(Setup!$C$5),DAY(Setup!$C$5)),AQ356+351/1000,""))</f>
        <v/>
      </c>
      <c r="AS356" t="str">
        <f t="shared" si="43"/>
        <v/>
      </c>
      <c r="AT356" t="str">
        <f>IF(AS356="","",IF(ISNUMBER(Roster!$D356),Roster!$D356&gt;=AP356,FALSE))</f>
        <v/>
      </c>
      <c r="AU356" t="str">
        <f t="shared" si="44"/>
        <v/>
      </c>
      <c r="AV356" t="str">
        <f ca="1">IF(351&gt;$AV$2,"",SMALL($AR$6:$AR$505,351))</f>
        <v/>
      </c>
      <c r="AW356" t="str">
        <f t="shared" ca="1" si="45"/>
        <v/>
      </c>
    </row>
    <row r="357" spans="2:49" x14ac:dyDescent="0.2">
      <c r="B357" s="32" t="str">
        <f>IF(AND(ISNUMBER(Roster!$B357),Setup!$B$20="Yes",ISNUMBER(Setup!$C$20)),EDATE(Roster!$B357,12*Setup!$C$20),"")</f>
        <v/>
      </c>
      <c r="C357" s="32" t="str">
        <f>IF(AND(ISNUMBER(Roster!$B357),Setup!$B$21="Yes",ISNUMBER(Setup!$C$21)),EDATE(Roster!$B357,12*Setup!$C$21),"")</f>
        <v/>
      </c>
      <c r="D357" s="32" t="str">
        <f>IF(AND(ISNUMBER(Roster!$B357),Setup!$B$22="Yes",ISNUMBER(Setup!$C$22)),EDATE(Roster!$B357,12*Setup!$C$22),"")</f>
        <v/>
      </c>
      <c r="E357" s="32" t="str">
        <f>IF(AND(ISNUMBER(Roster!$B357),Setup!$B$23="Yes",ISNUMBER(Setup!$C$23)),EDATE(Roster!$B357,12*Setup!$C$23),"")</f>
        <v/>
      </c>
      <c r="F357" s="32" t="str">
        <f>IF(AND(ISNUMBER(Roster!$B357),Setup!$B$24="Yes",ISNUMBER(Setup!$C$24)),EDATE(Roster!$B357,12*Setup!$C$24),"")</f>
        <v/>
      </c>
      <c r="G357" s="32" t="str">
        <f>IF(AND(ISNUMBER(Roster!$B357),Setup!$B$25="Yes",ISNUMBER(Setup!$C$25)),EDATE(Roster!$B357,12*Setup!$C$25),"")</f>
        <v/>
      </c>
      <c r="H357" s="32" t="str">
        <f>IF(AND(ISNUMBER(Roster!$B357),Setup!$B$26="Yes",ISNUMBER(Setup!$C$26)),EDATE(Roster!$B357,12*Setup!$C$26),"")</f>
        <v/>
      </c>
      <c r="I357" s="32" t="str">
        <f>IF(AND(ISNUMBER(Roster!$B357),Setup!$B$27="Yes",ISNUMBER(Setup!$C$27)),EDATE(Roster!$B357,12*Setup!$C$27),"")</f>
        <v/>
      </c>
      <c r="J357" s="32" t="str">
        <f>IF(AND(ISNUMBER(Roster!$B357),Setup!$B$28="Yes",ISNUMBER(Setup!$C$28)),EDATE(Roster!$B357,12*Setup!$C$28),"")</f>
        <v/>
      </c>
      <c r="K357" s="32" t="str">
        <f>IF(AND(ISNUMBER(Roster!$B357),Setup!$B$29="Yes",ISNUMBER(Setup!$C$29)),EDATE(Roster!$B357,12*Setup!$C$29),"")</f>
        <v/>
      </c>
      <c r="L357" s="32" t="str">
        <f>IF(AND(ISNUMBER(Roster!$B357),Setup!$B$30="Yes",ISNUMBER(Setup!$C$30)),EDATE(Roster!$B357,12*Setup!$C$30),"")</f>
        <v/>
      </c>
      <c r="M357" s="32" t="str">
        <f>IF(AND(ISNUMBER(Roster!$B357),Setup!$B$31="Yes",ISNUMBER(Setup!$C$31)),EDATE(Roster!$B357,12*Setup!$C$31),"")</f>
        <v/>
      </c>
      <c r="N357" s="32" t="str">
        <f>IF(AND(ISNUMBER(Roster!$B357),Setup!$B$32="Yes",ISNUMBER(Setup!$C$32)),EDATE(Roster!$B357,12*Setup!$C$32),"")</f>
        <v/>
      </c>
      <c r="O357" s="32" t="str">
        <f>IF(AND(ISNUMBER(Roster!$B357),Setup!$B$33="Yes",ISNUMBER(Setup!$C$33)),EDATE(Roster!$B357,12*Setup!$C$33),"")</f>
        <v/>
      </c>
      <c r="P357" s="32" t="str">
        <f>IF(AND(ISNUMBER(Roster!$B357),Setup!$B$34="Yes",ISNUMBER(Setup!$C$34)),EDATE(Roster!$B357,12*Setup!$C$34),"")</f>
        <v/>
      </c>
      <c r="R357" t="str">
        <f>IF(B357="","",IF(B357&lt;Setup!$C$5-Setup!$C$6,"",IF(IF(ISNUMBER(Roster!$D357),Setup!$C$20&lt;=Roster!$D357,FALSE),"",IF(OR(IF(Setup!$C$15&lt;=Setup!$C$16,AND(MONTH(B357)&gt;=Setup!$C$15,MONTH(B357)&lt;=Setup!$C$16),OR(MONTH(B357)&gt;=Setup!$C$15,MONTH(B357)&lt;=Setup!$C$16)),IF(Setup!$C$15&lt;=Setup!$C$16,AND(MONTH(WORKDAY(B357,-(Setup!$C$13+Setup!$G$20),Setup!$C$39:$C$50))&gt;=Setup!$C$15,MONTH(WORKDAY(B357,-(Setup!$C$13+Setup!$G$20),Setup!$C$39:$C$50))&lt;=Setup!$C$16),OR(MONTH(WORKDAY(B357,-(Setup!$C$13+Setup!$G$20),Setup!$C$39:$C$50))&gt;=Setup!$C$15,MONTH(WORKDAY(B357,-(Setup!$C$13+Setup!$G$20),Setup!$C$39:$C$50))&lt;=Setup!$C$16))),WORKDAY(B357,-(Setup!$C$13+Setup!$G$20+Setup!$C$14),Setup!$C$39:$C$50),WORKDAY(B357,-(Setup!$C$13+Setup!$G$20),Setup!$C$39:$C$50))+(352*100+1)/10000000)))</f>
        <v/>
      </c>
      <c r="S357" t="str">
        <f>IF(C357="","",IF(C357&lt;Setup!$C$5-Setup!$C$6,"",IF(IF(ISNUMBER(Roster!$D357),Setup!$C$21&lt;=Roster!$D357,FALSE),"",IF(OR(IF(Setup!$C$15&lt;=Setup!$C$16,AND(MONTH(C357)&gt;=Setup!$C$15,MONTH(C357)&lt;=Setup!$C$16),OR(MONTH(C357)&gt;=Setup!$C$15,MONTH(C357)&lt;=Setup!$C$16)),IF(Setup!$C$15&lt;=Setup!$C$16,AND(MONTH(WORKDAY(C357,-(Setup!$C$13+Setup!$G$21),Setup!$C$39:$C$50))&gt;=Setup!$C$15,MONTH(WORKDAY(C357,-(Setup!$C$13+Setup!$G$21),Setup!$C$39:$C$50))&lt;=Setup!$C$16),OR(MONTH(WORKDAY(C357,-(Setup!$C$13+Setup!$G$21),Setup!$C$39:$C$50))&gt;=Setup!$C$15,MONTH(WORKDAY(C357,-(Setup!$C$13+Setup!$G$21),Setup!$C$39:$C$50))&lt;=Setup!$C$16))),WORKDAY(C357,-(Setup!$C$13+Setup!$G$21+Setup!$C$14),Setup!$C$39:$C$50),WORKDAY(C357,-(Setup!$C$13+Setup!$G$21),Setup!$C$39:$C$50))+(352*100+2)/10000000)))</f>
        <v/>
      </c>
      <c r="T357" t="str">
        <f>IF(D357="","",IF(D357&lt;Setup!$C$5-Setup!$C$6,"",IF(IF(ISNUMBER(Roster!$D357),Setup!$C$22&lt;=Roster!$D357,FALSE),"",IF(OR(IF(Setup!$C$15&lt;=Setup!$C$16,AND(MONTH(D357)&gt;=Setup!$C$15,MONTH(D357)&lt;=Setup!$C$16),OR(MONTH(D357)&gt;=Setup!$C$15,MONTH(D357)&lt;=Setup!$C$16)),IF(Setup!$C$15&lt;=Setup!$C$16,AND(MONTH(WORKDAY(D357,-(Setup!$C$13+Setup!$G$22),Setup!$C$39:$C$50))&gt;=Setup!$C$15,MONTH(WORKDAY(D357,-(Setup!$C$13+Setup!$G$22),Setup!$C$39:$C$50))&lt;=Setup!$C$16),OR(MONTH(WORKDAY(D357,-(Setup!$C$13+Setup!$G$22),Setup!$C$39:$C$50))&gt;=Setup!$C$15,MONTH(WORKDAY(D357,-(Setup!$C$13+Setup!$G$22),Setup!$C$39:$C$50))&lt;=Setup!$C$16))),WORKDAY(D357,-(Setup!$C$13+Setup!$G$22+Setup!$C$14),Setup!$C$39:$C$50),WORKDAY(D357,-(Setup!$C$13+Setup!$G$22),Setup!$C$39:$C$50))+(352*100+3)/10000000)))</f>
        <v/>
      </c>
      <c r="U357" t="str">
        <f>IF(E357="","",IF(E357&lt;Setup!$C$5-Setup!$C$6,"",IF(IF(ISNUMBER(Roster!$D357),Setup!$C$23&lt;=Roster!$D357,FALSE),"",IF(OR(IF(Setup!$C$15&lt;=Setup!$C$16,AND(MONTH(E357)&gt;=Setup!$C$15,MONTH(E357)&lt;=Setup!$C$16),OR(MONTH(E357)&gt;=Setup!$C$15,MONTH(E357)&lt;=Setup!$C$16)),IF(Setup!$C$15&lt;=Setup!$C$16,AND(MONTH(WORKDAY(E357,-(Setup!$C$13+Setup!$G$23),Setup!$C$39:$C$50))&gt;=Setup!$C$15,MONTH(WORKDAY(E357,-(Setup!$C$13+Setup!$G$23),Setup!$C$39:$C$50))&lt;=Setup!$C$16),OR(MONTH(WORKDAY(E357,-(Setup!$C$13+Setup!$G$23),Setup!$C$39:$C$50))&gt;=Setup!$C$15,MONTH(WORKDAY(E357,-(Setup!$C$13+Setup!$G$23),Setup!$C$39:$C$50))&lt;=Setup!$C$16))),WORKDAY(E357,-(Setup!$C$13+Setup!$G$23+Setup!$C$14),Setup!$C$39:$C$50),WORKDAY(E357,-(Setup!$C$13+Setup!$G$23),Setup!$C$39:$C$50))+(352*100+4)/10000000)))</f>
        <v/>
      </c>
      <c r="V357" t="str">
        <f>IF(F357="","",IF(F357&lt;Setup!$C$5-Setup!$C$6,"",IF(IF(ISNUMBER(Roster!$D357),Setup!$C$24&lt;=Roster!$D357,FALSE),"",IF(OR(IF(Setup!$C$15&lt;=Setup!$C$16,AND(MONTH(F357)&gt;=Setup!$C$15,MONTH(F357)&lt;=Setup!$C$16),OR(MONTH(F357)&gt;=Setup!$C$15,MONTH(F357)&lt;=Setup!$C$16)),IF(Setup!$C$15&lt;=Setup!$C$16,AND(MONTH(WORKDAY(F357,-(Setup!$C$13+Setup!$G$24),Setup!$C$39:$C$50))&gt;=Setup!$C$15,MONTH(WORKDAY(F357,-(Setup!$C$13+Setup!$G$24),Setup!$C$39:$C$50))&lt;=Setup!$C$16),OR(MONTH(WORKDAY(F357,-(Setup!$C$13+Setup!$G$24),Setup!$C$39:$C$50))&gt;=Setup!$C$15,MONTH(WORKDAY(F357,-(Setup!$C$13+Setup!$G$24),Setup!$C$39:$C$50))&lt;=Setup!$C$16))),WORKDAY(F357,-(Setup!$C$13+Setup!$G$24+Setup!$C$14),Setup!$C$39:$C$50),WORKDAY(F357,-(Setup!$C$13+Setup!$G$24),Setup!$C$39:$C$50))+(352*100+5)/10000000)))</f>
        <v/>
      </c>
      <c r="W357" t="str">
        <f>IF(G357="","",IF(G357&lt;Setup!$C$5-Setup!$C$6,"",IF(IF(ISNUMBER(Roster!$D357),Setup!$C$25&lt;=Roster!$D357,FALSE),"",IF(OR(IF(Setup!$C$15&lt;=Setup!$C$16,AND(MONTH(G357)&gt;=Setup!$C$15,MONTH(G357)&lt;=Setup!$C$16),OR(MONTH(G357)&gt;=Setup!$C$15,MONTH(G357)&lt;=Setup!$C$16)),IF(Setup!$C$15&lt;=Setup!$C$16,AND(MONTH(WORKDAY(G357,-(Setup!$C$13+Setup!$G$25),Setup!$C$39:$C$50))&gt;=Setup!$C$15,MONTH(WORKDAY(G357,-(Setup!$C$13+Setup!$G$25),Setup!$C$39:$C$50))&lt;=Setup!$C$16),OR(MONTH(WORKDAY(G357,-(Setup!$C$13+Setup!$G$25),Setup!$C$39:$C$50))&gt;=Setup!$C$15,MONTH(WORKDAY(G357,-(Setup!$C$13+Setup!$G$25),Setup!$C$39:$C$50))&lt;=Setup!$C$16))),WORKDAY(G357,-(Setup!$C$13+Setup!$G$25+Setup!$C$14),Setup!$C$39:$C$50),WORKDAY(G357,-(Setup!$C$13+Setup!$G$25),Setup!$C$39:$C$50))+(352*100+6)/10000000)))</f>
        <v/>
      </c>
      <c r="X357" t="str">
        <f>IF(H357="","",IF(H357&lt;Setup!$C$5-Setup!$C$6,"",IF(IF(ISNUMBER(Roster!$D357),Setup!$C$26&lt;=Roster!$D357,FALSE),"",IF(OR(IF(Setup!$C$15&lt;=Setup!$C$16,AND(MONTH(H357)&gt;=Setup!$C$15,MONTH(H357)&lt;=Setup!$C$16),OR(MONTH(H357)&gt;=Setup!$C$15,MONTH(H357)&lt;=Setup!$C$16)),IF(Setup!$C$15&lt;=Setup!$C$16,AND(MONTH(WORKDAY(H357,-(Setup!$C$13+Setup!$G$26),Setup!$C$39:$C$50))&gt;=Setup!$C$15,MONTH(WORKDAY(H357,-(Setup!$C$13+Setup!$G$26),Setup!$C$39:$C$50))&lt;=Setup!$C$16),OR(MONTH(WORKDAY(H357,-(Setup!$C$13+Setup!$G$26),Setup!$C$39:$C$50))&gt;=Setup!$C$15,MONTH(WORKDAY(H357,-(Setup!$C$13+Setup!$G$26),Setup!$C$39:$C$50))&lt;=Setup!$C$16))),WORKDAY(H357,-(Setup!$C$13+Setup!$G$26+Setup!$C$14),Setup!$C$39:$C$50),WORKDAY(H357,-(Setup!$C$13+Setup!$G$26),Setup!$C$39:$C$50))+(352*100+7)/10000000)))</f>
        <v/>
      </c>
      <c r="Y357" t="str">
        <f>IF(I357="","",IF(I357&lt;Setup!$C$5-Setup!$C$6,"",IF(IF(ISNUMBER(Roster!$D357),Setup!$C$27&lt;=Roster!$D357,FALSE),"",IF(OR(IF(Setup!$C$15&lt;=Setup!$C$16,AND(MONTH(I357)&gt;=Setup!$C$15,MONTH(I357)&lt;=Setup!$C$16),OR(MONTH(I357)&gt;=Setup!$C$15,MONTH(I357)&lt;=Setup!$C$16)),IF(Setup!$C$15&lt;=Setup!$C$16,AND(MONTH(WORKDAY(I357,-(Setup!$C$13+Setup!$G$27),Setup!$C$39:$C$50))&gt;=Setup!$C$15,MONTH(WORKDAY(I357,-(Setup!$C$13+Setup!$G$27),Setup!$C$39:$C$50))&lt;=Setup!$C$16),OR(MONTH(WORKDAY(I357,-(Setup!$C$13+Setup!$G$27),Setup!$C$39:$C$50))&gt;=Setup!$C$15,MONTH(WORKDAY(I357,-(Setup!$C$13+Setup!$G$27),Setup!$C$39:$C$50))&lt;=Setup!$C$16))),WORKDAY(I357,-(Setup!$C$13+Setup!$G$27+Setup!$C$14),Setup!$C$39:$C$50),WORKDAY(I357,-(Setup!$C$13+Setup!$G$27),Setup!$C$39:$C$50))+(352*100+8)/10000000)))</f>
        <v/>
      </c>
      <c r="Z357" t="str">
        <f>IF(J357="","",IF(J357&lt;Setup!$C$5-Setup!$C$6,"",IF(IF(ISNUMBER(Roster!$D357),Setup!$C$28&lt;=Roster!$D357,FALSE),"",IF(OR(IF(Setup!$C$15&lt;=Setup!$C$16,AND(MONTH(J357)&gt;=Setup!$C$15,MONTH(J357)&lt;=Setup!$C$16),OR(MONTH(J357)&gt;=Setup!$C$15,MONTH(J357)&lt;=Setup!$C$16)),IF(Setup!$C$15&lt;=Setup!$C$16,AND(MONTH(WORKDAY(J357,-(Setup!$C$13+Setup!$G$28),Setup!$C$39:$C$50))&gt;=Setup!$C$15,MONTH(WORKDAY(J357,-(Setup!$C$13+Setup!$G$28),Setup!$C$39:$C$50))&lt;=Setup!$C$16),OR(MONTH(WORKDAY(J357,-(Setup!$C$13+Setup!$G$28),Setup!$C$39:$C$50))&gt;=Setup!$C$15,MONTH(WORKDAY(J357,-(Setup!$C$13+Setup!$G$28),Setup!$C$39:$C$50))&lt;=Setup!$C$16))),WORKDAY(J357,-(Setup!$C$13+Setup!$G$28+Setup!$C$14),Setup!$C$39:$C$50),WORKDAY(J357,-(Setup!$C$13+Setup!$G$28),Setup!$C$39:$C$50))+(352*100+9)/10000000)))</f>
        <v/>
      </c>
      <c r="AA357" t="str">
        <f>IF(K357="","",IF(K357&lt;Setup!$C$5-Setup!$C$6,"",IF(IF(ISNUMBER(Roster!$D357),Setup!$C$29&lt;=Roster!$D357,FALSE),"",IF(OR(IF(Setup!$C$15&lt;=Setup!$C$16,AND(MONTH(K357)&gt;=Setup!$C$15,MONTH(K357)&lt;=Setup!$C$16),OR(MONTH(K357)&gt;=Setup!$C$15,MONTH(K357)&lt;=Setup!$C$16)),IF(Setup!$C$15&lt;=Setup!$C$16,AND(MONTH(WORKDAY(K357,-(Setup!$C$13+Setup!$G$29),Setup!$C$39:$C$50))&gt;=Setup!$C$15,MONTH(WORKDAY(K357,-(Setup!$C$13+Setup!$G$29),Setup!$C$39:$C$50))&lt;=Setup!$C$16),OR(MONTH(WORKDAY(K357,-(Setup!$C$13+Setup!$G$29),Setup!$C$39:$C$50))&gt;=Setup!$C$15,MONTH(WORKDAY(K357,-(Setup!$C$13+Setup!$G$29),Setup!$C$39:$C$50))&lt;=Setup!$C$16))),WORKDAY(K357,-(Setup!$C$13+Setup!$G$29+Setup!$C$14),Setup!$C$39:$C$50),WORKDAY(K357,-(Setup!$C$13+Setup!$G$29),Setup!$C$39:$C$50))+(352*100+10)/10000000)))</f>
        <v/>
      </c>
      <c r="AB357" t="str">
        <f>IF(L357="","",IF(L357&lt;Setup!$C$5-Setup!$C$6,"",IF(IF(ISNUMBER(Roster!$D357),Setup!$C$30&lt;=Roster!$D357,FALSE),"",IF(OR(IF(Setup!$C$15&lt;=Setup!$C$16,AND(MONTH(L357)&gt;=Setup!$C$15,MONTH(L357)&lt;=Setup!$C$16),OR(MONTH(L357)&gt;=Setup!$C$15,MONTH(L357)&lt;=Setup!$C$16)),IF(Setup!$C$15&lt;=Setup!$C$16,AND(MONTH(WORKDAY(L357,-(Setup!$C$13+Setup!$G$30),Setup!$C$39:$C$50))&gt;=Setup!$C$15,MONTH(WORKDAY(L357,-(Setup!$C$13+Setup!$G$30),Setup!$C$39:$C$50))&lt;=Setup!$C$16),OR(MONTH(WORKDAY(L357,-(Setup!$C$13+Setup!$G$30),Setup!$C$39:$C$50))&gt;=Setup!$C$15,MONTH(WORKDAY(L357,-(Setup!$C$13+Setup!$G$30),Setup!$C$39:$C$50))&lt;=Setup!$C$16))),WORKDAY(L357,-(Setup!$C$13+Setup!$G$30+Setup!$C$14),Setup!$C$39:$C$50),WORKDAY(L357,-(Setup!$C$13+Setup!$G$30),Setup!$C$39:$C$50))+(352*100+11)/10000000)))</f>
        <v/>
      </c>
      <c r="AC357" t="str">
        <f>IF(M357="","",IF(M357&lt;Setup!$C$5-Setup!$C$6,"",IF(IF(ISNUMBER(Roster!$D357),Setup!$C$31&lt;=Roster!$D357,FALSE),"",IF(OR(IF(Setup!$C$15&lt;=Setup!$C$16,AND(MONTH(M357)&gt;=Setup!$C$15,MONTH(M357)&lt;=Setup!$C$16),OR(MONTH(M357)&gt;=Setup!$C$15,MONTH(M357)&lt;=Setup!$C$16)),IF(Setup!$C$15&lt;=Setup!$C$16,AND(MONTH(WORKDAY(M357,-(Setup!$C$13+Setup!$G$31),Setup!$C$39:$C$50))&gt;=Setup!$C$15,MONTH(WORKDAY(M357,-(Setup!$C$13+Setup!$G$31),Setup!$C$39:$C$50))&lt;=Setup!$C$16),OR(MONTH(WORKDAY(M357,-(Setup!$C$13+Setup!$G$31),Setup!$C$39:$C$50))&gt;=Setup!$C$15,MONTH(WORKDAY(M357,-(Setup!$C$13+Setup!$G$31),Setup!$C$39:$C$50))&lt;=Setup!$C$16))),WORKDAY(M357,-(Setup!$C$13+Setup!$G$31+Setup!$C$14),Setup!$C$39:$C$50),WORKDAY(M357,-(Setup!$C$13+Setup!$G$31),Setup!$C$39:$C$50))+(352*100+12)/10000000)))</f>
        <v/>
      </c>
      <c r="AD357" t="str">
        <f>IF(N357="","",IF(N357&lt;Setup!$C$5-Setup!$C$6,"",IF(IF(ISNUMBER(Roster!$D357),Setup!$C$32&lt;=Roster!$D357,FALSE),"",IF(OR(IF(Setup!$C$15&lt;=Setup!$C$16,AND(MONTH(N357)&gt;=Setup!$C$15,MONTH(N357)&lt;=Setup!$C$16),OR(MONTH(N357)&gt;=Setup!$C$15,MONTH(N357)&lt;=Setup!$C$16)),IF(Setup!$C$15&lt;=Setup!$C$16,AND(MONTH(WORKDAY(N357,-(Setup!$C$13+Setup!$G$32),Setup!$C$39:$C$50))&gt;=Setup!$C$15,MONTH(WORKDAY(N357,-(Setup!$C$13+Setup!$G$32),Setup!$C$39:$C$50))&lt;=Setup!$C$16),OR(MONTH(WORKDAY(N357,-(Setup!$C$13+Setup!$G$32),Setup!$C$39:$C$50))&gt;=Setup!$C$15,MONTH(WORKDAY(N357,-(Setup!$C$13+Setup!$G$32),Setup!$C$39:$C$50))&lt;=Setup!$C$16))),WORKDAY(N357,-(Setup!$C$13+Setup!$G$32+Setup!$C$14),Setup!$C$39:$C$50),WORKDAY(N357,-(Setup!$C$13+Setup!$G$32),Setup!$C$39:$C$50))+(352*100+13)/10000000)))</f>
        <v/>
      </c>
      <c r="AE357" t="str">
        <f>IF(O357="","",IF(O357&lt;Setup!$C$5-Setup!$C$6,"",IF(IF(ISNUMBER(Roster!$D357),Setup!$C$33&lt;=Roster!$D357,FALSE),"",IF(OR(IF(Setup!$C$15&lt;=Setup!$C$16,AND(MONTH(O357)&gt;=Setup!$C$15,MONTH(O357)&lt;=Setup!$C$16),OR(MONTH(O357)&gt;=Setup!$C$15,MONTH(O357)&lt;=Setup!$C$16)),IF(Setup!$C$15&lt;=Setup!$C$16,AND(MONTH(WORKDAY(O357,-(Setup!$C$13+Setup!$G$33),Setup!$C$39:$C$50))&gt;=Setup!$C$15,MONTH(WORKDAY(O357,-(Setup!$C$13+Setup!$G$33),Setup!$C$39:$C$50))&lt;=Setup!$C$16),OR(MONTH(WORKDAY(O357,-(Setup!$C$13+Setup!$G$33),Setup!$C$39:$C$50))&gt;=Setup!$C$15,MONTH(WORKDAY(O357,-(Setup!$C$13+Setup!$G$33),Setup!$C$39:$C$50))&lt;=Setup!$C$16))),WORKDAY(O357,-(Setup!$C$13+Setup!$G$33+Setup!$C$14),Setup!$C$39:$C$50),WORKDAY(O357,-(Setup!$C$13+Setup!$G$33),Setup!$C$39:$C$50))+(352*100+14)/10000000)))</f>
        <v/>
      </c>
      <c r="AF357" t="str">
        <f>IF(P357="","",IF(P357&lt;Setup!$C$5-Setup!$C$6,"",IF(IF(ISNUMBER(Roster!$D357),Setup!$C$34&lt;=Roster!$D357,FALSE),"",IF(OR(IF(Setup!$C$15&lt;=Setup!$C$16,AND(MONTH(P357)&gt;=Setup!$C$15,MONTH(P357)&lt;=Setup!$C$16),OR(MONTH(P357)&gt;=Setup!$C$15,MONTH(P357)&lt;=Setup!$C$16)),IF(Setup!$C$15&lt;=Setup!$C$16,AND(MONTH(WORKDAY(P357,-(Setup!$C$13+Setup!$G$34),Setup!$C$39:$C$50))&gt;=Setup!$C$15,MONTH(WORKDAY(P357,-(Setup!$C$13+Setup!$G$34),Setup!$C$39:$C$50))&lt;=Setup!$C$16),OR(MONTH(WORKDAY(P357,-(Setup!$C$13+Setup!$G$34),Setup!$C$39:$C$50))&gt;=Setup!$C$15,MONTH(WORKDAY(P357,-(Setup!$C$13+Setup!$G$34),Setup!$C$39:$C$50))&lt;=Setup!$C$16))),WORKDAY(P357,-(Setup!$C$13+Setup!$G$34+Setup!$C$14),Setup!$C$39:$C$50),WORKDAY(P357,-(Setup!$C$13+Setup!$G$34),Setup!$C$39:$C$50))+(352*100+15)/10000000)))</f>
        <v/>
      </c>
      <c r="AH357" t="str">
        <f t="shared" si="41"/>
        <v/>
      </c>
      <c r="AI357" t="str">
        <f t="shared" si="42"/>
        <v/>
      </c>
      <c r="AP357" t="str">
        <f>IF(ISNUMBER(Roster!$B357),MAX(1,YEAR(Setup!$C$5)-YEAR(Roster!$B357)+IF(EDATE(Roster!$B357,12*(YEAR(Setup!$C$5)-YEAR(Roster!$B357)))&lt;Setup!$C$5,1,0)),"")</f>
        <v/>
      </c>
      <c r="AQ357" s="32" t="str">
        <f>IF(AP357="","",EDATE(Roster!$B357,12*AP357))</f>
        <v/>
      </c>
      <c r="AR357" t="str">
        <f>IF(AQ357="","",IF(AQ357&lt;DATE(YEAR(Setup!$C$5)+1,MONTH(Setup!$C$5),DAY(Setup!$C$5)),AQ357+352/1000,""))</f>
        <v/>
      </c>
      <c r="AS357" t="str">
        <f t="shared" si="43"/>
        <v/>
      </c>
      <c r="AT357" t="str">
        <f>IF(AS357="","",IF(ISNUMBER(Roster!$D357),Roster!$D357&gt;=AP357,FALSE))</f>
        <v/>
      </c>
      <c r="AU357" t="str">
        <f t="shared" si="44"/>
        <v/>
      </c>
      <c r="AV357" t="str">
        <f ca="1">IF(352&gt;$AV$2,"",SMALL($AR$6:$AR$505,352))</f>
        <v/>
      </c>
      <c r="AW357" t="str">
        <f t="shared" ca="1" si="45"/>
        <v/>
      </c>
    </row>
    <row r="358" spans="2:49" x14ac:dyDescent="0.2">
      <c r="B358" s="32" t="str">
        <f>IF(AND(ISNUMBER(Roster!$B358),Setup!$B$20="Yes",ISNUMBER(Setup!$C$20)),EDATE(Roster!$B358,12*Setup!$C$20),"")</f>
        <v/>
      </c>
      <c r="C358" s="32" t="str">
        <f>IF(AND(ISNUMBER(Roster!$B358),Setup!$B$21="Yes",ISNUMBER(Setup!$C$21)),EDATE(Roster!$B358,12*Setup!$C$21),"")</f>
        <v/>
      </c>
      <c r="D358" s="32" t="str">
        <f>IF(AND(ISNUMBER(Roster!$B358),Setup!$B$22="Yes",ISNUMBER(Setup!$C$22)),EDATE(Roster!$B358,12*Setup!$C$22),"")</f>
        <v/>
      </c>
      <c r="E358" s="32" t="str">
        <f>IF(AND(ISNUMBER(Roster!$B358),Setup!$B$23="Yes",ISNUMBER(Setup!$C$23)),EDATE(Roster!$B358,12*Setup!$C$23),"")</f>
        <v/>
      </c>
      <c r="F358" s="32" t="str">
        <f>IF(AND(ISNUMBER(Roster!$B358),Setup!$B$24="Yes",ISNUMBER(Setup!$C$24)),EDATE(Roster!$B358,12*Setup!$C$24),"")</f>
        <v/>
      </c>
      <c r="G358" s="32" t="str">
        <f>IF(AND(ISNUMBER(Roster!$B358),Setup!$B$25="Yes",ISNUMBER(Setup!$C$25)),EDATE(Roster!$B358,12*Setup!$C$25),"")</f>
        <v/>
      </c>
      <c r="H358" s="32" t="str">
        <f>IF(AND(ISNUMBER(Roster!$B358),Setup!$B$26="Yes",ISNUMBER(Setup!$C$26)),EDATE(Roster!$B358,12*Setup!$C$26),"")</f>
        <v/>
      </c>
      <c r="I358" s="32" t="str">
        <f>IF(AND(ISNUMBER(Roster!$B358),Setup!$B$27="Yes",ISNUMBER(Setup!$C$27)),EDATE(Roster!$B358,12*Setup!$C$27),"")</f>
        <v/>
      </c>
      <c r="J358" s="32" t="str">
        <f>IF(AND(ISNUMBER(Roster!$B358),Setup!$B$28="Yes",ISNUMBER(Setup!$C$28)),EDATE(Roster!$B358,12*Setup!$C$28),"")</f>
        <v/>
      </c>
      <c r="K358" s="32" t="str">
        <f>IF(AND(ISNUMBER(Roster!$B358),Setup!$B$29="Yes",ISNUMBER(Setup!$C$29)),EDATE(Roster!$B358,12*Setup!$C$29),"")</f>
        <v/>
      </c>
      <c r="L358" s="32" t="str">
        <f>IF(AND(ISNUMBER(Roster!$B358),Setup!$B$30="Yes",ISNUMBER(Setup!$C$30)),EDATE(Roster!$B358,12*Setup!$C$30),"")</f>
        <v/>
      </c>
      <c r="M358" s="32" t="str">
        <f>IF(AND(ISNUMBER(Roster!$B358),Setup!$B$31="Yes",ISNUMBER(Setup!$C$31)),EDATE(Roster!$B358,12*Setup!$C$31),"")</f>
        <v/>
      </c>
      <c r="N358" s="32" t="str">
        <f>IF(AND(ISNUMBER(Roster!$B358),Setup!$B$32="Yes",ISNUMBER(Setup!$C$32)),EDATE(Roster!$B358,12*Setup!$C$32),"")</f>
        <v/>
      </c>
      <c r="O358" s="32" t="str">
        <f>IF(AND(ISNUMBER(Roster!$B358),Setup!$B$33="Yes",ISNUMBER(Setup!$C$33)),EDATE(Roster!$B358,12*Setup!$C$33),"")</f>
        <v/>
      </c>
      <c r="P358" s="32" t="str">
        <f>IF(AND(ISNUMBER(Roster!$B358),Setup!$B$34="Yes",ISNUMBER(Setup!$C$34)),EDATE(Roster!$B358,12*Setup!$C$34),"")</f>
        <v/>
      </c>
      <c r="R358" t="str">
        <f>IF(B358="","",IF(B358&lt;Setup!$C$5-Setup!$C$6,"",IF(IF(ISNUMBER(Roster!$D358),Setup!$C$20&lt;=Roster!$D358,FALSE),"",IF(OR(IF(Setup!$C$15&lt;=Setup!$C$16,AND(MONTH(B358)&gt;=Setup!$C$15,MONTH(B358)&lt;=Setup!$C$16),OR(MONTH(B358)&gt;=Setup!$C$15,MONTH(B358)&lt;=Setup!$C$16)),IF(Setup!$C$15&lt;=Setup!$C$16,AND(MONTH(WORKDAY(B358,-(Setup!$C$13+Setup!$G$20),Setup!$C$39:$C$50))&gt;=Setup!$C$15,MONTH(WORKDAY(B358,-(Setup!$C$13+Setup!$G$20),Setup!$C$39:$C$50))&lt;=Setup!$C$16),OR(MONTH(WORKDAY(B358,-(Setup!$C$13+Setup!$G$20),Setup!$C$39:$C$50))&gt;=Setup!$C$15,MONTH(WORKDAY(B358,-(Setup!$C$13+Setup!$G$20),Setup!$C$39:$C$50))&lt;=Setup!$C$16))),WORKDAY(B358,-(Setup!$C$13+Setup!$G$20+Setup!$C$14),Setup!$C$39:$C$50),WORKDAY(B358,-(Setup!$C$13+Setup!$G$20),Setup!$C$39:$C$50))+(353*100+1)/10000000)))</f>
        <v/>
      </c>
      <c r="S358" t="str">
        <f>IF(C358="","",IF(C358&lt;Setup!$C$5-Setup!$C$6,"",IF(IF(ISNUMBER(Roster!$D358),Setup!$C$21&lt;=Roster!$D358,FALSE),"",IF(OR(IF(Setup!$C$15&lt;=Setup!$C$16,AND(MONTH(C358)&gt;=Setup!$C$15,MONTH(C358)&lt;=Setup!$C$16),OR(MONTH(C358)&gt;=Setup!$C$15,MONTH(C358)&lt;=Setup!$C$16)),IF(Setup!$C$15&lt;=Setup!$C$16,AND(MONTH(WORKDAY(C358,-(Setup!$C$13+Setup!$G$21),Setup!$C$39:$C$50))&gt;=Setup!$C$15,MONTH(WORKDAY(C358,-(Setup!$C$13+Setup!$G$21),Setup!$C$39:$C$50))&lt;=Setup!$C$16),OR(MONTH(WORKDAY(C358,-(Setup!$C$13+Setup!$G$21),Setup!$C$39:$C$50))&gt;=Setup!$C$15,MONTH(WORKDAY(C358,-(Setup!$C$13+Setup!$G$21),Setup!$C$39:$C$50))&lt;=Setup!$C$16))),WORKDAY(C358,-(Setup!$C$13+Setup!$G$21+Setup!$C$14),Setup!$C$39:$C$50),WORKDAY(C358,-(Setup!$C$13+Setup!$G$21),Setup!$C$39:$C$50))+(353*100+2)/10000000)))</f>
        <v/>
      </c>
      <c r="T358" t="str">
        <f>IF(D358="","",IF(D358&lt;Setup!$C$5-Setup!$C$6,"",IF(IF(ISNUMBER(Roster!$D358),Setup!$C$22&lt;=Roster!$D358,FALSE),"",IF(OR(IF(Setup!$C$15&lt;=Setup!$C$16,AND(MONTH(D358)&gt;=Setup!$C$15,MONTH(D358)&lt;=Setup!$C$16),OR(MONTH(D358)&gt;=Setup!$C$15,MONTH(D358)&lt;=Setup!$C$16)),IF(Setup!$C$15&lt;=Setup!$C$16,AND(MONTH(WORKDAY(D358,-(Setup!$C$13+Setup!$G$22),Setup!$C$39:$C$50))&gt;=Setup!$C$15,MONTH(WORKDAY(D358,-(Setup!$C$13+Setup!$G$22),Setup!$C$39:$C$50))&lt;=Setup!$C$16),OR(MONTH(WORKDAY(D358,-(Setup!$C$13+Setup!$G$22),Setup!$C$39:$C$50))&gt;=Setup!$C$15,MONTH(WORKDAY(D358,-(Setup!$C$13+Setup!$G$22),Setup!$C$39:$C$50))&lt;=Setup!$C$16))),WORKDAY(D358,-(Setup!$C$13+Setup!$G$22+Setup!$C$14),Setup!$C$39:$C$50),WORKDAY(D358,-(Setup!$C$13+Setup!$G$22),Setup!$C$39:$C$50))+(353*100+3)/10000000)))</f>
        <v/>
      </c>
      <c r="U358" t="str">
        <f>IF(E358="","",IF(E358&lt;Setup!$C$5-Setup!$C$6,"",IF(IF(ISNUMBER(Roster!$D358),Setup!$C$23&lt;=Roster!$D358,FALSE),"",IF(OR(IF(Setup!$C$15&lt;=Setup!$C$16,AND(MONTH(E358)&gt;=Setup!$C$15,MONTH(E358)&lt;=Setup!$C$16),OR(MONTH(E358)&gt;=Setup!$C$15,MONTH(E358)&lt;=Setup!$C$16)),IF(Setup!$C$15&lt;=Setup!$C$16,AND(MONTH(WORKDAY(E358,-(Setup!$C$13+Setup!$G$23),Setup!$C$39:$C$50))&gt;=Setup!$C$15,MONTH(WORKDAY(E358,-(Setup!$C$13+Setup!$G$23),Setup!$C$39:$C$50))&lt;=Setup!$C$16),OR(MONTH(WORKDAY(E358,-(Setup!$C$13+Setup!$G$23),Setup!$C$39:$C$50))&gt;=Setup!$C$15,MONTH(WORKDAY(E358,-(Setup!$C$13+Setup!$G$23),Setup!$C$39:$C$50))&lt;=Setup!$C$16))),WORKDAY(E358,-(Setup!$C$13+Setup!$G$23+Setup!$C$14),Setup!$C$39:$C$50),WORKDAY(E358,-(Setup!$C$13+Setup!$G$23),Setup!$C$39:$C$50))+(353*100+4)/10000000)))</f>
        <v/>
      </c>
      <c r="V358" t="str">
        <f>IF(F358="","",IF(F358&lt;Setup!$C$5-Setup!$C$6,"",IF(IF(ISNUMBER(Roster!$D358),Setup!$C$24&lt;=Roster!$D358,FALSE),"",IF(OR(IF(Setup!$C$15&lt;=Setup!$C$16,AND(MONTH(F358)&gt;=Setup!$C$15,MONTH(F358)&lt;=Setup!$C$16),OR(MONTH(F358)&gt;=Setup!$C$15,MONTH(F358)&lt;=Setup!$C$16)),IF(Setup!$C$15&lt;=Setup!$C$16,AND(MONTH(WORKDAY(F358,-(Setup!$C$13+Setup!$G$24),Setup!$C$39:$C$50))&gt;=Setup!$C$15,MONTH(WORKDAY(F358,-(Setup!$C$13+Setup!$G$24),Setup!$C$39:$C$50))&lt;=Setup!$C$16),OR(MONTH(WORKDAY(F358,-(Setup!$C$13+Setup!$G$24),Setup!$C$39:$C$50))&gt;=Setup!$C$15,MONTH(WORKDAY(F358,-(Setup!$C$13+Setup!$G$24),Setup!$C$39:$C$50))&lt;=Setup!$C$16))),WORKDAY(F358,-(Setup!$C$13+Setup!$G$24+Setup!$C$14),Setup!$C$39:$C$50),WORKDAY(F358,-(Setup!$C$13+Setup!$G$24),Setup!$C$39:$C$50))+(353*100+5)/10000000)))</f>
        <v/>
      </c>
      <c r="W358" t="str">
        <f>IF(G358="","",IF(G358&lt;Setup!$C$5-Setup!$C$6,"",IF(IF(ISNUMBER(Roster!$D358),Setup!$C$25&lt;=Roster!$D358,FALSE),"",IF(OR(IF(Setup!$C$15&lt;=Setup!$C$16,AND(MONTH(G358)&gt;=Setup!$C$15,MONTH(G358)&lt;=Setup!$C$16),OR(MONTH(G358)&gt;=Setup!$C$15,MONTH(G358)&lt;=Setup!$C$16)),IF(Setup!$C$15&lt;=Setup!$C$16,AND(MONTH(WORKDAY(G358,-(Setup!$C$13+Setup!$G$25),Setup!$C$39:$C$50))&gt;=Setup!$C$15,MONTH(WORKDAY(G358,-(Setup!$C$13+Setup!$G$25),Setup!$C$39:$C$50))&lt;=Setup!$C$16),OR(MONTH(WORKDAY(G358,-(Setup!$C$13+Setup!$G$25),Setup!$C$39:$C$50))&gt;=Setup!$C$15,MONTH(WORKDAY(G358,-(Setup!$C$13+Setup!$G$25),Setup!$C$39:$C$50))&lt;=Setup!$C$16))),WORKDAY(G358,-(Setup!$C$13+Setup!$G$25+Setup!$C$14),Setup!$C$39:$C$50),WORKDAY(G358,-(Setup!$C$13+Setup!$G$25),Setup!$C$39:$C$50))+(353*100+6)/10000000)))</f>
        <v/>
      </c>
      <c r="X358" t="str">
        <f>IF(H358="","",IF(H358&lt;Setup!$C$5-Setup!$C$6,"",IF(IF(ISNUMBER(Roster!$D358),Setup!$C$26&lt;=Roster!$D358,FALSE),"",IF(OR(IF(Setup!$C$15&lt;=Setup!$C$16,AND(MONTH(H358)&gt;=Setup!$C$15,MONTH(H358)&lt;=Setup!$C$16),OR(MONTH(H358)&gt;=Setup!$C$15,MONTH(H358)&lt;=Setup!$C$16)),IF(Setup!$C$15&lt;=Setup!$C$16,AND(MONTH(WORKDAY(H358,-(Setup!$C$13+Setup!$G$26),Setup!$C$39:$C$50))&gt;=Setup!$C$15,MONTH(WORKDAY(H358,-(Setup!$C$13+Setup!$G$26),Setup!$C$39:$C$50))&lt;=Setup!$C$16),OR(MONTH(WORKDAY(H358,-(Setup!$C$13+Setup!$G$26),Setup!$C$39:$C$50))&gt;=Setup!$C$15,MONTH(WORKDAY(H358,-(Setup!$C$13+Setup!$G$26),Setup!$C$39:$C$50))&lt;=Setup!$C$16))),WORKDAY(H358,-(Setup!$C$13+Setup!$G$26+Setup!$C$14),Setup!$C$39:$C$50),WORKDAY(H358,-(Setup!$C$13+Setup!$G$26),Setup!$C$39:$C$50))+(353*100+7)/10000000)))</f>
        <v/>
      </c>
      <c r="Y358" t="str">
        <f>IF(I358="","",IF(I358&lt;Setup!$C$5-Setup!$C$6,"",IF(IF(ISNUMBER(Roster!$D358),Setup!$C$27&lt;=Roster!$D358,FALSE),"",IF(OR(IF(Setup!$C$15&lt;=Setup!$C$16,AND(MONTH(I358)&gt;=Setup!$C$15,MONTH(I358)&lt;=Setup!$C$16),OR(MONTH(I358)&gt;=Setup!$C$15,MONTH(I358)&lt;=Setup!$C$16)),IF(Setup!$C$15&lt;=Setup!$C$16,AND(MONTH(WORKDAY(I358,-(Setup!$C$13+Setup!$G$27),Setup!$C$39:$C$50))&gt;=Setup!$C$15,MONTH(WORKDAY(I358,-(Setup!$C$13+Setup!$G$27),Setup!$C$39:$C$50))&lt;=Setup!$C$16),OR(MONTH(WORKDAY(I358,-(Setup!$C$13+Setup!$G$27),Setup!$C$39:$C$50))&gt;=Setup!$C$15,MONTH(WORKDAY(I358,-(Setup!$C$13+Setup!$G$27),Setup!$C$39:$C$50))&lt;=Setup!$C$16))),WORKDAY(I358,-(Setup!$C$13+Setup!$G$27+Setup!$C$14),Setup!$C$39:$C$50),WORKDAY(I358,-(Setup!$C$13+Setup!$G$27),Setup!$C$39:$C$50))+(353*100+8)/10000000)))</f>
        <v/>
      </c>
      <c r="Z358" t="str">
        <f>IF(J358="","",IF(J358&lt;Setup!$C$5-Setup!$C$6,"",IF(IF(ISNUMBER(Roster!$D358),Setup!$C$28&lt;=Roster!$D358,FALSE),"",IF(OR(IF(Setup!$C$15&lt;=Setup!$C$16,AND(MONTH(J358)&gt;=Setup!$C$15,MONTH(J358)&lt;=Setup!$C$16),OR(MONTH(J358)&gt;=Setup!$C$15,MONTH(J358)&lt;=Setup!$C$16)),IF(Setup!$C$15&lt;=Setup!$C$16,AND(MONTH(WORKDAY(J358,-(Setup!$C$13+Setup!$G$28),Setup!$C$39:$C$50))&gt;=Setup!$C$15,MONTH(WORKDAY(J358,-(Setup!$C$13+Setup!$G$28),Setup!$C$39:$C$50))&lt;=Setup!$C$16),OR(MONTH(WORKDAY(J358,-(Setup!$C$13+Setup!$G$28),Setup!$C$39:$C$50))&gt;=Setup!$C$15,MONTH(WORKDAY(J358,-(Setup!$C$13+Setup!$G$28),Setup!$C$39:$C$50))&lt;=Setup!$C$16))),WORKDAY(J358,-(Setup!$C$13+Setup!$G$28+Setup!$C$14),Setup!$C$39:$C$50),WORKDAY(J358,-(Setup!$C$13+Setup!$G$28),Setup!$C$39:$C$50))+(353*100+9)/10000000)))</f>
        <v/>
      </c>
      <c r="AA358" t="str">
        <f>IF(K358="","",IF(K358&lt;Setup!$C$5-Setup!$C$6,"",IF(IF(ISNUMBER(Roster!$D358),Setup!$C$29&lt;=Roster!$D358,FALSE),"",IF(OR(IF(Setup!$C$15&lt;=Setup!$C$16,AND(MONTH(K358)&gt;=Setup!$C$15,MONTH(K358)&lt;=Setup!$C$16),OR(MONTH(K358)&gt;=Setup!$C$15,MONTH(K358)&lt;=Setup!$C$16)),IF(Setup!$C$15&lt;=Setup!$C$16,AND(MONTH(WORKDAY(K358,-(Setup!$C$13+Setup!$G$29),Setup!$C$39:$C$50))&gt;=Setup!$C$15,MONTH(WORKDAY(K358,-(Setup!$C$13+Setup!$G$29),Setup!$C$39:$C$50))&lt;=Setup!$C$16),OR(MONTH(WORKDAY(K358,-(Setup!$C$13+Setup!$G$29),Setup!$C$39:$C$50))&gt;=Setup!$C$15,MONTH(WORKDAY(K358,-(Setup!$C$13+Setup!$G$29),Setup!$C$39:$C$50))&lt;=Setup!$C$16))),WORKDAY(K358,-(Setup!$C$13+Setup!$G$29+Setup!$C$14),Setup!$C$39:$C$50),WORKDAY(K358,-(Setup!$C$13+Setup!$G$29),Setup!$C$39:$C$50))+(353*100+10)/10000000)))</f>
        <v/>
      </c>
      <c r="AB358" t="str">
        <f>IF(L358="","",IF(L358&lt;Setup!$C$5-Setup!$C$6,"",IF(IF(ISNUMBER(Roster!$D358),Setup!$C$30&lt;=Roster!$D358,FALSE),"",IF(OR(IF(Setup!$C$15&lt;=Setup!$C$16,AND(MONTH(L358)&gt;=Setup!$C$15,MONTH(L358)&lt;=Setup!$C$16),OR(MONTH(L358)&gt;=Setup!$C$15,MONTH(L358)&lt;=Setup!$C$16)),IF(Setup!$C$15&lt;=Setup!$C$16,AND(MONTH(WORKDAY(L358,-(Setup!$C$13+Setup!$G$30),Setup!$C$39:$C$50))&gt;=Setup!$C$15,MONTH(WORKDAY(L358,-(Setup!$C$13+Setup!$G$30),Setup!$C$39:$C$50))&lt;=Setup!$C$16),OR(MONTH(WORKDAY(L358,-(Setup!$C$13+Setup!$G$30),Setup!$C$39:$C$50))&gt;=Setup!$C$15,MONTH(WORKDAY(L358,-(Setup!$C$13+Setup!$G$30),Setup!$C$39:$C$50))&lt;=Setup!$C$16))),WORKDAY(L358,-(Setup!$C$13+Setup!$G$30+Setup!$C$14),Setup!$C$39:$C$50),WORKDAY(L358,-(Setup!$C$13+Setup!$G$30),Setup!$C$39:$C$50))+(353*100+11)/10000000)))</f>
        <v/>
      </c>
      <c r="AC358" t="str">
        <f>IF(M358="","",IF(M358&lt;Setup!$C$5-Setup!$C$6,"",IF(IF(ISNUMBER(Roster!$D358),Setup!$C$31&lt;=Roster!$D358,FALSE),"",IF(OR(IF(Setup!$C$15&lt;=Setup!$C$16,AND(MONTH(M358)&gt;=Setup!$C$15,MONTH(M358)&lt;=Setup!$C$16),OR(MONTH(M358)&gt;=Setup!$C$15,MONTH(M358)&lt;=Setup!$C$16)),IF(Setup!$C$15&lt;=Setup!$C$16,AND(MONTH(WORKDAY(M358,-(Setup!$C$13+Setup!$G$31),Setup!$C$39:$C$50))&gt;=Setup!$C$15,MONTH(WORKDAY(M358,-(Setup!$C$13+Setup!$G$31),Setup!$C$39:$C$50))&lt;=Setup!$C$16),OR(MONTH(WORKDAY(M358,-(Setup!$C$13+Setup!$G$31),Setup!$C$39:$C$50))&gt;=Setup!$C$15,MONTH(WORKDAY(M358,-(Setup!$C$13+Setup!$G$31),Setup!$C$39:$C$50))&lt;=Setup!$C$16))),WORKDAY(M358,-(Setup!$C$13+Setup!$G$31+Setup!$C$14),Setup!$C$39:$C$50),WORKDAY(M358,-(Setup!$C$13+Setup!$G$31),Setup!$C$39:$C$50))+(353*100+12)/10000000)))</f>
        <v/>
      </c>
      <c r="AD358" t="str">
        <f>IF(N358="","",IF(N358&lt;Setup!$C$5-Setup!$C$6,"",IF(IF(ISNUMBER(Roster!$D358),Setup!$C$32&lt;=Roster!$D358,FALSE),"",IF(OR(IF(Setup!$C$15&lt;=Setup!$C$16,AND(MONTH(N358)&gt;=Setup!$C$15,MONTH(N358)&lt;=Setup!$C$16),OR(MONTH(N358)&gt;=Setup!$C$15,MONTH(N358)&lt;=Setup!$C$16)),IF(Setup!$C$15&lt;=Setup!$C$16,AND(MONTH(WORKDAY(N358,-(Setup!$C$13+Setup!$G$32),Setup!$C$39:$C$50))&gt;=Setup!$C$15,MONTH(WORKDAY(N358,-(Setup!$C$13+Setup!$G$32),Setup!$C$39:$C$50))&lt;=Setup!$C$16),OR(MONTH(WORKDAY(N358,-(Setup!$C$13+Setup!$G$32),Setup!$C$39:$C$50))&gt;=Setup!$C$15,MONTH(WORKDAY(N358,-(Setup!$C$13+Setup!$G$32),Setup!$C$39:$C$50))&lt;=Setup!$C$16))),WORKDAY(N358,-(Setup!$C$13+Setup!$G$32+Setup!$C$14),Setup!$C$39:$C$50),WORKDAY(N358,-(Setup!$C$13+Setup!$G$32),Setup!$C$39:$C$50))+(353*100+13)/10000000)))</f>
        <v/>
      </c>
      <c r="AE358" t="str">
        <f>IF(O358="","",IF(O358&lt;Setup!$C$5-Setup!$C$6,"",IF(IF(ISNUMBER(Roster!$D358),Setup!$C$33&lt;=Roster!$D358,FALSE),"",IF(OR(IF(Setup!$C$15&lt;=Setup!$C$16,AND(MONTH(O358)&gt;=Setup!$C$15,MONTH(O358)&lt;=Setup!$C$16),OR(MONTH(O358)&gt;=Setup!$C$15,MONTH(O358)&lt;=Setup!$C$16)),IF(Setup!$C$15&lt;=Setup!$C$16,AND(MONTH(WORKDAY(O358,-(Setup!$C$13+Setup!$G$33),Setup!$C$39:$C$50))&gt;=Setup!$C$15,MONTH(WORKDAY(O358,-(Setup!$C$13+Setup!$G$33),Setup!$C$39:$C$50))&lt;=Setup!$C$16),OR(MONTH(WORKDAY(O358,-(Setup!$C$13+Setup!$G$33),Setup!$C$39:$C$50))&gt;=Setup!$C$15,MONTH(WORKDAY(O358,-(Setup!$C$13+Setup!$G$33),Setup!$C$39:$C$50))&lt;=Setup!$C$16))),WORKDAY(O358,-(Setup!$C$13+Setup!$G$33+Setup!$C$14),Setup!$C$39:$C$50),WORKDAY(O358,-(Setup!$C$13+Setup!$G$33),Setup!$C$39:$C$50))+(353*100+14)/10000000)))</f>
        <v/>
      </c>
      <c r="AF358" t="str">
        <f>IF(P358="","",IF(P358&lt;Setup!$C$5-Setup!$C$6,"",IF(IF(ISNUMBER(Roster!$D358),Setup!$C$34&lt;=Roster!$D358,FALSE),"",IF(OR(IF(Setup!$C$15&lt;=Setup!$C$16,AND(MONTH(P358)&gt;=Setup!$C$15,MONTH(P358)&lt;=Setup!$C$16),OR(MONTH(P358)&gt;=Setup!$C$15,MONTH(P358)&lt;=Setup!$C$16)),IF(Setup!$C$15&lt;=Setup!$C$16,AND(MONTH(WORKDAY(P358,-(Setup!$C$13+Setup!$G$34),Setup!$C$39:$C$50))&gt;=Setup!$C$15,MONTH(WORKDAY(P358,-(Setup!$C$13+Setup!$G$34),Setup!$C$39:$C$50))&lt;=Setup!$C$16),OR(MONTH(WORKDAY(P358,-(Setup!$C$13+Setup!$G$34),Setup!$C$39:$C$50))&gt;=Setup!$C$15,MONTH(WORKDAY(P358,-(Setup!$C$13+Setup!$G$34),Setup!$C$39:$C$50))&lt;=Setup!$C$16))),WORKDAY(P358,-(Setup!$C$13+Setup!$G$34+Setup!$C$14),Setup!$C$39:$C$50),WORKDAY(P358,-(Setup!$C$13+Setup!$G$34),Setup!$C$39:$C$50))+(353*100+15)/10000000)))</f>
        <v/>
      </c>
      <c r="AH358" t="str">
        <f t="shared" si="41"/>
        <v/>
      </c>
      <c r="AI358" t="str">
        <f t="shared" si="42"/>
        <v/>
      </c>
      <c r="AP358" t="str">
        <f>IF(ISNUMBER(Roster!$B358),MAX(1,YEAR(Setup!$C$5)-YEAR(Roster!$B358)+IF(EDATE(Roster!$B358,12*(YEAR(Setup!$C$5)-YEAR(Roster!$B358)))&lt;Setup!$C$5,1,0)),"")</f>
        <v/>
      </c>
      <c r="AQ358" s="32" t="str">
        <f>IF(AP358="","",EDATE(Roster!$B358,12*AP358))</f>
        <v/>
      </c>
      <c r="AR358" t="str">
        <f>IF(AQ358="","",IF(AQ358&lt;DATE(YEAR(Setup!$C$5)+1,MONTH(Setup!$C$5),DAY(Setup!$C$5)),AQ358+353/1000,""))</f>
        <v/>
      </c>
      <c r="AS358" t="str">
        <f t="shared" si="43"/>
        <v/>
      </c>
      <c r="AT358" t="str">
        <f>IF(AS358="","",IF(ISNUMBER(Roster!$D358),Roster!$D358&gt;=AP358,FALSE))</f>
        <v/>
      </c>
      <c r="AU358" t="str">
        <f t="shared" si="44"/>
        <v/>
      </c>
      <c r="AV358" t="str">
        <f ca="1">IF(353&gt;$AV$2,"",SMALL($AR$6:$AR$505,353))</f>
        <v/>
      </c>
      <c r="AW358" t="str">
        <f t="shared" ca="1" si="45"/>
        <v/>
      </c>
    </row>
    <row r="359" spans="2:49" x14ac:dyDescent="0.2">
      <c r="B359" s="32" t="str">
        <f>IF(AND(ISNUMBER(Roster!$B359),Setup!$B$20="Yes",ISNUMBER(Setup!$C$20)),EDATE(Roster!$B359,12*Setup!$C$20),"")</f>
        <v/>
      </c>
      <c r="C359" s="32" t="str">
        <f>IF(AND(ISNUMBER(Roster!$B359),Setup!$B$21="Yes",ISNUMBER(Setup!$C$21)),EDATE(Roster!$B359,12*Setup!$C$21),"")</f>
        <v/>
      </c>
      <c r="D359" s="32" t="str">
        <f>IF(AND(ISNUMBER(Roster!$B359),Setup!$B$22="Yes",ISNUMBER(Setup!$C$22)),EDATE(Roster!$B359,12*Setup!$C$22),"")</f>
        <v/>
      </c>
      <c r="E359" s="32" t="str">
        <f>IF(AND(ISNUMBER(Roster!$B359),Setup!$B$23="Yes",ISNUMBER(Setup!$C$23)),EDATE(Roster!$B359,12*Setup!$C$23),"")</f>
        <v/>
      </c>
      <c r="F359" s="32" t="str">
        <f>IF(AND(ISNUMBER(Roster!$B359),Setup!$B$24="Yes",ISNUMBER(Setup!$C$24)),EDATE(Roster!$B359,12*Setup!$C$24),"")</f>
        <v/>
      </c>
      <c r="G359" s="32" t="str">
        <f>IF(AND(ISNUMBER(Roster!$B359),Setup!$B$25="Yes",ISNUMBER(Setup!$C$25)),EDATE(Roster!$B359,12*Setup!$C$25),"")</f>
        <v/>
      </c>
      <c r="H359" s="32" t="str">
        <f>IF(AND(ISNUMBER(Roster!$B359),Setup!$B$26="Yes",ISNUMBER(Setup!$C$26)),EDATE(Roster!$B359,12*Setup!$C$26),"")</f>
        <v/>
      </c>
      <c r="I359" s="32" t="str">
        <f>IF(AND(ISNUMBER(Roster!$B359),Setup!$B$27="Yes",ISNUMBER(Setup!$C$27)),EDATE(Roster!$B359,12*Setup!$C$27),"")</f>
        <v/>
      </c>
      <c r="J359" s="32" t="str">
        <f>IF(AND(ISNUMBER(Roster!$B359),Setup!$B$28="Yes",ISNUMBER(Setup!$C$28)),EDATE(Roster!$B359,12*Setup!$C$28),"")</f>
        <v/>
      </c>
      <c r="K359" s="32" t="str">
        <f>IF(AND(ISNUMBER(Roster!$B359),Setup!$B$29="Yes",ISNUMBER(Setup!$C$29)),EDATE(Roster!$B359,12*Setup!$C$29),"")</f>
        <v/>
      </c>
      <c r="L359" s="32" t="str">
        <f>IF(AND(ISNUMBER(Roster!$B359),Setup!$B$30="Yes",ISNUMBER(Setup!$C$30)),EDATE(Roster!$B359,12*Setup!$C$30),"")</f>
        <v/>
      </c>
      <c r="M359" s="32" t="str">
        <f>IF(AND(ISNUMBER(Roster!$B359),Setup!$B$31="Yes",ISNUMBER(Setup!$C$31)),EDATE(Roster!$B359,12*Setup!$C$31),"")</f>
        <v/>
      </c>
      <c r="N359" s="32" t="str">
        <f>IF(AND(ISNUMBER(Roster!$B359),Setup!$B$32="Yes",ISNUMBER(Setup!$C$32)),EDATE(Roster!$B359,12*Setup!$C$32),"")</f>
        <v/>
      </c>
      <c r="O359" s="32" t="str">
        <f>IF(AND(ISNUMBER(Roster!$B359),Setup!$B$33="Yes",ISNUMBER(Setup!$C$33)),EDATE(Roster!$B359,12*Setup!$C$33),"")</f>
        <v/>
      </c>
      <c r="P359" s="32" t="str">
        <f>IF(AND(ISNUMBER(Roster!$B359),Setup!$B$34="Yes",ISNUMBER(Setup!$C$34)),EDATE(Roster!$B359,12*Setup!$C$34),"")</f>
        <v/>
      </c>
      <c r="R359" t="str">
        <f>IF(B359="","",IF(B359&lt;Setup!$C$5-Setup!$C$6,"",IF(IF(ISNUMBER(Roster!$D359),Setup!$C$20&lt;=Roster!$D359,FALSE),"",IF(OR(IF(Setup!$C$15&lt;=Setup!$C$16,AND(MONTH(B359)&gt;=Setup!$C$15,MONTH(B359)&lt;=Setup!$C$16),OR(MONTH(B359)&gt;=Setup!$C$15,MONTH(B359)&lt;=Setup!$C$16)),IF(Setup!$C$15&lt;=Setup!$C$16,AND(MONTH(WORKDAY(B359,-(Setup!$C$13+Setup!$G$20),Setup!$C$39:$C$50))&gt;=Setup!$C$15,MONTH(WORKDAY(B359,-(Setup!$C$13+Setup!$G$20),Setup!$C$39:$C$50))&lt;=Setup!$C$16),OR(MONTH(WORKDAY(B359,-(Setup!$C$13+Setup!$G$20),Setup!$C$39:$C$50))&gt;=Setup!$C$15,MONTH(WORKDAY(B359,-(Setup!$C$13+Setup!$G$20),Setup!$C$39:$C$50))&lt;=Setup!$C$16))),WORKDAY(B359,-(Setup!$C$13+Setup!$G$20+Setup!$C$14),Setup!$C$39:$C$50),WORKDAY(B359,-(Setup!$C$13+Setup!$G$20),Setup!$C$39:$C$50))+(354*100+1)/10000000)))</f>
        <v/>
      </c>
      <c r="S359" t="str">
        <f>IF(C359="","",IF(C359&lt;Setup!$C$5-Setup!$C$6,"",IF(IF(ISNUMBER(Roster!$D359),Setup!$C$21&lt;=Roster!$D359,FALSE),"",IF(OR(IF(Setup!$C$15&lt;=Setup!$C$16,AND(MONTH(C359)&gt;=Setup!$C$15,MONTH(C359)&lt;=Setup!$C$16),OR(MONTH(C359)&gt;=Setup!$C$15,MONTH(C359)&lt;=Setup!$C$16)),IF(Setup!$C$15&lt;=Setup!$C$16,AND(MONTH(WORKDAY(C359,-(Setup!$C$13+Setup!$G$21),Setup!$C$39:$C$50))&gt;=Setup!$C$15,MONTH(WORKDAY(C359,-(Setup!$C$13+Setup!$G$21),Setup!$C$39:$C$50))&lt;=Setup!$C$16),OR(MONTH(WORKDAY(C359,-(Setup!$C$13+Setup!$G$21),Setup!$C$39:$C$50))&gt;=Setup!$C$15,MONTH(WORKDAY(C359,-(Setup!$C$13+Setup!$G$21),Setup!$C$39:$C$50))&lt;=Setup!$C$16))),WORKDAY(C359,-(Setup!$C$13+Setup!$G$21+Setup!$C$14),Setup!$C$39:$C$50),WORKDAY(C359,-(Setup!$C$13+Setup!$G$21),Setup!$C$39:$C$50))+(354*100+2)/10000000)))</f>
        <v/>
      </c>
      <c r="T359" t="str">
        <f>IF(D359="","",IF(D359&lt;Setup!$C$5-Setup!$C$6,"",IF(IF(ISNUMBER(Roster!$D359),Setup!$C$22&lt;=Roster!$D359,FALSE),"",IF(OR(IF(Setup!$C$15&lt;=Setup!$C$16,AND(MONTH(D359)&gt;=Setup!$C$15,MONTH(D359)&lt;=Setup!$C$16),OR(MONTH(D359)&gt;=Setup!$C$15,MONTH(D359)&lt;=Setup!$C$16)),IF(Setup!$C$15&lt;=Setup!$C$16,AND(MONTH(WORKDAY(D359,-(Setup!$C$13+Setup!$G$22),Setup!$C$39:$C$50))&gt;=Setup!$C$15,MONTH(WORKDAY(D359,-(Setup!$C$13+Setup!$G$22),Setup!$C$39:$C$50))&lt;=Setup!$C$16),OR(MONTH(WORKDAY(D359,-(Setup!$C$13+Setup!$G$22),Setup!$C$39:$C$50))&gt;=Setup!$C$15,MONTH(WORKDAY(D359,-(Setup!$C$13+Setup!$G$22),Setup!$C$39:$C$50))&lt;=Setup!$C$16))),WORKDAY(D359,-(Setup!$C$13+Setup!$G$22+Setup!$C$14),Setup!$C$39:$C$50),WORKDAY(D359,-(Setup!$C$13+Setup!$G$22),Setup!$C$39:$C$50))+(354*100+3)/10000000)))</f>
        <v/>
      </c>
      <c r="U359" t="str">
        <f>IF(E359="","",IF(E359&lt;Setup!$C$5-Setup!$C$6,"",IF(IF(ISNUMBER(Roster!$D359),Setup!$C$23&lt;=Roster!$D359,FALSE),"",IF(OR(IF(Setup!$C$15&lt;=Setup!$C$16,AND(MONTH(E359)&gt;=Setup!$C$15,MONTH(E359)&lt;=Setup!$C$16),OR(MONTH(E359)&gt;=Setup!$C$15,MONTH(E359)&lt;=Setup!$C$16)),IF(Setup!$C$15&lt;=Setup!$C$16,AND(MONTH(WORKDAY(E359,-(Setup!$C$13+Setup!$G$23),Setup!$C$39:$C$50))&gt;=Setup!$C$15,MONTH(WORKDAY(E359,-(Setup!$C$13+Setup!$G$23),Setup!$C$39:$C$50))&lt;=Setup!$C$16),OR(MONTH(WORKDAY(E359,-(Setup!$C$13+Setup!$G$23),Setup!$C$39:$C$50))&gt;=Setup!$C$15,MONTH(WORKDAY(E359,-(Setup!$C$13+Setup!$G$23),Setup!$C$39:$C$50))&lt;=Setup!$C$16))),WORKDAY(E359,-(Setup!$C$13+Setup!$G$23+Setup!$C$14),Setup!$C$39:$C$50),WORKDAY(E359,-(Setup!$C$13+Setup!$G$23),Setup!$C$39:$C$50))+(354*100+4)/10000000)))</f>
        <v/>
      </c>
      <c r="V359" t="str">
        <f>IF(F359="","",IF(F359&lt;Setup!$C$5-Setup!$C$6,"",IF(IF(ISNUMBER(Roster!$D359),Setup!$C$24&lt;=Roster!$D359,FALSE),"",IF(OR(IF(Setup!$C$15&lt;=Setup!$C$16,AND(MONTH(F359)&gt;=Setup!$C$15,MONTH(F359)&lt;=Setup!$C$16),OR(MONTH(F359)&gt;=Setup!$C$15,MONTH(F359)&lt;=Setup!$C$16)),IF(Setup!$C$15&lt;=Setup!$C$16,AND(MONTH(WORKDAY(F359,-(Setup!$C$13+Setup!$G$24),Setup!$C$39:$C$50))&gt;=Setup!$C$15,MONTH(WORKDAY(F359,-(Setup!$C$13+Setup!$G$24),Setup!$C$39:$C$50))&lt;=Setup!$C$16),OR(MONTH(WORKDAY(F359,-(Setup!$C$13+Setup!$G$24),Setup!$C$39:$C$50))&gt;=Setup!$C$15,MONTH(WORKDAY(F359,-(Setup!$C$13+Setup!$G$24),Setup!$C$39:$C$50))&lt;=Setup!$C$16))),WORKDAY(F359,-(Setup!$C$13+Setup!$G$24+Setup!$C$14),Setup!$C$39:$C$50),WORKDAY(F359,-(Setup!$C$13+Setup!$G$24),Setup!$C$39:$C$50))+(354*100+5)/10000000)))</f>
        <v/>
      </c>
      <c r="W359" t="str">
        <f>IF(G359="","",IF(G359&lt;Setup!$C$5-Setup!$C$6,"",IF(IF(ISNUMBER(Roster!$D359),Setup!$C$25&lt;=Roster!$D359,FALSE),"",IF(OR(IF(Setup!$C$15&lt;=Setup!$C$16,AND(MONTH(G359)&gt;=Setup!$C$15,MONTH(G359)&lt;=Setup!$C$16),OR(MONTH(G359)&gt;=Setup!$C$15,MONTH(G359)&lt;=Setup!$C$16)),IF(Setup!$C$15&lt;=Setup!$C$16,AND(MONTH(WORKDAY(G359,-(Setup!$C$13+Setup!$G$25),Setup!$C$39:$C$50))&gt;=Setup!$C$15,MONTH(WORKDAY(G359,-(Setup!$C$13+Setup!$G$25),Setup!$C$39:$C$50))&lt;=Setup!$C$16),OR(MONTH(WORKDAY(G359,-(Setup!$C$13+Setup!$G$25),Setup!$C$39:$C$50))&gt;=Setup!$C$15,MONTH(WORKDAY(G359,-(Setup!$C$13+Setup!$G$25),Setup!$C$39:$C$50))&lt;=Setup!$C$16))),WORKDAY(G359,-(Setup!$C$13+Setup!$G$25+Setup!$C$14),Setup!$C$39:$C$50),WORKDAY(G359,-(Setup!$C$13+Setup!$G$25),Setup!$C$39:$C$50))+(354*100+6)/10000000)))</f>
        <v/>
      </c>
      <c r="X359" t="str">
        <f>IF(H359="","",IF(H359&lt;Setup!$C$5-Setup!$C$6,"",IF(IF(ISNUMBER(Roster!$D359),Setup!$C$26&lt;=Roster!$D359,FALSE),"",IF(OR(IF(Setup!$C$15&lt;=Setup!$C$16,AND(MONTH(H359)&gt;=Setup!$C$15,MONTH(H359)&lt;=Setup!$C$16),OR(MONTH(H359)&gt;=Setup!$C$15,MONTH(H359)&lt;=Setup!$C$16)),IF(Setup!$C$15&lt;=Setup!$C$16,AND(MONTH(WORKDAY(H359,-(Setup!$C$13+Setup!$G$26),Setup!$C$39:$C$50))&gt;=Setup!$C$15,MONTH(WORKDAY(H359,-(Setup!$C$13+Setup!$G$26),Setup!$C$39:$C$50))&lt;=Setup!$C$16),OR(MONTH(WORKDAY(H359,-(Setup!$C$13+Setup!$G$26),Setup!$C$39:$C$50))&gt;=Setup!$C$15,MONTH(WORKDAY(H359,-(Setup!$C$13+Setup!$G$26),Setup!$C$39:$C$50))&lt;=Setup!$C$16))),WORKDAY(H359,-(Setup!$C$13+Setup!$G$26+Setup!$C$14),Setup!$C$39:$C$50),WORKDAY(H359,-(Setup!$C$13+Setup!$G$26),Setup!$C$39:$C$50))+(354*100+7)/10000000)))</f>
        <v/>
      </c>
      <c r="Y359" t="str">
        <f>IF(I359="","",IF(I359&lt;Setup!$C$5-Setup!$C$6,"",IF(IF(ISNUMBER(Roster!$D359),Setup!$C$27&lt;=Roster!$D359,FALSE),"",IF(OR(IF(Setup!$C$15&lt;=Setup!$C$16,AND(MONTH(I359)&gt;=Setup!$C$15,MONTH(I359)&lt;=Setup!$C$16),OR(MONTH(I359)&gt;=Setup!$C$15,MONTH(I359)&lt;=Setup!$C$16)),IF(Setup!$C$15&lt;=Setup!$C$16,AND(MONTH(WORKDAY(I359,-(Setup!$C$13+Setup!$G$27),Setup!$C$39:$C$50))&gt;=Setup!$C$15,MONTH(WORKDAY(I359,-(Setup!$C$13+Setup!$G$27),Setup!$C$39:$C$50))&lt;=Setup!$C$16),OR(MONTH(WORKDAY(I359,-(Setup!$C$13+Setup!$G$27),Setup!$C$39:$C$50))&gt;=Setup!$C$15,MONTH(WORKDAY(I359,-(Setup!$C$13+Setup!$G$27),Setup!$C$39:$C$50))&lt;=Setup!$C$16))),WORKDAY(I359,-(Setup!$C$13+Setup!$G$27+Setup!$C$14),Setup!$C$39:$C$50),WORKDAY(I359,-(Setup!$C$13+Setup!$G$27),Setup!$C$39:$C$50))+(354*100+8)/10000000)))</f>
        <v/>
      </c>
      <c r="Z359" t="str">
        <f>IF(J359="","",IF(J359&lt;Setup!$C$5-Setup!$C$6,"",IF(IF(ISNUMBER(Roster!$D359),Setup!$C$28&lt;=Roster!$D359,FALSE),"",IF(OR(IF(Setup!$C$15&lt;=Setup!$C$16,AND(MONTH(J359)&gt;=Setup!$C$15,MONTH(J359)&lt;=Setup!$C$16),OR(MONTH(J359)&gt;=Setup!$C$15,MONTH(J359)&lt;=Setup!$C$16)),IF(Setup!$C$15&lt;=Setup!$C$16,AND(MONTH(WORKDAY(J359,-(Setup!$C$13+Setup!$G$28),Setup!$C$39:$C$50))&gt;=Setup!$C$15,MONTH(WORKDAY(J359,-(Setup!$C$13+Setup!$G$28),Setup!$C$39:$C$50))&lt;=Setup!$C$16),OR(MONTH(WORKDAY(J359,-(Setup!$C$13+Setup!$G$28),Setup!$C$39:$C$50))&gt;=Setup!$C$15,MONTH(WORKDAY(J359,-(Setup!$C$13+Setup!$G$28),Setup!$C$39:$C$50))&lt;=Setup!$C$16))),WORKDAY(J359,-(Setup!$C$13+Setup!$G$28+Setup!$C$14),Setup!$C$39:$C$50),WORKDAY(J359,-(Setup!$C$13+Setup!$G$28),Setup!$C$39:$C$50))+(354*100+9)/10000000)))</f>
        <v/>
      </c>
      <c r="AA359" t="str">
        <f>IF(K359="","",IF(K359&lt;Setup!$C$5-Setup!$C$6,"",IF(IF(ISNUMBER(Roster!$D359),Setup!$C$29&lt;=Roster!$D359,FALSE),"",IF(OR(IF(Setup!$C$15&lt;=Setup!$C$16,AND(MONTH(K359)&gt;=Setup!$C$15,MONTH(K359)&lt;=Setup!$C$16),OR(MONTH(K359)&gt;=Setup!$C$15,MONTH(K359)&lt;=Setup!$C$16)),IF(Setup!$C$15&lt;=Setup!$C$16,AND(MONTH(WORKDAY(K359,-(Setup!$C$13+Setup!$G$29),Setup!$C$39:$C$50))&gt;=Setup!$C$15,MONTH(WORKDAY(K359,-(Setup!$C$13+Setup!$G$29),Setup!$C$39:$C$50))&lt;=Setup!$C$16),OR(MONTH(WORKDAY(K359,-(Setup!$C$13+Setup!$G$29),Setup!$C$39:$C$50))&gt;=Setup!$C$15,MONTH(WORKDAY(K359,-(Setup!$C$13+Setup!$G$29),Setup!$C$39:$C$50))&lt;=Setup!$C$16))),WORKDAY(K359,-(Setup!$C$13+Setup!$G$29+Setup!$C$14),Setup!$C$39:$C$50),WORKDAY(K359,-(Setup!$C$13+Setup!$G$29),Setup!$C$39:$C$50))+(354*100+10)/10000000)))</f>
        <v/>
      </c>
      <c r="AB359" t="str">
        <f>IF(L359="","",IF(L359&lt;Setup!$C$5-Setup!$C$6,"",IF(IF(ISNUMBER(Roster!$D359),Setup!$C$30&lt;=Roster!$D359,FALSE),"",IF(OR(IF(Setup!$C$15&lt;=Setup!$C$16,AND(MONTH(L359)&gt;=Setup!$C$15,MONTH(L359)&lt;=Setup!$C$16),OR(MONTH(L359)&gt;=Setup!$C$15,MONTH(L359)&lt;=Setup!$C$16)),IF(Setup!$C$15&lt;=Setup!$C$16,AND(MONTH(WORKDAY(L359,-(Setup!$C$13+Setup!$G$30),Setup!$C$39:$C$50))&gt;=Setup!$C$15,MONTH(WORKDAY(L359,-(Setup!$C$13+Setup!$G$30),Setup!$C$39:$C$50))&lt;=Setup!$C$16),OR(MONTH(WORKDAY(L359,-(Setup!$C$13+Setup!$G$30),Setup!$C$39:$C$50))&gt;=Setup!$C$15,MONTH(WORKDAY(L359,-(Setup!$C$13+Setup!$G$30),Setup!$C$39:$C$50))&lt;=Setup!$C$16))),WORKDAY(L359,-(Setup!$C$13+Setup!$G$30+Setup!$C$14),Setup!$C$39:$C$50),WORKDAY(L359,-(Setup!$C$13+Setup!$G$30),Setup!$C$39:$C$50))+(354*100+11)/10000000)))</f>
        <v/>
      </c>
      <c r="AC359" t="str">
        <f>IF(M359="","",IF(M359&lt;Setup!$C$5-Setup!$C$6,"",IF(IF(ISNUMBER(Roster!$D359),Setup!$C$31&lt;=Roster!$D359,FALSE),"",IF(OR(IF(Setup!$C$15&lt;=Setup!$C$16,AND(MONTH(M359)&gt;=Setup!$C$15,MONTH(M359)&lt;=Setup!$C$16),OR(MONTH(M359)&gt;=Setup!$C$15,MONTH(M359)&lt;=Setup!$C$16)),IF(Setup!$C$15&lt;=Setup!$C$16,AND(MONTH(WORKDAY(M359,-(Setup!$C$13+Setup!$G$31),Setup!$C$39:$C$50))&gt;=Setup!$C$15,MONTH(WORKDAY(M359,-(Setup!$C$13+Setup!$G$31),Setup!$C$39:$C$50))&lt;=Setup!$C$16),OR(MONTH(WORKDAY(M359,-(Setup!$C$13+Setup!$G$31),Setup!$C$39:$C$50))&gt;=Setup!$C$15,MONTH(WORKDAY(M359,-(Setup!$C$13+Setup!$G$31),Setup!$C$39:$C$50))&lt;=Setup!$C$16))),WORKDAY(M359,-(Setup!$C$13+Setup!$G$31+Setup!$C$14),Setup!$C$39:$C$50),WORKDAY(M359,-(Setup!$C$13+Setup!$G$31),Setup!$C$39:$C$50))+(354*100+12)/10000000)))</f>
        <v/>
      </c>
      <c r="AD359" t="str">
        <f>IF(N359="","",IF(N359&lt;Setup!$C$5-Setup!$C$6,"",IF(IF(ISNUMBER(Roster!$D359),Setup!$C$32&lt;=Roster!$D359,FALSE),"",IF(OR(IF(Setup!$C$15&lt;=Setup!$C$16,AND(MONTH(N359)&gt;=Setup!$C$15,MONTH(N359)&lt;=Setup!$C$16),OR(MONTH(N359)&gt;=Setup!$C$15,MONTH(N359)&lt;=Setup!$C$16)),IF(Setup!$C$15&lt;=Setup!$C$16,AND(MONTH(WORKDAY(N359,-(Setup!$C$13+Setup!$G$32),Setup!$C$39:$C$50))&gt;=Setup!$C$15,MONTH(WORKDAY(N359,-(Setup!$C$13+Setup!$G$32),Setup!$C$39:$C$50))&lt;=Setup!$C$16),OR(MONTH(WORKDAY(N359,-(Setup!$C$13+Setup!$G$32),Setup!$C$39:$C$50))&gt;=Setup!$C$15,MONTH(WORKDAY(N359,-(Setup!$C$13+Setup!$G$32),Setup!$C$39:$C$50))&lt;=Setup!$C$16))),WORKDAY(N359,-(Setup!$C$13+Setup!$G$32+Setup!$C$14),Setup!$C$39:$C$50),WORKDAY(N359,-(Setup!$C$13+Setup!$G$32),Setup!$C$39:$C$50))+(354*100+13)/10000000)))</f>
        <v/>
      </c>
      <c r="AE359" t="str">
        <f>IF(O359="","",IF(O359&lt;Setup!$C$5-Setup!$C$6,"",IF(IF(ISNUMBER(Roster!$D359),Setup!$C$33&lt;=Roster!$D359,FALSE),"",IF(OR(IF(Setup!$C$15&lt;=Setup!$C$16,AND(MONTH(O359)&gt;=Setup!$C$15,MONTH(O359)&lt;=Setup!$C$16),OR(MONTH(O359)&gt;=Setup!$C$15,MONTH(O359)&lt;=Setup!$C$16)),IF(Setup!$C$15&lt;=Setup!$C$16,AND(MONTH(WORKDAY(O359,-(Setup!$C$13+Setup!$G$33),Setup!$C$39:$C$50))&gt;=Setup!$C$15,MONTH(WORKDAY(O359,-(Setup!$C$13+Setup!$G$33),Setup!$C$39:$C$50))&lt;=Setup!$C$16),OR(MONTH(WORKDAY(O359,-(Setup!$C$13+Setup!$G$33),Setup!$C$39:$C$50))&gt;=Setup!$C$15,MONTH(WORKDAY(O359,-(Setup!$C$13+Setup!$G$33),Setup!$C$39:$C$50))&lt;=Setup!$C$16))),WORKDAY(O359,-(Setup!$C$13+Setup!$G$33+Setup!$C$14),Setup!$C$39:$C$50),WORKDAY(O359,-(Setup!$C$13+Setup!$G$33),Setup!$C$39:$C$50))+(354*100+14)/10000000)))</f>
        <v/>
      </c>
      <c r="AF359" t="str">
        <f>IF(P359="","",IF(P359&lt;Setup!$C$5-Setup!$C$6,"",IF(IF(ISNUMBER(Roster!$D359),Setup!$C$34&lt;=Roster!$D359,FALSE),"",IF(OR(IF(Setup!$C$15&lt;=Setup!$C$16,AND(MONTH(P359)&gt;=Setup!$C$15,MONTH(P359)&lt;=Setup!$C$16),OR(MONTH(P359)&gt;=Setup!$C$15,MONTH(P359)&lt;=Setup!$C$16)),IF(Setup!$C$15&lt;=Setup!$C$16,AND(MONTH(WORKDAY(P359,-(Setup!$C$13+Setup!$G$34),Setup!$C$39:$C$50))&gt;=Setup!$C$15,MONTH(WORKDAY(P359,-(Setup!$C$13+Setup!$G$34),Setup!$C$39:$C$50))&lt;=Setup!$C$16),OR(MONTH(WORKDAY(P359,-(Setup!$C$13+Setup!$G$34),Setup!$C$39:$C$50))&gt;=Setup!$C$15,MONTH(WORKDAY(P359,-(Setup!$C$13+Setup!$G$34),Setup!$C$39:$C$50))&lt;=Setup!$C$16))),WORKDAY(P359,-(Setup!$C$13+Setup!$G$34+Setup!$C$14),Setup!$C$39:$C$50),WORKDAY(P359,-(Setup!$C$13+Setup!$G$34),Setup!$C$39:$C$50))+(354*100+15)/10000000)))</f>
        <v/>
      </c>
      <c r="AH359" t="str">
        <f t="shared" si="41"/>
        <v/>
      </c>
      <c r="AI359" t="str">
        <f t="shared" si="42"/>
        <v/>
      </c>
      <c r="AP359" t="str">
        <f>IF(ISNUMBER(Roster!$B359),MAX(1,YEAR(Setup!$C$5)-YEAR(Roster!$B359)+IF(EDATE(Roster!$B359,12*(YEAR(Setup!$C$5)-YEAR(Roster!$B359)))&lt;Setup!$C$5,1,0)),"")</f>
        <v/>
      </c>
      <c r="AQ359" s="32" t="str">
        <f>IF(AP359="","",EDATE(Roster!$B359,12*AP359))</f>
        <v/>
      </c>
      <c r="AR359" t="str">
        <f>IF(AQ359="","",IF(AQ359&lt;DATE(YEAR(Setup!$C$5)+1,MONTH(Setup!$C$5),DAY(Setup!$C$5)),AQ359+354/1000,""))</f>
        <v/>
      </c>
      <c r="AS359" t="str">
        <f t="shared" si="43"/>
        <v/>
      </c>
      <c r="AT359" t="str">
        <f>IF(AS359="","",IF(ISNUMBER(Roster!$D359),Roster!$D359&gt;=AP359,FALSE))</f>
        <v/>
      </c>
      <c r="AU359" t="str">
        <f t="shared" si="44"/>
        <v/>
      </c>
      <c r="AV359" t="str">
        <f ca="1">IF(354&gt;$AV$2,"",SMALL($AR$6:$AR$505,354))</f>
        <v/>
      </c>
      <c r="AW359" t="str">
        <f t="shared" ca="1" si="45"/>
        <v/>
      </c>
    </row>
    <row r="360" spans="2:49" x14ac:dyDescent="0.2">
      <c r="B360" s="32" t="str">
        <f>IF(AND(ISNUMBER(Roster!$B360),Setup!$B$20="Yes",ISNUMBER(Setup!$C$20)),EDATE(Roster!$B360,12*Setup!$C$20),"")</f>
        <v/>
      </c>
      <c r="C360" s="32" t="str">
        <f>IF(AND(ISNUMBER(Roster!$B360),Setup!$B$21="Yes",ISNUMBER(Setup!$C$21)),EDATE(Roster!$B360,12*Setup!$C$21),"")</f>
        <v/>
      </c>
      <c r="D360" s="32" t="str">
        <f>IF(AND(ISNUMBER(Roster!$B360),Setup!$B$22="Yes",ISNUMBER(Setup!$C$22)),EDATE(Roster!$B360,12*Setup!$C$22),"")</f>
        <v/>
      </c>
      <c r="E360" s="32" t="str">
        <f>IF(AND(ISNUMBER(Roster!$B360),Setup!$B$23="Yes",ISNUMBER(Setup!$C$23)),EDATE(Roster!$B360,12*Setup!$C$23),"")</f>
        <v/>
      </c>
      <c r="F360" s="32" t="str">
        <f>IF(AND(ISNUMBER(Roster!$B360),Setup!$B$24="Yes",ISNUMBER(Setup!$C$24)),EDATE(Roster!$B360,12*Setup!$C$24),"")</f>
        <v/>
      </c>
      <c r="G360" s="32" t="str">
        <f>IF(AND(ISNUMBER(Roster!$B360),Setup!$B$25="Yes",ISNUMBER(Setup!$C$25)),EDATE(Roster!$B360,12*Setup!$C$25),"")</f>
        <v/>
      </c>
      <c r="H360" s="32" t="str">
        <f>IF(AND(ISNUMBER(Roster!$B360),Setup!$B$26="Yes",ISNUMBER(Setup!$C$26)),EDATE(Roster!$B360,12*Setup!$C$26),"")</f>
        <v/>
      </c>
      <c r="I360" s="32" t="str">
        <f>IF(AND(ISNUMBER(Roster!$B360),Setup!$B$27="Yes",ISNUMBER(Setup!$C$27)),EDATE(Roster!$B360,12*Setup!$C$27),"")</f>
        <v/>
      </c>
      <c r="J360" s="32" t="str">
        <f>IF(AND(ISNUMBER(Roster!$B360),Setup!$B$28="Yes",ISNUMBER(Setup!$C$28)),EDATE(Roster!$B360,12*Setup!$C$28),"")</f>
        <v/>
      </c>
      <c r="K360" s="32" t="str">
        <f>IF(AND(ISNUMBER(Roster!$B360),Setup!$B$29="Yes",ISNUMBER(Setup!$C$29)),EDATE(Roster!$B360,12*Setup!$C$29),"")</f>
        <v/>
      </c>
      <c r="L360" s="32" t="str">
        <f>IF(AND(ISNUMBER(Roster!$B360),Setup!$B$30="Yes",ISNUMBER(Setup!$C$30)),EDATE(Roster!$B360,12*Setup!$C$30),"")</f>
        <v/>
      </c>
      <c r="M360" s="32" t="str">
        <f>IF(AND(ISNUMBER(Roster!$B360),Setup!$B$31="Yes",ISNUMBER(Setup!$C$31)),EDATE(Roster!$B360,12*Setup!$C$31),"")</f>
        <v/>
      </c>
      <c r="N360" s="32" t="str">
        <f>IF(AND(ISNUMBER(Roster!$B360),Setup!$B$32="Yes",ISNUMBER(Setup!$C$32)),EDATE(Roster!$B360,12*Setup!$C$32),"")</f>
        <v/>
      </c>
      <c r="O360" s="32" t="str">
        <f>IF(AND(ISNUMBER(Roster!$B360),Setup!$B$33="Yes",ISNUMBER(Setup!$C$33)),EDATE(Roster!$B360,12*Setup!$C$33),"")</f>
        <v/>
      </c>
      <c r="P360" s="32" t="str">
        <f>IF(AND(ISNUMBER(Roster!$B360),Setup!$B$34="Yes",ISNUMBER(Setup!$C$34)),EDATE(Roster!$B360,12*Setup!$C$34),"")</f>
        <v/>
      </c>
      <c r="R360" t="str">
        <f>IF(B360="","",IF(B360&lt;Setup!$C$5-Setup!$C$6,"",IF(IF(ISNUMBER(Roster!$D360),Setup!$C$20&lt;=Roster!$D360,FALSE),"",IF(OR(IF(Setup!$C$15&lt;=Setup!$C$16,AND(MONTH(B360)&gt;=Setup!$C$15,MONTH(B360)&lt;=Setup!$C$16),OR(MONTH(B360)&gt;=Setup!$C$15,MONTH(B360)&lt;=Setup!$C$16)),IF(Setup!$C$15&lt;=Setup!$C$16,AND(MONTH(WORKDAY(B360,-(Setup!$C$13+Setup!$G$20),Setup!$C$39:$C$50))&gt;=Setup!$C$15,MONTH(WORKDAY(B360,-(Setup!$C$13+Setup!$G$20),Setup!$C$39:$C$50))&lt;=Setup!$C$16),OR(MONTH(WORKDAY(B360,-(Setup!$C$13+Setup!$G$20),Setup!$C$39:$C$50))&gt;=Setup!$C$15,MONTH(WORKDAY(B360,-(Setup!$C$13+Setup!$G$20),Setup!$C$39:$C$50))&lt;=Setup!$C$16))),WORKDAY(B360,-(Setup!$C$13+Setup!$G$20+Setup!$C$14),Setup!$C$39:$C$50),WORKDAY(B360,-(Setup!$C$13+Setup!$G$20),Setup!$C$39:$C$50))+(355*100+1)/10000000)))</f>
        <v/>
      </c>
      <c r="S360" t="str">
        <f>IF(C360="","",IF(C360&lt;Setup!$C$5-Setup!$C$6,"",IF(IF(ISNUMBER(Roster!$D360),Setup!$C$21&lt;=Roster!$D360,FALSE),"",IF(OR(IF(Setup!$C$15&lt;=Setup!$C$16,AND(MONTH(C360)&gt;=Setup!$C$15,MONTH(C360)&lt;=Setup!$C$16),OR(MONTH(C360)&gt;=Setup!$C$15,MONTH(C360)&lt;=Setup!$C$16)),IF(Setup!$C$15&lt;=Setup!$C$16,AND(MONTH(WORKDAY(C360,-(Setup!$C$13+Setup!$G$21),Setup!$C$39:$C$50))&gt;=Setup!$C$15,MONTH(WORKDAY(C360,-(Setup!$C$13+Setup!$G$21),Setup!$C$39:$C$50))&lt;=Setup!$C$16),OR(MONTH(WORKDAY(C360,-(Setup!$C$13+Setup!$G$21),Setup!$C$39:$C$50))&gt;=Setup!$C$15,MONTH(WORKDAY(C360,-(Setup!$C$13+Setup!$G$21),Setup!$C$39:$C$50))&lt;=Setup!$C$16))),WORKDAY(C360,-(Setup!$C$13+Setup!$G$21+Setup!$C$14),Setup!$C$39:$C$50),WORKDAY(C360,-(Setup!$C$13+Setup!$G$21),Setup!$C$39:$C$50))+(355*100+2)/10000000)))</f>
        <v/>
      </c>
      <c r="T360" t="str">
        <f>IF(D360="","",IF(D360&lt;Setup!$C$5-Setup!$C$6,"",IF(IF(ISNUMBER(Roster!$D360),Setup!$C$22&lt;=Roster!$D360,FALSE),"",IF(OR(IF(Setup!$C$15&lt;=Setup!$C$16,AND(MONTH(D360)&gt;=Setup!$C$15,MONTH(D360)&lt;=Setup!$C$16),OR(MONTH(D360)&gt;=Setup!$C$15,MONTH(D360)&lt;=Setup!$C$16)),IF(Setup!$C$15&lt;=Setup!$C$16,AND(MONTH(WORKDAY(D360,-(Setup!$C$13+Setup!$G$22),Setup!$C$39:$C$50))&gt;=Setup!$C$15,MONTH(WORKDAY(D360,-(Setup!$C$13+Setup!$G$22),Setup!$C$39:$C$50))&lt;=Setup!$C$16),OR(MONTH(WORKDAY(D360,-(Setup!$C$13+Setup!$G$22),Setup!$C$39:$C$50))&gt;=Setup!$C$15,MONTH(WORKDAY(D360,-(Setup!$C$13+Setup!$G$22),Setup!$C$39:$C$50))&lt;=Setup!$C$16))),WORKDAY(D360,-(Setup!$C$13+Setup!$G$22+Setup!$C$14),Setup!$C$39:$C$50),WORKDAY(D360,-(Setup!$C$13+Setup!$G$22),Setup!$C$39:$C$50))+(355*100+3)/10000000)))</f>
        <v/>
      </c>
      <c r="U360" t="str">
        <f>IF(E360="","",IF(E360&lt;Setup!$C$5-Setup!$C$6,"",IF(IF(ISNUMBER(Roster!$D360),Setup!$C$23&lt;=Roster!$D360,FALSE),"",IF(OR(IF(Setup!$C$15&lt;=Setup!$C$16,AND(MONTH(E360)&gt;=Setup!$C$15,MONTH(E360)&lt;=Setup!$C$16),OR(MONTH(E360)&gt;=Setup!$C$15,MONTH(E360)&lt;=Setup!$C$16)),IF(Setup!$C$15&lt;=Setup!$C$16,AND(MONTH(WORKDAY(E360,-(Setup!$C$13+Setup!$G$23),Setup!$C$39:$C$50))&gt;=Setup!$C$15,MONTH(WORKDAY(E360,-(Setup!$C$13+Setup!$G$23),Setup!$C$39:$C$50))&lt;=Setup!$C$16),OR(MONTH(WORKDAY(E360,-(Setup!$C$13+Setup!$G$23),Setup!$C$39:$C$50))&gt;=Setup!$C$15,MONTH(WORKDAY(E360,-(Setup!$C$13+Setup!$G$23),Setup!$C$39:$C$50))&lt;=Setup!$C$16))),WORKDAY(E360,-(Setup!$C$13+Setup!$G$23+Setup!$C$14),Setup!$C$39:$C$50),WORKDAY(E360,-(Setup!$C$13+Setup!$G$23),Setup!$C$39:$C$50))+(355*100+4)/10000000)))</f>
        <v/>
      </c>
      <c r="V360" t="str">
        <f>IF(F360="","",IF(F360&lt;Setup!$C$5-Setup!$C$6,"",IF(IF(ISNUMBER(Roster!$D360),Setup!$C$24&lt;=Roster!$D360,FALSE),"",IF(OR(IF(Setup!$C$15&lt;=Setup!$C$16,AND(MONTH(F360)&gt;=Setup!$C$15,MONTH(F360)&lt;=Setup!$C$16),OR(MONTH(F360)&gt;=Setup!$C$15,MONTH(F360)&lt;=Setup!$C$16)),IF(Setup!$C$15&lt;=Setup!$C$16,AND(MONTH(WORKDAY(F360,-(Setup!$C$13+Setup!$G$24),Setup!$C$39:$C$50))&gt;=Setup!$C$15,MONTH(WORKDAY(F360,-(Setup!$C$13+Setup!$G$24),Setup!$C$39:$C$50))&lt;=Setup!$C$16),OR(MONTH(WORKDAY(F360,-(Setup!$C$13+Setup!$G$24),Setup!$C$39:$C$50))&gt;=Setup!$C$15,MONTH(WORKDAY(F360,-(Setup!$C$13+Setup!$G$24),Setup!$C$39:$C$50))&lt;=Setup!$C$16))),WORKDAY(F360,-(Setup!$C$13+Setup!$G$24+Setup!$C$14),Setup!$C$39:$C$50),WORKDAY(F360,-(Setup!$C$13+Setup!$G$24),Setup!$C$39:$C$50))+(355*100+5)/10000000)))</f>
        <v/>
      </c>
      <c r="W360" t="str">
        <f>IF(G360="","",IF(G360&lt;Setup!$C$5-Setup!$C$6,"",IF(IF(ISNUMBER(Roster!$D360),Setup!$C$25&lt;=Roster!$D360,FALSE),"",IF(OR(IF(Setup!$C$15&lt;=Setup!$C$16,AND(MONTH(G360)&gt;=Setup!$C$15,MONTH(G360)&lt;=Setup!$C$16),OR(MONTH(G360)&gt;=Setup!$C$15,MONTH(G360)&lt;=Setup!$C$16)),IF(Setup!$C$15&lt;=Setup!$C$16,AND(MONTH(WORKDAY(G360,-(Setup!$C$13+Setup!$G$25),Setup!$C$39:$C$50))&gt;=Setup!$C$15,MONTH(WORKDAY(G360,-(Setup!$C$13+Setup!$G$25),Setup!$C$39:$C$50))&lt;=Setup!$C$16),OR(MONTH(WORKDAY(G360,-(Setup!$C$13+Setup!$G$25),Setup!$C$39:$C$50))&gt;=Setup!$C$15,MONTH(WORKDAY(G360,-(Setup!$C$13+Setup!$G$25),Setup!$C$39:$C$50))&lt;=Setup!$C$16))),WORKDAY(G360,-(Setup!$C$13+Setup!$G$25+Setup!$C$14),Setup!$C$39:$C$50),WORKDAY(G360,-(Setup!$C$13+Setup!$G$25),Setup!$C$39:$C$50))+(355*100+6)/10000000)))</f>
        <v/>
      </c>
      <c r="X360" t="str">
        <f>IF(H360="","",IF(H360&lt;Setup!$C$5-Setup!$C$6,"",IF(IF(ISNUMBER(Roster!$D360),Setup!$C$26&lt;=Roster!$D360,FALSE),"",IF(OR(IF(Setup!$C$15&lt;=Setup!$C$16,AND(MONTH(H360)&gt;=Setup!$C$15,MONTH(H360)&lt;=Setup!$C$16),OR(MONTH(H360)&gt;=Setup!$C$15,MONTH(H360)&lt;=Setup!$C$16)),IF(Setup!$C$15&lt;=Setup!$C$16,AND(MONTH(WORKDAY(H360,-(Setup!$C$13+Setup!$G$26),Setup!$C$39:$C$50))&gt;=Setup!$C$15,MONTH(WORKDAY(H360,-(Setup!$C$13+Setup!$G$26),Setup!$C$39:$C$50))&lt;=Setup!$C$16),OR(MONTH(WORKDAY(H360,-(Setup!$C$13+Setup!$G$26),Setup!$C$39:$C$50))&gt;=Setup!$C$15,MONTH(WORKDAY(H360,-(Setup!$C$13+Setup!$G$26),Setup!$C$39:$C$50))&lt;=Setup!$C$16))),WORKDAY(H360,-(Setup!$C$13+Setup!$G$26+Setup!$C$14),Setup!$C$39:$C$50),WORKDAY(H360,-(Setup!$C$13+Setup!$G$26),Setup!$C$39:$C$50))+(355*100+7)/10000000)))</f>
        <v/>
      </c>
      <c r="Y360" t="str">
        <f>IF(I360="","",IF(I360&lt;Setup!$C$5-Setup!$C$6,"",IF(IF(ISNUMBER(Roster!$D360),Setup!$C$27&lt;=Roster!$D360,FALSE),"",IF(OR(IF(Setup!$C$15&lt;=Setup!$C$16,AND(MONTH(I360)&gt;=Setup!$C$15,MONTH(I360)&lt;=Setup!$C$16),OR(MONTH(I360)&gt;=Setup!$C$15,MONTH(I360)&lt;=Setup!$C$16)),IF(Setup!$C$15&lt;=Setup!$C$16,AND(MONTH(WORKDAY(I360,-(Setup!$C$13+Setup!$G$27),Setup!$C$39:$C$50))&gt;=Setup!$C$15,MONTH(WORKDAY(I360,-(Setup!$C$13+Setup!$G$27),Setup!$C$39:$C$50))&lt;=Setup!$C$16),OR(MONTH(WORKDAY(I360,-(Setup!$C$13+Setup!$G$27),Setup!$C$39:$C$50))&gt;=Setup!$C$15,MONTH(WORKDAY(I360,-(Setup!$C$13+Setup!$G$27),Setup!$C$39:$C$50))&lt;=Setup!$C$16))),WORKDAY(I360,-(Setup!$C$13+Setup!$G$27+Setup!$C$14),Setup!$C$39:$C$50),WORKDAY(I360,-(Setup!$C$13+Setup!$G$27),Setup!$C$39:$C$50))+(355*100+8)/10000000)))</f>
        <v/>
      </c>
      <c r="Z360" t="str">
        <f>IF(J360="","",IF(J360&lt;Setup!$C$5-Setup!$C$6,"",IF(IF(ISNUMBER(Roster!$D360),Setup!$C$28&lt;=Roster!$D360,FALSE),"",IF(OR(IF(Setup!$C$15&lt;=Setup!$C$16,AND(MONTH(J360)&gt;=Setup!$C$15,MONTH(J360)&lt;=Setup!$C$16),OR(MONTH(J360)&gt;=Setup!$C$15,MONTH(J360)&lt;=Setup!$C$16)),IF(Setup!$C$15&lt;=Setup!$C$16,AND(MONTH(WORKDAY(J360,-(Setup!$C$13+Setup!$G$28),Setup!$C$39:$C$50))&gt;=Setup!$C$15,MONTH(WORKDAY(J360,-(Setup!$C$13+Setup!$G$28),Setup!$C$39:$C$50))&lt;=Setup!$C$16),OR(MONTH(WORKDAY(J360,-(Setup!$C$13+Setup!$G$28),Setup!$C$39:$C$50))&gt;=Setup!$C$15,MONTH(WORKDAY(J360,-(Setup!$C$13+Setup!$G$28),Setup!$C$39:$C$50))&lt;=Setup!$C$16))),WORKDAY(J360,-(Setup!$C$13+Setup!$G$28+Setup!$C$14),Setup!$C$39:$C$50),WORKDAY(J360,-(Setup!$C$13+Setup!$G$28),Setup!$C$39:$C$50))+(355*100+9)/10000000)))</f>
        <v/>
      </c>
      <c r="AA360" t="str">
        <f>IF(K360="","",IF(K360&lt;Setup!$C$5-Setup!$C$6,"",IF(IF(ISNUMBER(Roster!$D360),Setup!$C$29&lt;=Roster!$D360,FALSE),"",IF(OR(IF(Setup!$C$15&lt;=Setup!$C$16,AND(MONTH(K360)&gt;=Setup!$C$15,MONTH(K360)&lt;=Setup!$C$16),OR(MONTH(K360)&gt;=Setup!$C$15,MONTH(K360)&lt;=Setup!$C$16)),IF(Setup!$C$15&lt;=Setup!$C$16,AND(MONTH(WORKDAY(K360,-(Setup!$C$13+Setup!$G$29),Setup!$C$39:$C$50))&gt;=Setup!$C$15,MONTH(WORKDAY(K360,-(Setup!$C$13+Setup!$G$29),Setup!$C$39:$C$50))&lt;=Setup!$C$16),OR(MONTH(WORKDAY(K360,-(Setup!$C$13+Setup!$G$29),Setup!$C$39:$C$50))&gt;=Setup!$C$15,MONTH(WORKDAY(K360,-(Setup!$C$13+Setup!$G$29),Setup!$C$39:$C$50))&lt;=Setup!$C$16))),WORKDAY(K360,-(Setup!$C$13+Setup!$G$29+Setup!$C$14),Setup!$C$39:$C$50),WORKDAY(K360,-(Setup!$C$13+Setup!$G$29),Setup!$C$39:$C$50))+(355*100+10)/10000000)))</f>
        <v/>
      </c>
      <c r="AB360" t="str">
        <f>IF(L360="","",IF(L360&lt;Setup!$C$5-Setup!$C$6,"",IF(IF(ISNUMBER(Roster!$D360),Setup!$C$30&lt;=Roster!$D360,FALSE),"",IF(OR(IF(Setup!$C$15&lt;=Setup!$C$16,AND(MONTH(L360)&gt;=Setup!$C$15,MONTH(L360)&lt;=Setup!$C$16),OR(MONTH(L360)&gt;=Setup!$C$15,MONTH(L360)&lt;=Setup!$C$16)),IF(Setup!$C$15&lt;=Setup!$C$16,AND(MONTH(WORKDAY(L360,-(Setup!$C$13+Setup!$G$30),Setup!$C$39:$C$50))&gt;=Setup!$C$15,MONTH(WORKDAY(L360,-(Setup!$C$13+Setup!$G$30),Setup!$C$39:$C$50))&lt;=Setup!$C$16),OR(MONTH(WORKDAY(L360,-(Setup!$C$13+Setup!$G$30),Setup!$C$39:$C$50))&gt;=Setup!$C$15,MONTH(WORKDAY(L360,-(Setup!$C$13+Setup!$G$30),Setup!$C$39:$C$50))&lt;=Setup!$C$16))),WORKDAY(L360,-(Setup!$C$13+Setup!$G$30+Setup!$C$14),Setup!$C$39:$C$50),WORKDAY(L360,-(Setup!$C$13+Setup!$G$30),Setup!$C$39:$C$50))+(355*100+11)/10000000)))</f>
        <v/>
      </c>
      <c r="AC360" t="str">
        <f>IF(M360="","",IF(M360&lt;Setup!$C$5-Setup!$C$6,"",IF(IF(ISNUMBER(Roster!$D360),Setup!$C$31&lt;=Roster!$D360,FALSE),"",IF(OR(IF(Setup!$C$15&lt;=Setup!$C$16,AND(MONTH(M360)&gt;=Setup!$C$15,MONTH(M360)&lt;=Setup!$C$16),OR(MONTH(M360)&gt;=Setup!$C$15,MONTH(M360)&lt;=Setup!$C$16)),IF(Setup!$C$15&lt;=Setup!$C$16,AND(MONTH(WORKDAY(M360,-(Setup!$C$13+Setup!$G$31),Setup!$C$39:$C$50))&gt;=Setup!$C$15,MONTH(WORKDAY(M360,-(Setup!$C$13+Setup!$G$31),Setup!$C$39:$C$50))&lt;=Setup!$C$16),OR(MONTH(WORKDAY(M360,-(Setup!$C$13+Setup!$G$31),Setup!$C$39:$C$50))&gt;=Setup!$C$15,MONTH(WORKDAY(M360,-(Setup!$C$13+Setup!$G$31),Setup!$C$39:$C$50))&lt;=Setup!$C$16))),WORKDAY(M360,-(Setup!$C$13+Setup!$G$31+Setup!$C$14),Setup!$C$39:$C$50),WORKDAY(M360,-(Setup!$C$13+Setup!$G$31),Setup!$C$39:$C$50))+(355*100+12)/10000000)))</f>
        <v/>
      </c>
      <c r="AD360" t="str">
        <f>IF(N360="","",IF(N360&lt;Setup!$C$5-Setup!$C$6,"",IF(IF(ISNUMBER(Roster!$D360),Setup!$C$32&lt;=Roster!$D360,FALSE),"",IF(OR(IF(Setup!$C$15&lt;=Setup!$C$16,AND(MONTH(N360)&gt;=Setup!$C$15,MONTH(N360)&lt;=Setup!$C$16),OR(MONTH(N360)&gt;=Setup!$C$15,MONTH(N360)&lt;=Setup!$C$16)),IF(Setup!$C$15&lt;=Setup!$C$16,AND(MONTH(WORKDAY(N360,-(Setup!$C$13+Setup!$G$32),Setup!$C$39:$C$50))&gt;=Setup!$C$15,MONTH(WORKDAY(N360,-(Setup!$C$13+Setup!$G$32),Setup!$C$39:$C$50))&lt;=Setup!$C$16),OR(MONTH(WORKDAY(N360,-(Setup!$C$13+Setup!$G$32),Setup!$C$39:$C$50))&gt;=Setup!$C$15,MONTH(WORKDAY(N360,-(Setup!$C$13+Setup!$G$32),Setup!$C$39:$C$50))&lt;=Setup!$C$16))),WORKDAY(N360,-(Setup!$C$13+Setup!$G$32+Setup!$C$14),Setup!$C$39:$C$50),WORKDAY(N360,-(Setup!$C$13+Setup!$G$32),Setup!$C$39:$C$50))+(355*100+13)/10000000)))</f>
        <v/>
      </c>
      <c r="AE360" t="str">
        <f>IF(O360="","",IF(O360&lt;Setup!$C$5-Setup!$C$6,"",IF(IF(ISNUMBER(Roster!$D360),Setup!$C$33&lt;=Roster!$D360,FALSE),"",IF(OR(IF(Setup!$C$15&lt;=Setup!$C$16,AND(MONTH(O360)&gt;=Setup!$C$15,MONTH(O360)&lt;=Setup!$C$16),OR(MONTH(O360)&gt;=Setup!$C$15,MONTH(O360)&lt;=Setup!$C$16)),IF(Setup!$C$15&lt;=Setup!$C$16,AND(MONTH(WORKDAY(O360,-(Setup!$C$13+Setup!$G$33),Setup!$C$39:$C$50))&gt;=Setup!$C$15,MONTH(WORKDAY(O360,-(Setup!$C$13+Setup!$G$33),Setup!$C$39:$C$50))&lt;=Setup!$C$16),OR(MONTH(WORKDAY(O360,-(Setup!$C$13+Setup!$G$33),Setup!$C$39:$C$50))&gt;=Setup!$C$15,MONTH(WORKDAY(O360,-(Setup!$C$13+Setup!$G$33),Setup!$C$39:$C$50))&lt;=Setup!$C$16))),WORKDAY(O360,-(Setup!$C$13+Setup!$G$33+Setup!$C$14),Setup!$C$39:$C$50),WORKDAY(O360,-(Setup!$C$13+Setup!$G$33),Setup!$C$39:$C$50))+(355*100+14)/10000000)))</f>
        <v/>
      </c>
      <c r="AF360" t="str">
        <f>IF(P360="","",IF(P360&lt;Setup!$C$5-Setup!$C$6,"",IF(IF(ISNUMBER(Roster!$D360),Setup!$C$34&lt;=Roster!$D360,FALSE),"",IF(OR(IF(Setup!$C$15&lt;=Setup!$C$16,AND(MONTH(P360)&gt;=Setup!$C$15,MONTH(P360)&lt;=Setup!$C$16),OR(MONTH(P360)&gt;=Setup!$C$15,MONTH(P360)&lt;=Setup!$C$16)),IF(Setup!$C$15&lt;=Setup!$C$16,AND(MONTH(WORKDAY(P360,-(Setup!$C$13+Setup!$G$34),Setup!$C$39:$C$50))&gt;=Setup!$C$15,MONTH(WORKDAY(P360,-(Setup!$C$13+Setup!$G$34),Setup!$C$39:$C$50))&lt;=Setup!$C$16),OR(MONTH(WORKDAY(P360,-(Setup!$C$13+Setup!$G$34),Setup!$C$39:$C$50))&gt;=Setup!$C$15,MONTH(WORKDAY(P360,-(Setup!$C$13+Setup!$G$34),Setup!$C$39:$C$50))&lt;=Setup!$C$16))),WORKDAY(P360,-(Setup!$C$13+Setup!$G$34+Setup!$C$14),Setup!$C$39:$C$50),WORKDAY(P360,-(Setup!$C$13+Setup!$G$34),Setup!$C$39:$C$50))+(355*100+15)/10000000)))</f>
        <v/>
      </c>
      <c r="AH360" t="str">
        <f t="shared" si="41"/>
        <v/>
      </c>
      <c r="AI360" t="str">
        <f t="shared" si="42"/>
        <v/>
      </c>
      <c r="AP360" t="str">
        <f>IF(ISNUMBER(Roster!$B360),MAX(1,YEAR(Setup!$C$5)-YEAR(Roster!$B360)+IF(EDATE(Roster!$B360,12*(YEAR(Setup!$C$5)-YEAR(Roster!$B360)))&lt;Setup!$C$5,1,0)),"")</f>
        <v/>
      </c>
      <c r="AQ360" s="32" t="str">
        <f>IF(AP360="","",EDATE(Roster!$B360,12*AP360))</f>
        <v/>
      </c>
      <c r="AR360" t="str">
        <f>IF(AQ360="","",IF(AQ360&lt;DATE(YEAR(Setup!$C$5)+1,MONTH(Setup!$C$5),DAY(Setup!$C$5)),AQ360+355/1000,""))</f>
        <v/>
      </c>
      <c r="AS360" t="str">
        <f t="shared" si="43"/>
        <v/>
      </c>
      <c r="AT360" t="str">
        <f>IF(AS360="","",IF(ISNUMBER(Roster!$D360),Roster!$D360&gt;=AP360,FALSE))</f>
        <v/>
      </c>
      <c r="AU360" t="str">
        <f t="shared" si="44"/>
        <v/>
      </c>
      <c r="AV360" t="str">
        <f ca="1">IF(355&gt;$AV$2,"",SMALL($AR$6:$AR$505,355))</f>
        <v/>
      </c>
      <c r="AW360" t="str">
        <f t="shared" ca="1" si="45"/>
        <v/>
      </c>
    </row>
    <row r="361" spans="2:49" x14ac:dyDescent="0.2">
      <c r="B361" s="32" t="str">
        <f>IF(AND(ISNUMBER(Roster!$B361),Setup!$B$20="Yes",ISNUMBER(Setup!$C$20)),EDATE(Roster!$B361,12*Setup!$C$20),"")</f>
        <v/>
      </c>
      <c r="C361" s="32" t="str">
        <f>IF(AND(ISNUMBER(Roster!$B361),Setup!$B$21="Yes",ISNUMBER(Setup!$C$21)),EDATE(Roster!$B361,12*Setup!$C$21),"")</f>
        <v/>
      </c>
      <c r="D361" s="32" t="str">
        <f>IF(AND(ISNUMBER(Roster!$B361),Setup!$B$22="Yes",ISNUMBER(Setup!$C$22)),EDATE(Roster!$B361,12*Setup!$C$22),"")</f>
        <v/>
      </c>
      <c r="E361" s="32" t="str">
        <f>IF(AND(ISNUMBER(Roster!$B361),Setup!$B$23="Yes",ISNUMBER(Setup!$C$23)),EDATE(Roster!$B361,12*Setup!$C$23),"")</f>
        <v/>
      </c>
      <c r="F361" s="32" t="str">
        <f>IF(AND(ISNUMBER(Roster!$B361),Setup!$B$24="Yes",ISNUMBER(Setup!$C$24)),EDATE(Roster!$B361,12*Setup!$C$24),"")</f>
        <v/>
      </c>
      <c r="G361" s="32" t="str">
        <f>IF(AND(ISNUMBER(Roster!$B361),Setup!$B$25="Yes",ISNUMBER(Setup!$C$25)),EDATE(Roster!$B361,12*Setup!$C$25),"")</f>
        <v/>
      </c>
      <c r="H361" s="32" t="str">
        <f>IF(AND(ISNUMBER(Roster!$B361),Setup!$B$26="Yes",ISNUMBER(Setup!$C$26)),EDATE(Roster!$B361,12*Setup!$C$26),"")</f>
        <v/>
      </c>
      <c r="I361" s="32" t="str">
        <f>IF(AND(ISNUMBER(Roster!$B361),Setup!$B$27="Yes",ISNUMBER(Setup!$C$27)),EDATE(Roster!$B361,12*Setup!$C$27),"")</f>
        <v/>
      </c>
      <c r="J361" s="32" t="str">
        <f>IF(AND(ISNUMBER(Roster!$B361),Setup!$B$28="Yes",ISNUMBER(Setup!$C$28)),EDATE(Roster!$B361,12*Setup!$C$28),"")</f>
        <v/>
      </c>
      <c r="K361" s="32" t="str">
        <f>IF(AND(ISNUMBER(Roster!$B361),Setup!$B$29="Yes",ISNUMBER(Setup!$C$29)),EDATE(Roster!$B361,12*Setup!$C$29),"")</f>
        <v/>
      </c>
      <c r="L361" s="32" t="str">
        <f>IF(AND(ISNUMBER(Roster!$B361),Setup!$B$30="Yes",ISNUMBER(Setup!$C$30)),EDATE(Roster!$B361,12*Setup!$C$30),"")</f>
        <v/>
      </c>
      <c r="M361" s="32" t="str">
        <f>IF(AND(ISNUMBER(Roster!$B361),Setup!$B$31="Yes",ISNUMBER(Setup!$C$31)),EDATE(Roster!$B361,12*Setup!$C$31),"")</f>
        <v/>
      </c>
      <c r="N361" s="32" t="str">
        <f>IF(AND(ISNUMBER(Roster!$B361),Setup!$B$32="Yes",ISNUMBER(Setup!$C$32)),EDATE(Roster!$B361,12*Setup!$C$32),"")</f>
        <v/>
      </c>
      <c r="O361" s="32" t="str">
        <f>IF(AND(ISNUMBER(Roster!$B361),Setup!$B$33="Yes",ISNUMBER(Setup!$C$33)),EDATE(Roster!$B361,12*Setup!$C$33),"")</f>
        <v/>
      </c>
      <c r="P361" s="32" t="str">
        <f>IF(AND(ISNUMBER(Roster!$B361),Setup!$B$34="Yes",ISNUMBER(Setup!$C$34)),EDATE(Roster!$B361,12*Setup!$C$34),"")</f>
        <v/>
      </c>
      <c r="R361" t="str">
        <f>IF(B361="","",IF(B361&lt;Setup!$C$5-Setup!$C$6,"",IF(IF(ISNUMBER(Roster!$D361),Setup!$C$20&lt;=Roster!$D361,FALSE),"",IF(OR(IF(Setup!$C$15&lt;=Setup!$C$16,AND(MONTH(B361)&gt;=Setup!$C$15,MONTH(B361)&lt;=Setup!$C$16),OR(MONTH(B361)&gt;=Setup!$C$15,MONTH(B361)&lt;=Setup!$C$16)),IF(Setup!$C$15&lt;=Setup!$C$16,AND(MONTH(WORKDAY(B361,-(Setup!$C$13+Setup!$G$20),Setup!$C$39:$C$50))&gt;=Setup!$C$15,MONTH(WORKDAY(B361,-(Setup!$C$13+Setup!$G$20),Setup!$C$39:$C$50))&lt;=Setup!$C$16),OR(MONTH(WORKDAY(B361,-(Setup!$C$13+Setup!$G$20),Setup!$C$39:$C$50))&gt;=Setup!$C$15,MONTH(WORKDAY(B361,-(Setup!$C$13+Setup!$G$20),Setup!$C$39:$C$50))&lt;=Setup!$C$16))),WORKDAY(B361,-(Setup!$C$13+Setup!$G$20+Setup!$C$14),Setup!$C$39:$C$50),WORKDAY(B361,-(Setup!$C$13+Setup!$G$20),Setup!$C$39:$C$50))+(356*100+1)/10000000)))</f>
        <v/>
      </c>
      <c r="S361" t="str">
        <f>IF(C361="","",IF(C361&lt;Setup!$C$5-Setup!$C$6,"",IF(IF(ISNUMBER(Roster!$D361),Setup!$C$21&lt;=Roster!$D361,FALSE),"",IF(OR(IF(Setup!$C$15&lt;=Setup!$C$16,AND(MONTH(C361)&gt;=Setup!$C$15,MONTH(C361)&lt;=Setup!$C$16),OR(MONTH(C361)&gt;=Setup!$C$15,MONTH(C361)&lt;=Setup!$C$16)),IF(Setup!$C$15&lt;=Setup!$C$16,AND(MONTH(WORKDAY(C361,-(Setup!$C$13+Setup!$G$21),Setup!$C$39:$C$50))&gt;=Setup!$C$15,MONTH(WORKDAY(C361,-(Setup!$C$13+Setup!$G$21),Setup!$C$39:$C$50))&lt;=Setup!$C$16),OR(MONTH(WORKDAY(C361,-(Setup!$C$13+Setup!$G$21),Setup!$C$39:$C$50))&gt;=Setup!$C$15,MONTH(WORKDAY(C361,-(Setup!$C$13+Setup!$G$21),Setup!$C$39:$C$50))&lt;=Setup!$C$16))),WORKDAY(C361,-(Setup!$C$13+Setup!$G$21+Setup!$C$14),Setup!$C$39:$C$50),WORKDAY(C361,-(Setup!$C$13+Setup!$G$21),Setup!$C$39:$C$50))+(356*100+2)/10000000)))</f>
        <v/>
      </c>
      <c r="T361" t="str">
        <f>IF(D361="","",IF(D361&lt;Setup!$C$5-Setup!$C$6,"",IF(IF(ISNUMBER(Roster!$D361),Setup!$C$22&lt;=Roster!$D361,FALSE),"",IF(OR(IF(Setup!$C$15&lt;=Setup!$C$16,AND(MONTH(D361)&gt;=Setup!$C$15,MONTH(D361)&lt;=Setup!$C$16),OR(MONTH(D361)&gt;=Setup!$C$15,MONTH(D361)&lt;=Setup!$C$16)),IF(Setup!$C$15&lt;=Setup!$C$16,AND(MONTH(WORKDAY(D361,-(Setup!$C$13+Setup!$G$22),Setup!$C$39:$C$50))&gt;=Setup!$C$15,MONTH(WORKDAY(D361,-(Setup!$C$13+Setup!$G$22),Setup!$C$39:$C$50))&lt;=Setup!$C$16),OR(MONTH(WORKDAY(D361,-(Setup!$C$13+Setup!$G$22),Setup!$C$39:$C$50))&gt;=Setup!$C$15,MONTH(WORKDAY(D361,-(Setup!$C$13+Setup!$G$22),Setup!$C$39:$C$50))&lt;=Setup!$C$16))),WORKDAY(D361,-(Setup!$C$13+Setup!$G$22+Setup!$C$14),Setup!$C$39:$C$50),WORKDAY(D361,-(Setup!$C$13+Setup!$G$22),Setup!$C$39:$C$50))+(356*100+3)/10000000)))</f>
        <v/>
      </c>
      <c r="U361" t="str">
        <f>IF(E361="","",IF(E361&lt;Setup!$C$5-Setup!$C$6,"",IF(IF(ISNUMBER(Roster!$D361),Setup!$C$23&lt;=Roster!$D361,FALSE),"",IF(OR(IF(Setup!$C$15&lt;=Setup!$C$16,AND(MONTH(E361)&gt;=Setup!$C$15,MONTH(E361)&lt;=Setup!$C$16),OR(MONTH(E361)&gt;=Setup!$C$15,MONTH(E361)&lt;=Setup!$C$16)),IF(Setup!$C$15&lt;=Setup!$C$16,AND(MONTH(WORKDAY(E361,-(Setup!$C$13+Setup!$G$23),Setup!$C$39:$C$50))&gt;=Setup!$C$15,MONTH(WORKDAY(E361,-(Setup!$C$13+Setup!$G$23),Setup!$C$39:$C$50))&lt;=Setup!$C$16),OR(MONTH(WORKDAY(E361,-(Setup!$C$13+Setup!$G$23),Setup!$C$39:$C$50))&gt;=Setup!$C$15,MONTH(WORKDAY(E361,-(Setup!$C$13+Setup!$G$23),Setup!$C$39:$C$50))&lt;=Setup!$C$16))),WORKDAY(E361,-(Setup!$C$13+Setup!$G$23+Setup!$C$14),Setup!$C$39:$C$50),WORKDAY(E361,-(Setup!$C$13+Setup!$G$23),Setup!$C$39:$C$50))+(356*100+4)/10000000)))</f>
        <v/>
      </c>
      <c r="V361" t="str">
        <f>IF(F361="","",IF(F361&lt;Setup!$C$5-Setup!$C$6,"",IF(IF(ISNUMBER(Roster!$D361),Setup!$C$24&lt;=Roster!$D361,FALSE),"",IF(OR(IF(Setup!$C$15&lt;=Setup!$C$16,AND(MONTH(F361)&gt;=Setup!$C$15,MONTH(F361)&lt;=Setup!$C$16),OR(MONTH(F361)&gt;=Setup!$C$15,MONTH(F361)&lt;=Setup!$C$16)),IF(Setup!$C$15&lt;=Setup!$C$16,AND(MONTH(WORKDAY(F361,-(Setup!$C$13+Setup!$G$24),Setup!$C$39:$C$50))&gt;=Setup!$C$15,MONTH(WORKDAY(F361,-(Setup!$C$13+Setup!$G$24),Setup!$C$39:$C$50))&lt;=Setup!$C$16),OR(MONTH(WORKDAY(F361,-(Setup!$C$13+Setup!$G$24),Setup!$C$39:$C$50))&gt;=Setup!$C$15,MONTH(WORKDAY(F361,-(Setup!$C$13+Setup!$G$24),Setup!$C$39:$C$50))&lt;=Setup!$C$16))),WORKDAY(F361,-(Setup!$C$13+Setup!$G$24+Setup!$C$14),Setup!$C$39:$C$50),WORKDAY(F361,-(Setup!$C$13+Setup!$G$24),Setup!$C$39:$C$50))+(356*100+5)/10000000)))</f>
        <v/>
      </c>
      <c r="W361" t="str">
        <f>IF(G361="","",IF(G361&lt;Setup!$C$5-Setup!$C$6,"",IF(IF(ISNUMBER(Roster!$D361),Setup!$C$25&lt;=Roster!$D361,FALSE),"",IF(OR(IF(Setup!$C$15&lt;=Setup!$C$16,AND(MONTH(G361)&gt;=Setup!$C$15,MONTH(G361)&lt;=Setup!$C$16),OR(MONTH(G361)&gt;=Setup!$C$15,MONTH(G361)&lt;=Setup!$C$16)),IF(Setup!$C$15&lt;=Setup!$C$16,AND(MONTH(WORKDAY(G361,-(Setup!$C$13+Setup!$G$25),Setup!$C$39:$C$50))&gt;=Setup!$C$15,MONTH(WORKDAY(G361,-(Setup!$C$13+Setup!$G$25),Setup!$C$39:$C$50))&lt;=Setup!$C$16),OR(MONTH(WORKDAY(G361,-(Setup!$C$13+Setup!$G$25),Setup!$C$39:$C$50))&gt;=Setup!$C$15,MONTH(WORKDAY(G361,-(Setup!$C$13+Setup!$G$25),Setup!$C$39:$C$50))&lt;=Setup!$C$16))),WORKDAY(G361,-(Setup!$C$13+Setup!$G$25+Setup!$C$14),Setup!$C$39:$C$50),WORKDAY(G361,-(Setup!$C$13+Setup!$G$25),Setup!$C$39:$C$50))+(356*100+6)/10000000)))</f>
        <v/>
      </c>
      <c r="X361" t="str">
        <f>IF(H361="","",IF(H361&lt;Setup!$C$5-Setup!$C$6,"",IF(IF(ISNUMBER(Roster!$D361),Setup!$C$26&lt;=Roster!$D361,FALSE),"",IF(OR(IF(Setup!$C$15&lt;=Setup!$C$16,AND(MONTH(H361)&gt;=Setup!$C$15,MONTH(H361)&lt;=Setup!$C$16),OR(MONTH(H361)&gt;=Setup!$C$15,MONTH(H361)&lt;=Setup!$C$16)),IF(Setup!$C$15&lt;=Setup!$C$16,AND(MONTH(WORKDAY(H361,-(Setup!$C$13+Setup!$G$26),Setup!$C$39:$C$50))&gt;=Setup!$C$15,MONTH(WORKDAY(H361,-(Setup!$C$13+Setup!$G$26),Setup!$C$39:$C$50))&lt;=Setup!$C$16),OR(MONTH(WORKDAY(H361,-(Setup!$C$13+Setup!$G$26),Setup!$C$39:$C$50))&gt;=Setup!$C$15,MONTH(WORKDAY(H361,-(Setup!$C$13+Setup!$G$26),Setup!$C$39:$C$50))&lt;=Setup!$C$16))),WORKDAY(H361,-(Setup!$C$13+Setup!$G$26+Setup!$C$14),Setup!$C$39:$C$50),WORKDAY(H361,-(Setup!$C$13+Setup!$G$26),Setup!$C$39:$C$50))+(356*100+7)/10000000)))</f>
        <v/>
      </c>
      <c r="Y361" t="str">
        <f>IF(I361="","",IF(I361&lt;Setup!$C$5-Setup!$C$6,"",IF(IF(ISNUMBER(Roster!$D361),Setup!$C$27&lt;=Roster!$D361,FALSE),"",IF(OR(IF(Setup!$C$15&lt;=Setup!$C$16,AND(MONTH(I361)&gt;=Setup!$C$15,MONTH(I361)&lt;=Setup!$C$16),OR(MONTH(I361)&gt;=Setup!$C$15,MONTH(I361)&lt;=Setup!$C$16)),IF(Setup!$C$15&lt;=Setup!$C$16,AND(MONTH(WORKDAY(I361,-(Setup!$C$13+Setup!$G$27),Setup!$C$39:$C$50))&gt;=Setup!$C$15,MONTH(WORKDAY(I361,-(Setup!$C$13+Setup!$G$27),Setup!$C$39:$C$50))&lt;=Setup!$C$16),OR(MONTH(WORKDAY(I361,-(Setup!$C$13+Setup!$G$27),Setup!$C$39:$C$50))&gt;=Setup!$C$15,MONTH(WORKDAY(I361,-(Setup!$C$13+Setup!$G$27),Setup!$C$39:$C$50))&lt;=Setup!$C$16))),WORKDAY(I361,-(Setup!$C$13+Setup!$G$27+Setup!$C$14),Setup!$C$39:$C$50),WORKDAY(I361,-(Setup!$C$13+Setup!$G$27),Setup!$C$39:$C$50))+(356*100+8)/10000000)))</f>
        <v/>
      </c>
      <c r="Z361" t="str">
        <f>IF(J361="","",IF(J361&lt;Setup!$C$5-Setup!$C$6,"",IF(IF(ISNUMBER(Roster!$D361),Setup!$C$28&lt;=Roster!$D361,FALSE),"",IF(OR(IF(Setup!$C$15&lt;=Setup!$C$16,AND(MONTH(J361)&gt;=Setup!$C$15,MONTH(J361)&lt;=Setup!$C$16),OR(MONTH(J361)&gt;=Setup!$C$15,MONTH(J361)&lt;=Setup!$C$16)),IF(Setup!$C$15&lt;=Setup!$C$16,AND(MONTH(WORKDAY(J361,-(Setup!$C$13+Setup!$G$28),Setup!$C$39:$C$50))&gt;=Setup!$C$15,MONTH(WORKDAY(J361,-(Setup!$C$13+Setup!$G$28),Setup!$C$39:$C$50))&lt;=Setup!$C$16),OR(MONTH(WORKDAY(J361,-(Setup!$C$13+Setup!$G$28),Setup!$C$39:$C$50))&gt;=Setup!$C$15,MONTH(WORKDAY(J361,-(Setup!$C$13+Setup!$G$28),Setup!$C$39:$C$50))&lt;=Setup!$C$16))),WORKDAY(J361,-(Setup!$C$13+Setup!$G$28+Setup!$C$14),Setup!$C$39:$C$50),WORKDAY(J361,-(Setup!$C$13+Setup!$G$28),Setup!$C$39:$C$50))+(356*100+9)/10000000)))</f>
        <v/>
      </c>
      <c r="AA361" t="str">
        <f>IF(K361="","",IF(K361&lt;Setup!$C$5-Setup!$C$6,"",IF(IF(ISNUMBER(Roster!$D361),Setup!$C$29&lt;=Roster!$D361,FALSE),"",IF(OR(IF(Setup!$C$15&lt;=Setup!$C$16,AND(MONTH(K361)&gt;=Setup!$C$15,MONTH(K361)&lt;=Setup!$C$16),OR(MONTH(K361)&gt;=Setup!$C$15,MONTH(K361)&lt;=Setup!$C$16)),IF(Setup!$C$15&lt;=Setup!$C$16,AND(MONTH(WORKDAY(K361,-(Setup!$C$13+Setup!$G$29),Setup!$C$39:$C$50))&gt;=Setup!$C$15,MONTH(WORKDAY(K361,-(Setup!$C$13+Setup!$G$29),Setup!$C$39:$C$50))&lt;=Setup!$C$16),OR(MONTH(WORKDAY(K361,-(Setup!$C$13+Setup!$G$29),Setup!$C$39:$C$50))&gt;=Setup!$C$15,MONTH(WORKDAY(K361,-(Setup!$C$13+Setup!$G$29),Setup!$C$39:$C$50))&lt;=Setup!$C$16))),WORKDAY(K361,-(Setup!$C$13+Setup!$G$29+Setup!$C$14),Setup!$C$39:$C$50),WORKDAY(K361,-(Setup!$C$13+Setup!$G$29),Setup!$C$39:$C$50))+(356*100+10)/10000000)))</f>
        <v/>
      </c>
      <c r="AB361" t="str">
        <f>IF(L361="","",IF(L361&lt;Setup!$C$5-Setup!$C$6,"",IF(IF(ISNUMBER(Roster!$D361),Setup!$C$30&lt;=Roster!$D361,FALSE),"",IF(OR(IF(Setup!$C$15&lt;=Setup!$C$16,AND(MONTH(L361)&gt;=Setup!$C$15,MONTH(L361)&lt;=Setup!$C$16),OR(MONTH(L361)&gt;=Setup!$C$15,MONTH(L361)&lt;=Setup!$C$16)),IF(Setup!$C$15&lt;=Setup!$C$16,AND(MONTH(WORKDAY(L361,-(Setup!$C$13+Setup!$G$30),Setup!$C$39:$C$50))&gt;=Setup!$C$15,MONTH(WORKDAY(L361,-(Setup!$C$13+Setup!$G$30),Setup!$C$39:$C$50))&lt;=Setup!$C$16),OR(MONTH(WORKDAY(L361,-(Setup!$C$13+Setup!$G$30),Setup!$C$39:$C$50))&gt;=Setup!$C$15,MONTH(WORKDAY(L361,-(Setup!$C$13+Setup!$G$30),Setup!$C$39:$C$50))&lt;=Setup!$C$16))),WORKDAY(L361,-(Setup!$C$13+Setup!$G$30+Setup!$C$14),Setup!$C$39:$C$50),WORKDAY(L361,-(Setup!$C$13+Setup!$G$30),Setup!$C$39:$C$50))+(356*100+11)/10000000)))</f>
        <v/>
      </c>
      <c r="AC361" t="str">
        <f>IF(M361="","",IF(M361&lt;Setup!$C$5-Setup!$C$6,"",IF(IF(ISNUMBER(Roster!$D361),Setup!$C$31&lt;=Roster!$D361,FALSE),"",IF(OR(IF(Setup!$C$15&lt;=Setup!$C$16,AND(MONTH(M361)&gt;=Setup!$C$15,MONTH(M361)&lt;=Setup!$C$16),OR(MONTH(M361)&gt;=Setup!$C$15,MONTH(M361)&lt;=Setup!$C$16)),IF(Setup!$C$15&lt;=Setup!$C$16,AND(MONTH(WORKDAY(M361,-(Setup!$C$13+Setup!$G$31),Setup!$C$39:$C$50))&gt;=Setup!$C$15,MONTH(WORKDAY(M361,-(Setup!$C$13+Setup!$G$31),Setup!$C$39:$C$50))&lt;=Setup!$C$16),OR(MONTH(WORKDAY(M361,-(Setup!$C$13+Setup!$G$31),Setup!$C$39:$C$50))&gt;=Setup!$C$15,MONTH(WORKDAY(M361,-(Setup!$C$13+Setup!$G$31),Setup!$C$39:$C$50))&lt;=Setup!$C$16))),WORKDAY(M361,-(Setup!$C$13+Setup!$G$31+Setup!$C$14),Setup!$C$39:$C$50),WORKDAY(M361,-(Setup!$C$13+Setup!$G$31),Setup!$C$39:$C$50))+(356*100+12)/10000000)))</f>
        <v/>
      </c>
      <c r="AD361" t="str">
        <f>IF(N361="","",IF(N361&lt;Setup!$C$5-Setup!$C$6,"",IF(IF(ISNUMBER(Roster!$D361),Setup!$C$32&lt;=Roster!$D361,FALSE),"",IF(OR(IF(Setup!$C$15&lt;=Setup!$C$16,AND(MONTH(N361)&gt;=Setup!$C$15,MONTH(N361)&lt;=Setup!$C$16),OR(MONTH(N361)&gt;=Setup!$C$15,MONTH(N361)&lt;=Setup!$C$16)),IF(Setup!$C$15&lt;=Setup!$C$16,AND(MONTH(WORKDAY(N361,-(Setup!$C$13+Setup!$G$32),Setup!$C$39:$C$50))&gt;=Setup!$C$15,MONTH(WORKDAY(N361,-(Setup!$C$13+Setup!$G$32),Setup!$C$39:$C$50))&lt;=Setup!$C$16),OR(MONTH(WORKDAY(N361,-(Setup!$C$13+Setup!$G$32),Setup!$C$39:$C$50))&gt;=Setup!$C$15,MONTH(WORKDAY(N361,-(Setup!$C$13+Setup!$G$32),Setup!$C$39:$C$50))&lt;=Setup!$C$16))),WORKDAY(N361,-(Setup!$C$13+Setup!$G$32+Setup!$C$14),Setup!$C$39:$C$50),WORKDAY(N361,-(Setup!$C$13+Setup!$G$32),Setup!$C$39:$C$50))+(356*100+13)/10000000)))</f>
        <v/>
      </c>
      <c r="AE361" t="str">
        <f>IF(O361="","",IF(O361&lt;Setup!$C$5-Setup!$C$6,"",IF(IF(ISNUMBER(Roster!$D361),Setup!$C$33&lt;=Roster!$D361,FALSE),"",IF(OR(IF(Setup!$C$15&lt;=Setup!$C$16,AND(MONTH(O361)&gt;=Setup!$C$15,MONTH(O361)&lt;=Setup!$C$16),OR(MONTH(O361)&gt;=Setup!$C$15,MONTH(O361)&lt;=Setup!$C$16)),IF(Setup!$C$15&lt;=Setup!$C$16,AND(MONTH(WORKDAY(O361,-(Setup!$C$13+Setup!$G$33),Setup!$C$39:$C$50))&gt;=Setup!$C$15,MONTH(WORKDAY(O361,-(Setup!$C$13+Setup!$G$33),Setup!$C$39:$C$50))&lt;=Setup!$C$16),OR(MONTH(WORKDAY(O361,-(Setup!$C$13+Setup!$G$33),Setup!$C$39:$C$50))&gt;=Setup!$C$15,MONTH(WORKDAY(O361,-(Setup!$C$13+Setup!$G$33),Setup!$C$39:$C$50))&lt;=Setup!$C$16))),WORKDAY(O361,-(Setup!$C$13+Setup!$G$33+Setup!$C$14),Setup!$C$39:$C$50),WORKDAY(O361,-(Setup!$C$13+Setup!$G$33),Setup!$C$39:$C$50))+(356*100+14)/10000000)))</f>
        <v/>
      </c>
      <c r="AF361" t="str">
        <f>IF(P361="","",IF(P361&lt;Setup!$C$5-Setup!$C$6,"",IF(IF(ISNUMBER(Roster!$D361),Setup!$C$34&lt;=Roster!$D361,FALSE),"",IF(OR(IF(Setup!$C$15&lt;=Setup!$C$16,AND(MONTH(P361)&gt;=Setup!$C$15,MONTH(P361)&lt;=Setup!$C$16),OR(MONTH(P361)&gt;=Setup!$C$15,MONTH(P361)&lt;=Setup!$C$16)),IF(Setup!$C$15&lt;=Setup!$C$16,AND(MONTH(WORKDAY(P361,-(Setup!$C$13+Setup!$G$34),Setup!$C$39:$C$50))&gt;=Setup!$C$15,MONTH(WORKDAY(P361,-(Setup!$C$13+Setup!$G$34),Setup!$C$39:$C$50))&lt;=Setup!$C$16),OR(MONTH(WORKDAY(P361,-(Setup!$C$13+Setup!$G$34),Setup!$C$39:$C$50))&gt;=Setup!$C$15,MONTH(WORKDAY(P361,-(Setup!$C$13+Setup!$G$34),Setup!$C$39:$C$50))&lt;=Setup!$C$16))),WORKDAY(P361,-(Setup!$C$13+Setup!$G$34+Setup!$C$14),Setup!$C$39:$C$50),WORKDAY(P361,-(Setup!$C$13+Setup!$G$34),Setup!$C$39:$C$50))+(356*100+15)/10000000)))</f>
        <v/>
      </c>
      <c r="AH361" t="str">
        <f t="shared" si="41"/>
        <v/>
      </c>
      <c r="AI361" t="str">
        <f t="shared" si="42"/>
        <v/>
      </c>
      <c r="AP361" t="str">
        <f>IF(ISNUMBER(Roster!$B361),MAX(1,YEAR(Setup!$C$5)-YEAR(Roster!$B361)+IF(EDATE(Roster!$B361,12*(YEAR(Setup!$C$5)-YEAR(Roster!$B361)))&lt;Setup!$C$5,1,0)),"")</f>
        <v/>
      </c>
      <c r="AQ361" s="32" t="str">
        <f>IF(AP361="","",EDATE(Roster!$B361,12*AP361))</f>
        <v/>
      </c>
      <c r="AR361" t="str">
        <f>IF(AQ361="","",IF(AQ361&lt;DATE(YEAR(Setup!$C$5)+1,MONTH(Setup!$C$5),DAY(Setup!$C$5)),AQ361+356/1000,""))</f>
        <v/>
      </c>
      <c r="AS361" t="str">
        <f t="shared" si="43"/>
        <v/>
      </c>
      <c r="AT361" t="str">
        <f>IF(AS361="","",IF(ISNUMBER(Roster!$D361),Roster!$D361&gt;=AP361,FALSE))</f>
        <v/>
      </c>
      <c r="AU361" t="str">
        <f t="shared" si="44"/>
        <v/>
      </c>
      <c r="AV361" t="str">
        <f ca="1">IF(356&gt;$AV$2,"",SMALL($AR$6:$AR$505,356))</f>
        <v/>
      </c>
      <c r="AW361" t="str">
        <f t="shared" ca="1" si="45"/>
        <v/>
      </c>
    </row>
    <row r="362" spans="2:49" x14ac:dyDescent="0.2">
      <c r="B362" s="32" t="str">
        <f>IF(AND(ISNUMBER(Roster!$B362),Setup!$B$20="Yes",ISNUMBER(Setup!$C$20)),EDATE(Roster!$B362,12*Setup!$C$20),"")</f>
        <v/>
      </c>
      <c r="C362" s="32" t="str">
        <f>IF(AND(ISNUMBER(Roster!$B362),Setup!$B$21="Yes",ISNUMBER(Setup!$C$21)),EDATE(Roster!$B362,12*Setup!$C$21),"")</f>
        <v/>
      </c>
      <c r="D362" s="32" t="str">
        <f>IF(AND(ISNUMBER(Roster!$B362),Setup!$B$22="Yes",ISNUMBER(Setup!$C$22)),EDATE(Roster!$B362,12*Setup!$C$22),"")</f>
        <v/>
      </c>
      <c r="E362" s="32" t="str">
        <f>IF(AND(ISNUMBER(Roster!$B362),Setup!$B$23="Yes",ISNUMBER(Setup!$C$23)),EDATE(Roster!$B362,12*Setup!$C$23),"")</f>
        <v/>
      </c>
      <c r="F362" s="32" t="str">
        <f>IF(AND(ISNUMBER(Roster!$B362),Setup!$B$24="Yes",ISNUMBER(Setup!$C$24)),EDATE(Roster!$B362,12*Setup!$C$24),"")</f>
        <v/>
      </c>
      <c r="G362" s="32" t="str">
        <f>IF(AND(ISNUMBER(Roster!$B362),Setup!$B$25="Yes",ISNUMBER(Setup!$C$25)),EDATE(Roster!$B362,12*Setup!$C$25),"")</f>
        <v/>
      </c>
      <c r="H362" s="32" t="str">
        <f>IF(AND(ISNUMBER(Roster!$B362),Setup!$B$26="Yes",ISNUMBER(Setup!$C$26)),EDATE(Roster!$B362,12*Setup!$C$26),"")</f>
        <v/>
      </c>
      <c r="I362" s="32" t="str">
        <f>IF(AND(ISNUMBER(Roster!$B362),Setup!$B$27="Yes",ISNUMBER(Setup!$C$27)),EDATE(Roster!$B362,12*Setup!$C$27),"")</f>
        <v/>
      </c>
      <c r="J362" s="32" t="str">
        <f>IF(AND(ISNUMBER(Roster!$B362),Setup!$B$28="Yes",ISNUMBER(Setup!$C$28)),EDATE(Roster!$B362,12*Setup!$C$28),"")</f>
        <v/>
      </c>
      <c r="K362" s="32" t="str">
        <f>IF(AND(ISNUMBER(Roster!$B362),Setup!$B$29="Yes",ISNUMBER(Setup!$C$29)),EDATE(Roster!$B362,12*Setup!$C$29),"")</f>
        <v/>
      </c>
      <c r="L362" s="32" t="str">
        <f>IF(AND(ISNUMBER(Roster!$B362),Setup!$B$30="Yes",ISNUMBER(Setup!$C$30)),EDATE(Roster!$B362,12*Setup!$C$30),"")</f>
        <v/>
      </c>
      <c r="M362" s="32" t="str">
        <f>IF(AND(ISNUMBER(Roster!$B362),Setup!$B$31="Yes",ISNUMBER(Setup!$C$31)),EDATE(Roster!$B362,12*Setup!$C$31),"")</f>
        <v/>
      </c>
      <c r="N362" s="32" t="str">
        <f>IF(AND(ISNUMBER(Roster!$B362),Setup!$B$32="Yes",ISNUMBER(Setup!$C$32)),EDATE(Roster!$B362,12*Setup!$C$32),"")</f>
        <v/>
      </c>
      <c r="O362" s="32" t="str">
        <f>IF(AND(ISNUMBER(Roster!$B362),Setup!$B$33="Yes",ISNUMBER(Setup!$C$33)),EDATE(Roster!$B362,12*Setup!$C$33),"")</f>
        <v/>
      </c>
      <c r="P362" s="32" t="str">
        <f>IF(AND(ISNUMBER(Roster!$B362),Setup!$B$34="Yes",ISNUMBER(Setup!$C$34)),EDATE(Roster!$B362,12*Setup!$C$34),"")</f>
        <v/>
      </c>
      <c r="R362" t="str">
        <f>IF(B362="","",IF(B362&lt;Setup!$C$5-Setup!$C$6,"",IF(IF(ISNUMBER(Roster!$D362),Setup!$C$20&lt;=Roster!$D362,FALSE),"",IF(OR(IF(Setup!$C$15&lt;=Setup!$C$16,AND(MONTH(B362)&gt;=Setup!$C$15,MONTH(B362)&lt;=Setup!$C$16),OR(MONTH(B362)&gt;=Setup!$C$15,MONTH(B362)&lt;=Setup!$C$16)),IF(Setup!$C$15&lt;=Setup!$C$16,AND(MONTH(WORKDAY(B362,-(Setup!$C$13+Setup!$G$20),Setup!$C$39:$C$50))&gt;=Setup!$C$15,MONTH(WORKDAY(B362,-(Setup!$C$13+Setup!$G$20),Setup!$C$39:$C$50))&lt;=Setup!$C$16),OR(MONTH(WORKDAY(B362,-(Setup!$C$13+Setup!$G$20),Setup!$C$39:$C$50))&gt;=Setup!$C$15,MONTH(WORKDAY(B362,-(Setup!$C$13+Setup!$G$20),Setup!$C$39:$C$50))&lt;=Setup!$C$16))),WORKDAY(B362,-(Setup!$C$13+Setup!$G$20+Setup!$C$14),Setup!$C$39:$C$50),WORKDAY(B362,-(Setup!$C$13+Setup!$G$20),Setup!$C$39:$C$50))+(357*100+1)/10000000)))</f>
        <v/>
      </c>
      <c r="S362" t="str">
        <f>IF(C362="","",IF(C362&lt;Setup!$C$5-Setup!$C$6,"",IF(IF(ISNUMBER(Roster!$D362),Setup!$C$21&lt;=Roster!$D362,FALSE),"",IF(OR(IF(Setup!$C$15&lt;=Setup!$C$16,AND(MONTH(C362)&gt;=Setup!$C$15,MONTH(C362)&lt;=Setup!$C$16),OR(MONTH(C362)&gt;=Setup!$C$15,MONTH(C362)&lt;=Setup!$C$16)),IF(Setup!$C$15&lt;=Setup!$C$16,AND(MONTH(WORKDAY(C362,-(Setup!$C$13+Setup!$G$21),Setup!$C$39:$C$50))&gt;=Setup!$C$15,MONTH(WORKDAY(C362,-(Setup!$C$13+Setup!$G$21),Setup!$C$39:$C$50))&lt;=Setup!$C$16),OR(MONTH(WORKDAY(C362,-(Setup!$C$13+Setup!$G$21),Setup!$C$39:$C$50))&gt;=Setup!$C$15,MONTH(WORKDAY(C362,-(Setup!$C$13+Setup!$G$21),Setup!$C$39:$C$50))&lt;=Setup!$C$16))),WORKDAY(C362,-(Setup!$C$13+Setup!$G$21+Setup!$C$14),Setup!$C$39:$C$50),WORKDAY(C362,-(Setup!$C$13+Setup!$G$21),Setup!$C$39:$C$50))+(357*100+2)/10000000)))</f>
        <v/>
      </c>
      <c r="T362" t="str">
        <f>IF(D362="","",IF(D362&lt;Setup!$C$5-Setup!$C$6,"",IF(IF(ISNUMBER(Roster!$D362),Setup!$C$22&lt;=Roster!$D362,FALSE),"",IF(OR(IF(Setup!$C$15&lt;=Setup!$C$16,AND(MONTH(D362)&gt;=Setup!$C$15,MONTH(D362)&lt;=Setup!$C$16),OR(MONTH(D362)&gt;=Setup!$C$15,MONTH(D362)&lt;=Setup!$C$16)),IF(Setup!$C$15&lt;=Setup!$C$16,AND(MONTH(WORKDAY(D362,-(Setup!$C$13+Setup!$G$22),Setup!$C$39:$C$50))&gt;=Setup!$C$15,MONTH(WORKDAY(D362,-(Setup!$C$13+Setup!$G$22),Setup!$C$39:$C$50))&lt;=Setup!$C$16),OR(MONTH(WORKDAY(D362,-(Setup!$C$13+Setup!$G$22),Setup!$C$39:$C$50))&gt;=Setup!$C$15,MONTH(WORKDAY(D362,-(Setup!$C$13+Setup!$G$22),Setup!$C$39:$C$50))&lt;=Setup!$C$16))),WORKDAY(D362,-(Setup!$C$13+Setup!$G$22+Setup!$C$14),Setup!$C$39:$C$50),WORKDAY(D362,-(Setup!$C$13+Setup!$G$22),Setup!$C$39:$C$50))+(357*100+3)/10000000)))</f>
        <v/>
      </c>
      <c r="U362" t="str">
        <f>IF(E362="","",IF(E362&lt;Setup!$C$5-Setup!$C$6,"",IF(IF(ISNUMBER(Roster!$D362),Setup!$C$23&lt;=Roster!$D362,FALSE),"",IF(OR(IF(Setup!$C$15&lt;=Setup!$C$16,AND(MONTH(E362)&gt;=Setup!$C$15,MONTH(E362)&lt;=Setup!$C$16),OR(MONTH(E362)&gt;=Setup!$C$15,MONTH(E362)&lt;=Setup!$C$16)),IF(Setup!$C$15&lt;=Setup!$C$16,AND(MONTH(WORKDAY(E362,-(Setup!$C$13+Setup!$G$23),Setup!$C$39:$C$50))&gt;=Setup!$C$15,MONTH(WORKDAY(E362,-(Setup!$C$13+Setup!$G$23),Setup!$C$39:$C$50))&lt;=Setup!$C$16),OR(MONTH(WORKDAY(E362,-(Setup!$C$13+Setup!$G$23),Setup!$C$39:$C$50))&gt;=Setup!$C$15,MONTH(WORKDAY(E362,-(Setup!$C$13+Setup!$G$23),Setup!$C$39:$C$50))&lt;=Setup!$C$16))),WORKDAY(E362,-(Setup!$C$13+Setup!$G$23+Setup!$C$14),Setup!$C$39:$C$50),WORKDAY(E362,-(Setup!$C$13+Setup!$G$23),Setup!$C$39:$C$50))+(357*100+4)/10000000)))</f>
        <v/>
      </c>
      <c r="V362" t="str">
        <f>IF(F362="","",IF(F362&lt;Setup!$C$5-Setup!$C$6,"",IF(IF(ISNUMBER(Roster!$D362),Setup!$C$24&lt;=Roster!$D362,FALSE),"",IF(OR(IF(Setup!$C$15&lt;=Setup!$C$16,AND(MONTH(F362)&gt;=Setup!$C$15,MONTH(F362)&lt;=Setup!$C$16),OR(MONTH(F362)&gt;=Setup!$C$15,MONTH(F362)&lt;=Setup!$C$16)),IF(Setup!$C$15&lt;=Setup!$C$16,AND(MONTH(WORKDAY(F362,-(Setup!$C$13+Setup!$G$24),Setup!$C$39:$C$50))&gt;=Setup!$C$15,MONTH(WORKDAY(F362,-(Setup!$C$13+Setup!$G$24),Setup!$C$39:$C$50))&lt;=Setup!$C$16),OR(MONTH(WORKDAY(F362,-(Setup!$C$13+Setup!$G$24),Setup!$C$39:$C$50))&gt;=Setup!$C$15,MONTH(WORKDAY(F362,-(Setup!$C$13+Setup!$G$24),Setup!$C$39:$C$50))&lt;=Setup!$C$16))),WORKDAY(F362,-(Setup!$C$13+Setup!$G$24+Setup!$C$14),Setup!$C$39:$C$50),WORKDAY(F362,-(Setup!$C$13+Setup!$G$24),Setup!$C$39:$C$50))+(357*100+5)/10000000)))</f>
        <v/>
      </c>
      <c r="W362" t="str">
        <f>IF(G362="","",IF(G362&lt;Setup!$C$5-Setup!$C$6,"",IF(IF(ISNUMBER(Roster!$D362),Setup!$C$25&lt;=Roster!$D362,FALSE),"",IF(OR(IF(Setup!$C$15&lt;=Setup!$C$16,AND(MONTH(G362)&gt;=Setup!$C$15,MONTH(G362)&lt;=Setup!$C$16),OR(MONTH(G362)&gt;=Setup!$C$15,MONTH(G362)&lt;=Setup!$C$16)),IF(Setup!$C$15&lt;=Setup!$C$16,AND(MONTH(WORKDAY(G362,-(Setup!$C$13+Setup!$G$25),Setup!$C$39:$C$50))&gt;=Setup!$C$15,MONTH(WORKDAY(G362,-(Setup!$C$13+Setup!$G$25),Setup!$C$39:$C$50))&lt;=Setup!$C$16),OR(MONTH(WORKDAY(G362,-(Setup!$C$13+Setup!$G$25),Setup!$C$39:$C$50))&gt;=Setup!$C$15,MONTH(WORKDAY(G362,-(Setup!$C$13+Setup!$G$25),Setup!$C$39:$C$50))&lt;=Setup!$C$16))),WORKDAY(G362,-(Setup!$C$13+Setup!$G$25+Setup!$C$14),Setup!$C$39:$C$50),WORKDAY(G362,-(Setup!$C$13+Setup!$G$25),Setup!$C$39:$C$50))+(357*100+6)/10000000)))</f>
        <v/>
      </c>
      <c r="X362" t="str">
        <f>IF(H362="","",IF(H362&lt;Setup!$C$5-Setup!$C$6,"",IF(IF(ISNUMBER(Roster!$D362),Setup!$C$26&lt;=Roster!$D362,FALSE),"",IF(OR(IF(Setup!$C$15&lt;=Setup!$C$16,AND(MONTH(H362)&gt;=Setup!$C$15,MONTH(H362)&lt;=Setup!$C$16),OR(MONTH(H362)&gt;=Setup!$C$15,MONTH(H362)&lt;=Setup!$C$16)),IF(Setup!$C$15&lt;=Setup!$C$16,AND(MONTH(WORKDAY(H362,-(Setup!$C$13+Setup!$G$26),Setup!$C$39:$C$50))&gt;=Setup!$C$15,MONTH(WORKDAY(H362,-(Setup!$C$13+Setup!$G$26),Setup!$C$39:$C$50))&lt;=Setup!$C$16),OR(MONTH(WORKDAY(H362,-(Setup!$C$13+Setup!$G$26),Setup!$C$39:$C$50))&gt;=Setup!$C$15,MONTH(WORKDAY(H362,-(Setup!$C$13+Setup!$G$26),Setup!$C$39:$C$50))&lt;=Setup!$C$16))),WORKDAY(H362,-(Setup!$C$13+Setup!$G$26+Setup!$C$14),Setup!$C$39:$C$50),WORKDAY(H362,-(Setup!$C$13+Setup!$G$26),Setup!$C$39:$C$50))+(357*100+7)/10000000)))</f>
        <v/>
      </c>
      <c r="Y362" t="str">
        <f>IF(I362="","",IF(I362&lt;Setup!$C$5-Setup!$C$6,"",IF(IF(ISNUMBER(Roster!$D362),Setup!$C$27&lt;=Roster!$D362,FALSE),"",IF(OR(IF(Setup!$C$15&lt;=Setup!$C$16,AND(MONTH(I362)&gt;=Setup!$C$15,MONTH(I362)&lt;=Setup!$C$16),OR(MONTH(I362)&gt;=Setup!$C$15,MONTH(I362)&lt;=Setup!$C$16)),IF(Setup!$C$15&lt;=Setup!$C$16,AND(MONTH(WORKDAY(I362,-(Setup!$C$13+Setup!$G$27),Setup!$C$39:$C$50))&gt;=Setup!$C$15,MONTH(WORKDAY(I362,-(Setup!$C$13+Setup!$G$27),Setup!$C$39:$C$50))&lt;=Setup!$C$16),OR(MONTH(WORKDAY(I362,-(Setup!$C$13+Setup!$G$27),Setup!$C$39:$C$50))&gt;=Setup!$C$15,MONTH(WORKDAY(I362,-(Setup!$C$13+Setup!$G$27),Setup!$C$39:$C$50))&lt;=Setup!$C$16))),WORKDAY(I362,-(Setup!$C$13+Setup!$G$27+Setup!$C$14),Setup!$C$39:$C$50),WORKDAY(I362,-(Setup!$C$13+Setup!$G$27),Setup!$C$39:$C$50))+(357*100+8)/10000000)))</f>
        <v/>
      </c>
      <c r="Z362" t="str">
        <f>IF(J362="","",IF(J362&lt;Setup!$C$5-Setup!$C$6,"",IF(IF(ISNUMBER(Roster!$D362),Setup!$C$28&lt;=Roster!$D362,FALSE),"",IF(OR(IF(Setup!$C$15&lt;=Setup!$C$16,AND(MONTH(J362)&gt;=Setup!$C$15,MONTH(J362)&lt;=Setup!$C$16),OR(MONTH(J362)&gt;=Setup!$C$15,MONTH(J362)&lt;=Setup!$C$16)),IF(Setup!$C$15&lt;=Setup!$C$16,AND(MONTH(WORKDAY(J362,-(Setup!$C$13+Setup!$G$28),Setup!$C$39:$C$50))&gt;=Setup!$C$15,MONTH(WORKDAY(J362,-(Setup!$C$13+Setup!$G$28),Setup!$C$39:$C$50))&lt;=Setup!$C$16),OR(MONTH(WORKDAY(J362,-(Setup!$C$13+Setup!$G$28),Setup!$C$39:$C$50))&gt;=Setup!$C$15,MONTH(WORKDAY(J362,-(Setup!$C$13+Setup!$G$28),Setup!$C$39:$C$50))&lt;=Setup!$C$16))),WORKDAY(J362,-(Setup!$C$13+Setup!$G$28+Setup!$C$14),Setup!$C$39:$C$50),WORKDAY(J362,-(Setup!$C$13+Setup!$G$28),Setup!$C$39:$C$50))+(357*100+9)/10000000)))</f>
        <v/>
      </c>
      <c r="AA362" t="str">
        <f>IF(K362="","",IF(K362&lt;Setup!$C$5-Setup!$C$6,"",IF(IF(ISNUMBER(Roster!$D362),Setup!$C$29&lt;=Roster!$D362,FALSE),"",IF(OR(IF(Setup!$C$15&lt;=Setup!$C$16,AND(MONTH(K362)&gt;=Setup!$C$15,MONTH(K362)&lt;=Setup!$C$16),OR(MONTH(K362)&gt;=Setup!$C$15,MONTH(K362)&lt;=Setup!$C$16)),IF(Setup!$C$15&lt;=Setup!$C$16,AND(MONTH(WORKDAY(K362,-(Setup!$C$13+Setup!$G$29),Setup!$C$39:$C$50))&gt;=Setup!$C$15,MONTH(WORKDAY(K362,-(Setup!$C$13+Setup!$G$29),Setup!$C$39:$C$50))&lt;=Setup!$C$16),OR(MONTH(WORKDAY(K362,-(Setup!$C$13+Setup!$G$29),Setup!$C$39:$C$50))&gt;=Setup!$C$15,MONTH(WORKDAY(K362,-(Setup!$C$13+Setup!$G$29),Setup!$C$39:$C$50))&lt;=Setup!$C$16))),WORKDAY(K362,-(Setup!$C$13+Setup!$G$29+Setup!$C$14),Setup!$C$39:$C$50),WORKDAY(K362,-(Setup!$C$13+Setup!$G$29),Setup!$C$39:$C$50))+(357*100+10)/10000000)))</f>
        <v/>
      </c>
      <c r="AB362" t="str">
        <f>IF(L362="","",IF(L362&lt;Setup!$C$5-Setup!$C$6,"",IF(IF(ISNUMBER(Roster!$D362),Setup!$C$30&lt;=Roster!$D362,FALSE),"",IF(OR(IF(Setup!$C$15&lt;=Setup!$C$16,AND(MONTH(L362)&gt;=Setup!$C$15,MONTH(L362)&lt;=Setup!$C$16),OR(MONTH(L362)&gt;=Setup!$C$15,MONTH(L362)&lt;=Setup!$C$16)),IF(Setup!$C$15&lt;=Setup!$C$16,AND(MONTH(WORKDAY(L362,-(Setup!$C$13+Setup!$G$30),Setup!$C$39:$C$50))&gt;=Setup!$C$15,MONTH(WORKDAY(L362,-(Setup!$C$13+Setup!$G$30),Setup!$C$39:$C$50))&lt;=Setup!$C$16),OR(MONTH(WORKDAY(L362,-(Setup!$C$13+Setup!$G$30),Setup!$C$39:$C$50))&gt;=Setup!$C$15,MONTH(WORKDAY(L362,-(Setup!$C$13+Setup!$G$30),Setup!$C$39:$C$50))&lt;=Setup!$C$16))),WORKDAY(L362,-(Setup!$C$13+Setup!$G$30+Setup!$C$14),Setup!$C$39:$C$50),WORKDAY(L362,-(Setup!$C$13+Setup!$G$30),Setup!$C$39:$C$50))+(357*100+11)/10000000)))</f>
        <v/>
      </c>
      <c r="AC362" t="str">
        <f>IF(M362="","",IF(M362&lt;Setup!$C$5-Setup!$C$6,"",IF(IF(ISNUMBER(Roster!$D362),Setup!$C$31&lt;=Roster!$D362,FALSE),"",IF(OR(IF(Setup!$C$15&lt;=Setup!$C$16,AND(MONTH(M362)&gt;=Setup!$C$15,MONTH(M362)&lt;=Setup!$C$16),OR(MONTH(M362)&gt;=Setup!$C$15,MONTH(M362)&lt;=Setup!$C$16)),IF(Setup!$C$15&lt;=Setup!$C$16,AND(MONTH(WORKDAY(M362,-(Setup!$C$13+Setup!$G$31),Setup!$C$39:$C$50))&gt;=Setup!$C$15,MONTH(WORKDAY(M362,-(Setup!$C$13+Setup!$G$31),Setup!$C$39:$C$50))&lt;=Setup!$C$16),OR(MONTH(WORKDAY(M362,-(Setup!$C$13+Setup!$G$31),Setup!$C$39:$C$50))&gt;=Setup!$C$15,MONTH(WORKDAY(M362,-(Setup!$C$13+Setup!$G$31),Setup!$C$39:$C$50))&lt;=Setup!$C$16))),WORKDAY(M362,-(Setup!$C$13+Setup!$G$31+Setup!$C$14),Setup!$C$39:$C$50),WORKDAY(M362,-(Setup!$C$13+Setup!$G$31),Setup!$C$39:$C$50))+(357*100+12)/10000000)))</f>
        <v/>
      </c>
      <c r="AD362" t="str">
        <f>IF(N362="","",IF(N362&lt;Setup!$C$5-Setup!$C$6,"",IF(IF(ISNUMBER(Roster!$D362),Setup!$C$32&lt;=Roster!$D362,FALSE),"",IF(OR(IF(Setup!$C$15&lt;=Setup!$C$16,AND(MONTH(N362)&gt;=Setup!$C$15,MONTH(N362)&lt;=Setup!$C$16),OR(MONTH(N362)&gt;=Setup!$C$15,MONTH(N362)&lt;=Setup!$C$16)),IF(Setup!$C$15&lt;=Setup!$C$16,AND(MONTH(WORKDAY(N362,-(Setup!$C$13+Setup!$G$32),Setup!$C$39:$C$50))&gt;=Setup!$C$15,MONTH(WORKDAY(N362,-(Setup!$C$13+Setup!$G$32),Setup!$C$39:$C$50))&lt;=Setup!$C$16),OR(MONTH(WORKDAY(N362,-(Setup!$C$13+Setup!$G$32),Setup!$C$39:$C$50))&gt;=Setup!$C$15,MONTH(WORKDAY(N362,-(Setup!$C$13+Setup!$G$32),Setup!$C$39:$C$50))&lt;=Setup!$C$16))),WORKDAY(N362,-(Setup!$C$13+Setup!$G$32+Setup!$C$14),Setup!$C$39:$C$50),WORKDAY(N362,-(Setup!$C$13+Setup!$G$32),Setup!$C$39:$C$50))+(357*100+13)/10000000)))</f>
        <v/>
      </c>
      <c r="AE362" t="str">
        <f>IF(O362="","",IF(O362&lt;Setup!$C$5-Setup!$C$6,"",IF(IF(ISNUMBER(Roster!$D362),Setup!$C$33&lt;=Roster!$D362,FALSE),"",IF(OR(IF(Setup!$C$15&lt;=Setup!$C$16,AND(MONTH(O362)&gt;=Setup!$C$15,MONTH(O362)&lt;=Setup!$C$16),OR(MONTH(O362)&gt;=Setup!$C$15,MONTH(O362)&lt;=Setup!$C$16)),IF(Setup!$C$15&lt;=Setup!$C$16,AND(MONTH(WORKDAY(O362,-(Setup!$C$13+Setup!$G$33),Setup!$C$39:$C$50))&gt;=Setup!$C$15,MONTH(WORKDAY(O362,-(Setup!$C$13+Setup!$G$33),Setup!$C$39:$C$50))&lt;=Setup!$C$16),OR(MONTH(WORKDAY(O362,-(Setup!$C$13+Setup!$G$33),Setup!$C$39:$C$50))&gt;=Setup!$C$15,MONTH(WORKDAY(O362,-(Setup!$C$13+Setup!$G$33),Setup!$C$39:$C$50))&lt;=Setup!$C$16))),WORKDAY(O362,-(Setup!$C$13+Setup!$G$33+Setup!$C$14),Setup!$C$39:$C$50),WORKDAY(O362,-(Setup!$C$13+Setup!$G$33),Setup!$C$39:$C$50))+(357*100+14)/10000000)))</f>
        <v/>
      </c>
      <c r="AF362" t="str">
        <f>IF(P362="","",IF(P362&lt;Setup!$C$5-Setup!$C$6,"",IF(IF(ISNUMBER(Roster!$D362),Setup!$C$34&lt;=Roster!$D362,FALSE),"",IF(OR(IF(Setup!$C$15&lt;=Setup!$C$16,AND(MONTH(P362)&gt;=Setup!$C$15,MONTH(P362)&lt;=Setup!$C$16),OR(MONTH(P362)&gt;=Setup!$C$15,MONTH(P362)&lt;=Setup!$C$16)),IF(Setup!$C$15&lt;=Setup!$C$16,AND(MONTH(WORKDAY(P362,-(Setup!$C$13+Setup!$G$34),Setup!$C$39:$C$50))&gt;=Setup!$C$15,MONTH(WORKDAY(P362,-(Setup!$C$13+Setup!$G$34),Setup!$C$39:$C$50))&lt;=Setup!$C$16),OR(MONTH(WORKDAY(P362,-(Setup!$C$13+Setup!$G$34),Setup!$C$39:$C$50))&gt;=Setup!$C$15,MONTH(WORKDAY(P362,-(Setup!$C$13+Setup!$G$34),Setup!$C$39:$C$50))&lt;=Setup!$C$16))),WORKDAY(P362,-(Setup!$C$13+Setup!$G$34+Setup!$C$14),Setup!$C$39:$C$50),WORKDAY(P362,-(Setup!$C$13+Setup!$G$34),Setup!$C$39:$C$50))+(357*100+15)/10000000)))</f>
        <v/>
      </c>
      <c r="AH362" t="str">
        <f t="shared" si="41"/>
        <v/>
      </c>
      <c r="AI362" t="str">
        <f t="shared" si="42"/>
        <v/>
      </c>
      <c r="AP362" t="str">
        <f>IF(ISNUMBER(Roster!$B362),MAX(1,YEAR(Setup!$C$5)-YEAR(Roster!$B362)+IF(EDATE(Roster!$B362,12*(YEAR(Setup!$C$5)-YEAR(Roster!$B362)))&lt;Setup!$C$5,1,0)),"")</f>
        <v/>
      </c>
      <c r="AQ362" s="32" t="str">
        <f>IF(AP362="","",EDATE(Roster!$B362,12*AP362))</f>
        <v/>
      </c>
      <c r="AR362" t="str">
        <f>IF(AQ362="","",IF(AQ362&lt;DATE(YEAR(Setup!$C$5)+1,MONTH(Setup!$C$5),DAY(Setup!$C$5)),AQ362+357/1000,""))</f>
        <v/>
      </c>
      <c r="AS362" t="str">
        <f t="shared" si="43"/>
        <v/>
      </c>
      <c r="AT362" t="str">
        <f>IF(AS362="","",IF(ISNUMBER(Roster!$D362),Roster!$D362&gt;=AP362,FALSE))</f>
        <v/>
      </c>
      <c r="AU362" t="str">
        <f t="shared" si="44"/>
        <v/>
      </c>
      <c r="AV362" t="str">
        <f ca="1">IF(357&gt;$AV$2,"",SMALL($AR$6:$AR$505,357))</f>
        <v/>
      </c>
      <c r="AW362" t="str">
        <f t="shared" ca="1" si="45"/>
        <v/>
      </c>
    </row>
    <row r="363" spans="2:49" x14ac:dyDescent="0.2">
      <c r="B363" s="32" t="str">
        <f>IF(AND(ISNUMBER(Roster!$B363),Setup!$B$20="Yes",ISNUMBER(Setup!$C$20)),EDATE(Roster!$B363,12*Setup!$C$20),"")</f>
        <v/>
      </c>
      <c r="C363" s="32" t="str">
        <f>IF(AND(ISNUMBER(Roster!$B363),Setup!$B$21="Yes",ISNUMBER(Setup!$C$21)),EDATE(Roster!$B363,12*Setup!$C$21),"")</f>
        <v/>
      </c>
      <c r="D363" s="32" t="str">
        <f>IF(AND(ISNUMBER(Roster!$B363),Setup!$B$22="Yes",ISNUMBER(Setup!$C$22)),EDATE(Roster!$B363,12*Setup!$C$22),"")</f>
        <v/>
      </c>
      <c r="E363" s="32" t="str">
        <f>IF(AND(ISNUMBER(Roster!$B363),Setup!$B$23="Yes",ISNUMBER(Setup!$C$23)),EDATE(Roster!$B363,12*Setup!$C$23),"")</f>
        <v/>
      </c>
      <c r="F363" s="32" t="str">
        <f>IF(AND(ISNUMBER(Roster!$B363),Setup!$B$24="Yes",ISNUMBER(Setup!$C$24)),EDATE(Roster!$B363,12*Setup!$C$24),"")</f>
        <v/>
      </c>
      <c r="G363" s="32" t="str">
        <f>IF(AND(ISNUMBER(Roster!$B363),Setup!$B$25="Yes",ISNUMBER(Setup!$C$25)),EDATE(Roster!$B363,12*Setup!$C$25),"")</f>
        <v/>
      </c>
      <c r="H363" s="32" t="str">
        <f>IF(AND(ISNUMBER(Roster!$B363),Setup!$B$26="Yes",ISNUMBER(Setup!$C$26)),EDATE(Roster!$B363,12*Setup!$C$26),"")</f>
        <v/>
      </c>
      <c r="I363" s="32" t="str">
        <f>IF(AND(ISNUMBER(Roster!$B363),Setup!$B$27="Yes",ISNUMBER(Setup!$C$27)),EDATE(Roster!$B363,12*Setup!$C$27),"")</f>
        <v/>
      </c>
      <c r="J363" s="32" t="str">
        <f>IF(AND(ISNUMBER(Roster!$B363),Setup!$B$28="Yes",ISNUMBER(Setup!$C$28)),EDATE(Roster!$B363,12*Setup!$C$28),"")</f>
        <v/>
      </c>
      <c r="K363" s="32" t="str">
        <f>IF(AND(ISNUMBER(Roster!$B363),Setup!$B$29="Yes",ISNUMBER(Setup!$C$29)),EDATE(Roster!$B363,12*Setup!$C$29),"")</f>
        <v/>
      </c>
      <c r="L363" s="32" t="str">
        <f>IF(AND(ISNUMBER(Roster!$B363),Setup!$B$30="Yes",ISNUMBER(Setup!$C$30)),EDATE(Roster!$B363,12*Setup!$C$30),"")</f>
        <v/>
      </c>
      <c r="M363" s="32" t="str">
        <f>IF(AND(ISNUMBER(Roster!$B363),Setup!$B$31="Yes",ISNUMBER(Setup!$C$31)),EDATE(Roster!$B363,12*Setup!$C$31),"")</f>
        <v/>
      </c>
      <c r="N363" s="32" t="str">
        <f>IF(AND(ISNUMBER(Roster!$B363),Setup!$B$32="Yes",ISNUMBER(Setup!$C$32)),EDATE(Roster!$B363,12*Setup!$C$32),"")</f>
        <v/>
      </c>
      <c r="O363" s="32" t="str">
        <f>IF(AND(ISNUMBER(Roster!$B363),Setup!$B$33="Yes",ISNUMBER(Setup!$C$33)),EDATE(Roster!$B363,12*Setup!$C$33),"")</f>
        <v/>
      </c>
      <c r="P363" s="32" t="str">
        <f>IF(AND(ISNUMBER(Roster!$B363),Setup!$B$34="Yes",ISNUMBER(Setup!$C$34)),EDATE(Roster!$B363,12*Setup!$C$34),"")</f>
        <v/>
      </c>
      <c r="R363" t="str">
        <f>IF(B363="","",IF(B363&lt;Setup!$C$5-Setup!$C$6,"",IF(IF(ISNUMBER(Roster!$D363),Setup!$C$20&lt;=Roster!$D363,FALSE),"",IF(OR(IF(Setup!$C$15&lt;=Setup!$C$16,AND(MONTH(B363)&gt;=Setup!$C$15,MONTH(B363)&lt;=Setup!$C$16),OR(MONTH(B363)&gt;=Setup!$C$15,MONTH(B363)&lt;=Setup!$C$16)),IF(Setup!$C$15&lt;=Setup!$C$16,AND(MONTH(WORKDAY(B363,-(Setup!$C$13+Setup!$G$20),Setup!$C$39:$C$50))&gt;=Setup!$C$15,MONTH(WORKDAY(B363,-(Setup!$C$13+Setup!$G$20),Setup!$C$39:$C$50))&lt;=Setup!$C$16),OR(MONTH(WORKDAY(B363,-(Setup!$C$13+Setup!$G$20),Setup!$C$39:$C$50))&gt;=Setup!$C$15,MONTH(WORKDAY(B363,-(Setup!$C$13+Setup!$G$20),Setup!$C$39:$C$50))&lt;=Setup!$C$16))),WORKDAY(B363,-(Setup!$C$13+Setup!$G$20+Setup!$C$14),Setup!$C$39:$C$50),WORKDAY(B363,-(Setup!$C$13+Setup!$G$20),Setup!$C$39:$C$50))+(358*100+1)/10000000)))</f>
        <v/>
      </c>
      <c r="S363" t="str">
        <f>IF(C363="","",IF(C363&lt;Setup!$C$5-Setup!$C$6,"",IF(IF(ISNUMBER(Roster!$D363),Setup!$C$21&lt;=Roster!$D363,FALSE),"",IF(OR(IF(Setup!$C$15&lt;=Setup!$C$16,AND(MONTH(C363)&gt;=Setup!$C$15,MONTH(C363)&lt;=Setup!$C$16),OR(MONTH(C363)&gt;=Setup!$C$15,MONTH(C363)&lt;=Setup!$C$16)),IF(Setup!$C$15&lt;=Setup!$C$16,AND(MONTH(WORKDAY(C363,-(Setup!$C$13+Setup!$G$21),Setup!$C$39:$C$50))&gt;=Setup!$C$15,MONTH(WORKDAY(C363,-(Setup!$C$13+Setup!$G$21),Setup!$C$39:$C$50))&lt;=Setup!$C$16),OR(MONTH(WORKDAY(C363,-(Setup!$C$13+Setup!$G$21),Setup!$C$39:$C$50))&gt;=Setup!$C$15,MONTH(WORKDAY(C363,-(Setup!$C$13+Setup!$G$21),Setup!$C$39:$C$50))&lt;=Setup!$C$16))),WORKDAY(C363,-(Setup!$C$13+Setup!$G$21+Setup!$C$14),Setup!$C$39:$C$50),WORKDAY(C363,-(Setup!$C$13+Setup!$G$21),Setup!$C$39:$C$50))+(358*100+2)/10000000)))</f>
        <v/>
      </c>
      <c r="T363" t="str">
        <f>IF(D363="","",IF(D363&lt;Setup!$C$5-Setup!$C$6,"",IF(IF(ISNUMBER(Roster!$D363),Setup!$C$22&lt;=Roster!$D363,FALSE),"",IF(OR(IF(Setup!$C$15&lt;=Setup!$C$16,AND(MONTH(D363)&gt;=Setup!$C$15,MONTH(D363)&lt;=Setup!$C$16),OR(MONTH(D363)&gt;=Setup!$C$15,MONTH(D363)&lt;=Setup!$C$16)),IF(Setup!$C$15&lt;=Setup!$C$16,AND(MONTH(WORKDAY(D363,-(Setup!$C$13+Setup!$G$22),Setup!$C$39:$C$50))&gt;=Setup!$C$15,MONTH(WORKDAY(D363,-(Setup!$C$13+Setup!$G$22),Setup!$C$39:$C$50))&lt;=Setup!$C$16),OR(MONTH(WORKDAY(D363,-(Setup!$C$13+Setup!$G$22),Setup!$C$39:$C$50))&gt;=Setup!$C$15,MONTH(WORKDAY(D363,-(Setup!$C$13+Setup!$G$22),Setup!$C$39:$C$50))&lt;=Setup!$C$16))),WORKDAY(D363,-(Setup!$C$13+Setup!$G$22+Setup!$C$14),Setup!$C$39:$C$50),WORKDAY(D363,-(Setup!$C$13+Setup!$G$22),Setup!$C$39:$C$50))+(358*100+3)/10000000)))</f>
        <v/>
      </c>
      <c r="U363" t="str">
        <f>IF(E363="","",IF(E363&lt;Setup!$C$5-Setup!$C$6,"",IF(IF(ISNUMBER(Roster!$D363),Setup!$C$23&lt;=Roster!$D363,FALSE),"",IF(OR(IF(Setup!$C$15&lt;=Setup!$C$16,AND(MONTH(E363)&gt;=Setup!$C$15,MONTH(E363)&lt;=Setup!$C$16),OR(MONTH(E363)&gt;=Setup!$C$15,MONTH(E363)&lt;=Setup!$C$16)),IF(Setup!$C$15&lt;=Setup!$C$16,AND(MONTH(WORKDAY(E363,-(Setup!$C$13+Setup!$G$23),Setup!$C$39:$C$50))&gt;=Setup!$C$15,MONTH(WORKDAY(E363,-(Setup!$C$13+Setup!$G$23),Setup!$C$39:$C$50))&lt;=Setup!$C$16),OR(MONTH(WORKDAY(E363,-(Setup!$C$13+Setup!$G$23),Setup!$C$39:$C$50))&gt;=Setup!$C$15,MONTH(WORKDAY(E363,-(Setup!$C$13+Setup!$G$23),Setup!$C$39:$C$50))&lt;=Setup!$C$16))),WORKDAY(E363,-(Setup!$C$13+Setup!$G$23+Setup!$C$14),Setup!$C$39:$C$50),WORKDAY(E363,-(Setup!$C$13+Setup!$G$23),Setup!$C$39:$C$50))+(358*100+4)/10000000)))</f>
        <v/>
      </c>
      <c r="V363" t="str">
        <f>IF(F363="","",IF(F363&lt;Setup!$C$5-Setup!$C$6,"",IF(IF(ISNUMBER(Roster!$D363),Setup!$C$24&lt;=Roster!$D363,FALSE),"",IF(OR(IF(Setup!$C$15&lt;=Setup!$C$16,AND(MONTH(F363)&gt;=Setup!$C$15,MONTH(F363)&lt;=Setup!$C$16),OR(MONTH(F363)&gt;=Setup!$C$15,MONTH(F363)&lt;=Setup!$C$16)),IF(Setup!$C$15&lt;=Setup!$C$16,AND(MONTH(WORKDAY(F363,-(Setup!$C$13+Setup!$G$24),Setup!$C$39:$C$50))&gt;=Setup!$C$15,MONTH(WORKDAY(F363,-(Setup!$C$13+Setup!$G$24),Setup!$C$39:$C$50))&lt;=Setup!$C$16),OR(MONTH(WORKDAY(F363,-(Setup!$C$13+Setup!$G$24),Setup!$C$39:$C$50))&gt;=Setup!$C$15,MONTH(WORKDAY(F363,-(Setup!$C$13+Setup!$G$24),Setup!$C$39:$C$50))&lt;=Setup!$C$16))),WORKDAY(F363,-(Setup!$C$13+Setup!$G$24+Setup!$C$14),Setup!$C$39:$C$50),WORKDAY(F363,-(Setup!$C$13+Setup!$G$24),Setup!$C$39:$C$50))+(358*100+5)/10000000)))</f>
        <v/>
      </c>
      <c r="W363" t="str">
        <f>IF(G363="","",IF(G363&lt;Setup!$C$5-Setup!$C$6,"",IF(IF(ISNUMBER(Roster!$D363),Setup!$C$25&lt;=Roster!$D363,FALSE),"",IF(OR(IF(Setup!$C$15&lt;=Setup!$C$16,AND(MONTH(G363)&gt;=Setup!$C$15,MONTH(G363)&lt;=Setup!$C$16),OR(MONTH(G363)&gt;=Setup!$C$15,MONTH(G363)&lt;=Setup!$C$16)),IF(Setup!$C$15&lt;=Setup!$C$16,AND(MONTH(WORKDAY(G363,-(Setup!$C$13+Setup!$G$25),Setup!$C$39:$C$50))&gt;=Setup!$C$15,MONTH(WORKDAY(G363,-(Setup!$C$13+Setup!$G$25),Setup!$C$39:$C$50))&lt;=Setup!$C$16),OR(MONTH(WORKDAY(G363,-(Setup!$C$13+Setup!$G$25),Setup!$C$39:$C$50))&gt;=Setup!$C$15,MONTH(WORKDAY(G363,-(Setup!$C$13+Setup!$G$25),Setup!$C$39:$C$50))&lt;=Setup!$C$16))),WORKDAY(G363,-(Setup!$C$13+Setup!$G$25+Setup!$C$14),Setup!$C$39:$C$50),WORKDAY(G363,-(Setup!$C$13+Setup!$G$25),Setup!$C$39:$C$50))+(358*100+6)/10000000)))</f>
        <v/>
      </c>
      <c r="X363" t="str">
        <f>IF(H363="","",IF(H363&lt;Setup!$C$5-Setup!$C$6,"",IF(IF(ISNUMBER(Roster!$D363),Setup!$C$26&lt;=Roster!$D363,FALSE),"",IF(OR(IF(Setup!$C$15&lt;=Setup!$C$16,AND(MONTH(H363)&gt;=Setup!$C$15,MONTH(H363)&lt;=Setup!$C$16),OR(MONTH(H363)&gt;=Setup!$C$15,MONTH(H363)&lt;=Setup!$C$16)),IF(Setup!$C$15&lt;=Setup!$C$16,AND(MONTH(WORKDAY(H363,-(Setup!$C$13+Setup!$G$26),Setup!$C$39:$C$50))&gt;=Setup!$C$15,MONTH(WORKDAY(H363,-(Setup!$C$13+Setup!$G$26),Setup!$C$39:$C$50))&lt;=Setup!$C$16),OR(MONTH(WORKDAY(H363,-(Setup!$C$13+Setup!$G$26),Setup!$C$39:$C$50))&gt;=Setup!$C$15,MONTH(WORKDAY(H363,-(Setup!$C$13+Setup!$G$26),Setup!$C$39:$C$50))&lt;=Setup!$C$16))),WORKDAY(H363,-(Setup!$C$13+Setup!$G$26+Setup!$C$14),Setup!$C$39:$C$50),WORKDAY(H363,-(Setup!$C$13+Setup!$G$26),Setup!$C$39:$C$50))+(358*100+7)/10000000)))</f>
        <v/>
      </c>
      <c r="Y363" t="str">
        <f>IF(I363="","",IF(I363&lt;Setup!$C$5-Setup!$C$6,"",IF(IF(ISNUMBER(Roster!$D363),Setup!$C$27&lt;=Roster!$D363,FALSE),"",IF(OR(IF(Setup!$C$15&lt;=Setup!$C$16,AND(MONTH(I363)&gt;=Setup!$C$15,MONTH(I363)&lt;=Setup!$C$16),OR(MONTH(I363)&gt;=Setup!$C$15,MONTH(I363)&lt;=Setup!$C$16)),IF(Setup!$C$15&lt;=Setup!$C$16,AND(MONTH(WORKDAY(I363,-(Setup!$C$13+Setup!$G$27),Setup!$C$39:$C$50))&gt;=Setup!$C$15,MONTH(WORKDAY(I363,-(Setup!$C$13+Setup!$G$27),Setup!$C$39:$C$50))&lt;=Setup!$C$16),OR(MONTH(WORKDAY(I363,-(Setup!$C$13+Setup!$G$27),Setup!$C$39:$C$50))&gt;=Setup!$C$15,MONTH(WORKDAY(I363,-(Setup!$C$13+Setup!$G$27),Setup!$C$39:$C$50))&lt;=Setup!$C$16))),WORKDAY(I363,-(Setup!$C$13+Setup!$G$27+Setup!$C$14),Setup!$C$39:$C$50),WORKDAY(I363,-(Setup!$C$13+Setup!$G$27),Setup!$C$39:$C$50))+(358*100+8)/10000000)))</f>
        <v/>
      </c>
      <c r="Z363" t="str">
        <f>IF(J363="","",IF(J363&lt;Setup!$C$5-Setup!$C$6,"",IF(IF(ISNUMBER(Roster!$D363),Setup!$C$28&lt;=Roster!$D363,FALSE),"",IF(OR(IF(Setup!$C$15&lt;=Setup!$C$16,AND(MONTH(J363)&gt;=Setup!$C$15,MONTH(J363)&lt;=Setup!$C$16),OR(MONTH(J363)&gt;=Setup!$C$15,MONTH(J363)&lt;=Setup!$C$16)),IF(Setup!$C$15&lt;=Setup!$C$16,AND(MONTH(WORKDAY(J363,-(Setup!$C$13+Setup!$G$28),Setup!$C$39:$C$50))&gt;=Setup!$C$15,MONTH(WORKDAY(J363,-(Setup!$C$13+Setup!$G$28),Setup!$C$39:$C$50))&lt;=Setup!$C$16),OR(MONTH(WORKDAY(J363,-(Setup!$C$13+Setup!$G$28),Setup!$C$39:$C$50))&gt;=Setup!$C$15,MONTH(WORKDAY(J363,-(Setup!$C$13+Setup!$G$28),Setup!$C$39:$C$50))&lt;=Setup!$C$16))),WORKDAY(J363,-(Setup!$C$13+Setup!$G$28+Setup!$C$14),Setup!$C$39:$C$50),WORKDAY(J363,-(Setup!$C$13+Setup!$G$28),Setup!$C$39:$C$50))+(358*100+9)/10000000)))</f>
        <v/>
      </c>
      <c r="AA363" t="str">
        <f>IF(K363="","",IF(K363&lt;Setup!$C$5-Setup!$C$6,"",IF(IF(ISNUMBER(Roster!$D363),Setup!$C$29&lt;=Roster!$D363,FALSE),"",IF(OR(IF(Setup!$C$15&lt;=Setup!$C$16,AND(MONTH(K363)&gt;=Setup!$C$15,MONTH(K363)&lt;=Setup!$C$16),OR(MONTH(K363)&gt;=Setup!$C$15,MONTH(K363)&lt;=Setup!$C$16)),IF(Setup!$C$15&lt;=Setup!$C$16,AND(MONTH(WORKDAY(K363,-(Setup!$C$13+Setup!$G$29),Setup!$C$39:$C$50))&gt;=Setup!$C$15,MONTH(WORKDAY(K363,-(Setup!$C$13+Setup!$G$29),Setup!$C$39:$C$50))&lt;=Setup!$C$16),OR(MONTH(WORKDAY(K363,-(Setup!$C$13+Setup!$G$29),Setup!$C$39:$C$50))&gt;=Setup!$C$15,MONTH(WORKDAY(K363,-(Setup!$C$13+Setup!$G$29),Setup!$C$39:$C$50))&lt;=Setup!$C$16))),WORKDAY(K363,-(Setup!$C$13+Setup!$G$29+Setup!$C$14),Setup!$C$39:$C$50),WORKDAY(K363,-(Setup!$C$13+Setup!$G$29),Setup!$C$39:$C$50))+(358*100+10)/10000000)))</f>
        <v/>
      </c>
      <c r="AB363" t="str">
        <f>IF(L363="","",IF(L363&lt;Setup!$C$5-Setup!$C$6,"",IF(IF(ISNUMBER(Roster!$D363),Setup!$C$30&lt;=Roster!$D363,FALSE),"",IF(OR(IF(Setup!$C$15&lt;=Setup!$C$16,AND(MONTH(L363)&gt;=Setup!$C$15,MONTH(L363)&lt;=Setup!$C$16),OR(MONTH(L363)&gt;=Setup!$C$15,MONTH(L363)&lt;=Setup!$C$16)),IF(Setup!$C$15&lt;=Setup!$C$16,AND(MONTH(WORKDAY(L363,-(Setup!$C$13+Setup!$G$30),Setup!$C$39:$C$50))&gt;=Setup!$C$15,MONTH(WORKDAY(L363,-(Setup!$C$13+Setup!$G$30),Setup!$C$39:$C$50))&lt;=Setup!$C$16),OR(MONTH(WORKDAY(L363,-(Setup!$C$13+Setup!$G$30),Setup!$C$39:$C$50))&gt;=Setup!$C$15,MONTH(WORKDAY(L363,-(Setup!$C$13+Setup!$G$30),Setup!$C$39:$C$50))&lt;=Setup!$C$16))),WORKDAY(L363,-(Setup!$C$13+Setup!$G$30+Setup!$C$14),Setup!$C$39:$C$50),WORKDAY(L363,-(Setup!$C$13+Setup!$G$30),Setup!$C$39:$C$50))+(358*100+11)/10000000)))</f>
        <v/>
      </c>
      <c r="AC363" t="str">
        <f>IF(M363="","",IF(M363&lt;Setup!$C$5-Setup!$C$6,"",IF(IF(ISNUMBER(Roster!$D363),Setup!$C$31&lt;=Roster!$D363,FALSE),"",IF(OR(IF(Setup!$C$15&lt;=Setup!$C$16,AND(MONTH(M363)&gt;=Setup!$C$15,MONTH(M363)&lt;=Setup!$C$16),OR(MONTH(M363)&gt;=Setup!$C$15,MONTH(M363)&lt;=Setup!$C$16)),IF(Setup!$C$15&lt;=Setup!$C$16,AND(MONTH(WORKDAY(M363,-(Setup!$C$13+Setup!$G$31),Setup!$C$39:$C$50))&gt;=Setup!$C$15,MONTH(WORKDAY(M363,-(Setup!$C$13+Setup!$G$31),Setup!$C$39:$C$50))&lt;=Setup!$C$16),OR(MONTH(WORKDAY(M363,-(Setup!$C$13+Setup!$G$31),Setup!$C$39:$C$50))&gt;=Setup!$C$15,MONTH(WORKDAY(M363,-(Setup!$C$13+Setup!$G$31),Setup!$C$39:$C$50))&lt;=Setup!$C$16))),WORKDAY(M363,-(Setup!$C$13+Setup!$G$31+Setup!$C$14),Setup!$C$39:$C$50),WORKDAY(M363,-(Setup!$C$13+Setup!$G$31),Setup!$C$39:$C$50))+(358*100+12)/10000000)))</f>
        <v/>
      </c>
      <c r="AD363" t="str">
        <f>IF(N363="","",IF(N363&lt;Setup!$C$5-Setup!$C$6,"",IF(IF(ISNUMBER(Roster!$D363),Setup!$C$32&lt;=Roster!$D363,FALSE),"",IF(OR(IF(Setup!$C$15&lt;=Setup!$C$16,AND(MONTH(N363)&gt;=Setup!$C$15,MONTH(N363)&lt;=Setup!$C$16),OR(MONTH(N363)&gt;=Setup!$C$15,MONTH(N363)&lt;=Setup!$C$16)),IF(Setup!$C$15&lt;=Setup!$C$16,AND(MONTH(WORKDAY(N363,-(Setup!$C$13+Setup!$G$32),Setup!$C$39:$C$50))&gt;=Setup!$C$15,MONTH(WORKDAY(N363,-(Setup!$C$13+Setup!$G$32),Setup!$C$39:$C$50))&lt;=Setup!$C$16),OR(MONTH(WORKDAY(N363,-(Setup!$C$13+Setup!$G$32),Setup!$C$39:$C$50))&gt;=Setup!$C$15,MONTH(WORKDAY(N363,-(Setup!$C$13+Setup!$G$32),Setup!$C$39:$C$50))&lt;=Setup!$C$16))),WORKDAY(N363,-(Setup!$C$13+Setup!$G$32+Setup!$C$14),Setup!$C$39:$C$50),WORKDAY(N363,-(Setup!$C$13+Setup!$G$32),Setup!$C$39:$C$50))+(358*100+13)/10000000)))</f>
        <v/>
      </c>
      <c r="AE363" t="str">
        <f>IF(O363="","",IF(O363&lt;Setup!$C$5-Setup!$C$6,"",IF(IF(ISNUMBER(Roster!$D363),Setup!$C$33&lt;=Roster!$D363,FALSE),"",IF(OR(IF(Setup!$C$15&lt;=Setup!$C$16,AND(MONTH(O363)&gt;=Setup!$C$15,MONTH(O363)&lt;=Setup!$C$16),OR(MONTH(O363)&gt;=Setup!$C$15,MONTH(O363)&lt;=Setup!$C$16)),IF(Setup!$C$15&lt;=Setup!$C$16,AND(MONTH(WORKDAY(O363,-(Setup!$C$13+Setup!$G$33),Setup!$C$39:$C$50))&gt;=Setup!$C$15,MONTH(WORKDAY(O363,-(Setup!$C$13+Setup!$G$33),Setup!$C$39:$C$50))&lt;=Setup!$C$16),OR(MONTH(WORKDAY(O363,-(Setup!$C$13+Setup!$G$33),Setup!$C$39:$C$50))&gt;=Setup!$C$15,MONTH(WORKDAY(O363,-(Setup!$C$13+Setup!$G$33),Setup!$C$39:$C$50))&lt;=Setup!$C$16))),WORKDAY(O363,-(Setup!$C$13+Setup!$G$33+Setup!$C$14),Setup!$C$39:$C$50),WORKDAY(O363,-(Setup!$C$13+Setup!$G$33),Setup!$C$39:$C$50))+(358*100+14)/10000000)))</f>
        <v/>
      </c>
      <c r="AF363" t="str">
        <f>IF(P363="","",IF(P363&lt;Setup!$C$5-Setup!$C$6,"",IF(IF(ISNUMBER(Roster!$D363),Setup!$C$34&lt;=Roster!$D363,FALSE),"",IF(OR(IF(Setup!$C$15&lt;=Setup!$C$16,AND(MONTH(P363)&gt;=Setup!$C$15,MONTH(P363)&lt;=Setup!$C$16),OR(MONTH(P363)&gt;=Setup!$C$15,MONTH(P363)&lt;=Setup!$C$16)),IF(Setup!$C$15&lt;=Setup!$C$16,AND(MONTH(WORKDAY(P363,-(Setup!$C$13+Setup!$G$34),Setup!$C$39:$C$50))&gt;=Setup!$C$15,MONTH(WORKDAY(P363,-(Setup!$C$13+Setup!$G$34),Setup!$C$39:$C$50))&lt;=Setup!$C$16),OR(MONTH(WORKDAY(P363,-(Setup!$C$13+Setup!$G$34),Setup!$C$39:$C$50))&gt;=Setup!$C$15,MONTH(WORKDAY(P363,-(Setup!$C$13+Setup!$G$34),Setup!$C$39:$C$50))&lt;=Setup!$C$16))),WORKDAY(P363,-(Setup!$C$13+Setup!$G$34+Setup!$C$14),Setup!$C$39:$C$50),WORKDAY(P363,-(Setup!$C$13+Setup!$G$34),Setup!$C$39:$C$50))+(358*100+15)/10000000)))</f>
        <v/>
      </c>
      <c r="AH363" t="str">
        <f t="shared" si="41"/>
        <v/>
      </c>
      <c r="AI363" t="str">
        <f t="shared" si="42"/>
        <v/>
      </c>
      <c r="AP363" t="str">
        <f>IF(ISNUMBER(Roster!$B363),MAX(1,YEAR(Setup!$C$5)-YEAR(Roster!$B363)+IF(EDATE(Roster!$B363,12*(YEAR(Setup!$C$5)-YEAR(Roster!$B363)))&lt;Setup!$C$5,1,0)),"")</f>
        <v/>
      </c>
      <c r="AQ363" s="32" t="str">
        <f>IF(AP363="","",EDATE(Roster!$B363,12*AP363))</f>
        <v/>
      </c>
      <c r="AR363" t="str">
        <f>IF(AQ363="","",IF(AQ363&lt;DATE(YEAR(Setup!$C$5)+1,MONTH(Setup!$C$5),DAY(Setup!$C$5)),AQ363+358/1000,""))</f>
        <v/>
      </c>
      <c r="AS363" t="str">
        <f t="shared" si="43"/>
        <v/>
      </c>
      <c r="AT363" t="str">
        <f>IF(AS363="","",IF(ISNUMBER(Roster!$D363),Roster!$D363&gt;=AP363,FALSE))</f>
        <v/>
      </c>
      <c r="AU363" t="str">
        <f t="shared" si="44"/>
        <v/>
      </c>
      <c r="AV363" t="str">
        <f ca="1">IF(358&gt;$AV$2,"",SMALL($AR$6:$AR$505,358))</f>
        <v/>
      </c>
      <c r="AW363" t="str">
        <f t="shared" ca="1" si="45"/>
        <v/>
      </c>
    </row>
    <row r="364" spans="2:49" x14ac:dyDescent="0.2">
      <c r="B364" s="32" t="str">
        <f>IF(AND(ISNUMBER(Roster!$B364),Setup!$B$20="Yes",ISNUMBER(Setup!$C$20)),EDATE(Roster!$B364,12*Setup!$C$20),"")</f>
        <v/>
      </c>
      <c r="C364" s="32" t="str">
        <f>IF(AND(ISNUMBER(Roster!$B364),Setup!$B$21="Yes",ISNUMBER(Setup!$C$21)),EDATE(Roster!$B364,12*Setup!$C$21),"")</f>
        <v/>
      </c>
      <c r="D364" s="32" t="str">
        <f>IF(AND(ISNUMBER(Roster!$B364),Setup!$B$22="Yes",ISNUMBER(Setup!$C$22)),EDATE(Roster!$B364,12*Setup!$C$22),"")</f>
        <v/>
      </c>
      <c r="E364" s="32" t="str">
        <f>IF(AND(ISNUMBER(Roster!$B364),Setup!$B$23="Yes",ISNUMBER(Setup!$C$23)),EDATE(Roster!$B364,12*Setup!$C$23),"")</f>
        <v/>
      </c>
      <c r="F364" s="32" t="str">
        <f>IF(AND(ISNUMBER(Roster!$B364),Setup!$B$24="Yes",ISNUMBER(Setup!$C$24)),EDATE(Roster!$B364,12*Setup!$C$24),"")</f>
        <v/>
      </c>
      <c r="G364" s="32" t="str">
        <f>IF(AND(ISNUMBER(Roster!$B364),Setup!$B$25="Yes",ISNUMBER(Setup!$C$25)),EDATE(Roster!$B364,12*Setup!$C$25),"")</f>
        <v/>
      </c>
      <c r="H364" s="32" t="str">
        <f>IF(AND(ISNUMBER(Roster!$B364),Setup!$B$26="Yes",ISNUMBER(Setup!$C$26)),EDATE(Roster!$B364,12*Setup!$C$26),"")</f>
        <v/>
      </c>
      <c r="I364" s="32" t="str">
        <f>IF(AND(ISNUMBER(Roster!$B364),Setup!$B$27="Yes",ISNUMBER(Setup!$C$27)),EDATE(Roster!$B364,12*Setup!$C$27),"")</f>
        <v/>
      </c>
      <c r="J364" s="32" t="str">
        <f>IF(AND(ISNUMBER(Roster!$B364),Setup!$B$28="Yes",ISNUMBER(Setup!$C$28)),EDATE(Roster!$B364,12*Setup!$C$28),"")</f>
        <v/>
      </c>
      <c r="K364" s="32" t="str">
        <f>IF(AND(ISNUMBER(Roster!$B364),Setup!$B$29="Yes",ISNUMBER(Setup!$C$29)),EDATE(Roster!$B364,12*Setup!$C$29),"")</f>
        <v/>
      </c>
      <c r="L364" s="32" t="str">
        <f>IF(AND(ISNUMBER(Roster!$B364),Setup!$B$30="Yes",ISNUMBER(Setup!$C$30)),EDATE(Roster!$B364,12*Setup!$C$30),"")</f>
        <v/>
      </c>
      <c r="M364" s="32" t="str">
        <f>IF(AND(ISNUMBER(Roster!$B364),Setup!$B$31="Yes",ISNUMBER(Setup!$C$31)),EDATE(Roster!$B364,12*Setup!$C$31),"")</f>
        <v/>
      </c>
      <c r="N364" s="32" t="str">
        <f>IF(AND(ISNUMBER(Roster!$B364),Setup!$B$32="Yes",ISNUMBER(Setup!$C$32)),EDATE(Roster!$B364,12*Setup!$C$32),"")</f>
        <v/>
      </c>
      <c r="O364" s="32" t="str">
        <f>IF(AND(ISNUMBER(Roster!$B364),Setup!$B$33="Yes",ISNUMBER(Setup!$C$33)),EDATE(Roster!$B364,12*Setup!$C$33),"")</f>
        <v/>
      </c>
      <c r="P364" s="32" t="str">
        <f>IF(AND(ISNUMBER(Roster!$B364),Setup!$B$34="Yes",ISNUMBER(Setup!$C$34)),EDATE(Roster!$B364,12*Setup!$C$34),"")</f>
        <v/>
      </c>
      <c r="R364" t="str">
        <f>IF(B364="","",IF(B364&lt;Setup!$C$5-Setup!$C$6,"",IF(IF(ISNUMBER(Roster!$D364),Setup!$C$20&lt;=Roster!$D364,FALSE),"",IF(OR(IF(Setup!$C$15&lt;=Setup!$C$16,AND(MONTH(B364)&gt;=Setup!$C$15,MONTH(B364)&lt;=Setup!$C$16),OR(MONTH(B364)&gt;=Setup!$C$15,MONTH(B364)&lt;=Setup!$C$16)),IF(Setup!$C$15&lt;=Setup!$C$16,AND(MONTH(WORKDAY(B364,-(Setup!$C$13+Setup!$G$20),Setup!$C$39:$C$50))&gt;=Setup!$C$15,MONTH(WORKDAY(B364,-(Setup!$C$13+Setup!$G$20),Setup!$C$39:$C$50))&lt;=Setup!$C$16),OR(MONTH(WORKDAY(B364,-(Setup!$C$13+Setup!$G$20),Setup!$C$39:$C$50))&gt;=Setup!$C$15,MONTH(WORKDAY(B364,-(Setup!$C$13+Setup!$G$20),Setup!$C$39:$C$50))&lt;=Setup!$C$16))),WORKDAY(B364,-(Setup!$C$13+Setup!$G$20+Setup!$C$14),Setup!$C$39:$C$50),WORKDAY(B364,-(Setup!$C$13+Setup!$G$20),Setup!$C$39:$C$50))+(359*100+1)/10000000)))</f>
        <v/>
      </c>
      <c r="S364" t="str">
        <f>IF(C364="","",IF(C364&lt;Setup!$C$5-Setup!$C$6,"",IF(IF(ISNUMBER(Roster!$D364),Setup!$C$21&lt;=Roster!$D364,FALSE),"",IF(OR(IF(Setup!$C$15&lt;=Setup!$C$16,AND(MONTH(C364)&gt;=Setup!$C$15,MONTH(C364)&lt;=Setup!$C$16),OR(MONTH(C364)&gt;=Setup!$C$15,MONTH(C364)&lt;=Setup!$C$16)),IF(Setup!$C$15&lt;=Setup!$C$16,AND(MONTH(WORKDAY(C364,-(Setup!$C$13+Setup!$G$21),Setup!$C$39:$C$50))&gt;=Setup!$C$15,MONTH(WORKDAY(C364,-(Setup!$C$13+Setup!$G$21),Setup!$C$39:$C$50))&lt;=Setup!$C$16),OR(MONTH(WORKDAY(C364,-(Setup!$C$13+Setup!$G$21),Setup!$C$39:$C$50))&gt;=Setup!$C$15,MONTH(WORKDAY(C364,-(Setup!$C$13+Setup!$G$21),Setup!$C$39:$C$50))&lt;=Setup!$C$16))),WORKDAY(C364,-(Setup!$C$13+Setup!$G$21+Setup!$C$14),Setup!$C$39:$C$50),WORKDAY(C364,-(Setup!$C$13+Setup!$G$21),Setup!$C$39:$C$50))+(359*100+2)/10000000)))</f>
        <v/>
      </c>
      <c r="T364" t="str">
        <f>IF(D364="","",IF(D364&lt;Setup!$C$5-Setup!$C$6,"",IF(IF(ISNUMBER(Roster!$D364),Setup!$C$22&lt;=Roster!$D364,FALSE),"",IF(OR(IF(Setup!$C$15&lt;=Setup!$C$16,AND(MONTH(D364)&gt;=Setup!$C$15,MONTH(D364)&lt;=Setup!$C$16),OR(MONTH(D364)&gt;=Setup!$C$15,MONTH(D364)&lt;=Setup!$C$16)),IF(Setup!$C$15&lt;=Setup!$C$16,AND(MONTH(WORKDAY(D364,-(Setup!$C$13+Setup!$G$22),Setup!$C$39:$C$50))&gt;=Setup!$C$15,MONTH(WORKDAY(D364,-(Setup!$C$13+Setup!$G$22),Setup!$C$39:$C$50))&lt;=Setup!$C$16),OR(MONTH(WORKDAY(D364,-(Setup!$C$13+Setup!$G$22),Setup!$C$39:$C$50))&gt;=Setup!$C$15,MONTH(WORKDAY(D364,-(Setup!$C$13+Setup!$G$22),Setup!$C$39:$C$50))&lt;=Setup!$C$16))),WORKDAY(D364,-(Setup!$C$13+Setup!$G$22+Setup!$C$14),Setup!$C$39:$C$50),WORKDAY(D364,-(Setup!$C$13+Setup!$G$22),Setup!$C$39:$C$50))+(359*100+3)/10000000)))</f>
        <v/>
      </c>
      <c r="U364" t="str">
        <f>IF(E364="","",IF(E364&lt;Setup!$C$5-Setup!$C$6,"",IF(IF(ISNUMBER(Roster!$D364),Setup!$C$23&lt;=Roster!$D364,FALSE),"",IF(OR(IF(Setup!$C$15&lt;=Setup!$C$16,AND(MONTH(E364)&gt;=Setup!$C$15,MONTH(E364)&lt;=Setup!$C$16),OR(MONTH(E364)&gt;=Setup!$C$15,MONTH(E364)&lt;=Setup!$C$16)),IF(Setup!$C$15&lt;=Setup!$C$16,AND(MONTH(WORKDAY(E364,-(Setup!$C$13+Setup!$G$23),Setup!$C$39:$C$50))&gt;=Setup!$C$15,MONTH(WORKDAY(E364,-(Setup!$C$13+Setup!$G$23),Setup!$C$39:$C$50))&lt;=Setup!$C$16),OR(MONTH(WORKDAY(E364,-(Setup!$C$13+Setup!$G$23),Setup!$C$39:$C$50))&gt;=Setup!$C$15,MONTH(WORKDAY(E364,-(Setup!$C$13+Setup!$G$23),Setup!$C$39:$C$50))&lt;=Setup!$C$16))),WORKDAY(E364,-(Setup!$C$13+Setup!$G$23+Setup!$C$14),Setup!$C$39:$C$50),WORKDAY(E364,-(Setup!$C$13+Setup!$G$23),Setup!$C$39:$C$50))+(359*100+4)/10000000)))</f>
        <v/>
      </c>
      <c r="V364" t="str">
        <f>IF(F364="","",IF(F364&lt;Setup!$C$5-Setup!$C$6,"",IF(IF(ISNUMBER(Roster!$D364),Setup!$C$24&lt;=Roster!$D364,FALSE),"",IF(OR(IF(Setup!$C$15&lt;=Setup!$C$16,AND(MONTH(F364)&gt;=Setup!$C$15,MONTH(F364)&lt;=Setup!$C$16),OR(MONTH(F364)&gt;=Setup!$C$15,MONTH(F364)&lt;=Setup!$C$16)),IF(Setup!$C$15&lt;=Setup!$C$16,AND(MONTH(WORKDAY(F364,-(Setup!$C$13+Setup!$G$24),Setup!$C$39:$C$50))&gt;=Setup!$C$15,MONTH(WORKDAY(F364,-(Setup!$C$13+Setup!$G$24),Setup!$C$39:$C$50))&lt;=Setup!$C$16),OR(MONTH(WORKDAY(F364,-(Setup!$C$13+Setup!$G$24),Setup!$C$39:$C$50))&gt;=Setup!$C$15,MONTH(WORKDAY(F364,-(Setup!$C$13+Setup!$G$24),Setup!$C$39:$C$50))&lt;=Setup!$C$16))),WORKDAY(F364,-(Setup!$C$13+Setup!$G$24+Setup!$C$14),Setup!$C$39:$C$50),WORKDAY(F364,-(Setup!$C$13+Setup!$G$24),Setup!$C$39:$C$50))+(359*100+5)/10000000)))</f>
        <v/>
      </c>
      <c r="W364" t="str">
        <f>IF(G364="","",IF(G364&lt;Setup!$C$5-Setup!$C$6,"",IF(IF(ISNUMBER(Roster!$D364),Setup!$C$25&lt;=Roster!$D364,FALSE),"",IF(OR(IF(Setup!$C$15&lt;=Setup!$C$16,AND(MONTH(G364)&gt;=Setup!$C$15,MONTH(G364)&lt;=Setup!$C$16),OR(MONTH(G364)&gt;=Setup!$C$15,MONTH(G364)&lt;=Setup!$C$16)),IF(Setup!$C$15&lt;=Setup!$C$16,AND(MONTH(WORKDAY(G364,-(Setup!$C$13+Setup!$G$25),Setup!$C$39:$C$50))&gt;=Setup!$C$15,MONTH(WORKDAY(G364,-(Setup!$C$13+Setup!$G$25),Setup!$C$39:$C$50))&lt;=Setup!$C$16),OR(MONTH(WORKDAY(G364,-(Setup!$C$13+Setup!$G$25),Setup!$C$39:$C$50))&gt;=Setup!$C$15,MONTH(WORKDAY(G364,-(Setup!$C$13+Setup!$G$25),Setup!$C$39:$C$50))&lt;=Setup!$C$16))),WORKDAY(G364,-(Setup!$C$13+Setup!$G$25+Setup!$C$14),Setup!$C$39:$C$50),WORKDAY(G364,-(Setup!$C$13+Setup!$G$25),Setup!$C$39:$C$50))+(359*100+6)/10000000)))</f>
        <v/>
      </c>
      <c r="X364" t="str">
        <f>IF(H364="","",IF(H364&lt;Setup!$C$5-Setup!$C$6,"",IF(IF(ISNUMBER(Roster!$D364),Setup!$C$26&lt;=Roster!$D364,FALSE),"",IF(OR(IF(Setup!$C$15&lt;=Setup!$C$16,AND(MONTH(H364)&gt;=Setup!$C$15,MONTH(H364)&lt;=Setup!$C$16),OR(MONTH(H364)&gt;=Setup!$C$15,MONTH(H364)&lt;=Setup!$C$16)),IF(Setup!$C$15&lt;=Setup!$C$16,AND(MONTH(WORKDAY(H364,-(Setup!$C$13+Setup!$G$26),Setup!$C$39:$C$50))&gt;=Setup!$C$15,MONTH(WORKDAY(H364,-(Setup!$C$13+Setup!$G$26),Setup!$C$39:$C$50))&lt;=Setup!$C$16),OR(MONTH(WORKDAY(H364,-(Setup!$C$13+Setup!$G$26),Setup!$C$39:$C$50))&gt;=Setup!$C$15,MONTH(WORKDAY(H364,-(Setup!$C$13+Setup!$G$26),Setup!$C$39:$C$50))&lt;=Setup!$C$16))),WORKDAY(H364,-(Setup!$C$13+Setup!$G$26+Setup!$C$14),Setup!$C$39:$C$50),WORKDAY(H364,-(Setup!$C$13+Setup!$G$26),Setup!$C$39:$C$50))+(359*100+7)/10000000)))</f>
        <v/>
      </c>
      <c r="Y364" t="str">
        <f>IF(I364="","",IF(I364&lt;Setup!$C$5-Setup!$C$6,"",IF(IF(ISNUMBER(Roster!$D364),Setup!$C$27&lt;=Roster!$D364,FALSE),"",IF(OR(IF(Setup!$C$15&lt;=Setup!$C$16,AND(MONTH(I364)&gt;=Setup!$C$15,MONTH(I364)&lt;=Setup!$C$16),OR(MONTH(I364)&gt;=Setup!$C$15,MONTH(I364)&lt;=Setup!$C$16)),IF(Setup!$C$15&lt;=Setup!$C$16,AND(MONTH(WORKDAY(I364,-(Setup!$C$13+Setup!$G$27),Setup!$C$39:$C$50))&gt;=Setup!$C$15,MONTH(WORKDAY(I364,-(Setup!$C$13+Setup!$G$27),Setup!$C$39:$C$50))&lt;=Setup!$C$16),OR(MONTH(WORKDAY(I364,-(Setup!$C$13+Setup!$G$27),Setup!$C$39:$C$50))&gt;=Setup!$C$15,MONTH(WORKDAY(I364,-(Setup!$C$13+Setup!$G$27),Setup!$C$39:$C$50))&lt;=Setup!$C$16))),WORKDAY(I364,-(Setup!$C$13+Setup!$G$27+Setup!$C$14),Setup!$C$39:$C$50),WORKDAY(I364,-(Setup!$C$13+Setup!$G$27),Setup!$C$39:$C$50))+(359*100+8)/10000000)))</f>
        <v/>
      </c>
      <c r="Z364" t="str">
        <f>IF(J364="","",IF(J364&lt;Setup!$C$5-Setup!$C$6,"",IF(IF(ISNUMBER(Roster!$D364),Setup!$C$28&lt;=Roster!$D364,FALSE),"",IF(OR(IF(Setup!$C$15&lt;=Setup!$C$16,AND(MONTH(J364)&gt;=Setup!$C$15,MONTH(J364)&lt;=Setup!$C$16),OR(MONTH(J364)&gt;=Setup!$C$15,MONTH(J364)&lt;=Setup!$C$16)),IF(Setup!$C$15&lt;=Setup!$C$16,AND(MONTH(WORKDAY(J364,-(Setup!$C$13+Setup!$G$28),Setup!$C$39:$C$50))&gt;=Setup!$C$15,MONTH(WORKDAY(J364,-(Setup!$C$13+Setup!$G$28),Setup!$C$39:$C$50))&lt;=Setup!$C$16),OR(MONTH(WORKDAY(J364,-(Setup!$C$13+Setup!$G$28),Setup!$C$39:$C$50))&gt;=Setup!$C$15,MONTH(WORKDAY(J364,-(Setup!$C$13+Setup!$G$28),Setup!$C$39:$C$50))&lt;=Setup!$C$16))),WORKDAY(J364,-(Setup!$C$13+Setup!$G$28+Setup!$C$14),Setup!$C$39:$C$50),WORKDAY(J364,-(Setup!$C$13+Setup!$G$28),Setup!$C$39:$C$50))+(359*100+9)/10000000)))</f>
        <v/>
      </c>
      <c r="AA364" t="str">
        <f>IF(K364="","",IF(K364&lt;Setup!$C$5-Setup!$C$6,"",IF(IF(ISNUMBER(Roster!$D364),Setup!$C$29&lt;=Roster!$D364,FALSE),"",IF(OR(IF(Setup!$C$15&lt;=Setup!$C$16,AND(MONTH(K364)&gt;=Setup!$C$15,MONTH(K364)&lt;=Setup!$C$16),OR(MONTH(K364)&gt;=Setup!$C$15,MONTH(K364)&lt;=Setup!$C$16)),IF(Setup!$C$15&lt;=Setup!$C$16,AND(MONTH(WORKDAY(K364,-(Setup!$C$13+Setup!$G$29),Setup!$C$39:$C$50))&gt;=Setup!$C$15,MONTH(WORKDAY(K364,-(Setup!$C$13+Setup!$G$29),Setup!$C$39:$C$50))&lt;=Setup!$C$16),OR(MONTH(WORKDAY(K364,-(Setup!$C$13+Setup!$G$29),Setup!$C$39:$C$50))&gt;=Setup!$C$15,MONTH(WORKDAY(K364,-(Setup!$C$13+Setup!$G$29),Setup!$C$39:$C$50))&lt;=Setup!$C$16))),WORKDAY(K364,-(Setup!$C$13+Setup!$G$29+Setup!$C$14),Setup!$C$39:$C$50),WORKDAY(K364,-(Setup!$C$13+Setup!$G$29),Setup!$C$39:$C$50))+(359*100+10)/10000000)))</f>
        <v/>
      </c>
      <c r="AB364" t="str">
        <f>IF(L364="","",IF(L364&lt;Setup!$C$5-Setup!$C$6,"",IF(IF(ISNUMBER(Roster!$D364),Setup!$C$30&lt;=Roster!$D364,FALSE),"",IF(OR(IF(Setup!$C$15&lt;=Setup!$C$16,AND(MONTH(L364)&gt;=Setup!$C$15,MONTH(L364)&lt;=Setup!$C$16),OR(MONTH(L364)&gt;=Setup!$C$15,MONTH(L364)&lt;=Setup!$C$16)),IF(Setup!$C$15&lt;=Setup!$C$16,AND(MONTH(WORKDAY(L364,-(Setup!$C$13+Setup!$G$30),Setup!$C$39:$C$50))&gt;=Setup!$C$15,MONTH(WORKDAY(L364,-(Setup!$C$13+Setup!$G$30),Setup!$C$39:$C$50))&lt;=Setup!$C$16),OR(MONTH(WORKDAY(L364,-(Setup!$C$13+Setup!$G$30),Setup!$C$39:$C$50))&gt;=Setup!$C$15,MONTH(WORKDAY(L364,-(Setup!$C$13+Setup!$G$30),Setup!$C$39:$C$50))&lt;=Setup!$C$16))),WORKDAY(L364,-(Setup!$C$13+Setup!$G$30+Setup!$C$14),Setup!$C$39:$C$50),WORKDAY(L364,-(Setup!$C$13+Setup!$G$30),Setup!$C$39:$C$50))+(359*100+11)/10000000)))</f>
        <v/>
      </c>
      <c r="AC364" t="str">
        <f>IF(M364="","",IF(M364&lt;Setup!$C$5-Setup!$C$6,"",IF(IF(ISNUMBER(Roster!$D364),Setup!$C$31&lt;=Roster!$D364,FALSE),"",IF(OR(IF(Setup!$C$15&lt;=Setup!$C$16,AND(MONTH(M364)&gt;=Setup!$C$15,MONTH(M364)&lt;=Setup!$C$16),OR(MONTH(M364)&gt;=Setup!$C$15,MONTH(M364)&lt;=Setup!$C$16)),IF(Setup!$C$15&lt;=Setup!$C$16,AND(MONTH(WORKDAY(M364,-(Setup!$C$13+Setup!$G$31),Setup!$C$39:$C$50))&gt;=Setup!$C$15,MONTH(WORKDAY(M364,-(Setup!$C$13+Setup!$G$31),Setup!$C$39:$C$50))&lt;=Setup!$C$16),OR(MONTH(WORKDAY(M364,-(Setup!$C$13+Setup!$G$31),Setup!$C$39:$C$50))&gt;=Setup!$C$15,MONTH(WORKDAY(M364,-(Setup!$C$13+Setup!$G$31),Setup!$C$39:$C$50))&lt;=Setup!$C$16))),WORKDAY(M364,-(Setup!$C$13+Setup!$G$31+Setup!$C$14),Setup!$C$39:$C$50),WORKDAY(M364,-(Setup!$C$13+Setup!$G$31),Setup!$C$39:$C$50))+(359*100+12)/10000000)))</f>
        <v/>
      </c>
      <c r="AD364" t="str">
        <f>IF(N364="","",IF(N364&lt;Setup!$C$5-Setup!$C$6,"",IF(IF(ISNUMBER(Roster!$D364),Setup!$C$32&lt;=Roster!$D364,FALSE),"",IF(OR(IF(Setup!$C$15&lt;=Setup!$C$16,AND(MONTH(N364)&gt;=Setup!$C$15,MONTH(N364)&lt;=Setup!$C$16),OR(MONTH(N364)&gt;=Setup!$C$15,MONTH(N364)&lt;=Setup!$C$16)),IF(Setup!$C$15&lt;=Setup!$C$16,AND(MONTH(WORKDAY(N364,-(Setup!$C$13+Setup!$G$32),Setup!$C$39:$C$50))&gt;=Setup!$C$15,MONTH(WORKDAY(N364,-(Setup!$C$13+Setup!$G$32),Setup!$C$39:$C$50))&lt;=Setup!$C$16),OR(MONTH(WORKDAY(N364,-(Setup!$C$13+Setup!$G$32),Setup!$C$39:$C$50))&gt;=Setup!$C$15,MONTH(WORKDAY(N364,-(Setup!$C$13+Setup!$G$32),Setup!$C$39:$C$50))&lt;=Setup!$C$16))),WORKDAY(N364,-(Setup!$C$13+Setup!$G$32+Setup!$C$14),Setup!$C$39:$C$50),WORKDAY(N364,-(Setup!$C$13+Setup!$G$32),Setup!$C$39:$C$50))+(359*100+13)/10000000)))</f>
        <v/>
      </c>
      <c r="AE364" t="str">
        <f>IF(O364="","",IF(O364&lt;Setup!$C$5-Setup!$C$6,"",IF(IF(ISNUMBER(Roster!$D364),Setup!$C$33&lt;=Roster!$D364,FALSE),"",IF(OR(IF(Setup!$C$15&lt;=Setup!$C$16,AND(MONTH(O364)&gt;=Setup!$C$15,MONTH(O364)&lt;=Setup!$C$16),OR(MONTH(O364)&gt;=Setup!$C$15,MONTH(O364)&lt;=Setup!$C$16)),IF(Setup!$C$15&lt;=Setup!$C$16,AND(MONTH(WORKDAY(O364,-(Setup!$C$13+Setup!$G$33),Setup!$C$39:$C$50))&gt;=Setup!$C$15,MONTH(WORKDAY(O364,-(Setup!$C$13+Setup!$G$33),Setup!$C$39:$C$50))&lt;=Setup!$C$16),OR(MONTH(WORKDAY(O364,-(Setup!$C$13+Setup!$G$33),Setup!$C$39:$C$50))&gt;=Setup!$C$15,MONTH(WORKDAY(O364,-(Setup!$C$13+Setup!$G$33),Setup!$C$39:$C$50))&lt;=Setup!$C$16))),WORKDAY(O364,-(Setup!$C$13+Setup!$G$33+Setup!$C$14),Setup!$C$39:$C$50),WORKDAY(O364,-(Setup!$C$13+Setup!$G$33),Setup!$C$39:$C$50))+(359*100+14)/10000000)))</f>
        <v/>
      </c>
      <c r="AF364" t="str">
        <f>IF(P364="","",IF(P364&lt;Setup!$C$5-Setup!$C$6,"",IF(IF(ISNUMBER(Roster!$D364),Setup!$C$34&lt;=Roster!$D364,FALSE),"",IF(OR(IF(Setup!$C$15&lt;=Setup!$C$16,AND(MONTH(P364)&gt;=Setup!$C$15,MONTH(P364)&lt;=Setup!$C$16),OR(MONTH(P364)&gt;=Setup!$C$15,MONTH(P364)&lt;=Setup!$C$16)),IF(Setup!$C$15&lt;=Setup!$C$16,AND(MONTH(WORKDAY(P364,-(Setup!$C$13+Setup!$G$34),Setup!$C$39:$C$50))&gt;=Setup!$C$15,MONTH(WORKDAY(P364,-(Setup!$C$13+Setup!$G$34),Setup!$C$39:$C$50))&lt;=Setup!$C$16),OR(MONTH(WORKDAY(P364,-(Setup!$C$13+Setup!$G$34),Setup!$C$39:$C$50))&gt;=Setup!$C$15,MONTH(WORKDAY(P364,-(Setup!$C$13+Setup!$G$34),Setup!$C$39:$C$50))&lt;=Setup!$C$16))),WORKDAY(P364,-(Setup!$C$13+Setup!$G$34+Setup!$C$14),Setup!$C$39:$C$50),WORKDAY(P364,-(Setup!$C$13+Setup!$G$34),Setup!$C$39:$C$50))+(359*100+15)/10000000)))</f>
        <v/>
      </c>
      <c r="AH364" t="str">
        <f t="shared" si="41"/>
        <v/>
      </c>
      <c r="AI364" t="str">
        <f t="shared" si="42"/>
        <v/>
      </c>
      <c r="AP364" t="str">
        <f>IF(ISNUMBER(Roster!$B364),MAX(1,YEAR(Setup!$C$5)-YEAR(Roster!$B364)+IF(EDATE(Roster!$B364,12*(YEAR(Setup!$C$5)-YEAR(Roster!$B364)))&lt;Setup!$C$5,1,0)),"")</f>
        <v/>
      </c>
      <c r="AQ364" s="32" t="str">
        <f>IF(AP364="","",EDATE(Roster!$B364,12*AP364))</f>
        <v/>
      </c>
      <c r="AR364" t="str">
        <f>IF(AQ364="","",IF(AQ364&lt;DATE(YEAR(Setup!$C$5)+1,MONTH(Setup!$C$5),DAY(Setup!$C$5)),AQ364+359/1000,""))</f>
        <v/>
      </c>
      <c r="AS364" t="str">
        <f t="shared" si="43"/>
        <v/>
      </c>
      <c r="AT364" t="str">
        <f>IF(AS364="","",IF(ISNUMBER(Roster!$D364),Roster!$D364&gt;=AP364,FALSE))</f>
        <v/>
      </c>
      <c r="AU364" t="str">
        <f t="shared" si="44"/>
        <v/>
      </c>
      <c r="AV364" t="str">
        <f ca="1">IF(359&gt;$AV$2,"",SMALL($AR$6:$AR$505,359))</f>
        <v/>
      </c>
      <c r="AW364" t="str">
        <f t="shared" ca="1" si="45"/>
        <v/>
      </c>
    </row>
    <row r="365" spans="2:49" x14ac:dyDescent="0.2">
      <c r="B365" s="32" t="str">
        <f>IF(AND(ISNUMBER(Roster!$B365),Setup!$B$20="Yes",ISNUMBER(Setup!$C$20)),EDATE(Roster!$B365,12*Setup!$C$20),"")</f>
        <v/>
      </c>
      <c r="C365" s="32" t="str">
        <f>IF(AND(ISNUMBER(Roster!$B365),Setup!$B$21="Yes",ISNUMBER(Setup!$C$21)),EDATE(Roster!$B365,12*Setup!$C$21),"")</f>
        <v/>
      </c>
      <c r="D365" s="32" t="str">
        <f>IF(AND(ISNUMBER(Roster!$B365),Setup!$B$22="Yes",ISNUMBER(Setup!$C$22)),EDATE(Roster!$B365,12*Setup!$C$22),"")</f>
        <v/>
      </c>
      <c r="E365" s="32" t="str">
        <f>IF(AND(ISNUMBER(Roster!$B365),Setup!$B$23="Yes",ISNUMBER(Setup!$C$23)),EDATE(Roster!$B365,12*Setup!$C$23),"")</f>
        <v/>
      </c>
      <c r="F365" s="32" t="str">
        <f>IF(AND(ISNUMBER(Roster!$B365),Setup!$B$24="Yes",ISNUMBER(Setup!$C$24)),EDATE(Roster!$B365,12*Setup!$C$24),"")</f>
        <v/>
      </c>
      <c r="G365" s="32" t="str">
        <f>IF(AND(ISNUMBER(Roster!$B365),Setup!$B$25="Yes",ISNUMBER(Setup!$C$25)),EDATE(Roster!$B365,12*Setup!$C$25),"")</f>
        <v/>
      </c>
      <c r="H365" s="32" t="str">
        <f>IF(AND(ISNUMBER(Roster!$B365),Setup!$B$26="Yes",ISNUMBER(Setup!$C$26)),EDATE(Roster!$B365,12*Setup!$C$26),"")</f>
        <v/>
      </c>
      <c r="I365" s="32" t="str">
        <f>IF(AND(ISNUMBER(Roster!$B365),Setup!$B$27="Yes",ISNUMBER(Setup!$C$27)),EDATE(Roster!$B365,12*Setup!$C$27),"")</f>
        <v/>
      </c>
      <c r="J365" s="32" t="str">
        <f>IF(AND(ISNUMBER(Roster!$B365),Setup!$B$28="Yes",ISNUMBER(Setup!$C$28)),EDATE(Roster!$B365,12*Setup!$C$28),"")</f>
        <v/>
      </c>
      <c r="K365" s="32" t="str">
        <f>IF(AND(ISNUMBER(Roster!$B365),Setup!$B$29="Yes",ISNUMBER(Setup!$C$29)),EDATE(Roster!$B365,12*Setup!$C$29),"")</f>
        <v/>
      </c>
      <c r="L365" s="32" t="str">
        <f>IF(AND(ISNUMBER(Roster!$B365),Setup!$B$30="Yes",ISNUMBER(Setup!$C$30)),EDATE(Roster!$B365,12*Setup!$C$30),"")</f>
        <v/>
      </c>
      <c r="M365" s="32" t="str">
        <f>IF(AND(ISNUMBER(Roster!$B365),Setup!$B$31="Yes",ISNUMBER(Setup!$C$31)),EDATE(Roster!$B365,12*Setup!$C$31),"")</f>
        <v/>
      </c>
      <c r="N365" s="32" t="str">
        <f>IF(AND(ISNUMBER(Roster!$B365),Setup!$B$32="Yes",ISNUMBER(Setup!$C$32)),EDATE(Roster!$B365,12*Setup!$C$32),"")</f>
        <v/>
      </c>
      <c r="O365" s="32" t="str">
        <f>IF(AND(ISNUMBER(Roster!$B365),Setup!$B$33="Yes",ISNUMBER(Setup!$C$33)),EDATE(Roster!$B365,12*Setup!$C$33),"")</f>
        <v/>
      </c>
      <c r="P365" s="32" t="str">
        <f>IF(AND(ISNUMBER(Roster!$B365),Setup!$B$34="Yes",ISNUMBER(Setup!$C$34)),EDATE(Roster!$B365,12*Setup!$C$34),"")</f>
        <v/>
      </c>
      <c r="R365" t="str">
        <f>IF(B365="","",IF(B365&lt;Setup!$C$5-Setup!$C$6,"",IF(IF(ISNUMBER(Roster!$D365),Setup!$C$20&lt;=Roster!$D365,FALSE),"",IF(OR(IF(Setup!$C$15&lt;=Setup!$C$16,AND(MONTH(B365)&gt;=Setup!$C$15,MONTH(B365)&lt;=Setup!$C$16),OR(MONTH(B365)&gt;=Setup!$C$15,MONTH(B365)&lt;=Setup!$C$16)),IF(Setup!$C$15&lt;=Setup!$C$16,AND(MONTH(WORKDAY(B365,-(Setup!$C$13+Setup!$G$20),Setup!$C$39:$C$50))&gt;=Setup!$C$15,MONTH(WORKDAY(B365,-(Setup!$C$13+Setup!$G$20),Setup!$C$39:$C$50))&lt;=Setup!$C$16),OR(MONTH(WORKDAY(B365,-(Setup!$C$13+Setup!$G$20),Setup!$C$39:$C$50))&gt;=Setup!$C$15,MONTH(WORKDAY(B365,-(Setup!$C$13+Setup!$G$20),Setup!$C$39:$C$50))&lt;=Setup!$C$16))),WORKDAY(B365,-(Setup!$C$13+Setup!$G$20+Setup!$C$14),Setup!$C$39:$C$50),WORKDAY(B365,-(Setup!$C$13+Setup!$G$20),Setup!$C$39:$C$50))+(360*100+1)/10000000)))</f>
        <v/>
      </c>
      <c r="S365" t="str">
        <f>IF(C365="","",IF(C365&lt;Setup!$C$5-Setup!$C$6,"",IF(IF(ISNUMBER(Roster!$D365),Setup!$C$21&lt;=Roster!$D365,FALSE),"",IF(OR(IF(Setup!$C$15&lt;=Setup!$C$16,AND(MONTH(C365)&gt;=Setup!$C$15,MONTH(C365)&lt;=Setup!$C$16),OR(MONTH(C365)&gt;=Setup!$C$15,MONTH(C365)&lt;=Setup!$C$16)),IF(Setup!$C$15&lt;=Setup!$C$16,AND(MONTH(WORKDAY(C365,-(Setup!$C$13+Setup!$G$21),Setup!$C$39:$C$50))&gt;=Setup!$C$15,MONTH(WORKDAY(C365,-(Setup!$C$13+Setup!$G$21),Setup!$C$39:$C$50))&lt;=Setup!$C$16),OR(MONTH(WORKDAY(C365,-(Setup!$C$13+Setup!$G$21),Setup!$C$39:$C$50))&gt;=Setup!$C$15,MONTH(WORKDAY(C365,-(Setup!$C$13+Setup!$G$21),Setup!$C$39:$C$50))&lt;=Setup!$C$16))),WORKDAY(C365,-(Setup!$C$13+Setup!$G$21+Setup!$C$14),Setup!$C$39:$C$50),WORKDAY(C365,-(Setup!$C$13+Setup!$G$21),Setup!$C$39:$C$50))+(360*100+2)/10000000)))</f>
        <v/>
      </c>
      <c r="T365" t="str">
        <f>IF(D365="","",IF(D365&lt;Setup!$C$5-Setup!$C$6,"",IF(IF(ISNUMBER(Roster!$D365),Setup!$C$22&lt;=Roster!$D365,FALSE),"",IF(OR(IF(Setup!$C$15&lt;=Setup!$C$16,AND(MONTH(D365)&gt;=Setup!$C$15,MONTH(D365)&lt;=Setup!$C$16),OR(MONTH(D365)&gt;=Setup!$C$15,MONTH(D365)&lt;=Setup!$C$16)),IF(Setup!$C$15&lt;=Setup!$C$16,AND(MONTH(WORKDAY(D365,-(Setup!$C$13+Setup!$G$22),Setup!$C$39:$C$50))&gt;=Setup!$C$15,MONTH(WORKDAY(D365,-(Setup!$C$13+Setup!$G$22),Setup!$C$39:$C$50))&lt;=Setup!$C$16),OR(MONTH(WORKDAY(D365,-(Setup!$C$13+Setup!$G$22),Setup!$C$39:$C$50))&gt;=Setup!$C$15,MONTH(WORKDAY(D365,-(Setup!$C$13+Setup!$G$22),Setup!$C$39:$C$50))&lt;=Setup!$C$16))),WORKDAY(D365,-(Setup!$C$13+Setup!$G$22+Setup!$C$14),Setup!$C$39:$C$50),WORKDAY(D365,-(Setup!$C$13+Setup!$G$22),Setup!$C$39:$C$50))+(360*100+3)/10000000)))</f>
        <v/>
      </c>
      <c r="U365" t="str">
        <f>IF(E365="","",IF(E365&lt;Setup!$C$5-Setup!$C$6,"",IF(IF(ISNUMBER(Roster!$D365),Setup!$C$23&lt;=Roster!$D365,FALSE),"",IF(OR(IF(Setup!$C$15&lt;=Setup!$C$16,AND(MONTH(E365)&gt;=Setup!$C$15,MONTH(E365)&lt;=Setup!$C$16),OR(MONTH(E365)&gt;=Setup!$C$15,MONTH(E365)&lt;=Setup!$C$16)),IF(Setup!$C$15&lt;=Setup!$C$16,AND(MONTH(WORKDAY(E365,-(Setup!$C$13+Setup!$G$23),Setup!$C$39:$C$50))&gt;=Setup!$C$15,MONTH(WORKDAY(E365,-(Setup!$C$13+Setup!$G$23),Setup!$C$39:$C$50))&lt;=Setup!$C$16),OR(MONTH(WORKDAY(E365,-(Setup!$C$13+Setup!$G$23),Setup!$C$39:$C$50))&gt;=Setup!$C$15,MONTH(WORKDAY(E365,-(Setup!$C$13+Setup!$G$23),Setup!$C$39:$C$50))&lt;=Setup!$C$16))),WORKDAY(E365,-(Setup!$C$13+Setup!$G$23+Setup!$C$14),Setup!$C$39:$C$50),WORKDAY(E365,-(Setup!$C$13+Setup!$G$23),Setup!$C$39:$C$50))+(360*100+4)/10000000)))</f>
        <v/>
      </c>
      <c r="V365" t="str">
        <f>IF(F365="","",IF(F365&lt;Setup!$C$5-Setup!$C$6,"",IF(IF(ISNUMBER(Roster!$D365),Setup!$C$24&lt;=Roster!$D365,FALSE),"",IF(OR(IF(Setup!$C$15&lt;=Setup!$C$16,AND(MONTH(F365)&gt;=Setup!$C$15,MONTH(F365)&lt;=Setup!$C$16),OR(MONTH(F365)&gt;=Setup!$C$15,MONTH(F365)&lt;=Setup!$C$16)),IF(Setup!$C$15&lt;=Setup!$C$16,AND(MONTH(WORKDAY(F365,-(Setup!$C$13+Setup!$G$24),Setup!$C$39:$C$50))&gt;=Setup!$C$15,MONTH(WORKDAY(F365,-(Setup!$C$13+Setup!$G$24),Setup!$C$39:$C$50))&lt;=Setup!$C$16),OR(MONTH(WORKDAY(F365,-(Setup!$C$13+Setup!$G$24),Setup!$C$39:$C$50))&gt;=Setup!$C$15,MONTH(WORKDAY(F365,-(Setup!$C$13+Setup!$G$24),Setup!$C$39:$C$50))&lt;=Setup!$C$16))),WORKDAY(F365,-(Setup!$C$13+Setup!$G$24+Setup!$C$14),Setup!$C$39:$C$50),WORKDAY(F365,-(Setup!$C$13+Setup!$G$24),Setup!$C$39:$C$50))+(360*100+5)/10000000)))</f>
        <v/>
      </c>
      <c r="W365" t="str">
        <f>IF(G365="","",IF(G365&lt;Setup!$C$5-Setup!$C$6,"",IF(IF(ISNUMBER(Roster!$D365),Setup!$C$25&lt;=Roster!$D365,FALSE),"",IF(OR(IF(Setup!$C$15&lt;=Setup!$C$16,AND(MONTH(G365)&gt;=Setup!$C$15,MONTH(G365)&lt;=Setup!$C$16),OR(MONTH(G365)&gt;=Setup!$C$15,MONTH(G365)&lt;=Setup!$C$16)),IF(Setup!$C$15&lt;=Setup!$C$16,AND(MONTH(WORKDAY(G365,-(Setup!$C$13+Setup!$G$25),Setup!$C$39:$C$50))&gt;=Setup!$C$15,MONTH(WORKDAY(G365,-(Setup!$C$13+Setup!$G$25),Setup!$C$39:$C$50))&lt;=Setup!$C$16),OR(MONTH(WORKDAY(G365,-(Setup!$C$13+Setup!$G$25),Setup!$C$39:$C$50))&gt;=Setup!$C$15,MONTH(WORKDAY(G365,-(Setup!$C$13+Setup!$G$25),Setup!$C$39:$C$50))&lt;=Setup!$C$16))),WORKDAY(G365,-(Setup!$C$13+Setup!$G$25+Setup!$C$14),Setup!$C$39:$C$50),WORKDAY(G365,-(Setup!$C$13+Setup!$G$25),Setup!$C$39:$C$50))+(360*100+6)/10000000)))</f>
        <v/>
      </c>
      <c r="X365" t="str">
        <f>IF(H365="","",IF(H365&lt;Setup!$C$5-Setup!$C$6,"",IF(IF(ISNUMBER(Roster!$D365),Setup!$C$26&lt;=Roster!$D365,FALSE),"",IF(OR(IF(Setup!$C$15&lt;=Setup!$C$16,AND(MONTH(H365)&gt;=Setup!$C$15,MONTH(H365)&lt;=Setup!$C$16),OR(MONTH(H365)&gt;=Setup!$C$15,MONTH(H365)&lt;=Setup!$C$16)),IF(Setup!$C$15&lt;=Setup!$C$16,AND(MONTH(WORKDAY(H365,-(Setup!$C$13+Setup!$G$26),Setup!$C$39:$C$50))&gt;=Setup!$C$15,MONTH(WORKDAY(H365,-(Setup!$C$13+Setup!$G$26),Setup!$C$39:$C$50))&lt;=Setup!$C$16),OR(MONTH(WORKDAY(H365,-(Setup!$C$13+Setup!$G$26),Setup!$C$39:$C$50))&gt;=Setup!$C$15,MONTH(WORKDAY(H365,-(Setup!$C$13+Setup!$G$26),Setup!$C$39:$C$50))&lt;=Setup!$C$16))),WORKDAY(H365,-(Setup!$C$13+Setup!$G$26+Setup!$C$14),Setup!$C$39:$C$50),WORKDAY(H365,-(Setup!$C$13+Setup!$G$26),Setup!$C$39:$C$50))+(360*100+7)/10000000)))</f>
        <v/>
      </c>
      <c r="Y365" t="str">
        <f>IF(I365="","",IF(I365&lt;Setup!$C$5-Setup!$C$6,"",IF(IF(ISNUMBER(Roster!$D365),Setup!$C$27&lt;=Roster!$D365,FALSE),"",IF(OR(IF(Setup!$C$15&lt;=Setup!$C$16,AND(MONTH(I365)&gt;=Setup!$C$15,MONTH(I365)&lt;=Setup!$C$16),OR(MONTH(I365)&gt;=Setup!$C$15,MONTH(I365)&lt;=Setup!$C$16)),IF(Setup!$C$15&lt;=Setup!$C$16,AND(MONTH(WORKDAY(I365,-(Setup!$C$13+Setup!$G$27),Setup!$C$39:$C$50))&gt;=Setup!$C$15,MONTH(WORKDAY(I365,-(Setup!$C$13+Setup!$G$27),Setup!$C$39:$C$50))&lt;=Setup!$C$16),OR(MONTH(WORKDAY(I365,-(Setup!$C$13+Setup!$G$27),Setup!$C$39:$C$50))&gt;=Setup!$C$15,MONTH(WORKDAY(I365,-(Setup!$C$13+Setup!$G$27),Setup!$C$39:$C$50))&lt;=Setup!$C$16))),WORKDAY(I365,-(Setup!$C$13+Setup!$G$27+Setup!$C$14),Setup!$C$39:$C$50),WORKDAY(I365,-(Setup!$C$13+Setup!$G$27),Setup!$C$39:$C$50))+(360*100+8)/10000000)))</f>
        <v/>
      </c>
      <c r="Z365" t="str">
        <f>IF(J365="","",IF(J365&lt;Setup!$C$5-Setup!$C$6,"",IF(IF(ISNUMBER(Roster!$D365),Setup!$C$28&lt;=Roster!$D365,FALSE),"",IF(OR(IF(Setup!$C$15&lt;=Setup!$C$16,AND(MONTH(J365)&gt;=Setup!$C$15,MONTH(J365)&lt;=Setup!$C$16),OR(MONTH(J365)&gt;=Setup!$C$15,MONTH(J365)&lt;=Setup!$C$16)),IF(Setup!$C$15&lt;=Setup!$C$16,AND(MONTH(WORKDAY(J365,-(Setup!$C$13+Setup!$G$28),Setup!$C$39:$C$50))&gt;=Setup!$C$15,MONTH(WORKDAY(J365,-(Setup!$C$13+Setup!$G$28),Setup!$C$39:$C$50))&lt;=Setup!$C$16),OR(MONTH(WORKDAY(J365,-(Setup!$C$13+Setup!$G$28),Setup!$C$39:$C$50))&gt;=Setup!$C$15,MONTH(WORKDAY(J365,-(Setup!$C$13+Setup!$G$28),Setup!$C$39:$C$50))&lt;=Setup!$C$16))),WORKDAY(J365,-(Setup!$C$13+Setup!$G$28+Setup!$C$14),Setup!$C$39:$C$50),WORKDAY(J365,-(Setup!$C$13+Setup!$G$28),Setup!$C$39:$C$50))+(360*100+9)/10000000)))</f>
        <v/>
      </c>
      <c r="AA365" t="str">
        <f>IF(K365="","",IF(K365&lt;Setup!$C$5-Setup!$C$6,"",IF(IF(ISNUMBER(Roster!$D365),Setup!$C$29&lt;=Roster!$D365,FALSE),"",IF(OR(IF(Setup!$C$15&lt;=Setup!$C$16,AND(MONTH(K365)&gt;=Setup!$C$15,MONTH(K365)&lt;=Setup!$C$16),OR(MONTH(K365)&gt;=Setup!$C$15,MONTH(K365)&lt;=Setup!$C$16)),IF(Setup!$C$15&lt;=Setup!$C$16,AND(MONTH(WORKDAY(K365,-(Setup!$C$13+Setup!$G$29),Setup!$C$39:$C$50))&gt;=Setup!$C$15,MONTH(WORKDAY(K365,-(Setup!$C$13+Setup!$G$29),Setup!$C$39:$C$50))&lt;=Setup!$C$16),OR(MONTH(WORKDAY(K365,-(Setup!$C$13+Setup!$G$29),Setup!$C$39:$C$50))&gt;=Setup!$C$15,MONTH(WORKDAY(K365,-(Setup!$C$13+Setup!$G$29),Setup!$C$39:$C$50))&lt;=Setup!$C$16))),WORKDAY(K365,-(Setup!$C$13+Setup!$G$29+Setup!$C$14),Setup!$C$39:$C$50),WORKDAY(K365,-(Setup!$C$13+Setup!$G$29),Setup!$C$39:$C$50))+(360*100+10)/10000000)))</f>
        <v/>
      </c>
      <c r="AB365" t="str">
        <f>IF(L365="","",IF(L365&lt;Setup!$C$5-Setup!$C$6,"",IF(IF(ISNUMBER(Roster!$D365),Setup!$C$30&lt;=Roster!$D365,FALSE),"",IF(OR(IF(Setup!$C$15&lt;=Setup!$C$16,AND(MONTH(L365)&gt;=Setup!$C$15,MONTH(L365)&lt;=Setup!$C$16),OR(MONTH(L365)&gt;=Setup!$C$15,MONTH(L365)&lt;=Setup!$C$16)),IF(Setup!$C$15&lt;=Setup!$C$16,AND(MONTH(WORKDAY(L365,-(Setup!$C$13+Setup!$G$30),Setup!$C$39:$C$50))&gt;=Setup!$C$15,MONTH(WORKDAY(L365,-(Setup!$C$13+Setup!$G$30),Setup!$C$39:$C$50))&lt;=Setup!$C$16),OR(MONTH(WORKDAY(L365,-(Setup!$C$13+Setup!$G$30),Setup!$C$39:$C$50))&gt;=Setup!$C$15,MONTH(WORKDAY(L365,-(Setup!$C$13+Setup!$G$30),Setup!$C$39:$C$50))&lt;=Setup!$C$16))),WORKDAY(L365,-(Setup!$C$13+Setup!$G$30+Setup!$C$14),Setup!$C$39:$C$50),WORKDAY(L365,-(Setup!$C$13+Setup!$G$30),Setup!$C$39:$C$50))+(360*100+11)/10000000)))</f>
        <v/>
      </c>
      <c r="AC365" t="str">
        <f>IF(M365="","",IF(M365&lt;Setup!$C$5-Setup!$C$6,"",IF(IF(ISNUMBER(Roster!$D365),Setup!$C$31&lt;=Roster!$D365,FALSE),"",IF(OR(IF(Setup!$C$15&lt;=Setup!$C$16,AND(MONTH(M365)&gt;=Setup!$C$15,MONTH(M365)&lt;=Setup!$C$16),OR(MONTH(M365)&gt;=Setup!$C$15,MONTH(M365)&lt;=Setup!$C$16)),IF(Setup!$C$15&lt;=Setup!$C$16,AND(MONTH(WORKDAY(M365,-(Setup!$C$13+Setup!$G$31),Setup!$C$39:$C$50))&gt;=Setup!$C$15,MONTH(WORKDAY(M365,-(Setup!$C$13+Setup!$G$31),Setup!$C$39:$C$50))&lt;=Setup!$C$16),OR(MONTH(WORKDAY(M365,-(Setup!$C$13+Setup!$G$31),Setup!$C$39:$C$50))&gt;=Setup!$C$15,MONTH(WORKDAY(M365,-(Setup!$C$13+Setup!$G$31),Setup!$C$39:$C$50))&lt;=Setup!$C$16))),WORKDAY(M365,-(Setup!$C$13+Setup!$G$31+Setup!$C$14),Setup!$C$39:$C$50),WORKDAY(M365,-(Setup!$C$13+Setup!$G$31),Setup!$C$39:$C$50))+(360*100+12)/10000000)))</f>
        <v/>
      </c>
      <c r="AD365" t="str">
        <f>IF(N365="","",IF(N365&lt;Setup!$C$5-Setup!$C$6,"",IF(IF(ISNUMBER(Roster!$D365),Setup!$C$32&lt;=Roster!$D365,FALSE),"",IF(OR(IF(Setup!$C$15&lt;=Setup!$C$16,AND(MONTH(N365)&gt;=Setup!$C$15,MONTH(N365)&lt;=Setup!$C$16),OR(MONTH(N365)&gt;=Setup!$C$15,MONTH(N365)&lt;=Setup!$C$16)),IF(Setup!$C$15&lt;=Setup!$C$16,AND(MONTH(WORKDAY(N365,-(Setup!$C$13+Setup!$G$32),Setup!$C$39:$C$50))&gt;=Setup!$C$15,MONTH(WORKDAY(N365,-(Setup!$C$13+Setup!$G$32),Setup!$C$39:$C$50))&lt;=Setup!$C$16),OR(MONTH(WORKDAY(N365,-(Setup!$C$13+Setup!$G$32),Setup!$C$39:$C$50))&gt;=Setup!$C$15,MONTH(WORKDAY(N365,-(Setup!$C$13+Setup!$G$32),Setup!$C$39:$C$50))&lt;=Setup!$C$16))),WORKDAY(N365,-(Setup!$C$13+Setup!$G$32+Setup!$C$14),Setup!$C$39:$C$50),WORKDAY(N365,-(Setup!$C$13+Setup!$G$32),Setup!$C$39:$C$50))+(360*100+13)/10000000)))</f>
        <v/>
      </c>
      <c r="AE365" t="str">
        <f>IF(O365="","",IF(O365&lt;Setup!$C$5-Setup!$C$6,"",IF(IF(ISNUMBER(Roster!$D365),Setup!$C$33&lt;=Roster!$D365,FALSE),"",IF(OR(IF(Setup!$C$15&lt;=Setup!$C$16,AND(MONTH(O365)&gt;=Setup!$C$15,MONTH(O365)&lt;=Setup!$C$16),OR(MONTH(O365)&gt;=Setup!$C$15,MONTH(O365)&lt;=Setup!$C$16)),IF(Setup!$C$15&lt;=Setup!$C$16,AND(MONTH(WORKDAY(O365,-(Setup!$C$13+Setup!$G$33),Setup!$C$39:$C$50))&gt;=Setup!$C$15,MONTH(WORKDAY(O365,-(Setup!$C$13+Setup!$G$33),Setup!$C$39:$C$50))&lt;=Setup!$C$16),OR(MONTH(WORKDAY(O365,-(Setup!$C$13+Setup!$G$33),Setup!$C$39:$C$50))&gt;=Setup!$C$15,MONTH(WORKDAY(O365,-(Setup!$C$13+Setup!$G$33),Setup!$C$39:$C$50))&lt;=Setup!$C$16))),WORKDAY(O365,-(Setup!$C$13+Setup!$G$33+Setup!$C$14),Setup!$C$39:$C$50),WORKDAY(O365,-(Setup!$C$13+Setup!$G$33),Setup!$C$39:$C$50))+(360*100+14)/10000000)))</f>
        <v/>
      </c>
      <c r="AF365" t="str">
        <f>IF(P365="","",IF(P365&lt;Setup!$C$5-Setup!$C$6,"",IF(IF(ISNUMBER(Roster!$D365),Setup!$C$34&lt;=Roster!$D365,FALSE),"",IF(OR(IF(Setup!$C$15&lt;=Setup!$C$16,AND(MONTH(P365)&gt;=Setup!$C$15,MONTH(P365)&lt;=Setup!$C$16),OR(MONTH(P365)&gt;=Setup!$C$15,MONTH(P365)&lt;=Setup!$C$16)),IF(Setup!$C$15&lt;=Setup!$C$16,AND(MONTH(WORKDAY(P365,-(Setup!$C$13+Setup!$G$34),Setup!$C$39:$C$50))&gt;=Setup!$C$15,MONTH(WORKDAY(P365,-(Setup!$C$13+Setup!$G$34),Setup!$C$39:$C$50))&lt;=Setup!$C$16),OR(MONTH(WORKDAY(P365,-(Setup!$C$13+Setup!$G$34),Setup!$C$39:$C$50))&gt;=Setup!$C$15,MONTH(WORKDAY(P365,-(Setup!$C$13+Setup!$G$34),Setup!$C$39:$C$50))&lt;=Setup!$C$16))),WORKDAY(P365,-(Setup!$C$13+Setup!$G$34+Setup!$C$14),Setup!$C$39:$C$50),WORKDAY(P365,-(Setup!$C$13+Setup!$G$34),Setup!$C$39:$C$50))+(360*100+15)/10000000)))</f>
        <v/>
      </c>
      <c r="AH365" t="str">
        <f t="shared" si="41"/>
        <v/>
      </c>
      <c r="AI365" t="str">
        <f t="shared" si="42"/>
        <v/>
      </c>
      <c r="AP365" t="str">
        <f>IF(ISNUMBER(Roster!$B365),MAX(1,YEAR(Setup!$C$5)-YEAR(Roster!$B365)+IF(EDATE(Roster!$B365,12*(YEAR(Setup!$C$5)-YEAR(Roster!$B365)))&lt;Setup!$C$5,1,0)),"")</f>
        <v/>
      </c>
      <c r="AQ365" s="32" t="str">
        <f>IF(AP365="","",EDATE(Roster!$B365,12*AP365))</f>
        <v/>
      </c>
      <c r="AR365" t="str">
        <f>IF(AQ365="","",IF(AQ365&lt;DATE(YEAR(Setup!$C$5)+1,MONTH(Setup!$C$5),DAY(Setup!$C$5)),AQ365+360/1000,""))</f>
        <v/>
      </c>
      <c r="AS365" t="str">
        <f t="shared" si="43"/>
        <v/>
      </c>
      <c r="AT365" t="str">
        <f>IF(AS365="","",IF(ISNUMBER(Roster!$D365),Roster!$D365&gt;=AP365,FALSE))</f>
        <v/>
      </c>
      <c r="AU365" t="str">
        <f t="shared" si="44"/>
        <v/>
      </c>
      <c r="AV365" t="str">
        <f ca="1">IF(360&gt;$AV$2,"",SMALL($AR$6:$AR$505,360))</f>
        <v/>
      </c>
      <c r="AW365" t="str">
        <f t="shared" ca="1" si="45"/>
        <v/>
      </c>
    </row>
    <row r="366" spans="2:49" x14ac:dyDescent="0.2">
      <c r="B366" s="32" t="str">
        <f>IF(AND(ISNUMBER(Roster!$B366),Setup!$B$20="Yes",ISNUMBER(Setup!$C$20)),EDATE(Roster!$B366,12*Setup!$C$20),"")</f>
        <v/>
      </c>
      <c r="C366" s="32" t="str">
        <f>IF(AND(ISNUMBER(Roster!$B366),Setup!$B$21="Yes",ISNUMBER(Setup!$C$21)),EDATE(Roster!$B366,12*Setup!$C$21),"")</f>
        <v/>
      </c>
      <c r="D366" s="32" t="str">
        <f>IF(AND(ISNUMBER(Roster!$B366),Setup!$B$22="Yes",ISNUMBER(Setup!$C$22)),EDATE(Roster!$B366,12*Setup!$C$22),"")</f>
        <v/>
      </c>
      <c r="E366" s="32" t="str">
        <f>IF(AND(ISNUMBER(Roster!$B366),Setup!$B$23="Yes",ISNUMBER(Setup!$C$23)),EDATE(Roster!$B366,12*Setup!$C$23),"")</f>
        <v/>
      </c>
      <c r="F366" s="32" t="str">
        <f>IF(AND(ISNUMBER(Roster!$B366),Setup!$B$24="Yes",ISNUMBER(Setup!$C$24)),EDATE(Roster!$B366,12*Setup!$C$24),"")</f>
        <v/>
      </c>
      <c r="G366" s="32" t="str">
        <f>IF(AND(ISNUMBER(Roster!$B366),Setup!$B$25="Yes",ISNUMBER(Setup!$C$25)),EDATE(Roster!$B366,12*Setup!$C$25),"")</f>
        <v/>
      </c>
      <c r="H366" s="32" t="str">
        <f>IF(AND(ISNUMBER(Roster!$B366),Setup!$B$26="Yes",ISNUMBER(Setup!$C$26)),EDATE(Roster!$B366,12*Setup!$C$26),"")</f>
        <v/>
      </c>
      <c r="I366" s="32" t="str">
        <f>IF(AND(ISNUMBER(Roster!$B366),Setup!$B$27="Yes",ISNUMBER(Setup!$C$27)),EDATE(Roster!$B366,12*Setup!$C$27),"")</f>
        <v/>
      </c>
      <c r="J366" s="32" t="str">
        <f>IF(AND(ISNUMBER(Roster!$B366),Setup!$B$28="Yes",ISNUMBER(Setup!$C$28)),EDATE(Roster!$B366,12*Setup!$C$28),"")</f>
        <v/>
      </c>
      <c r="K366" s="32" t="str">
        <f>IF(AND(ISNUMBER(Roster!$B366),Setup!$B$29="Yes",ISNUMBER(Setup!$C$29)),EDATE(Roster!$B366,12*Setup!$C$29),"")</f>
        <v/>
      </c>
      <c r="L366" s="32" t="str">
        <f>IF(AND(ISNUMBER(Roster!$B366),Setup!$B$30="Yes",ISNUMBER(Setup!$C$30)),EDATE(Roster!$B366,12*Setup!$C$30),"")</f>
        <v/>
      </c>
      <c r="M366" s="32" t="str">
        <f>IF(AND(ISNUMBER(Roster!$B366),Setup!$B$31="Yes",ISNUMBER(Setup!$C$31)),EDATE(Roster!$B366,12*Setup!$C$31),"")</f>
        <v/>
      </c>
      <c r="N366" s="32" t="str">
        <f>IF(AND(ISNUMBER(Roster!$B366),Setup!$B$32="Yes",ISNUMBER(Setup!$C$32)),EDATE(Roster!$B366,12*Setup!$C$32),"")</f>
        <v/>
      </c>
      <c r="O366" s="32" t="str">
        <f>IF(AND(ISNUMBER(Roster!$B366),Setup!$B$33="Yes",ISNUMBER(Setup!$C$33)),EDATE(Roster!$B366,12*Setup!$C$33),"")</f>
        <v/>
      </c>
      <c r="P366" s="32" t="str">
        <f>IF(AND(ISNUMBER(Roster!$B366),Setup!$B$34="Yes",ISNUMBER(Setup!$C$34)),EDATE(Roster!$B366,12*Setup!$C$34),"")</f>
        <v/>
      </c>
      <c r="R366" t="str">
        <f>IF(B366="","",IF(B366&lt;Setup!$C$5-Setup!$C$6,"",IF(IF(ISNUMBER(Roster!$D366),Setup!$C$20&lt;=Roster!$D366,FALSE),"",IF(OR(IF(Setup!$C$15&lt;=Setup!$C$16,AND(MONTH(B366)&gt;=Setup!$C$15,MONTH(B366)&lt;=Setup!$C$16),OR(MONTH(B366)&gt;=Setup!$C$15,MONTH(B366)&lt;=Setup!$C$16)),IF(Setup!$C$15&lt;=Setup!$C$16,AND(MONTH(WORKDAY(B366,-(Setup!$C$13+Setup!$G$20),Setup!$C$39:$C$50))&gt;=Setup!$C$15,MONTH(WORKDAY(B366,-(Setup!$C$13+Setup!$G$20),Setup!$C$39:$C$50))&lt;=Setup!$C$16),OR(MONTH(WORKDAY(B366,-(Setup!$C$13+Setup!$G$20),Setup!$C$39:$C$50))&gt;=Setup!$C$15,MONTH(WORKDAY(B366,-(Setup!$C$13+Setup!$G$20),Setup!$C$39:$C$50))&lt;=Setup!$C$16))),WORKDAY(B366,-(Setup!$C$13+Setup!$G$20+Setup!$C$14),Setup!$C$39:$C$50),WORKDAY(B366,-(Setup!$C$13+Setup!$G$20),Setup!$C$39:$C$50))+(361*100+1)/10000000)))</f>
        <v/>
      </c>
      <c r="S366" t="str">
        <f>IF(C366="","",IF(C366&lt;Setup!$C$5-Setup!$C$6,"",IF(IF(ISNUMBER(Roster!$D366),Setup!$C$21&lt;=Roster!$D366,FALSE),"",IF(OR(IF(Setup!$C$15&lt;=Setup!$C$16,AND(MONTH(C366)&gt;=Setup!$C$15,MONTH(C366)&lt;=Setup!$C$16),OR(MONTH(C366)&gt;=Setup!$C$15,MONTH(C366)&lt;=Setup!$C$16)),IF(Setup!$C$15&lt;=Setup!$C$16,AND(MONTH(WORKDAY(C366,-(Setup!$C$13+Setup!$G$21),Setup!$C$39:$C$50))&gt;=Setup!$C$15,MONTH(WORKDAY(C366,-(Setup!$C$13+Setup!$G$21),Setup!$C$39:$C$50))&lt;=Setup!$C$16),OR(MONTH(WORKDAY(C366,-(Setup!$C$13+Setup!$G$21),Setup!$C$39:$C$50))&gt;=Setup!$C$15,MONTH(WORKDAY(C366,-(Setup!$C$13+Setup!$G$21),Setup!$C$39:$C$50))&lt;=Setup!$C$16))),WORKDAY(C366,-(Setup!$C$13+Setup!$G$21+Setup!$C$14),Setup!$C$39:$C$50),WORKDAY(C366,-(Setup!$C$13+Setup!$G$21),Setup!$C$39:$C$50))+(361*100+2)/10000000)))</f>
        <v/>
      </c>
      <c r="T366" t="str">
        <f>IF(D366="","",IF(D366&lt;Setup!$C$5-Setup!$C$6,"",IF(IF(ISNUMBER(Roster!$D366),Setup!$C$22&lt;=Roster!$D366,FALSE),"",IF(OR(IF(Setup!$C$15&lt;=Setup!$C$16,AND(MONTH(D366)&gt;=Setup!$C$15,MONTH(D366)&lt;=Setup!$C$16),OR(MONTH(D366)&gt;=Setup!$C$15,MONTH(D366)&lt;=Setup!$C$16)),IF(Setup!$C$15&lt;=Setup!$C$16,AND(MONTH(WORKDAY(D366,-(Setup!$C$13+Setup!$G$22),Setup!$C$39:$C$50))&gt;=Setup!$C$15,MONTH(WORKDAY(D366,-(Setup!$C$13+Setup!$G$22),Setup!$C$39:$C$50))&lt;=Setup!$C$16),OR(MONTH(WORKDAY(D366,-(Setup!$C$13+Setup!$G$22),Setup!$C$39:$C$50))&gt;=Setup!$C$15,MONTH(WORKDAY(D366,-(Setup!$C$13+Setup!$G$22),Setup!$C$39:$C$50))&lt;=Setup!$C$16))),WORKDAY(D366,-(Setup!$C$13+Setup!$G$22+Setup!$C$14),Setup!$C$39:$C$50),WORKDAY(D366,-(Setup!$C$13+Setup!$G$22),Setup!$C$39:$C$50))+(361*100+3)/10000000)))</f>
        <v/>
      </c>
      <c r="U366" t="str">
        <f>IF(E366="","",IF(E366&lt;Setup!$C$5-Setup!$C$6,"",IF(IF(ISNUMBER(Roster!$D366),Setup!$C$23&lt;=Roster!$D366,FALSE),"",IF(OR(IF(Setup!$C$15&lt;=Setup!$C$16,AND(MONTH(E366)&gt;=Setup!$C$15,MONTH(E366)&lt;=Setup!$C$16),OR(MONTH(E366)&gt;=Setup!$C$15,MONTH(E366)&lt;=Setup!$C$16)),IF(Setup!$C$15&lt;=Setup!$C$16,AND(MONTH(WORKDAY(E366,-(Setup!$C$13+Setup!$G$23),Setup!$C$39:$C$50))&gt;=Setup!$C$15,MONTH(WORKDAY(E366,-(Setup!$C$13+Setup!$G$23),Setup!$C$39:$C$50))&lt;=Setup!$C$16),OR(MONTH(WORKDAY(E366,-(Setup!$C$13+Setup!$G$23),Setup!$C$39:$C$50))&gt;=Setup!$C$15,MONTH(WORKDAY(E366,-(Setup!$C$13+Setup!$G$23),Setup!$C$39:$C$50))&lt;=Setup!$C$16))),WORKDAY(E366,-(Setup!$C$13+Setup!$G$23+Setup!$C$14),Setup!$C$39:$C$50),WORKDAY(E366,-(Setup!$C$13+Setup!$G$23),Setup!$C$39:$C$50))+(361*100+4)/10000000)))</f>
        <v/>
      </c>
      <c r="V366" t="str">
        <f>IF(F366="","",IF(F366&lt;Setup!$C$5-Setup!$C$6,"",IF(IF(ISNUMBER(Roster!$D366),Setup!$C$24&lt;=Roster!$D366,FALSE),"",IF(OR(IF(Setup!$C$15&lt;=Setup!$C$16,AND(MONTH(F366)&gt;=Setup!$C$15,MONTH(F366)&lt;=Setup!$C$16),OR(MONTH(F366)&gt;=Setup!$C$15,MONTH(F366)&lt;=Setup!$C$16)),IF(Setup!$C$15&lt;=Setup!$C$16,AND(MONTH(WORKDAY(F366,-(Setup!$C$13+Setup!$G$24),Setup!$C$39:$C$50))&gt;=Setup!$C$15,MONTH(WORKDAY(F366,-(Setup!$C$13+Setup!$G$24),Setup!$C$39:$C$50))&lt;=Setup!$C$16),OR(MONTH(WORKDAY(F366,-(Setup!$C$13+Setup!$G$24),Setup!$C$39:$C$50))&gt;=Setup!$C$15,MONTH(WORKDAY(F366,-(Setup!$C$13+Setup!$G$24),Setup!$C$39:$C$50))&lt;=Setup!$C$16))),WORKDAY(F366,-(Setup!$C$13+Setup!$G$24+Setup!$C$14),Setup!$C$39:$C$50),WORKDAY(F366,-(Setup!$C$13+Setup!$G$24),Setup!$C$39:$C$50))+(361*100+5)/10000000)))</f>
        <v/>
      </c>
      <c r="W366" t="str">
        <f>IF(G366="","",IF(G366&lt;Setup!$C$5-Setup!$C$6,"",IF(IF(ISNUMBER(Roster!$D366),Setup!$C$25&lt;=Roster!$D366,FALSE),"",IF(OR(IF(Setup!$C$15&lt;=Setup!$C$16,AND(MONTH(G366)&gt;=Setup!$C$15,MONTH(G366)&lt;=Setup!$C$16),OR(MONTH(G366)&gt;=Setup!$C$15,MONTH(G366)&lt;=Setup!$C$16)),IF(Setup!$C$15&lt;=Setup!$C$16,AND(MONTH(WORKDAY(G366,-(Setup!$C$13+Setup!$G$25),Setup!$C$39:$C$50))&gt;=Setup!$C$15,MONTH(WORKDAY(G366,-(Setup!$C$13+Setup!$G$25),Setup!$C$39:$C$50))&lt;=Setup!$C$16),OR(MONTH(WORKDAY(G366,-(Setup!$C$13+Setup!$G$25),Setup!$C$39:$C$50))&gt;=Setup!$C$15,MONTH(WORKDAY(G366,-(Setup!$C$13+Setup!$G$25),Setup!$C$39:$C$50))&lt;=Setup!$C$16))),WORKDAY(G366,-(Setup!$C$13+Setup!$G$25+Setup!$C$14),Setup!$C$39:$C$50),WORKDAY(G366,-(Setup!$C$13+Setup!$G$25),Setup!$C$39:$C$50))+(361*100+6)/10000000)))</f>
        <v/>
      </c>
      <c r="X366" t="str">
        <f>IF(H366="","",IF(H366&lt;Setup!$C$5-Setup!$C$6,"",IF(IF(ISNUMBER(Roster!$D366),Setup!$C$26&lt;=Roster!$D366,FALSE),"",IF(OR(IF(Setup!$C$15&lt;=Setup!$C$16,AND(MONTH(H366)&gt;=Setup!$C$15,MONTH(H366)&lt;=Setup!$C$16),OR(MONTH(H366)&gt;=Setup!$C$15,MONTH(H366)&lt;=Setup!$C$16)),IF(Setup!$C$15&lt;=Setup!$C$16,AND(MONTH(WORKDAY(H366,-(Setup!$C$13+Setup!$G$26),Setup!$C$39:$C$50))&gt;=Setup!$C$15,MONTH(WORKDAY(H366,-(Setup!$C$13+Setup!$G$26),Setup!$C$39:$C$50))&lt;=Setup!$C$16),OR(MONTH(WORKDAY(H366,-(Setup!$C$13+Setup!$G$26),Setup!$C$39:$C$50))&gt;=Setup!$C$15,MONTH(WORKDAY(H366,-(Setup!$C$13+Setup!$G$26),Setup!$C$39:$C$50))&lt;=Setup!$C$16))),WORKDAY(H366,-(Setup!$C$13+Setup!$G$26+Setup!$C$14),Setup!$C$39:$C$50),WORKDAY(H366,-(Setup!$C$13+Setup!$G$26),Setup!$C$39:$C$50))+(361*100+7)/10000000)))</f>
        <v/>
      </c>
      <c r="Y366" t="str">
        <f>IF(I366="","",IF(I366&lt;Setup!$C$5-Setup!$C$6,"",IF(IF(ISNUMBER(Roster!$D366),Setup!$C$27&lt;=Roster!$D366,FALSE),"",IF(OR(IF(Setup!$C$15&lt;=Setup!$C$16,AND(MONTH(I366)&gt;=Setup!$C$15,MONTH(I366)&lt;=Setup!$C$16),OR(MONTH(I366)&gt;=Setup!$C$15,MONTH(I366)&lt;=Setup!$C$16)),IF(Setup!$C$15&lt;=Setup!$C$16,AND(MONTH(WORKDAY(I366,-(Setup!$C$13+Setup!$G$27),Setup!$C$39:$C$50))&gt;=Setup!$C$15,MONTH(WORKDAY(I366,-(Setup!$C$13+Setup!$G$27),Setup!$C$39:$C$50))&lt;=Setup!$C$16),OR(MONTH(WORKDAY(I366,-(Setup!$C$13+Setup!$G$27),Setup!$C$39:$C$50))&gt;=Setup!$C$15,MONTH(WORKDAY(I366,-(Setup!$C$13+Setup!$G$27),Setup!$C$39:$C$50))&lt;=Setup!$C$16))),WORKDAY(I366,-(Setup!$C$13+Setup!$G$27+Setup!$C$14),Setup!$C$39:$C$50),WORKDAY(I366,-(Setup!$C$13+Setup!$G$27),Setup!$C$39:$C$50))+(361*100+8)/10000000)))</f>
        <v/>
      </c>
      <c r="Z366" t="str">
        <f>IF(J366="","",IF(J366&lt;Setup!$C$5-Setup!$C$6,"",IF(IF(ISNUMBER(Roster!$D366),Setup!$C$28&lt;=Roster!$D366,FALSE),"",IF(OR(IF(Setup!$C$15&lt;=Setup!$C$16,AND(MONTH(J366)&gt;=Setup!$C$15,MONTH(J366)&lt;=Setup!$C$16),OR(MONTH(J366)&gt;=Setup!$C$15,MONTH(J366)&lt;=Setup!$C$16)),IF(Setup!$C$15&lt;=Setup!$C$16,AND(MONTH(WORKDAY(J366,-(Setup!$C$13+Setup!$G$28),Setup!$C$39:$C$50))&gt;=Setup!$C$15,MONTH(WORKDAY(J366,-(Setup!$C$13+Setup!$G$28),Setup!$C$39:$C$50))&lt;=Setup!$C$16),OR(MONTH(WORKDAY(J366,-(Setup!$C$13+Setup!$G$28),Setup!$C$39:$C$50))&gt;=Setup!$C$15,MONTH(WORKDAY(J366,-(Setup!$C$13+Setup!$G$28),Setup!$C$39:$C$50))&lt;=Setup!$C$16))),WORKDAY(J366,-(Setup!$C$13+Setup!$G$28+Setup!$C$14),Setup!$C$39:$C$50),WORKDAY(J366,-(Setup!$C$13+Setup!$G$28),Setup!$C$39:$C$50))+(361*100+9)/10000000)))</f>
        <v/>
      </c>
      <c r="AA366" t="str">
        <f>IF(K366="","",IF(K366&lt;Setup!$C$5-Setup!$C$6,"",IF(IF(ISNUMBER(Roster!$D366),Setup!$C$29&lt;=Roster!$D366,FALSE),"",IF(OR(IF(Setup!$C$15&lt;=Setup!$C$16,AND(MONTH(K366)&gt;=Setup!$C$15,MONTH(K366)&lt;=Setup!$C$16),OR(MONTH(K366)&gt;=Setup!$C$15,MONTH(K366)&lt;=Setup!$C$16)),IF(Setup!$C$15&lt;=Setup!$C$16,AND(MONTH(WORKDAY(K366,-(Setup!$C$13+Setup!$G$29),Setup!$C$39:$C$50))&gt;=Setup!$C$15,MONTH(WORKDAY(K366,-(Setup!$C$13+Setup!$G$29),Setup!$C$39:$C$50))&lt;=Setup!$C$16),OR(MONTH(WORKDAY(K366,-(Setup!$C$13+Setup!$G$29),Setup!$C$39:$C$50))&gt;=Setup!$C$15,MONTH(WORKDAY(K366,-(Setup!$C$13+Setup!$G$29),Setup!$C$39:$C$50))&lt;=Setup!$C$16))),WORKDAY(K366,-(Setup!$C$13+Setup!$G$29+Setup!$C$14),Setup!$C$39:$C$50),WORKDAY(K366,-(Setup!$C$13+Setup!$G$29),Setup!$C$39:$C$50))+(361*100+10)/10000000)))</f>
        <v/>
      </c>
      <c r="AB366" t="str">
        <f>IF(L366="","",IF(L366&lt;Setup!$C$5-Setup!$C$6,"",IF(IF(ISNUMBER(Roster!$D366),Setup!$C$30&lt;=Roster!$D366,FALSE),"",IF(OR(IF(Setup!$C$15&lt;=Setup!$C$16,AND(MONTH(L366)&gt;=Setup!$C$15,MONTH(L366)&lt;=Setup!$C$16),OR(MONTH(L366)&gt;=Setup!$C$15,MONTH(L366)&lt;=Setup!$C$16)),IF(Setup!$C$15&lt;=Setup!$C$16,AND(MONTH(WORKDAY(L366,-(Setup!$C$13+Setup!$G$30),Setup!$C$39:$C$50))&gt;=Setup!$C$15,MONTH(WORKDAY(L366,-(Setup!$C$13+Setup!$G$30),Setup!$C$39:$C$50))&lt;=Setup!$C$16),OR(MONTH(WORKDAY(L366,-(Setup!$C$13+Setup!$G$30),Setup!$C$39:$C$50))&gt;=Setup!$C$15,MONTH(WORKDAY(L366,-(Setup!$C$13+Setup!$G$30),Setup!$C$39:$C$50))&lt;=Setup!$C$16))),WORKDAY(L366,-(Setup!$C$13+Setup!$G$30+Setup!$C$14),Setup!$C$39:$C$50),WORKDAY(L366,-(Setup!$C$13+Setup!$G$30),Setup!$C$39:$C$50))+(361*100+11)/10000000)))</f>
        <v/>
      </c>
      <c r="AC366" t="str">
        <f>IF(M366="","",IF(M366&lt;Setup!$C$5-Setup!$C$6,"",IF(IF(ISNUMBER(Roster!$D366),Setup!$C$31&lt;=Roster!$D366,FALSE),"",IF(OR(IF(Setup!$C$15&lt;=Setup!$C$16,AND(MONTH(M366)&gt;=Setup!$C$15,MONTH(M366)&lt;=Setup!$C$16),OR(MONTH(M366)&gt;=Setup!$C$15,MONTH(M366)&lt;=Setup!$C$16)),IF(Setup!$C$15&lt;=Setup!$C$16,AND(MONTH(WORKDAY(M366,-(Setup!$C$13+Setup!$G$31),Setup!$C$39:$C$50))&gt;=Setup!$C$15,MONTH(WORKDAY(M366,-(Setup!$C$13+Setup!$G$31),Setup!$C$39:$C$50))&lt;=Setup!$C$16),OR(MONTH(WORKDAY(M366,-(Setup!$C$13+Setup!$G$31),Setup!$C$39:$C$50))&gt;=Setup!$C$15,MONTH(WORKDAY(M366,-(Setup!$C$13+Setup!$G$31),Setup!$C$39:$C$50))&lt;=Setup!$C$16))),WORKDAY(M366,-(Setup!$C$13+Setup!$G$31+Setup!$C$14),Setup!$C$39:$C$50),WORKDAY(M366,-(Setup!$C$13+Setup!$G$31),Setup!$C$39:$C$50))+(361*100+12)/10000000)))</f>
        <v/>
      </c>
      <c r="AD366" t="str">
        <f>IF(N366="","",IF(N366&lt;Setup!$C$5-Setup!$C$6,"",IF(IF(ISNUMBER(Roster!$D366),Setup!$C$32&lt;=Roster!$D366,FALSE),"",IF(OR(IF(Setup!$C$15&lt;=Setup!$C$16,AND(MONTH(N366)&gt;=Setup!$C$15,MONTH(N366)&lt;=Setup!$C$16),OR(MONTH(N366)&gt;=Setup!$C$15,MONTH(N366)&lt;=Setup!$C$16)),IF(Setup!$C$15&lt;=Setup!$C$16,AND(MONTH(WORKDAY(N366,-(Setup!$C$13+Setup!$G$32),Setup!$C$39:$C$50))&gt;=Setup!$C$15,MONTH(WORKDAY(N366,-(Setup!$C$13+Setup!$G$32),Setup!$C$39:$C$50))&lt;=Setup!$C$16),OR(MONTH(WORKDAY(N366,-(Setup!$C$13+Setup!$G$32),Setup!$C$39:$C$50))&gt;=Setup!$C$15,MONTH(WORKDAY(N366,-(Setup!$C$13+Setup!$G$32),Setup!$C$39:$C$50))&lt;=Setup!$C$16))),WORKDAY(N366,-(Setup!$C$13+Setup!$G$32+Setup!$C$14),Setup!$C$39:$C$50),WORKDAY(N366,-(Setup!$C$13+Setup!$G$32),Setup!$C$39:$C$50))+(361*100+13)/10000000)))</f>
        <v/>
      </c>
      <c r="AE366" t="str">
        <f>IF(O366="","",IF(O366&lt;Setup!$C$5-Setup!$C$6,"",IF(IF(ISNUMBER(Roster!$D366),Setup!$C$33&lt;=Roster!$D366,FALSE),"",IF(OR(IF(Setup!$C$15&lt;=Setup!$C$16,AND(MONTH(O366)&gt;=Setup!$C$15,MONTH(O366)&lt;=Setup!$C$16),OR(MONTH(O366)&gt;=Setup!$C$15,MONTH(O366)&lt;=Setup!$C$16)),IF(Setup!$C$15&lt;=Setup!$C$16,AND(MONTH(WORKDAY(O366,-(Setup!$C$13+Setup!$G$33),Setup!$C$39:$C$50))&gt;=Setup!$C$15,MONTH(WORKDAY(O366,-(Setup!$C$13+Setup!$G$33),Setup!$C$39:$C$50))&lt;=Setup!$C$16),OR(MONTH(WORKDAY(O366,-(Setup!$C$13+Setup!$G$33),Setup!$C$39:$C$50))&gt;=Setup!$C$15,MONTH(WORKDAY(O366,-(Setup!$C$13+Setup!$G$33),Setup!$C$39:$C$50))&lt;=Setup!$C$16))),WORKDAY(O366,-(Setup!$C$13+Setup!$G$33+Setup!$C$14),Setup!$C$39:$C$50),WORKDAY(O366,-(Setup!$C$13+Setup!$G$33),Setup!$C$39:$C$50))+(361*100+14)/10000000)))</f>
        <v/>
      </c>
      <c r="AF366" t="str">
        <f>IF(P366="","",IF(P366&lt;Setup!$C$5-Setup!$C$6,"",IF(IF(ISNUMBER(Roster!$D366),Setup!$C$34&lt;=Roster!$D366,FALSE),"",IF(OR(IF(Setup!$C$15&lt;=Setup!$C$16,AND(MONTH(P366)&gt;=Setup!$C$15,MONTH(P366)&lt;=Setup!$C$16),OR(MONTH(P366)&gt;=Setup!$C$15,MONTH(P366)&lt;=Setup!$C$16)),IF(Setup!$C$15&lt;=Setup!$C$16,AND(MONTH(WORKDAY(P366,-(Setup!$C$13+Setup!$G$34),Setup!$C$39:$C$50))&gt;=Setup!$C$15,MONTH(WORKDAY(P366,-(Setup!$C$13+Setup!$G$34),Setup!$C$39:$C$50))&lt;=Setup!$C$16),OR(MONTH(WORKDAY(P366,-(Setup!$C$13+Setup!$G$34),Setup!$C$39:$C$50))&gt;=Setup!$C$15,MONTH(WORKDAY(P366,-(Setup!$C$13+Setup!$G$34),Setup!$C$39:$C$50))&lt;=Setup!$C$16))),WORKDAY(P366,-(Setup!$C$13+Setup!$G$34+Setup!$C$14),Setup!$C$39:$C$50),WORKDAY(P366,-(Setup!$C$13+Setup!$G$34),Setup!$C$39:$C$50))+(361*100+15)/10000000)))</f>
        <v/>
      </c>
      <c r="AH366" t="str">
        <f t="shared" si="41"/>
        <v/>
      </c>
      <c r="AI366" t="str">
        <f t="shared" si="42"/>
        <v/>
      </c>
      <c r="AP366" t="str">
        <f>IF(ISNUMBER(Roster!$B366),MAX(1,YEAR(Setup!$C$5)-YEAR(Roster!$B366)+IF(EDATE(Roster!$B366,12*(YEAR(Setup!$C$5)-YEAR(Roster!$B366)))&lt;Setup!$C$5,1,0)),"")</f>
        <v/>
      </c>
      <c r="AQ366" s="32" t="str">
        <f>IF(AP366="","",EDATE(Roster!$B366,12*AP366))</f>
        <v/>
      </c>
      <c r="AR366" t="str">
        <f>IF(AQ366="","",IF(AQ366&lt;DATE(YEAR(Setup!$C$5)+1,MONTH(Setup!$C$5),DAY(Setup!$C$5)),AQ366+361/1000,""))</f>
        <v/>
      </c>
      <c r="AS366" t="str">
        <f t="shared" si="43"/>
        <v/>
      </c>
      <c r="AT366" t="str">
        <f>IF(AS366="","",IF(ISNUMBER(Roster!$D366),Roster!$D366&gt;=AP366,FALSE))</f>
        <v/>
      </c>
      <c r="AU366" t="str">
        <f t="shared" si="44"/>
        <v/>
      </c>
      <c r="AV366" t="str">
        <f ca="1">IF(361&gt;$AV$2,"",SMALL($AR$6:$AR$505,361))</f>
        <v/>
      </c>
      <c r="AW366" t="str">
        <f t="shared" ca="1" si="45"/>
        <v/>
      </c>
    </row>
    <row r="367" spans="2:49" x14ac:dyDescent="0.2">
      <c r="B367" s="32" t="str">
        <f>IF(AND(ISNUMBER(Roster!$B367),Setup!$B$20="Yes",ISNUMBER(Setup!$C$20)),EDATE(Roster!$B367,12*Setup!$C$20),"")</f>
        <v/>
      </c>
      <c r="C367" s="32" t="str">
        <f>IF(AND(ISNUMBER(Roster!$B367),Setup!$B$21="Yes",ISNUMBER(Setup!$C$21)),EDATE(Roster!$B367,12*Setup!$C$21),"")</f>
        <v/>
      </c>
      <c r="D367" s="32" t="str">
        <f>IF(AND(ISNUMBER(Roster!$B367),Setup!$B$22="Yes",ISNUMBER(Setup!$C$22)),EDATE(Roster!$B367,12*Setup!$C$22),"")</f>
        <v/>
      </c>
      <c r="E367" s="32" t="str">
        <f>IF(AND(ISNUMBER(Roster!$B367),Setup!$B$23="Yes",ISNUMBER(Setup!$C$23)),EDATE(Roster!$B367,12*Setup!$C$23),"")</f>
        <v/>
      </c>
      <c r="F367" s="32" t="str">
        <f>IF(AND(ISNUMBER(Roster!$B367),Setup!$B$24="Yes",ISNUMBER(Setup!$C$24)),EDATE(Roster!$B367,12*Setup!$C$24),"")</f>
        <v/>
      </c>
      <c r="G367" s="32" t="str">
        <f>IF(AND(ISNUMBER(Roster!$B367),Setup!$B$25="Yes",ISNUMBER(Setup!$C$25)),EDATE(Roster!$B367,12*Setup!$C$25),"")</f>
        <v/>
      </c>
      <c r="H367" s="32" t="str">
        <f>IF(AND(ISNUMBER(Roster!$B367),Setup!$B$26="Yes",ISNUMBER(Setup!$C$26)),EDATE(Roster!$B367,12*Setup!$C$26),"")</f>
        <v/>
      </c>
      <c r="I367" s="32" t="str">
        <f>IF(AND(ISNUMBER(Roster!$B367),Setup!$B$27="Yes",ISNUMBER(Setup!$C$27)),EDATE(Roster!$B367,12*Setup!$C$27),"")</f>
        <v/>
      </c>
      <c r="J367" s="32" t="str">
        <f>IF(AND(ISNUMBER(Roster!$B367),Setup!$B$28="Yes",ISNUMBER(Setup!$C$28)),EDATE(Roster!$B367,12*Setup!$C$28),"")</f>
        <v/>
      </c>
      <c r="K367" s="32" t="str">
        <f>IF(AND(ISNUMBER(Roster!$B367),Setup!$B$29="Yes",ISNUMBER(Setup!$C$29)),EDATE(Roster!$B367,12*Setup!$C$29),"")</f>
        <v/>
      </c>
      <c r="L367" s="32" t="str">
        <f>IF(AND(ISNUMBER(Roster!$B367),Setup!$B$30="Yes",ISNUMBER(Setup!$C$30)),EDATE(Roster!$B367,12*Setup!$C$30),"")</f>
        <v/>
      </c>
      <c r="M367" s="32" t="str">
        <f>IF(AND(ISNUMBER(Roster!$B367),Setup!$B$31="Yes",ISNUMBER(Setup!$C$31)),EDATE(Roster!$B367,12*Setup!$C$31),"")</f>
        <v/>
      </c>
      <c r="N367" s="32" t="str">
        <f>IF(AND(ISNUMBER(Roster!$B367),Setup!$B$32="Yes",ISNUMBER(Setup!$C$32)),EDATE(Roster!$B367,12*Setup!$C$32),"")</f>
        <v/>
      </c>
      <c r="O367" s="32" t="str">
        <f>IF(AND(ISNUMBER(Roster!$B367),Setup!$B$33="Yes",ISNUMBER(Setup!$C$33)),EDATE(Roster!$B367,12*Setup!$C$33),"")</f>
        <v/>
      </c>
      <c r="P367" s="32" t="str">
        <f>IF(AND(ISNUMBER(Roster!$B367),Setup!$B$34="Yes",ISNUMBER(Setup!$C$34)),EDATE(Roster!$B367,12*Setup!$C$34),"")</f>
        <v/>
      </c>
      <c r="R367" t="str">
        <f>IF(B367="","",IF(B367&lt;Setup!$C$5-Setup!$C$6,"",IF(IF(ISNUMBER(Roster!$D367),Setup!$C$20&lt;=Roster!$D367,FALSE),"",IF(OR(IF(Setup!$C$15&lt;=Setup!$C$16,AND(MONTH(B367)&gt;=Setup!$C$15,MONTH(B367)&lt;=Setup!$C$16),OR(MONTH(B367)&gt;=Setup!$C$15,MONTH(B367)&lt;=Setup!$C$16)),IF(Setup!$C$15&lt;=Setup!$C$16,AND(MONTH(WORKDAY(B367,-(Setup!$C$13+Setup!$G$20),Setup!$C$39:$C$50))&gt;=Setup!$C$15,MONTH(WORKDAY(B367,-(Setup!$C$13+Setup!$G$20),Setup!$C$39:$C$50))&lt;=Setup!$C$16),OR(MONTH(WORKDAY(B367,-(Setup!$C$13+Setup!$G$20),Setup!$C$39:$C$50))&gt;=Setup!$C$15,MONTH(WORKDAY(B367,-(Setup!$C$13+Setup!$G$20),Setup!$C$39:$C$50))&lt;=Setup!$C$16))),WORKDAY(B367,-(Setup!$C$13+Setup!$G$20+Setup!$C$14),Setup!$C$39:$C$50),WORKDAY(B367,-(Setup!$C$13+Setup!$G$20),Setup!$C$39:$C$50))+(362*100+1)/10000000)))</f>
        <v/>
      </c>
      <c r="S367" t="str">
        <f>IF(C367="","",IF(C367&lt;Setup!$C$5-Setup!$C$6,"",IF(IF(ISNUMBER(Roster!$D367),Setup!$C$21&lt;=Roster!$D367,FALSE),"",IF(OR(IF(Setup!$C$15&lt;=Setup!$C$16,AND(MONTH(C367)&gt;=Setup!$C$15,MONTH(C367)&lt;=Setup!$C$16),OR(MONTH(C367)&gt;=Setup!$C$15,MONTH(C367)&lt;=Setup!$C$16)),IF(Setup!$C$15&lt;=Setup!$C$16,AND(MONTH(WORKDAY(C367,-(Setup!$C$13+Setup!$G$21),Setup!$C$39:$C$50))&gt;=Setup!$C$15,MONTH(WORKDAY(C367,-(Setup!$C$13+Setup!$G$21),Setup!$C$39:$C$50))&lt;=Setup!$C$16),OR(MONTH(WORKDAY(C367,-(Setup!$C$13+Setup!$G$21),Setup!$C$39:$C$50))&gt;=Setup!$C$15,MONTH(WORKDAY(C367,-(Setup!$C$13+Setup!$G$21),Setup!$C$39:$C$50))&lt;=Setup!$C$16))),WORKDAY(C367,-(Setup!$C$13+Setup!$G$21+Setup!$C$14),Setup!$C$39:$C$50),WORKDAY(C367,-(Setup!$C$13+Setup!$G$21),Setup!$C$39:$C$50))+(362*100+2)/10000000)))</f>
        <v/>
      </c>
      <c r="T367" t="str">
        <f>IF(D367="","",IF(D367&lt;Setup!$C$5-Setup!$C$6,"",IF(IF(ISNUMBER(Roster!$D367),Setup!$C$22&lt;=Roster!$D367,FALSE),"",IF(OR(IF(Setup!$C$15&lt;=Setup!$C$16,AND(MONTH(D367)&gt;=Setup!$C$15,MONTH(D367)&lt;=Setup!$C$16),OR(MONTH(D367)&gt;=Setup!$C$15,MONTH(D367)&lt;=Setup!$C$16)),IF(Setup!$C$15&lt;=Setup!$C$16,AND(MONTH(WORKDAY(D367,-(Setup!$C$13+Setup!$G$22),Setup!$C$39:$C$50))&gt;=Setup!$C$15,MONTH(WORKDAY(D367,-(Setup!$C$13+Setup!$G$22),Setup!$C$39:$C$50))&lt;=Setup!$C$16),OR(MONTH(WORKDAY(D367,-(Setup!$C$13+Setup!$G$22),Setup!$C$39:$C$50))&gt;=Setup!$C$15,MONTH(WORKDAY(D367,-(Setup!$C$13+Setup!$G$22),Setup!$C$39:$C$50))&lt;=Setup!$C$16))),WORKDAY(D367,-(Setup!$C$13+Setup!$G$22+Setup!$C$14),Setup!$C$39:$C$50),WORKDAY(D367,-(Setup!$C$13+Setup!$G$22),Setup!$C$39:$C$50))+(362*100+3)/10000000)))</f>
        <v/>
      </c>
      <c r="U367" t="str">
        <f>IF(E367="","",IF(E367&lt;Setup!$C$5-Setup!$C$6,"",IF(IF(ISNUMBER(Roster!$D367),Setup!$C$23&lt;=Roster!$D367,FALSE),"",IF(OR(IF(Setup!$C$15&lt;=Setup!$C$16,AND(MONTH(E367)&gt;=Setup!$C$15,MONTH(E367)&lt;=Setup!$C$16),OR(MONTH(E367)&gt;=Setup!$C$15,MONTH(E367)&lt;=Setup!$C$16)),IF(Setup!$C$15&lt;=Setup!$C$16,AND(MONTH(WORKDAY(E367,-(Setup!$C$13+Setup!$G$23),Setup!$C$39:$C$50))&gt;=Setup!$C$15,MONTH(WORKDAY(E367,-(Setup!$C$13+Setup!$G$23),Setup!$C$39:$C$50))&lt;=Setup!$C$16),OR(MONTH(WORKDAY(E367,-(Setup!$C$13+Setup!$G$23),Setup!$C$39:$C$50))&gt;=Setup!$C$15,MONTH(WORKDAY(E367,-(Setup!$C$13+Setup!$G$23),Setup!$C$39:$C$50))&lt;=Setup!$C$16))),WORKDAY(E367,-(Setup!$C$13+Setup!$G$23+Setup!$C$14),Setup!$C$39:$C$50),WORKDAY(E367,-(Setup!$C$13+Setup!$G$23),Setup!$C$39:$C$50))+(362*100+4)/10000000)))</f>
        <v/>
      </c>
      <c r="V367" t="str">
        <f>IF(F367="","",IF(F367&lt;Setup!$C$5-Setup!$C$6,"",IF(IF(ISNUMBER(Roster!$D367),Setup!$C$24&lt;=Roster!$D367,FALSE),"",IF(OR(IF(Setup!$C$15&lt;=Setup!$C$16,AND(MONTH(F367)&gt;=Setup!$C$15,MONTH(F367)&lt;=Setup!$C$16),OR(MONTH(F367)&gt;=Setup!$C$15,MONTH(F367)&lt;=Setup!$C$16)),IF(Setup!$C$15&lt;=Setup!$C$16,AND(MONTH(WORKDAY(F367,-(Setup!$C$13+Setup!$G$24),Setup!$C$39:$C$50))&gt;=Setup!$C$15,MONTH(WORKDAY(F367,-(Setup!$C$13+Setup!$G$24),Setup!$C$39:$C$50))&lt;=Setup!$C$16),OR(MONTH(WORKDAY(F367,-(Setup!$C$13+Setup!$G$24),Setup!$C$39:$C$50))&gt;=Setup!$C$15,MONTH(WORKDAY(F367,-(Setup!$C$13+Setup!$G$24),Setup!$C$39:$C$50))&lt;=Setup!$C$16))),WORKDAY(F367,-(Setup!$C$13+Setup!$G$24+Setup!$C$14),Setup!$C$39:$C$50),WORKDAY(F367,-(Setup!$C$13+Setup!$G$24),Setup!$C$39:$C$50))+(362*100+5)/10000000)))</f>
        <v/>
      </c>
      <c r="W367" t="str">
        <f>IF(G367="","",IF(G367&lt;Setup!$C$5-Setup!$C$6,"",IF(IF(ISNUMBER(Roster!$D367),Setup!$C$25&lt;=Roster!$D367,FALSE),"",IF(OR(IF(Setup!$C$15&lt;=Setup!$C$16,AND(MONTH(G367)&gt;=Setup!$C$15,MONTH(G367)&lt;=Setup!$C$16),OR(MONTH(G367)&gt;=Setup!$C$15,MONTH(G367)&lt;=Setup!$C$16)),IF(Setup!$C$15&lt;=Setup!$C$16,AND(MONTH(WORKDAY(G367,-(Setup!$C$13+Setup!$G$25),Setup!$C$39:$C$50))&gt;=Setup!$C$15,MONTH(WORKDAY(G367,-(Setup!$C$13+Setup!$G$25),Setup!$C$39:$C$50))&lt;=Setup!$C$16),OR(MONTH(WORKDAY(G367,-(Setup!$C$13+Setup!$G$25),Setup!$C$39:$C$50))&gt;=Setup!$C$15,MONTH(WORKDAY(G367,-(Setup!$C$13+Setup!$G$25),Setup!$C$39:$C$50))&lt;=Setup!$C$16))),WORKDAY(G367,-(Setup!$C$13+Setup!$G$25+Setup!$C$14),Setup!$C$39:$C$50),WORKDAY(G367,-(Setup!$C$13+Setup!$G$25),Setup!$C$39:$C$50))+(362*100+6)/10000000)))</f>
        <v/>
      </c>
      <c r="X367" t="str">
        <f>IF(H367="","",IF(H367&lt;Setup!$C$5-Setup!$C$6,"",IF(IF(ISNUMBER(Roster!$D367),Setup!$C$26&lt;=Roster!$D367,FALSE),"",IF(OR(IF(Setup!$C$15&lt;=Setup!$C$16,AND(MONTH(H367)&gt;=Setup!$C$15,MONTH(H367)&lt;=Setup!$C$16),OR(MONTH(H367)&gt;=Setup!$C$15,MONTH(H367)&lt;=Setup!$C$16)),IF(Setup!$C$15&lt;=Setup!$C$16,AND(MONTH(WORKDAY(H367,-(Setup!$C$13+Setup!$G$26),Setup!$C$39:$C$50))&gt;=Setup!$C$15,MONTH(WORKDAY(H367,-(Setup!$C$13+Setup!$G$26),Setup!$C$39:$C$50))&lt;=Setup!$C$16),OR(MONTH(WORKDAY(H367,-(Setup!$C$13+Setup!$G$26),Setup!$C$39:$C$50))&gt;=Setup!$C$15,MONTH(WORKDAY(H367,-(Setup!$C$13+Setup!$G$26),Setup!$C$39:$C$50))&lt;=Setup!$C$16))),WORKDAY(H367,-(Setup!$C$13+Setup!$G$26+Setup!$C$14),Setup!$C$39:$C$50),WORKDAY(H367,-(Setup!$C$13+Setup!$G$26),Setup!$C$39:$C$50))+(362*100+7)/10000000)))</f>
        <v/>
      </c>
      <c r="Y367" t="str">
        <f>IF(I367="","",IF(I367&lt;Setup!$C$5-Setup!$C$6,"",IF(IF(ISNUMBER(Roster!$D367),Setup!$C$27&lt;=Roster!$D367,FALSE),"",IF(OR(IF(Setup!$C$15&lt;=Setup!$C$16,AND(MONTH(I367)&gt;=Setup!$C$15,MONTH(I367)&lt;=Setup!$C$16),OR(MONTH(I367)&gt;=Setup!$C$15,MONTH(I367)&lt;=Setup!$C$16)),IF(Setup!$C$15&lt;=Setup!$C$16,AND(MONTH(WORKDAY(I367,-(Setup!$C$13+Setup!$G$27),Setup!$C$39:$C$50))&gt;=Setup!$C$15,MONTH(WORKDAY(I367,-(Setup!$C$13+Setup!$G$27),Setup!$C$39:$C$50))&lt;=Setup!$C$16),OR(MONTH(WORKDAY(I367,-(Setup!$C$13+Setup!$G$27),Setup!$C$39:$C$50))&gt;=Setup!$C$15,MONTH(WORKDAY(I367,-(Setup!$C$13+Setup!$G$27),Setup!$C$39:$C$50))&lt;=Setup!$C$16))),WORKDAY(I367,-(Setup!$C$13+Setup!$G$27+Setup!$C$14),Setup!$C$39:$C$50),WORKDAY(I367,-(Setup!$C$13+Setup!$G$27),Setup!$C$39:$C$50))+(362*100+8)/10000000)))</f>
        <v/>
      </c>
      <c r="Z367" t="str">
        <f>IF(J367="","",IF(J367&lt;Setup!$C$5-Setup!$C$6,"",IF(IF(ISNUMBER(Roster!$D367),Setup!$C$28&lt;=Roster!$D367,FALSE),"",IF(OR(IF(Setup!$C$15&lt;=Setup!$C$16,AND(MONTH(J367)&gt;=Setup!$C$15,MONTH(J367)&lt;=Setup!$C$16),OR(MONTH(J367)&gt;=Setup!$C$15,MONTH(J367)&lt;=Setup!$C$16)),IF(Setup!$C$15&lt;=Setup!$C$16,AND(MONTH(WORKDAY(J367,-(Setup!$C$13+Setup!$G$28),Setup!$C$39:$C$50))&gt;=Setup!$C$15,MONTH(WORKDAY(J367,-(Setup!$C$13+Setup!$G$28),Setup!$C$39:$C$50))&lt;=Setup!$C$16),OR(MONTH(WORKDAY(J367,-(Setup!$C$13+Setup!$G$28),Setup!$C$39:$C$50))&gt;=Setup!$C$15,MONTH(WORKDAY(J367,-(Setup!$C$13+Setup!$G$28),Setup!$C$39:$C$50))&lt;=Setup!$C$16))),WORKDAY(J367,-(Setup!$C$13+Setup!$G$28+Setup!$C$14),Setup!$C$39:$C$50),WORKDAY(J367,-(Setup!$C$13+Setup!$G$28),Setup!$C$39:$C$50))+(362*100+9)/10000000)))</f>
        <v/>
      </c>
      <c r="AA367" t="str">
        <f>IF(K367="","",IF(K367&lt;Setup!$C$5-Setup!$C$6,"",IF(IF(ISNUMBER(Roster!$D367),Setup!$C$29&lt;=Roster!$D367,FALSE),"",IF(OR(IF(Setup!$C$15&lt;=Setup!$C$16,AND(MONTH(K367)&gt;=Setup!$C$15,MONTH(K367)&lt;=Setup!$C$16),OR(MONTH(K367)&gt;=Setup!$C$15,MONTH(K367)&lt;=Setup!$C$16)),IF(Setup!$C$15&lt;=Setup!$C$16,AND(MONTH(WORKDAY(K367,-(Setup!$C$13+Setup!$G$29),Setup!$C$39:$C$50))&gt;=Setup!$C$15,MONTH(WORKDAY(K367,-(Setup!$C$13+Setup!$G$29),Setup!$C$39:$C$50))&lt;=Setup!$C$16),OR(MONTH(WORKDAY(K367,-(Setup!$C$13+Setup!$G$29),Setup!$C$39:$C$50))&gt;=Setup!$C$15,MONTH(WORKDAY(K367,-(Setup!$C$13+Setup!$G$29),Setup!$C$39:$C$50))&lt;=Setup!$C$16))),WORKDAY(K367,-(Setup!$C$13+Setup!$G$29+Setup!$C$14),Setup!$C$39:$C$50),WORKDAY(K367,-(Setup!$C$13+Setup!$G$29),Setup!$C$39:$C$50))+(362*100+10)/10000000)))</f>
        <v/>
      </c>
      <c r="AB367" t="str">
        <f>IF(L367="","",IF(L367&lt;Setup!$C$5-Setup!$C$6,"",IF(IF(ISNUMBER(Roster!$D367),Setup!$C$30&lt;=Roster!$D367,FALSE),"",IF(OR(IF(Setup!$C$15&lt;=Setup!$C$16,AND(MONTH(L367)&gt;=Setup!$C$15,MONTH(L367)&lt;=Setup!$C$16),OR(MONTH(L367)&gt;=Setup!$C$15,MONTH(L367)&lt;=Setup!$C$16)),IF(Setup!$C$15&lt;=Setup!$C$16,AND(MONTH(WORKDAY(L367,-(Setup!$C$13+Setup!$G$30),Setup!$C$39:$C$50))&gt;=Setup!$C$15,MONTH(WORKDAY(L367,-(Setup!$C$13+Setup!$G$30),Setup!$C$39:$C$50))&lt;=Setup!$C$16),OR(MONTH(WORKDAY(L367,-(Setup!$C$13+Setup!$G$30),Setup!$C$39:$C$50))&gt;=Setup!$C$15,MONTH(WORKDAY(L367,-(Setup!$C$13+Setup!$G$30),Setup!$C$39:$C$50))&lt;=Setup!$C$16))),WORKDAY(L367,-(Setup!$C$13+Setup!$G$30+Setup!$C$14),Setup!$C$39:$C$50),WORKDAY(L367,-(Setup!$C$13+Setup!$G$30),Setup!$C$39:$C$50))+(362*100+11)/10000000)))</f>
        <v/>
      </c>
      <c r="AC367" t="str">
        <f>IF(M367="","",IF(M367&lt;Setup!$C$5-Setup!$C$6,"",IF(IF(ISNUMBER(Roster!$D367),Setup!$C$31&lt;=Roster!$D367,FALSE),"",IF(OR(IF(Setup!$C$15&lt;=Setup!$C$16,AND(MONTH(M367)&gt;=Setup!$C$15,MONTH(M367)&lt;=Setup!$C$16),OR(MONTH(M367)&gt;=Setup!$C$15,MONTH(M367)&lt;=Setup!$C$16)),IF(Setup!$C$15&lt;=Setup!$C$16,AND(MONTH(WORKDAY(M367,-(Setup!$C$13+Setup!$G$31),Setup!$C$39:$C$50))&gt;=Setup!$C$15,MONTH(WORKDAY(M367,-(Setup!$C$13+Setup!$G$31),Setup!$C$39:$C$50))&lt;=Setup!$C$16),OR(MONTH(WORKDAY(M367,-(Setup!$C$13+Setup!$G$31),Setup!$C$39:$C$50))&gt;=Setup!$C$15,MONTH(WORKDAY(M367,-(Setup!$C$13+Setup!$G$31),Setup!$C$39:$C$50))&lt;=Setup!$C$16))),WORKDAY(M367,-(Setup!$C$13+Setup!$G$31+Setup!$C$14),Setup!$C$39:$C$50),WORKDAY(M367,-(Setup!$C$13+Setup!$G$31),Setup!$C$39:$C$50))+(362*100+12)/10000000)))</f>
        <v/>
      </c>
      <c r="AD367" t="str">
        <f>IF(N367="","",IF(N367&lt;Setup!$C$5-Setup!$C$6,"",IF(IF(ISNUMBER(Roster!$D367),Setup!$C$32&lt;=Roster!$D367,FALSE),"",IF(OR(IF(Setup!$C$15&lt;=Setup!$C$16,AND(MONTH(N367)&gt;=Setup!$C$15,MONTH(N367)&lt;=Setup!$C$16),OR(MONTH(N367)&gt;=Setup!$C$15,MONTH(N367)&lt;=Setup!$C$16)),IF(Setup!$C$15&lt;=Setup!$C$16,AND(MONTH(WORKDAY(N367,-(Setup!$C$13+Setup!$G$32),Setup!$C$39:$C$50))&gt;=Setup!$C$15,MONTH(WORKDAY(N367,-(Setup!$C$13+Setup!$G$32),Setup!$C$39:$C$50))&lt;=Setup!$C$16),OR(MONTH(WORKDAY(N367,-(Setup!$C$13+Setup!$G$32),Setup!$C$39:$C$50))&gt;=Setup!$C$15,MONTH(WORKDAY(N367,-(Setup!$C$13+Setup!$G$32),Setup!$C$39:$C$50))&lt;=Setup!$C$16))),WORKDAY(N367,-(Setup!$C$13+Setup!$G$32+Setup!$C$14),Setup!$C$39:$C$50),WORKDAY(N367,-(Setup!$C$13+Setup!$G$32),Setup!$C$39:$C$50))+(362*100+13)/10000000)))</f>
        <v/>
      </c>
      <c r="AE367" t="str">
        <f>IF(O367="","",IF(O367&lt;Setup!$C$5-Setup!$C$6,"",IF(IF(ISNUMBER(Roster!$D367),Setup!$C$33&lt;=Roster!$D367,FALSE),"",IF(OR(IF(Setup!$C$15&lt;=Setup!$C$16,AND(MONTH(O367)&gt;=Setup!$C$15,MONTH(O367)&lt;=Setup!$C$16),OR(MONTH(O367)&gt;=Setup!$C$15,MONTH(O367)&lt;=Setup!$C$16)),IF(Setup!$C$15&lt;=Setup!$C$16,AND(MONTH(WORKDAY(O367,-(Setup!$C$13+Setup!$G$33),Setup!$C$39:$C$50))&gt;=Setup!$C$15,MONTH(WORKDAY(O367,-(Setup!$C$13+Setup!$G$33),Setup!$C$39:$C$50))&lt;=Setup!$C$16),OR(MONTH(WORKDAY(O367,-(Setup!$C$13+Setup!$G$33),Setup!$C$39:$C$50))&gt;=Setup!$C$15,MONTH(WORKDAY(O367,-(Setup!$C$13+Setup!$G$33),Setup!$C$39:$C$50))&lt;=Setup!$C$16))),WORKDAY(O367,-(Setup!$C$13+Setup!$G$33+Setup!$C$14),Setup!$C$39:$C$50),WORKDAY(O367,-(Setup!$C$13+Setup!$G$33),Setup!$C$39:$C$50))+(362*100+14)/10000000)))</f>
        <v/>
      </c>
      <c r="AF367" t="str">
        <f>IF(P367="","",IF(P367&lt;Setup!$C$5-Setup!$C$6,"",IF(IF(ISNUMBER(Roster!$D367),Setup!$C$34&lt;=Roster!$D367,FALSE),"",IF(OR(IF(Setup!$C$15&lt;=Setup!$C$16,AND(MONTH(P367)&gt;=Setup!$C$15,MONTH(P367)&lt;=Setup!$C$16),OR(MONTH(P367)&gt;=Setup!$C$15,MONTH(P367)&lt;=Setup!$C$16)),IF(Setup!$C$15&lt;=Setup!$C$16,AND(MONTH(WORKDAY(P367,-(Setup!$C$13+Setup!$G$34),Setup!$C$39:$C$50))&gt;=Setup!$C$15,MONTH(WORKDAY(P367,-(Setup!$C$13+Setup!$G$34),Setup!$C$39:$C$50))&lt;=Setup!$C$16),OR(MONTH(WORKDAY(P367,-(Setup!$C$13+Setup!$G$34),Setup!$C$39:$C$50))&gt;=Setup!$C$15,MONTH(WORKDAY(P367,-(Setup!$C$13+Setup!$G$34),Setup!$C$39:$C$50))&lt;=Setup!$C$16))),WORKDAY(P367,-(Setup!$C$13+Setup!$G$34+Setup!$C$14),Setup!$C$39:$C$50),WORKDAY(P367,-(Setup!$C$13+Setup!$G$34),Setup!$C$39:$C$50))+(362*100+15)/10000000)))</f>
        <v/>
      </c>
      <c r="AH367" t="str">
        <f t="shared" si="41"/>
        <v/>
      </c>
      <c r="AI367" t="str">
        <f t="shared" si="42"/>
        <v/>
      </c>
      <c r="AP367" t="str">
        <f>IF(ISNUMBER(Roster!$B367),MAX(1,YEAR(Setup!$C$5)-YEAR(Roster!$B367)+IF(EDATE(Roster!$B367,12*(YEAR(Setup!$C$5)-YEAR(Roster!$B367)))&lt;Setup!$C$5,1,0)),"")</f>
        <v/>
      </c>
      <c r="AQ367" s="32" t="str">
        <f>IF(AP367="","",EDATE(Roster!$B367,12*AP367))</f>
        <v/>
      </c>
      <c r="AR367" t="str">
        <f>IF(AQ367="","",IF(AQ367&lt;DATE(YEAR(Setup!$C$5)+1,MONTH(Setup!$C$5),DAY(Setup!$C$5)),AQ367+362/1000,""))</f>
        <v/>
      </c>
      <c r="AS367" t="str">
        <f t="shared" si="43"/>
        <v/>
      </c>
      <c r="AT367" t="str">
        <f>IF(AS367="","",IF(ISNUMBER(Roster!$D367),Roster!$D367&gt;=AP367,FALSE))</f>
        <v/>
      </c>
      <c r="AU367" t="str">
        <f t="shared" si="44"/>
        <v/>
      </c>
      <c r="AV367" t="str">
        <f ca="1">IF(362&gt;$AV$2,"",SMALL($AR$6:$AR$505,362))</f>
        <v/>
      </c>
      <c r="AW367" t="str">
        <f t="shared" ca="1" si="45"/>
        <v/>
      </c>
    </row>
    <row r="368" spans="2:49" x14ac:dyDescent="0.2">
      <c r="B368" s="32" t="str">
        <f>IF(AND(ISNUMBER(Roster!$B368),Setup!$B$20="Yes",ISNUMBER(Setup!$C$20)),EDATE(Roster!$B368,12*Setup!$C$20),"")</f>
        <v/>
      </c>
      <c r="C368" s="32" t="str">
        <f>IF(AND(ISNUMBER(Roster!$B368),Setup!$B$21="Yes",ISNUMBER(Setup!$C$21)),EDATE(Roster!$B368,12*Setup!$C$21),"")</f>
        <v/>
      </c>
      <c r="D368" s="32" t="str">
        <f>IF(AND(ISNUMBER(Roster!$B368),Setup!$B$22="Yes",ISNUMBER(Setup!$C$22)),EDATE(Roster!$B368,12*Setup!$C$22),"")</f>
        <v/>
      </c>
      <c r="E368" s="32" t="str">
        <f>IF(AND(ISNUMBER(Roster!$B368),Setup!$B$23="Yes",ISNUMBER(Setup!$C$23)),EDATE(Roster!$B368,12*Setup!$C$23),"")</f>
        <v/>
      </c>
      <c r="F368" s="32" t="str">
        <f>IF(AND(ISNUMBER(Roster!$B368),Setup!$B$24="Yes",ISNUMBER(Setup!$C$24)),EDATE(Roster!$B368,12*Setup!$C$24),"")</f>
        <v/>
      </c>
      <c r="G368" s="32" t="str">
        <f>IF(AND(ISNUMBER(Roster!$B368),Setup!$B$25="Yes",ISNUMBER(Setup!$C$25)),EDATE(Roster!$B368,12*Setup!$C$25),"")</f>
        <v/>
      </c>
      <c r="H368" s="32" t="str">
        <f>IF(AND(ISNUMBER(Roster!$B368),Setup!$B$26="Yes",ISNUMBER(Setup!$C$26)),EDATE(Roster!$B368,12*Setup!$C$26),"")</f>
        <v/>
      </c>
      <c r="I368" s="32" t="str">
        <f>IF(AND(ISNUMBER(Roster!$B368),Setup!$B$27="Yes",ISNUMBER(Setup!$C$27)),EDATE(Roster!$B368,12*Setup!$C$27),"")</f>
        <v/>
      </c>
      <c r="J368" s="32" t="str">
        <f>IF(AND(ISNUMBER(Roster!$B368),Setup!$B$28="Yes",ISNUMBER(Setup!$C$28)),EDATE(Roster!$B368,12*Setup!$C$28),"")</f>
        <v/>
      </c>
      <c r="K368" s="32" t="str">
        <f>IF(AND(ISNUMBER(Roster!$B368),Setup!$B$29="Yes",ISNUMBER(Setup!$C$29)),EDATE(Roster!$B368,12*Setup!$C$29),"")</f>
        <v/>
      </c>
      <c r="L368" s="32" t="str">
        <f>IF(AND(ISNUMBER(Roster!$B368),Setup!$B$30="Yes",ISNUMBER(Setup!$C$30)),EDATE(Roster!$B368,12*Setup!$C$30),"")</f>
        <v/>
      </c>
      <c r="M368" s="32" t="str">
        <f>IF(AND(ISNUMBER(Roster!$B368),Setup!$B$31="Yes",ISNUMBER(Setup!$C$31)),EDATE(Roster!$B368,12*Setup!$C$31),"")</f>
        <v/>
      </c>
      <c r="N368" s="32" t="str">
        <f>IF(AND(ISNUMBER(Roster!$B368),Setup!$B$32="Yes",ISNUMBER(Setup!$C$32)),EDATE(Roster!$B368,12*Setup!$C$32),"")</f>
        <v/>
      </c>
      <c r="O368" s="32" t="str">
        <f>IF(AND(ISNUMBER(Roster!$B368),Setup!$B$33="Yes",ISNUMBER(Setup!$C$33)),EDATE(Roster!$B368,12*Setup!$C$33),"")</f>
        <v/>
      </c>
      <c r="P368" s="32" t="str">
        <f>IF(AND(ISNUMBER(Roster!$B368),Setup!$B$34="Yes",ISNUMBER(Setup!$C$34)),EDATE(Roster!$B368,12*Setup!$C$34),"")</f>
        <v/>
      </c>
      <c r="R368" t="str">
        <f>IF(B368="","",IF(B368&lt;Setup!$C$5-Setup!$C$6,"",IF(IF(ISNUMBER(Roster!$D368),Setup!$C$20&lt;=Roster!$D368,FALSE),"",IF(OR(IF(Setup!$C$15&lt;=Setup!$C$16,AND(MONTH(B368)&gt;=Setup!$C$15,MONTH(B368)&lt;=Setup!$C$16),OR(MONTH(B368)&gt;=Setup!$C$15,MONTH(B368)&lt;=Setup!$C$16)),IF(Setup!$C$15&lt;=Setup!$C$16,AND(MONTH(WORKDAY(B368,-(Setup!$C$13+Setup!$G$20),Setup!$C$39:$C$50))&gt;=Setup!$C$15,MONTH(WORKDAY(B368,-(Setup!$C$13+Setup!$G$20),Setup!$C$39:$C$50))&lt;=Setup!$C$16),OR(MONTH(WORKDAY(B368,-(Setup!$C$13+Setup!$G$20),Setup!$C$39:$C$50))&gt;=Setup!$C$15,MONTH(WORKDAY(B368,-(Setup!$C$13+Setup!$G$20),Setup!$C$39:$C$50))&lt;=Setup!$C$16))),WORKDAY(B368,-(Setup!$C$13+Setup!$G$20+Setup!$C$14),Setup!$C$39:$C$50),WORKDAY(B368,-(Setup!$C$13+Setup!$G$20),Setup!$C$39:$C$50))+(363*100+1)/10000000)))</f>
        <v/>
      </c>
      <c r="S368" t="str">
        <f>IF(C368="","",IF(C368&lt;Setup!$C$5-Setup!$C$6,"",IF(IF(ISNUMBER(Roster!$D368),Setup!$C$21&lt;=Roster!$D368,FALSE),"",IF(OR(IF(Setup!$C$15&lt;=Setup!$C$16,AND(MONTH(C368)&gt;=Setup!$C$15,MONTH(C368)&lt;=Setup!$C$16),OR(MONTH(C368)&gt;=Setup!$C$15,MONTH(C368)&lt;=Setup!$C$16)),IF(Setup!$C$15&lt;=Setup!$C$16,AND(MONTH(WORKDAY(C368,-(Setup!$C$13+Setup!$G$21),Setup!$C$39:$C$50))&gt;=Setup!$C$15,MONTH(WORKDAY(C368,-(Setup!$C$13+Setup!$G$21),Setup!$C$39:$C$50))&lt;=Setup!$C$16),OR(MONTH(WORKDAY(C368,-(Setup!$C$13+Setup!$G$21),Setup!$C$39:$C$50))&gt;=Setup!$C$15,MONTH(WORKDAY(C368,-(Setup!$C$13+Setup!$G$21),Setup!$C$39:$C$50))&lt;=Setup!$C$16))),WORKDAY(C368,-(Setup!$C$13+Setup!$G$21+Setup!$C$14),Setup!$C$39:$C$50),WORKDAY(C368,-(Setup!$C$13+Setup!$G$21),Setup!$C$39:$C$50))+(363*100+2)/10000000)))</f>
        <v/>
      </c>
      <c r="T368" t="str">
        <f>IF(D368="","",IF(D368&lt;Setup!$C$5-Setup!$C$6,"",IF(IF(ISNUMBER(Roster!$D368),Setup!$C$22&lt;=Roster!$D368,FALSE),"",IF(OR(IF(Setup!$C$15&lt;=Setup!$C$16,AND(MONTH(D368)&gt;=Setup!$C$15,MONTH(D368)&lt;=Setup!$C$16),OR(MONTH(D368)&gt;=Setup!$C$15,MONTH(D368)&lt;=Setup!$C$16)),IF(Setup!$C$15&lt;=Setup!$C$16,AND(MONTH(WORKDAY(D368,-(Setup!$C$13+Setup!$G$22),Setup!$C$39:$C$50))&gt;=Setup!$C$15,MONTH(WORKDAY(D368,-(Setup!$C$13+Setup!$G$22),Setup!$C$39:$C$50))&lt;=Setup!$C$16),OR(MONTH(WORKDAY(D368,-(Setup!$C$13+Setup!$G$22),Setup!$C$39:$C$50))&gt;=Setup!$C$15,MONTH(WORKDAY(D368,-(Setup!$C$13+Setup!$G$22),Setup!$C$39:$C$50))&lt;=Setup!$C$16))),WORKDAY(D368,-(Setup!$C$13+Setup!$G$22+Setup!$C$14),Setup!$C$39:$C$50),WORKDAY(D368,-(Setup!$C$13+Setup!$G$22),Setup!$C$39:$C$50))+(363*100+3)/10000000)))</f>
        <v/>
      </c>
      <c r="U368" t="str">
        <f>IF(E368="","",IF(E368&lt;Setup!$C$5-Setup!$C$6,"",IF(IF(ISNUMBER(Roster!$D368),Setup!$C$23&lt;=Roster!$D368,FALSE),"",IF(OR(IF(Setup!$C$15&lt;=Setup!$C$16,AND(MONTH(E368)&gt;=Setup!$C$15,MONTH(E368)&lt;=Setup!$C$16),OR(MONTH(E368)&gt;=Setup!$C$15,MONTH(E368)&lt;=Setup!$C$16)),IF(Setup!$C$15&lt;=Setup!$C$16,AND(MONTH(WORKDAY(E368,-(Setup!$C$13+Setup!$G$23),Setup!$C$39:$C$50))&gt;=Setup!$C$15,MONTH(WORKDAY(E368,-(Setup!$C$13+Setup!$G$23),Setup!$C$39:$C$50))&lt;=Setup!$C$16),OR(MONTH(WORKDAY(E368,-(Setup!$C$13+Setup!$G$23),Setup!$C$39:$C$50))&gt;=Setup!$C$15,MONTH(WORKDAY(E368,-(Setup!$C$13+Setup!$G$23),Setup!$C$39:$C$50))&lt;=Setup!$C$16))),WORKDAY(E368,-(Setup!$C$13+Setup!$G$23+Setup!$C$14),Setup!$C$39:$C$50),WORKDAY(E368,-(Setup!$C$13+Setup!$G$23),Setup!$C$39:$C$50))+(363*100+4)/10000000)))</f>
        <v/>
      </c>
      <c r="V368" t="str">
        <f>IF(F368="","",IF(F368&lt;Setup!$C$5-Setup!$C$6,"",IF(IF(ISNUMBER(Roster!$D368),Setup!$C$24&lt;=Roster!$D368,FALSE),"",IF(OR(IF(Setup!$C$15&lt;=Setup!$C$16,AND(MONTH(F368)&gt;=Setup!$C$15,MONTH(F368)&lt;=Setup!$C$16),OR(MONTH(F368)&gt;=Setup!$C$15,MONTH(F368)&lt;=Setup!$C$16)),IF(Setup!$C$15&lt;=Setup!$C$16,AND(MONTH(WORKDAY(F368,-(Setup!$C$13+Setup!$G$24),Setup!$C$39:$C$50))&gt;=Setup!$C$15,MONTH(WORKDAY(F368,-(Setup!$C$13+Setup!$G$24),Setup!$C$39:$C$50))&lt;=Setup!$C$16),OR(MONTH(WORKDAY(F368,-(Setup!$C$13+Setup!$G$24),Setup!$C$39:$C$50))&gt;=Setup!$C$15,MONTH(WORKDAY(F368,-(Setup!$C$13+Setup!$G$24),Setup!$C$39:$C$50))&lt;=Setup!$C$16))),WORKDAY(F368,-(Setup!$C$13+Setup!$G$24+Setup!$C$14),Setup!$C$39:$C$50),WORKDAY(F368,-(Setup!$C$13+Setup!$G$24),Setup!$C$39:$C$50))+(363*100+5)/10000000)))</f>
        <v/>
      </c>
      <c r="W368" t="str">
        <f>IF(G368="","",IF(G368&lt;Setup!$C$5-Setup!$C$6,"",IF(IF(ISNUMBER(Roster!$D368),Setup!$C$25&lt;=Roster!$D368,FALSE),"",IF(OR(IF(Setup!$C$15&lt;=Setup!$C$16,AND(MONTH(G368)&gt;=Setup!$C$15,MONTH(G368)&lt;=Setup!$C$16),OR(MONTH(G368)&gt;=Setup!$C$15,MONTH(G368)&lt;=Setup!$C$16)),IF(Setup!$C$15&lt;=Setup!$C$16,AND(MONTH(WORKDAY(G368,-(Setup!$C$13+Setup!$G$25),Setup!$C$39:$C$50))&gt;=Setup!$C$15,MONTH(WORKDAY(G368,-(Setup!$C$13+Setup!$G$25),Setup!$C$39:$C$50))&lt;=Setup!$C$16),OR(MONTH(WORKDAY(G368,-(Setup!$C$13+Setup!$G$25),Setup!$C$39:$C$50))&gt;=Setup!$C$15,MONTH(WORKDAY(G368,-(Setup!$C$13+Setup!$G$25),Setup!$C$39:$C$50))&lt;=Setup!$C$16))),WORKDAY(G368,-(Setup!$C$13+Setup!$G$25+Setup!$C$14),Setup!$C$39:$C$50),WORKDAY(G368,-(Setup!$C$13+Setup!$G$25),Setup!$C$39:$C$50))+(363*100+6)/10000000)))</f>
        <v/>
      </c>
      <c r="X368" t="str">
        <f>IF(H368="","",IF(H368&lt;Setup!$C$5-Setup!$C$6,"",IF(IF(ISNUMBER(Roster!$D368),Setup!$C$26&lt;=Roster!$D368,FALSE),"",IF(OR(IF(Setup!$C$15&lt;=Setup!$C$16,AND(MONTH(H368)&gt;=Setup!$C$15,MONTH(H368)&lt;=Setup!$C$16),OR(MONTH(H368)&gt;=Setup!$C$15,MONTH(H368)&lt;=Setup!$C$16)),IF(Setup!$C$15&lt;=Setup!$C$16,AND(MONTH(WORKDAY(H368,-(Setup!$C$13+Setup!$G$26),Setup!$C$39:$C$50))&gt;=Setup!$C$15,MONTH(WORKDAY(H368,-(Setup!$C$13+Setup!$G$26),Setup!$C$39:$C$50))&lt;=Setup!$C$16),OR(MONTH(WORKDAY(H368,-(Setup!$C$13+Setup!$G$26),Setup!$C$39:$C$50))&gt;=Setup!$C$15,MONTH(WORKDAY(H368,-(Setup!$C$13+Setup!$G$26),Setup!$C$39:$C$50))&lt;=Setup!$C$16))),WORKDAY(H368,-(Setup!$C$13+Setup!$G$26+Setup!$C$14),Setup!$C$39:$C$50),WORKDAY(H368,-(Setup!$C$13+Setup!$G$26),Setup!$C$39:$C$50))+(363*100+7)/10000000)))</f>
        <v/>
      </c>
      <c r="Y368" t="str">
        <f>IF(I368="","",IF(I368&lt;Setup!$C$5-Setup!$C$6,"",IF(IF(ISNUMBER(Roster!$D368),Setup!$C$27&lt;=Roster!$D368,FALSE),"",IF(OR(IF(Setup!$C$15&lt;=Setup!$C$16,AND(MONTH(I368)&gt;=Setup!$C$15,MONTH(I368)&lt;=Setup!$C$16),OR(MONTH(I368)&gt;=Setup!$C$15,MONTH(I368)&lt;=Setup!$C$16)),IF(Setup!$C$15&lt;=Setup!$C$16,AND(MONTH(WORKDAY(I368,-(Setup!$C$13+Setup!$G$27),Setup!$C$39:$C$50))&gt;=Setup!$C$15,MONTH(WORKDAY(I368,-(Setup!$C$13+Setup!$G$27),Setup!$C$39:$C$50))&lt;=Setup!$C$16),OR(MONTH(WORKDAY(I368,-(Setup!$C$13+Setup!$G$27),Setup!$C$39:$C$50))&gt;=Setup!$C$15,MONTH(WORKDAY(I368,-(Setup!$C$13+Setup!$G$27),Setup!$C$39:$C$50))&lt;=Setup!$C$16))),WORKDAY(I368,-(Setup!$C$13+Setup!$G$27+Setup!$C$14),Setup!$C$39:$C$50),WORKDAY(I368,-(Setup!$C$13+Setup!$G$27),Setup!$C$39:$C$50))+(363*100+8)/10000000)))</f>
        <v/>
      </c>
      <c r="Z368" t="str">
        <f>IF(J368="","",IF(J368&lt;Setup!$C$5-Setup!$C$6,"",IF(IF(ISNUMBER(Roster!$D368),Setup!$C$28&lt;=Roster!$D368,FALSE),"",IF(OR(IF(Setup!$C$15&lt;=Setup!$C$16,AND(MONTH(J368)&gt;=Setup!$C$15,MONTH(J368)&lt;=Setup!$C$16),OR(MONTH(J368)&gt;=Setup!$C$15,MONTH(J368)&lt;=Setup!$C$16)),IF(Setup!$C$15&lt;=Setup!$C$16,AND(MONTH(WORKDAY(J368,-(Setup!$C$13+Setup!$G$28),Setup!$C$39:$C$50))&gt;=Setup!$C$15,MONTH(WORKDAY(J368,-(Setup!$C$13+Setup!$G$28),Setup!$C$39:$C$50))&lt;=Setup!$C$16),OR(MONTH(WORKDAY(J368,-(Setup!$C$13+Setup!$G$28),Setup!$C$39:$C$50))&gt;=Setup!$C$15,MONTH(WORKDAY(J368,-(Setup!$C$13+Setup!$G$28),Setup!$C$39:$C$50))&lt;=Setup!$C$16))),WORKDAY(J368,-(Setup!$C$13+Setup!$G$28+Setup!$C$14),Setup!$C$39:$C$50),WORKDAY(J368,-(Setup!$C$13+Setup!$G$28),Setup!$C$39:$C$50))+(363*100+9)/10000000)))</f>
        <v/>
      </c>
      <c r="AA368" t="str">
        <f>IF(K368="","",IF(K368&lt;Setup!$C$5-Setup!$C$6,"",IF(IF(ISNUMBER(Roster!$D368),Setup!$C$29&lt;=Roster!$D368,FALSE),"",IF(OR(IF(Setup!$C$15&lt;=Setup!$C$16,AND(MONTH(K368)&gt;=Setup!$C$15,MONTH(K368)&lt;=Setup!$C$16),OR(MONTH(K368)&gt;=Setup!$C$15,MONTH(K368)&lt;=Setup!$C$16)),IF(Setup!$C$15&lt;=Setup!$C$16,AND(MONTH(WORKDAY(K368,-(Setup!$C$13+Setup!$G$29),Setup!$C$39:$C$50))&gt;=Setup!$C$15,MONTH(WORKDAY(K368,-(Setup!$C$13+Setup!$G$29),Setup!$C$39:$C$50))&lt;=Setup!$C$16),OR(MONTH(WORKDAY(K368,-(Setup!$C$13+Setup!$G$29),Setup!$C$39:$C$50))&gt;=Setup!$C$15,MONTH(WORKDAY(K368,-(Setup!$C$13+Setup!$G$29),Setup!$C$39:$C$50))&lt;=Setup!$C$16))),WORKDAY(K368,-(Setup!$C$13+Setup!$G$29+Setup!$C$14),Setup!$C$39:$C$50),WORKDAY(K368,-(Setup!$C$13+Setup!$G$29),Setup!$C$39:$C$50))+(363*100+10)/10000000)))</f>
        <v/>
      </c>
      <c r="AB368" t="str">
        <f>IF(L368="","",IF(L368&lt;Setup!$C$5-Setup!$C$6,"",IF(IF(ISNUMBER(Roster!$D368),Setup!$C$30&lt;=Roster!$D368,FALSE),"",IF(OR(IF(Setup!$C$15&lt;=Setup!$C$16,AND(MONTH(L368)&gt;=Setup!$C$15,MONTH(L368)&lt;=Setup!$C$16),OR(MONTH(L368)&gt;=Setup!$C$15,MONTH(L368)&lt;=Setup!$C$16)),IF(Setup!$C$15&lt;=Setup!$C$16,AND(MONTH(WORKDAY(L368,-(Setup!$C$13+Setup!$G$30),Setup!$C$39:$C$50))&gt;=Setup!$C$15,MONTH(WORKDAY(L368,-(Setup!$C$13+Setup!$G$30),Setup!$C$39:$C$50))&lt;=Setup!$C$16),OR(MONTH(WORKDAY(L368,-(Setup!$C$13+Setup!$G$30),Setup!$C$39:$C$50))&gt;=Setup!$C$15,MONTH(WORKDAY(L368,-(Setup!$C$13+Setup!$G$30),Setup!$C$39:$C$50))&lt;=Setup!$C$16))),WORKDAY(L368,-(Setup!$C$13+Setup!$G$30+Setup!$C$14),Setup!$C$39:$C$50),WORKDAY(L368,-(Setup!$C$13+Setup!$G$30),Setup!$C$39:$C$50))+(363*100+11)/10000000)))</f>
        <v/>
      </c>
      <c r="AC368" t="str">
        <f>IF(M368="","",IF(M368&lt;Setup!$C$5-Setup!$C$6,"",IF(IF(ISNUMBER(Roster!$D368),Setup!$C$31&lt;=Roster!$D368,FALSE),"",IF(OR(IF(Setup!$C$15&lt;=Setup!$C$16,AND(MONTH(M368)&gt;=Setup!$C$15,MONTH(M368)&lt;=Setup!$C$16),OR(MONTH(M368)&gt;=Setup!$C$15,MONTH(M368)&lt;=Setup!$C$16)),IF(Setup!$C$15&lt;=Setup!$C$16,AND(MONTH(WORKDAY(M368,-(Setup!$C$13+Setup!$G$31),Setup!$C$39:$C$50))&gt;=Setup!$C$15,MONTH(WORKDAY(M368,-(Setup!$C$13+Setup!$G$31),Setup!$C$39:$C$50))&lt;=Setup!$C$16),OR(MONTH(WORKDAY(M368,-(Setup!$C$13+Setup!$G$31),Setup!$C$39:$C$50))&gt;=Setup!$C$15,MONTH(WORKDAY(M368,-(Setup!$C$13+Setup!$G$31),Setup!$C$39:$C$50))&lt;=Setup!$C$16))),WORKDAY(M368,-(Setup!$C$13+Setup!$G$31+Setup!$C$14),Setup!$C$39:$C$50),WORKDAY(M368,-(Setup!$C$13+Setup!$G$31),Setup!$C$39:$C$50))+(363*100+12)/10000000)))</f>
        <v/>
      </c>
      <c r="AD368" t="str">
        <f>IF(N368="","",IF(N368&lt;Setup!$C$5-Setup!$C$6,"",IF(IF(ISNUMBER(Roster!$D368),Setup!$C$32&lt;=Roster!$D368,FALSE),"",IF(OR(IF(Setup!$C$15&lt;=Setup!$C$16,AND(MONTH(N368)&gt;=Setup!$C$15,MONTH(N368)&lt;=Setup!$C$16),OR(MONTH(N368)&gt;=Setup!$C$15,MONTH(N368)&lt;=Setup!$C$16)),IF(Setup!$C$15&lt;=Setup!$C$16,AND(MONTH(WORKDAY(N368,-(Setup!$C$13+Setup!$G$32),Setup!$C$39:$C$50))&gt;=Setup!$C$15,MONTH(WORKDAY(N368,-(Setup!$C$13+Setup!$G$32),Setup!$C$39:$C$50))&lt;=Setup!$C$16),OR(MONTH(WORKDAY(N368,-(Setup!$C$13+Setup!$G$32),Setup!$C$39:$C$50))&gt;=Setup!$C$15,MONTH(WORKDAY(N368,-(Setup!$C$13+Setup!$G$32),Setup!$C$39:$C$50))&lt;=Setup!$C$16))),WORKDAY(N368,-(Setup!$C$13+Setup!$G$32+Setup!$C$14),Setup!$C$39:$C$50),WORKDAY(N368,-(Setup!$C$13+Setup!$G$32),Setup!$C$39:$C$50))+(363*100+13)/10000000)))</f>
        <v/>
      </c>
      <c r="AE368" t="str">
        <f>IF(O368="","",IF(O368&lt;Setup!$C$5-Setup!$C$6,"",IF(IF(ISNUMBER(Roster!$D368),Setup!$C$33&lt;=Roster!$D368,FALSE),"",IF(OR(IF(Setup!$C$15&lt;=Setup!$C$16,AND(MONTH(O368)&gt;=Setup!$C$15,MONTH(O368)&lt;=Setup!$C$16),OR(MONTH(O368)&gt;=Setup!$C$15,MONTH(O368)&lt;=Setup!$C$16)),IF(Setup!$C$15&lt;=Setup!$C$16,AND(MONTH(WORKDAY(O368,-(Setup!$C$13+Setup!$G$33),Setup!$C$39:$C$50))&gt;=Setup!$C$15,MONTH(WORKDAY(O368,-(Setup!$C$13+Setup!$G$33),Setup!$C$39:$C$50))&lt;=Setup!$C$16),OR(MONTH(WORKDAY(O368,-(Setup!$C$13+Setup!$G$33),Setup!$C$39:$C$50))&gt;=Setup!$C$15,MONTH(WORKDAY(O368,-(Setup!$C$13+Setup!$G$33),Setup!$C$39:$C$50))&lt;=Setup!$C$16))),WORKDAY(O368,-(Setup!$C$13+Setup!$G$33+Setup!$C$14),Setup!$C$39:$C$50),WORKDAY(O368,-(Setup!$C$13+Setup!$G$33),Setup!$C$39:$C$50))+(363*100+14)/10000000)))</f>
        <v/>
      </c>
      <c r="AF368" t="str">
        <f>IF(P368="","",IF(P368&lt;Setup!$C$5-Setup!$C$6,"",IF(IF(ISNUMBER(Roster!$D368),Setup!$C$34&lt;=Roster!$D368,FALSE),"",IF(OR(IF(Setup!$C$15&lt;=Setup!$C$16,AND(MONTH(P368)&gt;=Setup!$C$15,MONTH(P368)&lt;=Setup!$C$16),OR(MONTH(P368)&gt;=Setup!$C$15,MONTH(P368)&lt;=Setup!$C$16)),IF(Setup!$C$15&lt;=Setup!$C$16,AND(MONTH(WORKDAY(P368,-(Setup!$C$13+Setup!$G$34),Setup!$C$39:$C$50))&gt;=Setup!$C$15,MONTH(WORKDAY(P368,-(Setup!$C$13+Setup!$G$34),Setup!$C$39:$C$50))&lt;=Setup!$C$16),OR(MONTH(WORKDAY(P368,-(Setup!$C$13+Setup!$G$34),Setup!$C$39:$C$50))&gt;=Setup!$C$15,MONTH(WORKDAY(P368,-(Setup!$C$13+Setup!$G$34),Setup!$C$39:$C$50))&lt;=Setup!$C$16))),WORKDAY(P368,-(Setup!$C$13+Setup!$G$34+Setup!$C$14),Setup!$C$39:$C$50),WORKDAY(P368,-(Setup!$C$13+Setup!$G$34),Setup!$C$39:$C$50))+(363*100+15)/10000000)))</f>
        <v/>
      </c>
      <c r="AH368" t="str">
        <f t="shared" si="41"/>
        <v/>
      </c>
      <c r="AI368" t="str">
        <f t="shared" si="42"/>
        <v/>
      </c>
      <c r="AP368" t="str">
        <f>IF(ISNUMBER(Roster!$B368),MAX(1,YEAR(Setup!$C$5)-YEAR(Roster!$B368)+IF(EDATE(Roster!$B368,12*(YEAR(Setup!$C$5)-YEAR(Roster!$B368)))&lt;Setup!$C$5,1,0)),"")</f>
        <v/>
      </c>
      <c r="AQ368" s="32" t="str">
        <f>IF(AP368="","",EDATE(Roster!$B368,12*AP368))</f>
        <v/>
      </c>
      <c r="AR368" t="str">
        <f>IF(AQ368="","",IF(AQ368&lt;DATE(YEAR(Setup!$C$5)+1,MONTH(Setup!$C$5),DAY(Setup!$C$5)),AQ368+363/1000,""))</f>
        <v/>
      </c>
      <c r="AS368" t="str">
        <f t="shared" si="43"/>
        <v/>
      </c>
      <c r="AT368" t="str">
        <f>IF(AS368="","",IF(ISNUMBER(Roster!$D368),Roster!$D368&gt;=AP368,FALSE))</f>
        <v/>
      </c>
      <c r="AU368" t="str">
        <f t="shared" si="44"/>
        <v/>
      </c>
      <c r="AV368" t="str">
        <f ca="1">IF(363&gt;$AV$2,"",SMALL($AR$6:$AR$505,363))</f>
        <v/>
      </c>
      <c r="AW368" t="str">
        <f t="shared" ca="1" si="45"/>
        <v/>
      </c>
    </row>
    <row r="369" spans="2:49" x14ac:dyDescent="0.2">
      <c r="B369" s="32" t="str">
        <f>IF(AND(ISNUMBER(Roster!$B369),Setup!$B$20="Yes",ISNUMBER(Setup!$C$20)),EDATE(Roster!$B369,12*Setup!$C$20),"")</f>
        <v/>
      </c>
      <c r="C369" s="32" t="str">
        <f>IF(AND(ISNUMBER(Roster!$B369),Setup!$B$21="Yes",ISNUMBER(Setup!$C$21)),EDATE(Roster!$B369,12*Setup!$C$21),"")</f>
        <v/>
      </c>
      <c r="D369" s="32" t="str">
        <f>IF(AND(ISNUMBER(Roster!$B369),Setup!$B$22="Yes",ISNUMBER(Setup!$C$22)),EDATE(Roster!$B369,12*Setup!$C$22),"")</f>
        <v/>
      </c>
      <c r="E369" s="32" t="str">
        <f>IF(AND(ISNUMBER(Roster!$B369),Setup!$B$23="Yes",ISNUMBER(Setup!$C$23)),EDATE(Roster!$B369,12*Setup!$C$23),"")</f>
        <v/>
      </c>
      <c r="F369" s="32" t="str">
        <f>IF(AND(ISNUMBER(Roster!$B369),Setup!$B$24="Yes",ISNUMBER(Setup!$C$24)),EDATE(Roster!$B369,12*Setup!$C$24),"")</f>
        <v/>
      </c>
      <c r="G369" s="32" t="str">
        <f>IF(AND(ISNUMBER(Roster!$B369),Setup!$B$25="Yes",ISNUMBER(Setup!$C$25)),EDATE(Roster!$B369,12*Setup!$C$25),"")</f>
        <v/>
      </c>
      <c r="H369" s="32" t="str">
        <f>IF(AND(ISNUMBER(Roster!$B369),Setup!$B$26="Yes",ISNUMBER(Setup!$C$26)),EDATE(Roster!$B369,12*Setup!$C$26),"")</f>
        <v/>
      </c>
      <c r="I369" s="32" t="str">
        <f>IF(AND(ISNUMBER(Roster!$B369),Setup!$B$27="Yes",ISNUMBER(Setup!$C$27)),EDATE(Roster!$B369,12*Setup!$C$27),"")</f>
        <v/>
      </c>
      <c r="J369" s="32" t="str">
        <f>IF(AND(ISNUMBER(Roster!$B369),Setup!$B$28="Yes",ISNUMBER(Setup!$C$28)),EDATE(Roster!$B369,12*Setup!$C$28),"")</f>
        <v/>
      </c>
      <c r="K369" s="32" t="str">
        <f>IF(AND(ISNUMBER(Roster!$B369),Setup!$B$29="Yes",ISNUMBER(Setup!$C$29)),EDATE(Roster!$B369,12*Setup!$C$29),"")</f>
        <v/>
      </c>
      <c r="L369" s="32" t="str">
        <f>IF(AND(ISNUMBER(Roster!$B369),Setup!$B$30="Yes",ISNUMBER(Setup!$C$30)),EDATE(Roster!$B369,12*Setup!$C$30),"")</f>
        <v/>
      </c>
      <c r="M369" s="32" t="str">
        <f>IF(AND(ISNUMBER(Roster!$B369),Setup!$B$31="Yes",ISNUMBER(Setup!$C$31)),EDATE(Roster!$B369,12*Setup!$C$31),"")</f>
        <v/>
      </c>
      <c r="N369" s="32" t="str">
        <f>IF(AND(ISNUMBER(Roster!$B369),Setup!$B$32="Yes",ISNUMBER(Setup!$C$32)),EDATE(Roster!$B369,12*Setup!$C$32),"")</f>
        <v/>
      </c>
      <c r="O369" s="32" t="str">
        <f>IF(AND(ISNUMBER(Roster!$B369),Setup!$B$33="Yes",ISNUMBER(Setup!$C$33)),EDATE(Roster!$B369,12*Setup!$C$33),"")</f>
        <v/>
      </c>
      <c r="P369" s="32" t="str">
        <f>IF(AND(ISNUMBER(Roster!$B369),Setup!$B$34="Yes",ISNUMBER(Setup!$C$34)),EDATE(Roster!$B369,12*Setup!$C$34),"")</f>
        <v/>
      </c>
      <c r="R369" t="str">
        <f>IF(B369="","",IF(B369&lt;Setup!$C$5-Setup!$C$6,"",IF(IF(ISNUMBER(Roster!$D369),Setup!$C$20&lt;=Roster!$D369,FALSE),"",IF(OR(IF(Setup!$C$15&lt;=Setup!$C$16,AND(MONTH(B369)&gt;=Setup!$C$15,MONTH(B369)&lt;=Setup!$C$16),OR(MONTH(B369)&gt;=Setup!$C$15,MONTH(B369)&lt;=Setup!$C$16)),IF(Setup!$C$15&lt;=Setup!$C$16,AND(MONTH(WORKDAY(B369,-(Setup!$C$13+Setup!$G$20),Setup!$C$39:$C$50))&gt;=Setup!$C$15,MONTH(WORKDAY(B369,-(Setup!$C$13+Setup!$G$20),Setup!$C$39:$C$50))&lt;=Setup!$C$16),OR(MONTH(WORKDAY(B369,-(Setup!$C$13+Setup!$G$20),Setup!$C$39:$C$50))&gt;=Setup!$C$15,MONTH(WORKDAY(B369,-(Setup!$C$13+Setup!$G$20),Setup!$C$39:$C$50))&lt;=Setup!$C$16))),WORKDAY(B369,-(Setup!$C$13+Setup!$G$20+Setup!$C$14),Setup!$C$39:$C$50),WORKDAY(B369,-(Setup!$C$13+Setup!$G$20),Setup!$C$39:$C$50))+(364*100+1)/10000000)))</f>
        <v/>
      </c>
      <c r="S369" t="str">
        <f>IF(C369="","",IF(C369&lt;Setup!$C$5-Setup!$C$6,"",IF(IF(ISNUMBER(Roster!$D369),Setup!$C$21&lt;=Roster!$D369,FALSE),"",IF(OR(IF(Setup!$C$15&lt;=Setup!$C$16,AND(MONTH(C369)&gt;=Setup!$C$15,MONTH(C369)&lt;=Setup!$C$16),OR(MONTH(C369)&gt;=Setup!$C$15,MONTH(C369)&lt;=Setup!$C$16)),IF(Setup!$C$15&lt;=Setup!$C$16,AND(MONTH(WORKDAY(C369,-(Setup!$C$13+Setup!$G$21),Setup!$C$39:$C$50))&gt;=Setup!$C$15,MONTH(WORKDAY(C369,-(Setup!$C$13+Setup!$G$21),Setup!$C$39:$C$50))&lt;=Setup!$C$16),OR(MONTH(WORKDAY(C369,-(Setup!$C$13+Setup!$G$21),Setup!$C$39:$C$50))&gt;=Setup!$C$15,MONTH(WORKDAY(C369,-(Setup!$C$13+Setup!$G$21),Setup!$C$39:$C$50))&lt;=Setup!$C$16))),WORKDAY(C369,-(Setup!$C$13+Setup!$G$21+Setup!$C$14),Setup!$C$39:$C$50),WORKDAY(C369,-(Setup!$C$13+Setup!$G$21),Setup!$C$39:$C$50))+(364*100+2)/10000000)))</f>
        <v/>
      </c>
      <c r="T369" t="str">
        <f>IF(D369="","",IF(D369&lt;Setup!$C$5-Setup!$C$6,"",IF(IF(ISNUMBER(Roster!$D369),Setup!$C$22&lt;=Roster!$D369,FALSE),"",IF(OR(IF(Setup!$C$15&lt;=Setup!$C$16,AND(MONTH(D369)&gt;=Setup!$C$15,MONTH(D369)&lt;=Setup!$C$16),OR(MONTH(D369)&gt;=Setup!$C$15,MONTH(D369)&lt;=Setup!$C$16)),IF(Setup!$C$15&lt;=Setup!$C$16,AND(MONTH(WORKDAY(D369,-(Setup!$C$13+Setup!$G$22),Setup!$C$39:$C$50))&gt;=Setup!$C$15,MONTH(WORKDAY(D369,-(Setup!$C$13+Setup!$G$22),Setup!$C$39:$C$50))&lt;=Setup!$C$16),OR(MONTH(WORKDAY(D369,-(Setup!$C$13+Setup!$G$22),Setup!$C$39:$C$50))&gt;=Setup!$C$15,MONTH(WORKDAY(D369,-(Setup!$C$13+Setup!$G$22),Setup!$C$39:$C$50))&lt;=Setup!$C$16))),WORKDAY(D369,-(Setup!$C$13+Setup!$G$22+Setup!$C$14),Setup!$C$39:$C$50),WORKDAY(D369,-(Setup!$C$13+Setup!$G$22),Setup!$C$39:$C$50))+(364*100+3)/10000000)))</f>
        <v/>
      </c>
      <c r="U369" t="str">
        <f>IF(E369="","",IF(E369&lt;Setup!$C$5-Setup!$C$6,"",IF(IF(ISNUMBER(Roster!$D369),Setup!$C$23&lt;=Roster!$D369,FALSE),"",IF(OR(IF(Setup!$C$15&lt;=Setup!$C$16,AND(MONTH(E369)&gt;=Setup!$C$15,MONTH(E369)&lt;=Setup!$C$16),OR(MONTH(E369)&gt;=Setup!$C$15,MONTH(E369)&lt;=Setup!$C$16)),IF(Setup!$C$15&lt;=Setup!$C$16,AND(MONTH(WORKDAY(E369,-(Setup!$C$13+Setup!$G$23),Setup!$C$39:$C$50))&gt;=Setup!$C$15,MONTH(WORKDAY(E369,-(Setup!$C$13+Setup!$G$23),Setup!$C$39:$C$50))&lt;=Setup!$C$16),OR(MONTH(WORKDAY(E369,-(Setup!$C$13+Setup!$G$23),Setup!$C$39:$C$50))&gt;=Setup!$C$15,MONTH(WORKDAY(E369,-(Setup!$C$13+Setup!$G$23),Setup!$C$39:$C$50))&lt;=Setup!$C$16))),WORKDAY(E369,-(Setup!$C$13+Setup!$G$23+Setup!$C$14),Setup!$C$39:$C$50),WORKDAY(E369,-(Setup!$C$13+Setup!$G$23),Setup!$C$39:$C$50))+(364*100+4)/10000000)))</f>
        <v/>
      </c>
      <c r="V369" t="str">
        <f>IF(F369="","",IF(F369&lt;Setup!$C$5-Setup!$C$6,"",IF(IF(ISNUMBER(Roster!$D369),Setup!$C$24&lt;=Roster!$D369,FALSE),"",IF(OR(IF(Setup!$C$15&lt;=Setup!$C$16,AND(MONTH(F369)&gt;=Setup!$C$15,MONTH(F369)&lt;=Setup!$C$16),OR(MONTH(F369)&gt;=Setup!$C$15,MONTH(F369)&lt;=Setup!$C$16)),IF(Setup!$C$15&lt;=Setup!$C$16,AND(MONTH(WORKDAY(F369,-(Setup!$C$13+Setup!$G$24),Setup!$C$39:$C$50))&gt;=Setup!$C$15,MONTH(WORKDAY(F369,-(Setup!$C$13+Setup!$G$24),Setup!$C$39:$C$50))&lt;=Setup!$C$16),OR(MONTH(WORKDAY(F369,-(Setup!$C$13+Setup!$G$24),Setup!$C$39:$C$50))&gt;=Setup!$C$15,MONTH(WORKDAY(F369,-(Setup!$C$13+Setup!$G$24),Setup!$C$39:$C$50))&lt;=Setup!$C$16))),WORKDAY(F369,-(Setup!$C$13+Setup!$G$24+Setup!$C$14),Setup!$C$39:$C$50),WORKDAY(F369,-(Setup!$C$13+Setup!$G$24),Setup!$C$39:$C$50))+(364*100+5)/10000000)))</f>
        <v/>
      </c>
      <c r="W369" t="str">
        <f>IF(G369="","",IF(G369&lt;Setup!$C$5-Setup!$C$6,"",IF(IF(ISNUMBER(Roster!$D369),Setup!$C$25&lt;=Roster!$D369,FALSE),"",IF(OR(IF(Setup!$C$15&lt;=Setup!$C$16,AND(MONTH(G369)&gt;=Setup!$C$15,MONTH(G369)&lt;=Setup!$C$16),OR(MONTH(G369)&gt;=Setup!$C$15,MONTH(G369)&lt;=Setup!$C$16)),IF(Setup!$C$15&lt;=Setup!$C$16,AND(MONTH(WORKDAY(G369,-(Setup!$C$13+Setup!$G$25),Setup!$C$39:$C$50))&gt;=Setup!$C$15,MONTH(WORKDAY(G369,-(Setup!$C$13+Setup!$G$25),Setup!$C$39:$C$50))&lt;=Setup!$C$16),OR(MONTH(WORKDAY(G369,-(Setup!$C$13+Setup!$G$25),Setup!$C$39:$C$50))&gt;=Setup!$C$15,MONTH(WORKDAY(G369,-(Setup!$C$13+Setup!$G$25),Setup!$C$39:$C$50))&lt;=Setup!$C$16))),WORKDAY(G369,-(Setup!$C$13+Setup!$G$25+Setup!$C$14),Setup!$C$39:$C$50),WORKDAY(G369,-(Setup!$C$13+Setup!$G$25),Setup!$C$39:$C$50))+(364*100+6)/10000000)))</f>
        <v/>
      </c>
      <c r="X369" t="str">
        <f>IF(H369="","",IF(H369&lt;Setup!$C$5-Setup!$C$6,"",IF(IF(ISNUMBER(Roster!$D369),Setup!$C$26&lt;=Roster!$D369,FALSE),"",IF(OR(IF(Setup!$C$15&lt;=Setup!$C$16,AND(MONTH(H369)&gt;=Setup!$C$15,MONTH(H369)&lt;=Setup!$C$16),OR(MONTH(H369)&gt;=Setup!$C$15,MONTH(H369)&lt;=Setup!$C$16)),IF(Setup!$C$15&lt;=Setup!$C$16,AND(MONTH(WORKDAY(H369,-(Setup!$C$13+Setup!$G$26),Setup!$C$39:$C$50))&gt;=Setup!$C$15,MONTH(WORKDAY(H369,-(Setup!$C$13+Setup!$G$26),Setup!$C$39:$C$50))&lt;=Setup!$C$16),OR(MONTH(WORKDAY(H369,-(Setup!$C$13+Setup!$G$26),Setup!$C$39:$C$50))&gt;=Setup!$C$15,MONTH(WORKDAY(H369,-(Setup!$C$13+Setup!$G$26),Setup!$C$39:$C$50))&lt;=Setup!$C$16))),WORKDAY(H369,-(Setup!$C$13+Setup!$G$26+Setup!$C$14),Setup!$C$39:$C$50),WORKDAY(H369,-(Setup!$C$13+Setup!$G$26),Setup!$C$39:$C$50))+(364*100+7)/10000000)))</f>
        <v/>
      </c>
      <c r="Y369" t="str">
        <f>IF(I369="","",IF(I369&lt;Setup!$C$5-Setup!$C$6,"",IF(IF(ISNUMBER(Roster!$D369),Setup!$C$27&lt;=Roster!$D369,FALSE),"",IF(OR(IF(Setup!$C$15&lt;=Setup!$C$16,AND(MONTH(I369)&gt;=Setup!$C$15,MONTH(I369)&lt;=Setup!$C$16),OR(MONTH(I369)&gt;=Setup!$C$15,MONTH(I369)&lt;=Setup!$C$16)),IF(Setup!$C$15&lt;=Setup!$C$16,AND(MONTH(WORKDAY(I369,-(Setup!$C$13+Setup!$G$27),Setup!$C$39:$C$50))&gt;=Setup!$C$15,MONTH(WORKDAY(I369,-(Setup!$C$13+Setup!$G$27),Setup!$C$39:$C$50))&lt;=Setup!$C$16),OR(MONTH(WORKDAY(I369,-(Setup!$C$13+Setup!$G$27),Setup!$C$39:$C$50))&gt;=Setup!$C$15,MONTH(WORKDAY(I369,-(Setup!$C$13+Setup!$G$27),Setup!$C$39:$C$50))&lt;=Setup!$C$16))),WORKDAY(I369,-(Setup!$C$13+Setup!$G$27+Setup!$C$14),Setup!$C$39:$C$50),WORKDAY(I369,-(Setup!$C$13+Setup!$G$27),Setup!$C$39:$C$50))+(364*100+8)/10000000)))</f>
        <v/>
      </c>
      <c r="Z369" t="str">
        <f>IF(J369="","",IF(J369&lt;Setup!$C$5-Setup!$C$6,"",IF(IF(ISNUMBER(Roster!$D369),Setup!$C$28&lt;=Roster!$D369,FALSE),"",IF(OR(IF(Setup!$C$15&lt;=Setup!$C$16,AND(MONTH(J369)&gt;=Setup!$C$15,MONTH(J369)&lt;=Setup!$C$16),OR(MONTH(J369)&gt;=Setup!$C$15,MONTH(J369)&lt;=Setup!$C$16)),IF(Setup!$C$15&lt;=Setup!$C$16,AND(MONTH(WORKDAY(J369,-(Setup!$C$13+Setup!$G$28),Setup!$C$39:$C$50))&gt;=Setup!$C$15,MONTH(WORKDAY(J369,-(Setup!$C$13+Setup!$G$28),Setup!$C$39:$C$50))&lt;=Setup!$C$16),OR(MONTH(WORKDAY(J369,-(Setup!$C$13+Setup!$G$28),Setup!$C$39:$C$50))&gt;=Setup!$C$15,MONTH(WORKDAY(J369,-(Setup!$C$13+Setup!$G$28),Setup!$C$39:$C$50))&lt;=Setup!$C$16))),WORKDAY(J369,-(Setup!$C$13+Setup!$G$28+Setup!$C$14),Setup!$C$39:$C$50),WORKDAY(J369,-(Setup!$C$13+Setup!$G$28),Setup!$C$39:$C$50))+(364*100+9)/10000000)))</f>
        <v/>
      </c>
      <c r="AA369" t="str">
        <f>IF(K369="","",IF(K369&lt;Setup!$C$5-Setup!$C$6,"",IF(IF(ISNUMBER(Roster!$D369),Setup!$C$29&lt;=Roster!$D369,FALSE),"",IF(OR(IF(Setup!$C$15&lt;=Setup!$C$16,AND(MONTH(K369)&gt;=Setup!$C$15,MONTH(K369)&lt;=Setup!$C$16),OR(MONTH(K369)&gt;=Setup!$C$15,MONTH(K369)&lt;=Setup!$C$16)),IF(Setup!$C$15&lt;=Setup!$C$16,AND(MONTH(WORKDAY(K369,-(Setup!$C$13+Setup!$G$29),Setup!$C$39:$C$50))&gt;=Setup!$C$15,MONTH(WORKDAY(K369,-(Setup!$C$13+Setup!$G$29),Setup!$C$39:$C$50))&lt;=Setup!$C$16),OR(MONTH(WORKDAY(K369,-(Setup!$C$13+Setup!$G$29),Setup!$C$39:$C$50))&gt;=Setup!$C$15,MONTH(WORKDAY(K369,-(Setup!$C$13+Setup!$G$29),Setup!$C$39:$C$50))&lt;=Setup!$C$16))),WORKDAY(K369,-(Setup!$C$13+Setup!$G$29+Setup!$C$14),Setup!$C$39:$C$50),WORKDAY(K369,-(Setup!$C$13+Setup!$G$29),Setup!$C$39:$C$50))+(364*100+10)/10000000)))</f>
        <v/>
      </c>
      <c r="AB369" t="str">
        <f>IF(L369="","",IF(L369&lt;Setup!$C$5-Setup!$C$6,"",IF(IF(ISNUMBER(Roster!$D369),Setup!$C$30&lt;=Roster!$D369,FALSE),"",IF(OR(IF(Setup!$C$15&lt;=Setup!$C$16,AND(MONTH(L369)&gt;=Setup!$C$15,MONTH(L369)&lt;=Setup!$C$16),OR(MONTH(L369)&gt;=Setup!$C$15,MONTH(L369)&lt;=Setup!$C$16)),IF(Setup!$C$15&lt;=Setup!$C$16,AND(MONTH(WORKDAY(L369,-(Setup!$C$13+Setup!$G$30),Setup!$C$39:$C$50))&gt;=Setup!$C$15,MONTH(WORKDAY(L369,-(Setup!$C$13+Setup!$G$30),Setup!$C$39:$C$50))&lt;=Setup!$C$16),OR(MONTH(WORKDAY(L369,-(Setup!$C$13+Setup!$G$30),Setup!$C$39:$C$50))&gt;=Setup!$C$15,MONTH(WORKDAY(L369,-(Setup!$C$13+Setup!$G$30),Setup!$C$39:$C$50))&lt;=Setup!$C$16))),WORKDAY(L369,-(Setup!$C$13+Setup!$G$30+Setup!$C$14),Setup!$C$39:$C$50),WORKDAY(L369,-(Setup!$C$13+Setup!$G$30),Setup!$C$39:$C$50))+(364*100+11)/10000000)))</f>
        <v/>
      </c>
      <c r="AC369" t="str">
        <f>IF(M369="","",IF(M369&lt;Setup!$C$5-Setup!$C$6,"",IF(IF(ISNUMBER(Roster!$D369),Setup!$C$31&lt;=Roster!$D369,FALSE),"",IF(OR(IF(Setup!$C$15&lt;=Setup!$C$16,AND(MONTH(M369)&gt;=Setup!$C$15,MONTH(M369)&lt;=Setup!$C$16),OR(MONTH(M369)&gt;=Setup!$C$15,MONTH(M369)&lt;=Setup!$C$16)),IF(Setup!$C$15&lt;=Setup!$C$16,AND(MONTH(WORKDAY(M369,-(Setup!$C$13+Setup!$G$31),Setup!$C$39:$C$50))&gt;=Setup!$C$15,MONTH(WORKDAY(M369,-(Setup!$C$13+Setup!$G$31),Setup!$C$39:$C$50))&lt;=Setup!$C$16),OR(MONTH(WORKDAY(M369,-(Setup!$C$13+Setup!$G$31),Setup!$C$39:$C$50))&gt;=Setup!$C$15,MONTH(WORKDAY(M369,-(Setup!$C$13+Setup!$G$31),Setup!$C$39:$C$50))&lt;=Setup!$C$16))),WORKDAY(M369,-(Setup!$C$13+Setup!$G$31+Setup!$C$14),Setup!$C$39:$C$50),WORKDAY(M369,-(Setup!$C$13+Setup!$G$31),Setup!$C$39:$C$50))+(364*100+12)/10000000)))</f>
        <v/>
      </c>
      <c r="AD369" t="str">
        <f>IF(N369="","",IF(N369&lt;Setup!$C$5-Setup!$C$6,"",IF(IF(ISNUMBER(Roster!$D369),Setup!$C$32&lt;=Roster!$D369,FALSE),"",IF(OR(IF(Setup!$C$15&lt;=Setup!$C$16,AND(MONTH(N369)&gt;=Setup!$C$15,MONTH(N369)&lt;=Setup!$C$16),OR(MONTH(N369)&gt;=Setup!$C$15,MONTH(N369)&lt;=Setup!$C$16)),IF(Setup!$C$15&lt;=Setup!$C$16,AND(MONTH(WORKDAY(N369,-(Setup!$C$13+Setup!$G$32),Setup!$C$39:$C$50))&gt;=Setup!$C$15,MONTH(WORKDAY(N369,-(Setup!$C$13+Setup!$G$32),Setup!$C$39:$C$50))&lt;=Setup!$C$16),OR(MONTH(WORKDAY(N369,-(Setup!$C$13+Setup!$G$32),Setup!$C$39:$C$50))&gt;=Setup!$C$15,MONTH(WORKDAY(N369,-(Setup!$C$13+Setup!$G$32),Setup!$C$39:$C$50))&lt;=Setup!$C$16))),WORKDAY(N369,-(Setup!$C$13+Setup!$G$32+Setup!$C$14),Setup!$C$39:$C$50),WORKDAY(N369,-(Setup!$C$13+Setup!$G$32),Setup!$C$39:$C$50))+(364*100+13)/10000000)))</f>
        <v/>
      </c>
      <c r="AE369" t="str">
        <f>IF(O369="","",IF(O369&lt;Setup!$C$5-Setup!$C$6,"",IF(IF(ISNUMBER(Roster!$D369),Setup!$C$33&lt;=Roster!$D369,FALSE),"",IF(OR(IF(Setup!$C$15&lt;=Setup!$C$16,AND(MONTH(O369)&gt;=Setup!$C$15,MONTH(O369)&lt;=Setup!$C$16),OR(MONTH(O369)&gt;=Setup!$C$15,MONTH(O369)&lt;=Setup!$C$16)),IF(Setup!$C$15&lt;=Setup!$C$16,AND(MONTH(WORKDAY(O369,-(Setup!$C$13+Setup!$G$33),Setup!$C$39:$C$50))&gt;=Setup!$C$15,MONTH(WORKDAY(O369,-(Setup!$C$13+Setup!$G$33),Setup!$C$39:$C$50))&lt;=Setup!$C$16),OR(MONTH(WORKDAY(O369,-(Setup!$C$13+Setup!$G$33),Setup!$C$39:$C$50))&gt;=Setup!$C$15,MONTH(WORKDAY(O369,-(Setup!$C$13+Setup!$G$33),Setup!$C$39:$C$50))&lt;=Setup!$C$16))),WORKDAY(O369,-(Setup!$C$13+Setup!$G$33+Setup!$C$14),Setup!$C$39:$C$50),WORKDAY(O369,-(Setup!$C$13+Setup!$G$33),Setup!$C$39:$C$50))+(364*100+14)/10000000)))</f>
        <v/>
      </c>
      <c r="AF369" t="str">
        <f>IF(P369="","",IF(P369&lt;Setup!$C$5-Setup!$C$6,"",IF(IF(ISNUMBER(Roster!$D369),Setup!$C$34&lt;=Roster!$D369,FALSE),"",IF(OR(IF(Setup!$C$15&lt;=Setup!$C$16,AND(MONTH(P369)&gt;=Setup!$C$15,MONTH(P369)&lt;=Setup!$C$16),OR(MONTH(P369)&gt;=Setup!$C$15,MONTH(P369)&lt;=Setup!$C$16)),IF(Setup!$C$15&lt;=Setup!$C$16,AND(MONTH(WORKDAY(P369,-(Setup!$C$13+Setup!$G$34),Setup!$C$39:$C$50))&gt;=Setup!$C$15,MONTH(WORKDAY(P369,-(Setup!$C$13+Setup!$G$34),Setup!$C$39:$C$50))&lt;=Setup!$C$16),OR(MONTH(WORKDAY(P369,-(Setup!$C$13+Setup!$G$34),Setup!$C$39:$C$50))&gt;=Setup!$C$15,MONTH(WORKDAY(P369,-(Setup!$C$13+Setup!$G$34),Setup!$C$39:$C$50))&lt;=Setup!$C$16))),WORKDAY(P369,-(Setup!$C$13+Setup!$G$34+Setup!$C$14),Setup!$C$39:$C$50),WORKDAY(P369,-(Setup!$C$13+Setup!$G$34),Setup!$C$39:$C$50))+(364*100+15)/10000000)))</f>
        <v/>
      </c>
      <c r="AH369" t="str">
        <f t="shared" si="41"/>
        <v/>
      </c>
      <c r="AI369" t="str">
        <f t="shared" si="42"/>
        <v/>
      </c>
      <c r="AP369" t="str">
        <f>IF(ISNUMBER(Roster!$B369),MAX(1,YEAR(Setup!$C$5)-YEAR(Roster!$B369)+IF(EDATE(Roster!$B369,12*(YEAR(Setup!$C$5)-YEAR(Roster!$B369)))&lt;Setup!$C$5,1,0)),"")</f>
        <v/>
      </c>
      <c r="AQ369" s="32" t="str">
        <f>IF(AP369="","",EDATE(Roster!$B369,12*AP369))</f>
        <v/>
      </c>
      <c r="AR369" t="str">
        <f>IF(AQ369="","",IF(AQ369&lt;DATE(YEAR(Setup!$C$5)+1,MONTH(Setup!$C$5),DAY(Setup!$C$5)),AQ369+364/1000,""))</f>
        <v/>
      </c>
      <c r="AS369" t="str">
        <f t="shared" si="43"/>
        <v/>
      </c>
      <c r="AT369" t="str">
        <f>IF(AS369="","",IF(ISNUMBER(Roster!$D369),Roster!$D369&gt;=AP369,FALSE))</f>
        <v/>
      </c>
      <c r="AU369" t="str">
        <f t="shared" si="44"/>
        <v/>
      </c>
      <c r="AV369" t="str">
        <f ca="1">IF(364&gt;$AV$2,"",SMALL($AR$6:$AR$505,364))</f>
        <v/>
      </c>
      <c r="AW369" t="str">
        <f t="shared" ca="1" si="45"/>
        <v/>
      </c>
    </row>
    <row r="370" spans="2:49" x14ac:dyDescent="0.2">
      <c r="B370" s="32" t="str">
        <f>IF(AND(ISNUMBER(Roster!$B370),Setup!$B$20="Yes",ISNUMBER(Setup!$C$20)),EDATE(Roster!$B370,12*Setup!$C$20),"")</f>
        <v/>
      </c>
      <c r="C370" s="32" t="str">
        <f>IF(AND(ISNUMBER(Roster!$B370),Setup!$B$21="Yes",ISNUMBER(Setup!$C$21)),EDATE(Roster!$B370,12*Setup!$C$21),"")</f>
        <v/>
      </c>
      <c r="D370" s="32" t="str">
        <f>IF(AND(ISNUMBER(Roster!$B370),Setup!$B$22="Yes",ISNUMBER(Setup!$C$22)),EDATE(Roster!$B370,12*Setup!$C$22),"")</f>
        <v/>
      </c>
      <c r="E370" s="32" t="str">
        <f>IF(AND(ISNUMBER(Roster!$B370),Setup!$B$23="Yes",ISNUMBER(Setup!$C$23)),EDATE(Roster!$B370,12*Setup!$C$23),"")</f>
        <v/>
      </c>
      <c r="F370" s="32" t="str">
        <f>IF(AND(ISNUMBER(Roster!$B370),Setup!$B$24="Yes",ISNUMBER(Setup!$C$24)),EDATE(Roster!$B370,12*Setup!$C$24),"")</f>
        <v/>
      </c>
      <c r="G370" s="32" t="str">
        <f>IF(AND(ISNUMBER(Roster!$B370),Setup!$B$25="Yes",ISNUMBER(Setup!$C$25)),EDATE(Roster!$B370,12*Setup!$C$25),"")</f>
        <v/>
      </c>
      <c r="H370" s="32" t="str">
        <f>IF(AND(ISNUMBER(Roster!$B370),Setup!$B$26="Yes",ISNUMBER(Setup!$C$26)),EDATE(Roster!$B370,12*Setup!$C$26),"")</f>
        <v/>
      </c>
      <c r="I370" s="32" t="str">
        <f>IF(AND(ISNUMBER(Roster!$B370),Setup!$B$27="Yes",ISNUMBER(Setup!$C$27)),EDATE(Roster!$B370,12*Setup!$C$27),"")</f>
        <v/>
      </c>
      <c r="J370" s="32" t="str">
        <f>IF(AND(ISNUMBER(Roster!$B370),Setup!$B$28="Yes",ISNUMBER(Setup!$C$28)),EDATE(Roster!$B370,12*Setup!$C$28),"")</f>
        <v/>
      </c>
      <c r="K370" s="32" t="str">
        <f>IF(AND(ISNUMBER(Roster!$B370),Setup!$B$29="Yes",ISNUMBER(Setup!$C$29)),EDATE(Roster!$B370,12*Setup!$C$29),"")</f>
        <v/>
      </c>
      <c r="L370" s="32" t="str">
        <f>IF(AND(ISNUMBER(Roster!$B370),Setup!$B$30="Yes",ISNUMBER(Setup!$C$30)),EDATE(Roster!$B370,12*Setup!$C$30),"")</f>
        <v/>
      </c>
      <c r="M370" s="32" t="str">
        <f>IF(AND(ISNUMBER(Roster!$B370),Setup!$B$31="Yes",ISNUMBER(Setup!$C$31)),EDATE(Roster!$B370,12*Setup!$C$31),"")</f>
        <v/>
      </c>
      <c r="N370" s="32" t="str">
        <f>IF(AND(ISNUMBER(Roster!$B370),Setup!$B$32="Yes",ISNUMBER(Setup!$C$32)),EDATE(Roster!$B370,12*Setup!$C$32),"")</f>
        <v/>
      </c>
      <c r="O370" s="32" t="str">
        <f>IF(AND(ISNUMBER(Roster!$B370),Setup!$B$33="Yes",ISNUMBER(Setup!$C$33)),EDATE(Roster!$B370,12*Setup!$C$33),"")</f>
        <v/>
      </c>
      <c r="P370" s="32" t="str">
        <f>IF(AND(ISNUMBER(Roster!$B370),Setup!$B$34="Yes",ISNUMBER(Setup!$C$34)),EDATE(Roster!$B370,12*Setup!$C$34),"")</f>
        <v/>
      </c>
      <c r="R370" t="str">
        <f>IF(B370="","",IF(B370&lt;Setup!$C$5-Setup!$C$6,"",IF(IF(ISNUMBER(Roster!$D370),Setup!$C$20&lt;=Roster!$D370,FALSE),"",IF(OR(IF(Setup!$C$15&lt;=Setup!$C$16,AND(MONTH(B370)&gt;=Setup!$C$15,MONTH(B370)&lt;=Setup!$C$16),OR(MONTH(B370)&gt;=Setup!$C$15,MONTH(B370)&lt;=Setup!$C$16)),IF(Setup!$C$15&lt;=Setup!$C$16,AND(MONTH(WORKDAY(B370,-(Setup!$C$13+Setup!$G$20),Setup!$C$39:$C$50))&gt;=Setup!$C$15,MONTH(WORKDAY(B370,-(Setup!$C$13+Setup!$G$20),Setup!$C$39:$C$50))&lt;=Setup!$C$16),OR(MONTH(WORKDAY(B370,-(Setup!$C$13+Setup!$G$20),Setup!$C$39:$C$50))&gt;=Setup!$C$15,MONTH(WORKDAY(B370,-(Setup!$C$13+Setup!$G$20),Setup!$C$39:$C$50))&lt;=Setup!$C$16))),WORKDAY(B370,-(Setup!$C$13+Setup!$G$20+Setup!$C$14),Setup!$C$39:$C$50),WORKDAY(B370,-(Setup!$C$13+Setup!$G$20),Setup!$C$39:$C$50))+(365*100+1)/10000000)))</f>
        <v/>
      </c>
      <c r="S370" t="str">
        <f>IF(C370="","",IF(C370&lt;Setup!$C$5-Setup!$C$6,"",IF(IF(ISNUMBER(Roster!$D370),Setup!$C$21&lt;=Roster!$D370,FALSE),"",IF(OR(IF(Setup!$C$15&lt;=Setup!$C$16,AND(MONTH(C370)&gt;=Setup!$C$15,MONTH(C370)&lt;=Setup!$C$16),OR(MONTH(C370)&gt;=Setup!$C$15,MONTH(C370)&lt;=Setup!$C$16)),IF(Setup!$C$15&lt;=Setup!$C$16,AND(MONTH(WORKDAY(C370,-(Setup!$C$13+Setup!$G$21),Setup!$C$39:$C$50))&gt;=Setup!$C$15,MONTH(WORKDAY(C370,-(Setup!$C$13+Setup!$G$21),Setup!$C$39:$C$50))&lt;=Setup!$C$16),OR(MONTH(WORKDAY(C370,-(Setup!$C$13+Setup!$G$21),Setup!$C$39:$C$50))&gt;=Setup!$C$15,MONTH(WORKDAY(C370,-(Setup!$C$13+Setup!$G$21),Setup!$C$39:$C$50))&lt;=Setup!$C$16))),WORKDAY(C370,-(Setup!$C$13+Setup!$G$21+Setup!$C$14),Setup!$C$39:$C$50),WORKDAY(C370,-(Setup!$C$13+Setup!$G$21),Setup!$C$39:$C$50))+(365*100+2)/10000000)))</f>
        <v/>
      </c>
      <c r="T370" t="str">
        <f>IF(D370="","",IF(D370&lt;Setup!$C$5-Setup!$C$6,"",IF(IF(ISNUMBER(Roster!$D370),Setup!$C$22&lt;=Roster!$D370,FALSE),"",IF(OR(IF(Setup!$C$15&lt;=Setup!$C$16,AND(MONTH(D370)&gt;=Setup!$C$15,MONTH(D370)&lt;=Setup!$C$16),OR(MONTH(D370)&gt;=Setup!$C$15,MONTH(D370)&lt;=Setup!$C$16)),IF(Setup!$C$15&lt;=Setup!$C$16,AND(MONTH(WORKDAY(D370,-(Setup!$C$13+Setup!$G$22),Setup!$C$39:$C$50))&gt;=Setup!$C$15,MONTH(WORKDAY(D370,-(Setup!$C$13+Setup!$G$22),Setup!$C$39:$C$50))&lt;=Setup!$C$16),OR(MONTH(WORKDAY(D370,-(Setup!$C$13+Setup!$G$22),Setup!$C$39:$C$50))&gt;=Setup!$C$15,MONTH(WORKDAY(D370,-(Setup!$C$13+Setup!$G$22),Setup!$C$39:$C$50))&lt;=Setup!$C$16))),WORKDAY(D370,-(Setup!$C$13+Setup!$G$22+Setup!$C$14),Setup!$C$39:$C$50),WORKDAY(D370,-(Setup!$C$13+Setup!$G$22),Setup!$C$39:$C$50))+(365*100+3)/10000000)))</f>
        <v/>
      </c>
      <c r="U370" t="str">
        <f>IF(E370="","",IF(E370&lt;Setup!$C$5-Setup!$C$6,"",IF(IF(ISNUMBER(Roster!$D370),Setup!$C$23&lt;=Roster!$D370,FALSE),"",IF(OR(IF(Setup!$C$15&lt;=Setup!$C$16,AND(MONTH(E370)&gt;=Setup!$C$15,MONTH(E370)&lt;=Setup!$C$16),OR(MONTH(E370)&gt;=Setup!$C$15,MONTH(E370)&lt;=Setup!$C$16)),IF(Setup!$C$15&lt;=Setup!$C$16,AND(MONTH(WORKDAY(E370,-(Setup!$C$13+Setup!$G$23),Setup!$C$39:$C$50))&gt;=Setup!$C$15,MONTH(WORKDAY(E370,-(Setup!$C$13+Setup!$G$23),Setup!$C$39:$C$50))&lt;=Setup!$C$16),OR(MONTH(WORKDAY(E370,-(Setup!$C$13+Setup!$G$23),Setup!$C$39:$C$50))&gt;=Setup!$C$15,MONTH(WORKDAY(E370,-(Setup!$C$13+Setup!$G$23),Setup!$C$39:$C$50))&lt;=Setup!$C$16))),WORKDAY(E370,-(Setup!$C$13+Setup!$G$23+Setup!$C$14),Setup!$C$39:$C$50),WORKDAY(E370,-(Setup!$C$13+Setup!$G$23),Setup!$C$39:$C$50))+(365*100+4)/10000000)))</f>
        <v/>
      </c>
      <c r="V370" t="str">
        <f>IF(F370="","",IF(F370&lt;Setup!$C$5-Setup!$C$6,"",IF(IF(ISNUMBER(Roster!$D370),Setup!$C$24&lt;=Roster!$D370,FALSE),"",IF(OR(IF(Setup!$C$15&lt;=Setup!$C$16,AND(MONTH(F370)&gt;=Setup!$C$15,MONTH(F370)&lt;=Setup!$C$16),OR(MONTH(F370)&gt;=Setup!$C$15,MONTH(F370)&lt;=Setup!$C$16)),IF(Setup!$C$15&lt;=Setup!$C$16,AND(MONTH(WORKDAY(F370,-(Setup!$C$13+Setup!$G$24),Setup!$C$39:$C$50))&gt;=Setup!$C$15,MONTH(WORKDAY(F370,-(Setup!$C$13+Setup!$G$24),Setup!$C$39:$C$50))&lt;=Setup!$C$16),OR(MONTH(WORKDAY(F370,-(Setup!$C$13+Setup!$G$24),Setup!$C$39:$C$50))&gt;=Setup!$C$15,MONTH(WORKDAY(F370,-(Setup!$C$13+Setup!$G$24),Setup!$C$39:$C$50))&lt;=Setup!$C$16))),WORKDAY(F370,-(Setup!$C$13+Setup!$G$24+Setup!$C$14),Setup!$C$39:$C$50),WORKDAY(F370,-(Setup!$C$13+Setup!$G$24),Setup!$C$39:$C$50))+(365*100+5)/10000000)))</f>
        <v/>
      </c>
      <c r="W370" t="str">
        <f>IF(G370="","",IF(G370&lt;Setup!$C$5-Setup!$C$6,"",IF(IF(ISNUMBER(Roster!$D370),Setup!$C$25&lt;=Roster!$D370,FALSE),"",IF(OR(IF(Setup!$C$15&lt;=Setup!$C$16,AND(MONTH(G370)&gt;=Setup!$C$15,MONTH(G370)&lt;=Setup!$C$16),OR(MONTH(G370)&gt;=Setup!$C$15,MONTH(G370)&lt;=Setup!$C$16)),IF(Setup!$C$15&lt;=Setup!$C$16,AND(MONTH(WORKDAY(G370,-(Setup!$C$13+Setup!$G$25),Setup!$C$39:$C$50))&gt;=Setup!$C$15,MONTH(WORKDAY(G370,-(Setup!$C$13+Setup!$G$25),Setup!$C$39:$C$50))&lt;=Setup!$C$16),OR(MONTH(WORKDAY(G370,-(Setup!$C$13+Setup!$G$25),Setup!$C$39:$C$50))&gt;=Setup!$C$15,MONTH(WORKDAY(G370,-(Setup!$C$13+Setup!$G$25),Setup!$C$39:$C$50))&lt;=Setup!$C$16))),WORKDAY(G370,-(Setup!$C$13+Setup!$G$25+Setup!$C$14),Setup!$C$39:$C$50),WORKDAY(G370,-(Setup!$C$13+Setup!$G$25),Setup!$C$39:$C$50))+(365*100+6)/10000000)))</f>
        <v/>
      </c>
      <c r="X370" t="str">
        <f>IF(H370="","",IF(H370&lt;Setup!$C$5-Setup!$C$6,"",IF(IF(ISNUMBER(Roster!$D370),Setup!$C$26&lt;=Roster!$D370,FALSE),"",IF(OR(IF(Setup!$C$15&lt;=Setup!$C$16,AND(MONTH(H370)&gt;=Setup!$C$15,MONTH(H370)&lt;=Setup!$C$16),OR(MONTH(H370)&gt;=Setup!$C$15,MONTH(H370)&lt;=Setup!$C$16)),IF(Setup!$C$15&lt;=Setup!$C$16,AND(MONTH(WORKDAY(H370,-(Setup!$C$13+Setup!$G$26),Setup!$C$39:$C$50))&gt;=Setup!$C$15,MONTH(WORKDAY(H370,-(Setup!$C$13+Setup!$G$26),Setup!$C$39:$C$50))&lt;=Setup!$C$16),OR(MONTH(WORKDAY(H370,-(Setup!$C$13+Setup!$G$26),Setup!$C$39:$C$50))&gt;=Setup!$C$15,MONTH(WORKDAY(H370,-(Setup!$C$13+Setup!$G$26),Setup!$C$39:$C$50))&lt;=Setup!$C$16))),WORKDAY(H370,-(Setup!$C$13+Setup!$G$26+Setup!$C$14),Setup!$C$39:$C$50),WORKDAY(H370,-(Setup!$C$13+Setup!$G$26),Setup!$C$39:$C$50))+(365*100+7)/10000000)))</f>
        <v/>
      </c>
      <c r="Y370" t="str">
        <f>IF(I370="","",IF(I370&lt;Setup!$C$5-Setup!$C$6,"",IF(IF(ISNUMBER(Roster!$D370),Setup!$C$27&lt;=Roster!$D370,FALSE),"",IF(OR(IF(Setup!$C$15&lt;=Setup!$C$16,AND(MONTH(I370)&gt;=Setup!$C$15,MONTH(I370)&lt;=Setup!$C$16),OR(MONTH(I370)&gt;=Setup!$C$15,MONTH(I370)&lt;=Setup!$C$16)),IF(Setup!$C$15&lt;=Setup!$C$16,AND(MONTH(WORKDAY(I370,-(Setup!$C$13+Setup!$G$27),Setup!$C$39:$C$50))&gt;=Setup!$C$15,MONTH(WORKDAY(I370,-(Setup!$C$13+Setup!$G$27),Setup!$C$39:$C$50))&lt;=Setup!$C$16),OR(MONTH(WORKDAY(I370,-(Setup!$C$13+Setup!$G$27),Setup!$C$39:$C$50))&gt;=Setup!$C$15,MONTH(WORKDAY(I370,-(Setup!$C$13+Setup!$G$27),Setup!$C$39:$C$50))&lt;=Setup!$C$16))),WORKDAY(I370,-(Setup!$C$13+Setup!$G$27+Setup!$C$14),Setup!$C$39:$C$50),WORKDAY(I370,-(Setup!$C$13+Setup!$G$27),Setup!$C$39:$C$50))+(365*100+8)/10000000)))</f>
        <v/>
      </c>
      <c r="Z370" t="str">
        <f>IF(J370="","",IF(J370&lt;Setup!$C$5-Setup!$C$6,"",IF(IF(ISNUMBER(Roster!$D370),Setup!$C$28&lt;=Roster!$D370,FALSE),"",IF(OR(IF(Setup!$C$15&lt;=Setup!$C$16,AND(MONTH(J370)&gt;=Setup!$C$15,MONTH(J370)&lt;=Setup!$C$16),OR(MONTH(J370)&gt;=Setup!$C$15,MONTH(J370)&lt;=Setup!$C$16)),IF(Setup!$C$15&lt;=Setup!$C$16,AND(MONTH(WORKDAY(J370,-(Setup!$C$13+Setup!$G$28),Setup!$C$39:$C$50))&gt;=Setup!$C$15,MONTH(WORKDAY(J370,-(Setup!$C$13+Setup!$G$28),Setup!$C$39:$C$50))&lt;=Setup!$C$16),OR(MONTH(WORKDAY(J370,-(Setup!$C$13+Setup!$G$28),Setup!$C$39:$C$50))&gt;=Setup!$C$15,MONTH(WORKDAY(J370,-(Setup!$C$13+Setup!$G$28),Setup!$C$39:$C$50))&lt;=Setup!$C$16))),WORKDAY(J370,-(Setup!$C$13+Setup!$G$28+Setup!$C$14),Setup!$C$39:$C$50),WORKDAY(J370,-(Setup!$C$13+Setup!$G$28),Setup!$C$39:$C$50))+(365*100+9)/10000000)))</f>
        <v/>
      </c>
      <c r="AA370" t="str">
        <f>IF(K370="","",IF(K370&lt;Setup!$C$5-Setup!$C$6,"",IF(IF(ISNUMBER(Roster!$D370),Setup!$C$29&lt;=Roster!$D370,FALSE),"",IF(OR(IF(Setup!$C$15&lt;=Setup!$C$16,AND(MONTH(K370)&gt;=Setup!$C$15,MONTH(K370)&lt;=Setup!$C$16),OR(MONTH(K370)&gt;=Setup!$C$15,MONTH(K370)&lt;=Setup!$C$16)),IF(Setup!$C$15&lt;=Setup!$C$16,AND(MONTH(WORKDAY(K370,-(Setup!$C$13+Setup!$G$29),Setup!$C$39:$C$50))&gt;=Setup!$C$15,MONTH(WORKDAY(K370,-(Setup!$C$13+Setup!$G$29),Setup!$C$39:$C$50))&lt;=Setup!$C$16),OR(MONTH(WORKDAY(K370,-(Setup!$C$13+Setup!$G$29),Setup!$C$39:$C$50))&gt;=Setup!$C$15,MONTH(WORKDAY(K370,-(Setup!$C$13+Setup!$G$29),Setup!$C$39:$C$50))&lt;=Setup!$C$16))),WORKDAY(K370,-(Setup!$C$13+Setup!$G$29+Setup!$C$14),Setup!$C$39:$C$50),WORKDAY(K370,-(Setup!$C$13+Setup!$G$29),Setup!$C$39:$C$50))+(365*100+10)/10000000)))</f>
        <v/>
      </c>
      <c r="AB370" t="str">
        <f>IF(L370="","",IF(L370&lt;Setup!$C$5-Setup!$C$6,"",IF(IF(ISNUMBER(Roster!$D370),Setup!$C$30&lt;=Roster!$D370,FALSE),"",IF(OR(IF(Setup!$C$15&lt;=Setup!$C$16,AND(MONTH(L370)&gt;=Setup!$C$15,MONTH(L370)&lt;=Setup!$C$16),OR(MONTH(L370)&gt;=Setup!$C$15,MONTH(L370)&lt;=Setup!$C$16)),IF(Setup!$C$15&lt;=Setup!$C$16,AND(MONTH(WORKDAY(L370,-(Setup!$C$13+Setup!$G$30),Setup!$C$39:$C$50))&gt;=Setup!$C$15,MONTH(WORKDAY(L370,-(Setup!$C$13+Setup!$G$30),Setup!$C$39:$C$50))&lt;=Setup!$C$16),OR(MONTH(WORKDAY(L370,-(Setup!$C$13+Setup!$G$30),Setup!$C$39:$C$50))&gt;=Setup!$C$15,MONTH(WORKDAY(L370,-(Setup!$C$13+Setup!$G$30),Setup!$C$39:$C$50))&lt;=Setup!$C$16))),WORKDAY(L370,-(Setup!$C$13+Setup!$G$30+Setup!$C$14),Setup!$C$39:$C$50),WORKDAY(L370,-(Setup!$C$13+Setup!$G$30),Setup!$C$39:$C$50))+(365*100+11)/10000000)))</f>
        <v/>
      </c>
      <c r="AC370" t="str">
        <f>IF(M370="","",IF(M370&lt;Setup!$C$5-Setup!$C$6,"",IF(IF(ISNUMBER(Roster!$D370),Setup!$C$31&lt;=Roster!$D370,FALSE),"",IF(OR(IF(Setup!$C$15&lt;=Setup!$C$16,AND(MONTH(M370)&gt;=Setup!$C$15,MONTH(M370)&lt;=Setup!$C$16),OR(MONTH(M370)&gt;=Setup!$C$15,MONTH(M370)&lt;=Setup!$C$16)),IF(Setup!$C$15&lt;=Setup!$C$16,AND(MONTH(WORKDAY(M370,-(Setup!$C$13+Setup!$G$31),Setup!$C$39:$C$50))&gt;=Setup!$C$15,MONTH(WORKDAY(M370,-(Setup!$C$13+Setup!$G$31),Setup!$C$39:$C$50))&lt;=Setup!$C$16),OR(MONTH(WORKDAY(M370,-(Setup!$C$13+Setup!$G$31),Setup!$C$39:$C$50))&gt;=Setup!$C$15,MONTH(WORKDAY(M370,-(Setup!$C$13+Setup!$G$31),Setup!$C$39:$C$50))&lt;=Setup!$C$16))),WORKDAY(M370,-(Setup!$C$13+Setup!$G$31+Setup!$C$14),Setup!$C$39:$C$50),WORKDAY(M370,-(Setup!$C$13+Setup!$G$31),Setup!$C$39:$C$50))+(365*100+12)/10000000)))</f>
        <v/>
      </c>
      <c r="AD370" t="str">
        <f>IF(N370="","",IF(N370&lt;Setup!$C$5-Setup!$C$6,"",IF(IF(ISNUMBER(Roster!$D370),Setup!$C$32&lt;=Roster!$D370,FALSE),"",IF(OR(IF(Setup!$C$15&lt;=Setup!$C$16,AND(MONTH(N370)&gt;=Setup!$C$15,MONTH(N370)&lt;=Setup!$C$16),OR(MONTH(N370)&gt;=Setup!$C$15,MONTH(N370)&lt;=Setup!$C$16)),IF(Setup!$C$15&lt;=Setup!$C$16,AND(MONTH(WORKDAY(N370,-(Setup!$C$13+Setup!$G$32),Setup!$C$39:$C$50))&gt;=Setup!$C$15,MONTH(WORKDAY(N370,-(Setup!$C$13+Setup!$G$32),Setup!$C$39:$C$50))&lt;=Setup!$C$16),OR(MONTH(WORKDAY(N370,-(Setup!$C$13+Setup!$G$32),Setup!$C$39:$C$50))&gt;=Setup!$C$15,MONTH(WORKDAY(N370,-(Setup!$C$13+Setup!$G$32),Setup!$C$39:$C$50))&lt;=Setup!$C$16))),WORKDAY(N370,-(Setup!$C$13+Setup!$G$32+Setup!$C$14),Setup!$C$39:$C$50),WORKDAY(N370,-(Setup!$C$13+Setup!$G$32),Setup!$C$39:$C$50))+(365*100+13)/10000000)))</f>
        <v/>
      </c>
      <c r="AE370" t="str">
        <f>IF(O370="","",IF(O370&lt;Setup!$C$5-Setup!$C$6,"",IF(IF(ISNUMBER(Roster!$D370),Setup!$C$33&lt;=Roster!$D370,FALSE),"",IF(OR(IF(Setup!$C$15&lt;=Setup!$C$16,AND(MONTH(O370)&gt;=Setup!$C$15,MONTH(O370)&lt;=Setup!$C$16),OR(MONTH(O370)&gt;=Setup!$C$15,MONTH(O370)&lt;=Setup!$C$16)),IF(Setup!$C$15&lt;=Setup!$C$16,AND(MONTH(WORKDAY(O370,-(Setup!$C$13+Setup!$G$33),Setup!$C$39:$C$50))&gt;=Setup!$C$15,MONTH(WORKDAY(O370,-(Setup!$C$13+Setup!$G$33),Setup!$C$39:$C$50))&lt;=Setup!$C$16),OR(MONTH(WORKDAY(O370,-(Setup!$C$13+Setup!$G$33),Setup!$C$39:$C$50))&gt;=Setup!$C$15,MONTH(WORKDAY(O370,-(Setup!$C$13+Setup!$G$33),Setup!$C$39:$C$50))&lt;=Setup!$C$16))),WORKDAY(O370,-(Setup!$C$13+Setup!$G$33+Setup!$C$14),Setup!$C$39:$C$50),WORKDAY(O370,-(Setup!$C$13+Setup!$G$33),Setup!$C$39:$C$50))+(365*100+14)/10000000)))</f>
        <v/>
      </c>
      <c r="AF370" t="str">
        <f>IF(P370="","",IF(P370&lt;Setup!$C$5-Setup!$C$6,"",IF(IF(ISNUMBER(Roster!$D370),Setup!$C$34&lt;=Roster!$D370,FALSE),"",IF(OR(IF(Setup!$C$15&lt;=Setup!$C$16,AND(MONTH(P370)&gt;=Setup!$C$15,MONTH(P370)&lt;=Setup!$C$16),OR(MONTH(P370)&gt;=Setup!$C$15,MONTH(P370)&lt;=Setup!$C$16)),IF(Setup!$C$15&lt;=Setup!$C$16,AND(MONTH(WORKDAY(P370,-(Setup!$C$13+Setup!$G$34),Setup!$C$39:$C$50))&gt;=Setup!$C$15,MONTH(WORKDAY(P370,-(Setup!$C$13+Setup!$G$34),Setup!$C$39:$C$50))&lt;=Setup!$C$16),OR(MONTH(WORKDAY(P370,-(Setup!$C$13+Setup!$G$34),Setup!$C$39:$C$50))&gt;=Setup!$C$15,MONTH(WORKDAY(P370,-(Setup!$C$13+Setup!$G$34),Setup!$C$39:$C$50))&lt;=Setup!$C$16))),WORKDAY(P370,-(Setup!$C$13+Setup!$G$34+Setup!$C$14),Setup!$C$39:$C$50),WORKDAY(P370,-(Setup!$C$13+Setup!$G$34),Setup!$C$39:$C$50))+(365*100+15)/10000000)))</f>
        <v/>
      </c>
      <c r="AH370" t="str">
        <f t="shared" si="41"/>
        <v/>
      </c>
      <c r="AI370" t="str">
        <f t="shared" si="42"/>
        <v/>
      </c>
      <c r="AP370" t="str">
        <f>IF(ISNUMBER(Roster!$B370),MAX(1,YEAR(Setup!$C$5)-YEAR(Roster!$B370)+IF(EDATE(Roster!$B370,12*(YEAR(Setup!$C$5)-YEAR(Roster!$B370)))&lt;Setup!$C$5,1,0)),"")</f>
        <v/>
      </c>
      <c r="AQ370" s="32" t="str">
        <f>IF(AP370="","",EDATE(Roster!$B370,12*AP370))</f>
        <v/>
      </c>
      <c r="AR370" t="str">
        <f>IF(AQ370="","",IF(AQ370&lt;DATE(YEAR(Setup!$C$5)+1,MONTH(Setup!$C$5),DAY(Setup!$C$5)),AQ370+365/1000,""))</f>
        <v/>
      </c>
      <c r="AS370" t="str">
        <f t="shared" si="43"/>
        <v/>
      </c>
      <c r="AT370" t="str">
        <f>IF(AS370="","",IF(ISNUMBER(Roster!$D370),Roster!$D370&gt;=AP370,FALSE))</f>
        <v/>
      </c>
      <c r="AU370" t="str">
        <f t="shared" si="44"/>
        <v/>
      </c>
      <c r="AV370" t="str">
        <f ca="1">IF(365&gt;$AV$2,"",SMALL($AR$6:$AR$505,365))</f>
        <v/>
      </c>
      <c r="AW370" t="str">
        <f t="shared" ca="1" si="45"/>
        <v/>
      </c>
    </row>
    <row r="371" spans="2:49" x14ac:dyDescent="0.2">
      <c r="B371" s="32" t="str">
        <f>IF(AND(ISNUMBER(Roster!$B371),Setup!$B$20="Yes",ISNUMBER(Setup!$C$20)),EDATE(Roster!$B371,12*Setup!$C$20),"")</f>
        <v/>
      </c>
      <c r="C371" s="32" t="str">
        <f>IF(AND(ISNUMBER(Roster!$B371),Setup!$B$21="Yes",ISNUMBER(Setup!$C$21)),EDATE(Roster!$B371,12*Setup!$C$21),"")</f>
        <v/>
      </c>
      <c r="D371" s="32" t="str">
        <f>IF(AND(ISNUMBER(Roster!$B371),Setup!$B$22="Yes",ISNUMBER(Setup!$C$22)),EDATE(Roster!$B371,12*Setup!$C$22),"")</f>
        <v/>
      </c>
      <c r="E371" s="32" t="str">
        <f>IF(AND(ISNUMBER(Roster!$B371),Setup!$B$23="Yes",ISNUMBER(Setup!$C$23)),EDATE(Roster!$B371,12*Setup!$C$23),"")</f>
        <v/>
      </c>
      <c r="F371" s="32" t="str">
        <f>IF(AND(ISNUMBER(Roster!$B371),Setup!$B$24="Yes",ISNUMBER(Setup!$C$24)),EDATE(Roster!$B371,12*Setup!$C$24),"")</f>
        <v/>
      </c>
      <c r="G371" s="32" t="str">
        <f>IF(AND(ISNUMBER(Roster!$B371),Setup!$B$25="Yes",ISNUMBER(Setup!$C$25)),EDATE(Roster!$B371,12*Setup!$C$25),"")</f>
        <v/>
      </c>
      <c r="H371" s="32" t="str">
        <f>IF(AND(ISNUMBER(Roster!$B371),Setup!$B$26="Yes",ISNUMBER(Setup!$C$26)),EDATE(Roster!$B371,12*Setup!$C$26),"")</f>
        <v/>
      </c>
      <c r="I371" s="32" t="str">
        <f>IF(AND(ISNUMBER(Roster!$B371),Setup!$B$27="Yes",ISNUMBER(Setup!$C$27)),EDATE(Roster!$B371,12*Setup!$C$27),"")</f>
        <v/>
      </c>
      <c r="J371" s="32" t="str">
        <f>IF(AND(ISNUMBER(Roster!$B371),Setup!$B$28="Yes",ISNUMBER(Setup!$C$28)),EDATE(Roster!$B371,12*Setup!$C$28),"")</f>
        <v/>
      </c>
      <c r="K371" s="32" t="str">
        <f>IF(AND(ISNUMBER(Roster!$B371),Setup!$B$29="Yes",ISNUMBER(Setup!$C$29)),EDATE(Roster!$B371,12*Setup!$C$29),"")</f>
        <v/>
      </c>
      <c r="L371" s="32" t="str">
        <f>IF(AND(ISNUMBER(Roster!$B371),Setup!$B$30="Yes",ISNUMBER(Setup!$C$30)),EDATE(Roster!$B371,12*Setup!$C$30),"")</f>
        <v/>
      </c>
      <c r="M371" s="32" t="str">
        <f>IF(AND(ISNUMBER(Roster!$B371),Setup!$B$31="Yes",ISNUMBER(Setup!$C$31)),EDATE(Roster!$B371,12*Setup!$C$31),"")</f>
        <v/>
      </c>
      <c r="N371" s="32" t="str">
        <f>IF(AND(ISNUMBER(Roster!$B371),Setup!$B$32="Yes",ISNUMBER(Setup!$C$32)),EDATE(Roster!$B371,12*Setup!$C$32),"")</f>
        <v/>
      </c>
      <c r="O371" s="32" t="str">
        <f>IF(AND(ISNUMBER(Roster!$B371),Setup!$B$33="Yes",ISNUMBER(Setup!$C$33)),EDATE(Roster!$B371,12*Setup!$C$33),"")</f>
        <v/>
      </c>
      <c r="P371" s="32" t="str">
        <f>IF(AND(ISNUMBER(Roster!$B371),Setup!$B$34="Yes",ISNUMBER(Setup!$C$34)),EDATE(Roster!$B371,12*Setup!$C$34),"")</f>
        <v/>
      </c>
      <c r="R371" t="str">
        <f>IF(B371="","",IF(B371&lt;Setup!$C$5-Setup!$C$6,"",IF(IF(ISNUMBER(Roster!$D371),Setup!$C$20&lt;=Roster!$D371,FALSE),"",IF(OR(IF(Setup!$C$15&lt;=Setup!$C$16,AND(MONTH(B371)&gt;=Setup!$C$15,MONTH(B371)&lt;=Setup!$C$16),OR(MONTH(B371)&gt;=Setup!$C$15,MONTH(B371)&lt;=Setup!$C$16)),IF(Setup!$C$15&lt;=Setup!$C$16,AND(MONTH(WORKDAY(B371,-(Setup!$C$13+Setup!$G$20),Setup!$C$39:$C$50))&gt;=Setup!$C$15,MONTH(WORKDAY(B371,-(Setup!$C$13+Setup!$G$20),Setup!$C$39:$C$50))&lt;=Setup!$C$16),OR(MONTH(WORKDAY(B371,-(Setup!$C$13+Setup!$G$20),Setup!$C$39:$C$50))&gt;=Setup!$C$15,MONTH(WORKDAY(B371,-(Setup!$C$13+Setup!$G$20),Setup!$C$39:$C$50))&lt;=Setup!$C$16))),WORKDAY(B371,-(Setup!$C$13+Setup!$G$20+Setup!$C$14),Setup!$C$39:$C$50),WORKDAY(B371,-(Setup!$C$13+Setup!$G$20),Setup!$C$39:$C$50))+(366*100+1)/10000000)))</f>
        <v/>
      </c>
      <c r="S371" t="str">
        <f>IF(C371="","",IF(C371&lt;Setup!$C$5-Setup!$C$6,"",IF(IF(ISNUMBER(Roster!$D371),Setup!$C$21&lt;=Roster!$D371,FALSE),"",IF(OR(IF(Setup!$C$15&lt;=Setup!$C$16,AND(MONTH(C371)&gt;=Setup!$C$15,MONTH(C371)&lt;=Setup!$C$16),OR(MONTH(C371)&gt;=Setup!$C$15,MONTH(C371)&lt;=Setup!$C$16)),IF(Setup!$C$15&lt;=Setup!$C$16,AND(MONTH(WORKDAY(C371,-(Setup!$C$13+Setup!$G$21),Setup!$C$39:$C$50))&gt;=Setup!$C$15,MONTH(WORKDAY(C371,-(Setup!$C$13+Setup!$G$21),Setup!$C$39:$C$50))&lt;=Setup!$C$16),OR(MONTH(WORKDAY(C371,-(Setup!$C$13+Setup!$G$21),Setup!$C$39:$C$50))&gt;=Setup!$C$15,MONTH(WORKDAY(C371,-(Setup!$C$13+Setup!$G$21),Setup!$C$39:$C$50))&lt;=Setup!$C$16))),WORKDAY(C371,-(Setup!$C$13+Setup!$G$21+Setup!$C$14),Setup!$C$39:$C$50),WORKDAY(C371,-(Setup!$C$13+Setup!$G$21),Setup!$C$39:$C$50))+(366*100+2)/10000000)))</f>
        <v/>
      </c>
      <c r="T371" t="str">
        <f>IF(D371="","",IF(D371&lt;Setup!$C$5-Setup!$C$6,"",IF(IF(ISNUMBER(Roster!$D371),Setup!$C$22&lt;=Roster!$D371,FALSE),"",IF(OR(IF(Setup!$C$15&lt;=Setup!$C$16,AND(MONTH(D371)&gt;=Setup!$C$15,MONTH(D371)&lt;=Setup!$C$16),OR(MONTH(D371)&gt;=Setup!$C$15,MONTH(D371)&lt;=Setup!$C$16)),IF(Setup!$C$15&lt;=Setup!$C$16,AND(MONTH(WORKDAY(D371,-(Setup!$C$13+Setup!$G$22),Setup!$C$39:$C$50))&gt;=Setup!$C$15,MONTH(WORKDAY(D371,-(Setup!$C$13+Setup!$G$22),Setup!$C$39:$C$50))&lt;=Setup!$C$16),OR(MONTH(WORKDAY(D371,-(Setup!$C$13+Setup!$G$22),Setup!$C$39:$C$50))&gt;=Setup!$C$15,MONTH(WORKDAY(D371,-(Setup!$C$13+Setup!$G$22),Setup!$C$39:$C$50))&lt;=Setup!$C$16))),WORKDAY(D371,-(Setup!$C$13+Setup!$G$22+Setup!$C$14),Setup!$C$39:$C$50),WORKDAY(D371,-(Setup!$C$13+Setup!$G$22),Setup!$C$39:$C$50))+(366*100+3)/10000000)))</f>
        <v/>
      </c>
      <c r="U371" t="str">
        <f>IF(E371="","",IF(E371&lt;Setup!$C$5-Setup!$C$6,"",IF(IF(ISNUMBER(Roster!$D371),Setup!$C$23&lt;=Roster!$D371,FALSE),"",IF(OR(IF(Setup!$C$15&lt;=Setup!$C$16,AND(MONTH(E371)&gt;=Setup!$C$15,MONTH(E371)&lt;=Setup!$C$16),OR(MONTH(E371)&gt;=Setup!$C$15,MONTH(E371)&lt;=Setup!$C$16)),IF(Setup!$C$15&lt;=Setup!$C$16,AND(MONTH(WORKDAY(E371,-(Setup!$C$13+Setup!$G$23),Setup!$C$39:$C$50))&gt;=Setup!$C$15,MONTH(WORKDAY(E371,-(Setup!$C$13+Setup!$G$23),Setup!$C$39:$C$50))&lt;=Setup!$C$16),OR(MONTH(WORKDAY(E371,-(Setup!$C$13+Setup!$G$23),Setup!$C$39:$C$50))&gt;=Setup!$C$15,MONTH(WORKDAY(E371,-(Setup!$C$13+Setup!$G$23),Setup!$C$39:$C$50))&lt;=Setup!$C$16))),WORKDAY(E371,-(Setup!$C$13+Setup!$G$23+Setup!$C$14),Setup!$C$39:$C$50),WORKDAY(E371,-(Setup!$C$13+Setup!$G$23),Setup!$C$39:$C$50))+(366*100+4)/10000000)))</f>
        <v/>
      </c>
      <c r="V371" t="str">
        <f>IF(F371="","",IF(F371&lt;Setup!$C$5-Setup!$C$6,"",IF(IF(ISNUMBER(Roster!$D371),Setup!$C$24&lt;=Roster!$D371,FALSE),"",IF(OR(IF(Setup!$C$15&lt;=Setup!$C$16,AND(MONTH(F371)&gt;=Setup!$C$15,MONTH(F371)&lt;=Setup!$C$16),OR(MONTH(F371)&gt;=Setup!$C$15,MONTH(F371)&lt;=Setup!$C$16)),IF(Setup!$C$15&lt;=Setup!$C$16,AND(MONTH(WORKDAY(F371,-(Setup!$C$13+Setup!$G$24),Setup!$C$39:$C$50))&gt;=Setup!$C$15,MONTH(WORKDAY(F371,-(Setup!$C$13+Setup!$G$24),Setup!$C$39:$C$50))&lt;=Setup!$C$16),OR(MONTH(WORKDAY(F371,-(Setup!$C$13+Setup!$G$24),Setup!$C$39:$C$50))&gt;=Setup!$C$15,MONTH(WORKDAY(F371,-(Setup!$C$13+Setup!$G$24),Setup!$C$39:$C$50))&lt;=Setup!$C$16))),WORKDAY(F371,-(Setup!$C$13+Setup!$G$24+Setup!$C$14),Setup!$C$39:$C$50),WORKDAY(F371,-(Setup!$C$13+Setup!$G$24),Setup!$C$39:$C$50))+(366*100+5)/10000000)))</f>
        <v/>
      </c>
      <c r="W371" t="str">
        <f>IF(G371="","",IF(G371&lt;Setup!$C$5-Setup!$C$6,"",IF(IF(ISNUMBER(Roster!$D371),Setup!$C$25&lt;=Roster!$D371,FALSE),"",IF(OR(IF(Setup!$C$15&lt;=Setup!$C$16,AND(MONTH(G371)&gt;=Setup!$C$15,MONTH(G371)&lt;=Setup!$C$16),OR(MONTH(G371)&gt;=Setup!$C$15,MONTH(G371)&lt;=Setup!$C$16)),IF(Setup!$C$15&lt;=Setup!$C$16,AND(MONTH(WORKDAY(G371,-(Setup!$C$13+Setup!$G$25),Setup!$C$39:$C$50))&gt;=Setup!$C$15,MONTH(WORKDAY(G371,-(Setup!$C$13+Setup!$G$25),Setup!$C$39:$C$50))&lt;=Setup!$C$16),OR(MONTH(WORKDAY(G371,-(Setup!$C$13+Setup!$G$25),Setup!$C$39:$C$50))&gt;=Setup!$C$15,MONTH(WORKDAY(G371,-(Setup!$C$13+Setup!$G$25),Setup!$C$39:$C$50))&lt;=Setup!$C$16))),WORKDAY(G371,-(Setup!$C$13+Setup!$G$25+Setup!$C$14),Setup!$C$39:$C$50),WORKDAY(G371,-(Setup!$C$13+Setup!$G$25),Setup!$C$39:$C$50))+(366*100+6)/10000000)))</f>
        <v/>
      </c>
      <c r="X371" t="str">
        <f>IF(H371="","",IF(H371&lt;Setup!$C$5-Setup!$C$6,"",IF(IF(ISNUMBER(Roster!$D371),Setup!$C$26&lt;=Roster!$D371,FALSE),"",IF(OR(IF(Setup!$C$15&lt;=Setup!$C$16,AND(MONTH(H371)&gt;=Setup!$C$15,MONTH(H371)&lt;=Setup!$C$16),OR(MONTH(H371)&gt;=Setup!$C$15,MONTH(H371)&lt;=Setup!$C$16)),IF(Setup!$C$15&lt;=Setup!$C$16,AND(MONTH(WORKDAY(H371,-(Setup!$C$13+Setup!$G$26),Setup!$C$39:$C$50))&gt;=Setup!$C$15,MONTH(WORKDAY(H371,-(Setup!$C$13+Setup!$G$26),Setup!$C$39:$C$50))&lt;=Setup!$C$16),OR(MONTH(WORKDAY(H371,-(Setup!$C$13+Setup!$G$26),Setup!$C$39:$C$50))&gt;=Setup!$C$15,MONTH(WORKDAY(H371,-(Setup!$C$13+Setup!$G$26),Setup!$C$39:$C$50))&lt;=Setup!$C$16))),WORKDAY(H371,-(Setup!$C$13+Setup!$G$26+Setup!$C$14),Setup!$C$39:$C$50),WORKDAY(H371,-(Setup!$C$13+Setup!$G$26),Setup!$C$39:$C$50))+(366*100+7)/10000000)))</f>
        <v/>
      </c>
      <c r="Y371" t="str">
        <f>IF(I371="","",IF(I371&lt;Setup!$C$5-Setup!$C$6,"",IF(IF(ISNUMBER(Roster!$D371),Setup!$C$27&lt;=Roster!$D371,FALSE),"",IF(OR(IF(Setup!$C$15&lt;=Setup!$C$16,AND(MONTH(I371)&gt;=Setup!$C$15,MONTH(I371)&lt;=Setup!$C$16),OR(MONTH(I371)&gt;=Setup!$C$15,MONTH(I371)&lt;=Setup!$C$16)),IF(Setup!$C$15&lt;=Setup!$C$16,AND(MONTH(WORKDAY(I371,-(Setup!$C$13+Setup!$G$27),Setup!$C$39:$C$50))&gt;=Setup!$C$15,MONTH(WORKDAY(I371,-(Setup!$C$13+Setup!$G$27),Setup!$C$39:$C$50))&lt;=Setup!$C$16),OR(MONTH(WORKDAY(I371,-(Setup!$C$13+Setup!$G$27),Setup!$C$39:$C$50))&gt;=Setup!$C$15,MONTH(WORKDAY(I371,-(Setup!$C$13+Setup!$G$27),Setup!$C$39:$C$50))&lt;=Setup!$C$16))),WORKDAY(I371,-(Setup!$C$13+Setup!$G$27+Setup!$C$14),Setup!$C$39:$C$50),WORKDAY(I371,-(Setup!$C$13+Setup!$G$27),Setup!$C$39:$C$50))+(366*100+8)/10000000)))</f>
        <v/>
      </c>
      <c r="Z371" t="str">
        <f>IF(J371="","",IF(J371&lt;Setup!$C$5-Setup!$C$6,"",IF(IF(ISNUMBER(Roster!$D371),Setup!$C$28&lt;=Roster!$D371,FALSE),"",IF(OR(IF(Setup!$C$15&lt;=Setup!$C$16,AND(MONTH(J371)&gt;=Setup!$C$15,MONTH(J371)&lt;=Setup!$C$16),OR(MONTH(J371)&gt;=Setup!$C$15,MONTH(J371)&lt;=Setup!$C$16)),IF(Setup!$C$15&lt;=Setup!$C$16,AND(MONTH(WORKDAY(J371,-(Setup!$C$13+Setup!$G$28),Setup!$C$39:$C$50))&gt;=Setup!$C$15,MONTH(WORKDAY(J371,-(Setup!$C$13+Setup!$G$28),Setup!$C$39:$C$50))&lt;=Setup!$C$16),OR(MONTH(WORKDAY(J371,-(Setup!$C$13+Setup!$G$28),Setup!$C$39:$C$50))&gt;=Setup!$C$15,MONTH(WORKDAY(J371,-(Setup!$C$13+Setup!$G$28),Setup!$C$39:$C$50))&lt;=Setup!$C$16))),WORKDAY(J371,-(Setup!$C$13+Setup!$G$28+Setup!$C$14),Setup!$C$39:$C$50),WORKDAY(J371,-(Setup!$C$13+Setup!$G$28),Setup!$C$39:$C$50))+(366*100+9)/10000000)))</f>
        <v/>
      </c>
      <c r="AA371" t="str">
        <f>IF(K371="","",IF(K371&lt;Setup!$C$5-Setup!$C$6,"",IF(IF(ISNUMBER(Roster!$D371),Setup!$C$29&lt;=Roster!$D371,FALSE),"",IF(OR(IF(Setup!$C$15&lt;=Setup!$C$16,AND(MONTH(K371)&gt;=Setup!$C$15,MONTH(K371)&lt;=Setup!$C$16),OR(MONTH(K371)&gt;=Setup!$C$15,MONTH(K371)&lt;=Setup!$C$16)),IF(Setup!$C$15&lt;=Setup!$C$16,AND(MONTH(WORKDAY(K371,-(Setup!$C$13+Setup!$G$29),Setup!$C$39:$C$50))&gt;=Setup!$C$15,MONTH(WORKDAY(K371,-(Setup!$C$13+Setup!$G$29),Setup!$C$39:$C$50))&lt;=Setup!$C$16),OR(MONTH(WORKDAY(K371,-(Setup!$C$13+Setup!$G$29),Setup!$C$39:$C$50))&gt;=Setup!$C$15,MONTH(WORKDAY(K371,-(Setup!$C$13+Setup!$G$29),Setup!$C$39:$C$50))&lt;=Setup!$C$16))),WORKDAY(K371,-(Setup!$C$13+Setup!$G$29+Setup!$C$14),Setup!$C$39:$C$50),WORKDAY(K371,-(Setup!$C$13+Setup!$G$29),Setup!$C$39:$C$50))+(366*100+10)/10000000)))</f>
        <v/>
      </c>
      <c r="AB371" t="str">
        <f>IF(L371="","",IF(L371&lt;Setup!$C$5-Setup!$C$6,"",IF(IF(ISNUMBER(Roster!$D371),Setup!$C$30&lt;=Roster!$D371,FALSE),"",IF(OR(IF(Setup!$C$15&lt;=Setup!$C$16,AND(MONTH(L371)&gt;=Setup!$C$15,MONTH(L371)&lt;=Setup!$C$16),OR(MONTH(L371)&gt;=Setup!$C$15,MONTH(L371)&lt;=Setup!$C$16)),IF(Setup!$C$15&lt;=Setup!$C$16,AND(MONTH(WORKDAY(L371,-(Setup!$C$13+Setup!$G$30),Setup!$C$39:$C$50))&gt;=Setup!$C$15,MONTH(WORKDAY(L371,-(Setup!$C$13+Setup!$G$30),Setup!$C$39:$C$50))&lt;=Setup!$C$16),OR(MONTH(WORKDAY(L371,-(Setup!$C$13+Setup!$G$30),Setup!$C$39:$C$50))&gt;=Setup!$C$15,MONTH(WORKDAY(L371,-(Setup!$C$13+Setup!$G$30),Setup!$C$39:$C$50))&lt;=Setup!$C$16))),WORKDAY(L371,-(Setup!$C$13+Setup!$G$30+Setup!$C$14),Setup!$C$39:$C$50),WORKDAY(L371,-(Setup!$C$13+Setup!$G$30),Setup!$C$39:$C$50))+(366*100+11)/10000000)))</f>
        <v/>
      </c>
      <c r="AC371" t="str">
        <f>IF(M371="","",IF(M371&lt;Setup!$C$5-Setup!$C$6,"",IF(IF(ISNUMBER(Roster!$D371),Setup!$C$31&lt;=Roster!$D371,FALSE),"",IF(OR(IF(Setup!$C$15&lt;=Setup!$C$16,AND(MONTH(M371)&gt;=Setup!$C$15,MONTH(M371)&lt;=Setup!$C$16),OR(MONTH(M371)&gt;=Setup!$C$15,MONTH(M371)&lt;=Setup!$C$16)),IF(Setup!$C$15&lt;=Setup!$C$16,AND(MONTH(WORKDAY(M371,-(Setup!$C$13+Setup!$G$31),Setup!$C$39:$C$50))&gt;=Setup!$C$15,MONTH(WORKDAY(M371,-(Setup!$C$13+Setup!$G$31),Setup!$C$39:$C$50))&lt;=Setup!$C$16),OR(MONTH(WORKDAY(M371,-(Setup!$C$13+Setup!$G$31),Setup!$C$39:$C$50))&gt;=Setup!$C$15,MONTH(WORKDAY(M371,-(Setup!$C$13+Setup!$G$31),Setup!$C$39:$C$50))&lt;=Setup!$C$16))),WORKDAY(M371,-(Setup!$C$13+Setup!$G$31+Setup!$C$14),Setup!$C$39:$C$50),WORKDAY(M371,-(Setup!$C$13+Setup!$G$31),Setup!$C$39:$C$50))+(366*100+12)/10000000)))</f>
        <v/>
      </c>
      <c r="AD371" t="str">
        <f>IF(N371="","",IF(N371&lt;Setup!$C$5-Setup!$C$6,"",IF(IF(ISNUMBER(Roster!$D371),Setup!$C$32&lt;=Roster!$D371,FALSE),"",IF(OR(IF(Setup!$C$15&lt;=Setup!$C$16,AND(MONTH(N371)&gt;=Setup!$C$15,MONTH(N371)&lt;=Setup!$C$16),OR(MONTH(N371)&gt;=Setup!$C$15,MONTH(N371)&lt;=Setup!$C$16)),IF(Setup!$C$15&lt;=Setup!$C$16,AND(MONTH(WORKDAY(N371,-(Setup!$C$13+Setup!$G$32),Setup!$C$39:$C$50))&gt;=Setup!$C$15,MONTH(WORKDAY(N371,-(Setup!$C$13+Setup!$G$32),Setup!$C$39:$C$50))&lt;=Setup!$C$16),OR(MONTH(WORKDAY(N371,-(Setup!$C$13+Setup!$G$32),Setup!$C$39:$C$50))&gt;=Setup!$C$15,MONTH(WORKDAY(N371,-(Setup!$C$13+Setup!$G$32),Setup!$C$39:$C$50))&lt;=Setup!$C$16))),WORKDAY(N371,-(Setup!$C$13+Setup!$G$32+Setup!$C$14),Setup!$C$39:$C$50),WORKDAY(N371,-(Setup!$C$13+Setup!$G$32),Setup!$C$39:$C$50))+(366*100+13)/10000000)))</f>
        <v/>
      </c>
      <c r="AE371" t="str">
        <f>IF(O371="","",IF(O371&lt;Setup!$C$5-Setup!$C$6,"",IF(IF(ISNUMBER(Roster!$D371),Setup!$C$33&lt;=Roster!$D371,FALSE),"",IF(OR(IF(Setup!$C$15&lt;=Setup!$C$16,AND(MONTH(O371)&gt;=Setup!$C$15,MONTH(O371)&lt;=Setup!$C$16),OR(MONTH(O371)&gt;=Setup!$C$15,MONTH(O371)&lt;=Setup!$C$16)),IF(Setup!$C$15&lt;=Setup!$C$16,AND(MONTH(WORKDAY(O371,-(Setup!$C$13+Setup!$G$33),Setup!$C$39:$C$50))&gt;=Setup!$C$15,MONTH(WORKDAY(O371,-(Setup!$C$13+Setup!$G$33),Setup!$C$39:$C$50))&lt;=Setup!$C$16),OR(MONTH(WORKDAY(O371,-(Setup!$C$13+Setup!$G$33),Setup!$C$39:$C$50))&gt;=Setup!$C$15,MONTH(WORKDAY(O371,-(Setup!$C$13+Setup!$G$33),Setup!$C$39:$C$50))&lt;=Setup!$C$16))),WORKDAY(O371,-(Setup!$C$13+Setup!$G$33+Setup!$C$14),Setup!$C$39:$C$50),WORKDAY(O371,-(Setup!$C$13+Setup!$G$33),Setup!$C$39:$C$50))+(366*100+14)/10000000)))</f>
        <v/>
      </c>
      <c r="AF371" t="str">
        <f>IF(P371="","",IF(P371&lt;Setup!$C$5-Setup!$C$6,"",IF(IF(ISNUMBER(Roster!$D371),Setup!$C$34&lt;=Roster!$D371,FALSE),"",IF(OR(IF(Setup!$C$15&lt;=Setup!$C$16,AND(MONTH(P371)&gt;=Setup!$C$15,MONTH(P371)&lt;=Setup!$C$16),OR(MONTH(P371)&gt;=Setup!$C$15,MONTH(P371)&lt;=Setup!$C$16)),IF(Setup!$C$15&lt;=Setup!$C$16,AND(MONTH(WORKDAY(P371,-(Setup!$C$13+Setup!$G$34),Setup!$C$39:$C$50))&gt;=Setup!$C$15,MONTH(WORKDAY(P371,-(Setup!$C$13+Setup!$G$34),Setup!$C$39:$C$50))&lt;=Setup!$C$16),OR(MONTH(WORKDAY(P371,-(Setup!$C$13+Setup!$G$34),Setup!$C$39:$C$50))&gt;=Setup!$C$15,MONTH(WORKDAY(P371,-(Setup!$C$13+Setup!$G$34),Setup!$C$39:$C$50))&lt;=Setup!$C$16))),WORKDAY(P371,-(Setup!$C$13+Setup!$G$34+Setup!$C$14),Setup!$C$39:$C$50),WORKDAY(P371,-(Setup!$C$13+Setup!$G$34),Setup!$C$39:$C$50))+(366*100+15)/10000000)))</f>
        <v/>
      </c>
      <c r="AH371" t="str">
        <f t="shared" si="41"/>
        <v/>
      </c>
      <c r="AI371" t="str">
        <f t="shared" si="42"/>
        <v/>
      </c>
      <c r="AP371" t="str">
        <f>IF(ISNUMBER(Roster!$B371),MAX(1,YEAR(Setup!$C$5)-YEAR(Roster!$B371)+IF(EDATE(Roster!$B371,12*(YEAR(Setup!$C$5)-YEAR(Roster!$B371)))&lt;Setup!$C$5,1,0)),"")</f>
        <v/>
      </c>
      <c r="AQ371" s="32" t="str">
        <f>IF(AP371="","",EDATE(Roster!$B371,12*AP371))</f>
        <v/>
      </c>
      <c r="AR371" t="str">
        <f>IF(AQ371="","",IF(AQ371&lt;DATE(YEAR(Setup!$C$5)+1,MONTH(Setup!$C$5),DAY(Setup!$C$5)),AQ371+366/1000,""))</f>
        <v/>
      </c>
      <c r="AS371" t="str">
        <f t="shared" si="43"/>
        <v/>
      </c>
      <c r="AT371" t="str">
        <f>IF(AS371="","",IF(ISNUMBER(Roster!$D371),Roster!$D371&gt;=AP371,FALSE))</f>
        <v/>
      </c>
      <c r="AU371" t="str">
        <f t="shared" si="44"/>
        <v/>
      </c>
      <c r="AV371" t="str">
        <f ca="1">IF(366&gt;$AV$2,"",SMALL($AR$6:$AR$505,366))</f>
        <v/>
      </c>
      <c r="AW371" t="str">
        <f t="shared" ca="1" si="45"/>
        <v/>
      </c>
    </row>
    <row r="372" spans="2:49" x14ac:dyDescent="0.2">
      <c r="B372" s="32" t="str">
        <f>IF(AND(ISNUMBER(Roster!$B372),Setup!$B$20="Yes",ISNUMBER(Setup!$C$20)),EDATE(Roster!$B372,12*Setup!$C$20),"")</f>
        <v/>
      </c>
      <c r="C372" s="32" t="str">
        <f>IF(AND(ISNUMBER(Roster!$B372),Setup!$B$21="Yes",ISNUMBER(Setup!$C$21)),EDATE(Roster!$B372,12*Setup!$C$21),"")</f>
        <v/>
      </c>
      <c r="D372" s="32" t="str">
        <f>IF(AND(ISNUMBER(Roster!$B372),Setup!$B$22="Yes",ISNUMBER(Setup!$C$22)),EDATE(Roster!$B372,12*Setup!$C$22),"")</f>
        <v/>
      </c>
      <c r="E372" s="32" t="str">
        <f>IF(AND(ISNUMBER(Roster!$B372),Setup!$B$23="Yes",ISNUMBER(Setup!$C$23)),EDATE(Roster!$B372,12*Setup!$C$23),"")</f>
        <v/>
      </c>
      <c r="F372" s="32" t="str">
        <f>IF(AND(ISNUMBER(Roster!$B372),Setup!$B$24="Yes",ISNUMBER(Setup!$C$24)),EDATE(Roster!$B372,12*Setup!$C$24),"")</f>
        <v/>
      </c>
      <c r="G372" s="32" t="str">
        <f>IF(AND(ISNUMBER(Roster!$B372),Setup!$B$25="Yes",ISNUMBER(Setup!$C$25)),EDATE(Roster!$B372,12*Setup!$C$25),"")</f>
        <v/>
      </c>
      <c r="H372" s="32" t="str">
        <f>IF(AND(ISNUMBER(Roster!$B372),Setup!$B$26="Yes",ISNUMBER(Setup!$C$26)),EDATE(Roster!$B372,12*Setup!$C$26),"")</f>
        <v/>
      </c>
      <c r="I372" s="32" t="str">
        <f>IF(AND(ISNUMBER(Roster!$B372),Setup!$B$27="Yes",ISNUMBER(Setup!$C$27)),EDATE(Roster!$B372,12*Setup!$C$27),"")</f>
        <v/>
      </c>
      <c r="J372" s="32" t="str">
        <f>IF(AND(ISNUMBER(Roster!$B372),Setup!$B$28="Yes",ISNUMBER(Setup!$C$28)),EDATE(Roster!$B372,12*Setup!$C$28),"")</f>
        <v/>
      </c>
      <c r="K372" s="32" t="str">
        <f>IF(AND(ISNUMBER(Roster!$B372),Setup!$B$29="Yes",ISNUMBER(Setup!$C$29)),EDATE(Roster!$B372,12*Setup!$C$29),"")</f>
        <v/>
      </c>
      <c r="L372" s="32" t="str">
        <f>IF(AND(ISNUMBER(Roster!$B372),Setup!$B$30="Yes",ISNUMBER(Setup!$C$30)),EDATE(Roster!$B372,12*Setup!$C$30),"")</f>
        <v/>
      </c>
      <c r="M372" s="32" t="str">
        <f>IF(AND(ISNUMBER(Roster!$B372),Setup!$B$31="Yes",ISNUMBER(Setup!$C$31)),EDATE(Roster!$B372,12*Setup!$C$31),"")</f>
        <v/>
      </c>
      <c r="N372" s="32" t="str">
        <f>IF(AND(ISNUMBER(Roster!$B372),Setup!$B$32="Yes",ISNUMBER(Setup!$C$32)),EDATE(Roster!$B372,12*Setup!$C$32),"")</f>
        <v/>
      </c>
      <c r="O372" s="32" t="str">
        <f>IF(AND(ISNUMBER(Roster!$B372),Setup!$B$33="Yes",ISNUMBER(Setup!$C$33)),EDATE(Roster!$B372,12*Setup!$C$33),"")</f>
        <v/>
      </c>
      <c r="P372" s="32" t="str">
        <f>IF(AND(ISNUMBER(Roster!$B372),Setup!$B$34="Yes",ISNUMBER(Setup!$C$34)),EDATE(Roster!$B372,12*Setup!$C$34),"")</f>
        <v/>
      </c>
      <c r="R372" t="str">
        <f>IF(B372="","",IF(B372&lt;Setup!$C$5-Setup!$C$6,"",IF(IF(ISNUMBER(Roster!$D372),Setup!$C$20&lt;=Roster!$D372,FALSE),"",IF(OR(IF(Setup!$C$15&lt;=Setup!$C$16,AND(MONTH(B372)&gt;=Setup!$C$15,MONTH(B372)&lt;=Setup!$C$16),OR(MONTH(B372)&gt;=Setup!$C$15,MONTH(B372)&lt;=Setup!$C$16)),IF(Setup!$C$15&lt;=Setup!$C$16,AND(MONTH(WORKDAY(B372,-(Setup!$C$13+Setup!$G$20),Setup!$C$39:$C$50))&gt;=Setup!$C$15,MONTH(WORKDAY(B372,-(Setup!$C$13+Setup!$G$20),Setup!$C$39:$C$50))&lt;=Setup!$C$16),OR(MONTH(WORKDAY(B372,-(Setup!$C$13+Setup!$G$20),Setup!$C$39:$C$50))&gt;=Setup!$C$15,MONTH(WORKDAY(B372,-(Setup!$C$13+Setup!$G$20),Setup!$C$39:$C$50))&lt;=Setup!$C$16))),WORKDAY(B372,-(Setup!$C$13+Setup!$G$20+Setup!$C$14),Setup!$C$39:$C$50),WORKDAY(B372,-(Setup!$C$13+Setup!$G$20),Setup!$C$39:$C$50))+(367*100+1)/10000000)))</f>
        <v/>
      </c>
      <c r="S372" t="str">
        <f>IF(C372="","",IF(C372&lt;Setup!$C$5-Setup!$C$6,"",IF(IF(ISNUMBER(Roster!$D372),Setup!$C$21&lt;=Roster!$D372,FALSE),"",IF(OR(IF(Setup!$C$15&lt;=Setup!$C$16,AND(MONTH(C372)&gt;=Setup!$C$15,MONTH(C372)&lt;=Setup!$C$16),OR(MONTH(C372)&gt;=Setup!$C$15,MONTH(C372)&lt;=Setup!$C$16)),IF(Setup!$C$15&lt;=Setup!$C$16,AND(MONTH(WORKDAY(C372,-(Setup!$C$13+Setup!$G$21),Setup!$C$39:$C$50))&gt;=Setup!$C$15,MONTH(WORKDAY(C372,-(Setup!$C$13+Setup!$G$21),Setup!$C$39:$C$50))&lt;=Setup!$C$16),OR(MONTH(WORKDAY(C372,-(Setup!$C$13+Setup!$G$21),Setup!$C$39:$C$50))&gt;=Setup!$C$15,MONTH(WORKDAY(C372,-(Setup!$C$13+Setup!$G$21),Setup!$C$39:$C$50))&lt;=Setup!$C$16))),WORKDAY(C372,-(Setup!$C$13+Setup!$G$21+Setup!$C$14),Setup!$C$39:$C$50),WORKDAY(C372,-(Setup!$C$13+Setup!$G$21),Setup!$C$39:$C$50))+(367*100+2)/10000000)))</f>
        <v/>
      </c>
      <c r="T372" t="str">
        <f>IF(D372="","",IF(D372&lt;Setup!$C$5-Setup!$C$6,"",IF(IF(ISNUMBER(Roster!$D372),Setup!$C$22&lt;=Roster!$D372,FALSE),"",IF(OR(IF(Setup!$C$15&lt;=Setup!$C$16,AND(MONTH(D372)&gt;=Setup!$C$15,MONTH(D372)&lt;=Setup!$C$16),OR(MONTH(D372)&gt;=Setup!$C$15,MONTH(D372)&lt;=Setup!$C$16)),IF(Setup!$C$15&lt;=Setup!$C$16,AND(MONTH(WORKDAY(D372,-(Setup!$C$13+Setup!$G$22),Setup!$C$39:$C$50))&gt;=Setup!$C$15,MONTH(WORKDAY(D372,-(Setup!$C$13+Setup!$G$22),Setup!$C$39:$C$50))&lt;=Setup!$C$16),OR(MONTH(WORKDAY(D372,-(Setup!$C$13+Setup!$G$22),Setup!$C$39:$C$50))&gt;=Setup!$C$15,MONTH(WORKDAY(D372,-(Setup!$C$13+Setup!$G$22),Setup!$C$39:$C$50))&lt;=Setup!$C$16))),WORKDAY(D372,-(Setup!$C$13+Setup!$G$22+Setup!$C$14),Setup!$C$39:$C$50),WORKDAY(D372,-(Setup!$C$13+Setup!$G$22),Setup!$C$39:$C$50))+(367*100+3)/10000000)))</f>
        <v/>
      </c>
      <c r="U372" t="str">
        <f>IF(E372="","",IF(E372&lt;Setup!$C$5-Setup!$C$6,"",IF(IF(ISNUMBER(Roster!$D372),Setup!$C$23&lt;=Roster!$D372,FALSE),"",IF(OR(IF(Setup!$C$15&lt;=Setup!$C$16,AND(MONTH(E372)&gt;=Setup!$C$15,MONTH(E372)&lt;=Setup!$C$16),OR(MONTH(E372)&gt;=Setup!$C$15,MONTH(E372)&lt;=Setup!$C$16)),IF(Setup!$C$15&lt;=Setup!$C$16,AND(MONTH(WORKDAY(E372,-(Setup!$C$13+Setup!$G$23),Setup!$C$39:$C$50))&gt;=Setup!$C$15,MONTH(WORKDAY(E372,-(Setup!$C$13+Setup!$G$23),Setup!$C$39:$C$50))&lt;=Setup!$C$16),OR(MONTH(WORKDAY(E372,-(Setup!$C$13+Setup!$G$23),Setup!$C$39:$C$50))&gt;=Setup!$C$15,MONTH(WORKDAY(E372,-(Setup!$C$13+Setup!$G$23),Setup!$C$39:$C$50))&lt;=Setup!$C$16))),WORKDAY(E372,-(Setup!$C$13+Setup!$G$23+Setup!$C$14),Setup!$C$39:$C$50),WORKDAY(E372,-(Setup!$C$13+Setup!$G$23),Setup!$C$39:$C$50))+(367*100+4)/10000000)))</f>
        <v/>
      </c>
      <c r="V372" t="str">
        <f>IF(F372="","",IF(F372&lt;Setup!$C$5-Setup!$C$6,"",IF(IF(ISNUMBER(Roster!$D372),Setup!$C$24&lt;=Roster!$D372,FALSE),"",IF(OR(IF(Setup!$C$15&lt;=Setup!$C$16,AND(MONTH(F372)&gt;=Setup!$C$15,MONTH(F372)&lt;=Setup!$C$16),OR(MONTH(F372)&gt;=Setup!$C$15,MONTH(F372)&lt;=Setup!$C$16)),IF(Setup!$C$15&lt;=Setup!$C$16,AND(MONTH(WORKDAY(F372,-(Setup!$C$13+Setup!$G$24),Setup!$C$39:$C$50))&gt;=Setup!$C$15,MONTH(WORKDAY(F372,-(Setup!$C$13+Setup!$G$24),Setup!$C$39:$C$50))&lt;=Setup!$C$16),OR(MONTH(WORKDAY(F372,-(Setup!$C$13+Setup!$G$24),Setup!$C$39:$C$50))&gt;=Setup!$C$15,MONTH(WORKDAY(F372,-(Setup!$C$13+Setup!$G$24),Setup!$C$39:$C$50))&lt;=Setup!$C$16))),WORKDAY(F372,-(Setup!$C$13+Setup!$G$24+Setup!$C$14),Setup!$C$39:$C$50),WORKDAY(F372,-(Setup!$C$13+Setup!$G$24),Setup!$C$39:$C$50))+(367*100+5)/10000000)))</f>
        <v/>
      </c>
      <c r="W372" t="str">
        <f>IF(G372="","",IF(G372&lt;Setup!$C$5-Setup!$C$6,"",IF(IF(ISNUMBER(Roster!$D372),Setup!$C$25&lt;=Roster!$D372,FALSE),"",IF(OR(IF(Setup!$C$15&lt;=Setup!$C$16,AND(MONTH(G372)&gt;=Setup!$C$15,MONTH(G372)&lt;=Setup!$C$16),OR(MONTH(G372)&gt;=Setup!$C$15,MONTH(G372)&lt;=Setup!$C$16)),IF(Setup!$C$15&lt;=Setup!$C$16,AND(MONTH(WORKDAY(G372,-(Setup!$C$13+Setup!$G$25),Setup!$C$39:$C$50))&gt;=Setup!$C$15,MONTH(WORKDAY(G372,-(Setup!$C$13+Setup!$G$25),Setup!$C$39:$C$50))&lt;=Setup!$C$16),OR(MONTH(WORKDAY(G372,-(Setup!$C$13+Setup!$G$25),Setup!$C$39:$C$50))&gt;=Setup!$C$15,MONTH(WORKDAY(G372,-(Setup!$C$13+Setup!$G$25),Setup!$C$39:$C$50))&lt;=Setup!$C$16))),WORKDAY(G372,-(Setup!$C$13+Setup!$G$25+Setup!$C$14),Setup!$C$39:$C$50),WORKDAY(G372,-(Setup!$C$13+Setup!$G$25),Setup!$C$39:$C$50))+(367*100+6)/10000000)))</f>
        <v/>
      </c>
      <c r="X372" t="str">
        <f>IF(H372="","",IF(H372&lt;Setup!$C$5-Setup!$C$6,"",IF(IF(ISNUMBER(Roster!$D372),Setup!$C$26&lt;=Roster!$D372,FALSE),"",IF(OR(IF(Setup!$C$15&lt;=Setup!$C$16,AND(MONTH(H372)&gt;=Setup!$C$15,MONTH(H372)&lt;=Setup!$C$16),OR(MONTH(H372)&gt;=Setup!$C$15,MONTH(H372)&lt;=Setup!$C$16)),IF(Setup!$C$15&lt;=Setup!$C$16,AND(MONTH(WORKDAY(H372,-(Setup!$C$13+Setup!$G$26),Setup!$C$39:$C$50))&gt;=Setup!$C$15,MONTH(WORKDAY(H372,-(Setup!$C$13+Setup!$G$26),Setup!$C$39:$C$50))&lt;=Setup!$C$16),OR(MONTH(WORKDAY(H372,-(Setup!$C$13+Setup!$G$26),Setup!$C$39:$C$50))&gt;=Setup!$C$15,MONTH(WORKDAY(H372,-(Setup!$C$13+Setup!$G$26),Setup!$C$39:$C$50))&lt;=Setup!$C$16))),WORKDAY(H372,-(Setup!$C$13+Setup!$G$26+Setup!$C$14),Setup!$C$39:$C$50),WORKDAY(H372,-(Setup!$C$13+Setup!$G$26),Setup!$C$39:$C$50))+(367*100+7)/10000000)))</f>
        <v/>
      </c>
      <c r="Y372" t="str">
        <f>IF(I372="","",IF(I372&lt;Setup!$C$5-Setup!$C$6,"",IF(IF(ISNUMBER(Roster!$D372),Setup!$C$27&lt;=Roster!$D372,FALSE),"",IF(OR(IF(Setup!$C$15&lt;=Setup!$C$16,AND(MONTH(I372)&gt;=Setup!$C$15,MONTH(I372)&lt;=Setup!$C$16),OR(MONTH(I372)&gt;=Setup!$C$15,MONTH(I372)&lt;=Setup!$C$16)),IF(Setup!$C$15&lt;=Setup!$C$16,AND(MONTH(WORKDAY(I372,-(Setup!$C$13+Setup!$G$27),Setup!$C$39:$C$50))&gt;=Setup!$C$15,MONTH(WORKDAY(I372,-(Setup!$C$13+Setup!$G$27),Setup!$C$39:$C$50))&lt;=Setup!$C$16),OR(MONTH(WORKDAY(I372,-(Setup!$C$13+Setup!$G$27),Setup!$C$39:$C$50))&gt;=Setup!$C$15,MONTH(WORKDAY(I372,-(Setup!$C$13+Setup!$G$27),Setup!$C$39:$C$50))&lt;=Setup!$C$16))),WORKDAY(I372,-(Setup!$C$13+Setup!$G$27+Setup!$C$14),Setup!$C$39:$C$50),WORKDAY(I372,-(Setup!$C$13+Setup!$G$27),Setup!$C$39:$C$50))+(367*100+8)/10000000)))</f>
        <v/>
      </c>
      <c r="Z372" t="str">
        <f>IF(J372="","",IF(J372&lt;Setup!$C$5-Setup!$C$6,"",IF(IF(ISNUMBER(Roster!$D372),Setup!$C$28&lt;=Roster!$D372,FALSE),"",IF(OR(IF(Setup!$C$15&lt;=Setup!$C$16,AND(MONTH(J372)&gt;=Setup!$C$15,MONTH(J372)&lt;=Setup!$C$16),OR(MONTH(J372)&gt;=Setup!$C$15,MONTH(J372)&lt;=Setup!$C$16)),IF(Setup!$C$15&lt;=Setup!$C$16,AND(MONTH(WORKDAY(J372,-(Setup!$C$13+Setup!$G$28),Setup!$C$39:$C$50))&gt;=Setup!$C$15,MONTH(WORKDAY(J372,-(Setup!$C$13+Setup!$G$28),Setup!$C$39:$C$50))&lt;=Setup!$C$16),OR(MONTH(WORKDAY(J372,-(Setup!$C$13+Setup!$G$28),Setup!$C$39:$C$50))&gt;=Setup!$C$15,MONTH(WORKDAY(J372,-(Setup!$C$13+Setup!$G$28),Setup!$C$39:$C$50))&lt;=Setup!$C$16))),WORKDAY(J372,-(Setup!$C$13+Setup!$G$28+Setup!$C$14),Setup!$C$39:$C$50),WORKDAY(J372,-(Setup!$C$13+Setup!$G$28),Setup!$C$39:$C$50))+(367*100+9)/10000000)))</f>
        <v/>
      </c>
      <c r="AA372" t="str">
        <f>IF(K372="","",IF(K372&lt;Setup!$C$5-Setup!$C$6,"",IF(IF(ISNUMBER(Roster!$D372),Setup!$C$29&lt;=Roster!$D372,FALSE),"",IF(OR(IF(Setup!$C$15&lt;=Setup!$C$16,AND(MONTH(K372)&gt;=Setup!$C$15,MONTH(K372)&lt;=Setup!$C$16),OR(MONTH(K372)&gt;=Setup!$C$15,MONTH(K372)&lt;=Setup!$C$16)),IF(Setup!$C$15&lt;=Setup!$C$16,AND(MONTH(WORKDAY(K372,-(Setup!$C$13+Setup!$G$29),Setup!$C$39:$C$50))&gt;=Setup!$C$15,MONTH(WORKDAY(K372,-(Setup!$C$13+Setup!$G$29),Setup!$C$39:$C$50))&lt;=Setup!$C$16),OR(MONTH(WORKDAY(K372,-(Setup!$C$13+Setup!$G$29),Setup!$C$39:$C$50))&gt;=Setup!$C$15,MONTH(WORKDAY(K372,-(Setup!$C$13+Setup!$G$29),Setup!$C$39:$C$50))&lt;=Setup!$C$16))),WORKDAY(K372,-(Setup!$C$13+Setup!$G$29+Setup!$C$14),Setup!$C$39:$C$50),WORKDAY(K372,-(Setup!$C$13+Setup!$G$29),Setup!$C$39:$C$50))+(367*100+10)/10000000)))</f>
        <v/>
      </c>
      <c r="AB372" t="str">
        <f>IF(L372="","",IF(L372&lt;Setup!$C$5-Setup!$C$6,"",IF(IF(ISNUMBER(Roster!$D372),Setup!$C$30&lt;=Roster!$D372,FALSE),"",IF(OR(IF(Setup!$C$15&lt;=Setup!$C$16,AND(MONTH(L372)&gt;=Setup!$C$15,MONTH(L372)&lt;=Setup!$C$16),OR(MONTH(L372)&gt;=Setup!$C$15,MONTH(L372)&lt;=Setup!$C$16)),IF(Setup!$C$15&lt;=Setup!$C$16,AND(MONTH(WORKDAY(L372,-(Setup!$C$13+Setup!$G$30),Setup!$C$39:$C$50))&gt;=Setup!$C$15,MONTH(WORKDAY(L372,-(Setup!$C$13+Setup!$G$30),Setup!$C$39:$C$50))&lt;=Setup!$C$16),OR(MONTH(WORKDAY(L372,-(Setup!$C$13+Setup!$G$30),Setup!$C$39:$C$50))&gt;=Setup!$C$15,MONTH(WORKDAY(L372,-(Setup!$C$13+Setup!$G$30),Setup!$C$39:$C$50))&lt;=Setup!$C$16))),WORKDAY(L372,-(Setup!$C$13+Setup!$G$30+Setup!$C$14),Setup!$C$39:$C$50),WORKDAY(L372,-(Setup!$C$13+Setup!$G$30),Setup!$C$39:$C$50))+(367*100+11)/10000000)))</f>
        <v/>
      </c>
      <c r="AC372" t="str">
        <f>IF(M372="","",IF(M372&lt;Setup!$C$5-Setup!$C$6,"",IF(IF(ISNUMBER(Roster!$D372),Setup!$C$31&lt;=Roster!$D372,FALSE),"",IF(OR(IF(Setup!$C$15&lt;=Setup!$C$16,AND(MONTH(M372)&gt;=Setup!$C$15,MONTH(M372)&lt;=Setup!$C$16),OR(MONTH(M372)&gt;=Setup!$C$15,MONTH(M372)&lt;=Setup!$C$16)),IF(Setup!$C$15&lt;=Setup!$C$16,AND(MONTH(WORKDAY(M372,-(Setup!$C$13+Setup!$G$31),Setup!$C$39:$C$50))&gt;=Setup!$C$15,MONTH(WORKDAY(M372,-(Setup!$C$13+Setup!$G$31),Setup!$C$39:$C$50))&lt;=Setup!$C$16),OR(MONTH(WORKDAY(M372,-(Setup!$C$13+Setup!$G$31),Setup!$C$39:$C$50))&gt;=Setup!$C$15,MONTH(WORKDAY(M372,-(Setup!$C$13+Setup!$G$31),Setup!$C$39:$C$50))&lt;=Setup!$C$16))),WORKDAY(M372,-(Setup!$C$13+Setup!$G$31+Setup!$C$14),Setup!$C$39:$C$50),WORKDAY(M372,-(Setup!$C$13+Setup!$G$31),Setup!$C$39:$C$50))+(367*100+12)/10000000)))</f>
        <v/>
      </c>
      <c r="AD372" t="str">
        <f>IF(N372="","",IF(N372&lt;Setup!$C$5-Setup!$C$6,"",IF(IF(ISNUMBER(Roster!$D372),Setup!$C$32&lt;=Roster!$D372,FALSE),"",IF(OR(IF(Setup!$C$15&lt;=Setup!$C$16,AND(MONTH(N372)&gt;=Setup!$C$15,MONTH(N372)&lt;=Setup!$C$16),OR(MONTH(N372)&gt;=Setup!$C$15,MONTH(N372)&lt;=Setup!$C$16)),IF(Setup!$C$15&lt;=Setup!$C$16,AND(MONTH(WORKDAY(N372,-(Setup!$C$13+Setup!$G$32),Setup!$C$39:$C$50))&gt;=Setup!$C$15,MONTH(WORKDAY(N372,-(Setup!$C$13+Setup!$G$32),Setup!$C$39:$C$50))&lt;=Setup!$C$16),OR(MONTH(WORKDAY(N372,-(Setup!$C$13+Setup!$G$32),Setup!$C$39:$C$50))&gt;=Setup!$C$15,MONTH(WORKDAY(N372,-(Setup!$C$13+Setup!$G$32),Setup!$C$39:$C$50))&lt;=Setup!$C$16))),WORKDAY(N372,-(Setup!$C$13+Setup!$G$32+Setup!$C$14),Setup!$C$39:$C$50),WORKDAY(N372,-(Setup!$C$13+Setup!$G$32),Setup!$C$39:$C$50))+(367*100+13)/10000000)))</f>
        <v/>
      </c>
      <c r="AE372" t="str">
        <f>IF(O372="","",IF(O372&lt;Setup!$C$5-Setup!$C$6,"",IF(IF(ISNUMBER(Roster!$D372),Setup!$C$33&lt;=Roster!$D372,FALSE),"",IF(OR(IF(Setup!$C$15&lt;=Setup!$C$16,AND(MONTH(O372)&gt;=Setup!$C$15,MONTH(O372)&lt;=Setup!$C$16),OR(MONTH(O372)&gt;=Setup!$C$15,MONTH(O372)&lt;=Setup!$C$16)),IF(Setup!$C$15&lt;=Setup!$C$16,AND(MONTH(WORKDAY(O372,-(Setup!$C$13+Setup!$G$33),Setup!$C$39:$C$50))&gt;=Setup!$C$15,MONTH(WORKDAY(O372,-(Setup!$C$13+Setup!$G$33),Setup!$C$39:$C$50))&lt;=Setup!$C$16),OR(MONTH(WORKDAY(O372,-(Setup!$C$13+Setup!$G$33),Setup!$C$39:$C$50))&gt;=Setup!$C$15,MONTH(WORKDAY(O372,-(Setup!$C$13+Setup!$G$33),Setup!$C$39:$C$50))&lt;=Setup!$C$16))),WORKDAY(O372,-(Setup!$C$13+Setup!$G$33+Setup!$C$14),Setup!$C$39:$C$50),WORKDAY(O372,-(Setup!$C$13+Setup!$G$33),Setup!$C$39:$C$50))+(367*100+14)/10000000)))</f>
        <v/>
      </c>
      <c r="AF372" t="str">
        <f>IF(P372="","",IF(P372&lt;Setup!$C$5-Setup!$C$6,"",IF(IF(ISNUMBER(Roster!$D372),Setup!$C$34&lt;=Roster!$D372,FALSE),"",IF(OR(IF(Setup!$C$15&lt;=Setup!$C$16,AND(MONTH(P372)&gt;=Setup!$C$15,MONTH(P372)&lt;=Setup!$C$16),OR(MONTH(P372)&gt;=Setup!$C$15,MONTH(P372)&lt;=Setup!$C$16)),IF(Setup!$C$15&lt;=Setup!$C$16,AND(MONTH(WORKDAY(P372,-(Setup!$C$13+Setup!$G$34),Setup!$C$39:$C$50))&gt;=Setup!$C$15,MONTH(WORKDAY(P372,-(Setup!$C$13+Setup!$G$34),Setup!$C$39:$C$50))&lt;=Setup!$C$16),OR(MONTH(WORKDAY(P372,-(Setup!$C$13+Setup!$G$34),Setup!$C$39:$C$50))&gt;=Setup!$C$15,MONTH(WORKDAY(P372,-(Setup!$C$13+Setup!$G$34),Setup!$C$39:$C$50))&lt;=Setup!$C$16))),WORKDAY(P372,-(Setup!$C$13+Setup!$G$34+Setup!$C$14),Setup!$C$39:$C$50),WORKDAY(P372,-(Setup!$C$13+Setup!$G$34),Setup!$C$39:$C$50))+(367*100+15)/10000000)))</f>
        <v/>
      </c>
      <c r="AH372" t="str">
        <f t="shared" si="41"/>
        <v/>
      </c>
      <c r="AI372" t="str">
        <f t="shared" si="42"/>
        <v/>
      </c>
      <c r="AP372" t="str">
        <f>IF(ISNUMBER(Roster!$B372),MAX(1,YEAR(Setup!$C$5)-YEAR(Roster!$B372)+IF(EDATE(Roster!$B372,12*(YEAR(Setup!$C$5)-YEAR(Roster!$B372)))&lt;Setup!$C$5,1,0)),"")</f>
        <v/>
      </c>
      <c r="AQ372" s="32" t="str">
        <f>IF(AP372="","",EDATE(Roster!$B372,12*AP372))</f>
        <v/>
      </c>
      <c r="AR372" t="str">
        <f>IF(AQ372="","",IF(AQ372&lt;DATE(YEAR(Setup!$C$5)+1,MONTH(Setup!$C$5),DAY(Setup!$C$5)),AQ372+367/1000,""))</f>
        <v/>
      </c>
      <c r="AS372" t="str">
        <f t="shared" si="43"/>
        <v/>
      </c>
      <c r="AT372" t="str">
        <f>IF(AS372="","",IF(ISNUMBER(Roster!$D372),Roster!$D372&gt;=AP372,FALSE))</f>
        <v/>
      </c>
      <c r="AU372" t="str">
        <f t="shared" si="44"/>
        <v/>
      </c>
      <c r="AV372" t="str">
        <f ca="1">IF(367&gt;$AV$2,"",SMALL($AR$6:$AR$505,367))</f>
        <v/>
      </c>
      <c r="AW372" t="str">
        <f t="shared" ca="1" si="45"/>
        <v/>
      </c>
    </row>
    <row r="373" spans="2:49" x14ac:dyDescent="0.2">
      <c r="B373" s="32" t="str">
        <f>IF(AND(ISNUMBER(Roster!$B373),Setup!$B$20="Yes",ISNUMBER(Setup!$C$20)),EDATE(Roster!$B373,12*Setup!$C$20),"")</f>
        <v/>
      </c>
      <c r="C373" s="32" t="str">
        <f>IF(AND(ISNUMBER(Roster!$B373),Setup!$B$21="Yes",ISNUMBER(Setup!$C$21)),EDATE(Roster!$B373,12*Setup!$C$21),"")</f>
        <v/>
      </c>
      <c r="D373" s="32" t="str">
        <f>IF(AND(ISNUMBER(Roster!$B373),Setup!$B$22="Yes",ISNUMBER(Setup!$C$22)),EDATE(Roster!$B373,12*Setup!$C$22),"")</f>
        <v/>
      </c>
      <c r="E373" s="32" t="str">
        <f>IF(AND(ISNUMBER(Roster!$B373),Setup!$B$23="Yes",ISNUMBER(Setup!$C$23)),EDATE(Roster!$B373,12*Setup!$C$23),"")</f>
        <v/>
      </c>
      <c r="F373" s="32" t="str">
        <f>IF(AND(ISNUMBER(Roster!$B373),Setup!$B$24="Yes",ISNUMBER(Setup!$C$24)),EDATE(Roster!$B373,12*Setup!$C$24),"")</f>
        <v/>
      </c>
      <c r="G373" s="32" t="str">
        <f>IF(AND(ISNUMBER(Roster!$B373),Setup!$B$25="Yes",ISNUMBER(Setup!$C$25)),EDATE(Roster!$B373,12*Setup!$C$25),"")</f>
        <v/>
      </c>
      <c r="H373" s="32" t="str">
        <f>IF(AND(ISNUMBER(Roster!$B373),Setup!$B$26="Yes",ISNUMBER(Setup!$C$26)),EDATE(Roster!$B373,12*Setup!$C$26),"")</f>
        <v/>
      </c>
      <c r="I373" s="32" t="str">
        <f>IF(AND(ISNUMBER(Roster!$B373),Setup!$B$27="Yes",ISNUMBER(Setup!$C$27)),EDATE(Roster!$B373,12*Setup!$C$27),"")</f>
        <v/>
      </c>
      <c r="J373" s="32" t="str">
        <f>IF(AND(ISNUMBER(Roster!$B373),Setup!$B$28="Yes",ISNUMBER(Setup!$C$28)),EDATE(Roster!$B373,12*Setup!$C$28),"")</f>
        <v/>
      </c>
      <c r="K373" s="32" t="str">
        <f>IF(AND(ISNUMBER(Roster!$B373),Setup!$B$29="Yes",ISNUMBER(Setup!$C$29)),EDATE(Roster!$B373,12*Setup!$C$29),"")</f>
        <v/>
      </c>
      <c r="L373" s="32" t="str">
        <f>IF(AND(ISNUMBER(Roster!$B373),Setup!$B$30="Yes",ISNUMBER(Setup!$C$30)),EDATE(Roster!$B373,12*Setup!$C$30),"")</f>
        <v/>
      </c>
      <c r="M373" s="32" t="str">
        <f>IF(AND(ISNUMBER(Roster!$B373),Setup!$B$31="Yes",ISNUMBER(Setup!$C$31)),EDATE(Roster!$B373,12*Setup!$C$31),"")</f>
        <v/>
      </c>
      <c r="N373" s="32" t="str">
        <f>IF(AND(ISNUMBER(Roster!$B373),Setup!$B$32="Yes",ISNUMBER(Setup!$C$32)),EDATE(Roster!$B373,12*Setup!$C$32),"")</f>
        <v/>
      </c>
      <c r="O373" s="32" t="str">
        <f>IF(AND(ISNUMBER(Roster!$B373),Setup!$B$33="Yes",ISNUMBER(Setup!$C$33)),EDATE(Roster!$B373,12*Setup!$C$33),"")</f>
        <v/>
      </c>
      <c r="P373" s="32" t="str">
        <f>IF(AND(ISNUMBER(Roster!$B373),Setup!$B$34="Yes",ISNUMBER(Setup!$C$34)),EDATE(Roster!$B373,12*Setup!$C$34),"")</f>
        <v/>
      </c>
      <c r="R373" t="str">
        <f>IF(B373="","",IF(B373&lt;Setup!$C$5-Setup!$C$6,"",IF(IF(ISNUMBER(Roster!$D373),Setup!$C$20&lt;=Roster!$D373,FALSE),"",IF(OR(IF(Setup!$C$15&lt;=Setup!$C$16,AND(MONTH(B373)&gt;=Setup!$C$15,MONTH(B373)&lt;=Setup!$C$16),OR(MONTH(B373)&gt;=Setup!$C$15,MONTH(B373)&lt;=Setup!$C$16)),IF(Setup!$C$15&lt;=Setup!$C$16,AND(MONTH(WORKDAY(B373,-(Setup!$C$13+Setup!$G$20),Setup!$C$39:$C$50))&gt;=Setup!$C$15,MONTH(WORKDAY(B373,-(Setup!$C$13+Setup!$G$20),Setup!$C$39:$C$50))&lt;=Setup!$C$16),OR(MONTH(WORKDAY(B373,-(Setup!$C$13+Setup!$G$20),Setup!$C$39:$C$50))&gt;=Setup!$C$15,MONTH(WORKDAY(B373,-(Setup!$C$13+Setup!$G$20),Setup!$C$39:$C$50))&lt;=Setup!$C$16))),WORKDAY(B373,-(Setup!$C$13+Setup!$G$20+Setup!$C$14),Setup!$C$39:$C$50),WORKDAY(B373,-(Setup!$C$13+Setup!$G$20),Setup!$C$39:$C$50))+(368*100+1)/10000000)))</f>
        <v/>
      </c>
      <c r="S373" t="str">
        <f>IF(C373="","",IF(C373&lt;Setup!$C$5-Setup!$C$6,"",IF(IF(ISNUMBER(Roster!$D373),Setup!$C$21&lt;=Roster!$D373,FALSE),"",IF(OR(IF(Setup!$C$15&lt;=Setup!$C$16,AND(MONTH(C373)&gt;=Setup!$C$15,MONTH(C373)&lt;=Setup!$C$16),OR(MONTH(C373)&gt;=Setup!$C$15,MONTH(C373)&lt;=Setup!$C$16)),IF(Setup!$C$15&lt;=Setup!$C$16,AND(MONTH(WORKDAY(C373,-(Setup!$C$13+Setup!$G$21),Setup!$C$39:$C$50))&gt;=Setup!$C$15,MONTH(WORKDAY(C373,-(Setup!$C$13+Setup!$G$21),Setup!$C$39:$C$50))&lt;=Setup!$C$16),OR(MONTH(WORKDAY(C373,-(Setup!$C$13+Setup!$G$21),Setup!$C$39:$C$50))&gt;=Setup!$C$15,MONTH(WORKDAY(C373,-(Setup!$C$13+Setup!$G$21),Setup!$C$39:$C$50))&lt;=Setup!$C$16))),WORKDAY(C373,-(Setup!$C$13+Setup!$G$21+Setup!$C$14),Setup!$C$39:$C$50),WORKDAY(C373,-(Setup!$C$13+Setup!$G$21),Setup!$C$39:$C$50))+(368*100+2)/10000000)))</f>
        <v/>
      </c>
      <c r="T373" t="str">
        <f>IF(D373="","",IF(D373&lt;Setup!$C$5-Setup!$C$6,"",IF(IF(ISNUMBER(Roster!$D373),Setup!$C$22&lt;=Roster!$D373,FALSE),"",IF(OR(IF(Setup!$C$15&lt;=Setup!$C$16,AND(MONTH(D373)&gt;=Setup!$C$15,MONTH(D373)&lt;=Setup!$C$16),OR(MONTH(D373)&gt;=Setup!$C$15,MONTH(D373)&lt;=Setup!$C$16)),IF(Setup!$C$15&lt;=Setup!$C$16,AND(MONTH(WORKDAY(D373,-(Setup!$C$13+Setup!$G$22),Setup!$C$39:$C$50))&gt;=Setup!$C$15,MONTH(WORKDAY(D373,-(Setup!$C$13+Setup!$G$22),Setup!$C$39:$C$50))&lt;=Setup!$C$16),OR(MONTH(WORKDAY(D373,-(Setup!$C$13+Setup!$G$22),Setup!$C$39:$C$50))&gt;=Setup!$C$15,MONTH(WORKDAY(D373,-(Setup!$C$13+Setup!$G$22),Setup!$C$39:$C$50))&lt;=Setup!$C$16))),WORKDAY(D373,-(Setup!$C$13+Setup!$G$22+Setup!$C$14),Setup!$C$39:$C$50),WORKDAY(D373,-(Setup!$C$13+Setup!$G$22),Setup!$C$39:$C$50))+(368*100+3)/10000000)))</f>
        <v/>
      </c>
      <c r="U373" t="str">
        <f>IF(E373="","",IF(E373&lt;Setup!$C$5-Setup!$C$6,"",IF(IF(ISNUMBER(Roster!$D373),Setup!$C$23&lt;=Roster!$D373,FALSE),"",IF(OR(IF(Setup!$C$15&lt;=Setup!$C$16,AND(MONTH(E373)&gt;=Setup!$C$15,MONTH(E373)&lt;=Setup!$C$16),OR(MONTH(E373)&gt;=Setup!$C$15,MONTH(E373)&lt;=Setup!$C$16)),IF(Setup!$C$15&lt;=Setup!$C$16,AND(MONTH(WORKDAY(E373,-(Setup!$C$13+Setup!$G$23),Setup!$C$39:$C$50))&gt;=Setup!$C$15,MONTH(WORKDAY(E373,-(Setup!$C$13+Setup!$G$23),Setup!$C$39:$C$50))&lt;=Setup!$C$16),OR(MONTH(WORKDAY(E373,-(Setup!$C$13+Setup!$G$23),Setup!$C$39:$C$50))&gt;=Setup!$C$15,MONTH(WORKDAY(E373,-(Setup!$C$13+Setup!$G$23),Setup!$C$39:$C$50))&lt;=Setup!$C$16))),WORKDAY(E373,-(Setup!$C$13+Setup!$G$23+Setup!$C$14),Setup!$C$39:$C$50),WORKDAY(E373,-(Setup!$C$13+Setup!$G$23),Setup!$C$39:$C$50))+(368*100+4)/10000000)))</f>
        <v/>
      </c>
      <c r="V373" t="str">
        <f>IF(F373="","",IF(F373&lt;Setup!$C$5-Setup!$C$6,"",IF(IF(ISNUMBER(Roster!$D373),Setup!$C$24&lt;=Roster!$D373,FALSE),"",IF(OR(IF(Setup!$C$15&lt;=Setup!$C$16,AND(MONTH(F373)&gt;=Setup!$C$15,MONTH(F373)&lt;=Setup!$C$16),OR(MONTH(F373)&gt;=Setup!$C$15,MONTH(F373)&lt;=Setup!$C$16)),IF(Setup!$C$15&lt;=Setup!$C$16,AND(MONTH(WORKDAY(F373,-(Setup!$C$13+Setup!$G$24),Setup!$C$39:$C$50))&gt;=Setup!$C$15,MONTH(WORKDAY(F373,-(Setup!$C$13+Setup!$G$24),Setup!$C$39:$C$50))&lt;=Setup!$C$16),OR(MONTH(WORKDAY(F373,-(Setup!$C$13+Setup!$G$24),Setup!$C$39:$C$50))&gt;=Setup!$C$15,MONTH(WORKDAY(F373,-(Setup!$C$13+Setup!$G$24),Setup!$C$39:$C$50))&lt;=Setup!$C$16))),WORKDAY(F373,-(Setup!$C$13+Setup!$G$24+Setup!$C$14),Setup!$C$39:$C$50),WORKDAY(F373,-(Setup!$C$13+Setup!$G$24),Setup!$C$39:$C$50))+(368*100+5)/10000000)))</f>
        <v/>
      </c>
      <c r="W373" t="str">
        <f>IF(G373="","",IF(G373&lt;Setup!$C$5-Setup!$C$6,"",IF(IF(ISNUMBER(Roster!$D373),Setup!$C$25&lt;=Roster!$D373,FALSE),"",IF(OR(IF(Setup!$C$15&lt;=Setup!$C$16,AND(MONTH(G373)&gt;=Setup!$C$15,MONTH(G373)&lt;=Setup!$C$16),OR(MONTH(G373)&gt;=Setup!$C$15,MONTH(G373)&lt;=Setup!$C$16)),IF(Setup!$C$15&lt;=Setup!$C$16,AND(MONTH(WORKDAY(G373,-(Setup!$C$13+Setup!$G$25),Setup!$C$39:$C$50))&gt;=Setup!$C$15,MONTH(WORKDAY(G373,-(Setup!$C$13+Setup!$G$25),Setup!$C$39:$C$50))&lt;=Setup!$C$16),OR(MONTH(WORKDAY(G373,-(Setup!$C$13+Setup!$G$25),Setup!$C$39:$C$50))&gt;=Setup!$C$15,MONTH(WORKDAY(G373,-(Setup!$C$13+Setup!$G$25),Setup!$C$39:$C$50))&lt;=Setup!$C$16))),WORKDAY(G373,-(Setup!$C$13+Setup!$G$25+Setup!$C$14),Setup!$C$39:$C$50),WORKDAY(G373,-(Setup!$C$13+Setup!$G$25),Setup!$C$39:$C$50))+(368*100+6)/10000000)))</f>
        <v/>
      </c>
      <c r="X373" t="str">
        <f>IF(H373="","",IF(H373&lt;Setup!$C$5-Setup!$C$6,"",IF(IF(ISNUMBER(Roster!$D373),Setup!$C$26&lt;=Roster!$D373,FALSE),"",IF(OR(IF(Setup!$C$15&lt;=Setup!$C$16,AND(MONTH(H373)&gt;=Setup!$C$15,MONTH(H373)&lt;=Setup!$C$16),OR(MONTH(H373)&gt;=Setup!$C$15,MONTH(H373)&lt;=Setup!$C$16)),IF(Setup!$C$15&lt;=Setup!$C$16,AND(MONTH(WORKDAY(H373,-(Setup!$C$13+Setup!$G$26),Setup!$C$39:$C$50))&gt;=Setup!$C$15,MONTH(WORKDAY(H373,-(Setup!$C$13+Setup!$G$26),Setup!$C$39:$C$50))&lt;=Setup!$C$16),OR(MONTH(WORKDAY(H373,-(Setup!$C$13+Setup!$G$26),Setup!$C$39:$C$50))&gt;=Setup!$C$15,MONTH(WORKDAY(H373,-(Setup!$C$13+Setup!$G$26),Setup!$C$39:$C$50))&lt;=Setup!$C$16))),WORKDAY(H373,-(Setup!$C$13+Setup!$G$26+Setup!$C$14),Setup!$C$39:$C$50),WORKDAY(H373,-(Setup!$C$13+Setup!$G$26),Setup!$C$39:$C$50))+(368*100+7)/10000000)))</f>
        <v/>
      </c>
      <c r="Y373" t="str">
        <f>IF(I373="","",IF(I373&lt;Setup!$C$5-Setup!$C$6,"",IF(IF(ISNUMBER(Roster!$D373),Setup!$C$27&lt;=Roster!$D373,FALSE),"",IF(OR(IF(Setup!$C$15&lt;=Setup!$C$16,AND(MONTH(I373)&gt;=Setup!$C$15,MONTH(I373)&lt;=Setup!$C$16),OR(MONTH(I373)&gt;=Setup!$C$15,MONTH(I373)&lt;=Setup!$C$16)),IF(Setup!$C$15&lt;=Setup!$C$16,AND(MONTH(WORKDAY(I373,-(Setup!$C$13+Setup!$G$27),Setup!$C$39:$C$50))&gt;=Setup!$C$15,MONTH(WORKDAY(I373,-(Setup!$C$13+Setup!$G$27),Setup!$C$39:$C$50))&lt;=Setup!$C$16),OR(MONTH(WORKDAY(I373,-(Setup!$C$13+Setup!$G$27),Setup!$C$39:$C$50))&gt;=Setup!$C$15,MONTH(WORKDAY(I373,-(Setup!$C$13+Setup!$G$27),Setup!$C$39:$C$50))&lt;=Setup!$C$16))),WORKDAY(I373,-(Setup!$C$13+Setup!$G$27+Setup!$C$14),Setup!$C$39:$C$50),WORKDAY(I373,-(Setup!$C$13+Setup!$G$27),Setup!$C$39:$C$50))+(368*100+8)/10000000)))</f>
        <v/>
      </c>
      <c r="Z373" t="str">
        <f>IF(J373="","",IF(J373&lt;Setup!$C$5-Setup!$C$6,"",IF(IF(ISNUMBER(Roster!$D373),Setup!$C$28&lt;=Roster!$D373,FALSE),"",IF(OR(IF(Setup!$C$15&lt;=Setup!$C$16,AND(MONTH(J373)&gt;=Setup!$C$15,MONTH(J373)&lt;=Setup!$C$16),OR(MONTH(J373)&gt;=Setup!$C$15,MONTH(J373)&lt;=Setup!$C$16)),IF(Setup!$C$15&lt;=Setup!$C$16,AND(MONTH(WORKDAY(J373,-(Setup!$C$13+Setup!$G$28),Setup!$C$39:$C$50))&gt;=Setup!$C$15,MONTH(WORKDAY(J373,-(Setup!$C$13+Setup!$G$28),Setup!$C$39:$C$50))&lt;=Setup!$C$16),OR(MONTH(WORKDAY(J373,-(Setup!$C$13+Setup!$G$28),Setup!$C$39:$C$50))&gt;=Setup!$C$15,MONTH(WORKDAY(J373,-(Setup!$C$13+Setup!$G$28),Setup!$C$39:$C$50))&lt;=Setup!$C$16))),WORKDAY(J373,-(Setup!$C$13+Setup!$G$28+Setup!$C$14),Setup!$C$39:$C$50),WORKDAY(J373,-(Setup!$C$13+Setup!$G$28),Setup!$C$39:$C$50))+(368*100+9)/10000000)))</f>
        <v/>
      </c>
      <c r="AA373" t="str">
        <f>IF(K373="","",IF(K373&lt;Setup!$C$5-Setup!$C$6,"",IF(IF(ISNUMBER(Roster!$D373),Setup!$C$29&lt;=Roster!$D373,FALSE),"",IF(OR(IF(Setup!$C$15&lt;=Setup!$C$16,AND(MONTH(K373)&gt;=Setup!$C$15,MONTH(K373)&lt;=Setup!$C$16),OR(MONTH(K373)&gt;=Setup!$C$15,MONTH(K373)&lt;=Setup!$C$16)),IF(Setup!$C$15&lt;=Setup!$C$16,AND(MONTH(WORKDAY(K373,-(Setup!$C$13+Setup!$G$29),Setup!$C$39:$C$50))&gt;=Setup!$C$15,MONTH(WORKDAY(K373,-(Setup!$C$13+Setup!$G$29),Setup!$C$39:$C$50))&lt;=Setup!$C$16),OR(MONTH(WORKDAY(K373,-(Setup!$C$13+Setup!$G$29),Setup!$C$39:$C$50))&gt;=Setup!$C$15,MONTH(WORKDAY(K373,-(Setup!$C$13+Setup!$G$29),Setup!$C$39:$C$50))&lt;=Setup!$C$16))),WORKDAY(K373,-(Setup!$C$13+Setup!$G$29+Setup!$C$14),Setup!$C$39:$C$50),WORKDAY(K373,-(Setup!$C$13+Setup!$G$29),Setup!$C$39:$C$50))+(368*100+10)/10000000)))</f>
        <v/>
      </c>
      <c r="AB373" t="str">
        <f>IF(L373="","",IF(L373&lt;Setup!$C$5-Setup!$C$6,"",IF(IF(ISNUMBER(Roster!$D373),Setup!$C$30&lt;=Roster!$D373,FALSE),"",IF(OR(IF(Setup!$C$15&lt;=Setup!$C$16,AND(MONTH(L373)&gt;=Setup!$C$15,MONTH(L373)&lt;=Setup!$C$16),OR(MONTH(L373)&gt;=Setup!$C$15,MONTH(L373)&lt;=Setup!$C$16)),IF(Setup!$C$15&lt;=Setup!$C$16,AND(MONTH(WORKDAY(L373,-(Setup!$C$13+Setup!$G$30),Setup!$C$39:$C$50))&gt;=Setup!$C$15,MONTH(WORKDAY(L373,-(Setup!$C$13+Setup!$G$30),Setup!$C$39:$C$50))&lt;=Setup!$C$16),OR(MONTH(WORKDAY(L373,-(Setup!$C$13+Setup!$G$30),Setup!$C$39:$C$50))&gt;=Setup!$C$15,MONTH(WORKDAY(L373,-(Setup!$C$13+Setup!$G$30),Setup!$C$39:$C$50))&lt;=Setup!$C$16))),WORKDAY(L373,-(Setup!$C$13+Setup!$G$30+Setup!$C$14),Setup!$C$39:$C$50),WORKDAY(L373,-(Setup!$C$13+Setup!$G$30),Setup!$C$39:$C$50))+(368*100+11)/10000000)))</f>
        <v/>
      </c>
      <c r="AC373" t="str">
        <f>IF(M373="","",IF(M373&lt;Setup!$C$5-Setup!$C$6,"",IF(IF(ISNUMBER(Roster!$D373),Setup!$C$31&lt;=Roster!$D373,FALSE),"",IF(OR(IF(Setup!$C$15&lt;=Setup!$C$16,AND(MONTH(M373)&gt;=Setup!$C$15,MONTH(M373)&lt;=Setup!$C$16),OR(MONTH(M373)&gt;=Setup!$C$15,MONTH(M373)&lt;=Setup!$C$16)),IF(Setup!$C$15&lt;=Setup!$C$16,AND(MONTH(WORKDAY(M373,-(Setup!$C$13+Setup!$G$31),Setup!$C$39:$C$50))&gt;=Setup!$C$15,MONTH(WORKDAY(M373,-(Setup!$C$13+Setup!$G$31),Setup!$C$39:$C$50))&lt;=Setup!$C$16),OR(MONTH(WORKDAY(M373,-(Setup!$C$13+Setup!$G$31),Setup!$C$39:$C$50))&gt;=Setup!$C$15,MONTH(WORKDAY(M373,-(Setup!$C$13+Setup!$G$31),Setup!$C$39:$C$50))&lt;=Setup!$C$16))),WORKDAY(M373,-(Setup!$C$13+Setup!$G$31+Setup!$C$14),Setup!$C$39:$C$50),WORKDAY(M373,-(Setup!$C$13+Setup!$G$31),Setup!$C$39:$C$50))+(368*100+12)/10000000)))</f>
        <v/>
      </c>
      <c r="AD373" t="str">
        <f>IF(N373="","",IF(N373&lt;Setup!$C$5-Setup!$C$6,"",IF(IF(ISNUMBER(Roster!$D373),Setup!$C$32&lt;=Roster!$D373,FALSE),"",IF(OR(IF(Setup!$C$15&lt;=Setup!$C$16,AND(MONTH(N373)&gt;=Setup!$C$15,MONTH(N373)&lt;=Setup!$C$16),OR(MONTH(N373)&gt;=Setup!$C$15,MONTH(N373)&lt;=Setup!$C$16)),IF(Setup!$C$15&lt;=Setup!$C$16,AND(MONTH(WORKDAY(N373,-(Setup!$C$13+Setup!$G$32),Setup!$C$39:$C$50))&gt;=Setup!$C$15,MONTH(WORKDAY(N373,-(Setup!$C$13+Setup!$G$32),Setup!$C$39:$C$50))&lt;=Setup!$C$16),OR(MONTH(WORKDAY(N373,-(Setup!$C$13+Setup!$G$32),Setup!$C$39:$C$50))&gt;=Setup!$C$15,MONTH(WORKDAY(N373,-(Setup!$C$13+Setup!$G$32),Setup!$C$39:$C$50))&lt;=Setup!$C$16))),WORKDAY(N373,-(Setup!$C$13+Setup!$G$32+Setup!$C$14),Setup!$C$39:$C$50),WORKDAY(N373,-(Setup!$C$13+Setup!$G$32),Setup!$C$39:$C$50))+(368*100+13)/10000000)))</f>
        <v/>
      </c>
      <c r="AE373" t="str">
        <f>IF(O373="","",IF(O373&lt;Setup!$C$5-Setup!$C$6,"",IF(IF(ISNUMBER(Roster!$D373),Setup!$C$33&lt;=Roster!$D373,FALSE),"",IF(OR(IF(Setup!$C$15&lt;=Setup!$C$16,AND(MONTH(O373)&gt;=Setup!$C$15,MONTH(O373)&lt;=Setup!$C$16),OR(MONTH(O373)&gt;=Setup!$C$15,MONTH(O373)&lt;=Setup!$C$16)),IF(Setup!$C$15&lt;=Setup!$C$16,AND(MONTH(WORKDAY(O373,-(Setup!$C$13+Setup!$G$33),Setup!$C$39:$C$50))&gt;=Setup!$C$15,MONTH(WORKDAY(O373,-(Setup!$C$13+Setup!$G$33),Setup!$C$39:$C$50))&lt;=Setup!$C$16),OR(MONTH(WORKDAY(O373,-(Setup!$C$13+Setup!$G$33),Setup!$C$39:$C$50))&gt;=Setup!$C$15,MONTH(WORKDAY(O373,-(Setup!$C$13+Setup!$G$33),Setup!$C$39:$C$50))&lt;=Setup!$C$16))),WORKDAY(O373,-(Setup!$C$13+Setup!$G$33+Setup!$C$14),Setup!$C$39:$C$50),WORKDAY(O373,-(Setup!$C$13+Setup!$G$33),Setup!$C$39:$C$50))+(368*100+14)/10000000)))</f>
        <v/>
      </c>
      <c r="AF373" t="str">
        <f>IF(P373="","",IF(P373&lt;Setup!$C$5-Setup!$C$6,"",IF(IF(ISNUMBER(Roster!$D373),Setup!$C$34&lt;=Roster!$D373,FALSE),"",IF(OR(IF(Setup!$C$15&lt;=Setup!$C$16,AND(MONTH(P373)&gt;=Setup!$C$15,MONTH(P373)&lt;=Setup!$C$16),OR(MONTH(P373)&gt;=Setup!$C$15,MONTH(P373)&lt;=Setup!$C$16)),IF(Setup!$C$15&lt;=Setup!$C$16,AND(MONTH(WORKDAY(P373,-(Setup!$C$13+Setup!$G$34),Setup!$C$39:$C$50))&gt;=Setup!$C$15,MONTH(WORKDAY(P373,-(Setup!$C$13+Setup!$G$34),Setup!$C$39:$C$50))&lt;=Setup!$C$16),OR(MONTH(WORKDAY(P373,-(Setup!$C$13+Setup!$G$34),Setup!$C$39:$C$50))&gt;=Setup!$C$15,MONTH(WORKDAY(P373,-(Setup!$C$13+Setup!$G$34),Setup!$C$39:$C$50))&lt;=Setup!$C$16))),WORKDAY(P373,-(Setup!$C$13+Setup!$G$34+Setup!$C$14),Setup!$C$39:$C$50),WORKDAY(P373,-(Setup!$C$13+Setup!$G$34),Setup!$C$39:$C$50))+(368*100+15)/10000000)))</f>
        <v/>
      </c>
      <c r="AH373" t="str">
        <f t="shared" si="41"/>
        <v/>
      </c>
      <c r="AI373" t="str">
        <f t="shared" si="42"/>
        <v/>
      </c>
      <c r="AP373" t="str">
        <f>IF(ISNUMBER(Roster!$B373),MAX(1,YEAR(Setup!$C$5)-YEAR(Roster!$B373)+IF(EDATE(Roster!$B373,12*(YEAR(Setup!$C$5)-YEAR(Roster!$B373)))&lt;Setup!$C$5,1,0)),"")</f>
        <v/>
      </c>
      <c r="AQ373" s="32" t="str">
        <f>IF(AP373="","",EDATE(Roster!$B373,12*AP373))</f>
        <v/>
      </c>
      <c r="AR373" t="str">
        <f>IF(AQ373="","",IF(AQ373&lt;DATE(YEAR(Setup!$C$5)+1,MONTH(Setup!$C$5),DAY(Setup!$C$5)),AQ373+368/1000,""))</f>
        <v/>
      </c>
      <c r="AS373" t="str">
        <f t="shared" si="43"/>
        <v/>
      </c>
      <c r="AT373" t="str">
        <f>IF(AS373="","",IF(ISNUMBER(Roster!$D373),Roster!$D373&gt;=AP373,FALSE))</f>
        <v/>
      </c>
      <c r="AU373" t="str">
        <f t="shared" si="44"/>
        <v/>
      </c>
      <c r="AV373" t="str">
        <f ca="1">IF(368&gt;$AV$2,"",SMALL($AR$6:$AR$505,368))</f>
        <v/>
      </c>
      <c r="AW373" t="str">
        <f t="shared" ca="1" si="45"/>
        <v/>
      </c>
    </row>
    <row r="374" spans="2:49" x14ac:dyDescent="0.2">
      <c r="B374" s="32" t="str">
        <f>IF(AND(ISNUMBER(Roster!$B374),Setup!$B$20="Yes",ISNUMBER(Setup!$C$20)),EDATE(Roster!$B374,12*Setup!$C$20),"")</f>
        <v/>
      </c>
      <c r="C374" s="32" t="str">
        <f>IF(AND(ISNUMBER(Roster!$B374),Setup!$B$21="Yes",ISNUMBER(Setup!$C$21)),EDATE(Roster!$B374,12*Setup!$C$21),"")</f>
        <v/>
      </c>
      <c r="D374" s="32" t="str">
        <f>IF(AND(ISNUMBER(Roster!$B374),Setup!$B$22="Yes",ISNUMBER(Setup!$C$22)),EDATE(Roster!$B374,12*Setup!$C$22),"")</f>
        <v/>
      </c>
      <c r="E374" s="32" t="str">
        <f>IF(AND(ISNUMBER(Roster!$B374),Setup!$B$23="Yes",ISNUMBER(Setup!$C$23)),EDATE(Roster!$B374,12*Setup!$C$23),"")</f>
        <v/>
      </c>
      <c r="F374" s="32" t="str">
        <f>IF(AND(ISNUMBER(Roster!$B374),Setup!$B$24="Yes",ISNUMBER(Setup!$C$24)),EDATE(Roster!$B374,12*Setup!$C$24),"")</f>
        <v/>
      </c>
      <c r="G374" s="32" t="str">
        <f>IF(AND(ISNUMBER(Roster!$B374),Setup!$B$25="Yes",ISNUMBER(Setup!$C$25)),EDATE(Roster!$B374,12*Setup!$C$25),"")</f>
        <v/>
      </c>
      <c r="H374" s="32" t="str">
        <f>IF(AND(ISNUMBER(Roster!$B374),Setup!$B$26="Yes",ISNUMBER(Setup!$C$26)),EDATE(Roster!$B374,12*Setup!$C$26),"")</f>
        <v/>
      </c>
      <c r="I374" s="32" t="str">
        <f>IF(AND(ISNUMBER(Roster!$B374),Setup!$B$27="Yes",ISNUMBER(Setup!$C$27)),EDATE(Roster!$B374,12*Setup!$C$27),"")</f>
        <v/>
      </c>
      <c r="J374" s="32" t="str">
        <f>IF(AND(ISNUMBER(Roster!$B374),Setup!$B$28="Yes",ISNUMBER(Setup!$C$28)),EDATE(Roster!$B374,12*Setup!$C$28),"")</f>
        <v/>
      </c>
      <c r="K374" s="32" t="str">
        <f>IF(AND(ISNUMBER(Roster!$B374),Setup!$B$29="Yes",ISNUMBER(Setup!$C$29)),EDATE(Roster!$B374,12*Setup!$C$29),"")</f>
        <v/>
      </c>
      <c r="L374" s="32" t="str">
        <f>IF(AND(ISNUMBER(Roster!$B374),Setup!$B$30="Yes",ISNUMBER(Setup!$C$30)),EDATE(Roster!$B374,12*Setup!$C$30),"")</f>
        <v/>
      </c>
      <c r="M374" s="32" t="str">
        <f>IF(AND(ISNUMBER(Roster!$B374),Setup!$B$31="Yes",ISNUMBER(Setup!$C$31)),EDATE(Roster!$B374,12*Setup!$C$31),"")</f>
        <v/>
      </c>
      <c r="N374" s="32" t="str">
        <f>IF(AND(ISNUMBER(Roster!$B374),Setup!$B$32="Yes",ISNUMBER(Setup!$C$32)),EDATE(Roster!$B374,12*Setup!$C$32),"")</f>
        <v/>
      </c>
      <c r="O374" s="32" t="str">
        <f>IF(AND(ISNUMBER(Roster!$B374),Setup!$B$33="Yes",ISNUMBER(Setup!$C$33)),EDATE(Roster!$B374,12*Setup!$C$33),"")</f>
        <v/>
      </c>
      <c r="P374" s="32" t="str">
        <f>IF(AND(ISNUMBER(Roster!$B374),Setup!$B$34="Yes",ISNUMBER(Setup!$C$34)),EDATE(Roster!$B374,12*Setup!$C$34),"")</f>
        <v/>
      </c>
      <c r="R374" t="str">
        <f>IF(B374="","",IF(B374&lt;Setup!$C$5-Setup!$C$6,"",IF(IF(ISNUMBER(Roster!$D374),Setup!$C$20&lt;=Roster!$D374,FALSE),"",IF(OR(IF(Setup!$C$15&lt;=Setup!$C$16,AND(MONTH(B374)&gt;=Setup!$C$15,MONTH(B374)&lt;=Setup!$C$16),OR(MONTH(B374)&gt;=Setup!$C$15,MONTH(B374)&lt;=Setup!$C$16)),IF(Setup!$C$15&lt;=Setup!$C$16,AND(MONTH(WORKDAY(B374,-(Setup!$C$13+Setup!$G$20),Setup!$C$39:$C$50))&gt;=Setup!$C$15,MONTH(WORKDAY(B374,-(Setup!$C$13+Setup!$G$20),Setup!$C$39:$C$50))&lt;=Setup!$C$16),OR(MONTH(WORKDAY(B374,-(Setup!$C$13+Setup!$G$20),Setup!$C$39:$C$50))&gt;=Setup!$C$15,MONTH(WORKDAY(B374,-(Setup!$C$13+Setup!$G$20),Setup!$C$39:$C$50))&lt;=Setup!$C$16))),WORKDAY(B374,-(Setup!$C$13+Setup!$G$20+Setup!$C$14),Setup!$C$39:$C$50),WORKDAY(B374,-(Setup!$C$13+Setup!$G$20),Setup!$C$39:$C$50))+(369*100+1)/10000000)))</f>
        <v/>
      </c>
      <c r="S374" t="str">
        <f>IF(C374="","",IF(C374&lt;Setup!$C$5-Setup!$C$6,"",IF(IF(ISNUMBER(Roster!$D374),Setup!$C$21&lt;=Roster!$D374,FALSE),"",IF(OR(IF(Setup!$C$15&lt;=Setup!$C$16,AND(MONTH(C374)&gt;=Setup!$C$15,MONTH(C374)&lt;=Setup!$C$16),OR(MONTH(C374)&gt;=Setup!$C$15,MONTH(C374)&lt;=Setup!$C$16)),IF(Setup!$C$15&lt;=Setup!$C$16,AND(MONTH(WORKDAY(C374,-(Setup!$C$13+Setup!$G$21),Setup!$C$39:$C$50))&gt;=Setup!$C$15,MONTH(WORKDAY(C374,-(Setup!$C$13+Setup!$G$21),Setup!$C$39:$C$50))&lt;=Setup!$C$16),OR(MONTH(WORKDAY(C374,-(Setup!$C$13+Setup!$G$21),Setup!$C$39:$C$50))&gt;=Setup!$C$15,MONTH(WORKDAY(C374,-(Setup!$C$13+Setup!$G$21),Setup!$C$39:$C$50))&lt;=Setup!$C$16))),WORKDAY(C374,-(Setup!$C$13+Setup!$G$21+Setup!$C$14),Setup!$C$39:$C$50),WORKDAY(C374,-(Setup!$C$13+Setup!$G$21),Setup!$C$39:$C$50))+(369*100+2)/10000000)))</f>
        <v/>
      </c>
      <c r="T374" t="str">
        <f>IF(D374="","",IF(D374&lt;Setup!$C$5-Setup!$C$6,"",IF(IF(ISNUMBER(Roster!$D374),Setup!$C$22&lt;=Roster!$D374,FALSE),"",IF(OR(IF(Setup!$C$15&lt;=Setup!$C$16,AND(MONTH(D374)&gt;=Setup!$C$15,MONTH(D374)&lt;=Setup!$C$16),OR(MONTH(D374)&gt;=Setup!$C$15,MONTH(D374)&lt;=Setup!$C$16)),IF(Setup!$C$15&lt;=Setup!$C$16,AND(MONTH(WORKDAY(D374,-(Setup!$C$13+Setup!$G$22),Setup!$C$39:$C$50))&gt;=Setup!$C$15,MONTH(WORKDAY(D374,-(Setup!$C$13+Setup!$G$22),Setup!$C$39:$C$50))&lt;=Setup!$C$16),OR(MONTH(WORKDAY(D374,-(Setup!$C$13+Setup!$G$22),Setup!$C$39:$C$50))&gt;=Setup!$C$15,MONTH(WORKDAY(D374,-(Setup!$C$13+Setup!$G$22),Setup!$C$39:$C$50))&lt;=Setup!$C$16))),WORKDAY(D374,-(Setup!$C$13+Setup!$G$22+Setup!$C$14),Setup!$C$39:$C$50),WORKDAY(D374,-(Setup!$C$13+Setup!$G$22),Setup!$C$39:$C$50))+(369*100+3)/10000000)))</f>
        <v/>
      </c>
      <c r="U374" t="str">
        <f>IF(E374="","",IF(E374&lt;Setup!$C$5-Setup!$C$6,"",IF(IF(ISNUMBER(Roster!$D374),Setup!$C$23&lt;=Roster!$D374,FALSE),"",IF(OR(IF(Setup!$C$15&lt;=Setup!$C$16,AND(MONTH(E374)&gt;=Setup!$C$15,MONTH(E374)&lt;=Setup!$C$16),OR(MONTH(E374)&gt;=Setup!$C$15,MONTH(E374)&lt;=Setup!$C$16)),IF(Setup!$C$15&lt;=Setup!$C$16,AND(MONTH(WORKDAY(E374,-(Setup!$C$13+Setup!$G$23),Setup!$C$39:$C$50))&gt;=Setup!$C$15,MONTH(WORKDAY(E374,-(Setup!$C$13+Setup!$G$23),Setup!$C$39:$C$50))&lt;=Setup!$C$16),OR(MONTH(WORKDAY(E374,-(Setup!$C$13+Setup!$G$23),Setup!$C$39:$C$50))&gt;=Setup!$C$15,MONTH(WORKDAY(E374,-(Setup!$C$13+Setup!$G$23),Setup!$C$39:$C$50))&lt;=Setup!$C$16))),WORKDAY(E374,-(Setup!$C$13+Setup!$G$23+Setup!$C$14),Setup!$C$39:$C$50),WORKDAY(E374,-(Setup!$C$13+Setup!$G$23),Setup!$C$39:$C$50))+(369*100+4)/10000000)))</f>
        <v/>
      </c>
      <c r="V374" t="str">
        <f>IF(F374="","",IF(F374&lt;Setup!$C$5-Setup!$C$6,"",IF(IF(ISNUMBER(Roster!$D374),Setup!$C$24&lt;=Roster!$D374,FALSE),"",IF(OR(IF(Setup!$C$15&lt;=Setup!$C$16,AND(MONTH(F374)&gt;=Setup!$C$15,MONTH(F374)&lt;=Setup!$C$16),OR(MONTH(F374)&gt;=Setup!$C$15,MONTH(F374)&lt;=Setup!$C$16)),IF(Setup!$C$15&lt;=Setup!$C$16,AND(MONTH(WORKDAY(F374,-(Setup!$C$13+Setup!$G$24),Setup!$C$39:$C$50))&gt;=Setup!$C$15,MONTH(WORKDAY(F374,-(Setup!$C$13+Setup!$G$24),Setup!$C$39:$C$50))&lt;=Setup!$C$16),OR(MONTH(WORKDAY(F374,-(Setup!$C$13+Setup!$G$24),Setup!$C$39:$C$50))&gt;=Setup!$C$15,MONTH(WORKDAY(F374,-(Setup!$C$13+Setup!$G$24),Setup!$C$39:$C$50))&lt;=Setup!$C$16))),WORKDAY(F374,-(Setup!$C$13+Setup!$G$24+Setup!$C$14),Setup!$C$39:$C$50),WORKDAY(F374,-(Setup!$C$13+Setup!$G$24),Setup!$C$39:$C$50))+(369*100+5)/10000000)))</f>
        <v/>
      </c>
      <c r="W374" t="str">
        <f>IF(G374="","",IF(G374&lt;Setup!$C$5-Setup!$C$6,"",IF(IF(ISNUMBER(Roster!$D374),Setup!$C$25&lt;=Roster!$D374,FALSE),"",IF(OR(IF(Setup!$C$15&lt;=Setup!$C$16,AND(MONTH(G374)&gt;=Setup!$C$15,MONTH(G374)&lt;=Setup!$C$16),OR(MONTH(G374)&gt;=Setup!$C$15,MONTH(G374)&lt;=Setup!$C$16)),IF(Setup!$C$15&lt;=Setup!$C$16,AND(MONTH(WORKDAY(G374,-(Setup!$C$13+Setup!$G$25),Setup!$C$39:$C$50))&gt;=Setup!$C$15,MONTH(WORKDAY(G374,-(Setup!$C$13+Setup!$G$25),Setup!$C$39:$C$50))&lt;=Setup!$C$16),OR(MONTH(WORKDAY(G374,-(Setup!$C$13+Setup!$G$25),Setup!$C$39:$C$50))&gt;=Setup!$C$15,MONTH(WORKDAY(G374,-(Setup!$C$13+Setup!$G$25),Setup!$C$39:$C$50))&lt;=Setup!$C$16))),WORKDAY(G374,-(Setup!$C$13+Setup!$G$25+Setup!$C$14),Setup!$C$39:$C$50),WORKDAY(G374,-(Setup!$C$13+Setup!$G$25),Setup!$C$39:$C$50))+(369*100+6)/10000000)))</f>
        <v/>
      </c>
      <c r="X374" t="str">
        <f>IF(H374="","",IF(H374&lt;Setup!$C$5-Setup!$C$6,"",IF(IF(ISNUMBER(Roster!$D374),Setup!$C$26&lt;=Roster!$D374,FALSE),"",IF(OR(IF(Setup!$C$15&lt;=Setup!$C$16,AND(MONTH(H374)&gt;=Setup!$C$15,MONTH(H374)&lt;=Setup!$C$16),OR(MONTH(H374)&gt;=Setup!$C$15,MONTH(H374)&lt;=Setup!$C$16)),IF(Setup!$C$15&lt;=Setup!$C$16,AND(MONTH(WORKDAY(H374,-(Setup!$C$13+Setup!$G$26),Setup!$C$39:$C$50))&gt;=Setup!$C$15,MONTH(WORKDAY(H374,-(Setup!$C$13+Setup!$G$26),Setup!$C$39:$C$50))&lt;=Setup!$C$16),OR(MONTH(WORKDAY(H374,-(Setup!$C$13+Setup!$G$26),Setup!$C$39:$C$50))&gt;=Setup!$C$15,MONTH(WORKDAY(H374,-(Setup!$C$13+Setup!$G$26),Setup!$C$39:$C$50))&lt;=Setup!$C$16))),WORKDAY(H374,-(Setup!$C$13+Setup!$G$26+Setup!$C$14),Setup!$C$39:$C$50),WORKDAY(H374,-(Setup!$C$13+Setup!$G$26),Setup!$C$39:$C$50))+(369*100+7)/10000000)))</f>
        <v/>
      </c>
      <c r="Y374" t="str">
        <f>IF(I374="","",IF(I374&lt;Setup!$C$5-Setup!$C$6,"",IF(IF(ISNUMBER(Roster!$D374),Setup!$C$27&lt;=Roster!$D374,FALSE),"",IF(OR(IF(Setup!$C$15&lt;=Setup!$C$16,AND(MONTH(I374)&gt;=Setup!$C$15,MONTH(I374)&lt;=Setup!$C$16),OR(MONTH(I374)&gt;=Setup!$C$15,MONTH(I374)&lt;=Setup!$C$16)),IF(Setup!$C$15&lt;=Setup!$C$16,AND(MONTH(WORKDAY(I374,-(Setup!$C$13+Setup!$G$27),Setup!$C$39:$C$50))&gt;=Setup!$C$15,MONTH(WORKDAY(I374,-(Setup!$C$13+Setup!$G$27),Setup!$C$39:$C$50))&lt;=Setup!$C$16),OR(MONTH(WORKDAY(I374,-(Setup!$C$13+Setup!$G$27),Setup!$C$39:$C$50))&gt;=Setup!$C$15,MONTH(WORKDAY(I374,-(Setup!$C$13+Setup!$G$27),Setup!$C$39:$C$50))&lt;=Setup!$C$16))),WORKDAY(I374,-(Setup!$C$13+Setup!$G$27+Setup!$C$14),Setup!$C$39:$C$50),WORKDAY(I374,-(Setup!$C$13+Setup!$G$27),Setup!$C$39:$C$50))+(369*100+8)/10000000)))</f>
        <v/>
      </c>
      <c r="Z374" t="str">
        <f>IF(J374="","",IF(J374&lt;Setup!$C$5-Setup!$C$6,"",IF(IF(ISNUMBER(Roster!$D374),Setup!$C$28&lt;=Roster!$D374,FALSE),"",IF(OR(IF(Setup!$C$15&lt;=Setup!$C$16,AND(MONTH(J374)&gt;=Setup!$C$15,MONTH(J374)&lt;=Setup!$C$16),OR(MONTH(J374)&gt;=Setup!$C$15,MONTH(J374)&lt;=Setup!$C$16)),IF(Setup!$C$15&lt;=Setup!$C$16,AND(MONTH(WORKDAY(J374,-(Setup!$C$13+Setup!$G$28),Setup!$C$39:$C$50))&gt;=Setup!$C$15,MONTH(WORKDAY(J374,-(Setup!$C$13+Setup!$G$28),Setup!$C$39:$C$50))&lt;=Setup!$C$16),OR(MONTH(WORKDAY(J374,-(Setup!$C$13+Setup!$G$28),Setup!$C$39:$C$50))&gt;=Setup!$C$15,MONTH(WORKDAY(J374,-(Setup!$C$13+Setup!$G$28),Setup!$C$39:$C$50))&lt;=Setup!$C$16))),WORKDAY(J374,-(Setup!$C$13+Setup!$G$28+Setup!$C$14),Setup!$C$39:$C$50),WORKDAY(J374,-(Setup!$C$13+Setup!$G$28),Setup!$C$39:$C$50))+(369*100+9)/10000000)))</f>
        <v/>
      </c>
      <c r="AA374" t="str">
        <f>IF(K374="","",IF(K374&lt;Setup!$C$5-Setup!$C$6,"",IF(IF(ISNUMBER(Roster!$D374),Setup!$C$29&lt;=Roster!$D374,FALSE),"",IF(OR(IF(Setup!$C$15&lt;=Setup!$C$16,AND(MONTH(K374)&gt;=Setup!$C$15,MONTH(K374)&lt;=Setup!$C$16),OR(MONTH(K374)&gt;=Setup!$C$15,MONTH(K374)&lt;=Setup!$C$16)),IF(Setup!$C$15&lt;=Setup!$C$16,AND(MONTH(WORKDAY(K374,-(Setup!$C$13+Setup!$G$29),Setup!$C$39:$C$50))&gt;=Setup!$C$15,MONTH(WORKDAY(K374,-(Setup!$C$13+Setup!$G$29),Setup!$C$39:$C$50))&lt;=Setup!$C$16),OR(MONTH(WORKDAY(K374,-(Setup!$C$13+Setup!$G$29),Setup!$C$39:$C$50))&gt;=Setup!$C$15,MONTH(WORKDAY(K374,-(Setup!$C$13+Setup!$G$29),Setup!$C$39:$C$50))&lt;=Setup!$C$16))),WORKDAY(K374,-(Setup!$C$13+Setup!$G$29+Setup!$C$14),Setup!$C$39:$C$50),WORKDAY(K374,-(Setup!$C$13+Setup!$G$29),Setup!$C$39:$C$50))+(369*100+10)/10000000)))</f>
        <v/>
      </c>
      <c r="AB374" t="str">
        <f>IF(L374="","",IF(L374&lt;Setup!$C$5-Setup!$C$6,"",IF(IF(ISNUMBER(Roster!$D374),Setup!$C$30&lt;=Roster!$D374,FALSE),"",IF(OR(IF(Setup!$C$15&lt;=Setup!$C$16,AND(MONTH(L374)&gt;=Setup!$C$15,MONTH(L374)&lt;=Setup!$C$16),OR(MONTH(L374)&gt;=Setup!$C$15,MONTH(L374)&lt;=Setup!$C$16)),IF(Setup!$C$15&lt;=Setup!$C$16,AND(MONTH(WORKDAY(L374,-(Setup!$C$13+Setup!$G$30),Setup!$C$39:$C$50))&gt;=Setup!$C$15,MONTH(WORKDAY(L374,-(Setup!$C$13+Setup!$G$30),Setup!$C$39:$C$50))&lt;=Setup!$C$16),OR(MONTH(WORKDAY(L374,-(Setup!$C$13+Setup!$G$30),Setup!$C$39:$C$50))&gt;=Setup!$C$15,MONTH(WORKDAY(L374,-(Setup!$C$13+Setup!$G$30),Setup!$C$39:$C$50))&lt;=Setup!$C$16))),WORKDAY(L374,-(Setup!$C$13+Setup!$G$30+Setup!$C$14),Setup!$C$39:$C$50),WORKDAY(L374,-(Setup!$C$13+Setup!$G$30),Setup!$C$39:$C$50))+(369*100+11)/10000000)))</f>
        <v/>
      </c>
      <c r="AC374" t="str">
        <f>IF(M374="","",IF(M374&lt;Setup!$C$5-Setup!$C$6,"",IF(IF(ISNUMBER(Roster!$D374),Setup!$C$31&lt;=Roster!$D374,FALSE),"",IF(OR(IF(Setup!$C$15&lt;=Setup!$C$16,AND(MONTH(M374)&gt;=Setup!$C$15,MONTH(M374)&lt;=Setup!$C$16),OR(MONTH(M374)&gt;=Setup!$C$15,MONTH(M374)&lt;=Setup!$C$16)),IF(Setup!$C$15&lt;=Setup!$C$16,AND(MONTH(WORKDAY(M374,-(Setup!$C$13+Setup!$G$31),Setup!$C$39:$C$50))&gt;=Setup!$C$15,MONTH(WORKDAY(M374,-(Setup!$C$13+Setup!$G$31),Setup!$C$39:$C$50))&lt;=Setup!$C$16),OR(MONTH(WORKDAY(M374,-(Setup!$C$13+Setup!$G$31),Setup!$C$39:$C$50))&gt;=Setup!$C$15,MONTH(WORKDAY(M374,-(Setup!$C$13+Setup!$G$31),Setup!$C$39:$C$50))&lt;=Setup!$C$16))),WORKDAY(M374,-(Setup!$C$13+Setup!$G$31+Setup!$C$14),Setup!$C$39:$C$50),WORKDAY(M374,-(Setup!$C$13+Setup!$G$31),Setup!$C$39:$C$50))+(369*100+12)/10000000)))</f>
        <v/>
      </c>
      <c r="AD374" t="str">
        <f>IF(N374="","",IF(N374&lt;Setup!$C$5-Setup!$C$6,"",IF(IF(ISNUMBER(Roster!$D374),Setup!$C$32&lt;=Roster!$D374,FALSE),"",IF(OR(IF(Setup!$C$15&lt;=Setup!$C$16,AND(MONTH(N374)&gt;=Setup!$C$15,MONTH(N374)&lt;=Setup!$C$16),OR(MONTH(N374)&gt;=Setup!$C$15,MONTH(N374)&lt;=Setup!$C$16)),IF(Setup!$C$15&lt;=Setup!$C$16,AND(MONTH(WORKDAY(N374,-(Setup!$C$13+Setup!$G$32),Setup!$C$39:$C$50))&gt;=Setup!$C$15,MONTH(WORKDAY(N374,-(Setup!$C$13+Setup!$G$32),Setup!$C$39:$C$50))&lt;=Setup!$C$16),OR(MONTH(WORKDAY(N374,-(Setup!$C$13+Setup!$G$32),Setup!$C$39:$C$50))&gt;=Setup!$C$15,MONTH(WORKDAY(N374,-(Setup!$C$13+Setup!$G$32),Setup!$C$39:$C$50))&lt;=Setup!$C$16))),WORKDAY(N374,-(Setup!$C$13+Setup!$G$32+Setup!$C$14),Setup!$C$39:$C$50),WORKDAY(N374,-(Setup!$C$13+Setup!$G$32),Setup!$C$39:$C$50))+(369*100+13)/10000000)))</f>
        <v/>
      </c>
      <c r="AE374" t="str">
        <f>IF(O374="","",IF(O374&lt;Setup!$C$5-Setup!$C$6,"",IF(IF(ISNUMBER(Roster!$D374),Setup!$C$33&lt;=Roster!$D374,FALSE),"",IF(OR(IF(Setup!$C$15&lt;=Setup!$C$16,AND(MONTH(O374)&gt;=Setup!$C$15,MONTH(O374)&lt;=Setup!$C$16),OR(MONTH(O374)&gt;=Setup!$C$15,MONTH(O374)&lt;=Setup!$C$16)),IF(Setup!$C$15&lt;=Setup!$C$16,AND(MONTH(WORKDAY(O374,-(Setup!$C$13+Setup!$G$33),Setup!$C$39:$C$50))&gt;=Setup!$C$15,MONTH(WORKDAY(O374,-(Setup!$C$13+Setup!$G$33),Setup!$C$39:$C$50))&lt;=Setup!$C$16),OR(MONTH(WORKDAY(O374,-(Setup!$C$13+Setup!$G$33),Setup!$C$39:$C$50))&gt;=Setup!$C$15,MONTH(WORKDAY(O374,-(Setup!$C$13+Setup!$G$33),Setup!$C$39:$C$50))&lt;=Setup!$C$16))),WORKDAY(O374,-(Setup!$C$13+Setup!$G$33+Setup!$C$14),Setup!$C$39:$C$50),WORKDAY(O374,-(Setup!$C$13+Setup!$G$33),Setup!$C$39:$C$50))+(369*100+14)/10000000)))</f>
        <v/>
      </c>
      <c r="AF374" t="str">
        <f>IF(P374="","",IF(P374&lt;Setup!$C$5-Setup!$C$6,"",IF(IF(ISNUMBER(Roster!$D374),Setup!$C$34&lt;=Roster!$D374,FALSE),"",IF(OR(IF(Setup!$C$15&lt;=Setup!$C$16,AND(MONTH(P374)&gt;=Setup!$C$15,MONTH(P374)&lt;=Setup!$C$16),OR(MONTH(P374)&gt;=Setup!$C$15,MONTH(P374)&lt;=Setup!$C$16)),IF(Setup!$C$15&lt;=Setup!$C$16,AND(MONTH(WORKDAY(P374,-(Setup!$C$13+Setup!$G$34),Setup!$C$39:$C$50))&gt;=Setup!$C$15,MONTH(WORKDAY(P374,-(Setup!$C$13+Setup!$G$34),Setup!$C$39:$C$50))&lt;=Setup!$C$16),OR(MONTH(WORKDAY(P374,-(Setup!$C$13+Setup!$G$34),Setup!$C$39:$C$50))&gt;=Setup!$C$15,MONTH(WORKDAY(P374,-(Setup!$C$13+Setup!$G$34),Setup!$C$39:$C$50))&lt;=Setup!$C$16))),WORKDAY(P374,-(Setup!$C$13+Setup!$G$34+Setup!$C$14),Setup!$C$39:$C$50),WORKDAY(P374,-(Setup!$C$13+Setup!$G$34),Setup!$C$39:$C$50))+(369*100+15)/10000000)))</f>
        <v/>
      </c>
      <c r="AH374" t="str">
        <f t="shared" si="41"/>
        <v/>
      </c>
      <c r="AI374" t="str">
        <f t="shared" si="42"/>
        <v/>
      </c>
      <c r="AP374" t="str">
        <f>IF(ISNUMBER(Roster!$B374),MAX(1,YEAR(Setup!$C$5)-YEAR(Roster!$B374)+IF(EDATE(Roster!$B374,12*(YEAR(Setup!$C$5)-YEAR(Roster!$B374)))&lt;Setup!$C$5,1,0)),"")</f>
        <v/>
      </c>
      <c r="AQ374" s="32" t="str">
        <f>IF(AP374="","",EDATE(Roster!$B374,12*AP374))</f>
        <v/>
      </c>
      <c r="AR374" t="str">
        <f>IF(AQ374="","",IF(AQ374&lt;DATE(YEAR(Setup!$C$5)+1,MONTH(Setup!$C$5),DAY(Setup!$C$5)),AQ374+369/1000,""))</f>
        <v/>
      </c>
      <c r="AS374" t="str">
        <f t="shared" si="43"/>
        <v/>
      </c>
      <c r="AT374" t="str">
        <f>IF(AS374="","",IF(ISNUMBER(Roster!$D374),Roster!$D374&gt;=AP374,FALSE))</f>
        <v/>
      </c>
      <c r="AU374" t="str">
        <f t="shared" si="44"/>
        <v/>
      </c>
      <c r="AV374" t="str">
        <f ca="1">IF(369&gt;$AV$2,"",SMALL($AR$6:$AR$505,369))</f>
        <v/>
      </c>
      <c r="AW374" t="str">
        <f t="shared" ca="1" si="45"/>
        <v/>
      </c>
    </row>
    <row r="375" spans="2:49" x14ac:dyDescent="0.2">
      <c r="B375" s="32" t="str">
        <f>IF(AND(ISNUMBER(Roster!$B375),Setup!$B$20="Yes",ISNUMBER(Setup!$C$20)),EDATE(Roster!$B375,12*Setup!$C$20),"")</f>
        <v/>
      </c>
      <c r="C375" s="32" t="str">
        <f>IF(AND(ISNUMBER(Roster!$B375),Setup!$B$21="Yes",ISNUMBER(Setup!$C$21)),EDATE(Roster!$B375,12*Setup!$C$21),"")</f>
        <v/>
      </c>
      <c r="D375" s="32" t="str">
        <f>IF(AND(ISNUMBER(Roster!$B375),Setup!$B$22="Yes",ISNUMBER(Setup!$C$22)),EDATE(Roster!$B375,12*Setup!$C$22),"")</f>
        <v/>
      </c>
      <c r="E375" s="32" t="str">
        <f>IF(AND(ISNUMBER(Roster!$B375),Setup!$B$23="Yes",ISNUMBER(Setup!$C$23)),EDATE(Roster!$B375,12*Setup!$C$23),"")</f>
        <v/>
      </c>
      <c r="F375" s="32" t="str">
        <f>IF(AND(ISNUMBER(Roster!$B375),Setup!$B$24="Yes",ISNUMBER(Setup!$C$24)),EDATE(Roster!$B375,12*Setup!$C$24),"")</f>
        <v/>
      </c>
      <c r="G375" s="32" t="str">
        <f>IF(AND(ISNUMBER(Roster!$B375),Setup!$B$25="Yes",ISNUMBER(Setup!$C$25)),EDATE(Roster!$B375,12*Setup!$C$25),"")</f>
        <v/>
      </c>
      <c r="H375" s="32" t="str">
        <f>IF(AND(ISNUMBER(Roster!$B375),Setup!$B$26="Yes",ISNUMBER(Setup!$C$26)),EDATE(Roster!$B375,12*Setup!$C$26),"")</f>
        <v/>
      </c>
      <c r="I375" s="32" t="str">
        <f>IF(AND(ISNUMBER(Roster!$B375),Setup!$B$27="Yes",ISNUMBER(Setup!$C$27)),EDATE(Roster!$B375,12*Setup!$C$27),"")</f>
        <v/>
      </c>
      <c r="J375" s="32" t="str">
        <f>IF(AND(ISNUMBER(Roster!$B375),Setup!$B$28="Yes",ISNUMBER(Setup!$C$28)),EDATE(Roster!$B375,12*Setup!$C$28),"")</f>
        <v/>
      </c>
      <c r="K375" s="32" t="str">
        <f>IF(AND(ISNUMBER(Roster!$B375),Setup!$B$29="Yes",ISNUMBER(Setup!$C$29)),EDATE(Roster!$B375,12*Setup!$C$29),"")</f>
        <v/>
      </c>
      <c r="L375" s="32" t="str">
        <f>IF(AND(ISNUMBER(Roster!$B375),Setup!$B$30="Yes",ISNUMBER(Setup!$C$30)),EDATE(Roster!$B375,12*Setup!$C$30),"")</f>
        <v/>
      </c>
      <c r="M375" s="32" t="str">
        <f>IF(AND(ISNUMBER(Roster!$B375),Setup!$B$31="Yes",ISNUMBER(Setup!$C$31)),EDATE(Roster!$B375,12*Setup!$C$31),"")</f>
        <v/>
      </c>
      <c r="N375" s="32" t="str">
        <f>IF(AND(ISNUMBER(Roster!$B375),Setup!$B$32="Yes",ISNUMBER(Setup!$C$32)),EDATE(Roster!$B375,12*Setup!$C$32),"")</f>
        <v/>
      </c>
      <c r="O375" s="32" t="str">
        <f>IF(AND(ISNUMBER(Roster!$B375),Setup!$B$33="Yes",ISNUMBER(Setup!$C$33)),EDATE(Roster!$B375,12*Setup!$C$33),"")</f>
        <v/>
      </c>
      <c r="P375" s="32" t="str">
        <f>IF(AND(ISNUMBER(Roster!$B375),Setup!$B$34="Yes",ISNUMBER(Setup!$C$34)),EDATE(Roster!$B375,12*Setup!$C$34),"")</f>
        <v/>
      </c>
      <c r="R375" t="str">
        <f>IF(B375="","",IF(B375&lt;Setup!$C$5-Setup!$C$6,"",IF(IF(ISNUMBER(Roster!$D375),Setup!$C$20&lt;=Roster!$D375,FALSE),"",IF(OR(IF(Setup!$C$15&lt;=Setup!$C$16,AND(MONTH(B375)&gt;=Setup!$C$15,MONTH(B375)&lt;=Setup!$C$16),OR(MONTH(B375)&gt;=Setup!$C$15,MONTH(B375)&lt;=Setup!$C$16)),IF(Setup!$C$15&lt;=Setup!$C$16,AND(MONTH(WORKDAY(B375,-(Setup!$C$13+Setup!$G$20),Setup!$C$39:$C$50))&gt;=Setup!$C$15,MONTH(WORKDAY(B375,-(Setup!$C$13+Setup!$G$20),Setup!$C$39:$C$50))&lt;=Setup!$C$16),OR(MONTH(WORKDAY(B375,-(Setup!$C$13+Setup!$G$20),Setup!$C$39:$C$50))&gt;=Setup!$C$15,MONTH(WORKDAY(B375,-(Setup!$C$13+Setup!$G$20),Setup!$C$39:$C$50))&lt;=Setup!$C$16))),WORKDAY(B375,-(Setup!$C$13+Setup!$G$20+Setup!$C$14),Setup!$C$39:$C$50),WORKDAY(B375,-(Setup!$C$13+Setup!$G$20),Setup!$C$39:$C$50))+(370*100+1)/10000000)))</f>
        <v/>
      </c>
      <c r="S375" t="str">
        <f>IF(C375="","",IF(C375&lt;Setup!$C$5-Setup!$C$6,"",IF(IF(ISNUMBER(Roster!$D375),Setup!$C$21&lt;=Roster!$D375,FALSE),"",IF(OR(IF(Setup!$C$15&lt;=Setup!$C$16,AND(MONTH(C375)&gt;=Setup!$C$15,MONTH(C375)&lt;=Setup!$C$16),OR(MONTH(C375)&gt;=Setup!$C$15,MONTH(C375)&lt;=Setup!$C$16)),IF(Setup!$C$15&lt;=Setup!$C$16,AND(MONTH(WORKDAY(C375,-(Setup!$C$13+Setup!$G$21),Setup!$C$39:$C$50))&gt;=Setup!$C$15,MONTH(WORKDAY(C375,-(Setup!$C$13+Setup!$G$21),Setup!$C$39:$C$50))&lt;=Setup!$C$16),OR(MONTH(WORKDAY(C375,-(Setup!$C$13+Setup!$G$21),Setup!$C$39:$C$50))&gt;=Setup!$C$15,MONTH(WORKDAY(C375,-(Setup!$C$13+Setup!$G$21),Setup!$C$39:$C$50))&lt;=Setup!$C$16))),WORKDAY(C375,-(Setup!$C$13+Setup!$G$21+Setup!$C$14),Setup!$C$39:$C$50),WORKDAY(C375,-(Setup!$C$13+Setup!$G$21),Setup!$C$39:$C$50))+(370*100+2)/10000000)))</f>
        <v/>
      </c>
      <c r="T375" t="str">
        <f>IF(D375="","",IF(D375&lt;Setup!$C$5-Setup!$C$6,"",IF(IF(ISNUMBER(Roster!$D375),Setup!$C$22&lt;=Roster!$D375,FALSE),"",IF(OR(IF(Setup!$C$15&lt;=Setup!$C$16,AND(MONTH(D375)&gt;=Setup!$C$15,MONTH(D375)&lt;=Setup!$C$16),OR(MONTH(D375)&gt;=Setup!$C$15,MONTH(D375)&lt;=Setup!$C$16)),IF(Setup!$C$15&lt;=Setup!$C$16,AND(MONTH(WORKDAY(D375,-(Setup!$C$13+Setup!$G$22),Setup!$C$39:$C$50))&gt;=Setup!$C$15,MONTH(WORKDAY(D375,-(Setup!$C$13+Setup!$G$22),Setup!$C$39:$C$50))&lt;=Setup!$C$16),OR(MONTH(WORKDAY(D375,-(Setup!$C$13+Setup!$G$22),Setup!$C$39:$C$50))&gt;=Setup!$C$15,MONTH(WORKDAY(D375,-(Setup!$C$13+Setup!$G$22),Setup!$C$39:$C$50))&lt;=Setup!$C$16))),WORKDAY(D375,-(Setup!$C$13+Setup!$G$22+Setup!$C$14),Setup!$C$39:$C$50),WORKDAY(D375,-(Setup!$C$13+Setup!$G$22),Setup!$C$39:$C$50))+(370*100+3)/10000000)))</f>
        <v/>
      </c>
      <c r="U375" t="str">
        <f>IF(E375="","",IF(E375&lt;Setup!$C$5-Setup!$C$6,"",IF(IF(ISNUMBER(Roster!$D375),Setup!$C$23&lt;=Roster!$D375,FALSE),"",IF(OR(IF(Setup!$C$15&lt;=Setup!$C$16,AND(MONTH(E375)&gt;=Setup!$C$15,MONTH(E375)&lt;=Setup!$C$16),OR(MONTH(E375)&gt;=Setup!$C$15,MONTH(E375)&lt;=Setup!$C$16)),IF(Setup!$C$15&lt;=Setup!$C$16,AND(MONTH(WORKDAY(E375,-(Setup!$C$13+Setup!$G$23),Setup!$C$39:$C$50))&gt;=Setup!$C$15,MONTH(WORKDAY(E375,-(Setup!$C$13+Setup!$G$23),Setup!$C$39:$C$50))&lt;=Setup!$C$16),OR(MONTH(WORKDAY(E375,-(Setup!$C$13+Setup!$G$23),Setup!$C$39:$C$50))&gt;=Setup!$C$15,MONTH(WORKDAY(E375,-(Setup!$C$13+Setup!$G$23),Setup!$C$39:$C$50))&lt;=Setup!$C$16))),WORKDAY(E375,-(Setup!$C$13+Setup!$G$23+Setup!$C$14),Setup!$C$39:$C$50),WORKDAY(E375,-(Setup!$C$13+Setup!$G$23),Setup!$C$39:$C$50))+(370*100+4)/10000000)))</f>
        <v/>
      </c>
      <c r="V375" t="str">
        <f>IF(F375="","",IF(F375&lt;Setup!$C$5-Setup!$C$6,"",IF(IF(ISNUMBER(Roster!$D375),Setup!$C$24&lt;=Roster!$D375,FALSE),"",IF(OR(IF(Setup!$C$15&lt;=Setup!$C$16,AND(MONTH(F375)&gt;=Setup!$C$15,MONTH(F375)&lt;=Setup!$C$16),OR(MONTH(F375)&gt;=Setup!$C$15,MONTH(F375)&lt;=Setup!$C$16)),IF(Setup!$C$15&lt;=Setup!$C$16,AND(MONTH(WORKDAY(F375,-(Setup!$C$13+Setup!$G$24),Setup!$C$39:$C$50))&gt;=Setup!$C$15,MONTH(WORKDAY(F375,-(Setup!$C$13+Setup!$G$24),Setup!$C$39:$C$50))&lt;=Setup!$C$16),OR(MONTH(WORKDAY(F375,-(Setup!$C$13+Setup!$G$24),Setup!$C$39:$C$50))&gt;=Setup!$C$15,MONTH(WORKDAY(F375,-(Setup!$C$13+Setup!$G$24),Setup!$C$39:$C$50))&lt;=Setup!$C$16))),WORKDAY(F375,-(Setup!$C$13+Setup!$G$24+Setup!$C$14),Setup!$C$39:$C$50),WORKDAY(F375,-(Setup!$C$13+Setup!$G$24),Setup!$C$39:$C$50))+(370*100+5)/10000000)))</f>
        <v/>
      </c>
      <c r="W375" t="str">
        <f>IF(G375="","",IF(G375&lt;Setup!$C$5-Setup!$C$6,"",IF(IF(ISNUMBER(Roster!$D375),Setup!$C$25&lt;=Roster!$D375,FALSE),"",IF(OR(IF(Setup!$C$15&lt;=Setup!$C$16,AND(MONTH(G375)&gt;=Setup!$C$15,MONTH(G375)&lt;=Setup!$C$16),OR(MONTH(G375)&gt;=Setup!$C$15,MONTH(G375)&lt;=Setup!$C$16)),IF(Setup!$C$15&lt;=Setup!$C$16,AND(MONTH(WORKDAY(G375,-(Setup!$C$13+Setup!$G$25),Setup!$C$39:$C$50))&gt;=Setup!$C$15,MONTH(WORKDAY(G375,-(Setup!$C$13+Setup!$G$25),Setup!$C$39:$C$50))&lt;=Setup!$C$16),OR(MONTH(WORKDAY(G375,-(Setup!$C$13+Setup!$G$25),Setup!$C$39:$C$50))&gt;=Setup!$C$15,MONTH(WORKDAY(G375,-(Setup!$C$13+Setup!$G$25),Setup!$C$39:$C$50))&lt;=Setup!$C$16))),WORKDAY(G375,-(Setup!$C$13+Setup!$G$25+Setup!$C$14),Setup!$C$39:$C$50),WORKDAY(G375,-(Setup!$C$13+Setup!$G$25),Setup!$C$39:$C$50))+(370*100+6)/10000000)))</f>
        <v/>
      </c>
      <c r="X375" t="str">
        <f>IF(H375="","",IF(H375&lt;Setup!$C$5-Setup!$C$6,"",IF(IF(ISNUMBER(Roster!$D375),Setup!$C$26&lt;=Roster!$D375,FALSE),"",IF(OR(IF(Setup!$C$15&lt;=Setup!$C$16,AND(MONTH(H375)&gt;=Setup!$C$15,MONTH(H375)&lt;=Setup!$C$16),OR(MONTH(H375)&gt;=Setup!$C$15,MONTH(H375)&lt;=Setup!$C$16)),IF(Setup!$C$15&lt;=Setup!$C$16,AND(MONTH(WORKDAY(H375,-(Setup!$C$13+Setup!$G$26),Setup!$C$39:$C$50))&gt;=Setup!$C$15,MONTH(WORKDAY(H375,-(Setup!$C$13+Setup!$G$26),Setup!$C$39:$C$50))&lt;=Setup!$C$16),OR(MONTH(WORKDAY(H375,-(Setup!$C$13+Setup!$G$26),Setup!$C$39:$C$50))&gt;=Setup!$C$15,MONTH(WORKDAY(H375,-(Setup!$C$13+Setup!$G$26),Setup!$C$39:$C$50))&lt;=Setup!$C$16))),WORKDAY(H375,-(Setup!$C$13+Setup!$G$26+Setup!$C$14),Setup!$C$39:$C$50),WORKDAY(H375,-(Setup!$C$13+Setup!$G$26),Setup!$C$39:$C$50))+(370*100+7)/10000000)))</f>
        <v/>
      </c>
      <c r="Y375" t="str">
        <f>IF(I375="","",IF(I375&lt;Setup!$C$5-Setup!$C$6,"",IF(IF(ISNUMBER(Roster!$D375),Setup!$C$27&lt;=Roster!$D375,FALSE),"",IF(OR(IF(Setup!$C$15&lt;=Setup!$C$16,AND(MONTH(I375)&gt;=Setup!$C$15,MONTH(I375)&lt;=Setup!$C$16),OR(MONTH(I375)&gt;=Setup!$C$15,MONTH(I375)&lt;=Setup!$C$16)),IF(Setup!$C$15&lt;=Setup!$C$16,AND(MONTH(WORKDAY(I375,-(Setup!$C$13+Setup!$G$27),Setup!$C$39:$C$50))&gt;=Setup!$C$15,MONTH(WORKDAY(I375,-(Setup!$C$13+Setup!$G$27),Setup!$C$39:$C$50))&lt;=Setup!$C$16),OR(MONTH(WORKDAY(I375,-(Setup!$C$13+Setup!$G$27),Setup!$C$39:$C$50))&gt;=Setup!$C$15,MONTH(WORKDAY(I375,-(Setup!$C$13+Setup!$G$27),Setup!$C$39:$C$50))&lt;=Setup!$C$16))),WORKDAY(I375,-(Setup!$C$13+Setup!$G$27+Setup!$C$14),Setup!$C$39:$C$50),WORKDAY(I375,-(Setup!$C$13+Setup!$G$27),Setup!$C$39:$C$50))+(370*100+8)/10000000)))</f>
        <v/>
      </c>
      <c r="Z375" t="str">
        <f>IF(J375="","",IF(J375&lt;Setup!$C$5-Setup!$C$6,"",IF(IF(ISNUMBER(Roster!$D375),Setup!$C$28&lt;=Roster!$D375,FALSE),"",IF(OR(IF(Setup!$C$15&lt;=Setup!$C$16,AND(MONTH(J375)&gt;=Setup!$C$15,MONTH(J375)&lt;=Setup!$C$16),OR(MONTH(J375)&gt;=Setup!$C$15,MONTH(J375)&lt;=Setup!$C$16)),IF(Setup!$C$15&lt;=Setup!$C$16,AND(MONTH(WORKDAY(J375,-(Setup!$C$13+Setup!$G$28),Setup!$C$39:$C$50))&gt;=Setup!$C$15,MONTH(WORKDAY(J375,-(Setup!$C$13+Setup!$G$28),Setup!$C$39:$C$50))&lt;=Setup!$C$16),OR(MONTH(WORKDAY(J375,-(Setup!$C$13+Setup!$G$28),Setup!$C$39:$C$50))&gt;=Setup!$C$15,MONTH(WORKDAY(J375,-(Setup!$C$13+Setup!$G$28),Setup!$C$39:$C$50))&lt;=Setup!$C$16))),WORKDAY(J375,-(Setup!$C$13+Setup!$G$28+Setup!$C$14),Setup!$C$39:$C$50),WORKDAY(J375,-(Setup!$C$13+Setup!$G$28),Setup!$C$39:$C$50))+(370*100+9)/10000000)))</f>
        <v/>
      </c>
      <c r="AA375" t="str">
        <f>IF(K375="","",IF(K375&lt;Setup!$C$5-Setup!$C$6,"",IF(IF(ISNUMBER(Roster!$D375),Setup!$C$29&lt;=Roster!$D375,FALSE),"",IF(OR(IF(Setup!$C$15&lt;=Setup!$C$16,AND(MONTH(K375)&gt;=Setup!$C$15,MONTH(K375)&lt;=Setup!$C$16),OR(MONTH(K375)&gt;=Setup!$C$15,MONTH(K375)&lt;=Setup!$C$16)),IF(Setup!$C$15&lt;=Setup!$C$16,AND(MONTH(WORKDAY(K375,-(Setup!$C$13+Setup!$G$29),Setup!$C$39:$C$50))&gt;=Setup!$C$15,MONTH(WORKDAY(K375,-(Setup!$C$13+Setup!$G$29),Setup!$C$39:$C$50))&lt;=Setup!$C$16),OR(MONTH(WORKDAY(K375,-(Setup!$C$13+Setup!$G$29),Setup!$C$39:$C$50))&gt;=Setup!$C$15,MONTH(WORKDAY(K375,-(Setup!$C$13+Setup!$G$29),Setup!$C$39:$C$50))&lt;=Setup!$C$16))),WORKDAY(K375,-(Setup!$C$13+Setup!$G$29+Setup!$C$14),Setup!$C$39:$C$50),WORKDAY(K375,-(Setup!$C$13+Setup!$G$29),Setup!$C$39:$C$50))+(370*100+10)/10000000)))</f>
        <v/>
      </c>
      <c r="AB375" t="str">
        <f>IF(L375="","",IF(L375&lt;Setup!$C$5-Setup!$C$6,"",IF(IF(ISNUMBER(Roster!$D375),Setup!$C$30&lt;=Roster!$D375,FALSE),"",IF(OR(IF(Setup!$C$15&lt;=Setup!$C$16,AND(MONTH(L375)&gt;=Setup!$C$15,MONTH(L375)&lt;=Setup!$C$16),OR(MONTH(L375)&gt;=Setup!$C$15,MONTH(L375)&lt;=Setup!$C$16)),IF(Setup!$C$15&lt;=Setup!$C$16,AND(MONTH(WORKDAY(L375,-(Setup!$C$13+Setup!$G$30),Setup!$C$39:$C$50))&gt;=Setup!$C$15,MONTH(WORKDAY(L375,-(Setup!$C$13+Setup!$G$30),Setup!$C$39:$C$50))&lt;=Setup!$C$16),OR(MONTH(WORKDAY(L375,-(Setup!$C$13+Setup!$G$30),Setup!$C$39:$C$50))&gt;=Setup!$C$15,MONTH(WORKDAY(L375,-(Setup!$C$13+Setup!$G$30),Setup!$C$39:$C$50))&lt;=Setup!$C$16))),WORKDAY(L375,-(Setup!$C$13+Setup!$G$30+Setup!$C$14),Setup!$C$39:$C$50),WORKDAY(L375,-(Setup!$C$13+Setup!$G$30),Setup!$C$39:$C$50))+(370*100+11)/10000000)))</f>
        <v/>
      </c>
      <c r="AC375" t="str">
        <f>IF(M375="","",IF(M375&lt;Setup!$C$5-Setup!$C$6,"",IF(IF(ISNUMBER(Roster!$D375),Setup!$C$31&lt;=Roster!$D375,FALSE),"",IF(OR(IF(Setup!$C$15&lt;=Setup!$C$16,AND(MONTH(M375)&gt;=Setup!$C$15,MONTH(M375)&lt;=Setup!$C$16),OR(MONTH(M375)&gt;=Setup!$C$15,MONTH(M375)&lt;=Setup!$C$16)),IF(Setup!$C$15&lt;=Setup!$C$16,AND(MONTH(WORKDAY(M375,-(Setup!$C$13+Setup!$G$31),Setup!$C$39:$C$50))&gt;=Setup!$C$15,MONTH(WORKDAY(M375,-(Setup!$C$13+Setup!$G$31),Setup!$C$39:$C$50))&lt;=Setup!$C$16),OR(MONTH(WORKDAY(M375,-(Setup!$C$13+Setup!$G$31),Setup!$C$39:$C$50))&gt;=Setup!$C$15,MONTH(WORKDAY(M375,-(Setup!$C$13+Setup!$G$31),Setup!$C$39:$C$50))&lt;=Setup!$C$16))),WORKDAY(M375,-(Setup!$C$13+Setup!$G$31+Setup!$C$14),Setup!$C$39:$C$50),WORKDAY(M375,-(Setup!$C$13+Setup!$G$31),Setup!$C$39:$C$50))+(370*100+12)/10000000)))</f>
        <v/>
      </c>
      <c r="AD375" t="str">
        <f>IF(N375="","",IF(N375&lt;Setup!$C$5-Setup!$C$6,"",IF(IF(ISNUMBER(Roster!$D375),Setup!$C$32&lt;=Roster!$D375,FALSE),"",IF(OR(IF(Setup!$C$15&lt;=Setup!$C$16,AND(MONTH(N375)&gt;=Setup!$C$15,MONTH(N375)&lt;=Setup!$C$16),OR(MONTH(N375)&gt;=Setup!$C$15,MONTH(N375)&lt;=Setup!$C$16)),IF(Setup!$C$15&lt;=Setup!$C$16,AND(MONTH(WORKDAY(N375,-(Setup!$C$13+Setup!$G$32),Setup!$C$39:$C$50))&gt;=Setup!$C$15,MONTH(WORKDAY(N375,-(Setup!$C$13+Setup!$G$32),Setup!$C$39:$C$50))&lt;=Setup!$C$16),OR(MONTH(WORKDAY(N375,-(Setup!$C$13+Setup!$G$32),Setup!$C$39:$C$50))&gt;=Setup!$C$15,MONTH(WORKDAY(N375,-(Setup!$C$13+Setup!$G$32),Setup!$C$39:$C$50))&lt;=Setup!$C$16))),WORKDAY(N375,-(Setup!$C$13+Setup!$G$32+Setup!$C$14),Setup!$C$39:$C$50),WORKDAY(N375,-(Setup!$C$13+Setup!$G$32),Setup!$C$39:$C$50))+(370*100+13)/10000000)))</f>
        <v/>
      </c>
      <c r="AE375" t="str">
        <f>IF(O375="","",IF(O375&lt;Setup!$C$5-Setup!$C$6,"",IF(IF(ISNUMBER(Roster!$D375),Setup!$C$33&lt;=Roster!$D375,FALSE),"",IF(OR(IF(Setup!$C$15&lt;=Setup!$C$16,AND(MONTH(O375)&gt;=Setup!$C$15,MONTH(O375)&lt;=Setup!$C$16),OR(MONTH(O375)&gt;=Setup!$C$15,MONTH(O375)&lt;=Setup!$C$16)),IF(Setup!$C$15&lt;=Setup!$C$16,AND(MONTH(WORKDAY(O375,-(Setup!$C$13+Setup!$G$33),Setup!$C$39:$C$50))&gt;=Setup!$C$15,MONTH(WORKDAY(O375,-(Setup!$C$13+Setup!$G$33),Setup!$C$39:$C$50))&lt;=Setup!$C$16),OR(MONTH(WORKDAY(O375,-(Setup!$C$13+Setup!$G$33),Setup!$C$39:$C$50))&gt;=Setup!$C$15,MONTH(WORKDAY(O375,-(Setup!$C$13+Setup!$G$33),Setup!$C$39:$C$50))&lt;=Setup!$C$16))),WORKDAY(O375,-(Setup!$C$13+Setup!$G$33+Setup!$C$14),Setup!$C$39:$C$50),WORKDAY(O375,-(Setup!$C$13+Setup!$G$33),Setup!$C$39:$C$50))+(370*100+14)/10000000)))</f>
        <v/>
      </c>
      <c r="AF375" t="str">
        <f>IF(P375="","",IF(P375&lt;Setup!$C$5-Setup!$C$6,"",IF(IF(ISNUMBER(Roster!$D375),Setup!$C$34&lt;=Roster!$D375,FALSE),"",IF(OR(IF(Setup!$C$15&lt;=Setup!$C$16,AND(MONTH(P375)&gt;=Setup!$C$15,MONTH(P375)&lt;=Setup!$C$16),OR(MONTH(P375)&gt;=Setup!$C$15,MONTH(P375)&lt;=Setup!$C$16)),IF(Setup!$C$15&lt;=Setup!$C$16,AND(MONTH(WORKDAY(P375,-(Setup!$C$13+Setup!$G$34),Setup!$C$39:$C$50))&gt;=Setup!$C$15,MONTH(WORKDAY(P375,-(Setup!$C$13+Setup!$G$34),Setup!$C$39:$C$50))&lt;=Setup!$C$16),OR(MONTH(WORKDAY(P375,-(Setup!$C$13+Setup!$G$34),Setup!$C$39:$C$50))&gt;=Setup!$C$15,MONTH(WORKDAY(P375,-(Setup!$C$13+Setup!$G$34),Setup!$C$39:$C$50))&lt;=Setup!$C$16))),WORKDAY(P375,-(Setup!$C$13+Setup!$G$34+Setup!$C$14),Setup!$C$39:$C$50),WORKDAY(P375,-(Setup!$C$13+Setup!$G$34),Setup!$C$39:$C$50))+(370*100+15)/10000000)))</f>
        <v/>
      </c>
      <c r="AH375" t="str">
        <f t="shared" si="41"/>
        <v/>
      </c>
      <c r="AI375" t="str">
        <f t="shared" si="42"/>
        <v/>
      </c>
      <c r="AP375" t="str">
        <f>IF(ISNUMBER(Roster!$B375),MAX(1,YEAR(Setup!$C$5)-YEAR(Roster!$B375)+IF(EDATE(Roster!$B375,12*(YEAR(Setup!$C$5)-YEAR(Roster!$B375)))&lt;Setup!$C$5,1,0)),"")</f>
        <v/>
      </c>
      <c r="AQ375" s="32" t="str">
        <f>IF(AP375="","",EDATE(Roster!$B375,12*AP375))</f>
        <v/>
      </c>
      <c r="AR375" t="str">
        <f>IF(AQ375="","",IF(AQ375&lt;DATE(YEAR(Setup!$C$5)+1,MONTH(Setup!$C$5),DAY(Setup!$C$5)),AQ375+370/1000,""))</f>
        <v/>
      </c>
      <c r="AS375" t="str">
        <f t="shared" si="43"/>
        <v/>
      </c>
      <c r="AT375" t="str">
        <f>IF(AS375="","",IF(ISNUMBER(Roster!$D375),Roster!$D375&gt;=AP375,FALSE))</f>
        <v/>
      </c>
      <c r="AU375" t="str">
        <f t="shared" si="44"/>
        <v/>
      </c>
      <c r="AV375" t="str">
        <f ca="1">IF(370&gt;$AV$2,"",SMALL($AR$6:$AR$505,370))</f>
        <v/>
      </c>
      <c r="AW375" t="str">
        <f t="shared" ca="1" si="45"/>
        <v/>
      </c>
    </row>
    <row r="376" spans="2:49" x14ac:dyDescent="0.2">
      <c r="B376" s="32" t="str">
        <f>IF(AND(ISNUMBER(Roster!$B376),Setup!$B$20="Yes",ISNUMBER(Setup!$C$20)),EDATE(Roster!$B376,12*Setup!$C$20),"")</f>
        <v/>
      </c>
      <c r="C376" s="32" t="str">
        <f>IF(AND(ISNUMBER(Roster!$B376),Setup!$B$21="Yes",ISNUMBER(Setup!$C$21)),EDATE(Roster!$B376,12*Setup!$C$21),"")</f>
        <v/>
      </c>
      <c r="D376" s="32" t="str">
        <f>IF(AND(ISNUMBER(Roster!$B376),Setup!$B$22="Yes",ISNUMBER(Setup!$C$22)),EDATE(Roster!$B376,12*Setup!$C$22),"")</f>
        <v/>
      </c>
      <c r="E376" s="32" t="str">
        <f>IF(AND(ISNUMBER(Roster!$B376),Setup!$B$23="Yes",ISNUMBER(Setup!$C$23)),EDATE(Roster!$B376,12*Setup!$C$23),"")</f>
        <v/>
      </c>
      <c r="F376" s="32" t="str">
        <f>IF(AND(ISNUMBER(Roster!$B376),Setup!$B$24="Yes",ISNUMBER(Setup!$C$24)),EDATE(Roster!$B376,12*Setup!$C$24),"")</f>
        <v/>
      </c>
      <c r="G376" s="32" t="str">
        <f>IF(AND(ISNUMBER(Roster!$B376),Setup!$B$25="Yes",ISNUMBER(Setup!$C$25)),EDATE(Roster!$B376,12*Setup!$C$25),"")</f>
        <v/>
      </c>
      <c r="H376" s="32" t="str">
        <f>IF(AND(ISNUMBER(Roster!$B376),Setup!$B$26="Yes",ISNUMBER(Setup!$C$26)),EDATE(Roster!$B376,12*Setup!$C$26),"")</f>
        <v/>
      </c>
      <c r="I376" s="32" t="str">
        <f>IF(AND(ISNUMBER(Roster!$B376),Setup!$B$27="Yes",ISNUMBER(Setup!$C$27)),EDATE(Roster!$B376,12*Setup!$C$27),"")</f>
        <v/>
      </c>
      <c r="J376" s="32" t="str">
        <f>IF(AND(ISNUMBER(Roster!$B376),Setup!$B$28="Yes",ISNUMBER(Setup!$C$28)),EDATE(Roster!$B376,12*Setup!$C$28),"")</f>
        <v/>
      </c>
      <c r="K376" s="32" t="str">
        <f>IF(AND(ISNUMBER(Roster!$B376),Setup!$B$29="Yes",ISNUMBER(Setup!$C$29)),EDATE(Roster!$B376,12*Setup!$C$29),"")</f>
        <v/>
      </c>
      <c r="L376" s="32" t="str">
        <f>IF(AND(ISNUMBER(Roster!$B376),Setup!$B$30="Yes",ISNUMBER(Setup!$C$30)),EDATE(Roster!$B376,12*Setup!$C$30),"")</f>
        <v/>
      </c>
      <c r="M376" s="32" t="str">
        <f>IF(AND(ISNUMBER(Roster!$B376),Setup!$B$31="Yes",ISNUMBER(Setup!$C$31)),EDATE(Roster!$B376,12*Setup!$C$31),"")</f>
        <v/>
      </c>
      <c r="N376" s="32" t="str">
        <f>IF(AND(ISNUMBER(Roster!$B376),Setup!$B$32="Yes",ISNUMBER(Setup!$C$32)),EDATE(Roster!$B376,12*Setup!$C$32),"")</f>
        <v/>
      </c>
      <c r="O376" s="32" t="str">
        <f>IF(AND(ISNUMBER(Roster!$B376),Setup!$B$33="Yes",ISNUMBER(Setup!$C$33)),EDATE(Roster!$B376,12*Setup!$C$33),"")</f>
        <v/>
      </c>
      <c r="P376" s="32" t="str">
        <f>IF(AND(ISNUMBER(Roster!$B376),Setup!$B$34="Yes",ISNUMBER(Setup!$C$34)),EDATE(Roster!$B376,12*Setup!$C$34),"")</f>
        <v/>
      </c>
      <c r="R376" t="str">
        <f>IF(B376="","",IF(B376&lt;Setup!$C$5-Setup!$C$6,"",IF(IF(ISNUMBER(Roster!$D376),Setup!$C$20&lt;=Roster!$D376,FALSE),"",IF(OR(IF(Setup!$C$15&lt;=Setup!$C$16,AND(MONTH(B376)&gt;=Setup!$C$15,MONTH(B376)&lt;=Setup!$C$16),OR(MONTH(B376)&gt;=Setup!$C$15,MONTH(B376)&lt;=Setup!$C$16)),IF(Setup!$C$15&lt;=Setup!$C$16,AND(MONTH(WORKDAY(B376,-(Setup!$C$13+Setup!$G$20),Setup!$C$39:$C$50))&gt;=Setup!$C$15,MONTH(WORKDAY(B376,-(Setup!$C$13+Setup!$G$20),Setup!$C$39:$C$50))&lt;=Setup!$C$16),OR(MONTH(WORKDAY(B376,-(Setup!$C$13+Setup!$G$20),Setup!$C$39:$C$50))&gt;=Setup!$C$15,MONTH(WORKDAY(B376,-(Setup!$C$13+Setup!$G$20),Setup!$C$39:$C$50))&lt;=Setup!$C$16))),WORKDAY(B376,-(Setup!$C$13+Setup!$G$20+Setup!$C$14),Setup!$C$39:$C$50),WORKDAY(B376,-(Setup!$C$13+Setup!$G$20),Setup!$C$39:$C$50))+(371*100+1)/10000000)))</f>
        <v/>
      </c>
      <c r="S376" t="str">
        <f>IF(C376="","",IF(C376&lt;Setup!$C$5-Setup!$C$6,"",IF(IF(ISNUMBER(Roster!$D376),Setup!$C$21&lt;=Roster!$D376,FALSE),"",IF(OR(IF(Setup!$C$15&lt;=Setup!$C$16,AND(MONTH(C376)&gt;=Setup!$C$15,MONTH(C376)&lt;=Setup!$C$16),OR(MONTH(C376)&gt;=Setup!$C$15,MONTH(C376)&lt;=Setup!$C$16)),IF(Setup!$C$15&lt;=Setup!$C$16,AND(MONTH(WORKDAY(C376,-(Setup!$C$13+Setup!$G$21),Setup!$C$39:$C$50))&gt;=Setup!$C$15,MONTH(WORKDAY(C376,-(Setup!$C$13+Setup!$G$21),Setup!$C$39:$C$50))&lt;=Setup!$C$16),OR(MONTH(WORKDAY(C376,-(Setup!$C$13+Setup!$G$21),Setup!$C$39:$C$50))&gt;=Setup!$C$15,MONTH(WORKDAY(C376,-(Setup!$C$13+Setup!$G$21),Setup!$C$39:$C$50))&lt;=Setup!$C$16))),WORKDAY(C376,-(Setup!$C$13+Setup!$G$21+Setup!$C$14),Setup!$C$39:$C$50),WORKDAY(C376,-(Setup!$C$13+Setup!$G$21),Setup!$C$39:$C$50))+(371*100+2)/10000000)))</f>
        <v/>
      </c>
      <c r="T376" t="str">
        <f>IF(D376="","",IF(D376&lt;Setup!$C$5-Setup!$C$6,"",IF(IF(ISNUMBER(Roster!$D376),Setup!$C$22&lt;=Roster!$D376,FALSE),"",IF(OR(IF(Setup!$C$15&lt;=Setup!$C$16,AND(MONTH(D376)&gt;=Setup!$C$15,MONTH(D376)&lt;=Setup!$C$16),OR(MONTH(D376)&gt;=Setup!$C$15,MONTH(D376)&lt;=Setup!$C$16)),IF(Setup!$C$15&lt;=Setup!$C$16,AND(MONTH(WORKDAY(D376,-(Setup!$C$13+Setup!$G$22),Setup!$C$39:$C$50))&gt;=Setup!$C$15,MONTH(WORKDAY(D376,-(Setup!$C$13+Setup!$G$22),Setup!$C$39:$C$50))&lt;=Setup!$C$16),OR(MONTH(WORKDAY(D376,-(Setup!$C$13+Setup!$G$22),Setup!$C$39:$C$50))&gt;=Setup!$C$15,MONTH(WORKDAY(D376,-(Setup!$C$13+Setup!$G$22),Setup!$C$39:$C$50))&lt;=Setup!$C$16))),WORKDAY(D376,-(Setup!$C$13+Setup!$G$22+Setup!$C$14),Setup!$C$39:$C$50),WORKDAY(D376,-(Setup!$C$13+Setup!$G$22),Setup!$C$39:$C$50))+(371*100+3)/10000000)))</f>
        <v/>
      </c>
      <c r="U376" t="str">
        <f>IF(E376="","",IF(E376&lt;Setup!$C$5-Setup!$C$6,"",IF(IF(ISNUMBER(Roster!$D376),Setup!$C$23&lt;=Roster!$D376,FALSE),"",IF(OR(IF(Setup!$C$15&lt;=Setup!$C$16,AND(MONTH(E376)&gt;=Setup!$C$15,MONTH(E376)&lt;=Setup!$C$16),OR(MONTH(E376)&gt;=Setup!$C$15,MONTH(E376)&lt;=Setup!$C$16)),IF(Setup!$C$15&lt;=Setup!$C$16,AND(MONTH(WORKDAY(E376,-(Setup!$C$13+Setup!$G$23),Setup!$C$39:$C$50))&gt;=Setup!$C$15,MONTH(WORKDAY(E376,-(Setup!$C$13+Setup!$G$23),Setup!$C$39:$C$50))&lt;=Setup!$C$16),OR(MONTH(WORKDAY(E376,-(Setup!$C$13+Setup!$G$23),Setup!$C$39:$C$50))&gt;=Setup!$C$15,MONTH(WORKDAY(E376,-(Setup!$C$13+Setup!$G$23),Setup!$C$39:$C$50))&lt;=Setup!$C$16))),WORKDAY(E376,-(Setup!$C$13+Setup!$G$23+Setup!$C$14),Setup!$C$39:$C$50),WORKDAY(E376,-(Setup!$C$13+Setup!$G$23),Setup!$C$39:$C$50))+(371*100+4)/10000000)))</f>
        <v/>
      </c>
      <c r="V376" t="str">
        <f>IF(F376="","",IF(F376&lt;Setup!$C$5-Setup!$C$6,"",IF(IF(ISNUMBER(Roster!$D376),Setup!$C$24&lt;=Roster!$D376,FALSE),"",IF(OR(IF(Setup!$C$15&lt;=Setup!$C$16,AND(MONTH(F376)&gt;=Setup!$C$15,MONTH(F376)&lt;=Setup!$C$16),OR(MONTH(F376)&gt;=Setup!$C$15,MONTH(F376)&lt;=Setup!$C$16)),IF(Setup!$C$15&lt;=Setup!$C$16,AND(MONTH(WORKDAY(F376,-(Setup!$C$13+Setup!$G$24),Setup!$C$39:$C$50))&gt;=Setup!$C$15,MONTH(WORKDAY(F376,-(Setup!$C$13+Setup!$G$24),Setup!$C$39:$C$50))&lt;=Setup!$C$16),OR(MONTH(WORKDAY(F376,-(Setup!$C$13+Setup!$G$24),Setup!$C$39:$C$50))&gt;=Setup!$C$15,MONTH(WORKDAY(F376,-(Setup!$C$13+Setup!$G$24),Setup!$C$39:$C$50))&lt;=Setup!$C$16))),WORKDAY(F376,-(Setup!$C$13+Setup!$G$24+Setup!$C$14),Setup!$C$39:$C$50),WORKDAY(F376,-(Setup!$C$13+Setup!$G$24),Setup!$C$39:$C$50))+(371*100+5)/10000000)))</f>
        <v/>
      </c>
      <c r="W376" t="str">
        <f>IF(G376="","",IF(G376&lt;Setup!$C$5-Setup!$C$6,"",IF(IF(ISNUMBER(Roster!$D376),Setup!$C$25&lt;=Roster!$D376,FALSE),"",IF(OR(IF(Setup!$C$15&lt;=Setup!$C$16,AND(MONTH(G376)&gt;=Setup!$C$15,MONTH(G376)&lt;=Setup!$C$16),OR(MONTH(G376)&gt;=Setup!$C$15,MONTH(G376)&lt;=Setup!$C$16)),IF(Setup!$C$15&lt;=Setup!$C$16,AND(MONTH(WORKDAY(G376,-(Setup!$C$13+Setup!$G$25),Setup!$C$39:$C$50))&gt;=Setup!$C$15,MONTH(WORKDAY(G376,-(Setup!$C$13+Setup!$G$25),Setup!$C$39:$C$50))&lt;=Setup!$C$16),OR(MONTH(WORKDAY(G376,-(Setup!$C$13+Setup!$G$25),Setup!$C$39:$C$50))&gt;=Setup!$C$15,MONTH(WORKDAY(G376,-(Setup!$C$13+Setup!$G$25),Setup!$C$39:$C$50))&lt;=Setup!$C$16))),WORKDAY(G376,-(Setup!$C$13+Setup!$G$25+Setup!$C$14),Setup!$C$39:$C$50),WORKDAY(G376,-(Setup!$C$13+Setup!$G$25),Setup!$C$39:$C$50))+(371*100+6)/10000000)))</f>
        <v/>
      </c>
      <c r="X376" t="str">
        <f>IF(H376="","",IF(H376&lt;Setup!$C$5-Setup!$C$6,"",IF(IF(ISNUMBER(Roster!$D376),Setup!$C$26&lt;=Roster!$D376,FALSE),"",IF(OR(IF(Setup!$C$15&lt;=Setup!$C$16,AND(MONTH(H376)&gt;=Setup!$C$15,MONTH(H376)&lt;=Setup!$C$16),OR(MONTH(H376)&gt;=Setup!$C$15,MONTH(H376)&lt;=Setup!$C$16)),IF(Setup!$C$15&lt;=Setup!$C$16,AND(MONTH(WORKDAY(H376,-(Setup!$C$13+Setup!$G$26),Setup!$C$39:$C$50))&gt;=Setup!$C$15,MONTH(WORKDAY(H376,-(Setup!$C$13+Setup!$G$26),Setup!$C$39:$C$50))&lt;=Setup!$C$16),OR(MONTH(WORKDAY(H376,-(Setup!$C$13+Setup!$G$26),Setup!$C$39:$C$50))&gt;=Setup!$C$15,MONTH(WORKDAY(H376,-(Setup!$C$13+Setup!$G$26),Setup!$C$39:$C$50))&lt;=Setup!$C$16))),WORKDAY(H376,-(Setup!$C$13+Setup!$G$26+Setup!$C$14),Setup!$C$39:$C$50),WORKDAY(H376,-(Setup!$C$13+Setup!$G$26),Setup!$C$39:$C$50))+(371*100+7)/10000000)))</f>
        <v/>
      </c>
      <c r="Y376" t="str">
        <f>IF(I376="","",IF(I376&lt;Setup!$C$5-Setup!$C$6,"",IF(IF(ISNUMBER(Roster!$D376),Setup!$C$27&lt;=Roster!$D376,FALSE),"",IF(OR(IF(Setup!$C$15&lt;=Setup!$C$16,AND(MONTH(I376)&gt;=Setup!$C$15,MONTH(I376)&lt;=Setup!$C$16),OR(MONTH(I376)&gt;=Setup!$C$15,MONTH(I376)&lt;=Setup!$C$16)),IF(Setup!$C$15&lt;=Setup!$C$16,AND(MONTH(WORKDAY(I376,-(Setup!$C$13+Setup!$G$27),Setup!$C$39:$C$50))&gt;=Setup!$C$15,MONTH(WORKDAY(I376,-(Setup!$C$13+Setup!$G$27),Setup!$C$39:$C$50))&lt;=Setup!$C$16),OR(MONTH(WORKDAY(I376,-(Setup!$C$13+Setup!$G$27),Setup!$C$39:$C$50))&gt;=Setup!$C$15,MONTH(WORKDAY(I376,-(Setup!$C$13+Setup!$G$27),Setup!$C$39:$C$50))&lt;=Setup!$C$16))),WORKDAY(I376,-(Setup!$C$13+Setup!$G$27+Setup!$C$14),Setup!$C$39:$C$50),WORKDAY(I376,-(Setup!$C$13+Setup!$G$27),Setup!$C$39:$C$50))+(371*100+8)/10000000)))</f>
        <v/>
      </c>
      <c r="Z376" t="str">
        <f>IF(J376="","",IF(J376&lt;Setup!$C$5-Setup!$C$6,"",IF(IF(ISNUMBER(Roster!$D376),Setup!$C$28&lt;=Roster!$D376,FALSE),"",IF(OR(IF(Setup!$C$15&lt;=Setup!$C$16,AND(MONTH(J376)&gt;=Setup!$C$15,MONTH(J376)&lt;=Setup!$C$16),OR(MONTH(J376)&gt;=Setup!$C$15,MONTH(J376)&lt;=Setup!$C$16)),IF(Setup!$C$15&lt;=Setup!$C$16,AND(MONTH(WORKDAY(J376,-(Setup!$C$13+Setup!$G$28),Setup!$C$39:$C$50))&gt;=Setup!$C$15,MONTH(WORKDAY(J376,-(Setup!$C$13+Setup!$G$28),Setup!$C$39:$C$50))&lt;=Setup!$C$16),OR(MONTH(WORKDAY(J376,-(Setup!$C$13+Setup!$G$28),Setup!$C$39:$C$50))&gt;=Setup!$C$15,MONTH(WORKDAY(J376,-(Setup!$C$13+Setup!$G$28),Setup!$C$39:$C$50))&lt;=Setup!$C$16))),WORKDAY(J376,-(Setup!$C$13+Setup!$G$28+Setup!$C$14),Setup!$C$39:$C$50),WORKDAY(J376,-(Setup!$C$13+Setup!$G$28),Setup!$C$39:$C$50))+(371*100+9)/10000000)))</f>
        <v/>
      </c>
      <c r="AA376" t="str">
        <f>IF(K376="","",IF(K376&lt;Setup!$C$5-Setup!$C$6,"",IF(IF(ISNUMBER(Roster!$D376),Setup!$C$29&lt;=Roster!$D376,FALSE),"",IF(OR(IF(Setup!$C$15&lt;=Setup!$C$16,AND(MONTH(K376)&gt;=Setup!$C$15,MONTH(K376)&lt;=Setup!$C$16),OR(MONTH(K376)&gt;=Setup!$C$15,MONTH(K376)&lt;=Setup!$C$16)),IF(Setup!$C$15&lt;=Setup!$C$16,AND(MONTH(WORKDAY(K376,-(Setup!$C$13+Setup!$G$29),Setup!$C$39:$C$50))&gt;=Setup!$C$15,MONTH(WORKDAY(K376,-(Setup!$C$13+Setup!$G$29),Setup!$C$39:$C$50))&lt;=Setup!$C$16),OR(MONTH(WORKDAY(K376,-(Setup!$C$13+Setup!$G$29),Setup!$C$39:$C$50))&gt;=Setup!$C$15,MONTH(WORKDAY(K376,-(Setup!$C$13+Setup!$G$29),Setup!$C$39:$C$50))&lt;=Setup!$C$16))),WORKDAY(K376,-(Setup!$C$13+Setup!$G$29+Setup!$C$14),Setup!$C$39:$C$50),WORKDAY(K376,-(Setup!$C$13+Setup!$G$29),Setup!$C$39:$C$50))+(371*100+10)/10000000)))</f>
        <v/>
      </c>
      <c r="AB376" t="str">
        <f>IF(L376="","",IF(L376&lt;Setup!$C$5-Setup!$C$6,"",IF(IF(ISNUMBER(Roster!$D376),Setup!$C$30&lt;=Roster!$D376,FALSE),"",IF(OR(IF(Setup!$C$15&lt;=Setup!$C$16,AND(MONTH(L376)&gt;=Setup!$C$15,MONTH(L376)&lt;=Setup!$C$16),OR(MONTH(L376)&gt;=Setup!$C$15,MONTH(L376)&lt;=Setup!$C$16)),IF(Setup!$C$15&lt;=Setup!$C$16,AND(MONTH(WORKDAY(L376,-(Setup!$C$13+Setup!$G$30),Setup!$C$39:$C$50))&gt;=Setup!$C$15,MONTH(WORKDAY(L376,-(Setup!$C$13+Setup!$G$30),Setup!$C$39:$C$50))&lt;=Setup!$C$16),OR(MONTH(WORKDAY(L376,-(Setup!$C$13+Setup!$G$30),Setup!$C$39:$C$50))&gt;=Setup!$C$15,MONTH(WORKDAY(L376,-(Setup!$C$13+Setup!$G$30),Setup!$C$39:$C$50))&lt;=Setup!$C$16))),WORKDAY(L376,-(Setup!$C$13+Setup!$G$30+Setup!$C$14),Setup!$C$39:$C$50),WORKDAY(L376,-(Setup!$C$13+Setup!$G$30),Setup!$C$39:$C$50))+(371*100+11)/10000000)))</f>
        <v/>
      </c>
      <c r="AC376" t="str">
        <f>IF(M376="","",IF(M376&lt;Setup!$C$5-Setup!$C$6,"",IF(IF(ISNUMBER(Roster!$D376),Setup!$C$31&lt;=Roster!$D376,FALSE),"",IF(OR(IF(Setup!$C$15&lt;=Setup!$C$16,AND(MONTH(M376)&gt;=Setup!$C$15,MONTH(M376)&lt;=Setup!$C$16),OR(MONTH(M376)&gt;=Setup!$C$15,MONTH(M376)&lt;=Setup!$C$16)),IF(Setup!$C$15&lt;=Setup!$C$16,AND(MONTH(WORKDAY(M376,-(Setup!$C$13+Setup!$G$31),Setup!$C$39:$C$50))&gt;=Setup!$C$15,MONTH(WORKDAY(M376,-(Setup!$C$13+Setup!$G$31),Setup!$C$39:$C$50))&lt;=Setup!$C$16),OR(MONTH(WORKDAY(M376,-(Setup!$C$13+Setup!$G$31),Setup!$C$39:$C$50))&gt;=Setup!$C$15,MONTH(WORKDAY(M376,-(Setup!$C$13+Setup!$G$31),Setup!$C$39:$C$50))&lt;=Setup!$C$16))),WORKDAY(M376,-(Setup!$C$13+Setup!$G$31+Setup!$C$14),Setup!$C$39:$C$50),WORKDAY(M376,-(Setup!$C$13+Setup!$G$31),Setup!$C$39:$C$50))+(371*100+12)/10000000)))</f>
        <v/>
      </c>
      <c r="AD376" t="str">
        <f>IF(N376="","",IF(N376&lt;Setup!$C$5-Setup!$C$6,"",IF(IF(ISNUMBER(Roster!$D376),Setup!$C$32&lt;=Roster!$D376,FALSE),"",IF(OR(IF(Setup!$C$15&lt;=Setup!$C$16,AND(MONTH(N376)&gt;=Setup!$C$15,MONTH(N376)&lt;=Setup!$C$16),OR(MONTH(N376)&gt;=Setup!$C$15,MONTH(N376)&lt;=Setup!$C$16)),IF(Setup!$C$15&lt;=Setup!$C$16,AND(MONTH(WORKDAY(N376,-(Setup!$C$13+Setup!$G$32),Setup!$C$39:$C$50))&gt;=Setup!$C$15,MONTH(WORKDAY(N376,-(Setup!$C$13+Setup!$G$32),Setup!$C$39:$C$50))&lt;=Setup!$C$16),OR(MONTH(WORKDAY(N376,-(Setup!$C$13+Setup!$G$32),Setup!$C$39:$C$50))&gt;=Setup!$C$15,MONTH(WORKDAY(N376,-(Setup!$C$13+Setup!$G$32),Setup!$C$39:$C$50))&lt;=Setup!$C$16))),WORKDAY(N376,-(Setup!$C$13+Setup!$G$32+Setup!$C$14),Setup!$C$39:$C$50),WORKDAY(N376,-(Setup!$C$13+Setup!$G$32),Setup!$C$39:$C$50))+(371*100+13)/10000000)))</f>
        <v/>
      </c>
      <c r="AE376" t="str">
        <f>IF(O376="","",IF(O376&lt;Setup!$C$5-Setup!$C$6,"",IF(IF(ISNUMBER(Roster!$D376),Setup!$C$33&lt;=Roster!$D376,FALSE),"",IF(OR(IF(Setup!$C$15&lt;=Setup!$C$16,AND(MONTH(O376)&gt;=Setup!$C$15,MONTH(O376)&lt;=Setup!$C$16),OR(MONTH(O376)&gt;=Setup!$C$15,MONTH(O376)&lt;=Setup!$C$16)),IF(Setup!$C$15&lt;=Setup!$C$16,AND(MONTH(WORKDAY(O376,-(Setup!$C$13+Setup!$G$33),Setup!$C$39:$C$50))&gt;=Setup!$C$15,MONTH(WORKDAY(O376,-(Setup!$C$13+Setup!$G$33),Setup!$C$39:$C$50))&lt;=Setup!$C$16),OR(MONTH(WORKDAY(O376,-(Setup!$C$13+Setup!$G$33),Setup!$C$39:$C$50))&gt;=Setup!$C$15,MONTH(WORKDAY(O376,-(Setup!$C$13+Setup!$G$33),Setup!$C$39:$C$50))&lt;=Setup!$C$16))),WORKDAY(O376,-(Setup!$C$13+Setup!$G$33+Setup!$C$14),Setup!$C$39:$C$50),WORKDAY(O376,-(Setup!$C$13+Setup!$G$33),Setup!$C$39:$C$50))+(371*100+14)/10000000)))</f>
        <v/>
      </c>
      <c r="AF376" t="str">
        <f>IF(P376="","",IF(P376&lt;Setup!$C$5-Setup!$C$6,"",IF(IF(ISNUMBER(Roster!$D376),Setup!$C$34&lt;=Roster!$D376,FALSE),"",IF(OR(IF(Setup!$C$15&lt;=Setup!$C$16,AND(MONTH(P376)&gt;=Setup!$C$15,MONTH(P376)&lt;=Setup!$C$16),OR(MONTH(P376)&gt;=Setup!$C$15,MONTH(P376)&lt;=Setup!$C$16)),IF(Setup!$C$15&lt;=Setup!$C$16,AND(MONTH(WORKDAY(P376,-(Setup!$C$13+Setup!$G$34),Setup!$C$39:$C$50))&gt;=Setup!$C$15,MONTH(WORKDAY(P376,-(Setup!$C$13+Setup!$G$34),Setup!$C$39:$C$50))&lt;=Setup!$C$16),OR(MONTH(WORKDAY(P376,-(Setup!$C$13+Setup!$G$34),Setup!$C$39:$C$50))&gt;=Setup!$C$15,MONTH(WORKDAY(P376,-(Setup!$C$13+Setup!$G$34),Setup!$C$39:$C$50))&lt;=Setup!$C$16))),WORKDAY(P376,-(Setup!$C$13+Setup!$G$34+Setup!$C$14),Setup!$C$39:$C$50),WORKDAY(P376,-(Setup!$C$13+Setup!$G$34),Setup!$C$39:$C$50))+(371*100+15)/10000000)))</f>
        <v/>
      </c>
      <c r="AH376" t="str">
        <f t="shared" si="41"/>
        <v/>
      </c>
      <c r="AI376" t="str">
        <f t="shared" si="42"/>
        <v/>
      </c>
      <c r="AP376" t="str">
        <f>IF(ISNUMBER(Roster!$B376),MAX(1,YEAR(Setup!$C$5)-YEAR(Roster!$B376)+IF(EDATE(Roster!$B376,12*(YEAR(Setup!$C$5)-YEAR(Roster!$B376)))&lt;Setup!$C$5,1,0)),"")</f>
        <v/>
      </c>
      <c r="AQ376" s="32" t="str">
        <f>IF(AP376="","",EDATE(Roster!$B376,12*AP376))</f>
        <v/>
      </c>
      <c r="AR376" t="str">
        <f>IF(AQ376="","",IF(AQ376&lt;DATE(YEAR(Setup!$C$5)+1,MONTH(Setup!$C$5),DAY(Setup!$C$5)),AQ376+371/1000,""))</f>
        <v/>
      </c>
      <c r="AS376" t="str">
        <f t="shared" si="43"/>
        <v/>
      </c>
      <c r="AT376" t="str">
        <f>IF(AS376="","",IF(ISNUMBER(Roster!$D376),Roster!$D376&gt;=AP376,FALSE))</f>
        <v/>
      </c>
      <c r="AU376" t="str">
        <f t="shared" si="44"/>
        <v/>
      </c>
      <c r="AV376" t="str">
        <f ca="1">IF(371&gt;$AV$2,"",SMALL($AR$6:$AR$505,371))</f>
        <v/>
      </c>
      <c r="AW376" t="str">
        <f t="shared" ca="1" si="45"/>
        <v/>
      </c>
    </row>
    <row r="377" spans="2:49" x14ac:dyDescent="0.2">
      <c r="B377" s="32" t="str">
        <f>IF(AND(ISNUMBER(Roster!$B377),Setup!$B$20="Yes",ISNUMBER(Setup!$C$20)),EDATE(Roster!$B377,12*Setup!$C$20),"")</f>
        <v/>
      </c>
      <c r="C377" s="32" t="str">
        <f>IF(AND(ISNUMBER(Roster!$B377),Setup!$B$21="Yes",ISNUMBER(Setup!$C$21)),EDATE(Roster!$B377,12*Setup!$C$21),"")</f>
        <v/>
      </c>
      <c r="D377" s="32" t="str">
        <f>IF(AND(ISNUMBER(Roster!$B377),Setup!$B$22="Yes",ISNUMBER(Setup!$C$22)),EDATE(Roster!$B377,12*Setup!$C$22),"")</f>
        <v/>
      </c>
      <c r="E377" s="32" t="str">
        <f>IF(AND(ISNUMBER(Roster!$B377),Setup!$B$23="Yes",ISNUMBER(Setup!$C$23)),EDATE(Roster!$B377,12*Setup!$C$23),"")</f>
        <v/>
      </c>
      <c r="F377" s="32" t="str">
        <f>IF(AND(ISNUMBER(Roster!$B377),Setup!$B$24="Yes",ISNUMBER(Setup!$C$24)),EDATE(Roster!$B377,12*Setup!$C$24),"")</f>
        <v/>
      </c>
      <c r="G377" s="32" t="str">
        <f>IF(AND(ISNUMBER(Roster!$B377),Setup!$B$25="Yes",ISNUMBER(Setup!$C$25)),EDATE(Roster!$B377,12*Setup!$C$25),"")</f>
        <v/>
      </c>
      <c r="H377" s="32" t="str">
        <f>IF(AND(ISNUMBER(Roster!$B377),Setup!$B$26="Yes",ISNUMBER(Setup!$C$26)),EDATE(Roster!$B377,12*Setup!$C$26),"")</f>
        <v/>
      </c>
      <c r="I377" s="32" t="str">
        <f>IF(AND(ISNUMBER(Roster!$B377),Setup!$B$27="Yes",ISNUMBER(Setup!$C$27)),EDATE(Roster!$B377,12*Setup!$C$27),"")</f>
        <v/>
      </c>
      <c r="J377" s="32" t="str">
        <f>IF(AND(ISNUMBER(Roster!$B377),Setup!$B$28="Yes",ISNUMBER(Setup!$C$28)),EDATE(Roster!$B377,12*Setup!$C$28),"")</f>
        <v/>
      </c>
      <c r="K377" s="32" t="str">
        <f>IF(AND(ISNUMBER(Roster!$B377),Setup!$B$29="Yes",ISNUMBER(Setup!$C$29)),EDATE(Roster!$B377,12*Setup!$C$29),"")</f>
        <v/>
      </c>
      <c r="L377" s="32" t="str">
        <f>IF(AND(ISNUMBER(Roster!$B377),Setup!$B$30="Yes",ISNUMBER(Setup!$C$30)),EDATE(Roster!$B377,12*Setup!$C$30),"")</f>
        <v/>
      </c>
      <c r="M377" s="32" t="str">
        <f>IF(AND(ISNUMBER(Roster!$B377),Setup!$B$31="Yes",ISNUMBER(Setup!$C$31)),EDATE(Roster!$B377,12*Setup!$C$31),"")</f>
        <v/>
      </c>
      <c r="N377" s="32" t="str">
        <f>IF(AND(ISNUMBER(Roster!$B377),Setup!$B$32="Yes",ISNUMBER(Setup!$C$32)),EDATE(Roster!$B377,12*Setup!$C$32),"")</f>
        <v/>
      </c>
      <c r="O377" s="32" t="str">
        <f>IF(AND(ISNUMBER(Roster!$B377),Setup!$B$33="Yes",ISNUMBER(Setup!$C$33)),EDATE(Roster!$B377,12*Setup!$C$33),"")</f>
        <v/>
      </c>
      <c r="P377" s="32" t="str">
        <f>IF(AND(ISNUMBER(Roster!$B377),Setup!$B$34="Yes",ISNUMBER(Setup!$C$34)),EDATE(Roster!$B377,12*Setup!$C$34),"")</f>
        <v/>
      </c>
      <c r="R377" t="str">
        <f>IF(B377="","",IF(B377&lt;Setup!$C$5-Setup!$C$6,"",IF(IF(ISNUMBER(Roster!$D377),Setup!$C$20&lt;=Roster!$D377,FALSE),"",IF(OR(IF(Setup!$C$15&lt;=Setup!$C$16,AND(MONTH(B377)&gt;=Setup!$C$15,MONTH(B377)&lt;=Setup!$C$16),OR(MONTH(B377)&gt;=Setup!$C$15,MONTH(B377)&lt;=Setup!$C$16)),IF(Setup!$C$15&lt;=Setup!$C$16,AND(MONTH(WORKDAY(B377,-(Setup!$C$13+Setup!$G$20),Setup!$C$39:$C$50))&gt;=Setup!$C$15,MONTH(WORKDAY(B377,-(Setup!$C$13+Setup!$G$20),Setup!$C$39:$C$50))&lt;=Setup!$C$16),OR(MONTH(WORKDAY(B377,-(Setup!$C$13+Setup!$G$20),Setup!$C$39:$C$50))&gt;=Setup!$C$15,MONTH(WORKDAY(B377,-(Setup!$C$13+Setup!$G$20),Setup!$C$39:$C$50))&lt;=Setup!$C$16))),WORKDAY(B377,-(Setup!$C$13+Setup!$G$20+Setup!$C$14),Setup!$C$39:$C$50),WORKDAY(B377,-(Setup!$C$13+Setup!$G$20),Setup!$C$39:$C$50))+(372*100+1)/10000000)))</f>
        <v/>
      </c>
      <c r="S377" t="str">
        <f>IF(C377="","",IF(C377&lt;Setup!$C$5-Setup!$C$6,"",IF(IF(ISNUMBER(Roster!$D377),Setup!$C$21&lt;=Roster!$D377,FALSE),"",IF(OR(IF(Setup!$C$15&lt;=Setup!$C$16,AND(MONTH(C377)&gt;=Setup!$C$15,MONTH(C377)&lt;=Setup!$C$16),OR(MONTH(C377)&gt;=Setup!$C$15,MONTH(C377)&lt;=Setup!$C$16)),IF(Setup!$C$15&lt;=Setup!$C$16,AND(MONTH(WORKDAY(C377,-(Setup!$C$13+Setup!$G$21),Setup!$C$39:$C$50))&gt;=Setup!$C$15,MONTH(WORKDAY(C377,-(Setup!$C$13+Setup!$G$21),Setup!$C$39:$C$50))&lt;=Setup!$C$16),OR(MONTH(WORKDAY(C377,-(Setup!$C$13+Setup!$G$21),Setup!$C$39:$C$50))&gt;=Setup!$C$15,MONTH(WORKDAY(C377,-(Setup!$C$13+Setup!$G$21),Setup!$C$39:$C$50))&lt;=Setup!$C$16))),WORKDAY(C377,-(Setup!$C$13+Setup!$G$21+Setup!$C$14),Setup!$C$39:$C$50),WORKDAY(C377,-(Setup!$C$13+Setup!$G$21),Setup!$C$39:$C$50))+(372*100+2)/10000000)))</f>
        <v/>
      </c>
      <c r="T377" t="str">
        <f>IF(D377="","",IF(D377&lt;Setup!$C$5-Setup!$C$6,"",IF(IF(ISNUMBER(Roster!$D377),Setup!$C$22&lt;=Roster!$D377,FALSE),"",IF(OR(IF(Setup!$C$15&lt;=Setup!$C$16,AND(MONTH(D377)&gt;=Setup!$C$15,MONTH(D377)&lt;=Setup!$C$16),OR(MONTH(D377)&gt;=Setup!$C$15,MONTH(D377)&lt;=Setup!$C$16)),IF(Setup!$C$15&lt;=Setup!$C$16,AND(MONTH(WORKDAY(D377,-(Setup!$C$13+Setup!$G$22),Setup!$C$39:$C$50))&gt;=Setup!$C$15,MONTH(WORKDAY(D377,-(Setup!$C$13+Setup!$G$22),Setup!$C$39:$C$50))&lt;=Setup!$C$16),OR(MONTH(WORKDAY(D377,-(Setup!$C$13+Setup!$G$22),Setup!$C$39:$C$50))&gt;=Setup!$C$15,MONTH(WORKDAY(D377,-(Setup!$C$13+Setup!$G$22),Setup!$C$39:$C$50))&lt;=Setup!$C$16))),WORKDAY(D377,-(Setup!$C$13+Setup!$G$22+Setup!$C$14),Setup!$C$39:$C$50),WORKDAY(D377,-(Setup!$C$13+Setup!$G$22),Setup!$C$39:$C$50))+(372*100+3)/10000000)))</f>
        <v/>
      </c>
      <c r="U377" t="str">
        <f>IF(E377="","",IF(E377&lt;Setup!$C$5-Setup!$C$6,"",IF(IF(ISNUMBER(Roster!$D377),Setup!$C$23&lt;=Roster!$D377,FALSE),"",IF(OR(IF(Setup!$C$15&lt;=Setup!$C$16,AND(MONTH(E377)&gt;=Setup!$C$15,MONTH(E377)&lt;=Setup!$C$16),OR(MONTH(E377)&gt;=Setup!$C$15,MONTH(E377)&lt;=Setup!$C$16)),IF(Setup!$C$15&lt;=Setup!$C$16,AND(MONTH(WORKDAY(E377,-(Setup!$C$13+Setup!$G$23),Setup!$C$39:$C$50))&gt;=Setup!$C$15,MONTH(WORKDAY(E377,-(Setup!$C$13+Setup!$G$23),Setup!$C$39:$C$50))&lt;=Setup!$C$16),OR(MONTH(WORKDAY(E377,-(Setup!$C$13+Setup!$G$23),Setup!$C$39:$C$50))&gt;=Setup!$C$15,MONTH(WORKDAY(E377,-(Setup!$C$13+Setup!$G$23),Setup!$C$39:$C$50))&lt;=Setup!$C$16))),WORKDAY(E377,-(Setup!$C$13+Setup!$G$23+Setup!$C$14),Setup!$C$39:$C$50),WORKDAY(E377,-(Setup!$C$13+Setup!$G$23),Setup!$C$39:$C$50))+(372*100+4)/10000000)))</f>
        <v/>
      </c>
      <c r="V377" t="str">
        <f>IF(F377="","",IF(F377&lt;Setup!$C$5-Setup!$C$6,"",IF(IF(ISNUMBER(Roster!$D377),Setup!$C$24&lt;=Roster!$D377,FALSE),"",IF(OR(IF(Setup!$C$15&lt;=Setup!$C$16,AND(MONTH(F377)&gt;=Setup!$C$15,MONTH(F377)&lt;=Setup!$C$16),OR(MONTH(F377)&gt;=Setup!$C$15,MONTH(F377)&lt;=Setup!$C$16)),IF(Setup!$C$15&lt;=Setup!$C$16,AND(MONTH(WORKDAY(F377,-(Setup!$C$13+Setup!$G$24),Setup!$C$39:$C$50))&gt;=Setup!$C$15,MONTH(WORKDAY(F377,-(Setup!$C$13+Setup!$G$24),Setup!$C$39:$C$50))&lt;=Setup!$C$16),OR(MONTH(WORKDAY(F377,-(Setup!$C$13+Setup!$G$24),Setup!$C$39:$C$50))&gt;=Setup!$C$15,MONTH(WORKDAY(F377,-(Setup!$C$13+Setup!$G$24),Setup!$C$39:$C$50))&lt;=Setup!$C$16))),WORKDAY(F377,-(Setup!$C$13+Setup!$G$24+Setup!$C$14),Setup!$C$39:$C$50),WORKDAY(F377,-(Setup!$C$13+Setup!$G$24),Setup!$C$39:$C$50))+(372*100+5)/10000000)))</f>
        <v/>
      </c>
      <c r="W377" t="str">
        <f>IF(G377="","",IF(G377&lt;Setup!$C$5-Setup!$C$6,"",IF(IF(ISNUMBER(Roster!$D377),Setup!$C$25&lt;=Roster!$D377,FALSE),"",IF(OR(IF(Setup!$C$15&lt;=Setup!$C$16,AND(MONTH(G377)&gt;=Setup!$C$15,MONTH(G377)&lt;=Setup!$C$16),OR(MONTH(G377)&gt;=Setup!$C$15,MONTH(G377)&lt;=Setup!$C$16)),IF(Setup!$C$15&lt;=Setup!$C$16,AND(MONTH(WORKDAY(G377,-(Setup!$C$13+Setup!$G$25),Setup!$C$39:$C$50))&gt;=Setup!$C$15,MONTH(WORKDAY(G377,-(Setup!$C$13+Setup!$G$25),Setup!$C$39:$C$50))&lt;=Setup!$C$16),OR(MONTH(WORKDAY(G377,-(Setup!$C$13+Setup!$G$25),Setup!$C$39:$C$50))&gt;=Setup!$C$15,MONTH(WORKDAY(G377,-(Setup!$C$13+Setup!$G$25),Setup!$C$39:$C$50))&lt;=Setup!$C$16))),WORKDAY(G377,-(Setup!$C$13+Setup!$G$25+Setup!$C$14),Setup!$C$39:$C$50),WORKDAY(G377,-(Setup!$C$13+Setup!$G$25),Setup!$C$39:$C$50))+(372*100+6)/10000000)))</f>
        <v/>
      </c>
      <c r="X377" t="str">
        <f>IF(H377="","",IF(H377&lt;Setup!$C$5-Setup!$C$6,"",IF(IF(ISNUMBER(Roster!$D377),Setup!$C$26&lt;=Roster!$D377,FALSE),"",IF(OR(IF(Setup!$C$15&lt;=Setup!$C$16,AND(MONTH(H377)&gt;=Setup!$C$15,MONTH(H377)&lt;=Setup!$C$16),OR(MONTH(H377)&gt;=Setup!$C$15,MONTH(H377)&lt;=Setup!$C$16)),IF(Setup!$C$15&lt;=Setup!$C$16,AND(MONTH(WORKDAY(H377,-(Setup!$C$13+Setup!$G$26),Setup!$C$39:$C$50))&gt;=Setup!$C$15,MONTH(WORKDAY(H377,-(Setup!$C$13+Setup!$G$26),Setup!$C$39:$C$50))&lt;=Setup!$C$16),OR(MONTH(WORKDAY(H377,-(Setup!$C$13+Setup!$G$26),Setup!$C$39:$C$50))&gt;=Setup!$C$15,MONTH(WORKDAY(H377,-(Setup!$C$13+Setup!$G$26),Setup!$C$39:$C$50))&lt;=Setup!$C$16))),WORKDAY(H377,-(Setup!$C$13+Setup!$G$26+Setup!$C$14),Setup!$C$39:$C$50),WORKDAY(H377,-(Setup!$C$13+Setup!$G$26),Setup!$C$39:$C$50))+(372*100+7)/10000000)))</f>
        <v/>
      </c>
      <c r="Y377" t="str">
        <f>IF(I377="","",IF(I377&lt;Setup!$C$5-Setup!$C$6,"",IF(IF(ISNUMBER(Roster!$D377),Setup!$C$27&lt;=Roster!$D377,FALSE),"",IF(OR(IF(Setup!$C$15&lt;=Setup!$C$16,AND(MONTH(I377)&gt;=Setup!$C$15,MONTH(I377)&lt;=Setup!$C$16),OR(MONTH(I377)&gt;=Setup!$C$15,MONTH(I377)&lt;=Setup!$C$16)),IF(Setup!$C$15&lt;=Setup!$C$16,AND(MONTH(WORKDAY(I377,-(Setup!$C$13+Setup!$G$27),Setup!$C$39:$C$50))&gt;=Setup!$C$15,MONTH(WORKDAY(I377,-(Setup!$C$13+Setup!$G$27),Setup!$C$39:$C$50))&lt;=Setup!$C$16),OR(MONTH(WORKDAY(I377,-(Setup!$C$13+Setup!$G$27),Setup!$C$39:$C$50))&gt;=Setup!$C$15,MONTH(WORKDAY(I377,-(Setup!$C$13+Setup!$G$27),Setup!$C$39:$C$50))&lt;=Setup!$C$16))),WORKDAY(I377,-(Setup!$C$13+Setup!$G$27+Setup!$C$14),Setup!$C$39:$C$50),WORKDAY(I377,-(Setup!$C$13+Setup!$G$27),Setup!$C$39:$C$50))+(372*100+8)/10000000)))</f>
        <v/>
      </c>
      <c r="Z377" t="str">
        <f>IF(J377="","",IF(J377&lt;Setup!$C$5-Setup!$C$6,"",IF(IF(ISNUMBER(Roster!$D377),Setup!$C$28&lt;=Roster!$D377,FALSE),"",IF(OR(IF(Setup!$C$15&lt;=Setup!$C$16,AND(MONTH(J377)&gt;=Setup!$C$15,MONTH(J377)&lt;=Setup!$C$16),OR(MONTH(J377)&gt;=Setup!$C$15,MONTH(J377)&lt;=Setup!$C$16)),IF(Setup!$C$15&lt;=Setup!$C$16,AND(MONTH(WORKDAY(J377,-(Setup!$C$13+Setup!$G$28),Setup!$C$39:$C$50))&gt;=Setup!$C$15,MONTH(WORKDAY(J377,-(Setup!$C$13+Setup!$G$28),Setup!$C$39:$C$50))&lt;=Setup!$C$16),OR(MONTH(WORKDAY(J377,-(Setup!$C$13+Setup!$G$28),Setup!$C$39:$C$50))&gt;=Setup!$C$15,MONTH(WORKDAY(J377,-(Setup!$C$13+Setup!$G$28),Setup!$C$39:$C$50))&lt;=Setup!$C$16))),WORKDAY(J377,-(Setup!$C$13+Setup!$G$28+Setup!$C$14),Setup!$C$39:$C$50),WORKDAY(J377,-(Setup!$C$13+Setup!$G$28),Setup!$C$39:$C$50))+(372*100+9)/10000000)))</f>
        <v/>
      </c>
      <c r="AA377" t="str">
        <f>IF(K377="","",IF(K377&lt;Setup!$C$5-Setup!$C$6,"",IF(IF(ISNUMBER(Roster!$D377),Setup!$C$29&lt;=Roster!$D377,FALSE),"",IF(OR(IF(Setup!$C$15&lt;=Setup!$C$16,AND(MONTH(K377)&gt;=Setup!$C$15,MONTH(K377)&lt;=Setup!$C$16),OR(MONTH(K377)&gt;=Setup!$C$15,MONTH(K377)&lt;=Setup!$C$16)),IF(Setup!$C$15&lt;=Setup!$C$16,AND(MONTH(WORKDAY(K377,-(Setup!$C$13+Setup!$G$29),Setup!$C$39:$C$50))&gt;=Setup!$C$15,MONTH(WORKDAY(K377,-(Setup!$C$13+Setup!$G$29),Setup!$C$39:$C$50))&lt;=Setup!$C$16),OR(MONTH(WORKDAY(K377,-(Setup!$C$13+Setup!$G$29),Setup!$C$39:$C$50))&gt;=Setup!$C$15,MONTH(WORKDAY(K377,-(Setup!$C$13+Setup!$G$29),Setup!$C$39:$C$50))&lt;=Setup!$C$16))),WORKDAY(K377,-(Setup!$C$13+Setup!$G$29+Setup!$C$14),Setup!$C$39:$C$50),WORKDAY(K377,-(Setup!$C$13+Setup!$G$29),Setup!$C$39:$C$50))+(372*100+10)/10000000)))</f>
        <v/>
      </c>
      <c r="AB377" t="str">
        <f>IF(L377="","",IF(L377&lt;Setup!$C$5-Setup!$C$6,"",IF(IF(ISNUMBER(Roster!$D377),Setup!$C$30&lt;=Roster!$D377,FALSE),"",IF(OR(IF(Setup!$C$15&lt;=Setup!$C$16,AND(MONTH(L377)&gt;=Setup!$C$15,MONTH(L377)&lt;=Setup!$C$16),OR(MONTH(L377)&gt;=Setup!$C$15,MONTH(L377)&lt;=Setup!$C$16)),IF(Setup!$C$15&lt;=Setup!$C$16,AND(MONTH(WORKDAY(L377,-(Setup!$C$13+Setup!$G$30),Setup!$C$39:$C$50))&gt;=Setup!$C$15,MONTH(WORKDAY(L377,-(Setup!$C$13+Setup!$G$30),Setup!$C$39:$C$50))&lt;=Setup!$C$16),OR(MONTH(WORKDAY(L377,-(Setup!$C$13+Setup!$G$30),Setup!$C$39:$C$50))&gt;=Setup!$C$15,MONTH(WORKDAY(L377,-(Setup!$C$13+Setup!$G$30),Setup!$C$39:$C$50))&lt;=Setup!$C$16))),WORKDAY(L377,-(Setup!$C$13+Setup!$G$30+Setup!$C$14),Setup!$C$39:$C$50),WORKDAY(L377,-(Setup!$C$13+Setup!$G$30),Setup!$C$39:$C$50))+(372*100+11)/10000000)))</f>
        <v/>
      </c>
      <c r="AC377" t="str">
        <f>IF(M377="","",IF(M377&lt;Setup!$C$5-Setup!$C$6,"",IF(IF(ISNUMBER(Roster!$D377),Setup!$C$31&lt;=Roster!$D377,FALSE),"",IF(OR(IF(Setup!$C$15&lt;=Setup!$C$16,AND(MONTH(M377)&gt;=Setup!$C$15,MONTH(M377)&lt;=Setup!$C$16),OR(MONTH(M377)&gt;=Setup!$C$15,MONTH(M377)&lt;=Setup!$C$16)),IF(Setup!$C$15&lt;=Setup!$C$16,AND(MONTH(WORKDAY(M377,-(Setup!$C$13+Setup!$G$31),Setup!$C$39:$C$50))&gt;=Setup!$C$15,MONTH(WORKDAY(M377,-(Setup!$C$13+Setup!$G$31),Setup!$C$39:$C$50))&lt;=Setup!$C$16),OR(MONTH(WORKDAY(M377,-(Setup!$C$13+Setup!$G$31),Setup!$C$39:$C$50))&gt;=Setup!$C$15,MONTH(WORKDAY(M377,-(Setup!$C$13+Setup!$G$31),Setup!$C$39:$C$50))&lt;=Setup!$C$16))),WORKDAY(M377,-(Setup!$C$13+Setup!$G$31+Setup!$C$14),Setup!$C$39:$C$50),WORKDAY(M377,-(Setup!$C$13+Setup!$G$31),Setup!$C$39:$C$50))+(372*100+12)/10000000)))</f>
        <v/>
      </c>
      <c r="AD377" t="str">
        <f>IF(N377="","",IF(N377&lt;Setup!$C$5-Setup!$C$6,"",IF(IF(ISNUMBER(Roster!$D377),Setup!$C$32&lt;=Roster!$D377,FALSE),"",IF(OR(IF(Setup!$C$15&lt;=Setup!$C$16,AND(MONTH(N377)&gt;=Setup!$C$15,MONTH(N377)&lt;=Setup!$C$16),OR(MONTH(N377)&gt;=Setup!$C$15,MONTH(N377)&lt;=Setup!$C$16)),IF(Setup!$C$15&lt;=Setup!$C$16,AND(MONTH(WORKDAY(N377,-(Setup!$C$13+Setup!$G$32),Setup!$C$39:$C$50))&gt;=Setup!$C$15,MONTH(WORKDAY(N377,-(Setup!$C$13+Setup!$G$32),Setup!$C$39:$C$50))&lt;=Setup!$C$16),OR(MONTH(WORKDAY(N377,-(Setup!$C$13+Setup!$G$32),Setup!$C$39:$C$50))&gt;=Setup!$C$15,MONTH(WORKDAY(N377,-(Setup!$C$13+Setup!$G$32),Setup!$C$39:$C$50))&lt;=Setup!$C$16))),WORKDAY(N377,-(Setup!$C$13+Setup!$G$32+Setup!$C$14),Setup!$C$39:$C$50),WORKDAY(N377,-(Setup!$C$13+Setup!$G$32),Setup!$C$39:$C$50))+(372*100+13)/10000000)))</f>
        <v/>
      </c>
      <c r="AE377" t="str">
        <f>IF(O377="","",IF(O377&lt;Setup!$C$5-Setup!$C$6,"",IF(IF(ISNUMBER(Roster!$D377),Setup!$C$33&lt;=Roster!$D377,FALSE),"",IF(OR(IF(Setup!$C$15&lt;=Setup!$C$16,AND(MONTH(O377)&gt;=Setup!$C$15,MONTH(O377)&lt;=Setup!$C$16),OR(MONTH(O377)&gt;=Setup!$C$15,MONTH(O377)&lt;=Setup!$C$16)),IF(Setup!$C$15&lt;=Setup!$C$16,AND(MONTH(WORKDAY(O377,-(Setup!$C$13+Setup!$G$33),Setup!$C$39:$C$50))&gt;=Setup!$C$15,MONTH(WORKDAY(O377,-(Setup!$C$13+Setup!$G$33),Setup!$C$39:$C$50))&lt;=Setup!$C$16),OR(MONTH(WORKDAY(O377,-(Setup!$C$13+Setup!$G$33),Setup!$C$39:$C$50))&gt;=Setup!$C$15,MONTH(WORKDAY(O377,-(Setup!$C$13+Setup!$G$33),Setup!$C$39:$C$50))&lt;=Setup!$C$16))),WORKDAY(O377,-(Setup!$C$13+Setup!$G$33+Setup!$C$14),Setup!$C$39:$C$50),WORKDAY(O377,-(Setup!$C$13+Setup!$G$33),Setup!$C$39:$C$50))+(372*100+14)/10000000)))</f>
        <v/>
      </c>
      <c r="AF377" t="str">
        <f>IF(P377="","",IF(P377&lt;Setup!$C$5-Setup!$C$6,"",IF(IF(ISNUMBER(Roster!$D377),Setup!$C$34&lt;=Roster!$D377,FALSE),"",IF(OR(IF(Setup!$C$15&lt;=Setup!$C$16,AND(MONTH(P377)&gt;=Setup!$C$15,MONTH(P377)&lt;=Setup!$C$16),OR(MONTH(P377)&gt;=Setup!$C$15,MONTH(P377)&lt;=Setup!$C$16)),IF(Setup!$C$15&lt;=Setup!$C$16,AND(MONTH(WORKDAY(P377,-(Setup!$C$13+Setup!$G$34),Setup!$C$39:$C$50))&gt;=Setup!$C$15,MONTH(WORKDAY(P377,-(Setup!$C$13+Setup!$G$34),Setup!$C$39:$C$50))&lt;=Setup!$C$16),OR(MONTH(WORKDAY(P377,-(Setup!$C$13+Setup!$G$34),Setup!$C$39:$C$50))&gt;=Setup!$C$15,MONTH(WORKDAY(P377,-(Setup!$C$13+Setup!$G$34),Setup!$C$39:$C$50))&lt;=Setup!$C$16))),WORKDAY(P377,-(Setup!$C$13+Setup!$G$34+Setup!$C$14),Setup!$C$39:$C$50),WORKDAY(P377,-(Setup!$C$13+Setup!$G$34),Setup!$C$39:$C$50))+(372*100+15)/10000000)))</f>
        <v/>
      </c>
      <c r="AH377" t="str">
        <f t="shared" si="41"/>
        <v/>
      </c>
      <c r="AI377" t="str">
        <f t="shared" si="42"/>
        <v/>
      </c>
      <c r="AP377" t="str">
        <f>IF(ISNUMBER(Roster!$B377),MAX(1,YEAR(Setup!$C$5)-YEAR(Roster!$B377)+IF(EDATE(Roster!$B377,12*(YEAR(Setup!$C$5)-YEAR(Roster!$B377)))&lt;Setup!$C$5,1,0)),"")</f>
        <v/>
      </c>
      <c r="AQ377" s="32" t="str">
        <f>IF(AP377="","",EDATE(Roster!$B377,12*AP377))</f>
        <v/>
      </c>
      <c r="AR377" t="str">
        <f>IF(AQ377="","",IF(AQ377&lt;DATE(YEAR(Setup!$C$5)+1,MONTH(Setup!$C$5),DAY(Setup!$C$5)),AQ377+372/1000,""))</f>
        <v/>
      </c>
      <c r="AS377" t="str">
        <f t="shared" si="43"/>
        <v/>
      </c>
      <c r="AT377" t="str">
        <f>IF(AS377="","",IF(ISNUMBER(Roster!$D377),Roster!$D377&gt;=AP377,FALSE))</f>
        <v/>
      </c>
      <c r="AU377" t="str">
        <f t="shared" si="44"/>
        <v/>
      </c>
      <c r="AV377" t="str">
        <f ca="1">IF(372&gt;$AV$2,"",SMALL($AR$6:$AR$505,372))</f>
        <v/>
      </c>
      <c r="AW377" t="str">
        <f t="shared" ca="1" si="45"/>
        <v/>
      </c>
    </row>
    <row r="378" spans="2:49" x14ac:dyDescent="0.2">
      <c r="B378" s="32" t="str">
        <f>IF(AND(ISNUMBER(Roster!$B378),Setup!$B$20="Yes",ISNUMBER(Setup!$C$20)),EDATE(Roster!$B378,12*Setup!$C$20),"")</f>
        <v/>
      </c>
      <c r="C378" s="32" t="str">
        <f>IF(AND(ISNUMBER(Roster!$B378),Setup!$B$21="Yes",ISNUMBER(Setup!$C$21)),EDATE(Roster!$B378,12*Setup!$C$21),"")</f>
        <v/>
      </c>
      <c r="D378" s="32" t="str">
        <f>IF(AND(ISNUMBER(Roster!$B378),Setup!$B$22="Yes",ISNUMBER(Setup!$C$22)),EDATE(Roster!$B378,12*Setup!$C$22),"")</f>
        <v/>
      </c>
      <c r="E378" s="32" t="str">
        <f>IF(AND(ISNUMBER(Roster!$B378),Setup!$B$23="Yes",ISNUMBER(Setup!$C$23)),EDATE(Roster!$B378,12*Setup!$C$23),"")</f>
        <v/>
      </c>
      <c r="F378" s="32" t="str">
        <f>IF(AND(ISNUMBER(Roster!$B378),Setup!$B$24="Yes",ISNUMBER(Setup!$C$24)),EDATE(Roster!$B378,12*Setup!$C$24),"")</f>
        <v/>
      </c>
      <c r="G378" s="32" t="str">
        <f>IF(AND(ISNUMBER(Roster!$B378),Setup!$B$25="Yes",ISNUMBER(Setup!$C$25)),EDATE(Roster!$B378,12*Setup!$C$25),"")</f>
        <v/>
      </c>
      <c r="H378" s="32" t="str">
        <f>IF(AND(ISNUMBER(Roster!$B378),Setup!$B$26="Yes",ISNUMBER(Setup!$C$26)),EDATE(Roster!$B378,12*Setup!$C$26),"")</f>
        <v/>
      </c>
      <c r="I378" s="32" t="str">
        <f>IF(AND(ISNUMBER(Roster!$B378),Setup!$B$27="Yes",ISNUMBER(Setup!$C$27)),EDATE(Roster!$B378,12*Setup!$C$27),"")</f>
        <v/>
      </c>
      <c r="J378" s="32" t="str">
        <f>IF(AND(ISNUMBER(Roster!$B378),Setup!$B$28="Yes",ISNUMBER(Setup!$C$28)),EDATE(Roster!$B378,12*Setup!$C$28),"")</f>
        <v/>
      </c>
      <c r="K378" s="32" t="str">
        <f>IF(AND(ISNUMBER(Roster!$B378),Setup!$B$29="Yes",ISNUMBER(Setup!$C$29)),EDATE(Roster!$B378,12*Setup!$C$29),"")</f>
        <v/>
      </c>
      <c r="L378" s="32" t="str">
        <f>IF(AND(ISNUMBER(Roster!$B378),Setup!$B$30="Yes",ISNUMBER(Setup!$C$30)),EDATE(Roster!$B378,12*Setup!$C$30),"")</f>
        <v/>
      </c>
      <c r="M378" s="32" t="str">
        <f>IF(AND(ISNUMBER(Roster!$B378),Setup!$B$31="Yes",ISNUMBER(Setup!$C$31)),EDATE(Roster!$B378,12*Setup!$C$31),"")</f>
        <v/>
      </c>
      <c r="N378" s="32" t="str">
        <f>IF(AND(ISNUMBER(Roster!$B378),Setup!$B$32="Yes",ISNUMBER(Setup!$C$32)),EDATE(Roster!$B378,12*Setup!$C$32),"")</f>
        <v/>
      </c>
      <c r="O378" s="32" t="str">
        <f>IF(AND(ISNUMBER(Roster!$B378),Setup!$B$33="Yes",ISNUMBER(Setup!$C$33)),EDATE(Roster!$B378,12*Setup!$C$33),"")</f>
        <v/>
      </c>
      <c r="P378" s="32" t="str">
        <f>IF(AND(ISNUMBER(Roster!$B378),Setup!$B$34="Yes",ISNUMBER(Setup!$C$34)),EDATE(Roster!$B378,12*Setup!$C$34),"")</f>
        <v/>
      </c>
      <c r="R378" t="str">
        <f>IF(B378="","",IF(B378&lt;Setup!$C$5-Setup!$C$6,"",IF(IF(ISNUMBER(Roster!$D378),Setup!$C$20&lt;=Roster!$D378,FALSE),"",IF(OR(IF(Setup!$C$15&lt;=Setup!$C$16,AND(MONTH(B378)&gt;=Setup!$C$15,MONTH(B378)&lt;=Setup!$C$16),OR(MONTH(B378)&gt;=Setup!$C$15,MONTH(B378)&lt;=Setup!$C$16)),IF(Setup!$C$15&lt;=Setup!$C$16,AND(MONTH(WORKDAY(B378,-(Setup!$C$13+Setup!$G$20),Setup!$C$39:$C$50))&gt;=Setup!$C$15,MONTH(WORKDAY(B378,-(Setup!$C$13+Setup!$G$20),Setup!$C$39:$C$50))&lt;=Setup!$C$16),OR(MONTH(WORKDAY(B378,-(Setup!$C$13+Setup!$G$20),Setup!$C$39:$C$50))&gt;=Setup!$C$15,MONTH(WORKDAY(B378,-(Setup!$C$13+Setup!$G$20),Setup!$C$39:$C$50))&lt;=Setup!$C$16))),WORKDAY(B378,-(Setup!$C$13+Setup!$G$20+Setup!$C$14),Setup!$C$39:$C$50),WORKDAY(B378,-(Setup!$C$13+Setup!$G$20),Setup!$C$39:$C$50))+(373*100+1)/10000000)))</f>
        <v/>
      </c>
      <c r="S378" t="str">
        <f>IF(C378="","",IF(C378&lt;Setup!$C$5-Setup!$C$6,"",IF(IF(ISNUMBER(Roster!$D378),Setup!$C$21&lt;=Roster!$D378,FALSE),"",IF(OR(IF(Setup!$C$15&lt;=Setup!$C$16,AND(MONTH(C378)&gt;=Setup!$C$15,MONTH(C378)&lt;=Setup!$C$16),OR(MONTH(C378)&gt;=Setup!$C$15,MONTH(C378)&lt;=Setup!$C$16)),IF(Setup!$C$15&lt;=Setup!$C$16,AND(MONTH(WORKDAY(C378,-(Setup!$C$13+Setup!$G$21),Setup!$C$39:$C$50))&gt;=Setup!$C$15,MONTH(WORKDAY(C378,-(Setup!$C$13+Setup!$G$21),Setup!$C$39:$C$50))&lt;=Setup!$C$16),OR(MONTH(WORKDAY(C378,-(Setup!$C$13+Setup!$G$21),Setup!$C$39:$C$50))&gt;=Setup!$C$15,MONTH(WORKDAY(C378,-(Setup!$C$13+Setup!$G$21),Setup!$C$39:$C$50))&lt;=Setup!$C$16))),WORKDAY(C378,-(Setup!$C$13+Setup!$G$21+Setup!$C$14),Setup!$C$39:$C$50),WORKDAY(C378,-(Setup!$C$13+Setup!$G$21),Setup!$C$39:$C$50))+(373*100+2)/10000000)))</f>
        <v/>
      </c>
      <c r="T378" t="str">
        <f>IF(D378="","",IF(D378&lt;Setup!$C$5-Setup!$C$6,"",IF(IF(ISNUMBER(Roster!$D378),Setup!$C$22&lt;=Roster!$D378,FALSE),"",IF(OR(IF(Setup!$C$15&lt;=Setup!$C$16,AND(MONTH(D378)&gt;=Setup!$C$15,MONTH(D378)&lt;=Setup!$C$16),OR(MONTH(D378)&gt;=Setup!$C$15,MONTH(D378)&lt;=Setup!$C$16)),IF(Setup!$C$15&lt;=Setup!$C$16,AND(MONTH(WORKDAY(D378,-(Setup!$C$13+Setup!$G$22),Setup!$C$39:$C$50))&gt;=Setup!$C$15,MONTH(WORKDAY(D378,-(Setup!$C$13+Setup!$G$22),Setup!$C$39:$C$50))&lt;=Setup!$C$16),OR(MONTH(WORKDAY(D378,-(Setup!$C$13+Setup!$G$22),Setup!$C$39:$C$50))&gt;=Setup!$C$15,MONTH(WORKDAY(D378,-(Setup!$C$13+Setup!$G$22),Setup!$C$39:$C$50))&lt;=Setup!$C$16))),WORKDAY(D378,-(Setup!$C$13+Setup!$G$22+Setup!$C$14),Setup!$C$39:$C$50),WORKDAY(D378,-(Setup!$C$13+Setup!$G$22),Setup!$C$39:$C$50))+(373*100+3)/10000000)))</f>
        <v/>
      </c>
      <c r="U378" t="str">
        <f>IF(E378="","",IF(E378&lt;Setup!$C$5-Setup!$C$6,"",IF(IF(ISNUMBER(Roster!$D378),Setup!$C$23&lt;=Roster!$D378,FALSE),"",IF(OR(IF(Setup!$C$15&lt;=Setup!$C$16,AND(MONTH(E378)&gt;=Setup!$C$15,MONTH(E378)&lt;=Setup!$C$16),OR(MONTH(E378)&gt;=Setup!$C$15,MONTH(E378)&lt;=Setup!$C$16)),IF(Setup!$C$15&lt;=Setup!$C$16,AND(MONTH(WORKDAY(E378,-(Setup!$C$13+Setup!$G$23),Setup!$C$39:$C$50))&gt;=Setup!$C$15,MONTH(WORKDAY(E378,-(Setup!$C$13+Setup!$G$23),Setup!$C$39:$C$50))&lt;=Setup!$C$16),OR(MONTH(WORKDAY(E378,-(Setup!$C$13+Setup!$G$23),Setup!$C$39:$C$50))&gt;=Setup!$C$15,MONTH(WORKDAY(E378,-(Setup!$C$13+Setup!$G$23),Setup!$C$39:$C$50))&lt;=Setup!$C$16))),WORKDAY(E378,-(Setup!$C$13+Setup!$G$23+Setup!$C$14),Setup!$C$39:$C$50),WORKDAY(E378,-(Setup!$C$13+Setup!$G$23),Setup!$C$39:$C$50))+(373*100+4)/10000000)))</f>
        <v/>
      </c>
      <c r="V378" t="str">
        <f>IF(F378="","",IF(F378&lt;Setup!$C$5-Setup!$C$6,"",IF(IF(ISNUMBER(Roster!$D378),Setup!$C$24&lt;=Roster!$D378,FALSE),"",IF(OR(IF(Setup!$C$15&lt;=Setup!$C$16,AND(MONTH(F378)&gt;=Setup!$C$15,MONTH(F378)&lt;=Setup!$C$16),OR(MONTH(F378)&gt;=Setup!$C$15,MONTH(F378)&lt;=Setup!$C$16)),IF(Setup!$C$15&lt;=Setup!$C$16,AND(MONTH(WORKDAY(F378,-(Setup!$C$13+Setup!$G$24),Setup!$C$39:$C$50))&gt;=Setup!$C$15,MONTH(WORKDAY(F378,-(Setup!$C$13+Setup!$G$24),Setup!$C$39:$C$50))&lt;=Setup!$C$16),OR(MONTH(WORKDAY(F378,-(Setup!$C$13+Setup!$G$24),Setup!$C$39:$C$50))&gt;=Setup!$C$15,MONTH(WORKDAY(F378,-(Setup!$C$13+Setup!$G$24),Setup!$C$39:$C$50))&lt;=Setup!$C$16))),WORKDAY(F378,-(Setup!$C$13+Setup!$G$24+Setup!$C$14),Setup!$C$39:$C$50),WORKDAY(F378,-(Setup!$C$13+Setup!$G$24),Setup!$C$39:$C$50))+(373*100+5)/10000000)))</f>
        <v/>
      </c>
      <c r="W378" t="str">
        <f>IF(G378="","",IF(G378&lt;Setup!$C$5-Setup!$C$6,"",IF(IF(ISNUMBER(Roster!$D378),Setup!$C$25&lt;=Roster!$D378,FALSE),"",IF(OR(IF(Setup!$C$15&lt;=Setup!$C$16,AND(MONTH(G378)&gt;=Setup!$C$15,MONTH(G378)&lt;=Setup!$C$16),OR(MONTH(G378)&gt;=Setup!$C$15,MONTH(G378)&lt;=Setup!$C$16)),IF(Setup!$C$15&lt;=Setup!$C$16,AND(MONTH(WORKDAY(G378,-(Setup!$C$13+Setup!$G$25),Setup!$C$39:$C$50))&gt;=Setup!$C$15,MONTH(WORKDAY(G378,-(Setup!$C$13+Setup!$G$25),Setup!$C$39:$C$50))&lt;=Setup!$C$16),OR(MONTH(WORKDAY(G378,-(Setup!$C$13+Setup!$G$25),Setup!$C$39:$C$50))&gt;=Setup!$C$15,MONTH(WORKDAY(G378,-(Setup!$C$13+Setup!$G$25),Setup!$C$39:$C$50))&lt;=Setup!$C$16))),WORKDAY(G378,-(Setup!$C$13+Setup!$G$25+Setup!$C$14),Setup!$C$39:$C$50),WORKDAY(G378,-(Setup!$C$13+Setup!$G$25),Setup!$C$39:$C$50))+(373*100+6)/10000000)))</f>
        <v/>
      </c>
      <c r="X378" t="str">
        <f>IF(H378="","",IF(H378&lt;Setup!$C$5-Setup!$C$6,"",IF(IF(ISNUMBER(Roster!$D378),Setup!$C$26&lt;=Roster!$D378,FALSE),"",IF(OR(IF(Setup!$C$15&lt;=Setup!$C$16,AND(MONTH(H378)&gt;=Setup!$C$15,MONTH(H378)&lt;=Setup!$C$16),OR(MONTH(H378)&gt;=Setup!$C$15,MONTH(H378)&lt;=Setup!$C$16)),IF(Setup!$C$15&lt;=Setup!$C$16,AND(MONTH(WORKDAY(H378,-(Setup!$C$13+Setup!$G$26),Setup!$C$39:$C$50))&gt;=Setup!$C$15,MONTH(WORKDAY(H378,-(Setup!$C$13+Setup!$G$26),Setup!$C$39:$C$50))&lt;=Setup!$C$16),OR(MONTH(WORKDAY(H378,-(Setup!$C$13+Setup!$G$26),Setup!$C$39:$C$50))&gt;=Setup!$C$15,MONTH(WORKDAY(H378,-(Setup!$C$13+Setup!$G$26),Setup!$C$39:$C$50))&lt;=Setup!$C$16))),WORKDAY(H378,-(Setup!$C$13+Setup!$G$26+Setup!$C$14),Setup!$C$39:$C$50),WORKDAY(H378,-(Setup!$C$13+Setup!$G$26),Setup!$C$39:$C$50))+(373*100+7)/10000000)))</f>
        <v/>
      </c>
      <c r="Y378" t="str">
        <f>IF(I378="","",IF(I378&lt;Setup!$C$5-Setup!$C$6,"",IF(IF(ISNUMBER(Roster!$D378),Setup!$C$27&lt;=Roster!$D378,FALSE),"",IF(OR(IF(Setup!$C$15&lt;=Setup!$C$16,AND(MONTH(I378)&gt;=Setup!$C$15,MONTH(I378)&lt;=Setup!$C$16),OR(MONTH(I378)&gt;=Setup!$C$15,MONTH(I378)&lt;=Setup!$C$16)),IF(Setup!$C$15&lt;=Setup!$C$16,AND(MONTH(WORKDAY(I378,-(Setup!$C$13+Setup!$G$27),Setup!$C$39:$C$50))&gt;=Setup!$C$15,MONTH(WORKDAY(I378,-(Setup!$C$13+Setup!$G$27),Setup!$C$39:$C$50))&lt;=Setup!$C$16),OR(MONTH(WORKDAY(I378,-(Setup!$C$13+Setup!$G$27),Setup!$C$39:$C$50))&gt;=Setup!$C$15,MONTH(WORKDAY(I378,-(Setup!$C$13+Setup!$G$27),Setup!$C$39:$C$50))&lt;=Setup!$C$16))),WORKDAY(I378,-(Setup!$C$13+Setup!$G$27+Setup!$C$14),Setup!$C$39:$C$50),WORKDAY(I378,-(Setup!$C$13+Setup!$G$27),Setup!$C$39:$C$50))+(373*100+8)/10000000)))</f>
        <v/>
      </c>
      <c r="Z378" t="str">
        <f>IF(J378="","",IF(J378&lt;Setup!$C$5-Setup!$C$6,"",IF(IF(ISNUMBER(Roster!$D378),Setup!$C$28&lt;=Roster!$D378,FALSE),"",IF(OR(IF(Setup!$C$15&lt;=Setup!$C$16,AND(MONTH(J378)&gt;=Setup!$C$15,MONTH(J378)&lt;=Setup!$C$16),OR(MONTH(J378)&gt;=Setup!$C$15,MONTH(J378)&lt;=Setup!$C$16)),IF(Setup!$C$15&lt;=Setup!$C$16,AND(MONTH(WORKDAY(J378,-(Setup!$C$13+Setup!$G$28),Setup!$C$39:$C$50))&gt;=Setup!$C$15,MONTH(WORKDAY(J378,-(Setup!$C$13+Setup!$G$28),Setup!$C$39:$C$50))&lt;=Setup!$C$16),OR(MONTH(WORKDAY(J378,-(Setup!$C$13+Setup!$G$28),Setup!$C$39:$C$50))&gt;=Setup!$C$15,MONTH(WORKDAY(J378,-(Setup!$C$13+Setup!$G$28),Setup!$C$39:$C$50))&lt;=Setup!$C$16))),WORKDAY(J378,-(Setup!$C$13+Setup!$G$28+Setup!$C$14),Setup!$C$39:$C$50),WORKDAY(J378,-(Setup!$C$13+Setup!$G$28),Setup!$C$39:$C$50))+(373*100+9)/10000000)))</f>
        <v/>
      </c>
      <c r="AA378" t="str">
        <f>IF(K378="","",IF(K378&lt;Setup!$C$5-Setup!$C$6,"",IF(IF(ISNUMBER(Roster!$D378),Setup!$C$29&lt;=Roster!$D378,FALSE),"",IF(OR(IF(Setup!$C$15&lt;=Setup!$C$16,AND(MONTH(K378)&gt;=Setup!$C$15,MONTH(K378)&lt;=Setup!$C$16),OR(MONTH(K378)&gt;=Setup!$C$15,MONTH(K378)&lt;=Setup!$C$16)),IF(Setup!$C$15&lt;=Setup!$C$16,AND(MONTH(WORKDAY(K378,-(Setup!$C$13+Setup!$G$29),Setup!$C$39:$C$50))&gt;=Setup!$C$15,MONTH(WORKDAY(K378,-(Setup!$C$13+Setup!$G$29),Setup!$C$39:$C$50))&lt;=Setup!$C$16),OR(MONTH(WORKDAY(K378,-(Setup!$C$13+Setup!$G$29),Setup!$C$39:$C$50))&gt;=Setup!$C$15,MONTH(WORKDAY(K378,-(Setup!$C$13+Setup!$G$29),Setup!$C$39:$C$50))&lt;=Setup!$C$16))),WORKDAY(K378,-(Setup!$C$13+Setup!$G$29+Setup!$C$14),Setup!$C$39:$C$50),WORKDAY(K378,-(Setup!$C$13+Setup!$G$29),Setup!$C$39:$C$50))+(373*100+10)/10000000)))</f>
        <v/>
      </c>
      <c r="AB378" t="str">
        <f>IF(L378="","",IF(L378&lt;Setup!$C$5-Setup!$C$6,"",IF(IF(ISNUMBER(Roster!$D378),Setup!$C$30&lt;=Roster!$D378,FALSE),"",IF(OR(IF(Setup!$C$15&lt;=Setup!$C$16,AND(MONTH(L378)&gt;=Setup!$C$15,MONTH(L378)&lt;=Setup!$C$16),OR(MONTH(L378)&gt;=Setup!$C$15,MONTH(L378)&lt;=Setup!$C$16)),IF(Setup!$C$15&lt;=Setup!$C$16,AND(MONTH(WORKDAY(L378,-(Setup!$C$13+Setup!$G$30),Setup!$C$39:$C$50))&gt;=Setup!$C$15,MONTH(WORKDAY(L378,-(Setup!$C$13+Setup!$G$30),Setup!$C$39:$C$50))&lt;=Setup!$C$16),OR(MONTH(WORKDAY(L378,-(Setup!$C$13+Setup!$G$30),Setup!$C$39:$C$50))&gt;=Setup!$C$15,MONTH(WORKDAY(L378,-(Setup!$C$13+Setup!$G$30),Setup!$C$39:$C$50))&lt;=Setup!$C$16))),WORKDAY(L378,-(Setup!$C$13+Setup!$G$30+Setup!$C$14),Setup!$C$39:$C$50),WORKDAY(L378,-(Setup!$C$13+Setup!$G$30),Setup!$C$39:$C$50))+(373*100+11)/10000000)))</f>
        <v/>
      </c>
      <c r="AC378" t="str">
        <f>IF(M378="","",IF(M378&lt;Setup!$C$5-Setup!$C$6,"",IF(IF(ISNUMBER(Roster!$D378),Setup!$C$31&lt;=Roster!$D378,FALSE),"",IF(OR(IF(Setup!$C$15&lt;=Setup!$C$16,AND(MONTH(M378)&gt;=Setup!$C$15,MONTH(M378)&lt;=Setup!$C$16),OR(MONTH(M378)&gt;=Setup!$C$15,MONTH(M378)&lt;=Setup!$C$16)),IF(Setup!$C$15&lt;=Setup!$C$16,AND(MONTH(WORKDAY(M378,-(Setup!$C$13+Setup!$G$31),Setup!$C$39:$C$50))&gt;=Setup!$C$15,MONTH(WORKDAY(M378,-(Setup!$C$13+Setup!$G$31),Setup!$C$39:$C$50))&lt;=Setup!$C$16),OR(MONTH(WORKDAY(M378,-(Setup!$C$13+Setup!$G$31),Setup!$C$39:$C$50))&gt;=Setup!$C$15,MONTH(WORKDAY(M378,-(Setup!$C$13+Setup!$G$31),Setup!$C$39:$C$50))&lt;=Setup!$C$16))),WORKDAY(M378,-(Setup!$C$13+Setup!$G$31+Setup!$C$14),Setup!$C$39:$C$50),WORKDAY(M378,-(Setup!$C$13+Setup!$G$31),Setup!$C$39:$C$50))+(373*100+12)/10000000)))</f>
        <v/>
      </c>
      <c r="AD378" t="str">
        <f>IF(N378="","",IF(N378&lt;Setup!$C$5-Setup!$C$6,"",IF(IF(ISNUMBER(Roster!$D378),Setup!$C$32&lt;=Roster!$D378,FALSE),"",IF(OR(IF(Setup!$C$15&lt;=Setup!$C$16,AND(MONTH(N378)&gt;=Setup!$C$15,MONTH(N378)&lt;=Setup!$C$16),OR(MONTH(N378)&gt;=Setup!$C$15,MONTH(N378)&lt;=Setup!$C$16)),IF(Setup!$C$15&lt;=Setup!$C$16,AND(MONTH(WORKDAY(N378,-(Setup!$C$13+Setup!$G$32),Setup!$C$39:$C$50))&gt;=Setup!$C$15,MONTH(WORKDAY(N378,-(Setup!$C$13+Setup!$G$32),Setup!$C$39:$C$50))&lt;=Setup!$C$16),OR(MONTH(WORKDAY(N378,-(Setup!$C$13+Setup!$G$32),Setup!$C$39:$C$50))&gt;=Setup!$C$15,MONTH(WORKDAY(N378,-(Setup!$C$13+Setup!$G$32),Setup!$C$39:$C$50))&lt;=Setup!$C$16))),WORKDAY(N378,-(Setup!$C$13+Setup!$G$32+Setup!$C$14),Setup!$C$39:$C$50),WORKDAY(N378,-(Setup!$C$13+Setup!$G$32),Setup!$C$39:$C$50))+(373*100+13)/10000000)))</f>
        <v/>
      </c>
      <c r="AE378" t="str">
        <f>IF(O378="","",IF(O378&lt;Setup!$C$5-Setup!$C$6,"",IF(IF(ISNUMBER(Roster!$D378),Setup!$C$33&lt;=Roster!$D378,FALSE),"",IF(OR(IF(Setup!$C$15&lt;=Setup!$C$16,AND(MONTH(O378)&gt;=Setup!$C$15,MONTH(O378)&lt;=Setup!$C$16),OR(MONTH(O378)&gt;=Setup!$C$15,MONTH(O378)&lt;=Setup!$C$16)),IF(Setup!$C$15&lt;=Setup!$C$16,AND(MONTH(WORKDAY(O378,-(Setup!$C$13+Setup!$G$33),Setup!$C$39:$C$50))&gt;=Setup!$C$15,MONTH(WORKDAY(O378,-(Setup!$C$13+Setup!$G$33),Setup!$C$39:$C$50))&lt;=Setup!$C$16),OR(MONTH(WORKDAY(O378,-(Setup!$C$13+Setup!$G$33),Setup!$C$39:$C$50))&gt;=Setup!$C$15,MONTH(WORKDAY(O378,-(Setup!$C$13+Setup!$G$33),Setup!$C$39:$C$50))&lt;=Setup!$C$16))),WORKDAY(O378,-(Setup!$C$13+Setup!$G$33+Setup!$C$14),Setup!$C$39:$C$50),WORKDAY(O378,-(Setup!$C$13+Setup!$G$33),Setup!$C$39:$C$50))+(373*100+14)/10000000)))</f>
        <v/>
      </c>
      <c r="AF378" t="str">
        <f>IF(P378="","",IF(P378&lt;Setup!$C$5-Setup!$C$6,"",IF(IF(ISNUMBER(Roster!$D378),Setup!$C$34&lt;=Roster!$D378,FALSE),"",IF(OR(IF(Setup!$C$15&lt;=Setup!$C$16,AND(MONTH(P378)&gt;=Setup!$C$15,MONTH(P378)&lt;=Setup!$C$16),OR(MONTH(P378)&gt;=Setup!$C$15,MONTH(P378)&lt;=Setup!$C$16)),IF(Setup!$C$15&lt;=Setup!$C$16,AND(MONTH(WORKDAY(P378,-(Setup!$C$13+Setup!$G$34),Setup!$C$39:$C$50))&gt;=Setup!$C$15,MONTH(WORKDAY(P378,-(Setup!$C$13+Setup!$G$34),Setup!$C$39:$C$50))&lt;=Setup!$C$16),OR(MONTH(WORKDAY(P378,-(Setup!$C$13+Setup!$G$34),Setup!$C$39:$C$50))&gt;=Setup!$C$15,MONTH(WORKDAY(P378,-(Setup!$C$13+Setup!$G$34),Setup!$C$39:$C$50))&lt;=Setup!$C$16))),WORKDAY(P378,-(Setup!$C$13+Setup!$G$34+Setup!$C$14),Setup!$C$39:$C$50),WORKDAY(P378,-(Setup!$C$13+Setup!$G$34),Setup!$C$39:$C$50))+(373*100+15)/10000000)))</f>
        <v/>
      </c>
      <c r="AH378" t="str">
        <f t="shared" si="41"/>
        <v/>
      </c>
      <c r="AI378" t="str">
        <f t="shared" si="42"/>
        <v/>
      </c>
      <c r="AP378" t="str">
        <f>IF(ISNUMBER(Roster!$B378),MAX(1,YEAR(Setup!$C$5)-YEAR(Roster!$B378)+IF(EDATE(Roster!$B378,12*(YEAR(Setup!$C$5)-YEAR(Roster!$B378)))&lt;Setup!$C$5,1,0)),"")</f>
        <v/>
      </c>
      <c r="AQ378" s="32" t="str">
        <f>IF(AP378="","",EDATE(Roster!$B378,12*AP378))</f>
        <v/>
      </c>
      <c r="AR378" t="str">
        <f>IF(AQ378="","",IF(AQ378&lt;DATE(YEAR(Setup!$C$5)+1,MONTH(Setup!$C$5),DAY(Setup!$C$5)),AQ378+373/1000,""))</f>
        <v/>
      </c>
      <c r="AS378" t="str">
        <f t="shared" si="43"/>
        <v/>
      </c>
      <c r="AT378" t="str">
        <f>IF(AS378="","",IF(ISNUMBER(Roster!$D378),Roster!$D378&gt;=AP378,FALSE))</f>
        <v/>
      </c>
      <c r="AU378" t="str">
        <f t="shared" si="44"/>
        <v/>
      </c>
      <c r="AV378" t="str">
        <f ca="1">IF(373&gt;$AV$2,"",SMALL($AR$6:$AR$505,373))</f>
        <v/>
      </c>
      <c r="AW378" t="str">
        <f t="shared" ca="1" si="45"/>
        <v/>
      </c>
    </row>
    <row r="379" spans="2:49" x14ac:dyDescent="0.2">
      <c r="B379" s="32" t="str">
        <f>IF(AND(ISNUMBER(Roster!$B379),Setup!$B$20="Yes",ISNUMBER(Setup!$C$20)),EDATE(Roster!$B379,12*Setup!$C$20),"")</f>
        <v/>
      </c>
      <c r="C379" s="32" t="str">
        <f>IF(AND(ISNUMBER(Roster!$B379),Setup!$B$21="Yes",ISNUMBER(Setup!$C$21)),EDATE(Roster!$B379,12*Setup!$C$21),"")</f>
        <v/>
      </c>
      <c r="D379" s="32" t="str">
        <f>IF(AND(ISNUMBER(Roster!$B379),Setup!$B$22="Yes",ISNUMBER(Setup!$C$22)),EDATE(Roster!$B379,12*Setup!$C$22),"")</f>
        <v/>
      </c>
      <c r="E379" s="32" t="str">
        <f>IF(AND(ISNUMBER(Roster!$B379),Setup!$B$23="Yes",ISNUMBER(Setup!$C$23)),EDATE(Roster!$B379,12*Setup!$C$23),"")</f>
        <v/>
      </c>
      <c r="F379" s="32" t="str">
        <f>IF(AND(ISNUMBER(Roster!$B379),Setup!$B$24="Yes",ISNUMBER(Setup!$C$24)),EDATE(Roster!$B379,12*Setup!$C$24),"")</f>
        <v/>
      </c>
      <c r="G379" s="32" t="str">
        <f>IF(AND(ISNUMBER(Roster!$B379),Setup!$B$25="Yes",ISNUMBER(Setup!$C$25)),EDATE(Roster!$B379,12*Setup!$C$25),"")</f>
        <v/>
      </c>
      <c r="H379" s="32" t="str">
        <f>IF(AND(ISNUMBER(Roster!$B379),Setup!$B$26="Yes",ISNUMBER(Setup!$C$26)),EDATE(Roster!$B379,12*Setup!$C$26),"")</f>
        <v/>
      </c>
      <c r="I379" s="32" t="str">
        <f>IF(AND(ISNUMBER(Roster!$B379),Setup!$B$27="Yes",ISNUMBER(Setup!$C$27)),EDATE(Roster!$B379,12*Setup!$C$27),"")</f>
        <v/>
      </c>
      <c r="J379" s="32" t="str">
        <f>IF(AND(ISNUMBER(Roster!$B379),Setup!$B$28="Yes",ISNUMBER(Setup!$C$28)),EDATE(Roster!$B379,12*Setup!$C$28),"")</f>
        <v/>
      </c>
      <c r="K379" s="32" t="str">
        <f>IF(AND(ISNUMBER(Roster!$B379),Setup!$B$29="Yes",ISNUMBER(Setup!$C$29)),EDATE(Roster!$B379,12*Setup!$C$29),"")</f>
        <v/>
      </c>
      <c r="L379" s="32" t="str">
        <f>IF(AND(ISNUMBER(Roster!$B379),Setup!$B$30="Yes",ISNUMBER(Setup!$C$30)),EDATE(Roster!$B379,12*Setup!$C$30),"")</f>
        <v/>
      </c>
      <c r="M379" s="32" t="str">
        <f>IF(AND(ISNUMBER(Roster!$B379),Setup!$B$31="Yes",ISNUMBER(Setup!$C$31)),EDATE(Roster!$B379,12*Setup!$C$31),"")</f>
        <v/>
      </c>
      <c r="N379" s="32" t="str">
        <f>IF(AND(ISNUMBER(Roster!$B379),Setup!$B$32="Yes",ISNUMBER(Setup!$C$32)),EDATE(Roster!$B379,12*Setup!$C$32),"")</f>
        <v/>
      </c>
      <c r="O379" s="32" t="str">
        <f>IF(AND(ISNUMBER(Roster!$B379),Setup!$B$33="Yes",ISNUMBER(Setup!$C$33)),EDATE(Roster!$B379,12*Setup!$C$33),"")</f>
        <v/>
      </c>
      <c r="P379" s="32" t="str">
        <f>IF(AND(ISNUMBER(Roster!$B379),Setup!$B$34="Yes",ISNUMBER(Setup!$C$34)),EDATE(Roster!$B379,12*Setup!$C$34),"")</f>
        <v/>
      </c>
      <c r="R379" t="str">
        <f>IF(B379="","",IF(B379&lt;Setup!$C$5-Setup!$C$6,"",IF(IF(ISNUMBER(Roster!$D379),Setup!$C$20&lt;=Roster!$D379,FALSE),"",IF(OR(IF(Setup!$C$15&lt;=Setup!$C$16,AND(MONTH(B379)&gt;=Setup!$C$15,MONTH(B379)&lt;=Setup!$C$16),OR(MONTH(B379)&gt;=Setup!$C$15,MONTH(B379)&lt;=Setup!$C$16)),IF(Setup!$C$15&lt;=Setup!$C$16,AND(MONTH(WORKDAY(B379,-(Setup!$C$13+Setup!$G$20),Setup!$C$39:$C$50))&gt;=Setup!$C$15,MONTH(WORKDAY(B379,-(Setup!$C$13+Setup!$G$20),Setup!$C$39:$C$50))&lt;=Setup!$C$16),OR(MONTH(WORKDAY(B379,-(Setup!$C$13+Setup!$G$20),Setup!$C$39:$C$50))&gt;=Setup!$C$15,MONTH(WORKDAY(B379,-(Setup!$C$13+Setup!$G$20),Setup!$C$39:$C$50))&lt;=Setup!$C$16))),WORKDAY(B379,-(Setup!$C$13+Setup!$G$20+Setup!$C$14),Setup!$C$39:$C$50),WORKDAY(B379,-(Setup!$C$13+Setup!$G$20),Setup!$C$39:$C$50))+(374*100+1)/10000000)))</f>
        <v/>
      </c>
      <c r="S379" t="str">
        <f>IF(C379="","",IF(C379&lt;Setup!$C$5-Setup!$C$6,"",IF(IF(ISNUMBER(Roster!$D379),Setup!$C$21&lt;=Roster!$D379,FALSE),"",IF(OR(IF(Setup!$C$15&lt;=Setup!$C$16,AND(MONTH(C379)&gt;=Setup!$C$15,MONTH(C379)&lt;=Setup!$C$16),OR(MONTH(C379)&gt;=Setup!$C$15,MONTH(C379)&lt;=Setup!$C$16)),IF(Setup!$C$15&lt;=Setup!$C$16,AND(MONTH(WORKDAY(C379,-(Setup!$C$13+Setup!$G$21),Setup!$C$39:$C$50))&gt;=Setup!$C$15,MONTH(WORKDAY(C379,-(Setup!$C$13+Setup!$G$21),Setup!$C$39:$C$50))&lt;=Setup!$C$16),OR(MONTH(WORKDAY(C379,-(Setup!$C$13+Setup!$G$21),Setup!$C$39:$C$50))&gt;=Setup!$C$15,MONTH(WORKDAY(C379,-(Setup!$C$13+Setup!$G$21),Setup!$C$39:$C$50))&lt;=Setup!$C$16))),WORKDAY(C379,-(Setup!$C$13+Setup!$G$21+Setup!$C$14),Setup!$C$39:$C$50),WORKDAY(C379,-(Setup!$C$13+Setup!$G$21),Setup!$C$39:$C$50))+(374*100+2)/10000000)))</f>
        <v/>
      </c>
      <c r="T379" t="str">
        <f>IF(D379="","",IF(D379&lt;Setup!$C$5-Setup!$C$6,"",IF(IF(ISNUMBER(Roster!$D379),Setup!$C$22&lt;=Roster!$D379,FALSE),"",IF(OR(IF(Setup!$C$15&lt;=Setup!$C$16,AND(MONTH(D379)&gt;=Setup!$C$15,MONTH(D379)&lt;=Setup!$C$16),OR(MONTH(D379)&gt;=Setup!$C$15,MONTH(D379)&lt;=Setup!$C$16)),IF(Setup!$C$15&lt;=Setup!$C$16,AND(MONTH(WORKDAY(D379,-(Setup!$C$13+Setup!$G$22),Setup!$C$39:$C$50))&gt;=Setup!$C$15,MONTH(WORKDAY(D379,-(Setup!$C$13+Setup!$G$22),Setup!$C$39:$C$50))&lt;=Setup!$C$16),OR(MONTH(WORKDAY(D379,-(Setup!$C$13+Setup!$G$22),Setup!$C$39:$C$50))&gt;=Setup!$C$15,MONTH(WORKDAY(D379,-(Setup!$C$13+Setup!$G$22),Setup!$C$39:$C$50))&lt;=Setup!$C$16))),WORKDAY(D379,-(Setup!$C$13+Setup!$G$22+Setup!$C$14),Setup!$C$39:$C$50),WORKDAY(D379,-(Setup!$C$13+Setup!$G$22),Setup!$C$39:$C$50))+(374*100+3)/10000000)))</f>
        <v/>
      </c>
      <c r="U379" t="str">
        <f>IF(E379="","",IF(E379&lt;Setup!$C$5-Setup!$C$6,"",IF(IF(ISNUMBER(Roster!$D379),Setup!$C$23&lt;=Roster!$D379,FALSE),"",IF(OR(IF(Setup!$C$15&lt;=Setup!$C$16,AND(MONTH(E379)&gt;=Setup!$C$15,MONTH(E379)&lt;=Setup!$C$16),OR(MONTH(E379)&gt;=Setup!$C$15,MONTH(E379)&lt;=Setup!$C$16)),IF(Setup!$C$15&lt;=Setup!$C$16,AND(MONTH(WORKDAY(E379,-(Setup!$C$13+Setup!$G$23),Setup!$C$39:$C$50))&gt;=Setup!$C$15,MONTH(WORKDAY(E379,-(Setup!$C$13+Setup!$G$23),Setup!$C$39:$C$50))&lt;=Setup!$C$16),OR(MONTH(WORKDAY(E379,-(Setup!$C$13+Setup!$G$23),Setup!$C$39:$C$50))&gt;=Setup!$C$15,MONTH(WORKDAY(E379,-(Setup!$C$13+Setup!$G$23),Setup!$C$39:$C$50))&lt;=Setup!$C$16))),WORKDAY(E379,-(Setup!$C$13+Setup!$G$23+Setup!$C$14),Setup!$C$39:$C$50),WORKDAY(E379,-(Setup!$C$13+Setup!$G$23),Setup!$C$39:$C$50))+(374*100+4)/10000000)))</f>
        <v/>
      </c>
      <c r="V379" t="str">
        <f>IF(F379="","",IF(F379&lt;Setup!$C$5-Setup!$C$6,"",IF(IF(ISNUMBER(Roster!$D379),Setup!$C$24&lt;=Roster!$D379,FALSE),"",IF(OR(IF(Setup!$C$15&lt;=Setup!$C$16,AND(MONTH(F379)&gt;=Setup!$C$15,MONTH(F379)&lt;=Setup!$C$16),OR(MONTH(F379)&gt;=Setup!$C$15,MONTH(F379)&lt;=Setup!$C$16)),IF(Setup!$C$15&lt;=Setup!$C$16,AND(MONTH(WORKDAY(F379,-(Setup!$C$13+Setup!$G$24),Setup!$C$39:$C$50))&gt;=Setup!$C$15,MONTH(WORKDAY(F379,-(Setup!$C$13+Setup!$G$24),Setup!$C$39:$C$50))&lt;=Setup!$C$16),OR(MONTH(WORKDAY(F379,-(Setup!$C$13+Setup!$G$24),Setup!$C$39:$C$50))&gt;=Setup!$C$15,MONTH(WORKDAY(F379,-(Setup!$C$13+Setup!$G$24),Setup!$C$39:$C$50))&lt;=Setup!$C$16))),WORKDAY(F379,-(Setup!$C$13+Setup!$G$24+Setup!$C$14),Setup!$C$39:$C$50),WORKDAY(F379,-(Setup!$C$13+Setup!$G$24),Setup!$C$39:$C$50))+(374*100+5)/10000000)))</f>
        <v/>
      </c>
      <c r="W379" t="str">
        <f>IF(G379="","",IF(G379&lt;Setup!$C$5-Setup!$C$6,"",IF(IF(ISNUMBER(Roster!$D379),Setup!$C$25&lt;=Roster!$D379,FALSE),"",IF(OR(IF(Setup!$C$15&lt;=Setup!$C$16,AND(MONTH(G379)&gt;=Setup!$C$15,MONTH(G379)&lt;=Setup!$C$16),OR(MONTH(G379)&gt;=Setup!$C$15,MONTH(G379)&lt;=Setup!$C$16)),IF(Setup!$C$15&lt;=Setup!$C$16,AND(MONTH(WORKDAY(G379,-(Setup!$C$13+Setup!$G$25),Setup!$C$39:$C$50))&gt;=Setup!$C$15,MONTH(WORKDAY(G379,-(Setup!$C$13+Setup!$G$25),Setup!$C$39:$C$50))&lt;=Setup!$C$16),OR(MONTH(WORKDAY(G379,-(Setup!$C$13+Setup!$G$25),Setup!$C$39:$C$50))&gt;=Setup!$C$15,MONTH(WORKDAY(G379,-(Setup!$C$13+Setup!$G$25),Setup!$C$39:$C$50))&lt;=Setup!$C$16))),WORKDAY(G379,-(Setup!$C$13+Setup!$G$25+Setup!$C$14),Setup!$C$39:$C$50),WORKDAY(G379,-(Setup!$C$13+Setup!$G$25),Setup!$C$39:$C$50))+(374*100+6)/10000000)))</f>
        <v/>
      </c>
      <c r="X379" t="str">
        <f>IF(H379="","",IF(H379&lt;Setup!$C$5-Setup!$C$6,"",IF(IF(ISNUMBER(Roster!$D379),Setup!$C$26&lt;=Roster!$D379,FALSE),"",IF(OR(IF(Setup!$C$15&lt;=Setup!$C$16,AND(MONTH(H379)&gt;=Setup!$C$15,MONTH(H379)&lt;=Setup!$C$16),OR(MONTH(H379)&gt;=Setup!$C$15,MONTH(H379)&lt;=Setup!$C$16)),IF(Setup!$C$15&lt;=Setup!$C$16,AND(MONTH(WORKDAY(H379,-(Setup!$C$13+Setup!$G$26),Setup!$C$39:$C$50))&gt;=Setup!$C$15,MONTH(WORKDAY(H379,-(Setup!$C$13+Setup!$G$26),Setup!$C$39:$C$50))&lt;=Setup!$C$16),OR(MONTH(WORKDAY(H379,-(Setup!$C$13+Setup!$G$26),Setup!$C$39:$C$50))&gt;=Setup!$C$15,MONTH(WORKDAY(H379,-(Setup!$C$13+Setup!$G$26),Setup!$C$39:$C$50))&lt;=Setup!$C$16))),WORKDAY(H379,-(Setup!$C$13+Setup!$G$26+Setup!$C$14),Setup!$C$39:$C$50),WORKDAY(H379,-(Setup!$C$13+Setup!$G$26),Setup!$C$39:$C$50))+(374*100+7)/10000000)))</f>
        <v/>
      </c>
      <c r="Y379" t="str">
        <f>IF(I379="","",IF(I379&lt;Setup!$C$5-Setup!$C$6,"",IF(IF(ISNUMBER(Roster!$D379),Setup!$C$27&lt;=Roster!$D379,FALSE),"",IF(OR(IF(Setup!$C$15&lt;=Setup!$C$16,AND(MONTH(I379)&gt;=Setup!$C$15,MONTH(I379)&lt;=Setup!$C$16),OR(MONTH(I379)&gt;=Setup!$C$15,MONTH(I379)&lt;=Setup!$C$16)),IF(Setup!$C$15&lt;=Setup!$C$16,AND(MONTH(WORKDAY(I379,-(Setup!$C$13+Setup!$G$27),Setup!$C$39:$C$50))&gt;=Setup!$C$15,MONTH(WORKDAY(I379,-(Setup!$C$13+Setup!$G$27),Setup!$C$39:$C$50))&lt;=Setup!$C$16),OR(MONTH(WORKDAY(I379,-(Setup!$C$13+Setup!$G$27),Setup!$C$39:$C$50))&gt;=Setup!$C$15,MONTH(WORKDAY(I379,-(Setup!$C$13+Setup!$G$27),Setup!$C$39:$C$50))&lt;=Setup!$C$16))),WORKDAY(I379,-(Setup!$C$13+Setup!$G$27+Setup!$C$14),Setup!$C$39:$C$50),WORKDAY(I379,-(Setup!$C$13+Setup!$G$27),Setup!$C$39:$C$50))+(374*100+8)/10000000)))</f>
        <v/>
      </c>
      <c r="Z379" t="str">
        <f>IF(J379="","",IF(J379&lt;Setup!$C$5-Setup!$C$6,"",IF(IF(ISNUMBER(Roster!$D379),Setup!$C$28&lt;=Roster!$D379,FALSE),"",IF(OR(IF(Setup!$C$15&lt;=Setup!$C$16,AND(MONTH(J379)&gt;=Setup!$C$15,MONTH(J379)&lt;=Setup!$C$16),OR(MONTH(J379)&gt;=Setup!$C$15,MONTH(J379)&lt;=Setup!$C$16)),IF(Setup!$C$15&lt;=Setup!$C$16,AND(MONTH(WORKDAY(J379,-(Setup!$C$13+Setup!$G$28),Setup!$C$39:$C$50))&gt;=Setup!$C$15,MONTH(WORKDAY(J379,-(Setup!$C$13+Setup!$G$28),Setup!$C$39:$C$50))&lt;=Setup!$C$16),OR(MONTH(WORKDAY(J379,-(Setup!$C$13+Setup!$G$28),Setup!$C$39:$C$50))&gt;=Setup!$C$15,MONTH(WORKDAY(J379,-(Setup!$C$13+Setup!$G$28),Setup!$C$39:$C$50))&lt;=Setup!$C$16))),WORKDAY(J379,-(Setup!$C$13+Setup!$G$28+Setup!$C$14),Setup!$C$39:$C$50),WORKDAY(J379,-(Setup!$C$13+Setup!$G$28),Setup!$C$39:$C$50))+(374*100+9)/10000000)))</f>
        <v/>
      </c>
      <c r="AA379" t="str">
        <f>IF(K379="","",IF(K379&lt;Setup!$C$5-Setup!$C$6,"",IF(IF(ISNUMBER(Roster!$D379),Setup!$C$29&lt;=Roster!$D379,FALSE),"",IF(OR(IF(Setup!$C$15&lt;=Setup!$C$16,AND(MONTH(K379)&gt;=Setup!$C$15,MONTH(K379)&lt;=Setup!$C$16),OR(MONTH(K379)&gt;=Setup!$C$15,MONTH(K379)&lt;=Setup!$C$16)),IF(Setup!$C$15&lt;=Setup!$C$16,AND(MONTH(WORKDAY(K379,-(Setup!$C$13+Setup!$G$29),Setup!$C$39:$C$50))&gt;=Setup!$C$15,MONTH(WORKDAY(K379,-(Setup!$C$13+Setup!$G$29),Setup!$C$39:$C$50))&lt;=Setup!$C$16),OR(MONTH(WORKDAY(K379,-(Setup!$C$13+Setup!$G$29),Setup!$C$39:$C$50))&gt;=Setup!$C$15,MONTH(WORKDAY(K379,-(Setup!$C$13+Setup!$G$29),Setup!$C$39:$C$50))&lt;=Setup!$C$16))),WORKDAY(K379,-(Setup!$C$13+Setup!$G$29+Setup!$C$14),Setup!$C$39:$C$50),WORKDAY(K379,-(Setup!$C$13+Setup!$G$29),Setup!$C$39:$C$50))+(374*100+10)/10000000)))</f>
        <v/>
      </c>
      <c r="AB379" t="str">
        <f>IF(L379="","",IF(L379&lt;Setup!$C$5-Setup!$C$6,"",IF(IF(ISNUMBER(Roster!$D379),Setup!$C$30&lt;=Roster!$D379,FALSE),"",IF(OR(IF(Setup!$C$15&lt;=Setup!$C$16,AND(MONTH(L379)&gt;=Setup!$C$15,MONTH(L379)&lt;=Setup!$C$16),OR(MONTH(L379)&gt;=Setup!$C$15,MONTH(L379)&lt;=Setup!$C$16)),IF(Setup!$C$15&lt;=Setup!$C$16,AND(MONTH(WORKDAY(L379,-(Setup!$C$13+Setup!$G$30),Setup!$C$39:$C$50))&gt;=Setup!$C$15,MONTH(WORKDAY(L379,-(Setup!$C$13+Setup!$G$30),Setup!$C$39:$C$50))&lt;=Setup!$C$16),OR(MONTH(WORKDAY(L379,-(Setup!$C$13+Setup!$G$30),Setup!$C$39:$C$50))&gt;=Setup!$C$15,MONTH(WORKDAY(L379,-(Setup!$C$13+Setup!$G$30),Setup!$C$39:$C$50))&lt;=Setup!$C$16))),WORKDAY(L379,-(Setup!$C$13+Setup!$G$30+Setup!$C$14),Setup!$C$39:$C$50),WORKDAY(L379,-(Setup!$C$13+Setup!$G$30),Setup!$C$39:$C$50))+(374*100+11)/10000000)))</f>
        <v/>
      </c>
      <c r="AC379" t="str">
        <f>IF(M379="","",IF(M379&lt;Setup!$C$5-Setup!$C$6,"",IF(IF(ISNUMBER(Roster!$D379),Setup!$C$31&lt;=Roster!$D379,FALSE),"",IF(OR(IF(Setup!$C$15&lt;=Setup!$C$16,AND(MONTH(M379)&gt;=Setup!$C$15,MONTH(M379)&lt;=Setup!$C$16),OR(MONTH(M379)&gt;=Setup!$C$15,MONTH(M379)&lt;=Setup!$C$16)),IF(Setup!$C$15&lt;=Setup!$C$16,AND(MONTH(WORKDAY(M379,-(Setup!$C$13+Setup!$G$31),Setup!$C$39:$C$50))&gt;=Setup!$C$15,MONTH(WORKDAY(M379,-(Setup!$C$13+Setup!$G$31),Setup!$C$39:$C$50))&lt;=Setup!$C$16),OR(MONTH(WORKDAY(M379,-(Setup!$C$13+Setup!$G$31),Setup!$C$39:$C$50))&gt;=Setup!$C$15,MONTH(WORKDAY(M379,-(Setup!$C$13+Setup!$G$31),Setup!$C$39:$C$50))&lt;=Setup!$C$16))),WORKDAY(M379,-(Setup!$C$13+Setup!$G$31+Setup!$C$14),Setup!$C$39:$C$50),WORKDAY(M379,-(Setup!$C$13+Setup!$G$31),Setup!$C$39:$C$50))+(374*100+12)/10000000)))</f>
        <v/>
      </c>
      <c r="AD379" t="str">
        <f>IF(N379="","",IF(N379&lt;Setup!$C$5-Setup!$C$6,"",IF(IF(ISNUMBER(Roster!$D379),Setup!$C$32&lt;=Roster!$D379,FALSE),"",IF(OR(IF(Setup!$C$15&lt;=Setup!$C$16,AND(MONTH(N379)&gt;=Setup!$C$15,MONTH(N379)&lt;=Setup!$C$16),OR(MONTH(N379)&gt;=Setup!$C$15,MONTH(N379)&lt;=Setup!$C$16)),IF(Setup!$C$15&lt;=Setup!$C$16,AND(MONTH(WORKDAY(N379,-(Setup!$C$13+Setup!$G$32),Setup!$C$39:$C$50))&gt;=Setup!$C$15,MONTH(WORKDAY(N379,-(Setup!$C$13+Setup!$G$32),Setup!$C$39:$C$50))&lt;=Setup!$C$16),OR(MONTH(WORKDAY(N379,-(Setup!$C$13+Setup!$G$32),Setup!$C$39:$C$50))&gt;=Setup!$C$15,MONTH(WORKDAY(N379,-(Setup!$C$13+Setup!$G$32),Setup!$C$39:$C$50))&lt;=Setup!$C$16))),WORKDAY(N379,-(Setup!$C$13+Setup!$G$32+Setup!$C$14),Setup!$C$39:$C$50),WORKDAY(N379,-(Setup!$C$13+Setup!$G$32),Setup!$C$39:$C$50))+(374*100+13)/10000000)))</f>
        <v/>
      </c>
      <c r="AE379" t="str">
        <f>IF(O379="","",IF(O379&lt;Setup!$C$5-Setup!$C$6,"",IF(IF(ISNUMBER(Roster!$D379),Setup!$C$33&lt;=Roster!$D379,FALSE),"",IF(OR(IF(Setup!$C$15&lt;=Setup!$C$16,AND(MONTH(O379)&gt;=Setup!$C$15,MONTH(O379)&lt;=Setup!$C$16),OR(MONTH(O379)&gt;=Setup!$C$15,MONTH(O379)&lt;=Setup!$C$16)),IF(Setup!$C$15&lt;=Setup!$C$16,AND(MONTH(WORKDAY(O379,-(Setup!$C$13+Setup!$G$33),Setup!$C$39:$C$50))&gt;=Setup!$C$15,MONTH(WORKDAY(O379,-(Setup!$C$13+Setup!$G$33),Setup!$C$39:$C$50))&lt;=Setup!$C$16),OR(MONTH(WORKDAY(O379,-(Setup!$C$13+Setup!$G$33),Setup!$C$39:$C$50))&gt;=Setup!$C$15,MONTH(WORKDAY(O379,-(Setup!$C$13+Setup!$G$33),Setup!$C$39:$C$50))&lt;=Setup!$C$16))),WORKDAY(O379,-(Setup!$C$13+Setup!$G$33+Setup!$C$14),Setup!$C$39:$C$50),WORKDAY(O379,-(Setup!$C$13+Setup!$G$33),Setup!$C$39:$C$50))+(374*100+14)/10000000)))</f>
        <v/>
      </c>
      <c r="AF379" t="str">
        <f>IF(P379="","",IF(P379&lt;Setup!$C$5-Setup!$C$6,"",IF(IF(ISNUMBER(Roster!$D379),Setup!$C$34&lt;=Roster!$D379,FALSE),"",IF(OR(IF(Setup!$C$15&lt;=Setup!$C$16,AND(MONTH(P379)&gt;=Setup!$C$15,MONTH(P379)&lt;=Setup!$C$16),OR(MONTH(P379)&gt;=Setup!$C$15,MONTH(P379)&lt;=Setup!$C$16)),IF(Setup!$C$15&lt;=Setup!$C$16,AND(MONTH(WORKDAY(P379,-(Setup!$C$13+Setup!$G$34),Setup!$C$39:$C$50))&gt;=Setup!$C$15,MONTH(WORKDAY(P379,-(Setup!$C$13+Setup!$G$34),Setup!$C$39:$C$50))&lt;=Setup!$C$16),OR(MONTH(WORKDAY(P379,-(Setup!$C$13+Setup!$G$34),Setup!$C$39:$C$50))&gt;=Setup!$C$15,MONTH(WORKDAY(P379,-(Setup!$C$13+Setup!$G$34),Setup!$C$39:$C$50))&lt;=Setup!$C$16))),WORKDAY(P379,-(Setup!$C$13+Setup!$G$34+Setup!$C$14),Setup!$C$39:$C$50),WORKDAY(P379,-(Setup!$C$13+Setup!$G$34),Setup!$C$39:$C$50))+(374*100+15)/10000000)))</f>
        <v/>
      </c>
      <c r="AH379" t="str">
        <f t="shared" si="41"/>
        <v/>
      </c>
      <c r="AI379" t="str">
        <f t="shared" si="42"/>
        <v/>
      </c>
      <c r="AP379" t="str">
        <f>IF(ISNUMBER(Roster!$B379),MAX(1,YEAR(Setup!$C$5)-YEAR(Roster!$B379)+IF(EDATE(Roster!$B379,12*(YEAR(Setup!$C$5)-YEAR(Roster!$B379)))&lt;Setup!$C$5,1,0)),"")</f>
        <v/>
      </c>
      <c r="AQ379" s="32" t="str">
        <f>IF(AP379="","",EDATE(Roster!$B379,12*AP379))</f>
        <v/>
      </c>
      <c r="AR379" t="str">
        <f>IF(AQ379="","",IF(AQ379&lt;DATE(YEAR(Setup!$C$5)+1,MONTH(Setup!$C$5),DAY(Setup!$C$5)),AQ379+374/1000,""))</f>
        <v/>
      </c>
      <c r="AS379" t="str">
        <f t="shared" si="43"/>
        <v/>
      </c>
      <c r="AT379" t="str">
        <f>IF(AS379="","",IF(ISNUMBER(Roster!$D379),Roster!$D379&gt;=AP379,FALSE))</f>
        <v/>
      </c>
      <c r="AU379" t="str">
        <f t="shared" si="44"/>
        <v/>
      </c>
      <c r="AV379" t="str">
        <f ca="1">IF(374&gt;$AV$2,"",SMALL($AR$6:$AR$505,374))</f>
        <v/>
      </c>
      <c r="AW379" t="str">
        <f t="shared" ca="1" si="45"/>
        <v/>
      </c>
    </row>
    <row r="380" spans="2:49" x14ac:dyDescent="0.2">
      <c r="B380" s="32" t="str">
        <f>IF(AND(ISNUMBER(Roster!$B380),Setup!$B$20="Yes",ISNUMBER(Setup!$C$20)),EDATE(Roster!$B380,12*Setup!$C$20),"")</f>
        <v/>
      </c>
      <c r="C380" s="32" t="str">
        <f>IF(AND(ISNUMBER(Roster!$B380),Setup!$B$21="Yes",ISNUMBER(Setup!$C$21)),EDATE(Roster!$B380,12*Setup!$C$21),"")</f>
        <v/>
      </c>
      <c r="D380" s="32" t="str">
        <f>IF(AND(ISNUMBER(Roster!$B380),Setup!$B$22="Yes",ISNUMBER(Setup!$C$22)),EDATE(Roster!$B380,12*Setup!$C$22),"")</f>
        <v/>
      </c>
      <c r="E380" s="32" t="str">
        <f>IF(AND(ISNUMBER(Roster!$B380),Setup!$B$23="Yes",ISNUMBER(Setup!$C$23)),EDATE(Roster!$B380,12*Setup!$C$23),"")</f>
        <v/>
      </c>
      <c r="F380" s="32" t="str">
        <f>IF(AND(ISNUMBER(Roster!$B380),Setup!$B$24="Yes",ISNUMBER(Setup!$C$24)),EDATE(Roster!$B380,12*Setup!$C$24),"")</f>
        <v/>
      </c>
      <c r="G380" s="32" t="str">
        <f>IF(AND(ISNUMBER(Roster!$B380),Setup!$B$25="Yes",ISNUMBER(Setup!$C$25)),EDATE(Roster!$B380,12*Setup!$C$25),"")</f>
        <v/>
      </c>
      <c r="H380" s="32" t="str">
        <f>IF(AND(ISNUMBER(Roster!$B380),Setup!$B$26="Yes",ISNUMBER(Setup!$C$26)),EDATE(Roster!$B380,12*Setup!$C$26),"")</f>
        <v/>
      </c>
      <c r="I380" s="32" t="str">
        <f>IF(AND(ISNUMBER(Roster!$B380),Setup!$B$27="Yes",ISNUMBER(Setup!$C$27)),EDATE(Roster!$B380,12*Setup!$C$27),"")</f>
        <v/>
      </c>
      <c r="J380" s="32" t="str">
        <f>IF(AND(ISNUMBER(Roster!$B380),Setup!$B$28="Yes",ISNUMBER(Setup!$C$28)),EDATE(Roster!$B380,12*Setup!$C$28),"")</f>
        <v/>
      </c>
      <c r="K380" s="32" t="str">
        <f>IF(AND(ISNUMBER(Roster!$B380),Setup!$B$29="Yes",ISNUMBER(Setup!$C$29)),EDATE(Roster!$B380,12*Setup!$C$29),"")</f>
        <v/>
      </c>
      <c r="L380" s="32" t="str">
        <f>IF(AND(ISNUMBER(Roster!$B380),Setup!$B$30="Yes",ISNUMBER(Setup!$C$30)),EDATE(Roster!$B380,12*Setup!$C$30),"")</f>
        <v/>
      </c>
      <c r="M380" s="32" t="str">
        <f>IF(AND(ISNUMBER(Roster!$B380),Setup!$B$31="Yes",ISNUMBER(Setup!$C$31)),EDATE(Roster!$B380,12*Setup!$C$31),"")</f>
        <v/>
      </c>
      <c r="N380" s="32" t="str">
        <f>IF(AND(ISNUMBER(Roster!$B380),Setup!$B$32="Yes",ISNUMBER(Setup!$C$32)),EDATE(Roster!$B380,12*Setup!$C$32),"")</f>
        <v/>
      </c>
      <c r="O380" s="32" t="str">
        <f>IF(AND(ISNUMBER(Roster!$B380),Setup!$B$33="Yes",ISNUMBER(Setup!$C$33)),EDATE(Roster!$B380,12*Setup!$C$33),"")</f>
        <v/>
      </c>
      <c r="P380" s="32" t="str">
        <f>IF(AND(ISNUMBER(Roster!$B380),Setup!$B$34="Yes",ISNUMBER(Setup!$C$34)),EDATE(Roster!$B380,12*Setup!$C$34),"")</f>
        <v/>
      </c>
      <c r="R380" t="str">
        <f>IF(B380="","",IF(B380&lt;Setup!$C$5-Setup!$C$6,"",IF(IF(ISNUMBER(Roster!$D380),Setup!$C$20&lt;=Roster!$D380,FALSE),"",IF(OR(IF(Setup!$C$15&lt;=Setup!$C$16,AND(MONTH(B380)&gt;=Setup!$C$15,MONTH(B380)&lt;=Setup!$C$16),OR(MONTH(B380)&gt;=Setup!$C$15,MONTH(B380)&lt;=Setup!$C$16)),IF(Setup!$C$15&lt;=Setup!$C$16,AND(MONTH(WORKDAY(B380,-(Setup!$C$13+Setup!$G$20),Setup!$C$39:$C$50))&gt;=Setup!$C$15,MONTH(WORKDAY(B380,-(Setup!$C$13+Setup!$G$20),Setup!$C$39:$C$50))&lt;=Setup!$C$16),OR(MONTH(WORKDAY(B380,-(Setup!$C$13+Setup!$G$20),Setup!$C$39:$C$50))&gt;=Setup!$C$15,MONTH(WORKDAY(B380,-(Setup!$C$13+Setup!$G$20),Setup!$C$39:$C$50))&lt;=Setup!$C$16))),WORKDAY(B380,-(Setup!$C$13+Setup!$G$20+Setup!$C$14),Setup!$C$39:$C$50),WORKDAY(B380,-(Setup!$C$13+Setup!$G$20),Setup!$C$39:$C$50))+(375*100+1)/10000000)))</f>
        <v/>
      </c>
      <c r="S380" t="str">
        <f>IF(C380="","",IF(C380&lt;Setup!$C$5-Setup!$C$6,"",IF(IF(ISNUMBER(Roster!$D380),Setup!$C$21&lt;=Roster!$D380,FALSE),"",IF(OR(IF(Setup!$C$15&lt;=Setup!$C$16,AND(MONTH(C380)&gt;=Setup!$C$15,MONTH(C380)&lt;=Setup!$C$16),OR(MONTH(C380)&gt;=Setup!$C$15,MONTH(C380)&lt;=Setup!$C$16)),IF(Setup!$C$15&lt;=Setup!$C$16,AND(MONTH(WORKDAY(C380,-(Setup!$C$13+Setup!$G$21),Setup!$C$39:$C$50))&gt;=Setup!$C$15,MONTH(WORKDAY(C380,-(Setup!$C$13+Setup!$G$21),Setup!$C$39:$C$50))&lt;=Setup!$C$16),OR(MONTH(WORKDAY(C380,-(Setup!$C$13+Setup!$G$21),Setup!$C$39:$C$50))&gt;=Setup!$C$15,MONTH(WORKDAY(C380,-(Setup!$C$13+Setup!$G$21),Setup!$C$39:$C$50))&lt;=Setup!$C$16))),WORKDAY(C380,-(Setup!$C$13+Setup!$G$21+Setup!$C$14),Setup!$C$39:$C$50),WORKDAY(C380,-(Setup!$C$13+Setup!$G$21),Setup!$C$39:$C$50))+(375*100+2)/10000000)))</f>
        <v/>
      </c>
      <c r="T380" t="str">
        <f>IF(D380="","",IF(D380&lt;Setup!$C$5-Setup!$C$6,"",IF(IF(ISNUMBER(Roster!$D380),Setup!$C$22&lt;=Roster!$D380,FALSE),"",IF(OR(IF(Setup!$C$15&lt;=Setup!$C$16,AND(MONTH(D380)&gt;=Setup!$C$15,MONTH(D380)&lt;=Setup!$C$16),OR(MONTH(D380)&gt;=Setup!$C$15,MONTH(D380)&lt;=Setup!$C$16)),IF(Setup!$C$15&lt;=Setup!$C$16,AND(MONTH(WORKDAY(D380,-(Setup!$C$13+Setup!$G$22),Setup!$C$39:$C$50))&gt;=Setup!$C$15,MONTH(WORKDAY(D380,-(Setup!$C$13+Setup!$G$22),Setup!$C$39:$C$50))&lt;=Setup!$C$16),OR(MONTH(WORKDAY(D380,-(Setup!$C$13+Setup!$G$22),Setup!$C$39:$C$50))&gt;=Setup!$C$15,MONTH(WORKDAY(D380,-(Setup!$C$13+Setup!$G$22),Setup!$C$39:$C$50))&lt;=Setup!$C$16))),WORKDAY(D380,-(Setup!$C$13+Setup!$G$22+Setup!$C$14),Setup!$C$39:$C$50),WORKDAY(D380,-(Setup!$C$13+Setup!$G$22),Setup!$C$39:$C$50))+(375*100+3)/10000000)))</f>
        <v/>
      </c>
      <c r="U380" t="str">
        <f>IF(E380="","",IF(E380&lt;Setup!$C$5-Setup!$C$6,"",IF(IF(ISNUMBER(Roster!$D380),Setup!$C$23&lt;=Roster!$D380,FALSE),"",IF(OR(IF(Setup!$C$15&lt;=Setup!$C$16,AND(MONTH(E380)&gt;=Setup!$C$15,MONTH(E380)&lt;=Setup!$C$16),OR(MONTH(E380)&gt;=Setup!$C$15,MONTH(E380)&lt;=Setup!$C$16)),IF(Setup!$C$15&lt;=Setup!$C$16,AND(MONTH(WORKDAY(E380,-(Setup!$C$13+Setup!$G$23),Setup!$C$39:$C$50))&gt;=Setup!$C$15,MONTH(WORKDAY(E380,-(Setup!$C$13+Setup!$G$23),Setup!$C$39:$C$50))&lt;=Setup!$C$16),OR(MONTH(WORKDAY(E380,-(Setup!$C$13+Setup!$G$23),Setup!$C$39:$C$50))&gt;=Setup!$C$15,MONTH(WORKDAY(E380,-(Setup!$C$13+Setup!$G$23),Setup!$C$39:$C$50))&lt;=Setup!$C$16))),WORKDAY(E380,-(Setup!$C$13+Setup!$G$23+Setup!$C$14),Setup!$C$39:$C$50),WORKDAY(E380,-(Setup!$C$13+Setup!$G$23),Setup!$C$39:$C$50))+(375*100+4)/10000000)))</f>
        <v/>
      </c>
      <c r="V380" t="str">
        <f>IF(F380="","",IF(F380&lt;Setup!$C$5-Setup!$C$6,"",IF(IF(ISNUMBER(Roster!$D380),Setup!$C$24&lt;=Roster!$D380,FALSE),"",IF(OR(IF(Setup!$C$15&lt;=Setup!$C$16,AND(MONTH(F380)&gt;=Setup!$C$15,MONTH(F380)&lt;=Setup!$C$16),OR(MONTH(F380)&gt;=Setup!$C$15,MONTH(F380)&lt;=Setup!$C$16)),IF(Setup!$C$15&lt;=Setup!$C$16,AND(MONTH(WORKDAY(F380,-(Setup!$C$13+Setup!$G$24),Setup!$C$39:$C$50))&gt;=Setup!$C$15,MONTH(WORKDAY(F380,-(Setup!$C$13+Setup!$G$24),Setup!$C$39:$C$50))&lt;=Setup!$C$16),OR(MONTH(WORKDAY(F380,-(Setup!$C$13+Setup!$G$24),Setup!$C$39:$C$50))&gt;=Setup!$C$15,MONTH(WORKDAY(F380,-(Setup!$C$13+Setup!$G$24),Setup!$C$39:$C$50))&lt;=Setup!$C$16))),WORKDAY(F380,-(Setup!$C$13+Setup!$G$24+Setup!$C$14),Setup!$C$39:$C$50),WORKDAY(F380,-(Setup!$C$13+Setup!$G$24),Setup!$C$39:$C$50))+(375*100+5)/10000000)))</f>
        <v/>
      </c>
      <c r="W380" t="str">
        <f>IF(G380="","",IF(G380&lt;Setup!$C$5-Setup!$C$6,"",IF(IF(ISNUMBER(Roster!$D380),Setup!$C$25&lt;=Roster!$D380,FALSE),"",IF(OR(IF(Setup!$C$15&lt;=Setup!$C$16,AND(MONTH(G380)&gt;=Setup!$C$15,MONTH(G380)&lt;=Setup!$C$16),OR(MONTH(G380)&gt;=Setup!$C$15,MONTH(G380)&lt;=Setup!$C$16)),IF(Setup!$C$15&lt;=Setup!$C$16,AND(MONTH(WORKDAY(G380,-(Setup!$C$13+Setup!$G$25),Setup!$C$39:$C$50))&gt;=Setup!$C$15,MONTH(WORKDAY(G380,-(Setup!$C$13+Setup!$G$25),Setup!$C$39:$C$50))&lt;=Setup!$C$16),OR(MONTH(WORKDAY(G380,-(Setup!$C$13+Setup!$G$25),Setup!$C$39:$C$50))&gt;=Setup!$C$15,MONTH(WORKDAY(G380,-(Setup!$C$13+Setup!$G$25),Setup!$C$39:$C$50))&lt;=Setup!$C$16))),WORKDAY(G380,-(Setup!$C$13+Setup!$G$25+Setup!$C$14),Setup!$C$39:$C$50),WORKDAY(G380,-(Setup!$C$13+Setup!$G$25),Setup!$C$39:$C$50))+(375*100+6)/10000000)))</f>
        <v/>
      </c>
      <c r="X380" t="str">
        <f>IF(H380="","",IF(H380&lt;Setup!$C$5-Setup!$C$6,"",IF(IF(ISNUMBER(Roster!$D380),Setup!$C$26&lt;=Roster!$D380,FALSE),"",IF(OR(IF(Setup!$C$15&lt;=Setup!$C$16,AND(MONTH(H380)&gt;=Setup!$C$15,MONTH(H380)&lt;=Setup!$C$16),OR(MONTH(H380)&gt;=Setup!$C$15,MONTH(H380)&lt;=Setup!$C$16)),IF(Setup!$C$15&lt;=Setup!$C$16,AND(MONTH(WORKDAY(H380,-(Setup!$C$13+Setup!$G$26),Setup!$C$39:$C$50))&gt;=Setup!$C$15,MONTH(WORKDAY(H380,-(Setup!$C$13+Setup!$G$26),Setup!$C$39:$C$50))&lt;=Setup!$C$16),OR(MONTH(WORKDAY(H380,-(Setup!$C$13+Setup!$G$26),Setup!$C$39:$C$50))&gt;=Setup!$C$15,MONTH(WORKDAY(H380,-(Setup!$C$13+Setup!$G$26),Setup!$C$39:$C$50))&lt;=Setup!$C$16))),WORKDAY(H380,-(Setup!$C$13+Setup!$G$26+Setup!$C$14),Setup!$C$39:$C$50),WORKDAY(H380,-(Setup!$C$13+Setup!$G$26),Setup!$C$39:$C$50))+(375*100+7)/10000000)))</f>
        <v/>
      </c>
      <c r="Y380" t="str">
        <f>IF(I380="","",IF(I380&lt;Setup!$C$5-Setup!$C$6,"",IF(IF(ISNUMBER(Roster!$D380),Setup!$C$27&lt;=Roster!$D380,FALSE),"",IF(OR(IF(Setup!$C$15&lt;=Setup!$C$16,AND(MONTH(I380)&gt;=Setup!$C$15,MONTH(I380)&lt;=Setup!$C$16),OR(MONTH(I380)&gt;=Setup!$C$15,MONTH(I380)&lt;=Setup!$C$16)),IF(Setup!$C$15&lt;=Setup!$C$16,AND(MONTH(WORKDAY(I380,-(Setup!$C$13+Setup!$G$27),Setup!$C$39:$C$50))&gt;=Setup!$C$15,MONTH(WORKDAY(I380,-(Setup!$C$13+Setup!$G$27),Setup!$C$39:$C$50))&lt;=Setup!$C$16),OR(MONTH(WORKDAY(I380,-(Setup!$C$13+Setup!$G$27),Setup!$C$39:$C$50))&gt;=Setup!$C$15,MONTH(WORKDAY(I380,-(Setup!$C$13+Setup!$G$27),Setup!$C$39:$C$50))&lt;=Setup!$C$16))),WORKDAY(I380,-(Setup!$C$13+Setup!$G$27+Setup!$C$14),Setup!$C$39:$C$50),WORKDAY(I380,-(Setup!$C$13+Setup!$G$27),Setup!$C$39:$C$50))+(375*100+8)/10000000)))</f>
        <v/>
      </c>
      <c r="Z380" t="str">
        <f>IF(J380="","",IF(J380&lt;Setup!$C$5-Setup!$C$6,"",IF(IF(ISNUMBER(Roster!$D380),Setup!$C$28&lt;=Roster!$D380,FALSE),"",IF(OR(IF(Setup!$C$15&lt;=Setup!$C$16,AND(MONTH(J380)&gt;=Setup!$C$15,MONTH(J380)&lt;=Setup!$C$16),OR(MONTH(J380)&gt;=Setup!$C$15,MONTH(J380)&lt;=Setup!$C$16)),IF(Setup!$C$15&lt;=Setup!$C$16,AND(MONTH(WORKDAY(J380,-(Setup!$C$13+Setup!$G$28),Setup!$C$39:$C$50))&gt;=Setup!$C$15,MONTH(WORKDAY(J380,-(Setup!$C$13+Setup!$G$28),Setup!$C$39:$C$50))&lt;=Setup!$C$16),OR(MONTH(WORKDAY(J380,-(Setup!$C$13+Setup!$G$28),Setup!$C$39:$C$50))&gt;=Setup!$C$15,MONTH(WORKDAY(J380,-(Setup!$C$13+Setup!$G$28),Setup!$C$39:$C$50))&lt;=Setup!$C$16))),WORKDAY(J380,-(Setup!$C$13+Setup!$G$28+Setup!$C$14),Setup!$C$39:$C$50),WORKDAY(J380,-(Setup!$C$13+Setup!$G$28),Setup!$C$39:$C$50))+(375*100+9)/10000000)))</f>
        <v/>
      </c>
      <c r="AA380" t="str">
        <f>IF(K380="","",IF(K380&lt;Setup!$C$5-Setup!$C$6,"",IF(IF(ISNUMBER(Roster!$D380),Setup!$C$29&lt;=Roster!$D380,FALSE),"",IF(OR(IF(Setup!$C$15&lt;=Setup!$C$16,AND(MONTH(K380)&gt;=Setup!$C$15,MONTH(K380)&lt;=Setup!$C$16),OR(MONTH(K380)&gt;=Setup!$C$15,MONTH(K380)&lt;=Setup!$C$16)),IF(Setup!$C$15&lt;=Setup!$C$16,AND(MONTH(WORKDAY(K380,-(Setup!$C$13+Setup!$G$29),Setup!$C$39:$C$50))&gt;=Setup!$C$15,MONTH(WORKDAY(K380,-(Setup!$C$13+Setup!$G$29),Setup!$C$39:$C$50))&lt;=Setup!$C$16),OR(MONTH(WORKDAY(K380,-(Setup!$C$13+Setup!$G$29),Setup!$C$39:$C$50))&gt;=Setup!$C$15,MONTH(WORKDAY(K380,-(Setup!$C$13+Setup!$G$29),Setup!$C$39:$C$50))&lt;=Setup!$C$16))),WORKDAY(K380,-(Setup!$C$13+Setup!$G$29+Setup!$C$14),Setup!$C$39:$C$50),WORKDAY(K380,-(Setup!$C$13+Setup!$G$29),Setup!$C$39:$C$50))+(375*100+10)/10000000)))</f>
        <v/>
      </c>
      <c r="AB380" t="str">
        <f>IF(L380="","",IF(L380&lt;Setup!$C$5-Setup!$C$6,"",IF(IF(ISNUMBER(Roster!$D380),Setup!$C$30&lt;=Roster!$D380,FALSE),"",IF(OR(IF(Setup!$C$15&lt;=Setup!$C$16,AND(MONTH(L380)&gt;=Setup!$C$15,MONTH(L380)&lt;=Setup!$C$16),OR(MONTH(L380)&gt;=Setup!$C$15,MONTH(L380)&lt;=Setup!$C$16)),IF(Setup!$C$15&lt;=Setup!$C$16,AND(MONTH(WORKDAY(L380,-(Setup!$C$13+Setup!$G$30),Setup!$C$39:$C$50))&gt;=Setup!$C$15,MONTH(WORKDAY(L380,-(Setup!$C$13+Setup!$G$30),Setup!$C$39:$C$50))&lt;=Setup!$C$16),OR(MONTH(WORKDAY(L380,-(Setup!$C$13+Setup!$G$30),Setup!$C$39:$C$50))&gt;=Setup!$C$15,MONTH(WORKDAY(L380,-(Setup!$C$13+Setup!$G$30),Setup!$C$39:$C$50))&lt;=Setup!$C$16))),WORKDAY(L380,-(Setup!$C$13+Setup!$G$30+Setup!$C$14),Setup!$C$39:$C$50),WORKDAY(L380,-(Setup!$C$13+Setup!$G$30),Setup!$C$39:$C$50))+(375*100+11)/10000000)))</f>
        <v/>
      </c>
      <c r="AC380" t="str">
        <f>IF(M380="","",IF(M380&lt;Setup!$C$5-Setup!$C$6,"",IF(IF(ISNUMBER(Roster!$D380),Setup!$C$31&lt;=Roster!$D380,FALSE),"",IF(OR(IF(Setup!$C$15&lt;=Setup!$C$16,AND(MONTH(M380)&gt;=Setup!$C$15,MONTH(M380)&lt;=Setup!$C$16),OR(MONTH(M380)&gt;=Setup!$C$15,MONTH(M380)&lt;=Setup!$C$16)),IF(Setup!$C$15&lt;=Setup!$C$16,AND(MONTH(WORKDAY(M380,-(Setup!$C$13+Setup!$G$31),Setup!$C$39:$C$50))&gt;=Setup!$C$15,MONTH(WORKDAY(M380,-(Setup!$C$13+Setup!$G$31),Setup!$C$39:$C$50))&lt;=Setup!$C$16),OR(MONTH(WORKDAY(M380,-(Setup!$C$13+Setup!$G$31),Setup!$C$39:$C$50))&gt;=Setup!$C$15,MONTH(WORKDAY(M380,-(Setup!$C$13+Setup!$G$31),Setup!$C$39:$C$50))&lt;=Setup!$C$16))),WORKDAY(M380,-(Setup!$C$13+Setup!$G$31+Setup!$C$14),Setup!$C$39:$C$50),WORKDAY(M380,-(Setup!$C$13+Setup!$G$31),Setup!$C$39:$C$50))+(375*100+12)/10000000)))</f>
        <v/>
      </c>
      <c r="AD380" t="str">
        <f>IF(N380="","",IF(N380&lt;Setup!$C$5-Setup!$C$6,"",IF(IF(ISNUMBER(Roster!$D380),Setup!$C$32&lt;=Roster!$D380,FALSE),"",IF(OR(IF(Setup!$C$15&lt;=Setup!$C$16,AND(MONTH(N380)&gt;=Setup!$C$15,MONTH(N380)&lt;=Setup!$C$16),OR(MONTH(N380)&gt;=Setup!$C$15,MONTH(N380)&lt;=Setup!$C$16)),IF(Setup!$C$15&lt;=Setup!$C$16,AND(MONTH(WORKDAY(N380,-(Setup!$C$13+Setup!$G$32),Setup!$C$39:$C$50))&gt;=Setup!$C$15,MONTH(WORKDAY(N380,-(Setup!$C$13+Setup!$G$32),Setup!$C$39:$C$50))&lt;=Setup!$C$16),OR(MONTH(WORKDAY(N380,-(Setup!$C$13+Setup!$G$32),Setup!$C$39:$C$50))&gt;=Setup!$C$15,MONTH(WORKDAY(N380,-(Setup!$C$13+Setup!$G$32),Setup!$C$39:$C$50))&lt;=Setup!$C$16))),WORKDAY(N380,-(Setup!$C$13+Setup!$G$32+Setup!$C$14),Setup!$C$39:$C$50),WORKDAY(N380,-(Setup!$C$13+Setup!$G$32),Setup!$C$39:$C$50))+(375*100+13)/10000000)))</f>
        <v/>
      </c>
      <c r="AE380" t="str">
        <f>IF(O380="","",IF(O380&lt;Setup!$C$5-Setup!$C$6,"",IF(IF(ISNUMBER(Roster!$D380),Setup!$C$33&lt;=Roster!$D380,FALSE),"",IF(OR(IF(Setup!$C$15&lt;=Setup!$C$16,AND(MONTH(O380)&gt;=Setup!$C$15,MONTH(O380)&lt;=Setup!$C$16),OR(MONTH(O380)&gt;=Setup!$C$15,MONTH(O380)&lt;=Setup!$C$16)),IF(Setup!$C$15&lt;=Setup!$C$16,AND(MONTH(WORKDAY(O380,-(Setup!$C$13+Setup!$G$33),Setup!$C$39:$C$50))&gt;=Setup!$C$15,MONTH(WORKDAY(O380,-(Setup!$C$13+Setup!$G$33),Setup!$C$39:$C$50))&lt;=Setup!$C$16),OR(MONTH(WORKDAY(O380,-(Setup!$C$13+Setup!$G$33),Setup!$C$39:$C$50))&gt;=Setup!$C$15,MONTH(WORKDAY(O380,-(Setup!$C$13+Setup!$G$33),Setup!$C$39:$C$50))&lt;=Setup!$C$16))),WORKDAY(O380,-(Setup!$C$13+Setup!$G$33+Setup!$C$14),Setup!$C$39:$C$50),WORKDAY(O380,-(Setup!$C$13+Setup!$G$33),Setup!$C$39:$C$50))+(375*100+14)/10000000)))</f>
        <v/>
      </c>
      <c r="AF380" t="str">
        <f>IF(P380="","",IF(P380&lt;Setup!$C$5-Setup!$C$6,"",IF(IF(ISNUMBER(Roster!$D380),Setup!$C$34&lt;=Roster!$D380,FALSE),"",IF(OR(IF(Setup!$C$15&lt;=Setup!$C$16,AND(MONTH(P380)&gt;=Setup!$C$15,MONTH(P380)&lt;=Setup!$C$16),OR(MONTH(P380)&gt;=Setup!$C$15,MONTH(P380)&lt;=Setup!$C$16)),IF(Setup!$C$15&lt;=Setup!$C$16,AND(MONTH(WORKDAY(P380,-(Setup!$C$13+Setup!$G$34),Setup!$C$39:$C$50))&gt;=Setup!$C$15,MONTH(WORKDAY(P380,-(Setup!$C$13+Setup!$G$34),Setup!$C$39:$C$50))&lt;=Setup!$C$16),OR(MONTH(WORKDAY(P380,-(Setup!$C$13+Setup!$G$34),Setup!$C$39:$C$50))&gt;=Setup!$C$15,MONTH(WORKDAY(P380,-(Setup!$C$13+Setup!$G$34),Setup!$C$39:$C$50))&lt;=Setup!$C$16))),WORKDAY(P380,-(Setup!$C$13+Setup!$G$34+Setup!$C$14),Setup!$C$39:$C$50),WORKDAY(P380,-(Setup!$C$13+Setup!$G$34),Setup!$C$39:$C$50))+(375*100+15)/10000000)))</f>
        <v/>
      </c>
      <c r="AH380" t="str">
        <f t="shared" si="41"/>
        <v/>
      </c>
      <c r="AI380" t="str">
        <f t="shared" si="42"/>
        <v/>
      </c>
      <c r="AP380" t="str">
        <f>IF(ISNUMBER(Roster!$B380),MAX(1,YEAR(Setup!$C$5)-YEAR(Roster!$B380)+IF(EDATE(Roster!$B380,12*(YEAR(Setup!$C$5)-YEAR(Roster!$B380)))&lt;Setup!$C$5,1,0)),"")</f>
        <v/>
      </c>
      <c r="AQ380" s="32" t="str">
        <f>IF(AP380="","",EDATE(Roster!$B380,12*AP380))</f>
        <v/>
      </c>
      <c r="AR380" t="str">
        <f>IF(AQ380="","",IF(AQ380&lt;DATE(YEAR(Setup!$C$5)+1,MONTH(Setup!$C$5),DAY(Setup!$C$5)),AQ380+375/1000,""))</f>
        <v/>
      </c>
      <c r="AS380" t="str">
        <f t="shared" si="43"/>
        <v/>
      </c>
      <c r="AT380" t="str">
        <f>IF(AS380="","",IF(ISNUMBER(Roster!$D380),Roster!$D380&gt;=AP380,FALSE))</f>
        <v/>
      </c>
      <c r="AU380" t="str">
        <f t="shared" si="44"/>
        <v/>
      </c>
      <c r="AV380" t="str">
        <f ca="1">IF(375&gt;$AV$2,"",SMALL($AR$6:$AR$505,375))</f>
        <v/>
      </c>
      <c r="AW380" t="str">
        <f t="shared" ca="1" si="45"/>
        <v/>
      </c>
    </row>
    <row r="381" spans="2:49" x14ac:dyDescent="0.2">
      <c r="B381" s="32" t="str">
        <f>IF(AND(ISNUMBER(Roster!$B381),Setup!$B$20="Yes",ISNUMBER(Setup!$C$20)),EDATE(Roster!$B381,12*Setup!$C$20),"")</f>
        <v/>
      </c>
      <c r="C381" s="32" t="str">
        <f>IF(AND(ISNUMBER(Roster!$B381),Setup!$B$21="Yes",ISNUMBER(Setup!$C$21)),EDATE(Roster!$B381,12*Setup!$C$21),"")</f>
        <v/>
      </c>
      <c r="D381" s="32" t="str">
        <f>IF(AND(ISNUMBER(Roster!$B381),Setup!$B$22="Yes",ISNUMBER(Setup!$C$22)),EDATE(Roster!$B381,12*Setup!$C$22),"")</f>
        <v/>
      </c>
      <c r="E381" s="32" t="str">
        <f>IF(AND(ISNUMBER(Roster!$B381),Setup!$B$23="Yes",ISNUMBER(Setup!$C$23)),EDATE(Roster!$B381,12*Setup!$C$23),"")</f>
        <v/>
      </c>
      <c r="F381" s="32" t="str">
        <f>IF(AND(ISNUMBER(Roster!$B381),Setup!$B$24="Yes",ISNUMBER(Setup!$C$24)),EDATE(Roster!$B381,12*Setup!$C$24),"")</f>
        <v/>
      </c>
      <c r="G381" s="32" t="str">
        <f>IF(AND(ISNUMBER(Roster!$B381),Setup!$B$25="Yes",ISNUMBER(Setup!$C$25)),EDATE(Roster!$B381,12*Setup!$C$25),"")</f>
        <v/>
      </c>
      <c r="H381" s="32" t="str">
        <f>IF(AND(ISNUMBER(Roster!$B381),Setup!$B$26="Yes",ISNUMBER(Setup!$C$26)),EDATE(Roster!$B381,12*Setup!$C$26),"")</f>
        <v/>
      </c>
      <c r="I381" s="32" t="str">
        <f>IF(AND(ISNUMBER(Roster!$B381),Setup!$B$27="Yes",ISNUMBER(Setup!$C$27)),EDATE(Roster!$B381,12*Setup!$C$27),"")</f>
        <v/>
      </c>
      <c r="J381" s="32" t="str">
        <f>IF(AND(ISNUMBER(Roster!$B381),Setup!$B$28="Yes",ISNUMBER(Setup!$C$28)),EDATE(Roster!$B381,12*Setup!$C$28),"")</f>
        <v/>
      </c>
      <c r="K381" s="32" t="str">
        <f>IF(AND(ISNUMBER(Roster!$B381),Setup!$B$29="Yes",ISNUMBER(Setup!$C$29)),EDATE(Roster!$B381,12*Setup!$C$29),"")</f>
        <v/>
      </c>
      <c r="L381" s="32" t="str">
        <f>IF(AND(ISNUMBER(Roster!$B381),Setup!$B$30="Yes",ISNUMBER(Setup!$C$30)),EDATE(Roster!$B381,12*Setup!$C$30),"")</f>
        <v/>
      </c>
      <c r="M381" s="32" t="str">
        <f>IF(AND(ISNUMBER(Roster!$B381),Setup!$B$31="Yes",ISNUMBER(Setup!$C$31)),EDATE(Roster!$B381,12*Setup!$C$31),"")</f>
        <v/>
      </c>
      <c r="N381" s="32" t="str">
        <f>IF(AND(ISNUMBER(Roster!$B381),Setup!$B$32="Yes",ISNUMBER(Setup!$C$32)),EDATE(Roster!$B381,12*Setup!$C$32),"")</f>
        <v/>
      </c>
      <c r="O381" s="32" t="str">
        <f>IF(AND(ISNUMBER(Roster!$B381),Setup!$B$33="Yes",ISNUMBER(Setup!$C$33)),EDATE(Roster!$B381,12*Setup!$C$33),"")</f>
        <v/>
      </c>
      <c r="P381" s="32" t="str">
        <f>IF(AND(ISNUMBER(Roster!$B381),Setup!$B$34="Yes",ISNUMBER(Setup!$C$34)),EDATE(Roster!$B381,12*Setup!$C$34),"")</f>
        <v/>
      </c>
      <c r="R381" t="str">
        <f>IF(B381="","",IF(B381&lt;Setup!$C$5-Setup!$C$6,"",IF(IF(ISNUMBER(Roster!$D381),Setup!$C$20&lt;=Roster!$D381,FALSE),"",IF(OR(IF(Setup!$C$15&lt;=Setup!$C$16,AND(MONTH(B381)&gt;=Setup!$C$15,MONTH(B381)&lt;=Setup!$C$16),OR(MONTH(B381)&gt;=Setup!$C$15,MONTH(B381)&lt;=Setup!$C$16)),IF(Setup!$C$15&lt;=Setup!$C$16,AND(MONTH(WORKDAY(B381,-(Setup!$C$13+Setup!$G$20),Setup!$C$39:$C$50))&gt;=Setup!$C$15,MONTH(WORKDAY(B381,-(Setup!$C$13+Setup!$G$20),Setup!$C$39:$C$50))&lt;=Setup!$C$16),OR(MONTH(WORKDAY(B381,-(Setup!$C$13+Setup!$G$20),Setup!$C$39:$C$50))&gt;=Setup!$C$15,MONTH(WORKDAY(B381,-(Setup!$C$13+Setup!$G$20),Setup!$C$39:$C$50))&lt;=Setup!$C$16))),WORKDAY(B381,-(Setup!$C$13+Setup!$G$20+Setup!$C$14),Setup!$C$39:$C$50),WORKDAY(B381,-(Setup!$C$13+Setup!$G$20),Setup!$C$39:$C$50))+(376*100+1)/10000000)))</f>
        <v/>
      </c>
      <c r="S381" t="str">
        <f>IF(C381="","",IF(C381&lt;Setup!$C$5-Setup!$C$6,"",IF(IF(ISNUMBER(Roster!$D381),Setup!$C$21&lt;=Roster!$D381,FALSE),"",IF(OR(IF(Setup!$C$15&lt;=Setup!$C$16,AND(MONTH(C381)&gt;=Setup!$C$15,MONTH(C381)&lt;=Setup!$C$16),OR(MONTH(C381)&gt;=Setup!$C$15,MONTH(C381)&lt;=Setup!$C$16)),IF(Setup!$C$15&lt;=Setup!$C$16,AND(MONTH(WORKDAY(C381,-(Setup!$C$13+Setup!$G$21),Setup!$C$39:$C$50))&gt;=Setup!$C$15,MONTH(WORKDAY(C381,-(Setup!$C$13+Setup!$G$21),Setup!$C$39:$C$50))&lt;=Setup!$C$16),OR(MONTH(WORKDAY(C381,-(Setup!$C$13+Setup!$G$21),Setup!$C$39:$C$50))&gt;=Setup!$C$15,MONTH(WORKDAY(C381,-(Setup!$C$13+Setup!$G$21),Setup!$C$39:$C$50))&lt;=Setup!$C$16))),WORKDAY(C381,-(Setup!$C$13+Setup!$G$21+Setup!$C$14),Setup!$C$39:$C$50),WORKDAY(C381,-(Setup!$C$13+Setup!$G$21),Setup!$C$39:$C$50))+(376*100+2)/10000000)))</f>
        <v/>
      </c>
      <c r="T381" t="str">
        <f>IF(D381="","",IF(D381&lt;Setup!$C$5-Setup!$C$6,"",IF(IF(ISNUMBER(Roster!$D381),Setup!$C$22&lt;=Roster!$D381,FALSE),"",IF(OR(IF(Setup!$C$15&lt;=Setup!$C$16,AND(MONTH(D381)&gt;=Setup!$C$15,MONTH(D381)&lt;=Setup!$C$16),OR(MONTH(D381)&gt;=Setup!$C$15,MONTH(D381)&lt;=Setup!$C$16)),IF(Setup!$C$15&lt;=Setup!$C$16,AND(MONTH(WORKDAY(D381,-(Setup!$C$13+Setup!$G$22),Setup!$C$39:$C$50))&gt;=Setup!$C$15,MONTH(WORKDAY(D381,-(Setup!$C$13+Setup!$G$22),Setup!$C$39:$C$50))&lt;=Setup!$C$16),OR(MONTH(WORKDAY(D381,-(Setup!$C$13+Setup!$G$22),Setup!$C$39:$C$50))&gt;=Setup!$C$15,MONTH(WORKDAY(D381,-(Setup!$C$13+Setup!$G$22),Setup!$C$39:$C$50))&lt;=Setup!$C$16))),WORKDAY(D381,-(Setup!$C$13+Setup!$G$22+Setup!$C$14),Setup!$C$39:$C$50),WORKDAY(D381,-(Setup!$C$13+Setup!$G$22),Setup!$C$39:$C$50))+(376*100+3)/10000000)))</f>
        <v/>
      </c>
      <c r="U381" t="str">
        <f>IF(E381="","",IF(E381&lt;Setup!$C$5-Setup!$C$6,"",IF(IF(ISNUMBER(Roster!$D381),Setup!$C$23&lt;=Roster!$D381,FALSE),"",IF(OR(IF(Setup!$C$15&lt;=Setup!$C$16,AND(MONTH(E381)&gt;=Setup!$C$15,MONTH(E381)&lt;=Setup!$C$16),OR(MONTH(E381)&gt;=Setup!$C$15,MONTH(E381)&lt;=Setup!$C$16)),IF(Setup!$C$15&lt;=Setup!$C$16,AND(MONTH(WORKDAY(E381,-(Setup!$C$13+Setup!$G$23),Setup!$C$39:$C$50))&gt;=Setup!$C$15,MONTH(WORKDAY(E381,-(Setup!$C$13+Setup!$G$23),Setup!$C$39:$C$50))&lt;=Setup!$C$16),OR(MONTH(WORKDAY(E381,-(Setup!$C$13+Setup!$G$23),Setup!$C$39:$C$50))&gt;=Setup!$C$15,MONTH(WORKDAY(E381,-(Setup!$C$13+Setup!$G$23),Setup!$C$39:$C$50))&lt;=Setup!$C$16))),WORKDAY(E381,-(Setup!$C$13+Setup!$G$23+Setup!$C$14),Setup!$C$39:$C$50),WORKDAY(E381,-(Setup!$C$13+Setup!$G$23),Setup!$C$39:$C$50))+(376*100+4)/10000000)))</f>
        <v/>
      </c>
      <c r="V381" t="str">
        <f>IF(F381="","",IF(F381&lt;Setup!$C$5-Setup!$C$6,"",IF(IF(ISNUMBER(Roster!$D381),Setup!$C$24&lt;=Roster!$D381,FALSE),"",IF(OR(IF(Setup!$C$15&lt;=Setup!$C$16,AND(MONTH(F381)&gt;=Setup!$C$15,MONTH(F381)&lt;=Setup!$C$16),OR(MONTH(F381)&gt;=Setup!$C$15,MONTH(F381)&lt;=Setup!$C$16)),IF(Setup!$C$15&lt;=Setup!$C$16,AND(MONTH(WORKDAY(F381,-(Setup!$C$13+Setup!$G$24),Setup!$C$39:$C$50))&gt;=Setup!$C$15,MONTH(WORKDAY(F381,-(Setup!$C$13+Setup!$G$24),Setup!$C$39:$C$50))&lt;=Setup!$C$16),OR(MONTH(WORKDAY(F381,-(Setup!$C$13+Setup!$G$24),Setup!$C$39:$C$50))&gt;=Setup!$C$15,MONTH(WORKDAY(F381,-(Setup!$C$13+Setup!$G$24),Setup!$C$39:$C$50))&lt;=Setup!$C$16))),WORKDAY(F381,-(Setup!$C$13+Setup!$G$24+Setup!$C$14),Setup!$C$39:$C$50),WORKDAY(F381,-(Setup!$C$13+Setup!$G$24),Setup!$C$39:$C$50))+(376*100+5)/10000000)))</f>
        <v/>
      </c>
      <c r="W381" t="str">
        <f>IF(G381="","",IF(G381&lt;Setup!$C$5-Setup!$C$6,"",IF(IF(ISNUMBER(Roster!$D381),Setup!$C$25&lt;=Roster!$D381,FALSE),"",IF(OR(IF(Setup!$C$15&lt;=Setup!$C$16,AND(MONTH(G381)&gt;=Setup!$C$15,MONTH(G381)&lt;=Setup!$C$16),OR(MONTH(G381)&gt;=Setup!$C$15,MONTH(G381)&lt;=Setup!$C$16)),IF(Setup!$C$15&lt;=Setup!$C$16,AND(MONTH(WORKDAY(G381,-(Setup!$C$13+Setup!$G$25),Setup!$C$39:$C$50))&gt;=Setup!$C$15,MONTH(WORKDAY(G381,-(Setup!$C$13+Setup!$G$25),Setup!$C$39:$C$50))&lt;=Setup!$C$16),OR(MONTH(WORKDAY(G381,-(Setup!$C$13+Setup!$G$25),Setup!$C$39:$C$50))&gt;=Setup!$C$15,MONTH(WORKDAY(G381,-(Setup!$C$13+Setup!$G$25),Setup!$C$39:$C$50))&lt;=Setup!$C$16))),WORKDAY(G381,-(Setup!$C$13+Setup!$G$25+Setup!$C$14),Setup!$C$39:$C$50),WORKDAY(G381,-(Setup!$C$13+Setup!$G$25),Setup!$C$39:$C$50))+(376*100+6)/10000000)))</f>
        <v/>
      </c>
      <c r="X381" t="str">
        <f>IF(H381="","",IF(H381&lt;Setup!$C$5-Setup!$C$6,"",IF(IF(ISNUMBER(Roster!$D381),Setup!$C$26&lt;=Roster!$D381,FALSE),"",IF(OR(IF(Setup!$C$15&lt;=Setup!$C$16,AND(MONTH(H381)&gt;=Setup!$C$15,MONTH(H381)&lt;=Setup!$C$16),OR(MONTH(H381)&gt;=Setup!$C$15,MONTH(H381)&lt;=Setup!$C$16)),IF(Setup!$C$15&lt;=Setup!$C$16,AND(MONTH(WORKDAY(H381,-(Setup!$C$13+Setup!$G$26),Setup!$C$39:$C$50))&gt;=Setup!$C$15,MONTH(WORKDAY(H381,-(Setup!$C$13+Setup!$G$26),Setup!$C$39:$C$50))&lt;=Setup!$C$16),OR(MONTH(WORKDAY(H381,-(Setup!$C$13+Setup!$G$26),Setup!$C$39:$C$50))&gt;=Setup!$C$15,MONTH(WORKDAY(H381,-(Setup!$C$13+Setup!$G$26),Setup!$C$39:$C$50))&lt;=Setup!$C$16))),WORKDAY(H381,-(Setup!$C$13+Setup!$G$26+Setup!$C$14),Setup!$C$39:$C$50),WORKDAY(H381,-(Setup!$C$13+Setup!$G$26),Setup!$C$39:$C$50))+(376*100+7)/10000000)))</f>
        <v/>
      </c>
      <c r="Y381" t="str">
        <f>IF(I381="","",IF(I381&lt;Setup!$C$5-Setup!$C$6,"",IF(IF(ISNUMBER(Roster!$D381),Setup!$C$27&lt;=Roster!$D381,FALSE),"",IF(OR(IF(Setup!$C$15&lt;=Setup!$C$16,AND(MONTH(I381)&gt;=Setup!$C$15,MONTH(I381)&lt;=Setup!$C$16),OR(MONTH(I381)&gt;=Setup!$C$15,MONTH(I381)&lt;=Setup!$C$16)),IF(Setup!$C$15&lt;=Setup!$C$16,AND(MONTH(WORKDAY(I381,-(Setup!$C$13+Setup!$G$27),Setup!$C$39:$C$50))&gt;=Setup!$C$15,MONTH(WORKDAY(I381,-(Setup!$C$13+Setup!$G$27),Setup!$C$39:$C$50))&lt;=Setup!$C$16),OR(MONTH(WORKDAY(I381,-(Setup!$C$13+Setup!$G$27),Setup!$C$39:$C$50))&gt;=Setup!$C$15,MONTH(WORKDAY(I381,-(Setup!$C$13+Setup!$G$27),Setup!$C$39:$C$50))&lt;=Setup!$C$16))),WORKDAY(I381,-(Setup!$C$13+Setup!$G$27+Setup!$C$14),Setup!$C$39:$C$50),WORKDAY(I381,-(Setup!$C$13+Setup!$G$27),Setup!$C$39:$C$50))+(376*100+8)/10000000)))</f>
        <v/>
      </c>
      <c r="Z381" t="str">
        <f>IF(J381="","",IF(J381&lt;Setup!$C$5-Setup!$C$6,"",IF(IF(ISNUMBER(Roster!$D381),Setup!$C$28&lt;=Roster!$D381,FALSE),"",IF(OR(IF(Setup!$C$15&lt;=Setup!$C$16,AND(MONTH(J381)&gt;=Setup!$C$15,MONTH(J381)&lt;=Setup!$C$16),OR(MONTH(J381)&gt;=Setup!$C$15,MONTH(J381)&lt;=Setup!$C$16)),IF(Setup!$C$15&lt;=Setup!$C$16,AND(MONTH(WORKDAY(J381,-(Setup!$C$13+Setup!$G$28),Setup!$C$39:$C$50))&gt;=Setup!$C$15,MONTH(WORKDAY(J381,-(Setup!$C$13+Setup!$G$28),Setup!$C$39:$C$50))&lt;=Setup!$C$16),OR(MONTH(WORKDAY(J381,-(Setup!$C$13+Setup!$G$28),Setup!$C$39:$C$50))&gt;=Setup!$C$15,MONTH(WORKDAY(J381,-(Setup!$C$13+Setup!$G$28),Setup!$C$39:$C$50))&lt;=Setup!$C$16))),WORKDAY(J381,-(Setup!$C$13+Setup!$G$28+Setup!$C$14),Setup!$C$39:$C$50),WORKDAY(J381,-(Setup!$C$13+Setup!$G$28),Setup!$C$39:$C$50))+(376*100+9)/10000000)))</f>
        <v/>
      </c>
      <c r="AA381" t="str">
        <f>IF(K381="","",IF(K381&lt;Setup!$C$5-Setup!$C$6,"",IF(IF(ISNUMBER(Roster!$D381),Setup!$C$29&lt;=Roster!$D381,FALSE),"",IF(OR(IF(Setup!$C$15&lt;=Setup!$C$16,AND(MONTH(K381)&gt;=Setup!$C$15,MONTH(K381)&lt;=Setup!$C$16),OR(MONTH(K381)&gt;=Setup!$C$15,MONTH(K381)&lt;=Setup!$C$16)),IF(Setup!$C$15&lt;=Setup!$C$16,AND(MONTH(WORKDAY(K381,-(Setup!$C$13+Setup!$G$29),Setup!$C$39:$C$50))&gt;=Setup!$C$15,MONTH(WORKDAY(K381,-(Setup!$C$13+Setup!$G$29),Setup!$C$39:$C$50))&lt;=Setup!$C$16),OR(MONTH(WORKDAY(K381,-(Setup!$C$13+Setup!$G$29),Setup!$C$39:$C$50))&gt;=Setup!$C$15,MONTH(WORKDAY(K381,-(Setup!$C$13+Setup!$G$29),Setup!$C$39:$C$50))&lt;=Setup!$C$16))),WORKDAY(K381,-(Setup!$C$13+Setup!$G$29+Setup!$C$14),Setup!$C$39:$C$50),WORKDAY(K381,-(Setup!$C$13+Setup!$G$29),Setup!$C$39:$C$50))+(376*100+10)/10000000)))</f>
        <v/>
      </c>
      <c r="AB381" t="str">
        <f>IF(L381="","",IF(L381&lt;Setup!$C$5-Setup!$C$6,"",IF(IF(ISNUMBER(Roster!$D381),Setup!$C$30&lt;=Roster!$D381,FALSE),"",IF(OR(IF(Setup!$C$15&lt;=Setup!$C$16,AND(MONTH(L381)&gt;=Setup!$C$15,MONTH(L381)&lt;=Setup!$C$16),OR(MONTH(L381)&gt;=Setup!$C$15,MONTH(L381)&lt;=Setup!$C$16)),IF(Setup!$C$15&lt;=Setup!$C$16,AND(MONTH(WORKDAY(L381,-(Setup!$C$13+Setup!$G$30),Setup!$C$39:$C$50))&gt;=Setup!$C$15,MONTH(WORKDAY(L381,-(Setup!$C$13+Setup!$G$30),Setup!$C$39:$C$50))&lt;=Setup!$C$16),OR(MONTH(WORKDAY(L381,-(Setup!$C$13+Setup!$G$30),Setup!$C$39:$C$50))&gt;=Setup!$C$15,MONTH(WORKDAY(L381,-(Setup!$C$13+Setup!$G$30),Setup!$C$39:$C$50))&lt;=Setup!$C$16))),WORKDAY(L381,-(Setup!$C$13+Setup!$G$30+Setup!$C$14),Setup!$C$39:$C$50),WORKDAY(L381,-(Setup!$C$13+Setup!$G$30),Setup!$C$39:$C$50))+(376*100+11)/10000000)))</f>
        <v/>
      </c>
      <c r="AC381" t="str">
        <f>IF(M381="","",IF(M381&lt;Setup!$C$5-Setup!$C$6,"",IF(IF(ISNUMBER(Roster!$D381),Setup!$C$31&lt;=Roster!$D381,FALSE),"",IF(OR(IF(Setup!$C$15&lt;=Setup!$C$16,AND(MONTH(M381)&gt;=Setup!$C$15,MONTH(M381)&lt;=Setup!$C$16),OR(MONTH(M381)&gt;=Setup!$C$15,MONTH(M381)&lt;=Setup!$C$16)),IF(Setup!$C$15&lt;=Setup!$C$16,AND(MONTH(WORKDAY(M381,-(Setup!$C$13+Setup!$G$31),Setup!$C$39:$C$50))&gt;=Setup!$C$15,MONTH(WORKDAY(M381,-(Setup!$C$13+Setup!$G$31),Setup!$C$39:$C$50))&lt;=Setup!$C$16),OR(MONTH(WORKDAY(M381,-(Setup!$C$13+Setup!$G$31),Setup!$C$39:$C$50))&gt;=Setup!$C$15,MONTH(WORKDAY(M381,-(Setup!$C$13+Setup!$G$31),Setup!$C$39:$C$50))&lt;=Setup!$C$16))),WORKDAY(M381,-(Setup!$C$13+Setup!$G$31+Setup!$C$14),Setup!$C$39:$C$50),WORKDAY(M381,-(Setup!$C$13+Setup!$G$31),Setup!$C$39:$C$50))+(376*100+12)/10000000)))</f>
        <v/>
      </c>
      <c r="AD381" t="str">
        <f>IF(N381="","",IF(N381&lt;Setup!$C$5-Setup!$C$6,"",IF(IF(ISNUMBER(Roster!$D381),Setup!$C$32&lt;=Roster!$D381,FALSE),"",IF(OR(IF(Setup!$C$15&lt;=Setup!$C$16,AND(MONTH(N381)&gt;=Setup!$C$15,MONTH(N381)&lt;=Setup!$C$16),OR(MONTH(N381)&gt;=Setup!$C$15,MONTH(N381)&lt;=Setup!$C$16)),IF(Setup!$C$15&lt;=Setup!$C$16,AND(MONTH(WORKDAY(N381,-(Setup!$C$13+Setup!$G$32),Setup!$C$39:$C$50))&gt;=Setup!$C$15,MONTH(WORKDAY(N381,-(Setup!$C$13+Setup!$G$32),Setup!$C$39:$C$50))&lt;=Setup!$C$16),OR(MONTH(WORKDAY(N381,-(Setup!$C$13+Setup!$G$32),Setup!$C$39:$C$50))&gt;=Setup!$C$15,MONTH(WORKDAY(N381,-(Setup!$C$13+Setup!$G$32),Setup!$C$39:$C$50))&lt;=Setup!$C$16))),WORKDAY(N381,-(Setup!$C$13+Setup!$G$32+Setup!$C$14),Setup!$C$39:$C$50),WORKDAY(N381,-(Setup!$C$13+Setup!$G$32),Setup!$C$39:$C$50))+(376*100+13)/10000000)))</f>
        <v/>
      </c>
      <c r="AE381" t="str">
        <f>IF(O381="","",IF(O381&lt;Setup!$C$5-Setup!$C$6,"",IF(IF(ISNUMBER(Roster!$D381),Setup!$C$33&lt;=Roster!$D381,FALSE),"",IF(OR(IF(Setup!$C$15&lt;=Setup!$C$16,AND(MONTH(O381)&gt;=Setup!$C$15,MONTH(O381)&lt;=Setup!$C$16),OR(MONTH(O381)&gt;=Setup!$C$15,MONTH(O381)&lt;=Setup!$C$16)),IF(Setup!$C$15&lt;=Setup!$C$16,AND(MONTH(WORKDAY(O381,-(Setup!$C$13+Setup!$G$33),Setup!$C$39:$C$50))&gt;=Setup!$C$15,MONTH(WORKDAY(O381,-(Setup!$C$13+Setup!$G$33),Setup!$C$39:$C$50))&lt;=Setup!$C$16),OR(MONTH(WORKDAY(O381,-(Setup!$C$13+Setup!$G$33),Setup!$C$39:$C$50))&gt;=Setup!$C$15,MONTH(WORKDAY(O381,-(Setup!$C$13+Setup!$G$33),Setup!$C$39:$C$50))&lt;=Setup!$C$16))),WORKDAY(O381,-(Setup!$C$13+Setup!$G$33+Setup!$C$14),Setup!$C$39:$C$50),WORKDAY(O381,-(Setup!$C$13+Setup!$G$33),Setup!$C$39:$C$50))+(376*100+14)/10000000)))</f>
        <v/>
      </c>
      <c r="AF381" t="str">
        <f>IF(P381="","",IF(P381&lt;Setup!$C$5-Setup!$C$6,"",IF(IF(ISNUMBER(Roster!$D381),Setup!$C$34&lt;=Roster!$D381,FALSE),"",IF(OR(IF(Setup!$C$15&lt;=Setup!$C$16,AND(MONTH(P381)&gt;=Setup!$C$15,MONTH(P381)&lt;=Setup!$C$16),OR(MONTH(P381)&gt;=Setup!$C$15,MONTH(P381)&lt;=Setup!$C$16)),IF(Setup!$C$15&lt;=Setup!$C$16,AND(MONTH(WORKDAY(P381,-(Setup!$C$13+Setup!$G$34),Setup!$C$39:$C$50))&gt;=Setup!$C$15,MONTH(WORKDAY(P381,-(Setup!$C$13+Setup!$G$34),Setup!$C$39:$C$50))&lt;=Setup!$C$16),OR(MONTH(WORKDAY(P381,-(Setup!$C$13+Setup!$G$34),Setup!$C$39:$C$50))&gt;=Setup!$C$15,MONTH(WORKDAY(P381,-(Setup!$C$13+Setup!$G$34),Setup!$C$39:$C$50))&lt;=Setup!$C$16))),WORKDAY(P381,-(Setup!$C$13+Setup!$G$34+Setup!$C$14),Setup!$C$39:$C$50),WORKDAY(P381,-(Setup!$C$13+Setup!$G$34),Setup!$C$39:$C$50))+(376*100+15)/10000000)))</f>
        <v/>
      </c>
      <c r="AH381" t="str">
        <f t="shared" si="41"/>
        <v/>
      </c>
      <c r="AI381" t="str">
        <f t="shared" si="42"/>
        <v/>
      </c>
      <c r="AP381" t="str">
        <f>IF(ISNUMBER(Roster!$B381),MAX(1,YEAR(Setup!$C$5)-YEAR(Roster!$B381)+IF(EDATE(Roster!$B381,12*(YEAR(Setup!$C$5)-YEAR(Roster!$B381)))&lt;Setup!$C$5,1,0)),"")</f>
        <v/>
      </c>
      <c r="AQ381" s="32" t="str">
        <f>IF(AP381="","",EDATE(Roster!$B381,12*AP381))</f>
        <v/>
      </c>
      <c r="AR381" t="str">
        <f>IF(AQ381="","",IF(AQ381&lt;DATE(YEAR(Setup!$C$5)+1,MONTH(Setup!$C$5),DAY(Setup!$C$5)),AQ381+376/1000,""))</f>
        <v/>
      </c>
      <c r="AS381" t="str">
        <f t="shared" si="43"/>
        <v/>
      </c>
      <c r="AT381" t="str">
        <f>IF(AS381="","",IF(ISNUMBER(Roster!$D381),Roster!$D381&gt;=AP381,FALSE))</f>
        <v/>
      </c>
      <c r="AU381" t="str">
        <f t="shared" si="44"/>
        <v/>
      </c>
      <c r="AV381" t="str">
        <f ca="1">IF(376&gt;$AV$2,"",SMALL($AR$6:$AR$505,376))</f>
        <v/>
      </c>
      <c r="AW381" t="str">
        <f t="shared" ca="1" si="45"/>
        <v/>
      </c>
    </row>
    <row r="382" spans="2:49" x14ac:dyDescent="0.2">
      <c r="B382" s="32" t="str">
        <f>IF(AND(ISNUMBER(Roster!$B382),Setup!$B$20="Yes",ISNUMBER(Setup!$C$20)),EDATE(Roster!$B382,12*Setup!$C$20),"")</f>
        <v/>
      </c>
      <c r="C382" s="32" t="str">
        <f>IF(AND(ISNUMBER(Roster!$B382),Setup!$B$21="Yes",ISNUMBER(Setup!$C$21)),EDATE(Roster!$B382,12*Setup!$C$21),"")</f>
        <v/>
      </c>
      <c r="D382" s="32" t="str">
        <f>IF(AND(ISNUMBER(Roster!$B382),Setup!$B$22="Yes",ISNUMBER(Setup!$C$22)),EDATE(Roster!$B382,12*Setup!$C$22),"")</f>
        <v/>
      </c>
      <c r="E382" s="32" t="str">
        <f>IF(AND(ISNUMBER(Roster!$B382),Setup!$B$23="Yes",ISNUMBER(Setup!$C$23)),EDATE(Roster!$B382,12*Setup!$C$23),"")</f>
        <v/>
      </c>
      <c r="F382" s="32" t="str">
        <f>IF(AND(ISNUMBER(Roster!$B382),Setup!$B$24="Yes",ISNUMBER(Setup!$C$24)),EDATE(Roster!$B382,12*Setup!$C$24),"")</f>
        <v/>
      </c>
      <c r="G382" s="32" t="str">
        <f>IF(AND(ISNUMBER(Roster!$B382),Setup!$B$25="Yes",ISNUMBER(Setup!$C$25)),EDATE(Roster!$B382,12*Setup!$C$25),"")</f>
        <v/>
      </c>
      <c r="H382" s="32" t="str">
        <f>IF(AND(ISNUMBER(Roster!$B382),Setup!$B$26="Yes",ISNUMBER(Setup!$C$26)),EDATE(Roster!$B382,12*Setup!$C$26),"")</f>
        <v/>
      </c>
      <c r="I382" s="32" t="str">
        <f>IF(AND(ISNUMBER(Roster!$B382),Setup!$B$27="Yes",ISNUMBER(Setup!$C$27)),EDATE(Roster!$B382,12*Setup!$C$27),"")</f>
        <v/>
      </c>
      <c r="J382" s="32" t="str">
        <f>IF(AND(ISNUMBER(Roster!$B382),Setup!$B$28="Yes",ISNUMBER(Setup!$C$28)),EDATE(Roster!$B382,12*Setup!$C$28),"")</f>
        <v/>
      </c>
      <c r="K382" s="32" t="str">
        <f>IF(AND(ISNUMBER(Roster!$B382),Setup!$B$29="Yes",ISNUMBER(Setup!$C$29)),EDATE(Roster!$B382,12*Setup!$C$29),"")</f>
        <v/>
      </c>
      <c r="L382" s="32" t="str">
        <f>IF(AND(ISNUMBER(Roster!$B382),Setup!$B$30="Yes",ISNUMBER(Setup!$C$30)),EDATE(Roster!$B382,12*Setup!$C$30),"")</f>
        <v/>
      </c>
      <c r="M382" s="32" t="str">
        <f>IF(AND(ISNUMBER(Roster!$B382),Setup!$B$31="Yes",ISNUMBER(Setup!$C$31)),EDATE(Roster!$B382,12*Setup!$C$31),"")</f>
        <v/>
      </c>
      <c r="N382" s="32" t="str">
        <f>IF(AND(ISNUMBER(Roster!$B382),Setup!$B$32="Yes",ISNUMBER(Setup!$C$32)),EDATE(Roster!$B382,12*Setup!$C$32),"")</f>
        <v/>
      </c>
      <c r="O382" s="32" t="str">
        <f>IF(AND(ISNUMBER(Roster!$B382),Setup!$B$33="Yes",ISNUMBER(Setup!$C$33)),EDATE(Roster!$B382,12*Setup!$C$33),"")</f>
        <v/>
      </c>
      <c r="P382" s="32" t="str">
        <f>IF(AND(ISNUMBER(Roster!$B382),Setup!$B$34="Yes",ISNUMBER(Setup!$C$34)),EDATE(Roster!$B382,12*Setup!$C$34),"")</f>
        <v/>
      </c>
      <c r="R382" t="str">
        <f>IF(B382="","",IF(B382&lt;Setup!$C$5-Setup!$C$6,"",IF(IF(ISNUMBER(Roster!$D382),Setup!$C$20&lt;=Roster!$D382,FALSE),"",IF(OR(IF(Setup!$C$15&lt;=Setup!$C$16,AND(MONTH(B382)&gt;=Setup!$C$15,MONTH(B382)&lt;=Setup!$C$16),OR(MONTH(B382)&gt;=Setup!$C$15,MONTH(B382)&lt;=Setup!$C$16)),IF(Setup!$C$15&lt;=Setup!$C$16,AND(MONTH(WORKDAY(B382,-(Setup!$C$13+Setup!$G$20),Setup!$C$39:$C$50))&gt;=Setup!$C$15,MONTH(WORKDAY(B382,-(Setup!$C$13+Setup!$G$20),Setup!$C$39:$C$50))&lt;=Setup!$C$16),OR(MONTH(WORKDAY(B382,-(Setup!$C$13+Setup!$G$20),Setup!$C$39:$C$50))&gt;=Setup!$C$15,MONTH(WORKDAY(B382,-(Setup!$C$13+Setup!$G$20),Setup!$C$39:$C$50))&lt;=Setup!$C$16))),WORKDAY(B382,-(Setup!$C$13+Setup!$G$20+Setup!$C$14),Setup!$C$39:$C$50),WORKDAY(B382,-(Setup!$C$13+Setup!$G$20),Setup!$C$39:$C$50))+(377*100+1)/10000000)))</f>
        <v/>
      </c>
      <c r="S382" t="str">
        <f>IF(C382="","",IF(C382&lt;Setup!$C$5-Setup!$C$6,"",IF(IF(ISNUMBER(Roster!$D382),Setup!$C$21&lt;=Roster!$D382,FALSE),"",IF(OR(IF(Setup!$C$15&lt;=Setup!$C$16,AND(MONTH(C382)&gt;=Setup!$C$15,MONTH(C382)&lt;=Setup!$C$16),OR(MONTH(C382)&gt;=Setup!$C$15,MONTH(C382)&lt;=Setup!$C$16)),IF(Setup!$C$15&lt;=Setup!$C$16,AND(MONTH(WORKDAY(C382,-(Setup!$C$13+Setup!$G$21),Setup!$C$39:$C$50))&gt;=Setup!$C$15,MONTH(WORKDAY(C382,-(Setup!$C$13+Setup!$G$21),Setup!$C$39:$C$50))&lt;=Setup!$C$16),OR(MONTH(WORKDAY(C382,-(Setup!$C$13+Setup!$G$21),Setup!$C$39:$C$50))&gt;=Setup!$C$15,MONTH(WORKDAY(C382,-(Setup!$C$13+Setup!$G$21),Setup!$C$39:$C$50))&lt;=Setup!$C$16))),WORKDAY(C382,-(Setup!$C$13+Setup!$G$21+Setup!$C$14),Setup!$C$39:$C$50),WORKDAY(C382,-(Setup!$C$13+Setup!$G$21),Setup!$C$39:$C$50))+(377*100+2)/10000000)))</f>
        <v/>
      </c>
      <c r="T382" t="str">
        <f>IF(D382="","",IF(D382&lt;Setup!$C$5-Setup!$C$6,"",IF(IF(ISNUMBER(Roster!$D382),Setup!$C$22&lt;=Roster!$D382,FALSE),"",IF(OR(IF(Setup!$C$15&lt;=Setup!$C$16,AND(MONTH(D382)&gt;=Setup!$C$15,MONTH(D382)&lt;=Setup!$C$16),OR(MONTH(D382)&gt;=Setup!$C$15,MONTH(D382)&lt;=Setup!$C$16)),IF(Setup!$C$15&lt;=Setup!$C$16,AND(MONTH(WORKDAY(D382,-(Setup!$C$13+Setup!$G$22),Setup!$C$39:$C$50))&gt;=Setup!$C$15,MONTH(WORKDAY(D382,-(Setup!$C$13+Setup!$G$22),Setup!$C$39:$C$50))&lt;=Setup!$C$16),OR(MONTH(WORKDAY(D382,-(Setup!$C$13+Setup!$G$22),Setup!$C$39:$C$50))&gt;=Setup!$C$15,MONTH(WORKDAY(D382,-(Setup!$C$13+Setup!$G$22),Setup!$C$39:$C$50))&lt;=Setup!$C$16))),WORKDAY(D382,-(Setup!$C$13+Setup!$G$22+Setup!$C$14),Setup!$C$39:$C$50),WORKDAY(D382,-(Setup!$C$13+Setup!$G$22),Setup!$C$39:$C$50))+(377*100+3)/10000000)))</f>
        <v/>
      </c>
      <c r="U382" t="str">
        <f>IF(E382="","",IF(E382&lt;Setup!$C$5-Setup!$C$6,"",IF(IF(ISNUMBER(Roster!$D382),Setup!$C$23&lt;=Roster!$D382,FALSE),"",IF(OR(IF(Setup!$C$15&lt;=Setup!$C$16,AND(MONTH(E382)&gt;=Setup!$C$15,MONTH(E382)&lt;=Setup!$C$16),OR(MONTH(E382)&gt;=Setup!$C$15,MONTH(E382)&lt;=Setup!$C$16)),IF(Setup!$C$15&lt;=Setup!$C$16,AND(MONTH(WORKDAY(E382,-(Setup!$C$13+Setup!$G$23),Setup!$C$39:$C$50))&gt;=Setup!$C$15,MONTH(WORKDAY(E382,-(Setup!$C$13+Setup!$G$23),Setup!$C$39:$C$50))&lt;=Setup!$C$16),OR(MONTH(WORKDAY(E382,-(Setup!$C$13+Setup!$G$23),Setup!$C$39:$C$50))&gt;=Setup!$C$15,MONTH(WORKDAY(E382,-(Setup!$C$13+Setup!$G$23),Setup!$C$39:$C$50))&lt;=Setup!$C$16))),WORKDAY(E382,-(Setup!$C$13+Setup!$G$23+Setup!$C$14),Setup!$C$39:$C$50),WORKDAY(E382,-(Setup!$C$13+Setup!$G$23),Setup!$C$39:$C$50))+(377*100+4)/10000000)))</f>
        <v/>
      </c>
      <c r="V382" t="str">
        <f>IF(F382="","",IF(F382&lt;Setup!$C$5-Setup!$C$6,"",IF(IF(ISNUMBER(Roster!$D382),Setup!$C$24&lt;=Roster!$D382,FALSE),"",IF(OR(IF(Setup!$C$15&lt;=Setup!$C$16,AND(MONTH(F382)&gt;=Setup!$C$15,MONTH(F382)&lt;=Setup!$C$16),OR(MONTH(F382)&gt;=Setup!$C$15,MONTH(F382)&lt;=Setup!$C$16)),IF(Setup!$C$15&lt;=Setup!$C$16,AND(MONTH(WORKDAY(F382,-(Setup!$C$13+Setup!$G$24),Setup!$C$39:$C$50))&gt;=Setup!$C$15,MONTH(WORKDAY(F382,-(Setup!$C$13+Setup!$G$24),Setup!$C$39:$C$50))&lt;=Setup!$C$16),OR(MONTH(WORKDAY(F382,-(Setup!$C$13+Setup!$G$24),Setup!$C$39:$C$50))&gt;=Setup!$C$15,MONTH(WORKDAY(F382,-(Setup!$C$13+Setup!$G$24),Setup!$C$39:$C$50))&lt;=Setup!$C$16))),WORKDAY(F382,-(Setup!$C$13+Setup!$G$24+Setup!$C$14),Setup!$C$39:$C$50),WORKDAY(F382,-(Setup!$C$13+Setup!$G$24),Setup!$C$39:$C$50))+(377*100+5)/10000000)))</f>
        <v/>
      </c>
      <c r="W382" t="str">
        <f>IF(G382="","",IF(G382&lt;Setup!$C$5-Setup!$C$6,"",IF(IF(ISNUMBER(Roster!$D382),Setup!$C$25&lt;=Roster!$D382,FALSE),"",IF(OR(IF(Setup!$C$15&lt;=Setup!$C$16,AND(MONTH(G382)&gt;=Setup!$C$15,MONTH(G382)&lt;=Setup!$C$16),OR(MONTH(G382)&gt;=Setup!$C$15,MONTH(G382)&lt;=Setup!$C$16)),IF(Setup!$C$15&lt;=Setup!$C$16,AND(MONTH(WORKDAY(G382,-(Setup!$C$13+Setup!$G$25),Setup!$C$39:$C$50))&gt;=Setup!$C$15,MONTH(WORKDAY(G382,-(Setup!$C$13+Setup!$G$25),Setup!$C$39:$C$50))&lt;=Setup!$C$16),OR(MONTH(WORKDAY(G382,-(Setup!$C$13+Setup!$G$25),Setup!$C$39:$C$50))&gt;=Setup!$C$15,MONTH(WORKDAY(G382,-(Setup!$C$13+Setup!$G$25),Setup!$C$39:$C$50))&lt;=Setup!$C$16))),WORKDAY(G382,-(Setup!$C$13+Setup!$G$25+Setup!$C$14),Setup!$C$39:$C$50),WORKDAY(G382,-(Setup!$C$13+Setup!$G$25),Setup!$C$39:$C$50))+(377*100+6)/10000000)))</f>
        <v/>
      </c>
      <c r="X382" t="str">
        <f>IF(H382="","",IF(H382&lt;Setup!$C$5-Setup!$C$6,"",IF(IF(ISNUMBER(Roster!$D382),Setup!$C$26&lt;=Roster!$D382,FALSE),"",IF(OR(IF(Setup!$C$15&lt;=Setup!$C$16,AND(MONTH(H382)&gt;=Setup!$C$15,MONTH(H382)&lt;=Setup!$C$16),OR(MONTH(H382)&gt;=Setup!$C$15,MONTH(H382)&lt;=Setup!$C$16)),IF(Setup!$C$15&lt;=Setup!$C$16,AND(MONTH(WORKDAY(H382,-(Setup!$C$13+Setup!$G$26),Setup!$C$39:$C$50))&gt;=Setup!$C$15,MONTH(WORKDAY(H382,-(Setup!$C$13+Setup!$G$26),Setup!$C$39:$C$50))&lt;=Setup!$C$16),OR(MONTH(WORKDAY(H382,-(Setup!$C$13+Setup!$G$26),Setup!$C$39:$C$50))&gt;=Setup!$C$15,MONTH(WORKDAY(H382,-(Setup!$C$13+Setup!$G$26),Setup!$C$39:$C$50))&lt;=Setup!$C$16))),WORKDAY(H382,-(Setup!$C$13+Setup!$G$26+Setup!$C$14),Setup!$C$39:$C$50),WORKDAY(H382,-(Setup!$C$13+Setup!$G$26),Setup!$C$39:$C$50))+(377*100+7)/10000000)))</f>
        <v/>
      </c>
      <c r="Y382" t="str">
        <f>IF(I382="","",IF(I382&lt;Setup!$C$5-Setup!$C$6,"",IF(IF(ISNUMBER(Roster!$D382),Setup!$C$27&lt;=Roster!$D382,FALSE),"",IF(OR(IF(Setup!$C$15&lt;=Setup!$C$16,AND(MONTH(I382)&gt;=Setup!$C$15,MONTH(I382)&lt;=Setup!$C$16),OR(MONTH(I382)&gt;=Setup!$C$15,MONTH(I382)&lt;=Setup!$C$16)),IF(Setup!$C$15&lt;=Setup!$C$16,AND(MONTH(WORKDAY(I382,-(Setup!$C$13+Setup!$G$27),Setup!$C$39:$C$50))&gt;=Setup!$C$15,MONTH(WORKDAY(I382,-(Setup!$C$13+Setup!$G$27),Setup!$C$39:$C$50))&lt;=Setup!$C$16),OR(MONTH(WORKDAY(I382,-(Setup!$C$13+Setup!$G$27),Setup!$C$39:$C$50))&gt;=Setup!$C$15,MONTH(WORKDAY(I382,-(Setup!$C$13+Setup!$G$27),Setup!$C$39:$C$50))&lt;=Setup!$C$16))),WORKDAY(I382,-(Setup!$C$13+Setup!$G$27+Setup!$C$14),Setup!$C$39:$C$50),WORKDAY(I382,-(Setup!$C$13+Setup!$G$27),Setup!$C$39:$C$50))+(377*100+8)/10000000)))</f>
        <v/>
      </c>
      <c r="Z382" t="str">
        <f>IF(J382="","",IF(J382&lt;Setup!$C$5-Setup!$C$6,"",IF(IF(ISNUMBER(Roster!$D382),Setup!$C$28&lt;=Roster!$D382,FALSE),"",IF(OR(IF(Setup!$C$15&lt;=Setup!$C$16,AND(MONTH(J382)&gt;=Setup!$C$15,MONTH(J382)&lt;=Setup!$C$16),OR(MONTH(J382)&gt;=Setup!$C$15,MONTH(J382)&lt;=Setup!$C$16)),IF(Setup!$C$15&lt;=Setup!$C$16,AND(MONTH(WORKDAY(J382,-(Setup!$C$13+Setup!$G$28),Setup!$C$39:$C$50))&gt;=Setup!$C$15,MONTH(WORKDAY(J382,-(Setup!$C$13+Setup!$G$28),Setup!$C$39:$C$50))&lt;=Setup!$C$16),OR(MONTH(WORKDAY(J382,-(Setup!$C$13+Setup!$G$28),Setup!$C$39:$C$50))&gt;=Setup!$C$15,MONTH(WORKDAY(J382,-(Setup!$C$13+Setup!$G$28),Setup!$C$39:$C$50))&lt;=Setup!$C$16))),WORKDAY(J382,-(Setup!$C$13+Setup!$G$28+Setup!$C$14),Setup!$C$39:$C$50),WORKDAY(J382,-(Setup!$C$13+Setup!$G$28),Setup!$C$39:$C$50))+(377*100+9)/10000000)))</f>
        <v/>
      </c>
      <c r="AA382" t="str">
        <f>IF(K382="","",IF(K382&lt;Setup!$C$5-Setup!$C$6,"",IF(IF(ISNUMBER(Roster!$D382),Setup!$C$29&lt;=Roster!$D382,FALSE),"",IF(OR(IF(Setup!$C$15&lt;=Setup!$C$16,AND(MONTH(K382)&gt;=Setup!$C$15,MONTH(K382)&lt;=Setup!$C$16),OR(MONTH(K382)&gt;=Setup!$C$15,MONTH(K382)&lt;=Setup!$C$16)),IF(Setup!$C$15&lt;=Setup!$C$16,AND(MONTH(WORKDAY(K382,-(Setup!$C$13+Setup!$G$29),Setup!$C$39:$C$50))&gt;=Setup!$C$15,MONTH(WORKDAY(K382,-(Setup!$C$13+Setup!$G$29),Setup!$C$39:$C$50))&lt;=Setup!$C$16),OR(MONTH(WORKDAY(K382,-(Setup!$C$13+Setup!$G$29),Setup!$C$39:$C$50))&gt;=Setup!$C$15,MONTH(WORKDAY(K382,-(Setup!$C$13+Setup!$G$29),Setup!$C$39:$C$50))&lt;=Setup!$C$16))),WORKDAY(K382,-(Setup!$C$13+Setup!$G$29+Setup!$C$14),Setup!$C$39:$C$50),WORKDAY(K382,-(Setup!$C$13+Setup!$G$29),Setup!$C$39:$C$50))+(377*100+10)/10000000)))</f>
        <v/>
      </c>
      <c r="AB382" t="str">
        <f>IF(L382="","",IF(L382&lt;Setup!$C$5-Setup!$C$6,"",IF(IF(ISNUMBER(Roster!$D382),Setup!$C$30&lt;=Roster!$D382,FALSE),"",IF(OR(IF(Setup!$C$15&lt;=Setup!$C$16,AND(MONTH(L382)&gt;=Setup!$C$15,MONTH(L382)&lt;=Setup!$C$16),OR(MONTH(L382)&gt;=Setup!$C$15,MONTH(L382)&lt;=Setup!$C$16)),IF(Setup!$C$15&lt;=Setup!$C$16,AND(MONTH(WORKDAY(L382,-(Setup!$C$13+Setup!$G$30),Setup!$C$39:$C$50))&gt;=Setup!$C$15,MONTH(WORKDAY(L382,-(Setup!$C$13+Setup!$G$30),Setup!$C$39:$C$50))&lt;=Setup!$C$16),OR(MONTH(WORKDAY(L382,-(Setup!$C$13+Setup!$G$30),Setup!$C$39:$C$50))&gt;=Setup!$C$15,MONTH(WORKDAY(L382,-(Setup!$C$13+Setup!$G$30),Setup!$C$39:$C$50))&lt;=Setup!$C$16))),WORKDAY(L382,-(Setup!$C$13+Setup!$G$30+Setup!$C$14),Setup!$C$39:$C$50),WORKDAY(L382,-(Setup!$C$13+Setup!$G$30),Setup!$C$39:$C$50))+(377*100+11)/10000000)))</f>
        <v/>
      </c>
      <c r="AC382" t="str">
        <f>IF(M382="","",IF(M382&lt;Setup!$C$5-Setup!$C$6,"",IF(IF(ISNUMBER(Roster!$D382),Setup!$C$31&lt;=Roster!$D382,FALSE),"",IF(OR(IF(Setup!$C$15&lt;=Setup!$C$16,AND(MONTH(M382)&gt;=Setup!$C$15,MONTH(M382)&lt;=Setup!$C$16),OR(MONTH(M382)&gt;=Setup!$C$15,MONTH(M382)&lt;=Setup!$C$16)),IF(Setup!$C$15&lt;=Setup!$C$16,AND(MONTH(WORKDAY(M382,-(Setup!$C$13+Setup!$G$31),Setup!$C$39:$C$50))&gt;=Setup!$C$15,MONTH(WORKDAY(M382,-(Setup!$C$13+Setup!$G$31),Setup!$C$39:$C$50))&lt;=Setup!$C$16),OR(MONTH(WORKDAY(M382,-(Setup!$C$13+Setup!$G$31),Setup!$C$39:$C$50))&gt;=Setup!$C$15,MONTH(WORKDAY(M382,-(Setup!$C$13+Setup!$G$31),Setup!$C$39:$C$50))&lt;=Setup!$C$16))),WORKDAY(M382,-(Setup!$C$13+Setup!$G$31+Setup!$C$14),Setup!$C$39:$C$50),WORKDAY(M382,-(Setup!$C$13+Setup!$G$31),Setup!$C$39:$C$50))+(377*100+12)/10000000)))</f>
        <v/>
      </c>
      <c r="AD382" t="str">
        <f>IF(N382="","",IF(N382&lt;Setup!$C$5-Setup!$C$6,"",IF(IF(ISNUMBER(Roster!$D382),Setup!$C$32&lt;=Roster!$D382,FALSE),"",IF(OR(IF(Setup!$C$15&lt;=Setup!$C$16,AND(MONTH(N382)&gt;=Setup!$C$15,MONTH(N382)&lt;=Setup!$C$16),OR(MONTH(N382)&gt;=Setup!$C$15,MONTH(N382)&lt;=Setup!$C$16)),IF(Setup!$C$15&lt;=Setup!$C$16,AND(MONTH(WORKDAY(N382,-(Setup!$C$13+Setup!$G$32),Setup!$C$39:$C$50))&gt;=Setup!$C$15,MONTH(WORKDAY(N382,-(Setup!$C$13+Setup!$G$32),Setup!$C$39:$C$50))&lt;=Setup!$C$16),OR(MONTH(WORKDAY(N382,-(Setup!$C$13+Setup!$G$32),Setup!$C$39:$C$50))&gt;=Setup!$C$15,MONTH(WORKDAY(N382,-(Setup!$C$13+Setup!$G$32),Setup!$C$39:$C$50))&lt;=Setup!$C$16))),WORKDAY(N382,-(Setup!$C$13+Setup!$G$32+Setup!$C$14),Setup!$C$39:$C$50),WORKDAY(N382,-(Setup!$C$13+Setup!$G$32),Setup!$C$39:$C$50))+(377*100+13)/10000000)))</f>
        <v/>
      </c>
      <c r="AE382" t="str">
        <f>IF(O382="","",IF(O382&lt;Setup!$C$5-Setup!$C$6,"",IF(IF(ISNUMBER(Roster!$D382),Setup!$C$33&lt;=Roster!$D382,FALSE),"",IF(OR(IF(Setup!$C$15&lt;=Setup!$C$16,AND(MONTH(O382)&gt;=Setup!$C$15,MONTH(O382)&lt;=Setup!$C$16),OR(MONTH(O382)&gt;=Setup!$C$15,MONTH(O382)&lt;=Setup!$C$16)),IF(Setup!$C$15&lt;=Setup!$C$16,AND(MONTH(WORKDAY(O382,-(Setup!$C$13+Setup!$G$33),Setup!$C$39:$C$50))&gt;=Setup!$C$15,MONTH(WORKDAY(O382,-(Setup!$C$13+Setup!$G$33),Setup!$C$39:$C$50))&lt;=Setup!$C$16),OR(MONTH(WORKDAY(O382,-(Setup!$C$13+Setup!$G$33),Setup!$C$39:$C$50))&gt;=Setup!$C$15,MONTH(WORKDAY(O382,-(Setup!$C$13+Setup!$G$33),Setup!$C$39:$C$50))&lt;=Setup!$C$16))),WORKDAY(O382,-(Setup!$C$13+Setup!$G$33+Setup!$C$14),Setup!$C$39:$C$50),WORKDAY(O382,-(Setup!$C$13+Setup!$G$33),Setup!$C$39:$C$50))+(377*100+14)/10000000)))</f>
        <v/>
      </c>
      <c r="AF382" t="str">
        <f>IF(P382="","",IF(P382&lt;Setup!$C$5-Setup!$C$6,"",IF(IF(ISNUMBER(Roster!$D382),Setup!$C$34&lt;=Roster!$D382,FALSE),"",IF(OR(IF(Setup!$C$15&lt;=Setup!$C$16,AND(MONTH(P382)&gt;=Setup!$C$15,MONTH(P382)&lt;=Setup!$C$16),OR(MONTH(P382)&gt;=Setup!$C$15,MONTH(P382)&lt;=Setup!$C$16)),IF(Setup!$C$15&lt;=Setup!$C$16,AND(MONTH(WORKDAY(P382,-(Setup!$C$13+Setup!$G$34),Setup!$C$39:$C$50))&gt;=Setup!$C$15,MONTH(WORKDAY(P382,-(Setup!$C$13+Setup!$G$34),Setup!$C$39:$C$50))&lt;=Setup!$C$16),OR(MONTH(WORKDAY(P382,-(Setup!$C$13+Setup!$G$34),Setup!$C$39:$C$50))&gt;=Setup!$C$15,MONTH(WORKDAY(P382,-(Setup!$C$13+Setup!$G$34),Setup!$C$39:$C$50))&lt;=Setup!$C$16))),WORKDAY(P382,-(Setup!$C$13+Setup!$G$34+Setup!$C$14),Setup!$C$39:$C$50),WORKDAY(P382,-(Setup!$C$13+Setup!$G$34),Setup!$C$39:$C$50))+(377*100+15)/10000000)))</f>
        <v/>
      </c>
      <c r="AH382" t="str">
        <f t="shared" si="41"/>
        <v/>
      </c>
      <c r="AI382" t="str">
        <f t="shared" si="42"/>
        <v/>
      </c>
      <c r="AP382" t="str">
        <f>IF(ISNUMBER(Roster!$B382),MAX(1,YEAR(Setup!$C$5)-YEAR(Roster!$B382)+IF(EDATE(Roster!$B382,12*(YEAR(Setup!$C$5)-YEAR(Roster!$B382)))&lt;Setup!$C$5,1,0)),"")</f>
        <v/>
      </c>
      <c r="AQ382" s="32" t="str">
        <f>IF(AP382="","",EDATE(Roster!$B382,12*AP382))</f>
        <v/>
      </c>
      <c r="AR382" t="str">
        <f>IF(AQ382="","",IF(AQ382&lt;DATE(YEAR(Setup!$C$5)+1,MONTH(Setup!$C$5),DAY(Setup!$C$5)),AQ382+377/1000,""))</f>
        <v/>
      </c>
      <c r="AS382" t="str">
        <f t="shared" si="43"/>
        <v/>
      </c>
      <c r="AT382" t="str">
        <f>IF(AS382="","",IF(ISNUMBER(Roster!$D382),Roster!$D382&gt;=AP382,FALSE))</f>
        <v/>
      </c>
      <c r="AU382" t="str">
        <f t="shared" si="44"/>
        <v/>
      </c>
      <c r="AV382" t="str">
        <f ca="1">IF(377&gt;$AV$2,"",SMALL($AR$6:$AR$505,377))</f>
        <v/>
      </c>
      <c r="AW382" t="str">
        <f t="shared" ca="1" si="45"/>
        <v/>
      </c>
    </row>
    <row r="383" spans="2:49" x14ac:dyDescent="0.2">
      <c r="B383" s="32" t="str">
        <f>IF(AND(ISNUMBER(Roster!$B383),Setup!$B$20="Yes",ISNUMBER(Setup!$C$20)),EDATE(Roster!$B383,12*Setup!$C$20),"")</f>
        <v/>
      </c>
      <c r="C383" s="32" t="str">
        <f>IF(AND(ISNUMBER(Roster!$B383),Setup!$B$21="Yes",ISNUMBER(Setup!$C$21)),EDATE(Roster!$B383,12*Setup!$C$21),"")</f>
        <v/>
      </c>
      <c r="D383" s="32" t="str">
        <f>IF(AND(ISNUMBER(Roster!$B383),Setup!$B$22="Yes",ISNUMBER(Setup!$C$22)),EDATE(Roster!$B383,12*Setup!$C$22),"")</f>
        <v/>
      </c>
      <c r="E383" s="32" t="str">
        <f>IF(AND(ISNUMBER(Roster!$B383),Setup!$B$23="Yes",ISNUMBER(Setup!$C$23)),EDATE(Roster!$B383,12*Setup!$C$23),"")</f>
        <v/>
      </c>
      <c r="F383" s="32" t="str">
        <f>IF(AND(ISNUMBER(Roster!$B383),Setup!$B$24="Yes",ISNUMBER(Setup!$C$24)),EDATE(Roster!$B383,12*Setup!$C$24),"")</f>
        <v/>
      </c>
      <c r="G383" s="32" t="str">
        <f>IF(AND(ISNUMBER(Roster!$B383),Setup!$B$25="Yes",ISNUMBER(Setup!$C$25)),EDATE(Roster!$B383,12*Setup!$C$25),"")</f>
        <v/>
      </c>
      <c r="H383" s="32" t="str">
        <f>IF(AND(ISNUMBER(Roster!$B383),Setup!$B$26="Yes",ISNUMBER(Setup!$C$26)),EDATE(Roster!$B383,12*Setup!$C$26),"")</f>
        <v/>
      </c>
      <c r="I383" s="32" t="str">
        <f>IF(AND(ISNUMBER(Roster!$B383),Setup!$B$27="Yes",ISNUMBER(Setup!$C$27)),EDATE(Roster!$B383,12*Setup!$C$27),"")</f>
        <v/>
      </c>
      <c r="J383" s="32" t="str">
        <f>IF(AND(ISNUMBER(Roster!$B383),Setup!$B$28="Yes",ISNUMBER(Setup!$C$28)),EDATE(Roster!$B383,12*Setup!$C$28),"")</f>
        <v/>
      </c>
      <c r="K383" s="32" t="str">
        <f>IF(AND(ISNUMBER(Roster!$B383),Setup!$B$29="Yes",ISNUMBER(Setup!$C$29)),EDATE(Roster!$B383,12*Setup!$C$29),"")</f>
        <v/>
      </c>
      <c r="L383" s="32" t="str">
        <f>IF(AND(ISNUMBER(Roster!$B383),Setup!$B$30="Yes",ISNUMBER(Setup!$C$30)),EDATE(Roster!$B383,12*Setup!$C$30),"")</f>
        <v/>
      </c>
      <c r="M383" s="32" t="str">
        <f>IF(AND(ISNUMBER(Roster!$B383),Setup!$B$31="Yes",ISNUMBER(Setup!$C$31)),EDATE(Roster!$B383,12*Setup!$C$31),"")</f>
        <v/>
      </c>
      <c r="N383" s="32" t="str">
        <f>IF(AND(ISNUMBER(Roster!$B383),Setup!$B$32="Yes",ISNUMBER(Setup!$C$32)),EDATE(Roster!$B383,12*Setup!$C$32),"")</f>
        <v/>
      </c>
      <c r="O383" s="32" t="str">
        <f>IF(AND(ISNUMBER(Roster!$B383),Setup!$B$33="Yes",ISNUMBER(Setup!$C$33)),EDATE(Roster!$B383,12*Setup!$C$33),"")</f>
        <v/>
      </c>
      <c r="P383" s="32" t="str">
        <f>IF(AND(ISNUMBER(Roster!$B383),Setup!$B$34="Yes",ISNUMBER(Setup!$C$34)),EDATE(Roster!$B383,12*Setup!$C$34),"")</f>
        <v/>
      </c>
      <c r="R383" t="str">
        <f>IF(B383="","",IF(B383&lt;Setup!$C$5-Setup!$C$6,"",IF(IF(ISNUMBER(Roster!$D383),Setup!$C$20&lt;=Roster!$D383,FALSE),"",IF(OR(IF(Setup!$C$15&lt;=Setup!$C$16,AND(MONTH(B383)&gt;=Setup!$C$15,MONTH(B383)&lt;=Setup!$C$16),OR(MONTH(B383)&gt;=Setup!$C$15,MONTH(B383)&lt;=Setup!$C$16)),IF(Setup!$C$15&lt;=Setup!$C$16,AND(MONTH(WORKDAY(B383,-(Setup!$C$13+Setup!$G$20),Setup!$C$39:$C$50))&gt;=Setup!$C$15,MONTH(WORKDAY(B383,-(Setup!$C$13+Setup!$G$20),Setup!$C$39:$C$50))&lt;=Setup!$C$16),OR(MONTH(WORKDAY(B383,-(Setup!$C$13+Setup!$G$20),Setup!$C$39:$C$50))&gt;=Setup!$C$15,MONTH(WORKDAY(B383,-(Setup!$C$13+Setup!$G$20),Setup!$C$39:$C$50))&lt;=Setup!$C$16))),WORKDAY(B383,-(Setup!$C$13+Setup!$G$20+Setup!$C$14),Setup!$C$39:$C$50),WORKDAY(B383,-(Setup!$C$13+Setup!$G$20),Setup!$C$39:$C$50))+(378*100+1)/10000000)))</f>
        <v/>
      </c>
      <c r="S383" t="str">
        <f>IF(C383="","",IF(C383&lt;Setup!$C$5-Setup!$C$6,"",IF(IF(ISNUMBER(Roster!$D383),Setup!$C$21&lt;=Roster!$D383,FALSE),"",IF(OR(IF(Setup!$C$15&lt;=Setup!$C$16,AND(MONTH(C383)&gt;=Setup!$C$15,MONTH(C383)&lt;=Setup!$C$16),OR(MONTH(C383)&gt;=Setup!$C$15,MONTH(C383)&lt;=Setup!$C$16)),IF(Setup!$C$15&lt;=Setup!$C$16,AND(MONTH(WORKDAY(C383,-(Setup!$C$13+Setup!$G$21),Setup!$C$39:$C$50))&gt;=Setup!$C$15,MONTH(WORKDAY(C383,-(Setup!$C$13+Setup!$G$21),Setup!$C$39:$C$50))&lt;=Setup!$C$16),OR(MONTH(WORKDAY(C383,-(Setup!$C$13+Setup!$G$21),Setup!$C$39:$C$50))&gt;=Setup!$C$15,MONTH(WORKDAY(C383,-(Setup!$C$13+Setup!$G$21),Setup!$C$39:$C$50))&lt;=Setup!$C$16))),WORKDAY(C383,-(Setup!$C$13+Setup!$G$21+Setup!$C$14),Setup!$C$39:$C$50),WORKDAY(C383,-(Setup!$C$13+Setup!$G$21),Setup!$C$39:$C$50))+(378*100+2)/10000000)))</f>
        <v/>
      </c>
      <c r="T383" t="str">
        <f>IF(D383="","",IF(D383&lt;Setup!$C$5-Setup!$C$6,"",IF(IF(ISNUMBER(Roster!$D383),Setup!$C$22&lt;=Roster!$D383,FALSE),"",IF(OR(IF(Setup!$C$15&lt;=Setup!$C$16,AND(MONTH(D383)&gt;=Setup!$C$15,MONTH(D383)&lt;=Setup!$C$16),OR(MONTH(D383)&gt;=Setup!$C$15,MONTH(D383)&lt;=Setup!$C$16)),IF(Setup!$C$15&lt;=Setup!$C$16,AND(MONTH(WORKDAY(D383,-(Setup!$C$13+Setup!$G$22),Setup!$C$39:$C$50))&gt;=Setup!$C$15,MONTH(WORKDAY(D383,-(Setup!$C$13+Setup!$G$22),Setup!$C$39:$C$50))&lt;=Setup!$C$16),OR(MONTH(WORKDAY(D383,-(Setup!$C$13+Setup!$G$22),Setup!$C$39:$C$50))&gt;=Setup!$C$15,MONTH(WORKDAY(D383,-(Setup!$C$13+Setup!$G$22),Setup!$C$39:$C$50))&lt;=Setup!$C$16))),WORKDAY(D383,-(Setup!$C$13+Setup!$G$22+Setup!$C$14),Setup!$C$39:$C$50),WORKDAY(D383,-(Setup!$C$13+Setup!$G$22),Setup!$C$39:$C$50))+(378*100+3)/10000000)))</f>
        <v/>
      </c>
      <c r="U383" t="str">
        <f>IF(E383="","",IF(E383&lt;Setup!$C$5-Setup!$C$6,"",IF(IF(ISNUMBER(Roster!$D383),Setup!$C$23&lt;=Roster!$D383,FALSE),"",IF(OR(IF(Setup!$C$15&lt;=Setup!$C$16,AND(MONTH(E383)&gt;=Setup!$C$15,MONTH(E383)&lt;=Setup!$C$16),OR(MONTH(E383)&gt;=Setup!$C$15,MONTH(E383)&lt;=Setup!$C$16)),IF(Setup!$C$15&lt;=Setup!$C$16,AND(MONTH(WORKDAY(E383,-(Setup!$C$13+Setup!$G$23),Setup!$C$39:$C$50))&gt;=Setup!$C$15,MONTH(WORKDAY(E383,-(Setup!$C$13+Setup!$G$23),Setup!$C$39:$C$50))&lt;=Setup!$C$16),OR(MONTH(WORKDAY(E383,-(Setup!$C$13+Setup!$G$23),Setup!$C$39:$C$50))&gt;=Setup!$C$15,MONTH(WORKDAY(E383,-(Setup!$C$13+Setup!$G$23),Setup!$C$39:$C$50))&lt;=Setup!$C$16))),WORKDAY(E383,-(Setup!$C$13+Setup!$G$23+Setup!$C$14),Setup!$C$39:$C$50),WORKDAY(E383,-(Setup!$C$13+Setup!$G$23),Setup!$C$39:$C$50))+(378*100+4)/10000000)))</f>
        <v/>
      </c>
      <c r="V383" t="str">
        <f>IF(F383="","",IF(F383&lt;Setup!$C$5-Setup!$C$6,"",IF(IF(ISNUMBER(Roster!$D383),Setup!$C$24&lt;=Roster!$D383,FALSE),"",IF(OR(IF(Setup!$C$15&lt;=Setup!$C$16,AND(MONTH(F383)&gt;=Setup!$C$15,MONTH(F383)&lt;=Setup!$C$16),OR(MONTH(F383)&gt;=Setup!$C$15,MONTH(F383)&lt;=Setup!$C$16)),IF(Setup!$C$15&lt;=Setup!$C$16,AND(MONTH(WORKDAY(F383,-(Setup!$C$13+Setup!$G$24),Setup!$C$39:$C$50))&gt;=Setup!$C$15,MONTH(WORKDAY(F383,-(Setup!$C$13+Setup!$G$24),Setup!$C$39:$C$50))&lt;=Setup!$C$16),OR(MONTH(WORKDAY(F383,-(Setup!$C$13+Setup!$G$24),Setup!$C$39:$C$50))&gt;=Setup!$C$15,MONTH(WORKDAY(F383,-(Setup!$C$13+Setup!$G$24),Setup!$C$39:$C$50))&lt;=Setup!$C$16))),WORKDAY(F383,-(Setup!$C$13+Setup!$G$24+Setup!$C$14),Setup!$C$39:$C$50),WORKDAY(F383,-(Setup!$C$13+Setup!$G$24),Setup!$C$39:$C$50))+(378*100+5)/10000000)))</f>
        <v/>
      </c>
      <c r="W383" t="str">
        <f>IF(G383="","",IF(G383&lt;Setup!$C$5-Setup!$C$6,"",IF(IF(ISNUMBER(Roster!$D383),Setup!$C$25&lt;=Roster!$D383,FALSE),"",IF(OR(IF(Setup!$C$15&lt;=Setup!$C$16,AND(MONTH(G383)&gt;=Setup!$C$15,MONTH(G383)&lt;=Setup!$C$16),OR(MONTH(G383)&gt;=Setup!$C$15,MONTH(G383)&lt;=Setup!$C$16)),IF(Setup!$C$15&lt;=Setup!$C$16,AND(MONTH(WORKDAY(G383,-(Setup!$C$13+Setup!$G$25),Setup!$C$39:$C$50))&gt;=Setup!$C$15,MONTH(WORKDAY(G383,-(Setup!$C$13+Setup!$G$25),Setup!$C$39:$C$50))&lt;=Setup!$C$16),OR(MONTH(WORKDAY(G383,-(Setup!$C$13+Setup!$G$25),Setup!$C$39:$C$50))&gt;=Setup!$C$15,MONTH(WORKDAY(G383,-(Setup!$C$13+Setup!$G$25),Setup!$C$39:$C$50))&lt;=Setup!$C$16))),WORKDAY(G383,-(Setup!$C$13+Setup!$G$25+Setup!$C$14),Setup!$C$39:$C$50),WORKDAY(G383,-(Setup!$C$13+Setup!$G$25),Setup!$C$39:$C$50))+(378*100+6)/10000000)))</f>
        <v/>
      </c>
      <c r="X383" t="str">
        <f>IF(H383="","",IF(H383&lt;Setup!$C$5-Setup!$C$6,"",IF(IF(ISNUMBER(Roster!$D383),Setup!$C$26&lt;=Roster!$D383,FALSE),"",IF(OR(IF(Setup!$C$15&lt;=Setup!$C$16,AND(MONTH(H383)&gt;=Setup!$C$15,MONTH(H383)&lt;=Setup!$C$16),OR(MONTH(H383)&gt;=Setup!$C$15,MONTH(H383)&lt;=Setup!$C$16)),IF(Setup!$C$15&lt;=Setup!$C$16,AND(MONTH(WORKDAY(H383,-(Setup!$C$13+Setup!$G$26),Setup!$C$39:$C$50))&gt;=Setup!$C$15,MONTH(WORKDAY(H383,-(Setup!$C$13+Setup!$G$26),Setup!$C$39:$C$50))&lt;=Setup!$C$16),OR(MONTH(WORKDAY(H383,-(Setup!$C$13+Setup!$G$26),Setup!$C$39:$C$50))&gt;=Setup!$C$15,MONTH(WORKDAY(H383,-(Setup!$C$13+Setup!$G$26),Setup!$C$39:$C$50))&lt;=Setup!$C$16))),WORKDAY(H383,-(Setup!$C$13+Setup!$G$26+Setup!$C$14),Setup!$C$39:$C$50),WORKDAY(H383,-(Setup!$C$13+Setup!$G$26),Setup!$C$39:$C$50))+(378*100+7)/10000000)))</f>
        <v/>
      </c>
      <c r="Y383" t="str">
        <f>IF(I383="","",IF(I383&lt;Setup!$C$5-Setup!$C$6,"",IF(IF(ISNUMBER(Roster!$D383),Setup!$C$27&lt;=Roster!$D383,FALSE),"",IF(OR(IF(Setup!$C$15&lt;=Setup!$C$16,AND(MONTH(I383)&gt;=Setup!$C$15,MONTH(I383)&lt;=Setup!$C$16),OR(MONTH(I383)&gt;=Setup!$C$15,MONTH(I383)&lt;=Setup!$C$16)),IF(Setup!$C$15&lt;=Setup!$C$16,AND(MONTH(WORKDAY(I383,-(Setup!$C$13+Setup!$G$27),Setup!$C$39:$C$50))&gt;=Setup!$C$15,MONTH(WORKDAY(I383,-(Setup!$C$13+Setup!$G$27),Setup!$C$39:$C$50))&lt;=Setup!$C$16),OR(MONTH(WORKDAY(I383,-(Setup!$C$13+Setup!$G$27),Setup!$C$39:$C$50))&gt;=Setup!$C$15,MONTH(WORKDAY(I383,-(Setup!$C$13+Setup!$G$27),Setup!$C$39:$C$50))&lt;=Setup!$C$16))),WORKDAY(I383,-(Setup!$C$13+Setup!$G$27+Setup!$C$14),Setup!$C$39:$C$50),WORKDAY(I383,-(Setup!$C$13+Setup!$G$27),Setup!$C$39:$C$50))+(378*100+8)/10000000)))</f>
        <v/>
      </c>
      <c r="Z383" t="str">
        <f>IF(J383="","",IF(J383&lt;Setup!$C$5-Setup!$C$6,"",IF(IF(ISNUMBER(Roster!$D383),Setup!$C$28&lt;=Roster!$D383,FALSE),"",IF(OR(IF(Setup!$C$15&lt;=Setup!$C$16,AND(MONTH(J383)&gt;=Setup!$C$15,MONTH(J383)&lt;=Setup!$C$16),OR(MONTH(J383)&gt;=Setup!$C$15,MONTH(J383)&lt;=Setup!$C$16)),IF(Setup!$C$15&lt;=Setup!$C$16,AND(MONTH(WORKDAY(J383,-(Setup!$C$13+Setup!$G$28),Setup!$C$39:$C$50))&gt;=Setup!$C$15,MONTH(WORKDAY(J383,-(Setup!$C$13+Setup!$G$28),Setup!$C$39:$C$50))&lt;=Setup!$C$16),OR(MONTH(WORKDAY(J383,-(Setup!$C$13+Setup!$G$28),Setup!$C$39:$C$50))&gt;=Setup!$C$15,MONTH(WORKDAY(J383,-(Setup!$C$13+Setup!$G$28),Setup!$C$39:$C$50))&lt;=Setup!$C$16))),WORKDAY(J383,-(Setup!$C$13+Setup!$G$28+Setup!$C$14),Setup!$C$39:$C$50),WORKDAY(J383,-(Setup!$C$13+Setup!$G$28),Setup!$C$39:$C$50))+(378*100+9)/10000000)))</f>
        <v/>
      </c>
      <c r="AA383" t="str">
        <f>IF(K383="","",IF(K383&lt;Setup!$C$5-Setup!$C$6,"",IF(IF(ISNUMBER(Roster!$D383),Setup!$C$29&lt;=Roster!$D383,FALSE),"",IF(OR(IF(Setup!$C$15&lt;=Setup!$C$16,AND(MONTH(K383)&gt;=Setup!$C$15,MONTH(K383)&lt;=Setup!$C$16),OR(MONTH(K383)&gt;=Setup!$C$15,MONTH(K383)&lt;=Setup!$C$16)),IF(Setup!$C$15&lt;=Setup!$C$16,AND(MONTH(WORKDAY(K383,-(Setup!$C$13+Setup!$G$29),Setup!$C$39:$C$50))&gt;=Setup!$C$15,MONTH(WORKDAY(K383,-(Setup!$C$13+Setup!$G$29),Setup!$C$39:$C$50))&lt;=Setup!$C$16),OR(MONTH(WORKDAY(K383,-(Setup!$C$13+Setup!$G$29),Setup!$C$39:$C$50))&gt;=Setup!$C$15,MONTH(WORKDAY(K383,-(Setup!$C$13+Setup!$G$29),Setup!$C$39:$C$50))&lt;=Setup!$C$16))),WORKDAY(K383,-(Setup!$C$13+Setup!$G$29+Setup!$C$14),Setup!$C$39:$C$50),WORKDAY(K383,-(Setup!$C$13+Setup!$G$29),Setup!$C$39:$C$50))+(378*100+10)/10000000)))</f>
        <v/>
      </c>
      <c r="AB383" t="str">
        <f>IF(L383="","",IF(L383&lt;Setup!$C$5-Setup!$C$6,"",IF(IF(ISNUMBER(Roster!$D383),Setup!$C$30&lt;=Roster!$D383,FALSE),"",IF(OR(IF(Setup!$C$15&lt;=Setup!$C$16,AND(MONTH(L383)&gt;=Setup!$C$15,MONTH(L383)&lt;=Setup!$C$16),OR(MONTH(L383)&gt;=Setup!$C$15,MONTH(L383)&lt;=Setup!$C$16)),IF(Setup!$C$15&lt;=Setup!$C$16,AND(MONTH(WORKDAY(L383,-(Setup!$C$13+Setup!$G$30),Setup!$C$39:$C$50))&gt;=Setup!$C$15,MONTH(WORKDAY(L383,-(Setup!$C$13+Setup!$G$30),Setup!$C$39:$C$50))&lt;=Setup!$C$16),OR(MONTH(WORKDAY(L383,-(Setup!$C$13+Setup!$G$30),Setup!$C$39:$C$50))&gt;=Setup!$C$15,MONTH(WORKDAY(L383,-(Setup!$C$13+Setup!$G$30),Setup!$C$39:$C$50))&lt;=Setup!$C$16))),WORKDAY(L383,-(Setup!$C$13+Setup!$G$30+Setup!$C$14),Setup!$C$39:$C$50),WORKDAY(L383,-(Setup!$C$13+Setup!$G$30),Setup!$C$39:$C$50))+(378*100+11)/10000000)))</f>
        <v/>
      </c>
      <c r="AC383" t="str">
        <f>IF(M383="","",IF(M383&lt;Setup!$C$5-Setup!$C$6,"",IF(IF(ISNUMBER(Roster!$D383),Setup!$C$31&lt;=Roster!$D383,FALSE),"",IF(OR(IF(Setup!$C$15&lt;=Setup!$C$16,AND(MONTH(M383)&gt;=Setup!$C$15,MONTH(M383)&lt;=Setup!$C$16),OR(MONTH(M383)&gt;=Setup!$C$15,MONTH(M383)&lt;=Setup!$C$16)),IF(Setup!$C$15&lt;=Setup!$C$16,AND(MONTH(WORKDAY(M383,-(Setup!$C$13+Setup!$G$31),Setup!$C$39:$C$50))&gt;=Setup!$C$15,MONTH(WORKDAY(M383,-(Setup!$C$13+Setup!$G$31),Setup!$C$39:$C$50))&lt;=Setup!$C$16),OR(MONTH(WORKDAY(M383,-(Setup!$C$13+Setup!$G$31),Setup!$C$39:$C$50))&gt;=Setup!$C$15,MONTH(WORKDAY(M383,-(Setup!$C$13+Setup!$G$31),Setup!$C$39:$C$50))&lt;=Setup!$C$16))),WORKDAY(M383,-(Setup!$C$13+Setup!$G$31+Setup!$C$14),Setup!$C$39:$C$50),WORKDAY(M383,-(Setup!$C$13+Setup!$G$31),Setup!$C$39:$C$50))+(378*100+12)/10000000)))</f>
        <v/>
      </c>
      <c r="AD383" t="str">
        <f>IF(N383="","",IF(N383&lt;Setup!$C$5-Setup!$C$6,"",IF(IF(ISNUMBER(Roster!$D383),Setup!$C$32&lt;=Roster!$D383,FALSE),"",IF(OR(IF(Setup!$C$15&lt;=Setup!$C$16,AND(MONTH(N383)&gt;=Setup!$C$15,MONTH(N383)&lt;=Setup!$C$16),OR(MONTH(N383)&gt;=Setup!$C$15,MONTH(N383)&lt;=Setup!$C$16)),IF(Setup!$C$15&lt;=Setup!$C$16,AND(MONTH(WORKDAY(N383,-(Setup!$C$13+Setup!$G$32),Setup!$C$39:$C$50))&gt;=Setup!$C$15,MONTH(WORKDAY(N383,-(Setup!$C$13+Setup!$G$32),Setup!$C$39:$C$50))&lt;=Setup!$C$16),OR(MONTH(WORKDAY(N383,-(Setup!$C$13+Setup!$G$32),Setup!$C$39:$C$50))&gt;=Setup!$C$15,MONTH(WORKDAY(N383,-(Setup!$C$13+Setup!$G$32),Setup!$C$39:$C$50))&lt;=Setup!$C$16))),WORKDAY(N383,-(Setup!$C$13+Setup!$G$32+Setup!$C$14),Setup!$C$39:$C$50),WORKDAY(N383,-(Setup!$C$13+Setup!$G$32),Setup!$C$39:$C$50))+(378*100+13)/10000000)))</f>
        <v/>
      </c>
      <c r="AE383" t="str">
        <f>IF(O383="","",IF(O383&lt;Setup!$C$5-Setup!$C$6,"",IF(IF(ISNUMBER(Roster!$D383),Setup!$C$33&lt;=Roster!$D383,FALSE),"",IF(OR(IF(Setup!$C$15&lt;=Setup!$C$16,AND(MONTH(O383)&gt;=Setup!$C$15,MONTH(O383)&lt;=Setup!$C$16),OR(MONTH(O383)&gt;=Setup!$C$15,MONTH(O383)&lt;=Setup!$C$16)),IF(Setup!$C$15&lt;=Setup!$C$16,AND(MONTH(WORKDAY(O383,-(Setup!$C$13+Setup!$G$33),Setup!$C$39:$C$50))&gt;=Setup!$C$15,MONTH(WORKDAY(O383,-(Setup!$C$13+Setup!$G$33),Setup!$C$39:$C$50))&lt;=Setup!$C$16),OR(MONTH(WORKDAY(O383,-(Setup!$C$13+Setup!$G$33),Setup!$C$39:$C$50))&gt;=Setup!$C$15,MONTH(WORKDAY(O383,-(Setup!$C$13+Setup!$G$33),Setup!$C$39:$C$50))&lt;=Setup!$C$16))),WORKDAY(O383,-(Setup!$C$13+Setup!$G$33+Setup!$C$14),Setup!$C$39:$C$50),WORKDAY(O383,-(Setup!$C$13+Setup!$G$33),Setup!$C$39:$C$50))+(378*100+14)/10000000)))</f>
        <v/>
      </c>
      <c r="AF383" t="str">
        <f>IF(P383="","",IF(P383&lt;Setup!$C$5-Setup!$C$6,"",IF(IF(ISNUMBER(Roster!$D383),Setup!$C$34&lt;=Roster!$D383,FALSE),"",IF(OR(IF(Setup!$C$15&lt;=Setup!$C$16,AND(MONTH(P383)&gt;=Setup!$C$15,MONTH(P383)&lt;=Setup!$C$16),OR(MONTH(P383)&gt;=Setup!$C$15,MONTH(P383)&lt;=Setup!$C$16)),IF(Setup!$C$15&lt;=Setup!$C$16,AND(MONTH(WORKDAY(P383,-(Setup!$C$13+Setup!$G$34),Setup!$C$39:$C$50))&gt;=Setup!$C$15,MONTH(WORKDAY(P383,-(Setup!$C$13+Setup!$G$34),Setup!$C$39:$C$50))&lt;=Setup!$C$16),OR(MONTH(WORKDAY(P383,-(Setup!$C$13+Setup!$G$34),Setup!$C$39:$C$50))&gt;=Setup!$C$15,MONTH(WORKDAY(P383,-(Setup!$C$13+Setup!$G$34),Setup!$C$39:$C$50))&lt;=Setup!$C$16))),WORKDAY(P383,-(Setup!$C$13+Setup!$G$34+Setup!$C$14),Setup!$C$39:$C$50),WORKDAY(P383,-(Setup!$C$13+Setup!$G$34),Setup!$C$39:$C$50))+(378*100+15)/10000000)))</f>
        <v/>
      </c>
      <c r="AH383" t="str">
        <f t="shared" si="41"/>
        <v/>
      </c>
      <c r="AI383" t="str">
        <f t="shared" si="42"/>
        <v/>
      </c>
      <c r="AP383" t="str">
        <f>IF(ISNUMBER(Roster!$B383),MAX(1,YEAR(Setup!$C$5)-YEAR(Roster!$B383)+IF(EDATE(Roster!$B383,12*(YEAR(Setup!$C$5)-YEAR(Roster!$B383)))&lt;Setup!$C$5,1,0)),"")</f>
        <v/>
      </c>
      <c r="AQ383" s="32" t="str">
        <f>IF(AP383="","",EDATE(Roster!$B383,12*AP383))</f>
        <v/>
      </c>
      <c r="AR383" t="str">
        <f>IF(AQ383="","",IF(AQ383&lt;DATE(YEAR(Setup!$C$5)+1,MONTH(Setup!$C$5),DAY(Setup!$C$5)),AQ383+378/1000,""))</f>
        <v/>
      </c>
      <c r="AS383" t="str">
        <f t="shared" si="43"/>
        <v/>
      </c>
      <c r="AT383" t="str">
        <f>IF(AS383="","",IF(ISNUMBER(Roster!$D383),Roster!$D383&gt;=AP383,FALSE))</f>
        <v/>
      </c>
      <c r="AU383" t="str">
        <f t="shared" si="44"/>
        <v/>
      </c>
      <c r="AV383" t="str">
        <f ca="1">IF(378&gt;$AV$2,"",SMALL($AR$6:$AR$505,378))</f>
        <v/>
      </c>
      <c r="AW383" t="str">
        <f t="shared" ca="1" si="45"/>
        <v/>
      </c>
    </row>
    <row r="384" spans="2:49" x14ac:dyDescent="0.2">
      <c r="B384" s="32" t="str">
        <f>IF(AND(ISNUMBER(Roster!$B384),Setup!$B$20="Yes",ISNUMBER(Setup!$C$20)),EDATE(Roster!$B384,12*Setup!$C$20),"")</f>
        <v/>
      </c>
      <c r="C384" s="32" t="str">
        <f>IF(AND(ISNUMBER(Roster!$B384),Setup!$B$21="Yes",ISNUMBER(Setup!$C$21)),EDATE(Roster!$B384,12*Setup!$C$21),"")</f>
        <v/>
      </c>
      <c r="D384" s="32" t="str">
        <f>IF(AND(ISNUMBER(Roster!$B384),Setup!$B$22="Yes",ISNUMBER(Setup!$C$22)),EDATE(Roster!$B384,12*Setup!$C$22),"")</f>
        <v/>
      </c>
      <c r="E384" s="32" t="str">
        <f>IF(AND(ISNUMBER(Roster!$B384),Setup!$B$23="Yes",ISNUMBER(Setup!$C$23)),EDATE(Roster!$B384,12*Setup!$C$23),"")</f>
        <v/>
      </c>
      <c r="F384" s="32" t="str">
        <f>IF(AND(ISNUMBER(Roster!$B384),Setup!$B$24="Yes",ISNUMBER(Setup!$C$24)),EDATE(Roster!$B384,12*Setup!$C$24),"")</f>
        <v/>
      </c>
      <c r="G384" s="32" t="str">
        <f>IF(AND(ISNUMBER(Roster!$B384),Setup!$B$25="Yes",ISNUMBER(Setup!$C$25)),EDATE(Roster!$B384,12*Setup!$C$25),"")</f>
        <v/>
      </c>
      <c r="H384" s="32" t="str">
        <f>IF(AND(ISNUMBER(Roster!$B384),Setup!$B$26="Yes",ISNUMBER(Setup!$C$26)),EDATE(Roster!$B384,12*Setup!$C$26),"")</f>
        <v/>
      </c>
      <c r="I384" s="32" t="str">
        <f>IF(AND(ISNUMBER(Roster!$B384),Setup!$B$27="Yes",ISNUMBER(Setup!$C$27)),EDATE(Roster!$B384,12*Setup!$C$27),"")</f>
        <v/>
      </c>
      <c r="J384" s="32" t="str">
        <f>IF(AND(ISNUMBER(Roster!$B384),Setup!$B$28="Yes",ISNUMBER(Setup!$C$28)),EDATE(Roster!$B384,12*Setup!$C$28),"")</f>
        <v/>
      </c>
      <c r="K384" s="32" t="str">
        <f>IF(AND(ISNUMBER(Roster!$B384),Setup!$B$29="Yes",ISNUMBER(Setup!$C$29)),EDATE(Roster!$B384,12*Setup!$C$29),"")</f>
        <v/>
      </c>
      <c r="L384" s="32" t="str">
        <f>IF(AND(ISNUMBER(Roster!$B384),Setup!$B$30="Yes",ISNUMBER(Setup!$C$30)),EDATE(Roster!$B384,12*Setup!$C$30),"")</f>
        <v/>
      </c>
      <c r="M384" s="32" t="str">
        <f>IF(AND(ISNUMBER(Roster!$B384),Setup!$B$31="Yes",ISNUMBER(Setup!$C$31)),EDATE(Roster!$B384,12*Setup!$C$31),"")</f>
        <v/>
      </c>
      <c r="N384" s="32" t="str">
        <f>IF(AND(ISNUMBER(Roster!$B384),Setup!$B$32="Yes",ISNUMBER(Setup!$C$32)),EDATE(Roster!$B384,12*Setup!$C$32),"")</f>
        <v/>
      </c>
      <c r="O384" s="32" t="str">
        <f>IF(AND(ISNUMBER(Roster!$B384),Setup!$B$33="Yes",ISNUMBER(Setup!$C$33)),EDATE(Roster!$B384,12*Setup!$C$33),"")</f>
        <v/>
      </c>
      <c r="P384" s="32" t="str">
        <f>IF(AND(ISNUMBER(Roster!$B384),Setup!$B$34="Yes",ISNUMBER(Setup!$C$34)),EDATE(Roster!$B384,12*Setup!$C$34),"")</f>
        <v/>
      </c>
      <c r="R384" t="str">
        <f>IF(B384="","",IF(B384&lt;Setup!$C$5-Setup!$C$6,"",IF(IF(ISNUMBER(Roster!$D384),Setup!$C$20&lt;=Roster!$D384,FALSE),"",IF(OR(IF(Setup!$C$15&lt;=Setup!$C$16,AND(MONTH(B384)&gt;=Setup!$C$15,MONTH(B384)&lt;=Setup!$C$16),OR(MONTH(B384)&gt;=Setup!$C$15,MONTH(B384)&lt;=Setup!$C$16)),IF(Setup!$C$15&lt;=Setup!$C$16,AND(MONTH(WORKDAY(B384,-(Setup!$C$13+Setup!$G$20),Setup!$C$39:$C$50))&gt;=Setup!$C$15,MONTH(WORKDAY(B384,-(Setup!$C$13+Setup!$G$20),Setup!$C$39:$C$50))&lt;=Setup!$C$16),OR(MONTH(WORKDAY(B384,-(Setup!$C$13+Setup!$G$20),Setup!$C$39:$C$50))&gt;=Setup!$C$15,MONTH(WORKDAY(B384,-(Setup!$C$13+Setup!$G$20),Setup!$C$39:$C$50))&lt;=Setup!$C$16))),WORKDAY(B384,-(Setup!$C$13+Setup!$G$20+Setup!$C$14),Setup!$C$39:$C$50),WORKDAY(B384,-(Setup!$C$13+Setup!$G$20),Setup!$C$39:$C$50))+(379*100+1)/10000000)))</f>
        <v/>
      </c>
      <c r="S384" t="str">
        <f>IF(C384="","",IF(C384&lt;Setup!$C$5-Setup!$C$6,"",IF(IF(ISNUMBER(Roster!$D384),Setup!$C$21&lt;=Roster!$D384,FALSE),"",IF(OR(IF(Setup!$C$15&lt;=Setup!$C$16,AND(MONTH(C384)&gt;=Setup!$C$15,MONTH(C384)&lt;=Setup!$C$16),OR(MONTH(C384)&gt;=Setup!$C$15,MONTH(C384)&lt;=Setup!$C$16)),IF(Setup!$C$15&lt;=Setup!$C$16,AND(MONTH(WORKDAY(C384,-(Setup!$C$13+Setup!$G$21),Setup!$C$39:$C$50))&gt;=Setup!$C$15,MONTH(WORKDAY(C384,-(Setup!$C$13+Setup!$G$21),Setup!$C$39:$C$50))&lt;=Setup!$C$16),OR(MONTH(WORKDAY(C384,-(Setup!$C$13+Setup!$G$21),Setup!$C$39:$C$50))&gt;=Setup!$C$15,MONTH(WORKDAY(C384,-(Setup!$C$13+Setup!$G$21),Setup!$C$39:$C$50))&lt;=Setup!$C$16))),WORKDAY(C384,-(Setup!$C$13+Setup!$G$21+Setup!$C$14),Setup!$C$39:$C$50),WORKDAY(C384,-(Setup!$C$13+Setup!$G$21),Setup!$C$39:$C$50))+(379*100+2)/10000000)))</f>
        <v/>
      </c>
      <c r="T384" t="str">
        <f>IF(D384="","",IF(D384&lt;Setup!$C$5-Setup!$C$6,"",IF(IF(ISNUMBER(Roster!$D384),Setup!$C$22&lt;=Roster!$D384,FALSE),"",IF(OR(IF(Setup!$C$15&lt;=Setup!$C$16,AND(MONTH(D384)&gt;=Setup!$C$15,MONTH(D384)&lt;=Setup!$C$16),OR(MONTH(D384)&gt;=Setup!$C$15,MONTH(D384)&lt;=Setup!$C$16)),IF(Setup!$C$15&lt;=Setup!$C$16,AND(MONTH(WORKDAY(D384,-(Setup!$C$13+Setup!$G$22),Setup!$C$39:$C$50))&gt;=Setup!$C$15,MONTH(WORKDAY(D384,-(Setup!$C$13+Setup!$G$22),Setup!$C$39:$C$50))&lt;=Setup!$C$16),OR(MONTH(WORKDAY(D384,-(Setup!$C$13+Setup!$G$22),Setup!$C$39:$C$50))&gt;=Setup!$C$15,MONTH(WORKDAY(D384,-(Setup!$C$13+Setup!$G$22),Setup!$C$39:$C$50))&lt;=Setup!$C$16))),WORKDAY(D384,-(Setup!$C$13+Setup!$G$22+Setup!$C$14),Setup!$C$39:$C$50),WORKDAY(D384,-(Setup!$C$13+Setup!$G$22),Setup!$C$39:$C$50))+(379*100+3)/10000000)))</f>
        <v/>
      </c>
      <c r="U384" t="str">
        <f>IF(E384="","",IF(E384&lt;Setup!$C$5-Setup!$C$6,"",IF(IF(ISNUMBER(Roster!$D384),Setup!$C$23&lt;=Roster!$D384,FALSE),"",IF(OR(IF(Setup!$C$15&lt;=Setup!$C$16,AND(MONTH(E384)&gt;=Setup!$C$15,MONTH(E384)&lt;=Setup!$C$16),OR(MONTH(E384)&gt;=Setup!$C$15,MONTH(E384)&lt;=Setup!$C$16)),IF(Setup!$C$15&lt;=Setup!$C$16,AND(MONTH(WORKDAY(E384,-(Setup!$C$13+Setup!$G$23),Setup!$C$39:$C$50))&gt;=Setup!$C$15,MONTH(WORKDAY(E384,-(Setup!$C$13+Setup!$G$23),Setup!$C$39:$C$50))&lt;=Setup!$C$16),OR(MONTH(WORKDAY(E384,-(Setup!$C$13+Setup!$G$23),Setup!$C$39:$C$50))&gt;=Setup!$C$15,MONTH(WORKDAY(E384,-(Setup!$C$13+Setup!$G$23),Setup!$C$39:$C$50))&lt;=Setup!$C$16))),WORKDAY(E384,-(Setup!$C$13+Setup!$G$23+Setup!$C$14),Setup!$C$39:$C$50),WORKDAY(E384,-(Setup!$C$13+Setup!$G$23),Setup!$C$39:$C$50))+(379*100+4)/10000000)))</f>
        <v/>
      </c>
      <c r="V384" t="str">
        <f>IF(F384="","",IF(F384&lt;Setup!$C$5-Setup!$C$6,"",IF(IF(ISNUMBER(Roster!$D384),Setup!$C$24&lt;=Roster!$D384,FALSE),"",IF(OR(IF(Setup!$C$15&lt;=Setup!$C$16,AND(MONTH(F384)&gt;=Setup!$C$15,MONTH(F384)&lt;=Setup!$C$16),OR(MONTH(F384)&gt;=Setup!$C$15,MONTH(F384)&lt;=Setup!$C$16)),IF(Setup!$C$15&lt;=Setup!$C$16,AND(MONTH(WORKDAY(F384,-(Setup!$C$13+Setup!$G$24),Setup!$C$39:$C$50))&gt;=Setup!$C$15,MONTH(WORKDAY(F384,-(Setup!$C$13+Setup!$G$24),Setup!$C$39:$C$50))&lt;=Setup!$C$16),OR(MONTH(WORKDAY(F384,-(Setup!$C$13+Setup!$G$24),Setup!$C$39:$C$50))&gt;=Setup!$C$15,MONTH(WORKDAY(F384,-(Setup!$C$13+Setup!$G$24),Setup!$C$39:$C$50))&lt;=Setup!$C$16))),WORKDAY(F384,-(Setup!$C$13+Setup!$G$24+Setup!$C$14),Setup!$C$39:$C$50),WORKDAY(F384,-(Setup!$C$13+Setup!$G$24),Setup!$C$39:$C$50))+(379*100+5)/10000000)))</f>
        <v/>
      </c>
      <c r="W384" t="str">
        <f>IF(G384="","",IF(G384&lt;Setup!$C$5-Setup!$C$6,"",IF(IF(ISNUMBER(Roster!$D384),Setup!$C$25&lt;=Roster!$D384,FALSE),"",IF(OR(IF(Setup!$C$15&lt;=Setup!$C$16,AND(MONTH(G384)&gt;=Setup!$C$15,MONTH(G384)&lt;=Setup!$C$16),OR(MONTH(G384)&gt;=Setup!$C$15,MONTH(G384)&lt;=Setup!$C$16)),IF(Setup!$C$15&lt;=Setup!$C$16,AND(MONTH(WORKDAY(G384,-(Setup!$C$13+Setup!$G$25),Setup!$C$39:$C$50))&gt;=Setup!$C$15,MONTH(WORKDAY(G384,-(Setup!$C$13+Setup!$G$25),Setup!$C$39:$C$50))&lt;=Setup!$C$16),OR(MONTH(WORKDAY(G384,-(Setup!$C$13+Setup!$G$25),Setup!$C$39:$C$50))&gt;=Setup!$C$15,MONTH(WORKDAY(G384,-(Setup!$C$13+Setup!$G$25),Setup!$C$39:$C$50))&lt;=Setup!$C$16))),WORKDAY(G384,-(Setup!$C$13+Setup!$G$25+Setup!$C$14),Setup!$C$39:$C$50),WORKDAY(G384,-(Setup!$C$13+Setup!$G$25),Setup!$C$39:$C$50))+(379*100+6)/10000000)))</f>
        <v/>
      </c>
      <c r="X384" t="str">
        <f>IF(H384="","",IF(H384&lt;Setup!$C$5-Setup!$C$6,"",IF(IF(ISNUMBER(Roster!$D384),Setup!$C$26&lt;=Roster!$D384,FALSE),"",IF(OR(IF(Setup!$C$15&lt;=Setup!$C$16,AND(MONTH(H384)&gt;=Setup!$C$15,MONTH(H384)&lt;=Setup!$C$16),OR(MONTH(H384)&gt;=Setup!$C$15,MONTH(H384)&lt;=Setup!$C$16)),IF(Setup!$C$15&lt;=Setup!$C$16,AND(MONTH(WORKDAY(H384,-(Setup!$C$13+Setup!$G$26),Setup!$C$39:$C$50))&gt;=Setup!$C$15,MONTH(WORKDAY(H384,-(Setup!$C$13+Setup!$G$26),Setup!$C$39:$C$50))&lt;=Setup!$C$16),OR(MONTH(WORKDAY(H384,-(Setup!$C$13+Setup!$G$26),Setup!$C$39:$C$50))&gt;=Setup!$C$15,MONTH(WORKDAY(H384,-(Setup!$C$13+Setup!$G$26),Setup!$C$39:$C$50))&lt;=Setup!$C$16))),WORKDAY(H384,-(Setup!$C$13+Setup!$G$26+Setup!$C$14),Setup!$C$39:$C$50),WORKDAY(H384,-(Setup!$C$13+Setup!$G$26),Setup!$C$39:$C$50))+(379*100+7)/10000000)))</f>
        <v/>
      </c>
      <c r="Y384" t="str">
        <f>IF(I384="","",IF(I384&lt;Setup!$C$5-Setup!$C$6,"",IF(IF(ISNUMBER(Roster!$D384),Setup!$C$27&lt;=Roster!$D384,FALSE),"",IF(OR(IF(Setup!$C$15&lt;=Setup!$C$16,AND(MONTH(I384)&gt;=Setup!$C$15,MONTH(I384)&lt;=Setup!$C$16),OR(MONTH(I384)&gt;=Setup!$C$15,MONTH(I384)&lt;=Setup!$C$16)),IF(Setup!$C$15&lt;=Setup!$C$16,AND(MONTH(WORKDAY(I384,-(Setup!$C$13+Setup!$G$27),Setup!$C$39:$C$50))&gt;=Setup!$C$15,MONTH(WORKDAY(I384,-(Setup!$C$13+Setup!$G$27),Setup!$C$39:$C$50))&lt;=Setup!$C$16),OR(MONTH(WORKDAY(I384,-(Setup!$C$13+Setup!$G$27),Setup!$C$39:$C$50))&gt;=Setup!$C$15,MONTH(WORKDAY(I384,-(Setup!$C$13+Setup!$G$27),Setup!$C$39:$C$50))&lt;=Setup!$C$16))),WORKDAY(I384,-(Setup!$C$13+Setup!$G$27+Setup!$C$14),Setup!$C$39:$C$50),WORKDAY(I384,-(Setup!$C$13+Setup!$G$27),Setup!$C$39:$C$50))+(379*100+8)/10000000)))</f>
        <v/>
      </c>
      <c r="Z384" t="str">
        <f>IF(J384="","",IF(J384&lt;Setup!$C$5-Setup!$C$6,"",IF(IF(ISNUMBER(Roster!$D384),Setup!$C$28&lt;=Roster!$D384,FALSE),"",IF(OR(IF(Setup!$C$15&lt;=Setup!$C$16,AND(MONTH(J384)&gt;=Setup!$C$15,MONTH(J384)&lt;=Setup!$C$16),OR(MONTH(J384)&gt;=Setup!$C$15,MONTH(J384)&lt;=Setup!$C$16)),IF(Setup!$C$15&lt;=Setup!$C$16,AND(MONTH(WORKDAY(J384,-(Setup!$C$13+Setup!$G$28),Setup!$C$39:$C$50))&gt;=Setup!$C$15,MONTH(WORKDAY(J384,-(Setup!$C$13+Setup!$G$28),Setup!$C$39:$C$50))&lt;=Setup!$C$16),OR(MONTH(WORKDAY(J384,-(Setup!$C$13+Setup!$G$28),Setup!$C$39:$C$50))&gt;=Setup!$C$15,MONTH(WORKDAY(J384,-(Setup!$C$13+Setup!$G$28),Setup!$C$39:$C$50))&lt;=Setup!$C$16))),WORKDAY(J384,-(Setup!$C$13+Setup!$G$28+Setup!$C$14),Setup!$C$39:$C$50),WORKDAY(J384,-(Setup!$C$13+Setup!$G$28),Setup!$C$39:$C$50))+(379*100+9)/10000000)))</f>
        <v/>
      </c>
      <c r="AA384" t="str">
        <f>IF(K384="","",IF(K384&lt;Setup!$C$5-Setup!$C$6,"",IF(IF(ISNUMBER(Roster!$D384),Setup!$C$29&lt;=Roster!$D384,FALSE),"",IF(OR(IF(Setup!$C$15&lt;=Setup!$C$16,AND(MONTH(K384)&gt;=Setup!$C$15,MONTH(K384)&lt;=Setup!$C$16),OR(MONTH(K384)&gt;=Setup!$C$15,MONTH(K384)&lt;=Setup!$C$16)),IF(Setup!$C$15&lt;=Setup!$C$16,AND(MONTH(WORKDAY(K384,-(Setup!$C$13+Setup!$G$29),Setup!$C$39:$C$50))&gt;=Setup!$C$15,MONTH(WORKDAY(K384,-(Setup!$C$13+Setup!$G$29),Setup!$C$39:$C$50))&lt;=Setup!$C$16),OR(MONTH(WORKDAY(K384,-(Setup!$C$13+Setup!$G$29),Setup!$C$39:$C$50))&gt;=Setup!$C$15,MONTH(WORKDAY(K384,-(Setup!$C$13+Setup!$G$29),Setup!$C$39:$C$50))&lt;=Setup!$C$16))),WORKDAY(K384,-(Setup!$C$13+Setup!$G$29+Setup!$C$14),Setup!$C$39:$C$50),WORKDAY(K384,-(Setup!$C$13+Setup!$G$29),Setup!$C$39:$C$50))+(379*100+10)/10000000)))</f>
        <v/>
      </c>
      <c r="AB384" t="str">
        <f>IF(L384="","",IF(L384&lt;Setup!$C$5-Setup!$C$6,"",IF(IF(ISNUMBER(Roster!$D384),Setup!$C$30&lt;=Roster!$D384,FALSE),"",IF(OR(IF(Setup!$C$15&lt;=Setup!$C$16,AND(MONTH(L384)&gt;=Setup!$C$15,MONTH(L384)&lt;=Setup!$C$16),OR(MONTH(L384)&gt;=Setup!$C$15,MONTH(L384)&lt;=Setup!$C$16)),IF(Setup!$C$15&lt;=Setup!$C$16,AND(MONTH(WORKDAY(L384,-(Setup!$C$13+Setup!$G$30),Setup!$C$39:$C$50))&gt;=Setup!$C$15,MONTH(WORKDAY(L384,-(Setup!$C$13+Setup!$G$30),Setup!$C$39:$C$50))&lt;=Setup!$C$16),OR(MONTH(WORKDAY(L384,-(Setup!$C$13+Setup!$G$30),Setup!$C$39:$C$50))&gt;=Setup!$C$15,MONTH(WORKDAY(L384,-(Setup!$C$13+Setup!$G$30),Setup!$C$39:$C$50))&lt;=Setup!$C$16))),WORKDAY(L384,-(Setup!$C$13+Setup!$G$30+Setup!$C$14),Setup!$C$39:$C$50),WORKDAY(L384,-(Setup!$C$13+Setup!$G$30),Setup!$C$39:$C$50))+(379*100+11)/10000000)))</f>
        <v/>
      </c>
      <c r="AC384" t="str">
        <f>IF(M384="","",IF(M384&lt;Setup!$C$5-Setup!$C$6,"",IF(IF(ISNUMBER(Roster!$D384),Setup!$C$31&lt;=Roster!$D384,FALSE),"",IF(OR(IF(Setup!$C$15&lt;=Setup!$C$16,AND(MONTH(M384)&gt;=Setup!$C$15,MONTH(M384)&lt;=Setup!$C$16),OR(MONTH(M384)&gt;=Setup!$C$15,MONTH(M384)&lt;=Setup!$C$16)),IF(Setup!$C$15&lt;=Setup!$C$16,AND(MONTH(WORKDAY(M384,-(Setup!$C$13+Setup!$G$31),Setup!$C$39:$C$50))&gt;=Setup!$C$15,MONTH(WORKDAY(M384,-(Setup!$C$13+Setup!$G$31),Setup!$C$39:$C$50))&lt;=Setup!$C$16),OR(MONTH(WORKDAY(M384,-(Setup!$C$13+Setup!$G$31),Setup!$C$39:$C$50))&gt;=Setup!$C$15,MONTH(WORKDAY(M384,-(Setup!$C$13+Setup!$G$31),Setup!$C$39:$C$50))&lt;=Setup!$C$16))),WORKDAY(M384,-(Setup!$C$13+Setup!$G$31+Setup!$C$14),Setup!$C$39:$C$50),WORKDAY(M384,-(Setup!$C$13+Setup!$G$31),Setup!$C$39:$C$50))+(379*100+12)/10000000)))</f>
        <v/>
      </c>
      <c r="AD384" t="str">
        <f>IF(N384="","",IF(N384&lt;Setup!$C$5-Setup!$C$6,"",IF(IF(ISNUMBER(Roster!$D384),Setup!$C$32&lt;=Roster!$D384,FALSE),"",IF(OR(IF(Setup!$C$15&lt;=Setup!$C$16,AND(MONTH(N384)&gt;=Setup!$C$15,MONTH(N384)&lt;=Setup!$C$16),OR(MONTH(N384)&gt;=Setup!$C$15,MONTH(N384)&lt;=Setup!$C$16)),IF(Setup!$C$15&lt;=Setup!$C$16,AND(MONTH(WORKDAY(N384,-(Setup!$C$13+Setup!$G$32),Setup!$C$39:$C$50))&gt;=Setup!$C$15,MONTH(WORKDAY(N384,-(Setup!$C$13+Setup!$G$32),Setup!$C$39:$C$50))&lt;=Setup!$C$16),OR(MONTH(WORKDAY(N384,-(Setup!$C$13+Setup!$G$32),Setup!$C$39:$C$50))&gt;=Setup!$C$15,MONTH(WORKDAY(N384,-(Setup!$C$13+Setup!$G$32),Setup!$C$39:$C$50))&lt;=Setup!$C$16))),WORKDAY(N384,-(Setup!$C$13+Setup!$G$32+Setup!$C$14),Setup!$C$39:$C$50),WORKDAY(N384,-(Setup!$C$13+Setup!$G$32),Setup!$C$39:$C$50))+(379*100+13)/10000000)))</f>
        <v/>
      </c>
      <c r="AE384" t="str">
        <f>IF(O384="","",IF(O384&lt;Setup!$C$5-Setup!$C$6,"",IF(IF(ISNUMBER(Roster!$D384),Setup!$C$33&lt;=Roster!$D384,FALSE),"",IF(OR(IF(Setup!$C$15&lt;=Setup!$C$16,AND(MONTH(O384)&gt;=Setup!$C$15,MONTH(O384)&lt;=Setup!$C$16),OR(MONTH(O384)&gt;=Setup!$C$15,MONTH(O384)&lt;=Setup!$C$16)),IF(Setup!$C$15&lt;=Setup!$C$16,AND(MONTH(WORKDAY(O384,-(Setup!$C$13+Setup!$G$33),Setup!$C$39:$C$50))&gt;=Setup!$C$15,MONTH(WORKDAY(O384,-(Setup!$C$13+Setup!$G$33),Setup!$C$39:$C$50))&lt;=Setup!$C$16),OR(MONTH(WORKDAY(O384,-(Setup!$C$13+Setup!$G$33),Setup!$C$39:$C$50))&gt;=Setup!$C$15,MONTH(WORKDAY(O384,-(Setup!$C$13+Setup!$G$33),Setup!$C$39:$C$50))&lt;=Setup!$C$16))),WORKDAY(O384,-(Setup!$C$13+Setup!$G$33+Setup!$C$14),Setup!$C$39:$C$50),WORKDAY(O384,-(Setup!$C$13+Setup!$G$33),Setup!$C$39:$C$50))+(379*100+14)/10000000)))</f>
        <v/>
      </c>
      <c r="AF384" t="str">
        <f>IF(P384="","",IF(P384&lt;Setup!$C$5-Setup!$C$6,"",IF(IF(ISNUMBER(Roster!$D384),Setup!$C$34&lt;=Roster!$D384,FALSE),"",IF(OR(IF(Setup!$C$15&lt;=Setup!$C$16,AND(MONTH(P384)&gt;=Setup!$C$15,MONTH(P384)&lt;=Setup!$C$16),OR(MONTH(P384)&gt;=Setup!$C$15,MONTH(P384)&lt;=Setup!$C$16)),IF(Setup!$C$15&lt;=Setup!$C$16,AND(MONTH(WORKDAY(P384,-(Setup!$C$13+Setup!$G$34),Setup!$C$39:$C$50))&gt;=Setup!$C$15,MONTH(WORKDAY(P384,-(Setup!$C$13+Setup!$G$34),Setup!$C$39:$C$50))&lt;=Setup!$C$16),OR(MONTH(WORKDAY(P384,-(Setup!$C$13+Setup!$G$34),Setup!$C$39:$C$50))&gt;=Setup!$C$15,MONTH(WORKDAY(P384,-(Setup!$C$13+Setup!$G$34),Setup!$C$39:$C$50))&lt;=Setup!$C$16))),WORKDAY(P384,-(Setup!$C$13+Setup!$G$34+Setup!$C$14),Setup!$C$39:$C$50),WORKDAY(P384,-(Setup!$C$13+Setup!$G$34),Setup!$C$39:$C$50))+(379*100+15)/10000000)))</f>
        <v/>
      </c>
      <c r="AH384" t="str">
        <f t="shared" si="41"/>
        <v/>
      </c>
      <c r="AI384" t="str">
        <f t="shared" si="42"/>
        <v/>
      </c>
      <c r="AP384" t="str">
        <f>IF(ISNUMBER(Roster!$B384),MAX(1,YEAR(Setup!$C$5)-YEAR(Roster!$B384)+IF(EDATE(Roster!$B384,12*(YEAR(Setup!$C$5)-YEAR(Roster!$B384)))&lt;Setup!$C$5,1,0)),"")</f>
        <v/>
      </c>
      <c r="AQ384" s="32" t="str">
        <f>IF(AP384="","",EDATE(Roster!$B384,12*AP384))</f>
        <v/>
      </c>
      <c r="AR384" t="str">
        <f>IF(AQ384="","",IF(AQ384&lt;DATE(YEAR(Setup!$C$5)+1,MONTH(Setup!$C$5),DAY(Setup!$C$5)),AQ384+379/1000,""))</f>
        <v/>
      </c>
      <c r="AS384" t="str">
        <f t="shared" si="43"/>
        <v/>
      </c>
      <c r="AT384" t="str">
        <f>IF(AS384="","",IF(ISNUMBER(Roster!$D384),Roster!$D384&gt;=AP384,FALSE))</f>
        <v/>
      </c>
      <c r="AU384" t="str">
        <f t="shared" si="44"/>
        <v/>
      </c>
      <c r="AV384" t="str">
        <f ca="1">IF(379&gt;$AV$2,"",SMALL($AR$6:$AR$505,379))</f>
        <v/>
      </c>
      <c r="AW384" t="str">
        <f t="shared" ca="1" si="45"/>
        <v/>
      </c>
    </row>
    <row r="385" spans="2:49" x14ac:dyDescent="0.2">
      <c r="B385" s="32" t="str">
        <f>IF(AND(ISNUMBER(Roster!$B385),Setup!$B$20="Yes",ISNUMBER(Setup!$C$20)),EDATE(Roster!$B385,12*Setup!$C$20),"")</f>
        <v/>
      </c>
      <c r="C385" s="32" t="str">
        <f>IF(AND(ISNUMBER(Roster!$B385),Setup!$B$21="Yes",ISNUMBER(Setup!$C$21)),EDATE(Roster!$B385,12*Setup!$C$21),"")</f>
        <v/>
      </c>
      <c r="D385" s="32" t="str">
        <f>IF(AND(ISNUMBER(Roster!$B385),Setup!$B$22="Yes",ISNUMBER(Setup!$C$22)),EDATE(Roster!$B385,12*Setup!$C$22),"")</f>
        <v/>
      </c>
      <c r="E385" s="32" t="str">
        <f>IF(AND(ISNUMBER(Roster!$B385),Setup!$B$23="Yes",ISNUMBER(Setup!$C$23)),EDATE(Roster!$B385,12*Setup!$C$23),"")</f>
        <v/>
      </c>
      <c r="F385" s="32" t="str">
        <f>IF(AND(ISNUMBER(Roster!$B385),Setup!$B$24="Yes",ISNUMBER(Setup!$C$24)),EDATE(Roster!$B385,12*Setup!$C$24),"")</f>
        <v/>
      </c>
      <c r="G385" s="32" t="str">
        <f>IF(AND(ISNUMBER(Roster!$B385),Setup!$B$25="Yes",ISNUMBER(Setup!$C$25)),EDATE(Roster!$B385,12*Setup!$C$25),"")</f>
        <v/>
      </c>
      <c r="H385" s="32" t="str">
        <f>IF(AND(ISNUMBER(Roster!$B385),Setup!$B$26="Yes",ISNUMBER(Setup!$C$26)),EDATE(Roster!$B385,12*Setup!$C$26),"")</f>
        <v/>
      </c>
      <c r="I385" s="32" t="str">
        <f>IF(AND(ISNUMBER(Roster!$B385),Setup!$B$27="Yes",ISNUMBER(Setup!$C$27)),EDATE(Roster!$B385,12*Setup!$C$27),"")</f>
        <v/>
      </c>
      <c r="J385" s="32" t="str">
        <f>IF(AND(ISNUMBER(Roster!$B385),Setup!$B$28="Yes",ISNUMBER(Setup!$C$28)),EDATE(Roster!$B385,12*Setup!$C$28),"")</f>
        <v/>
      </c>
      <c r="K385" s="32" t="str">
        <f>IF(AND(ISNUMBER(Roster!$B385),Setup!$B$29="Yes",ISNUMBER(Setup!$C$29)),EDATE(Roster!$B385,12*Setup!$C$29),"")</f>
        <v/>
      </c>
      <c r="L385" s="32" t="str">
        <f>IF(AND(ISNUMBER(Roster!$B385),Setup!$B$30="Yes",ISNUMBER(Setup!$C$30)),EDATE(Roster!$B385,12*Setup!$C$30),"")</f>
        <v/>
      </c>
      <c r="M385" s="32" t="str">
        <f>IF(AND(ISNUMBER(Roster!$B385),Setup!$B$31="Yes",ISNUMBER(Setup!$C$31)),EDATE(Roster!$B385,12*Setup!$C$31),"")</f>
        <v/>
      </c>
      <c r="N385" s="32" t="str">
        <f>IF(AND(ISNUMBER(Roster!$B385),Setup!$B$32="Yes",ISNUMBER(Setup!$C$32)),EDATE(Roster!$B385,12*Setup!$C$32),"")</f>
        <v/>
      </c>
      <c r="O385" s="32" t="str">
        <f>IF(AND(ISNUMBER(Roster!$B385),Setup!$B$33="Yes",ISNUMBER(Setup!$C$33)),EDATE(Roster!$B385,12*Setup!$C$33),"")</f>
        <v/>
      </c>
      <c r="P385" s="32" t="str">
        <f>IF(AND(ISNUMBER(Roster!$B385),Setup!$B$34="Yes",ISNUMBER(Setup!$C$34)),EDATE(Roster!$B385,12*Setup!$C$34),"")</f>
        <v/>
      </c>
      <c r="R385" t="str">
        <f>IF(B385="","",IF(B385&lt;Setup!$C$5-Setup!$C$6,"",IF(IF(ISNUMBER(Roster!$D385),Setup!$C$20&lt;=Roster!$D385,FALSE),"",IF(OR(IF(Setup!$C$15&lt;=Setup!$C$16,AND(MONTH(B385)&gt;=Setup!$C$15,MONTH(B385)&lt;=Setup!$C$16),OR(MONTH(B385)&gt;=Setup!$C$15,MONTH(B385)&lt;=Setup!$C$16)),IF(Setup!$C$15&lt;=Setup!$C$16,AND(MONTH(WORKDAY(B385,-(Setup!$C$13+Setup!$G$20),Setup!$C$39:$C$50))&gt;=Setup!$C$15,MONTH(WORKDAY(B385,-(Setup!$C$13+Setup!$G$20),Setup!$C$39:$C$50))&lt;=Setup!$C$16),OR(MONTH(WORKDAY(B385,-(Setup!$C$13+Setup!$G$20),Setup!$C$39:$C$50))&gt;=Setup!$C$15,MONTH(WORKDAY(B385,-(Setup!$C$13+Setup!$G$20),Setup!$C$39:$C$50))&lt;=Setup!$C$16))),WORKDAY(B385,-(Setup!$C$13+Setup!$G$20+Setup!$C$14),Setup!$C$39:$C$50),WORKDAY(B385,-(Setup!$C$13+Setup!$G$20),Setup!$C$39:$C$50))+(380*100+1)/10000000)))</f>
        <v/>
      </c>
      <c r="S385" t="str">
        <f>IF(C385="","",IF(C385&lt;Setup!$C$5-Setup!$C$6,"",IF(IF(ISNUMBER(Roster!$D385),Setup!$C$21&lt;=Roster!$D385,FALSE),"",IF(OR(IF(Setup!$C$15&lt;=Setup!$C$16,AND(MONTH(C385)&gt;=Setup!$C$15,MONTH(C385)&lt;=Setup!$C$16),OR(MONTH(C385)&gt;=Setup!$C$15,MONTH(C385)&lt;=Setup!$C$16)),IF(Setup!$C$15&lt;=Setup!$C$16,AND(MONTH(WORKDAY(C385,-(Setup!$C$13+Setup!$G$21),Setup!$C$39:$C$50))&gt;=Setup!$C$15,MONTH(WORKDAY(C385,-(Setup!$C$13+Setup!$G$21),Setup!$C$39:$C$50))&lt;=Setup!$C$16),OR(MONTH(WORKDAY(C385,-(Setup!$C$13+Setup!$G$21),Setup!$C$39:$C$50))&gt;=Setup!$C$15,MONTH(WORKDAY(C385,-(Setup!$C$13+Setup!$G$21),Setup!$C$39:$C$50))&lt;=Setup!$C$16))),WORKDAY(C385,-(Setup!$C$13+Setup!$G$21+Setup!$C$14),Setup!$C$39:$C$50),WORKDAY(C385,-(Setup!$C$13+Setup!$G$21),Setup!$C$39:$C$50))+(380*100+2)/10000000)))</f>
        <v/>
      </c>
      <c r="T385" t="str">
        <f>IF(D385="","",IF(D385&lt;Setup!$C$5-Setup!$C$6,"",IF(IF(ISNUMBER(Roster!$D385),Setup!$C$22&lt;=Roster!$D385,FALSE),"",IF(OR(IF(Setup!$C$15&lt;=Setup!$C$16,AND(MONTH(D385)&gt;=Setup!$C$15,MONTH(D385)&lt;=Setup!$C$16),OR(MONTH(D385)&gt;=Setup!$C$15,MONTH(D385)&lt;=Setup!$C$16)),IF(Setup!$C$15&lt;=Setup!$C$16,AND(MONTH(WORKDAY(D385,-(Setup!$C$13+Setup!$G$22),Setup!$C$39:$C$50))&gt;=Setup!$C$15,MONTH(WORKDAY(D385,-(Setup!$C$13+Setup!$G$22),Setup!$C$39:$C$50))&lt;=Setup!$C$16),OR(MONTH(WORKDAY(D385,-(Setup!$C$13+Setup!$G$22),Setup!$C$39:$C$50))&gt;=Setup!$C$15,MONTH(WORKDAY(D385,-(Setup!$C$13+Setup!$G$22),Setup!$C$39:$C$50))&lt;=Setup!$C$16))),WORKDAY(D385,-(Setup!$C$13+Setup!$G$22+Setup!$C$14),Setup!$C$39:$C$50),WORKDAY(D385,-(Setup!$C$13+Setup!$G$22),Setup!$C$39:$C$50))+(380*100+3)/10000000)))</f>
        <v/>
      </c>
      <c r="U385" t="str">
        <f>IF(E385="","",IF(E385&lt;Setup!$C$5-Setup!$C$6,"",IF(IF(ISNUMBER(Roster!$D385),Setup!$C$23&lt;=Roster!$D385,FALSE),"",IF(OR(IF(Setup!$C$15&lt;=Setup!$C$16,AND(MONTH(E385)&gt;=Setup!$C$15,MONTH(E385)&lt;=Setup!$C$16),OR(MONTH(E385)&gt;=Setup!$C$15,MONTH(E385)&lt;=Setup!$C$16)),IF(Setup!$C$15&lt;=Setup!$C$16,AND(MONTH(WORKDAY(E385,-(Setup!$C$13+Setup!$G$23),Setup!$C$39:$C$50))&gt;=Setup!$C$15,MONTH(WORKDAY(E385,-(Setup!$C$13+Setup!$G$23),Setup!$C$39:$C$50))&lt;=Setup!$C$16),OR(MONTH(WORKDAY(E385,-(Setup!$C$13+Setup!$G$23),Setup!$C$39:$C$50))&gt;=Setup!$C$15,MONTH(WORKDAY(E385,-(Setup!$C$13+Setup!$G$23),Setup!$C$39:$C$50))&lt;=Setup!$C$16))),WORKDAY(E385,-(Setup!$C$13+Setup!$G$23+Setup!$C$14),Setup!$C$39:$C$50),WORKDAY(E385,-(Setup!$C$13+Setup!$G$23),Setup!$C$39:$C$50))+(380*100+4)/10000000)))</f>
        <v/>
      </c>
      <c r="V385" t="str">
        <f>IF(F385="","",IF(F385&lt;Setup!$C$5-Setup!$C$6,"",IF(IF(ISNUMBER(Roster!$D385),Setup!$C$24&lt;=Roster!$D385,FALSE),"",IF(OR(IF(Setup!$C$15&lt;=Setup!$C$16,AND(MONTH(F385)&gt;=Setup!$C$15,MONTH(F385)&lt;=Setup!$C$16),OR(MONTH(F385)&gt;=Setup!$C$15,MONTH(F385)&lt;=Setup!$C$16)),IF(Setup!$C$15&lt;=Setup!$C$16,AND(MONTH(WORKDAY(F385,-(Setup!$C$13+Setup!$G$24),Setup!$C$39:$C$50))&gt;=Setup!$C$15,MONTH(WORKDAY(F385,-(Setup!$C$13+Setup!$G$24),Setup!$C$39:$C$50))&lt;=Setup!$C$16),OR(MONTH(WORKDAY(F385,-(Setup!$C$13+Setup!$G$24),Setup!$C$39:$C$50))&gt;=Setup!$C$15,MONTH(WORKDAY(F385,-(Setup!$C$13+Setup!$G$24),Setup!$C$39:$C$50))&lt;=Setup!$C$16))),WORKDAY(F385,-(Setup!$C$13+Setup!$G$24+Setup!$C$14),Setup!$C$39:$C$50),WORKDAY(F385,-(Setup!$C$13+Setup!$G$24),Setup!$C$39:$C$50))+(380*100+5)/10000000)))</f>
        <v/>
      </c>
      <c r="W385" t="str">
        <f>IF(G385="","",IF(G385&lt;Setup!$C$5-Setup!$C$6,"",IF(IF(ISNUMBER(Roster!$D385),Setup!$C$25&lt;=Roster!$D385,FALSE),"",IF(OR(IF(Setup!$C$15&lt;=Setup!$C$16,AND(MONTH(G385)&gt;=Setup!$C$15,MONTH(G385)&lt;=Setup!$C$16),OR(MONTH(G385)&gt;=Setup!$C$15,MONTH(G385)&lt;=Setup!$C$16)),IF(Setup!$C$15&lt;=Setup!$C$16,AND(MONTH(WORKDAY(G385,-(Setup!$C$13+Setup!$G$25),Setup!$C$39:$C$50))&gt;=Setup!$C$15,MONTH(WORKDAY(G385,-(Setup!$C$13+Setup!$G$25),Setup!$C$39:$C$50))&lt;=Setup!$C$16),OR(MONTH(WORKDAY(G385,-(Setup!$C$13+Setup!$G$25),Setup!$C$39:$C$50))&gt;=Setup!$C$15,MONTH(WORKDAY(G385,-(Setup!$C$13+Setup!$G$25),Setup!$C$39:$C$50))&lt;=Setup!$C$16))),WORKDAY(G385,-(Setup!$C$13+Setup!$G$25+Setup!$C$14),Setup!$C$39:$C$50),WORKDAY(G385,-(Setup!$C$13+Setup!$G$25),Setup!$C$39:$C$50))+(380*100+6)/10000000)))</f>
        <v/>
      </c>
      <c r="X385" t="str">
        <f>IF(H385="","",IF(H385&lt;Setup!$C$5-Setup!$C$6,"",IF(IF(ISNUMBER(Roster!$D385),Setup!$C$26&lt;=Roster!$D385,FALSE),"",IF(OR(IF(Setup!$C$15&lt;=Setup!$C$16,AND(MONTH(H385)&gt;=Setup!$C$15,MONTH(H385)&lt;=Setup!$C$16),OR(MONTH(H385)&gt;=Setup!$C$15,MONTH(H385)&lt;=Setup!$C$16)),IF(Setup!$C$15&lt;=Setup!$C$16,AND(MONTH(WORKDAY(H385,-(Setup!$C$13+Setup!$G$26),Setup!$C$39:$C$50))&gt;=Setup!$C$15,MONTH(WORKDAY(H385,-(Setup!$C$13+Setup!$G$26),Setup!$C$39:$C$50))&lt;=Setup!$C$16),OR(MONTH(WORKDAY(H385,-(Setup!$C$13+Setup!$G$26),Setup!$C$39:$C$50))&gt;=Setup!$C$15,MONTH(WORKDAY(H385,-(Setup!$C$13+Setup!$G$26),Setup!$C$39:$C$50))&lt;=Setup!$C$16))),WORKDAY(H385,-(Setup!$C$13+Setup!$G$26+Setup!$C$14),Setup!$C$39:$C$50),WORKDAY(H385,-(Setup!$C$13+Setup!$G$26),Setup!$C$39:$C$50))+(380*100+7)/10000000)))</f>
        <v/>
      </c>
      <c r="Y385" t="str">
        <f>IF(I385="","",IF(I385&lt;Setup!$C$5-Setup!$C$6,"",IF(IF(ISNUMBER(Roster!$D385),Setup!$C$27&lt;=Roster!$D385,FALSE),"",IF(OR(IF(Setup!$C$15&lt;=Setup!$C$16,AND(MONTH(I385)&gt;=Setup!$C$15,MONTH(I385)&lt;=Setup!$C$16),OR(MONTH(I385)&gt;=Setup!$C$15,MONTH(I385)&lt;=Setup!$C$16)),IF(Setup!$C$15&lt;=Setup!$C$16,AND(MONTH(WORKDAY(I385,-(Setup!$C$13+Setup!$G$27),Setup!$C$39:$C$50))&gt;=Setup!$C$15,MONTH(WORKDAY(I385,-(Setup!$C$13+Setup!$G$27),Setup!$C$39:$C$50))&lt;=Setup!$C$16),OR(MONTH(WORKDAY(I385,-(Setup!$C$13+Setup!$G$27),Setup!$C$39:$C$50))&gt;=Setup!$C$15,MONTH(WORKDAY(I385,-(Setup!$C$13+Setup!$G$27),Setup!$C$39:$C$50))&lt;=Setup!$C$16))),WORKDAY(I385,-(Setup!$C$13+Setup!$G$27+Setup!$C$14),Setup!$C$39:$C$50),WORKDAY(I385,-(Setup!$C$13+Setup!$G$27),Setup!$C$39:$C$50))+(380*100+8)/10000000)))</f>
        <v/>
      </c>
      <c r="Z385" t="str">
        <f>IF(J385="","",IF(J385&lt;Setup!$C$5-Setup!$C$6,"",IF(IF(ISNUMBER(Roster!$D385),Setup!$C$28&lt;=Roster!$D385,FALSE),"",IF(OR(IF(Setup!$C$15&lt;=Setup!$C$16,AND(MONTH(J385)&gt;=Setup!$C$15,MONTH(J385)&lt;=Setup!$C$16),OR(MONTH(J385)&gt;=Setup!$C$15,MONTH(J385)&lt;=Setup!$C$16)),IF(Setup!$C$15&lt;=Setup!$C$16,AND(MONTH(WORKDAY(J385,-(Setup!$C$13+Setup!$G$28),Setup!$C$39:$C$50))&gt;=Setup!$C$15,MONTH(WORKDAY(J385,-(Setup!$C$13+Setup!$G$28),Setup!$C$39:$C$50))&lt;=Setup!$C$16),OR(MONTH(WORKDAY(J385,-(Setup!$C$13+Setup!$G$28),Setup!$C$39:$C$50))&gt;=Setup!$C$15,MONTH(WORKDAY(J385,-(Setup!$C$13+Setup!$G$28),Setup!$C$39:$C$50))&lt;=Setup!$C$16))),WORKDAY(J385,-(Setup!$C$13+Setup!$G$28+Setup!$C$14),Setup!$C$39:$C$50),WORKDAY(J385,-(Setup!$C$13+Setup!$G$28),Setup!$C$39:$C$50))+(380*100+9)/10000000)))</f>
        <v/>
      </c>
      <c r="AA385" t="str">
        <f>IF(K385="","",IF(K385&lt;Setup!$C$5-Setup!$C$6,"",IF(IF(ISNUMBER(Roster!$D385),Setup!$C$29&lt;=Roster!$D385,FALSE),"",IF(OR(IF(Setup!$C$15&lt;=Setup!$C$16,AND(MONTH(K385)&gt;=Setup!$C$15,MONTH(K385)&lt;=Setup!$C$16),OR(MONTH(K385)&gt;=Setup!$C$15,MONTH(K385)&lt;=Setup!$C$16)),IF(Setup!$C$15&lt;=Setup!$C$16,AND(MONTH(WORKDAY(K385,-(Setup!$C$13+Setup!$G$29),Setup!$C$39:$C$50))&gt;=Setup!$C$15,MONTH(WORKDAY(K385,-(Setup!$C$13+Setup!$G$29),Setup!$C$39:$C$50))&lt;=Setup!$C$16),OR(MONTH(WORKDAY(K385,-(Setup!$C$13+Setup!$G$29),Setup!$C$39:$C$50))&gt;=Setup!$C$15,MONTH(WORKDAY(K385,-(Setup!$C$13+Setup!$G$29),Setup!$C$39:$C$50))&lt;=Setup!$C$16))),WORKDAY(K385,-(Setup!$C$13+Setup!$G$29+Setup!$C$14),Setup!$C$39:$C$50),WORKDAY(K385,-(Setup!$C$13+Setup!$G$29),Setup!$C$39:$C$50))+(380*100+10)/10000000)))</f>
        <v/>
      </c>
      <c r="AB385" t="str">
        <f>IF(L385="","",IF(L385&lt;Setup!$C$5-Setup!$C$6,"",IF(IF(ISNUMBER(Roster!$D385),Setup!$C$30&lt;=Roster!$D385,FALSE),"",IF(OR(IF(Setup!$C$15&lt;=Setup!$C$16,AND(MONTH(L385)&gt;=Setup!$C$15,MONTH(L385)&lt;=Setup!$C$16),OR(MONTH(L385)&gt;=Setup!$C$15,MONTH(L385)&lt;=Setup!$C$16)),IF(Setup!$C$15&lt;=Setup!$C$16,AND(MONTH(WORKDAY(L385,-(Setup!$C$13+Setup!$G$30),Setup!$C$39:$C$50))&gt;=Setup!$C$15,MONTH(WORKDAY(L385,-(Setup!$C$13+Setup!$G$30),Setup!$C$39:$C$50))&lt;=Setup!$C$16),OR(MONTH(WORKDAY(L385,-(Setup!$C$13+Setup!$G$30),Setup!$C$39:$C$50))&gt;=Setup!$C$15,MONTH(WORKDAY(L385,-(Setup!$C$13+Setup!$G$30),Setup!$C$39:$C$50))&lt;=Setup!$C$16))),WORKDAY(L385,-(Setup!$C$13+Setup!$G$30+Setup!$C$14),Setup!$C$39:$C$50),WORKDAY(L385,-(Setup!$C$13+Setup!$G$30),Setup!$C$39:$C$50))+(380*100+11)/10000000)))</f>
        <v/>
      </c>
      <c r="AC385" t="str">
        <f>IF(M385="","",IF(M385&lt;Setup!$C$5-Setup!$C$6,"",IF(IF(ISNUMBER(Roster!$D385),Setup!$C$31&lt;=Roster!$D385,FALSE),"",IF(OR(IF(Setup!$C$15&lt;=Setup!$C$16,AND(MONTH(M385)&gt;=Setup!$C$15,MONTH(M385)&lt;=Setup!$C$16),OR(MONTH(M385)&gt;=Setup!$C$15,MONTH(M385)&lt;=Setup!$C$16)),IF(Setup!$C$15&lt;=Setup!$C$16,AND(MONTH(WORKDAY(M385,-(Setup!$C$13+Setup!$G$31),Setup!$C$39:$C$50))&gt;=Setup!$C$15,MONTH(WORKDAY(M385,-(Setup!$C$13+Setup!$G$31),Setup!$C$39:$C$50))&lt;=Setup!$C$16),OR(MONTH(WORKDAY(M385,-(Setup!$C$13+Setup!$G$31),Setup!$C$39:$C$50))&gt;=Setup!$C$15,MONTH(WORKDAY(M385,-(Setup!$C$13+Setup!$G$31),Setup!$C$39:$C$50))&lt;=Setup!$C$16))),WORKDAY(M385,-(Setup!$C$13+Setup!$G$31+Setup!$C$14),Setup!$C$39:$C$50),WORKDAY(M385,-(Setup!$C$13+Setup!$G$31),Setup!$C$39:$C$50))+(380*100+12)/10000000)))</f>
        <v/>
      </c>
      <c r="AD385" t="str">
        <f>IF(N385="","",IF(N385&lt;Setup!$C$5-Setup!$C$6,"",IF(IF(ISNUMBER(Roster!$D385),Setup!$C$32&lt;=Roster!$D385,FALSE),"",IF(OR(IF(Setup!$C$15&lt;=Setup!$C$16,AND(MONTH(N385)&gt;=Setup!$C$15,MONTH(N385)&lt;=Setup!$C$16),OR(MONTH(N385)&gt;=Setup!$C$15,MONTH(N385)&lt;=Setup!$C$16)),IF(Setup!$C$15&lt;=Setup!$C$16,AND(MONTH(WORKDAY(N385,-(Setup!$C$13+Setup!$G$32),Setup!$C$39:$C$50))&gt;=Setup!$C$15,MONTH(WORKDAY(N385,-(Setup!$C$13+Setup!$G$32),Setup!$C$39:$C$50))&lt;=Setup!$C$16),OR(MONTH(WORKDAY(N385,-(Setup!$C$13+Setup!$G$32),Setup!$C$39:$C$50))&gt;=Setup!$C$15,MONTH(WORKDAY(N385,-(Setup!$C$13+Setup!$G$32),Setup!$C$39:$C$50))&lt;=Setup!$C$16))),WORKDAY(N385,-(Setup!$C$13+Setup!$G$32+Setup!$C$14),Setup!$C$39:$C$50),WORKDAY(N385,-(Setup!$C$13+Setup!$G$32),Setup!$C$39:$C$50))+(380*100+13)/10000000)))</f>
        <v/>
      </c>
      <c r="AE385" t="str">
        <f>IF(O385="","",IF(O385&lt;Setup!$C$5-Setup!$C$6,"",IF(IF(ISNUMBER(Roster!$D385),Setup!$C$33&lt;=Roster!$D385,FALSE),"",IF(OR(IF(Setup!$C$15&lt;=Setup!$C$16,AND(MONTH(O385)&gt;=Setup!$C$15,MONTH(O385)&lt;=Setup!$C$16),OR(MONTH(O385)&gt;=Setup!$C$15,MONTH(O385)&lt;=Setup!$C$16)),IF(Setup!$C$15&lt;=Setup!$C$16,AND(MONTH(WORKDAY(O385,-(Setup!$C$13+Setup!$G$33),Setup!$C$39:$C$50))&gt;=Setup!$C$15,MONTH(WORKDAY(O385,-(Setup!$C$13+Setup!$G$33),Setup!$C$39:$C$50))&lt;=Setup!$C$16),OR(MONTH(WORKDAY(O385,-(Setup!$C$13+Setup!$G$33),Setup!$C$39:$C$50))&gt;=Setup!$C$15,MONTH(WORKDAY(O385,-(Setup!$C$13+Setup!$G$33),Setup!$C$39:$C$50))&lt;=Setup!$C$16))),WORKDAY(O385,-(Setup!$C$13+Setup!$G$33+Setup!$C$14),Setup!$C$39:$C$50),WORKDAY(O385,-(Setup!$C$13+Setup!$G$33),Setup!$C$39:$C$50))+(380*100+14)/10000000)))</f>
        <v/>
      </c>
      <c r="AF385" t="str">
        <f>IF(P385="","",IF(P385&lt;Setup!$C$5-Setup!$C$6,"",IF(IF(ISNUMBER(Roster!$D385),Setup!$C$34&lt;=Roster!$D385,FALSE),"",IF(OR(IF(Setup!$C$15&lt;=Setup!$C$16,AND(MONTH(P385)&gt;=Setup!$C$15,MONTH(P385)&lt;=Setup!$C$16),OR(MONTH(P385)&gt;=Setup!$C$15,MONTH(P385)&lt;=Setup!$C$16)),IF(Setup!$C$15&lt;=Setup!$C$16,AND(MONTH(WORKDAY(P385,-(Setup!$C$13+Setup!$G$34),Setup!$C$39:$C$50))&gt;=Setup!$C$15,MONTH(WORKDAY(P385,-(Setup!$C$13+Setup!$G$34),Setup!$C$39:$C$50))&lt;=Setup!$C$16),OR(MONTH(WORKDAY(P385,-(Setup!$C$13+Setup!$G$34),Setup!$C$39:$C$50))&gt;=Setup!$C$15,MONTH(WORKDAY(P385,-(Setup!$C$13+Setup!$G$34),Setup!$C$39:$C$50))&lt;=Setup!$C$16))),WORKDAY(P385,-(Setup!$C$13+Setup!$G$34+Setup!$C$14),Setup!$C$39:$C$50),WORKDAY(P385,-(Setup!$C$13+Setup!$G$34),Setup!$C$39:$C$50))+(380*100+15)/10000000)))</f>
        <v/>
      </c>
      <c r="AH385" t="str">
        <f t="shared" si="41"/>
        <v/>
      </c>
      <c r="AI385" t="str">
        <f t="shared" si="42"/>
        <v/>
      </c>
      <c r="AP385" t="str">
        <f>IF(ISNUMBER(Roster!$B385),MAX(1,YEAR(Setup!$C$5)-YEAR(Roster!$B385)+IF(EDATE(Roster!$B385,12*(YEAR(Setup!$C$5)-YEAR(Roster!$B385)))&lt;Setup!$C$5,1,0)),"")</f>
        <v/>
      </c>
      <c r="AQ385" s="32" t="str">
        <f>IF(AP385="","",EDATE(Roster!$B385,12*AP385))</f>
        <v/>
      </c>
      <c r="AR385" t="str">
        <f>IF(AQ385="","",IF(AQ385&lt;DATE(YEAR(Setup!$C$5)+1,MONTH(Setup!$C$5),DAY(Setup!$C$5)),AQ385+380/1000,""))</f>
        <v/>
      </c>
      <c r="AS385" t="str">
        <f t="shared" si="43"/>
        <v/>
      </c>
      <c r="AT385" t="str">
        <f>IF(AS385="","",IF(ISNUMBER(Roster!$D385),Roster!$D385&gt;=AP385,FALSE))</f>
        <v/>
      </c>
      <c r="AU385" t="str">
        <f t="shared" si="44"/>
        <v/>
      </c>
      <c r="AV385" t="str">
        <f ca="1">IF(380&gt;$AV$2,"",SMALL($AR$6:$AR$505,380))</f>
        <v/>
      </c>
      <c r="AW385" t="str">
        <f t="shared" ca="1" si="45"/>
        <v/>
      </c>
    </row>
    <row r="386" spans="2:49" x14ac:dyDescent="0.2">
      <c r="B386" s="32" t="str">
        <f>IF(AND(ISNUMBER(Roster!$B386),Setup!$B$20="Yes",ISNUMBER(Setup!$C$20)),EDATE(Roster!$B386,12*Setup!$C$20),"")</f>
        <v/>
      </c>
      <c r="C386" s="32" t="str">
        <f>IF(AND(ISNUMBER(Roster!$B386),Setup!$B$21="Yes",ISNUMBER(Setup!$C$21)),EDATE(Roster!$B386,12*Setup!$C$21),"")</f>
        <v/>
      </c>
      <c r="D386" s="32" t="str">
        <f>IF(AND(ISNUMBER(Roster!$B386),Setup!$B$22="Yes",ISNUMBER(Setup!$C$22)),EDATE(Roster!$B386,12*Setup!$C$22),"")</f>
        <v/>
      </c>
      <c r="E386" s="32" t="str">
        <f>IF(AND(ISNUMBER(Roster!$B386),Setup!$B$23="Yes",ISNUMBER(Setup!$C$23)),EDATE(Roster!$B386,12*Setup!$C$23),"")</f>
        <v/>
      </c>
      <c r="F386" s="32" t="str">
        <f>IF(AND(ISNUMBER(Roster!$B386),Setup!$B$24="Yes",ISNUMBER(Setup!$C$24)),EDATE(Roster!$B386,12*Setup!$C$24),"")</f>
        <v/>
      </c>
      <c r="G386" s="32" t="str">
        <f>IF(AND(ISNUMBER(Roster!$B386),Setup!$B$25="Yes",ISNUMBER(Setup!$C$25)),EDATE(Roster!$B386,12*Setup!$C$25),"")</f>
        <v/>
      </c>
      <c r="H386" s="32" t="str">
        <f>IF(AND(ISNUMBER(Roster!$B386),Setup!$B$26="Yes",ISNUMBER(Setup!$C$26)),EDATE(Roster!$B386,12*Setup!$C$26),"")</f>
        <v/>
      </c>
      <c r="I386" s="32" t="str">
        <f>IF(AND(ISNUMBER(Roster!$B386),Setup!$B$27="Yes",ISNUMBER(Setup!$C$27)),EDATE(Roster!$B386,12*Setup!$C$27),"")</f>
        <v/>
      </c>
      <c r="J386" s="32" t="str">
        <f>IF(AND(ISNUMBER(Roster!$B386),Setup!$B$28="Yes",ISNUMBER(Setup!$C$28)),EDATE(Roster!$B386,12*Setup!$C$28),"")</f>
        <v/>
      </c>
      <c r="K386" s="32" t="str">
        <f>IF(AND(ISNUMBER(Roster!$B386),Setup!$B$29="Yes",ISNUMBER(Setup!$C$29)),EDATE(Roster!$B386,12*Setup!$C$29),"")</f>
        <v/>
      </c>
      <c r="L386" s="32" t="str">
        <f>IF(AND(ISNUMBER(Roster!$B386),Setup!$B$30="Yes",ISNUMBER(Setup!$C$30)),EDATE(Roster!$B386,12*Setup!$C$30),"")</f>
        <v/>
      </c>
      <c r="M386" s="32" t="str">
        <f>IF(AND(ISNUMBER(Roster!$B386),Setup!$B$31="Yes",ISNUMBER(Setup!$C$31)),EDATE(Roster!$B386,12*Setup!$C$31),"")</f>
        <v/>
      </c>
      <c r="N386" s="32" t="str">
        <f>IF(AND(ISNUMBER(Roster!$B386),Setup!$B$32="Yes",ISNUMBER(Setup!$C$32)),EDATE(Roster!$B386,12*Setup!$C$32),"")</f>
        <v/>
      </c>
      <c r="O386" s="32" t="str">
        <f>IF(AND(ISNUMBER(Roster!$B386),Setup!$B$33="Yes",ISNUMBER(Setup!$C$33)),EDATE(Roster!$B386,12*Setup!$C$33),"")</f>
        <v/>
      </c>
      <c r="P386" s="32" t="str">
        <f>IF(AND(ISNUMBER(Roster!$B386),Setup!$B$34="Yes",ISNUMBER(Setup!$C$34)),EDATE(Roster!$B386,12*Setup!$C$34),"")</f>
        <v/>
      </c>
      <c r="R386" t="str">
        <f>IF(B386="","",IF(B386&lt;Setup!$C$5-Setup!$C$6,"",IF(IF(ISNUMBER(Roster!$D386),Setup!$C$20&lt;=Roster!$D386,FALSE),"",IF(OR(IF(Setup!$C$15&lt;=Setup!$C$16,AND(MONTH(B386)&gt;=Setup!$C$15,MONTH(B386)&lt;=Setup!$C$16),OR(MONTH(B386)&gt;=Setup!$C$15,MONTH(B386)&lt;=Setup!$C$16)),IF(Setup!$C$15&lt;=Setup!$C$16,AND(MONTH(WORKDAY(B386,-(Setup!$C$13+Setup!$G$20),Setup!$C$39:$C$50))&gt;=Setup!$C$15,MONTH(WORKDAY(B386,-(Setup!$C$13+Setup!$G$20),Setup!$C$39:$C$50))&lt;=Setup!$C$16),OR(MONTH(WORKDAY(B386,-(Setup!$C$13+Setup!$G$20),Setup!$C$39:$C$50))&gt;=Setup!$C$15,MONTH(WORKDAY(B386,-(Setup!$C$13+Setup!$G$20),Setup!$C$39:$C$50))&lt;=Setup!$C$16))),WORKDAY(B386,-(Setup!$C$13+Setup!$G$20+Setup!$C$14),Setup!$C$39:$C$50),WORKDAY(B386,-(Setup!$C$13+Setup!$G$20),Setup!$C$39:$C$50))+(381*100+1)/10000000)))</f>
        <v/>
      </c>
      <c r="S386" t="str">
        <f>IF(C386="","",IF(C386&lt;Setup!$C$5-Setup!$C$6,"",IF(IF(ISNUMBER(Roster!$D386),Setup!$C$21&lt;=Roster!$D386,FALSE),"",IF(OR(IF(Setup!$C$15&lt;=Setup!$C$16,AND(MONTH(C386)&gt;=Setup!$C$15,MONTH(C386)&lt;=Setup!$C$16),OR(MONTH(C386)&gt;=Setup!$C$15,MONTH(C386)&lt;=Setup!$C$16)),IF(Setup!$C$15&lt;=Setup!$C$16,AND(MONTH(WORKDAY(C386,-(Setup!$C$13+Setup!$G$21),Setup!$C$39:$C$50))&gt;=Setup!$C$15,MONTH(WORKDAY(C386,-(Setup!$C$13+Setup!$G$21),Setup!$C$39:$C$50))&lt;=Setup!$C$16),OR(MONTH(WORKDAY(C386,-(Setup!$C$13+Setup!$G$21),Setup!$C$39:$C$50))&gt;=Setup!$C$15,MONTH(WORKDAY(C386,-(Setup!$C$13+Setup!$G$21),Setup!$C$39:$C$50))&lt;=Setup!$C$16))),WORKDAY(C386,-(Setup!$C$13+Setup!$G$21+Setup!$C$14),Setup!$C$39:$C$50),WORKDAY(C386,-(Setup!$C$13+Setup!$G$21),Setup!$C$39:$C$50))+(381*100+2)/10000000)))</f>
        <v/>
      </c>
      <c r="T386" t="str">
        <f>IF(D386="","",IF(D386&lt;Setup!$C$5-Setup!$C$6,"",IF(IF(ISNUMBER(Roster!$D386),Setup!$C$22&lt;=Roster!$D386,FALSE),"",IF(OR(IF(Setup!$C$15&lt;=Setup!$C$16,AND(MONTH(D386)&gt;=Setup!$C$15,MONTH(D386)&lt;=Setup!$C$16),OR(MONTH(D386)&gt;=Setup!$C$15,MONTH(D386)&lt;=Setup!$C$16)),IF(Setup!$C$15&lt;=Setup!$C$16,AND(MONTH(WORKDAY(D386,-(Setup!$C$13+Setup!$G$22),Setup!$C$39:$C$50))&gt;=Setup!$C$15,MONTH(WORKDAY(D386,-(Setup!$C$13+Setup!$G$22),Setup!$C$39:$C$50))&lt;=Setup!$C$16),OR(MONTH(WORKDAY(D386,-(Setup!$C$13+Setup!$G$22),Setup!$C$39:$C$50))&gt;=Setup!$C$15,MONTH(WORKDAY(D386,-(Setup!$C$13+Setup!$G$22),Setup!$C$39:$C$50))&lt;=Setup!$C$16))),WORKDAY(D386,-(Setup!$C$13+Setup!$G$22+Setup!$C$14),Setup!$C$39:$C$50),WORKDAY(D386,-(Setup!$C$13+Setup!$G$22),Setup!$C$39:$C$50))+(381*100+3)/10000000)))</f>
        <v/>
      </c>
      <c r="U386" t="str">
        <f>IF(E386="","",IF(E386&lt;Setup!$C$5-Setup!$C$6,"",IF(IF(ISNUMBER(Roster!$D386),Setup!$C$23&lt;=Roster!$D386,FALSE),"",IF(OR(IF(Setup!$C$15&lt;=Setup!$C$16,AND(MONTH(E386)&gt;=Setup!$C$15,MONTH(E386)&lt;=Setup!$C$16),OR(MONTH(E386)&gt;=Setup!$C$15,MONTH(E386)&lt;=Setup!$C$16)),IF(Setup!$C$15&lt;=Setup!$C$16,AND(MONTH(WORKDAY(E386,-(Setup!$C$13+Setup!$G$23),Setup!$C$39:$C$50))&gt;=Setup!$C$15,MONTH(WORKDAY(E386,-(Setup!$C$13+Setup!$G$23),Setup!$C$39:$C$50))&lt;=Setup!$C$16),OR(MONTH(WORKDAY(E386,-(Setup!$C$13+Setup!$G$23),Setup!$C$39:$C$50))&gt;=Setup!$C$15,MONTH(WORKDAY(E386,-(Setup!$C$13+Setup!$G$23),Setup!$C$39:$C$50))&lt;=Setup!$C$16))),WORKDAY(E386,-(Setup!$C$13+Setup!$G$23+Setup!$C$14),Setup!$C$39:$C$50),WORKDAY(E386,-(Setup!$C$13+Setup!$G$23),Setup!$C$39:$C$50))+(381*100+4)/10000000)))</f>
        <v/>
      </c>
      <c r="V386" t="str">
        <f>IF(F386="","",IF(F386&lt;Setup!$C$5-Setup!$C$6,"",IF(IF(ISNUMBER(Roster!$D386),Setup!$C$24&lt;=Roster!$D386,FALSE),"",IF(OR(IF(Setup!$C$15&lt;=Setup!$C$16,AND(MONTH(F386)&gt;=Setup!$C$15,MONTH(F386)&lt;=Setup!$C$16),OR(MONTH(F386)&gt;=Setup!$C$15,MONTH(F386)&lt;=Setup!$C$16)),IF(Setup!$C$15&lt;=Setup!$C$16,AND(MONTH(WORKDAY(F386,-(Setup!$C$13+Setup!$G$24),Setup!$C$39:$C$50))&gt;=Setup!$C$15,MONTH(WORKDAY(F386,-(Setup!$C$13+Setup!$G$24),Setup!$C$39:$C$50))&lt;=Setup!$C$16),OR(MONTH(WORKDAY(F386,-(Setup!$C$13+Setup!$G$24),Setup!$C$39:$C$50))&gt;=Setup!$C$15,MONTH(WORKDAY(F386,-(Setup!$C$13+Setup!$G$24),Setup!$C$39:$C$50))&lt;=Setup!$C$16))),WORKDAY(F386,-(Setup!$C$13+Setup!$G$24+Setup!$C$14),Setup!$C$39:$C$50),WORKDAY(F386,-(Setup!$C$13+Setup!$G$24),Setup!$C$39:$C$50))+(381*100+5)/10000000)))</f>
        <v/>
      </c>
      <c r="W386" t="str">
        <f>IF(G386="","",IF(G386&lt;Setup!$C$5-Setup!$C$6,"",IF(IF(ISNUMBER(Roster!$D386),Setup!$C$25&lt;=Roster!$D386,FALSE),"",IF(OR(IF(Setup!$C$15&lt;=Setup!$C$16,AND(MONTH(G386)&gt;=Setup!$C$15,MONTH(G386)&lt;=Setup!$C$16),OR(MONTH(G386)&gt;=Setup!$C$15,MONTH(G386)&lt;=Setup!$C$16)),IF(Setup!$C$15&lt;=Setup!$C$16,AND(MONTH(WORKDAY(G386,-(Setup!$C$13+Setup!$G$25),Setup!$C$39:$C$50))&gt;=Setup!$C$15,MONTH(WORKDAY(G386,-(Setup!$C$13+Setup!$G$25),Setup!$C$39:$C$50))&lt;=Setup!$C$16),OR(MONTH(WORKDAY(G386,-(Setup!$C$13+Setup!$G$25),Setup!$C$39:$C$50))&gt;=Setup!$C$15,MONTH(WORKDAY(G386,-(Setup!$C$13+Setup!$G$25),Setup!$C$39:$C$50))&lt;=Setup!$C$16))),WORKDAY(G386,-(Setup!$C$13+Setup!$G$25+Setup!$C$14),Setup!$C$39:$C$50),WORKDAY(G386,-(Setup!$C$13+Setup!$G$25),Setup!$C$39:$C$50))+(381*100+6)/10000000)))</f>
        <v/>
      </c>
      <c r="X386" t="str">
        <f>IF(H386="","",IF(H386&lt;Setup!$C$5-Setup!$C$6,"",IF(IF(ISNUMBER(Roster!$D386),Setup!$C$26&lt;=Roster!$D386,FALSE),"",IF(OR(IF(Setup!$C$15&lt;=Setup!$C$16,AND(MONTH(H386)&gt;=Setup!$C$15,MONTH(H386)&lt;=Setup!$C$16),OR(MONTH(H386)&gt;=Setup!$C$15,MONTH(H386)&lt;=Setup!$C$16)),IF(Setup!$C$15&lt;=Setup!$C$16,AND(MONTH(WORKDAY(H386,-(Setup!$C$13+Setup!$G$26),Setup!$C$39:$C$50))&gt;=Setup!$C$15,MONTH(WORKDAY(H386,-(Setup!$C$13+Setup!$G$26),Setup!$C$39:$C$50))&lt;=Setup!$C$16),OR(MONTH(WORKDAY(H386,-(Setup!$C$13+Setup!$G$26),Setup!$C$39:$C$50))&gt;=Setup!$C$15,MONTH(WORKDAY(H386,-(Setup!$C$13+Setup!$G$26),Setup!$C$39:$C$50))&lt;=Setup!$C$16))),WORKDAY(H386,-(Setup!$C$13+Setup!$G$26+Setup!$C$14),Setup!$C$39:$C$50),WORKDAY(H386,-(Setup!$C$13+Setup!$G$26),Setup!$C$39:$C$50))+(381*100+7)/10000000)))</f>
        <v/>
      </c>
      <c r="Y386" t="str">
        <f>IF(I386="","",IF(I386&lt;Setup!$C$5-Setup!$C$6,"",IF(IF(ISNUMBER(Roster!$D386),Setup!$C$27&lt;=Roster!$D386,FALSE),"",IF(OR(IF(Setup!$C$15&lt;=Setup!$C$16,AND(MONTH(I386)&gt;=Setup!$C$15,MONTH(I386)&lt;=Setup!$C$16),OR(MONTH(I386)&gt;=Setup!$C$15,MONTH(I386)&lt;=Setup!$C$16)),IF(Setup!$C$15&lt;=Setup!$C$16,AND(MONTH(WORKDAY(I386,-(Setup!$C$13+Setup!$G$27),Setup!$C$39:$C$50))&gt;=Setup!$C$15,MONTH(WORKDAY(I386,-(Setup!$C$13+Setup!$G$27),Setup!$C$39:$C$50))&lt;=Setup!$C$16),OR(MONTH(WORKDAY(I386,-(Setup!$C$13+Setup!$G$27),Setup!$C$39:$C$50))&gt;=Setup!$C$15,MONTH(WORKDAY(I386,-(Setup!$C$13+Setup!$G$27),Setup!$C$39:$C$50))&lt;=Setup!$C$16))),WORKDAY(I386,-(Setup!$C$13+Setup!$G$27+Setup!$C$14),Setup!$C$39:$C$50),WORKDAY(I386,-(Setup!$C$13+Setup!$G$27),Setup!$C$39:$C$50))+(381*100+8)/10000000)))</f>
        <v/>
      </c>
      <c r="Z386" t="str">
        <f>IF(J386="","",IF(J386&lt;Setup!$C$5-Setup!$C$6,"",IF(IF(ISNUMBER(Roster!$D386),Setup!$C$28&lt;=Roster!$D386,FALSE),"",IF(OR(IF(Setup!$C$15&lt;=Setup!$C$16,AND(MONTH(J386)&gt;=Setup!$C$15,MONTH(J386)&lt;=Setup!$C$16),OR(MONTH(J386)&gt;=Setup!$C$15,MONTH(J386)&lt;=Setup!$C$16)),IF(Setup!$C$15&lt;=Setup!$C$16,AND(MONTH(WORKDAY(J386,-(Setup!$C$13+Setup!$G$28),Setup!$C$39:$C$50))&gt;=Setup!$C$15,MONTH(WORKDAY(J386,-(Setup!$C$13+Setup!$G$28),Setup!$C$39:$C$50))&lt;=Setup!$C$16),OR(MONTH(WORKDAY(J386,-(Setup!$C$13+Setup!$G$28),Setup!$C$39:$C$50))&gt;=Setup!$C$15,MONTH(WORKDAY(J386,-(Setup!$C$13+Setup!$G$28),Setup!$C$39:$C$50))&lt;=Setup!$C$16))),WORKDAY(J386,-(Setup!$C$13+Setup!$G$28+Setup!$C$14),Setup!$C$39:$C$50),WORKDAY(J386,-(Setup!$C$13+Setup!$G$28),Setup!$C$39:$C$50))+(381*100+9)/10000000)))</f>
        <v/>
      </c>
      <c r="AA386" t="str">
        <f>IF(K386="","",IF(K386&lt;Setup!$C$5-Setup!$C$6,"",IF(IF(ISNUMBER(Roster!$D386),Setup!$C$29&lt;=Roster!$D386,FALSE),"",IF(OR(IF(Setup!$C$15&lt;=Setup!$C$16,AND(MONTH(K386)&gt;=Setup!$C$15,MONTH(K386)&lt;=Setup!$C$16),OR(MONTH(K386)&gt;=Setup!$C$15,MONTH(K386)&lt;=Setup!$C$16)),IF(Setup!$C$15&lt;=Setup!$C$16,AND(MONTH(WORKDAY(K386,-(Setup!$C$13+Setup!$G$29),Setup!$C$39:$C$50))&gt;=Setup!$C$15,MONTH(WORKDAY(K386,-(Setup!$C$13+Setup!$G$29),Setup!$C$39:$C$50))&lt;=Setup!$C$16),OR(MONTH(WORKDAY(K386,-(Setup!$C$13+Setup!$G$29),Setup!$C$39:$C$50))&gt;=Setup!$C$15,MONTH(WORKDAY(K386,-(Setup!$C$13+Setup!$G$29),Setup!$C$39:$C$50))&lt;=Setup!$C$16))),WORKDAY(K386,-(Setup!$C$13+Setup!$G$29+Setup!$C$14),Setup!$C$39:$C$50),WORKDAY(K386,-(Setup!$C$13+Setup!$G$29),Setup!$C$39:$C$50))+(381*100+10)/10000000)))</f>
        <v/>
      </c>
      <c r="AB386" t="str">
        <f>IF(L386="","",IF(L386&lt;Setup!$C$5-Setup!$C$6,"",IF(IF(ISNUMBER(Roster!$D386),Setup!$C$30&lt;=Roster!$D386,FALSE),"",IF(OR(IF(Setup!$C$15&lt;=Setup!$C$16,AND(MONTH(L386)&gt;=Setup!$C$15,MONTH(L386)&lt;=Setup!$C$16),OR(MONTH(L386)&gt;=Setup!$C$15,MONTH(L386)&lt;=Setup!$C$16)),IF(Setup!$C$15&lt;=Setup!$C$16,AND(MONTH(WORKDAY(L386,-(Setup!$C$13+Setup!$G$30),Setup!$C$39:$C$50))&gt;=Setup!$C$15,MONTH(WORKDAY(L386,-(Setup!$C$13+Setup!$G$30),Setup!$C$39:$C$50))&lt;=Setup!$C$16),OR(MONTH(WORKDAY(L386,-(Setup!$C$13+Setup!$G$30),Setup!$C$39:$C$50))&gt;=Setup!$C$15,MONTH(WORKDAY(L386,-(Setup!$C$13+Setup!$G$30),Setup!$C$39:$C$50))&lt;=Setup!$C$16))),WORKDAY(L386,-(Setup!$C$13+Setup!$G$30+Setup!$C$14),Setup!$C$39:$C$50),WORKDAY(L386,-(Setup!$C$13+Setup!$G$30),Setup!$C$39:$C$50))+(381*100+11)/10000000)))</f>
        <v/>
      </c>
      <c r="AC386" t="str">
        <f>IF(M386="","",IF(M386&lt;Setup!$C$5-Setup!$C$6,"",IF(IF(ISNUMBER(Roster!$D386),Setup!$C$31&lt;=Roster!$D386,FALSE),"",IF(OR(IF(Setup!$C$15&lt;=Setup!$C$16,AND(MONTH(M386)&gt;=Setup!$C$15,MONTH(M386)&lt;=Setup!$C$16),OR(MONTH(M386)&gt;=Setup!$C$15,MONTH(M386)&lt;=Setup!$C$16)),IF(Setup!$C$15&lt;=Setup!$C$16,AND(MONTH(WORKDAY(M386,-(Setup!$C$13+Setup!$G$31),Setup!$C$39:$C$50))&gt;=Setup!$C$15,MONTH(WORKDAY(M386,-(Setup!$C$13+Setup!$G$31),Setup!$C$39:$C$50))&lt;=Setup!$C$16),OR(MONTH(WORKDAY(M386,-(Setup!$C$13+Setup!$G$31),Setup!$C$39:$C$50))&gt;=Setup!$C$15,MONTH(WORKDAY(M386,-(Setup!$C$13+Setup!$G$31),Setup!$C$39:$C$50))&lt;=Setup!$C$16))),WORKDAY(M386,-(Setup!$C$13+Setup!$G$31+Setup!$C$14),Setup!$C$39:$C$50),WORKDAY(M386,-(Setup!$C$13+Setup!$G$31),Setup!$C$39:$C$50))+(381*100+12)/10000000)))</f>
        <v/>
      </c>
      <c r="AD386" t="str">
        <f>IF(N386="","",IF(N386&lt;Setup!$C$5-Setup!$C$6,"",IF(IF(ISNUMBER(Roster!$D386),Setup!$C$32&lt;=Roster!$D386,FALSE),"",IF(OR(IF(Setup!$C$15&lt;=Setup!$C$16,AND(MONTH(N386)&gt;=Setup!$C$15,MONTH(N386)&lt;=Setup!$C$16),OR(MONTH(N386)&gt;=Setup!$C$15,MONTH(N386)&lt;=Setup!$C$16)),IF(Setup!$C$15&lt;=Setup!$C$16,AND(MONTH(WORKDAY(N386,-(Setup!$C$13+Setup!$G$32),Setup!$C$39:$C$50))&gt;=Setup!$C$15,MONTH(WORKDAY(N386,-(Setup!$C$13+Setup!$G$32),Setup!$C$39:$C$50))&lt;=Setup!$C$16),OR(MONTH(WORKDAY(N386,-(Setup!$C$13+Setup!$G$32),Setup!$C$39:$C$50))&gt;=Setup!$C$15,MONTH(WORKDAY(N386,-(Setup!$C$13+Setup!$G$32),Setup!$C$39:$C$50))&lt;=Setup!$C$16))),WORKDAY(N386,-(Setup!$C$13+Setup!$G$32+Setup!$C$14),Setup!$C$39:$C$50),WORKDAY(N386,-(Setup!$C$13+Setup!$G$32),Setup!$C$39:$C$50))+(381*100+13)/10000000)))</f>
        <v/>
      </c>
      <c r="AE386" t="str">
        <f>IF(O386="","",IF(O386&lt;Setup!$C$5-Setup!$C$6,"",IF(IF(ISNUMBER(Roster!$D386),Setup!$C$33&lt;=Roster!$D386,FALSE),"",IF(OR(IF(Setup!$C$15&lt;=Setup!$C$16,AND(MONTH(O386)&gt;=Setup!$C$15,MONTH(O386)&lt;=Setup!$C$16),OR(MONTH(O386)&gt;=Setup!$C$15,MONTH(O386)&lt;=Setup!$C$16)),IF(Setup!$C$15&lt;=Setup!$C$16,AND(MONTH(WORKDAY(O386,-(Setup!$C$13+Setup!$G$33),Setup!$C$39:$C$50))&gt;=Setup!$C$15,MONTH(WORKDAY(O386,-(Setup!$C$13+Setup!$G$33),Setup!$C$39:$C$50))&lt;=Setup!$C$16),OR(MONTH(WORKDAY(O386,-(Setup!$C$13+Setup!$G$33),Setup!$C$39:$C$50))&gt;=Setup!$C$15,MONTH(WORKDAY(O386,-(Setup!$C$13+Setup!$G$33),Setup!$C$39:$C$50))&lt;=Setup!$C$16))),WORKDAY(O386,-(Setup!$C$13+Setup!$G$33+Setup!$C$14),Setup!$C$39:$C$50),WORKDAY(O386,-(Setup!$C$13+Setup!$G$33),Setup!$C$39:$C$50))+(381*100+14)/10000000)))</f>
        <v/>
      </c>
      <c r="AF386" t="str">
        <f>IF(P386="","",IF(P386&lt;Setup!$C$5-Setup!$C$6,"",IF(IF(ISNUMBER(Roster!$D386),Setup!$C$34&lt;=Roster!$D386,FALSE),"",IF(OR(IF(Setup!$C$15&lt;=Setup!$C$16,AND(MONTH(P386)&gt;=Setup!$C$15,MONTH(P386)&lt;=Setup!$C$16),OR(MONTH(P386)&gt;=Setup!$C$15,MONTH(P386)&lt;=Setup!$C$16)),IF(Setup!$C$15&lt;=Setup!$C$16,AND(MONTH(WORKDAY(P386,-(Setup!$C$13+Setup!$G$34),Setup!$C$39:$C$50))&gt;=Setup!$C$15,MONTH(WORKDAY(P386,-(Setup!$C$13+Setup!$G$34),Setup!$C$39:$C$50))&lt;=Setup!$C$16),OR(MONTH(WORKDAY(P386,-(Setup!$C$13+Setup!$G$34),Setup!$C$39:$C$50))&gt;=Setup!$C$15,MONTH(WORKDAY(P386,-(Setup!$C$13+Setup!$G$34),Setup!$C$39:$C$50))&lt;=Setup!$C$16))),WORKDAY(P386,-(Setup!$C$13+Setup!$G$34+Setup!$C$14),Setup!$C$39:$C$50),WORKDAY(P386,-(Setup!$C$13+Setup!$G$34),Setup!$C$39:$C$50))+(381*100+15)/10000000)))</f>
        <v/>
      </c>
      <c r="AH386" t="str">
        <f t="shared" si="41"/>
        <v/>
      </c>
      <c r="AI386" t="str">
        <f t="shared" si="42"/>
        <v/>
      </c>
      <c r="AP386" t="str">
        <f>IF(ISNUMBER(Roster!$B386),MAX(1,YEAR(Setup!$C$5)-YEAR(Roster!$B386)+IF(EDATE(Roster!$B386,12*(YEAR(Setup!$C$5)-YEAR(Roster!$B386)))&lt;Setup!$C$5,1,0)),"")</f>
        <v/>
      </c>
      <c r="AQ386" s="32" t="str">
        <f>IF(AP386="","",EDATE(Roster!$B386,12*AP386))</f>
        <v/>
      </c>
      <c r="AR386" t="str">
        <f>IF(AQ386="","",IF(AQ386&lt;DATE(YEAR(Setup!$C$5)+1,MONTH(Setup!$C$5),DAY(Setup!$C$5)),AQ386+381/1000,""))</f>
        <v/>
      </c>
      <c r="AS386" t="str">
        <f t="shared" si="43"/>
        <v/>
      </c>
      <c r="AT386" t="str">
        <f>IF(AS386="","",IF(ISNUMBER(Roster!$D386),Roster!$D386&gt;=AP386,FALSE))</f>
        <v/>
      </c>
      <c r="AU386" t="str">
        <f t="shared" si="44"/>
        <v/>
      </c>
      <c r="AV386" t="str">
        <f ca="1">IF(381&gt;$AV$2,"",SMALL($AR$6:$AR$505,381))</f>
        <v/>
      </c>
      <c r="AW386" t="str">
        <f t="shared" ca="1" si="45"/>
        <v/>
      </c>
    </row>
    <row r="387" spans="2:49" x14ac:dyDescent="0.2">
      <c r="B387" s="32" t="str">
        <f>IF(AND(ISNUMBER(Roster!$B387),Setup!$B$20="Yes",ISNUMBER(Setup!$C$20)),EDATE(Roster!$B387,12*Setup!$C$20),"")</f>
        <v/>
      </c>
      <c r="C387" s="32" t="str">
        <f>IF(AND(ISNUMBER(Roster!$B387),Setup!$B$21="Yes",ISNUMBER(Setup!$C$21)),EDATE(Roster!$B387,12*Setup!$C$21),"")</f>
        <v/>
      </c>
      <c r="D387" s="32" t="str">
        <f>IF(AND(ISNUMBER(Roster!$B387),Setup!$B$22="Yes",ISNUMBER(Setup!$C$22)),EDATE(Roster!$B387,12*Setup!$C$22),"")</f>
        <v/>
      </c>
      <c r="E387" s="32" t="str">
        <f>IF(AND(ISNUMBER(Roster!$B387),Setup!$B$23="Yes",ISNUMBER(Setup!$C$23)),EDATE(Roster!$B387,12*Setup!$C$23),"")</f>
        <v/>
      </c>
      <c r="F387" s="32" t="str">
        <f>IF(AND(ISNUMBER(Roster!$B387),Setup!$B$24="Yes",ISNUMBER(Setup!$C$24)),EDATE(Roster!$B387,12*Setup!$C$24),"")</f>
        <v/>
      </c>
      <c r="G387" s="32" t="str">
        <f>IF(AND(ISNUMBER(Roster!$B387),Setup!$B$25="Yes",ISNUMBER(Setup!$C$25)),EDATE(Roster!$B387,12*Setup!$C$25),"")</f>
        <v/>
      </c>
      <c r="H387" s="32" t="str">
        <f>IF(AND(ISNUMBER(Roster!$B387),Setup!$B$26="Yes",ISNUMBER(Setup!$C$26)),EDATE(Roster!$B387,12*Setup!$C$26),"")</f>
        <v/>
      </c>
      <c r="I387" s="32" t="str">
        <f>IF(AND(ISNUMBER(Roster!$B387),Setup!$B$27="Yes",ISNUMBER(Setup!$C$27)),EDATE(Roster!$B387,12*Setup!$C$27),"")</f>
        <v/>
      </c>
      <c r="J387" s="32" t="str">
        <f>IF(AND(ISNUMBER(Roster!$B387),Setup!$B$28="Yes",ISNUMBER(Setup!$C$28)),EDATE(Roster!$B387,12*Setup!$C$28),"")</f>
        <v/>
      </c>
      <c r="K387" s="32" t="str">
        <f>IF(AND(ISNUMBER(Roster!$B387),Setup!$B$29="Yes",ISNUMBER(Setup!$C$29)),EDATE(Roster!$B387,12*Setup!$C$29),"")</f>
        <v/>
      </c>
      <c r="L387" s="32" t="str">
        <f>IF(AND(ISNUMBER(Roster!$B387),Setup!$B$30="Yes",ISNUMBER(Setup!$C$30)),EDATE(Roster!$B387,12*Setup!$C$30),"")</f>
        <v/>
      </c>
      <c r="M387" s="32" t="str">
        <f>IF(AND(ISNUMBER(Roster!$B387),Setup!$B$31="Yes",ISNUMBER(Setup!$C$31)),EDATE(Roster!$B387,12*Setup!$C$31),"")</f>
        <v/>
      </c>
      <c r="N387" s="32" t="str">
        <f>IF(AND(ISNUMBER(Roster!$B387),Setup!$B$32="Yes",ISNUMBER(Setup!$C$32)),EDATE(Roster!$B387,12*Setup!$C$32),"")</f>
        <v/>
      </c>
      <c r="O387" s="32" t="str">
        <f>IF(AND(ISNUMBER(Roster!$B387),Setup!$B$33="Yes",ISNUMBER(Setup!$C$33)),EDATE(Roster!$B387,12*Setup!$C$33),"")</f>
        <v/>
      </c>
      <c r="P387" s="32" t="str">
        <f>IF(AND(ISNUMBER(Roster!$B387),Setup!$B$34="Yes",ISNUMBER(Setup!$C$34)),EDATE(Roster!$B387,12*Setup!$C$34),"")</f>
        <v/>
      </c>
      <c r="R387" t="str">
        <f>IF(B387="","",IF(B387&lt;Setup!$C$5-Setup!$C$6,"",IF(IF(ISNUMBER(Roster!$D387),Setup!$C$20&lt;=Roster!$D387,FALSE),"",IF(OR(IF(Setup!$C$15&lt;=Setup!$C$16,AND(MONTH(B387)&gt;=Setup!$C$15,MONTH(B387)&lt;=Setup!$C$16),OR(MONTH(B387)&gt;=Setup!$C$15,MONTH(B387)&lt;=Setup!$C$16)),IF(Setup!$C$15&lt;=Setup!$C$16,AND(MONTH(WORKDAY(B387,-(Setup!$C$13+Setup!$G$20),Setup!$C$39:$C$50))&gt;=Setup!$C$15,MONTH(WORKDAY(B387,-(Setup!$C$13+Setup!$G$20),Setup!$C$39:$C$50))&lt;=Setup!$C$16),OR(MONTH(WORKDAY(B387,-(Setup!$C$13+Setup!$G$20),Setup!$C$39:$C$50))&gt;=Setup!$C$15,MONTH(WORKDAY(B387,-(Setup!$C$13+Setup!$G$20),Setup!$C$39:$C$50))&lt;=Setup!$C$16))),WORKDAY(B387,-(Setup!$C$13+Setup!$G$20+Setup!$C$14),Setup!$C$39:$C$50),WORKDAY(B387,-(Setup!$C$13+Setup!$G$20),Setup!$C$39:$C$50))+(382*100+1)/10000000)))</f>
        <v/>
      </c>
      <c r="S387" t="str">
        <f>IF(C387="","",IF(C387&lt;Setup!$C$5-Setup!$C$6,"",IF(IF(ISNUMBER(Roster!$D387),Setup!$C$21&lt;=Roster!$D387,FALSE),"",IF(OR(IF(Setup!$C$15&lt;=Setup!$C$16,AND(MONTH(C387)&gt;=Setup!$C$15,MONTH(C387)&lt;=Setup!$C$16),OR(MONTH(C387)&gt;=Setup!$C$15,MONTH(C387)&lt;=Setup!$C$16)),IF(Setup!$C$15&lt;=Setup!$C$16,AND(MONTH(WORKDAY(C387,-(Setup!$C$13+Setup!$G$21),Setup!$C$39:$C$50))&gt;=Setup!$C$15,MONTH(WORKDAY(C387,-(Setup!$C$13+Setup!$G$21),Setup!$C$39:$C$50))&lt;=Setup!$C$16),OR(MONTH(WORKDAY(C387,-(Setup!$C$13+Setup!$G$21),Setup!$C$39:$C$50))&gt;=Setup!$C$15,MONTH(WORKDAY(C387,-(Setup!$C$13+Setup!$G$21),Setup!$C$39:$C$50))&lt;=Setup!$C$16))),WORKDAY(C387,-(Setup!$C$13+Setup!$G$21+Setup!$C$14),Setup!$C$39:$C$50),WORKDAY(C387,-(Setup!$C$13+Setup!$G$21),Setup!$C$39:$C$50))+(382*100+2)/10000000)))</f>
        <v/>
      </c>
      <c r="T387" t="str">
        <f>IF(D387="","",IF(D387&lt;Setup!$C$5-Setup!$C$6,"",IF(IF(ISNUMBER(Roster!$D387),Setup!$C$22&lt;=Roster!$D387,FALSE),"",IF(OR(IF(Setup!$C$15&lt;=Setup!$C$16,AND(MONTH(D387)&gt;=Setup!$C$15,MONTH(D387)&lt;=Setup!$C$16),OR(MONTH(D387)&gt;=Setup!$C$15,MONTH(D387)&lt;=Setup!$C$16)),IF(Setup!$C$15&lt;=Setup!$C$16,AND(MONTH(WORKDAY(D387,-(Setup!$C$13+Setup!$G$22),Setup!$C$39:$C$50))&gt;=Setup!$C$15,MONTH(WORKDAY(D387,-(Setup!$C$13+Setup!$G$22),Setup!$C$39:$C$50))&lt;=Setup!$C$16),OR(MONTH(WORKDAY(D387,-(Setup!$C$13+Setup!$G$22),Setup!$C$39:$C$50))&gt;=Setup!$C$15,MONTH(WORKDAY(D387,-(Setup!$C$13+Setup!$G$22),Setup!$C$39:$C$50))&lt;=Setup!$C$16))),WORKDAY(D387,-(Setup!$C$13+Setup!$G$22+Setup!$C$14),Setup!$C$39:$C$50),WORKDAY(D387,-(Setup!$C$13+Setup!$G$22),Setup!$C$39:$C$50))+(382*100+3)/10000000)))</f>
        <v/>
      </c>
      <c r="U387" t="str">
        <f>IF(E387="","",IF(E387&lt;Setup!$C$5-Setup!$C$6,"",IF(IF(ISNUMBER(Roster!$D387),Setup!$C$23&lt;=Roster!$D387,FALSE),"",IF(OR(IF(Setup!$C$15&lt;=Setup!$C$16,AND(MONTH(E387)&gt;=Setup!$C$15,MONTH(E387)&lt;=Setup!$C$16),OR(MONTH(E387)&gt;=Setup!$C$15,MONTH(E387)&lt;=Setup!$C$16)),IF(Setup!$C$15&lt;=Setup!$C$16,AND(MONTH(WORKDAY(E387,-(Setup!$C$13+Setup!$G$23),Setup!$C$39:$C$50))&gt;=Setup!$C$15,MONTH(WORKDAY(E387,-(Setup!$C$13+Setup!$G$23),Setup!$C$39:$C$50))&lt;=Setup!$C$16),OR(MONTH(WORKDAY(E387,-(Setup!$C$13+Setup!$G$23),Setup!$C$39:$C$50))&gt;=Setup!$C$15,MONTH(WORKDAY(E387,-(Setup!$C$13+Setup!$G$23),Setup!$C$39:$C$50))&lt;=Setup!$C$16))),WORKDAY(E387,-(Setup!$C$13+Setup!$G$23+Setup!$C$14),Setup!$C$39:$C$50),WORKDAY(E387,-(Setup!$C$13+Setup!$G$23),Setup!$C$39:$C$50))+(382*100+4)/10000000)))</f>
        <v/>
      </c>
      <c r="V387" t="str">
        <f>IF(F387="","",IF(F387&lt;Setup!$C$5-Setup!$C$6,"",IF(IF(ISNUMBER(Roster!$D387),Setup!$C$24&lt;=Roster!$D387,FALSE),"",IF(OR(IF(Setup!$C$15&lt;=Setup!$C$16,AND(MONTH(F387)&gt;=Setup!$C$15,MONTH(F387)&lt;=Setup!$C$16),OR(MONTH(F387)&gt;=Setup!$C$15,MONTH(F387)&lt;=Setup!$C$16)),IF(Setup!$C$15&lt;=Setup!$C$16,AND(MONTH(WORKDAY(F387,-(Setup!$C$13+Setup!$G$24),Setup!$C$39:$C$50))&gt;=Setup!$C$15,MONTH(WORKDAY(F387,-(Setup!$C$13+Setup!$G$24),Setup!$C$39:$C$50))&lt;=Setup!$C$16),OR(MONTH(WORKDAY(F387,-(Setup!$C$13+Setup!$G$24),Setup!$C$39:$C$50))&gt;=Setup!$C$15,MONTH(WORKDAY(F387,-(Setup!$C$13+Setup!$G$24),Setup!$C$39:$C$50))&lt;=Setup!$C$16))),WORKDAY(F387,-(Setup!$C$13+Setup!$G$24+Setup!$C$14),Setup!$C$39:$C$50),WORKDAY(F387,-(Setup!$C$13+Setup!$G$24),Setup!$C$39:$C$50))+(382*100+5)/10000000)))</f>
        <v/>
      </c>
      <c r="W387" t="str">
        <f>IF(G387="","",IF(G387&lt;Setup!$C$5-Setup!$C$6,"",IF(IF(ISNUMBER(Roster!$D387),Setup!$C$25&lt;=Roster!$D387,FALSE),"",IF(OR(IF(Setup!$C$15&lt;=Setup!$C$16,AND(MONTH(G387)&gt;=Setup!$C$15,MONTH(G387)&lt;=Setup!$C$16),OR(MONTH(G387)&gt;=Setup!$C$15,MONTH(G387)&lt;=Setup!$C$16)),IF(Setup!$C$15&lt;=Setup!$C$16,AND(MONTH(WORKDAY(G387,-(Setup!$C$13+Setup!$G$25),Setup!$C$39:$C$50))&gt;=Setup!$C$15,MONTH(WORKDAY(G387,-(Setup!$C$13+Setup!$G$25),Setup!$C$39:$C$50))&lt;=Setup!$C$16),OR(MONTH(WORKDAY(G387,-(Setup!$C$13+Setup!$G$25),Setup!$C$39:$C$50))&gt;=Setup!$C$15,MONTH(WORKDAY(G387,-(Setup!$C$13+Setup!$G$25),Setup!$C$39:$C$50))&lt;=Setup!$C$16))),WORKDAY(G387,-(Setup!$C$13+Setup!$G$25+Setup!$C$14),Setup!$C$39:$C$50),WORKDAY(G387,-(Setup!$C$13+Setup!$G$25),Setup!$C$39:$C$50))+(382*100+6)/10000000)))</f>
        <v/>
      </c>
      <c r="X387" t="str">
        <f>IF(H387="","",IF(H387&lt;Setup!$C$5-Setup!$C$6,"",IF(IF(ISNUMBER(Roster!$D387),Setup!$C$26&lt;=Roster!$D387,FALSE),"",IF(OR(IF(Setup!$C$15&lt;=Setup!$C$16,AND(MONTH(H387)&gt;=Setup!$C$15,MONTH(H387)&lt;=Setup!$C$16),OR(MONTH(H387)&gt;=Setup!$C$15,MONTH(H387)&lt;=Setup!$C$16)),IF(Setup!$C$15&lt;=Setup!$C$16,AND(MONTH(WORKDAY(H387,-(Setup!$C$13+Setup!$G$26),Setup!$C$39:$C$50))&gt;=Setup!$C$15,MONTH(WORKDAY(H387,-(Setup!$C$13+Setup!$G$26),Setup!$C$39:$C$50))&lt;=Setup!$C$16),OR(MONTH(WORKDAY(H387,-(Setup!$C$13+Setup!$G$26),Setup!$C$39:$C$50))&gt;=Setup!$C$15,MONTH(WORKDAY(H387,-(Setup!$C$13+Setup!$G$26),Setup!$C$39:$C$50))&lt;=Setup!$C$16))),WORKDAY(H387,-(Setup!$C$13+Setup!$G$26+Setup!$C$14),Setup!$C$39:$C$50),WORKDAY(H387,-(Setup!$C$13+Setup!$G$26),Setup!$C$39:$C$50))+(382*100+7)/10000000)))</f>
        <v/>
      </c>
      <c r="Y387" t="str">
        <f>IF(I387="","",IF(I387&lt;Setup!$C$5-Setup!$C$6,"",IF(IF(ISNUMBER(Roster!$D387),Setup!$C$27&lt;=Roster!$D387,FALSE),"",IF(OR(IF(Setup!$C$15&lt;=Setup!$C$16,AND(MONTH(I387)&gt;=Setup!$C$15,MONTH(I387)&lt;=Setup!$C$16),OR(MONTH(I387)&gt;=Setup!$C$15,MONTH(I387)&lt;=Setup!$C$16)),IF(Setup!$C$15&lt;=Setup!$C$16,AND(MONTH(WORKDAY(I387,-(Setup!$C$13+Setup!$G$27),Setup!$C$39:$C$50))&gt;=Setup!$C$15,MONTH(WORKDAY(I387,-(Setup!$C$13+Setup!$G$27),Setup!$C$39:$C$50))&lt;=Setup!$C$16),OR(MONTH(WORKDAY(I387,-(Setup!$C$13+Setup!$G$27),Setup!$C$39:$C$50))&gt;=Setup!$C$15,MONTH(WORKDAY(I387,-(Setup!$C$13+Setup!$G$27),Setup!$C$39:$C$50))&lt;=Setup!$C$16))),WORKDAY(I387,-(Setup!$C$13+Setup!$G$27+Setup!$C$14),Setup!$C$39:$C$50),WORKDAY(I387,-(Setup!$C$13+Setup!$G$27),Setup!$C$39:$C$50))+(382*100+8)/10000000)))</f>
        <v/>
      </c>
      <c r="Z387" t="str">
        <f>IF(J387="","",IF(J387&lt;Setup!$C$5-Setup!$C$6,"",IF(IF(ISNUMBER(Roster!$D387),Setup!$C$28&lt;=Roster!$D387,FALSE),"",IF(OR(IF(Setup!$C$15&lt;=Setup!$C$16,AND(MONTH(J387)&gt;=Setup!$C$15,MONTH(J387)&lt;=Setup!$C$16),OR(MONTH(J387)&gt;=Setup!$C$15,MONTH(J387)&lt;=Setup!$C$16)),IF(Setup!$C$15&lt;=Setup!$C$16,AND(MONTH(WORKDAY(J387,-(Setup!$C$13+Setup!$G$28),Setup!$C$39:$C$50))&gt;=Setup!$C$15,MONTH(WORKDAY(J387,-(Setup!$C$13+Setup!$G$28),Setup!$C$39:$C$50))&lt;=Setup!$C$16),OR(MONTH(WORKDAY(J387,-(Setup!$C$13+Setup!$G$28),Setup!$C$39:$C$50))&gt;=Setup!$C$15,MONTH(WORKDAY(J387,-(Setup!$C$13+Setup!$G$28),Setup!$C$39:$C$50))&lt;=Setup!$C$16))),WORKDAY(J387,-(Setup!$C$13+Setup!$G$28+Setup!$C$14),Setup!$C$39:$C$50),WORKDAY(J387,-(Setup!$C$13+Setup!$G$28),Setup!$C$39:$C$50))+(382*100+9)/10000000)))</f>
        <v/>
      </c>
      <c r="AA387" t="str">
        <f>IF(K387="","",IF(K387&lt;Setup!$C$5-Setup!$C$6,"",IF(IF(ISNUMBER(Roster!$D387),Setup!$C$29&lt;=Roster!$D387,FALSE),"",IF(OR(IF(Setup!$C$15&lt;=Setup!$C$16,AND(MONTH(K387)&gt;=Setup!$C$15,MONTH(K387)&lt;=Setup!$C$16),OR(MONTH(K387)&gt;=Setup!$C$15,MONTH(K387)&lt;=Setup!$C$16)),IF(Setup!$C$15&lt;=Setup!$C$16,AND(MONTH(WORKDAY(K387,-(Setup!$C$13+Setup!$G$29),Setup!$C$39:$C$50))&gt;=Setup!$C$15,MONTH(WORKDAY(K387,-(Setup!$C$13+Setup!$G$29),Setup!$C$39:$C$50))&lt;=Setup!$C$16),OR(MONTH(WORKDAY(K387,-(Setup!$C$13+Setup!$G$29),Setup!$C$39:$C$50))&gt;=Setup!$C$15,MONTH(WORKDAY(K387,-(Setup!$C$13+Setup!$G$29),Setup!$C$39:$C$50))&lt;=Setup!$C$16))),WORKDAY(K387,-(Setup!$C$13+Setup!$G$29+Setup!$C$14),Setup!$C$39:$C$50),WORKDAY(K387,-(Setup!$C$13+Setup!$G$29),Setup!$C$39:$C$50))+(382*100+10)/10000000)))</f>
        <v/>
      </c>
      <c r="AB387" t="str">
        <f>IF(L387="","",IF(L387&lt;Setup!$C$5-Setup!$C$6,"",IF(IF(ISNUMBER(Roster!$D387),Setup!$C$30&lt;=Roster!$D387,FALSE),"",IF(OR(IF(Setup!$C$15&lt;=Setup!$C$16,AND(MONTH(L387)&gt;=Setup!$C$15,MONTH(L387)&lt;=Setup!$C$16),OR(MONTH(L387)&gt;=Setup!$C$15,MONTH(L387)&lt;=Setup!$C$16)),IF(Setup!$C$15&lt;=Setup!$C$16,AND(MONTH(WORKDAY(L387,-(Setup!$C$13+Setup!$G$30),Setup!$C$39:$C$50))&gt;=Setup!$C$15,MONTH(WORKDAY(L387,-(Setup!$C$13+Setup!$G$30),Setup!$C$39:$C$50))&lt;=Setup!$C$16),OR(MONTH(WORKDAY(L387,-(Setup!$C$13+Setup!$G$30),Setup!$C$39:$C$50))&gt;=Setup!$C$15,MONTH(WORKDAY(L387,-(Setup!$C$13+Setup!$G$30),Setup!$C$39:$C$50))&lt;=Setup!$C$16))),WORKDAY(L387,-(Setup!$C$13+Setup!$G$30+Setup!$C$14),Setup!$C$39:$C$50),WORKDAY(L387,-(Setup!$C$13+Setup!$G$30),Setup!$C$39:$C$50))+(382*100+11)/10000000)))</f>
        <v/>
      </c>
      <c r="AC387" t="str">
        <f>IF(M387="","",IF(M387&lt;Setup!$C$5-Setup!$C$6,"",IF(IF(ISNUMBER(Roster!$D387),Setup!$C$31&lt;=Roster!$D387,FALSE),"",IF(OR(IF(Setup!$C$15&lt;=Setup!$C$16,AND(MONTH(M387)&gt;=Setup!$C$15,MONTH(M387)&lt;=Setup!$C$16),OR(MONTH(M387)&gt;=Setup!$C$15,MONTH(M387)&lt;=Setup!$C$16)),IF(Setup!$C$15&lt;=Setup!$C$16,AND(MONTH(WORKDAY(M387,-(Setup!$C$13+Setup!$G$31),Setup!$C$39:$C$50))&gt;=Setup!$C$15,MONTH(WORKDAY(M387,-(Setup!$C$13+Setup!$G$31),Setup!$C$39:$C$50))&lt;=Setup!$C$16),OR(MONTH(WORKDAY(M387,-(Setup!$C$13+Setup!$G$31),Setup!$C$39:$C$50))&gt;=Setup!$C$15,MONTH(WORKDAY(M387,-(Setup!$C$13+Setup!$G$31),Setup!$C$39:$C$50))&lt;=Setup!$C$16))),WORKDAY(M387,-(Setup!$C$13+Setup!$G$31+Setup!$C$14),Setup!$C$39:$C$50),WORKDAY(M387,-(Setup!$C$13+Setup!$G$31),Setup!$C$39:$C$50))+(382*100+12)/10000000)))</f>
        <v/>
      </c>
      <c r="AD387" t="str">
        <f>IF(N387="","",IF(N387&lt;Setup!$C$5-Setup!$C$6,"",IF(IF(ISNUMBER(Roster!$D387),Setup!$C$32&lt;=Roster!$D387,FALSE),"",IF(OR(IF(Setup!$C$15&lt;=Setup!$C$16,AND(MONTH(N387)&gt;=Setup!$C$15,MONTH(N387)&lt;=Setup!$C$16),OR(MONTH(N387)&gt;=Setup!$C$15,MONTH(N387)&lt;=Setup!$C$16)),IF(Setup!$C$15&lt;=Setup!$C$16,AND(MONTH(WORKDAY(N387,-(Setup!$C$13+Setup!$G$32),Setup!$C$39:$C$50))&gt;=Setup!$C$15,MONTH(WORKDAY(N387,-(Setup!$C$13+Setup!$G$32),Setup!$C$39:$C$50))&lt;=Setup!$C$16),OR(MONTH(WORKDAY(N387,-(Setup!$C$13+Setup!$G$32),Setup!$C$39:$C$50))&gt;=Setup!$C$15,MONTH(WORKDAY(N387,-(Setup!$C$13+Setup!$G$32),Setup!$C$39:$C$50))&lt;=Setup!$C$16))),WORKDAY(N387,-(Setup!$C$13+Setup!$G$32+Setup!$C$14),Setup!$C$39:$C$50),WORKDAY(N387,-(Setup!$C$13+Setup!$G$32),Setup!$C$39:$C$50))+(382*100+13)/10000000)))</f>
        <v/>
      </c>
      <c r="AE387" t="str">
        <f>IF(O387="","",IF(O387&lt;Setup!$C$5-Setup!$C$6,"",IF(IF(ISNUMBER(Roster!$D387),Setup!$C$33&lt;=Roster!$D387,FALSE),"",IF(OR(IF(Setup!$C$15&lt;=Setup!$C$16,AND(MONTH(O387)&gt;=Setup!$C$15,MONTH(O387)&lt;=Setup!$C$16),OR(MONTH(O387)&gt;=Setup!$C$15,MONTH(O387)&lt;=Setup!$C$16)),IF(Setup!$C$15&lt;=Setup!$C$16,AND(MONTH(WORKDAY(O387,-(Setup!$C$13+Setup!$G$33),Setup!$C$39:$C$50))&gt;=Setup!$C$15,MONTH(WORKDAY(O387,-(Setup!$C$13+Setup!$G$33),Setup!$C$39:$C$50))&lt;=Setup!$C$16),OR(MONTH(WORKDAY(O387,-(Setup!$C$13+Setup!$G$33),Setup!$C$39:$C$50))&gt;=Setup!$C$15,MONTH(WORKDAY(O387,-(Setup!$C$13+Setup!$G$33),Setup!$C$39:$C$50))&lt;=Setup!$C$16))),WORKDAY(O387,-(Setup!$C$13+Setup!$G$33+Setup!$C$14),Setup!$C$39:$C$50),WORKDAY(O387,-(Setup!$C$13+Setup!$G$33),Setup!$C$39:$C$50))+(382*100+14)/10000000)))</f>
        <v/>
      </c>
      <c r="AF387" t="str">
        <f>IF(P387="","",IF(P387&lt;Setup!$C$5-Setup!$C$6,"",IF(IF(ISNUMBER(Roster!$D387),Setup!$C$34&lt;=Roster!$D387,FALSE),"",IF(OR(IF(Setup!$C$15&lt;=Setup!$C$16,AND(MONTH(P387)&gt;=Setup!$C$15,MONTH(P387)&lt;=Setup!$C$16),OR(MONTH(P387)&gt;=Setup!$C$15,MONTH(P387)&lt;=Setup!$C$16)),IF(Setup!$C$15&lt;=Setup!$C$16,AND(MONTH(WORKDAY(P387,-(Setup!$C$13+Setup!$G$34),Setup!$C$39:$C$50))&gt;=Setup!$C$15,MONTH(WORKDAY(P387,-(Setup!$C$13+Setup!$G$34),Setup!$C$39:$C$50))&lt;=Setup!$C$16),OR(MONTH(WORKDAY(P387,-(Setup!$C$13+Setup!$G$34),Setup!$C$39:$C$50))&gt;=Setup!$C$15,MONTH(WORKDAY(P387,-(Setup!$C$13+Setup!$G$34),Setup!$C$39:$C$50))&lt;=Setup!$C$16))),WORKDAY(P387,-(Setup!$C$13+Setup!$G$34+Setup!$C$14),Setup!$C$39:$C$50),WORKDAY(P387,-(Setup!$C$13+Setup!$G$34),Setup!$C$39:$C$50))+(382*100+15)/10000000)))</f>
        <v/>
      </c>
      <c r="AH387" t="str">
        <f t="shared" si="41"/>
        <v/>
      </c>
      <c r="AI387" t="str">
        <f t="shared" si="42"/>
        <v/>
      </c>
      <c r="AP387" t="str">
        <f>IF(ISNUMBER(Roster!$B387),MAX(1,YEAR(Setup!$C$5)-YEAR(Roster!$B387)+IF(EDATE(Roster!$B387,12*(YEAR(Setup!$C$5)-YEAR(Roster!$B387)))&lt;Setup!$C$5,1,0)),"")</f>
        <v/>
      </c>
      <c r="AQ387" s="32" t="str">
        <f>IF(AP387="","",EDATE(Roster!$B387,12*AP387))</f>
        <v/>
      </c>
      <c r="AR387" t="str">
        <f>IF(AQ387="","",IF(AQ387&lt;DATE(YEAR(Setup!$C$5)+1,MONTH(Setup!$C$5),DAY(Setup!$C$5)),AQ387+382/1000,""))</f>
        <v/>
      </c>
      <c r="AS387" t="str">
        <f t="shared" si="43"/>
        <v/>
      </c>
      <c r="AT387" t="str">
        <f>IF(AS387="","",IF(ISNUMBER(Roster!$D387),Roster!$D387&gt;=AP387,FALSE))</f>
        <v/>
      </c>
      <c r="AU387" t="str">
        <f t="shared" si="44"/>
        <v/>
      </c>
      <c r="AV387" t="str">
        <f ca="1">IF(382&gt;$AV$2,"",SMALL($AR$6:$AR$505,382))</f>
        <v/>
      </c>
      <c r="AW387" t="str">
        <f t="shared" ca="1" si="45"/>
        <v/>
      </c>
    </row>
    <row r="388" spans="2:49" x14ac:dyDescent="0.2">
      <c r="B388" s="32" t="str">
        <f>IF(AND(ISNUMBER(Roster!$B388),Setup!$B$20="Yes",ISNUMBER(Setup!$C$20)),EDATE(Roster!$B388,12*Setup!$C$20),"")</f>
        <v/>
      </c>
      <c r="C388" s="32" t="str">
        <f>IF(AND(ISNUMBER(Roster!$B388),Setup!$B$21="Yes",ISNUMBER(Setup!$C$21)),EDATE(Roster!$B388,12*Setup!$C$21),"")</f>
        <v/>
      </c>
      <c r="D388" s="32" t="str">
        <f>IF(AND(ISNUMBER(Roster!$B388),Setup!$B$22="Yes",ISNUMBER(Setup!$C$22)),EDATE(Roster!$B388,12*Setup!$C$22),"")</f>
        <v/>
      </c>
      <c r="E388" s="32" t="str">
        <f>IF(AND(ISNUMBER(Roster!$B388),Setup!$B$23="Yes",ISNUMBER(Setup!$C$23)),EDATE(Roster!$B388,12*Setup!$C$23),"")</f>
        <v/>
      </c>
      <c r="F388" s="32" t="str">
        <f>IF(AND(ISNUMBER(Roster!$B388),Setup!$B$24="Yes",ISNUMBER(Setup!$C$24)),EDATE(Roster!$B388,12*Setup!$C$24),"")</f>
        <v/>
      </c>
      <c r="G388" s="32" t="str">
        <f>IF(AND(ISNUMBER(Roster!$B388),Setup!$B$25="Yes",ISNUMBER(Setup!$C$25)),EDATE(Roster!$B388,12*Setup!$C$25),"")</f>
        <v/>
      </c>
      <c r="H388" s="32" t="str">
        <f>IF(AND(ISNUMBER(Roster!$B388),Setup!$B$26="Yes",ISNUMBER(Setup!$C$26)),EDATE(Roster!$B388,12*Setup!$C$26),"")</f>
        <v/>
      </c>
      <c r="I388" s="32" t="str">
        <f>IF(AND(ISNUMBER(Roster!$B388),Setup!$B$27="Yes",ISNUMBER(Setup!$C$27)),EDATE(Roster!$B388,12*Setup!$C$27),"")</f>
        <v/>
      </c>
      <c r="J388" s="32" t="str">
        <f>IF(AND(ISNUMBER(Roster!$B388),Setup!$B$28="Yes",ISNUMBER(Setup!$C$28)),EDATE(Roster!$B388,12*Setup!$C$28),"")</f>
        <v/>
      </c>
      <c r="K388" s="32" t="str">
        <f>IF(AND(ISNUMBER(Roster!$B388),Setup!$B$29="Yes",ISNUMBER(Setup!$C$29)),EDATE(Roster!$B388,12*Setup!$C$29),"")</f>
        <v/>
      </c>
      <c r="L388" s="32" t="str">
        <f>IF(AND(ISNUMBER(Roster!$B388),Setup!$B$30="Yes",ISNUMBER(Setup!$C$30)),EDATE(Roster!$B388,12*Setup!$C$30),"")</f>
        <v/>
      </c>
      <c r="M388" s="32" t="str">
        <f>IF(AND(ISNUMBER(Roster!$B388),Setup!$B$31="Yes",ISNUMBER(Setup!$C$31)),EDATE(Roster!$B388,12*Setup!$C$31),"")</f>
        <v/>
      </c>
      <c r="N388" s="32" t="str">
        <f>IF(AND(ISNUMBER(Roster!$B388),Setup!$B$32="Yes",ISNUMBER(Setup!$C$32)),EDATE(Roster!$B388,12*Setup!$C$32),"")</f>
        <v/>
      </c>
      <c r="O388" s="32" t="str">
        <f>IF(AND(ISNUMBER(Roster!$B388),Setup!$B$33="Yes",ISNUMBER(Setup!$C$33)),EDATE(Roster!$B388,12*Setup!$C$33),"")</f>
        <v/>
      </c>
      <c r="P388" s="32" t="str">
        <f>IF(AND(ISNUMBER(Roster!$B388),Setup!$B$34="Yes",ISNUMBER(Setup!$C$34)),EDATE(Roster!$B388,12*Setup!$C$34),"")</f>
        <v/>
      </c>
      <c r="R388" t="str">
        <f>IF(B388="","",IF(B388&lt;Setup!$C$5-Setup!$C$6,"",IF(IF(ISNUMBER(Roster!$D388),Setup!$C$20&lt;=Roster!$D388,FALSE),"",IF(OR(IF(Setup!$C$15&lt;=Setup!$C$16,AND(MONTH(B388)&gt;=Setup!$C$15,MONTH(B388)&lt;=Setup!$C$16),OR(MONTH(B388)&gt;=Setup!$C$15,MONTH(B388)&lt;=Setup!$C$16)),IF(Setup!$C$15&lt;=Setup!$C$16,AND(MONTH(WORKDAY(B388,-(Setup!$C$13+Setup!$G$20),Setup!$C$39:$C$50))&gt;=Setup!$C$15,MONTH(WORKDAY(B388,-(Setup!$C$13+Setup!$G$20),Setup!$C$39:$C$50))&lt;=Setup!$C$16),OR(MONTH(WORKDAY(B388,-(Setup!$C$13+Setup!$G$20),Setup!$C$39:$C$50))&gt;=Setup!$C$15,MONTH(WORKDAY(B388,-(Setup!$C$13+Setup!$G$20),Setup!$C$39:$C$50))&lt;=Setup!$C$16))),WORKDAY(B388,-(Setup!$C$13+Setup!$G$20+Setup!$C$14),Setup!$C$39:$C$50),WORKDAY(B388,-(Setup!$C$13+Setup!$G$20),Setup!$C$39:$C$50))+(383*100+1)/10000000)))</f>
        <v/>
      </c>
      <c r="S388" t="str">
        <f>IF(C388="","",IF(C388&lt;Setup!$C$5-Setup!$C$6,"",IF(IF(ISNUMBER(Roster!$D388),Setup!$C$21&lt;=Roster!$D388,FALSE),"",IF(OR(IF(Setup!$C$15&lt;=Setup!$C$16,AND(MONTH(C388)&gt;=Setup!$C$15,MONTH(C388)&lt;=Setup!$C$16),OR(MONTH(C388)&gt;=Setup!$C$15,MONTH(C388)&lt;=Setup!$C$16)),IF(Setup!$C$15&lt;=Setup!$C$16,AND(MONTH(WORKDAY(C388,-(Setup!$C$13+Setup!$G$21),Setup!$C$39:$C$50))&gt;=Setup!$C$15,MONTH(WORKDAY(C388,-(Setup!$C$13+Setup!$G$21),Setup!$C$39:$C$50))&lt;=Setup!$C$16),OR(MONTH(WORKDAY(C388,-(Setup!$C$13+Setup!$G$21),Setup!$C$39:$C$50))&gt;=Setup!$C$15,MONTH(WORKDAY(C388,-(Setup!$C$13+Setup!$G$21),Setup!$C$39:$C$50))&lt;=Setup!$C$16))),WORKDAY(C388,-(Setup!$C$13+Setup!$G$21+Setup!$C$14),Setup!$C$39:$C$50),WORKDAY(C388,-(Setup!$C$13+Setup!$G$21),Setup!$C$39:$C$50))+(383*100+2)/10000000)))</f>
        <v/>
      </c>
      <c r="T388" t="str">
        <f>IF(D388="","",IF(D388&lt;Setup!$C$5-Setup!$C$6,"",IF(IF(ISNUMBER(Roster!$D388),Setup!$C$22&lt;=Roster!$D388,FALSE),"",IF(OR(IF(Setup!$C$15&lt;=Setup!$C$16,AND(MONTH(D388)&gt;=Setup!$C$15,MONTH(D388)&lt;=Setup!$C$16),OR(MONTH(D388)&gt;=Setup!$C$15,MONTH(D388)&lt;=Setup!$C$16)),IF(Setup!$C$15&lt;=Setup!$C$16,AND(MONTH(WORKDAY(D388,-(Setup!$C$13+Setup!$G$22),Setup!$C$39:$C$50))&gt;=Setup!$C$15,MONTH(WORKDAY(D388,-(Setup!$C$13+Setup!$G$22),Setup!$C$39:$C$50))&lt;=Setup!$C$16),OR(MONTH(WORKDAY(D388,-(Setup!$C$13+Setup!$G$22),Setup!$C$39:$C$50))&gt;=Setup!$C$15,MONTH(WORKDAY(D388,-(Setup!$C$13+Setup!$G$22),Setup!$C$39:$C$50))&lt;=Setup!$C$16))),WORKDAY(D388,-(Setup!$C$13+Setup!$G$22+Setup!$C$14),Setup!$C$39:$C$50),WORKDAY(D388,-(Setup!$C$13+Setup!$G$22),Setup!$C$39:$C$50))+(383*100+3)/10000000)))</f>
        <v/>
      </c>
      <c r="U388" t="str">
        <f>IF(E388="","",IF(E388&lt;Setup!$C$5-Setup!$C$6,"",IF(IF(ISNUMBER(Roster!$D388),Setup!$C$23&lt;=Roster!$D388,FALSE),"",IF(OR(IF(Setup!$C$15&lt;=Setup!$C$16,AND(MONTH(E388)&gt;=Setup!$C$15,MONTH(E388)&lt;=Setup!$C$16),OR(MONTH(E388)&gt;=Setup!$C$15,MONTH(E388)&lt;=Setup!$C$16)),IF(Setup!$C$15&lt;=Setup!$C$16,AND(MONTH(WORKDAY(E388,-(Setup!$C$13+Setup!$G$23),Setup!$C$39:$C$50))&gt;=Setup!$C$15,MONTH(WORKDAY(E388,-(Setup!$C$13+Setup!$G$23),Setup!$C$39:$C$50))&lt;=Setup!$C$16),OR(MONTH(WORKDAY(E388,-(Setup!$C$13+Setup!$G$23),Setup!$C$39:$C$50))&gt;=Setup!$C$15,MONTH(WORKDAY(E388,-(Setup!$C$13+Setup!$G$23),Setup!$C$39:$C$50))&lt;=Setup!$C$16))),WORKDAY(E388,-(Setup!$C$13+Setup!$G$23+Setup!$C$14),Setup!$C$39:$C$50),WORKDAY(E388,-(Setup!$C$13+Setup!$G$23),Setup!$C$39:$C$50))+(383*100+4)/10000000)))</f>
        <v/>
      </c>
      <c r="V388" t="str">
        <f>IF(F388="","",IF(F388&lt;Setup!$C$5-Setup!$C$6,"",IF(IF(ISNUMBER(Roster!$D388),Setup!$C$24&lt;=Roster!$D388,FALSE),"",IF(OR(IF(Setup!$C$15&lt;=Setup!$C$16,AND(MONTH(F388)&gt;=Setup!$C$15,MONTH(F388)&lt;=Setup!$C$16),OR(MONTH(F388)&gt;=Setup!$C$15,MONTH(F388)&lt;=Setup!$C$16)),IF(Setup!$C$15&lt;=Setup!$C$16,AND(MONTH(WORKDAY(F388,-(Setup!$C$13+Setup!$G$24),Setup!$C$39:$C$50))&gt;=Setup!$C$15,MONTH(WORKDAY(F388,-(Setup!$C$13+Setup!$G$24),Setup!$C$39:$C$50))&lt;=Setup!$C$16),OR(MONTH(WORKDAY(F388,-(Setup!$C$13+Setup!$G$24),Setup!$C$39:$C$50))&gt;=Setup!$C$15,MONTH(WORKDAY(F388,-(Setup!$C$13+Setup!$G$24),Setup!$C$39:$C$50))&lt;=Setup!$C$16))),WORKDAY(F388,-(Setup!$C$13+Setup!$G$24+Setup!$C$14),Setup!$C$39:$C$50),WORKDAY(F388,-(Setup!$C$13+Setup!$G$24),Setup!$C$39:$C$50))+(383*100+5)/10000000)))</f>
        <v/>
      </c>
      <c r="W388" t="str">
        <f>IF(G388="","",IF(G388&lt;Setup!$C$5-Setup!$C$6,"",IF(IF(ISNUMBER(Roster!$D388),Setup!$C$25&lt;=Roster!$D388,FALSE),"",IF(OR(IF(Setup!$C$15&lt;=Setup!$C$16,AND(MONTH(G388)&gt;=Setup!$C$15,MONTH(G388)&lt;=Setup!$C$16),OR(MONTH(G388)&gt;=Setup!$C$15,MONTH(G388)&lt;=Setup!$C$16)),IF(Setup!$C$15&lt;=Setup!$C$16,AND(MONTH(WORKDAY(G388,-(Setup!$C$13+Setup!$G$25),Setup!$C$39:$C$50))&gt;=Setup!$C$15,MONTH(WORKDAY(G388,-(Setup!$C$13+Setup!$G$25),Setup!$C$39:$C$50))&lt;=Setup!$C$16),OR(MONTH(WORKDAY(G388,-(Setup!$C$13+Setup!$G$25),Setup!$C$39:$C$50))&gt;=Setup!$C$15,MONTH(WORKDAY(G388,-(Setup!$C$13+Setup!$G$25),Setup!$C$39:$C$50))&lt;=Setup!$C$16))),WORKDAY(G388,-(Setup!$C$13+Setup!$G$25+Setup!$C$14),Setup!$C$39:$C$50),WORKDAY(G388,-(Setup!$C$13+Setup!$G$25),Setup!$C$39:$C$50))+(383*100+6)/10000000)))</f>
        <v/>
      </c>
      <c r="X388" t="str">
        <f>IF(H388="","",IF(H388&lt;Setup!$C$5-Setup!$C$6,"",IF(IF(ISNUMBER(Roster!$D388),Setup!$C$26&lt;=Roster!$D388,FALSE),"",IF(OR(IF(Setup!$C$15&lt;=Setup!$C$16,AND(MONTH(H388)&gt;=Setup!$C$15,MONTH(H388)&lt;=Setup!$C$16),OR(MONTH(H388)&gt;=Setup!$C$15,MONTH(H388)&lt;=Setup!$C$16)),IF(Setup!$C$15&lt;=Setup!$C$16,AND(MONTH(WORKDAY(H388,-(Setup!$C$13+Setup!$G$26),Setup!$C$39:$C$50))&gt;=Setup!$C$15,MONTH(WORKDAY(H388,-(Setup!$C$13+Setup!$G$26),Setup!$C$39:$C$50))&lt;=Setup!$C$16),OR(MONTH(WORKDAY(H388,-(Setup!$C$13+Setup!$G$26),Setup!$C$39:$C$50))&gt;=Setup!$C$15,MONTH(WORKDAY(H388,-(Setup!$C$13+Setup!$G$26),Setup!$C$39:$C$50))&lt;=Setup!$C$16))),WORKDAY(H388,-(Setup!$C$13+Setup!$G$26+Setup!$C$14),Setup!$C$39:$C$50),WORKDAY(H388,-(Setup!$C$13+Setup!$G$26),Setup!$C$39:$C$50))+(383*100+7)/10000000)))</f>
        <v/>
      </c>
      <c r="Y388" t="str">
        <f>IF(I388="","",IF(I388&lt;Setup!$C$5-Setup!$C$6,"",IF(IF(ISNUMBER(Roster!$D388),Setup!$C$27&lt;=Roster!$D388,FALSE),"",IF(OR(IF(Setup!$C$15&lt;=Setup!$C$16,AND(MONTH(I388)&gt;=Setup!$C$15,MONTH(I388)&lt;=Setup!$C$16),OR(MONTH(I388)&gt;=Setup!$C$15,MONTH(I388)&lt;=Setup!$C$16)),IF(Setup!$C$15&lt;=Setup!$C$16,AND(MONTH(WORKDAY(I388,-(Setup!$C$13+Setup!$G$27),Setup!$C$39:$C$50))&gt;=Setup!$C$15,MONTH(WORKDAY(I388,-(Setup!$C$13+Setup!$G$27),Setup!$C$39:$C$50))&lt;=Setup!$C$16),OR(MONTH(WORKDAY(I388,-(Setup!$C$13+Setup!$G$27),Setup!$C$39:$C$50))&gt;=Setup!$C$15,MONTH(WORKDAY(I388,-(Setup!$C$13+Setup!$G$27),Setup!$C$39:$C$50))&lt;=Setup!$C$16))),WORKDAY(I388,-(Setup!$C$13+Setup!$G$27+Setup!$C$14),Setup!$C$39:$C$50),WORKDAY(I388,-(Setup!$C$13+Setup!$G$27),Setup!$C$39:$C$50))+(383*100+8)/10000000)))</f>
        <v/>
      </c>
      <c r="Z388" t="str">
        <f>IF(J388="","",IF(J388&lt;Setup!$C$5-Setup!$C$6,"",IF(IF(ISNUMBER(Roster!$D388),Setup!$C$28&lt;=Roster!$D388,FALSE),"",IF(OR(IF(Setup!$C$15&lt;=Setup!$C$16,AND(MONTH(J388)&gt;=Setup!$C$15,MONTH(J388)&lt;=Setup!$C$16),OR(MONTH(J388)&gt;=Setup!$C$15,MONTH(J388)&lt;=Setup!$C$16)),IF(Setup!$C$15&lt;=Setup!$C$16,AND(MONTH(WORKDAY(J388,-(Setup!$C$13+Setup!$G$28),Setup!$C$39:$C$50))&gt;=Setup!$C$15,MONTH(WORKDAY(J388,-(Setup!$C$13+Setup!$G$28),Setup!$C$39:$C$50))&lt;=Setup!$C$16),OR(MONTH(WORKDAY(J388,-(Setup!$C$13+Setup!$G$28),Setup!$C$39:$C$50))&gt;=Setup!$C$15,MONTH(WORKDAY(J388,-(Setup!$C$13+Setup!$G$28),Setup!$C$39:$C$50))&lt;=Setup!$C$16))),WORKDAY(J388,-(Setup!$C$13+Setup!$G$28+Setup!$C$14),Setup!$C$39:$C$50),WORKDAY(J388,-(Setup!$C$13+Setup!$G$28),Setup!$C$39:$C$50))+(383*100+9)/10000000)))</f>
        <v/>
      </c>
      <c r="AA388" t="str">
        <f>IF(K388="","",IF(K388&lt;Setup!$C$5-Setup!$C$6,"",IF(IF(ISNUMBER(Roster!$D388),Setup!$C$29&lt;=Roster!$D388,FALSE),"",IF(OR(IF(Setup!$C$15&lt;=Setup!$C$16,AND(MONTH(K388)&gt;=Setup!$C$15,MONTH(K388)&lt;=Setup!$C$16),OR(MONTH(K388)&gt;=Setup!$C$15,MONTH(K388)&lt;=Setup!$C$16)),IF(Setup!$C$15&lt;=Setup!$C$16,AND(MONTH(WORKDAY(K388,-(Setup!$C$13+Setup!$G$29),Setup!$C$39:$C$50))&gt;=Setup!$C$15,MONTH(WORKDAY(K388,-(Setup!$C$13+Setup!$G$29),Setup!$C$39:$C$50))&lt;=Setup!$C$16),OR(MONTH(WORKDAY(K388,-(Setup!$C$13+Setup!$G$29),Setup!$C$39:$C$50))&gt;=Setup!$C$15,MONTH(WORKDAY(K388,-(Setup!$C$13+Setup!$G$29),Setup!$C$39:$C$50))&lt;=Setup!$C$16))),WORKDAY(K388,-(Setup!$C$13+Setup!$G$29+Setup!$C$14),Setup!$C$39:$C$50),WORKDAY(K388,-(Setup!$C$13+Setup!$G$29),Setup!$C$39:$C$50))+(383*100+10)/10000000)))</f>
        <v/>
      </c>
      <c r="AB388" t="str">
        <f>IF(L388="","",IF(L388&lt;Setup!$C$5-Setup!$C$6,"",IF(IF(ISNUMBER(Roster!$D388),Setup!$C$30&lt;=Roster!$D388,FALSE),"",IF(OR(IF(Setup!$C$15&lt;=Setup!$C$16,AND(MONTH(L388)&gt;=Setup!$C$15,MONTH(L388)&lt;=Setup!$C$16),OR(MONTH(L388)&gt;=Setup!$C$15,MONTH(L388)&lt;=Setup!$C$16)),IF(Setup!$C$15&lt;=Setup!$C$16,AND(MONTH(WORKDAY(L388,-(Setup!$C$13+Setup!$G$30),Setup!$C$39:$C$50))&gt;=Setup!$C$15,MONTH(WORKDAY(L388,-(Setup!$C$13+Setup!$G$30),Setup!$C$39:$C$50))&lt;=Setup!$C$16),OR(MONTH(WORKDAY(L388,-(Setup!$C$13+Setup!$G$30),Setup!$C$39:$C$50))&gt;=Setup!$C$15,MONTH(WORKDAY(L388,-(Setup!$C$13+Setup!$G$30),Setup!$C$39:$C$50))&lt;=Setup!$C$16))),WORKDAY(L388,-(Setup!$C$13+Setup!$G$30+Setup!$C$14),Setup!$C$39:$C$50),WORKDAY(L388,-(Setup!$C$13+Setup!$G$30),Setup!$C$39:$C$50))+(383*100+11)/10000000)))</f>
        <v/>
      </c>
      <c r="AC388" t="str">
        <f>IF(M388="","",IF(M388&lt;Setup!$C$5-Setup!$C$6,"",IF(IF(ISNUMBER(Roster!$D388),Setup!$C$31&lt;=Roster!$D388,FALSE),"",IF(OR(IF(Setup!$C$15&lt;=Setup!$C$16,AND(MONTH(M388)&gt;=Setup!$C$15,MONTH(M388)&lt;=Setup!$C$16),OR(MONTH(M388)&gt;=Setup!$C$15,MONTH(M388)&lt;=Setup!$C$16)),IF(Setup!$C$15&lt;=Setup!$C$16,AND(MONTH(WORKDAY(M388,-(Setup!$C$13+Setup!$G$31),Setup!$C$39:$C$50))&gt;=Setup!$C$15,MONTH(WORKDAY(M388,-(Setup!$C$13+Setup!$G$31),Setup!$C$39:$C$50))&lt;=Setup!$C$16),OR(MONTH(WORKDAY(M388,-(Setup!$C$13+Setup!$G$31),Setup!$C$39:$C$50))&gt;=Setup!$C$15,MONTH(WORKDAY(M388,-(Setup!$C$13+Setup!$G$31),Setup!$C$39:$C$50))&lt;=Setup!$C$16))),WORKDAY(M388,-(Setup!$C$13+Setup!$G$31+Setup!$C$14),Setup!$C$39:$C$50),WORKDAY(M388,-(Setup!$C$13+Setup!$G$31),Setup!$C$39:$C$50))+(383*100+12)/10000000)))</f>
        <v/>
      </c>
      <c r="AD388" t="str">
        <f>IF(N388="","",IF(N388&lt;Setup!$C$5-Setup!$C$6,"",IF(IF(ISNUMBER(Roster!$D388),Setup!$C$32&lt;=Roster!$D388,FALSE),"",IF(OR(IF(Setup!$C$15&lt;=Setup!$C$16,AND(MONTH(N388)&gt;=Setup!$C$15,MONTH(N388)&lt;=Setup!$C$16),OR(MONTH(N388)&gt;=Setup!$C$15,MONTH(N388)&lt;=Setup!$C$16)),IF(Setup!$C$15&lt;=Setup!$C$16,AND(MONTH(WORKDAY(N388,-(Setup!$C$13+Setup!$G$32),Setup!$C$39:$C$50))&gt;=Setup!$C$15,MONTH(WORKDAY(N388,-(Setup!$C$13+Setup!$G$32),Setup!$C$39:$C$50))&lt;=Setup!$C$16),OR(MONTH(WORKDAY(N388,-(Setup!$C$13+Setup!$G$32),Setup!$C$39:$C$50))&gt;=Setup!$C$15,MONTH(WORKDAY(N388,-(Setup!$C$13+Setup!$G$32),Setup!$C$39:$C$50))&lt;=Setup!$C$16))),WORKDAY(N388,-(Setup!$C$13+Setup!$G$32+Setup!$C$14),Setup!$C$39:$C$50),WORKDAY(N388,-(Setup!$C$13+Setup!$G$32),Setup!$C$39:$C$50))+(383*100+13)/10000000)))</f>
        <v/>
      </c>
      <c r="AE388" t="str">
        <f>IF(O388="","",IF(O388&lt;Setup!$C$5-Setup!$C$6,"",IF(IF(ISNUMBER(Roster!$D388),Setup!$C$33&lt;=Roster!$D388,FALSE),"",IF(OR(IF(Setup!$C$15&lt;=Setup!$C$16,AND(MONTH(O388)&gt;=Setup!$C$15,MONTH(O388)&lt;=Setup!$C$16),OR(MONTH(O388)&gt;=Setup!$C$15,MONTH(O388)&lt;=Setup!$C$16)),IF(Setup!$C$15&lt;=Setup!$C$16,AND(MONTH(WORKDAY(O388,-(Setup!$C$13+Setup!$G$33),Setup!$C$39:$C$50))&gt;=Setup!$C$15,MONTH(WORKDAY(O388,-(Setup!$C$13+Setup!$G$33),Setup!$C$39:$C$50))&lt;=Setup!$C$16),OR(MONTH(WORKDAY(O388,-(Setup!$C$13+Setup!$G$33),Setup!$C$39:$C$50))&gt;=Setup!$C$15,MONTH(WORKDAY(O388,-(Setup!$C$13+Setup!$G$33),Setup!$C$39:$C$50))&lt;=Setup!$C$16))),WORKDAY(O388,-(Setup!$C$13+Setup!$G$33+Setup!$C$14),Setup!$C$39:$C$50),WORKDAY(O388,-(Setup!$C$13+Setup!$G$33),Setup!$C$39:$C$50))+(383*100+14)/10000000)))</f>
        <v/>
      </c>
      <c r="AF388" t="str">
        <f>IF(P388="","",IF(P388&lt;Setup!$C$5-Setup!$C$6,"",IF(IF(ISNUMBER(Roster!$D388),Setup!$C$34&lt;=Roster!$D388,FALSE),"",IF(OR(IF(Setup!$C$15&lt;=Setup!$C$16,AND(MONTH(P388)&gt;=Setup!$C$15,MONTH(P388)&lt;=Setup!$C$16),OR(MONTH(P388)&gt;=Setup!$C$15,MONTH(P388)&lt;=Setup!$C$16)),IF(Setup!$C$15&lt;=Setup!$C$16,AND(MONTH(WORKDAY(P388,-(Setup!$C$13+Setup!$G$34),Setup!$C$39:$C$50))&gt;=Setup!$C$15,MONTH(WORKDAY(P388,-(Setup!$C$13+Setup!$G$34),Setup!$C$39:$C$50))&lt;=Setup!$C$16),OR(MONTH(WORKDAY(P388,-(Setup!$C$13+Setup!$G$34),Setup!$C$39:$C$50))&gt;=Setup!$C$15,MONTH(WORKDAY(P388,-(Setup!$C$13+Setup!$G$34),Setup!$C$39:$C$50))&lt;=Setup!$C$16))),WORKDAY(P388,-(Setup!$C$13+Setup!$G$34+Setup!$C$14),Setup!$C$39:$C$50),WORKDAY(P388,-(Setup!$C$13+Setup!$G$34),Setup!$C$39:$C$50))+(383*100+15)/10000000)))</f>
        <v/>
      </c>
      <c r="AH388" t="str">
        <f t="shared" si="41"/>
        <v/>
      </c>
      <c r="AI388" t="str">
        <f t="shared" si="42"/>
        <v/>
      </c>
      <c r="AP388" t="str">
        <f>IF(ISNUMBER(Roster!$B388),MAX(1,YEAR(Setup!$C$5)-YEAR(Roster!$B388)+IF(EDATE(Roster!$B388,12*(YEAR(Setup!$C$5)-YEAR(Roster!$B388)))&lt;Setup!$C$5,1,0)),"")</f>
        <v/>
      </c>
      <c r="AQ388" s="32" t="str">
        <f>IF(AP388="","",EDATE(Roster!$B388,12*AP388))</f>
        <v/>
      </c>
      <c r="AR388" t="str">
        <f>IF(AQ388="","",IF(AQ388&lt;DATE(YEAR(Setup!$C$5)+1,MONTH(Setup!$C$5),DAY(Setup!$C$5)),AQ388+383/1000,""))</f>
        <v/>
      </c>
      <c r="AS388" t="str">
        <f t="shared" si="43"/>
        <v/>
      </c>
      <c r="AT388" t="str">
        <f>IF(AS388="","",IF(ISNUMBER(Roster!$D388),Roster!$D388&gt;=AP388,FALSE))</f>
        <v/>
      </c>
      <c r="AU388" t="str">
        <f t="shared" si="44"/>
        <v/>
      </c>
      <c r="AV388" t="str">
        <f ca="1">IF(383&gt;$AV$2,"",SMALL($AR$6:$AR$505,383))</f>
        <v/>
      </c>
      <c r="AW388" t="str">
        <f t="shared" ca="1" si="45"/>
        <v/>
      </c>
    </row>
    <row r="389" spans="2:49" x14ac:dyDescent="0.2">
      <c r="B389" s="32" t="str">
        <f>IF(AND(ISNUMBER(Roster!$B389),Setup!$B$20="Yes",ISNUMBER(Setup!$C$20)),EDATE(Roster!$B389,12*Setup!$C$20),"")</f>
        <v/>
      </c>
      <c r="C389" s="32" t="str">
        <f>IF(AND(ISNUMBER(Roster!$B389),Setup!$B$21="Yes",ISNUMBER(Setup!$C$21)),EDATE(Roster!$B389,12*Setup!$C$21),"")</f>
        <v/>
      </c>
      <c r="D389" s="32" t="str">
        <f>IF(AND(ISNUMBER(Roster!$B389),Setup!$B$22="Yes",ISNUMBER(Setup!$C$22)),EDATE(Roster!$B389,12*Setup!$C$22),"")</f>
        <v/>
      </c>
      <c r="E389" s="32" t="str">
        <f>IF(AND(ISNUMBER(Roster!$B389),Setup!$B$23="Yes",ISNUMBER(Setup!$C$23)),EDATE(Roster!$B389,12*Setup!$C$23),"")</f>
        <v/>
      </c>
      <c r="F389" s="32" t="str">
        <f>IF(AND(ISNUMBER(Roster!$B389),Setup!$B$24="Yes",ISNUMBER(Setup!$C$24)),EDATE(Roster!$B389,12*Setup!$C$24),"")</f>
        <v/>
      </c>
      <c r="G389" s="32" t="str">
        <f>IF(AND(ISNUMBER(Roster!$B389),Setup!$B$25="Yes",ISNUMBER(Setup!$C$25)),EDATE(Roster!$B389,12*Setup!$C$25),"")</f>
        <v/>
      </c>
      <c r="H389" s="32" t="str">
        <f>IF(AND(ISNUMBER(Roster!$B389),Setup!$B$26="Yes",ISNUMBER(Setup!$C$26)),EDATE(Roster!$B389,12*Setup!$C$26),"")</f>
        <v/>
      </c>
      <c r="I389" s="32" t="str">
        <f>IF(AND(ISNUMBER(Roster!$B389),Setup!$B$27="Yes",ISNUMBER(Setup!$C$27)),EDATE(Roster!$B389,12*Setup!$C$27),"")</f>
        <v/>
      </c>
      <c r="J389" s="32" t="str">
        <f>IF(AND(ISNUMBER(Roster!$B389),Setup!$B$28="Yes",ISNUMBER(Setup!$C$28)),EDATE(Roster!$B389,12*Setup!$C$28),"")</f>
        <v/>
      </c>
      <c r="K389" s="32" t="str">
        <f>IF(AND(ISNUMBER(Roster!$B389),Setup!$B$29="Yes",ISNUMBER(Setup!$C$29)),EDATE(Roster!$B389,12*Setup!$C$29),"")</f>
        <v/>
      </c>
      <c r="L389" s="32" t="str">
        <f>IF(AND(ISNUMBER(Roster!$B389),Setup!$B$30="Yes",ISNUMBER(Setup!$C$30)),EDATE(Roster!$B389,12*Setup!$C$30),"")</f>
        <v/>
      </c>
      <c r="M389" s="32" t="str">
        <f>IF(AND(ISNUMBER(Roster!$B389),Setup!$B$31="Yes",ISNUMBER(Setup!$C$31)),EDATE(Roster!$B389,12*Setup!$C$31),"")</f>
        <v/>
      </c>
      <c r="N389" s="32" t="str">
        <f>IF(AND(ISNUMBER(Roster!$B389),Setup!$B$32="Yes",ISNUMBER(Setup!$C$32)),EDATE(Roster!$B389,12*Setup!$C$32),"")</f>
        <v/>
      </c>
      <c r="O389" s="32" t="str">
        <f>IF(AND(ISNUMBER(Roster!$B389),Setup!$B$33="Yes",ISNUMBER(Setup!$C$33)),EDATE(Roster!$B389,12*Setup!$C$33),"")</f>
        <v/>
      </c>
      <c r="P389" s="32" t="str">
        <f>IF(AND(ISNUMBER(Roster!$B389),Setup!$B$34="Yes",ISNUMBER(Setup!$C$34)),EDATE(Roster!$B389,12*Setup!$C$34),"")</f>
        <v/>
      </c>
      <c r="R389" t="str">
        <f>IF(B389="","",IF(B389&lt;Setup!$C$5-Setup!$C$6,"",IF(IF(ISNUMBER(Roster!$D389),Setup!$C$20&lt;=Roster!$D389,FALSE),"",IF(OR(IF(Setup!$C$15&lt;=Setup!$C$16,AND(MONTH(B389)&gt;=Setup!$C$15,MONTH(B389)&lt;=Setup!$C$16),OR(MONTH(B389)&gt;=Setup!$C$15,MONTH(B389)&lt;=Setup!$C$16)),IF(Setup!$C$15&lt;=Setup!$C$16,AND(MONTH(WORKDAY(B389,-(Setup!$C$13+Setup!$G$20),Setup!$C$39:$C$50))&gt;=Setup!$C$15,MONTH(WORKDAY(B389,-(Setup!$C$13+Setup!$G$20),Setup!$C$39:$C$50))&lt;=Setup!$C$16),OR(MONTH(WORKDAY(B389,-(Setup!$C$13+Setup!$G$20),Setup!$C$39:$C$50))&gt;=Setup!$C$15,MONTH(WORKDAY(B389,-(Setup!$C$13+Setup!$G$20),Setup!$C$39:$C$50))&lt;=Setup!$C$16))),WORKDAY(B389,-(Setup!$C$13+Setup!$G$20+Setup!$C$14),Setup!$C$39:$C$50),WORKDAY(B389,-(Setup!$C$13+Setup!$G$20),Setup!$C$39:$C$50))+(384*100+1)/10000000)))</f>
        <v/>
      </c>
      <c r="S389" t="str">
        <f>IF(C389="","",IF(C389&lt;Setup!$C$5-Setup!$C$6,"",IF(IF(ISNUMBER(Roster!$D389),Setup!$C$21&lt;=Roster!$D389,FALSE),"",IF(OR(IF(Setup!$C$15&lt;=Setup!$C$16,AND(MONTH(C389)&gt;=Setup!$C$15,MONTH(C389)&lt;=Setup!$C$16),OR(MONTH(C389)&gt;=Setup!$C$15,MONTH(C389)&lt;=Setup!$C$16)),IF(Setup!$C$15&lt;=Setup!$C$16,AND(MONTH(WORKDAY(C389,-(Setup!$C$13+Setup!$G$21),Setup!$C$39:$C$50))&gt;=Setup!$C$15,MONTH(WORKDAY(C389,-(Setup!$C$13+Setup!$G$21),Setup!$C$39:$C$50))&lt;=Setup!$C$16),OR(MONTH(WORKDAY(C389,-(Setup!$C$13+Setup!$G$21),Setup!$C$39:$C$50))&gt;=Setup!$C$15,MONTH(WORKDAY(C389,-(Setup!$C$13+Setup!$G$21),Setup!$C$39:$C$50))&lt;=Setup!$C$16))),WORKDAY(C389,-(Setup!$C$13+Setup!$G$21+Setup!$C$14),Setup!$C$39:$C$50),WORKDAY(C389,-(Setup!$C$13+Setup!$G$21),Setup!$C$39:$C$50))+(384*100+2)/10000000)))</f>
        <v/>
      </c>
      <c r="T389" t="str">
        <f>IF(D389="","",IF(D389&lt;Setup!$C$5-Setup!$C$6,"",IF(IF(ISNUMBER(Roster!$D389),Setup!$C$22&lt;=Roster!$D389,FALSE),"",IF(OR(IF(Setup!$C$15&lt;=Setup!$C$16,AND(MONTH(D389)&gt;=Setup!$C$15,MONTH(D389)&lt;=Setup!$C$16),OR(MONTH(D389)&gt;=Setup!$C$15,MONTH(D389)&lt;=Setup!$C$16)),IF(Setup!$C$15&lt;=Setup!$C$16,AND(MONTH(WORKDAY(D389,-(Setup!$C$13+Setup!$G$22),Setup!$C$39:$C$50))&gt;=Setup!$C$15,MONTH(WORKDAY(D389,-(Setup!$C$13+Setup!$G$22),Setup!$C$39:$C$50))&lt;=Setup!$C$16),OR(MONTH(WORKDAY(D389,-(Setup!$C$13+Setup!$G$22),Setup!$C$39:$C$50))&gt;=Setup!$C$15,MONTH(WORKDAY(D389,-(Setup!$C$13+Setup!$G$22),Setup!$C$39:$C$50))&lt;=Setup!$C$16))),WORKDAY(D389,-(Setup!$C$13+Setup!$G$22+Setup!$C$14),Setup!$C$39:$C$50),WORKDAY(D389,-(Setup!$C$13+Setup!$G$22),Setup!$C$39:$C$50))+(384*100+3)/10000000)))</f>
        <v/>
      </c>
      <c r="U389" t="str">
        <f>IF(E389="","",IF(E389&lt;Setup!$C$5-Setup!$C$6,"",IF(IF(ISNUMBER(Roster!$D389),Setup!$C$23&lt;=Roster!$D389,FALSE),"",IF(OR(IF(Setup!$C$15&lt;=Setup!$C$16,AND(MONTH(E389)&gt;=Setup!$C$15,MONTH(E389)&lt;=Setup!$C$16),OR(MONTH(E389)&gt;=Setup!$C$15,MONTH(E389)&lt;=Setup!$C$16)),IF(Setup!$C$15&lt;=Setup!$C$16,AND(MONTH(WORKDAY(E389,-(Setup!$C$13+Setup!$G$23),Setup!$C$39:$C$50))&gt;=Setup!$C$15,MONTH(WORKDAY(E389,-(Setup!$C$13+Setup!$G$23),Setup!$C$39:$C$50))&lt;=Setup!$C$16),OR(MONTH(WORKDAY(E389,-(Setup!$C$13+Setup!$G$23),Setup!$C$39:$C$50))&gt;=Setup!$C$15,MONTH(WORKDAY(E389,-(Setup!$C$13+Setup!$G$23),Setup!$C$39:$C$50))&lt;=Setup!$C$16))),WORKDAY(E389,-(Setup!$C$13+Setup!$G$23+Setup!$C$14),Setup!$C$39:$C$50),WORKDAY(E389,-(Setup!$C$13+Setup!$G$23),Setup!$C$39:$C$50))+(384*100+4)/10000000)))</f>
        <v/>
      </c>
      <c r="V389" t="str">
        <f>IF(F389="","",IF(F389&lt;Setup!$C$5-Setup!$C$6,"",IF(IF(ISNUMBER(Roster!$D389),Setup!$C$24&lt;=Roster!$D389,FALSE),"",IF(OR(IF(Setup!$C$15&lt;=Setup!$C$16,AND(MONTH(F389)&gt;=Setup!$C$15,MONTH(F389)&lt;=Setup!$C$16),OR(MONTH(F389)&gt;=Setup!$C$15,MONTH(F389)&lt;=Setup!$C$16)),IF(Setup!$C$15&lt;=Setup!$C$16,AND(MONTH(WORKDAY(F389,-(Setup!$C$13+Setup!$G$24),Setup!$C$39:$C$50))&gt;=Setup!$C$15,MONTH(WORKDAY(F389,-(Setup!$C$13+Setup!$G$24),Setup!$C$39:$C$50))&lt;=Setup!$C$16),OR(MONTH(WORKDAY(F389,-(Setup!$C$13+Setup!$G$24),Setup!$C$39:$C$50))&gt;=Setup!$C$15,MONTH(WORKDAY(F389,-(Setup!$C$13+Setup!$G$24),Setup!$C$39:$C$50))&lt;=Setup!$C$16))),WORKDAY(F389,-(Setup!$C$13+Setup!$G$24+Setup!$C$14),Setup!$C$39:$C$50),WORKDAY(F389,-(Setup!$C$13+Setup!$G$24),Setup!$C$39:$C$50))+(384*100+5)/10000000)))</f>
        <v/>
      </c>
      <c r="W389" t="str">
        <f>IF(G389="","",IF(G389&lt;Setup!$C$5-Setup!$C$6,"",IF(IF(ISNUMBER(Roster!$D389),Setup!$C$25&lt;=Roster!$D389,FALSE),"",IF(OR(IF(Setup!$C$15&lt;=Setup!$C$16,AND(MONTH(G389)&gt;=Setup!$C$15,MONTH(G389)&lt;=Setup!$C$16),OR(MONTH(G389)&gt;=Setup!$C$15,MONTH(G389)&lt;=Setup!$C$16)),IF(Setup!$C$15&lt;=Setup!$C$16,AND(MONTH(WORKDAY(G389,-(Setup!$C$13+Setup!$G$25),Setup!$C$39:$C$50))&gt;=Setup!$C$15,MONTH(WORKDAY(G389,-(Setup!$C$13+Setup!$G$25),Setup!$C$39:$C$50))&lt;=Setup!$C$16),OR(MONTH(WORKDAY(G389,-(Setup!$C$13+Setup!$G$25),Setup!$C$39:$C$50))&gt;=Setup!$C$15,MONTH(WORKDAY(G389,-(Setup!$C$13+Setup!$G$25),Setup!$C$39:$C$50))&lt;=Setup!$C$16))),WORKDAY(G389,-(Setup!$C$13+Setup!$G$25+Setup!$C$14),Setup!$C$39:$C$50),WORKDAY(G389,-(Setup!$C$13+Setup!$G$25),Setup!$C$39:$C$50))+(384*100+6)/10000000)))</f>
        <v/>
      </c>
      <c r="X389" t="str">
        <f>IF(H389="","",IF(H389&lt;Setup!$C$5-Setup!$C$6,"",IF(IF(ISNUMBER(Roster!$D389),Setup!$C$26&lt;=Roster!$D389,FALSE),"",IF(OR(IF(Setup!$C$15&lt;=Setup!$C$16,AND(MONTH(H389)&gt;=Setup!$C$15,MONTH(H389)&lt;=Setup!$C$16),OR(MONTH(H389)&gt;=Setup!$C$15,MONTH(H389)&lt;=Setup!$C$16)),IF(Setup!$C$15&lt;=Setup!$C$16,AND(MONTH(WORKDAY(H389,-(Setup!$C$13+Setup!$G$26),Setup!$C$39:$C$50))&gt;=Setup!$C$15,MONTH(WORKDAY(H389,-(Setup!$C$13+Setup!$G$26),Setup!$C$39:$C$50))&lt;=Setup!$C$16),OR(MONTH(WORKDAY(H389,-(Setup!$C$13+Setup!$G$26),Setup!$C$39:$C$50))&gt;=Setup!$C$15,MONTH(WORKDAY(H389,-(Setup!$C$13+Setup!$G$26),Setup!$C$39:$C$50))&lt;=Setup!$C$16))),WORKDAY(H389,-(Setup!$C$13+Setup!$G$26+Setup!$C$14),Setup!$C$39:$C$50),WORKDAY(H389,-(Setup!$C$13+Setup!$G$26),Setup!$C$39:$C$50))+(384*100+7)/10000000)))</f>
        <v/>
      </c>
      <c r="Y389" t="str">
        <f>IF(I389="","",IF(I389&lt;Setup!$C$5-Setup!$C$6,"",IF(IF(ISNUMBER(Roster!$D389),Setup!$C$27&lt;=Roster!$D389,FALSE),"",IF(OR(IF(Setup!$C$15&lt;=Setup!$C$16,AND(MONTH(I389)&gt;=Setup!$C$15,MONTH(I389)&lt;=Setup!$C$16),OR(MONTH(I389)&gt;=Setup!$C$15,MONTH(I389)&lt;=Setup!$C$16)),IF(Setup!$C$15&lt;=Setup!$C$16,AND(MONTH(WORKDAY(I389,-(Setup!$C$13+Setup!$G$27),Setup!$C$39:$C$50))&gt;=Setup!$C$15,MONTH(WORKDAY(I389,-(Setup!$C$13+Setup!$G$27),Setup!$C$39:$C$50))&lt;=Setup!$C$16),OR(MONTH(WORKDAY(I389,-(Setup!$C$13+Setup!$G$27),Setup!$C$39:$C$50))&gt;=Setup!$C$15,MONTH(WORKDAY(I389,-(Setup!$C$13+Setup!$G$27),Setup!$C$39:$C$50))&lt;=Setup!$C$16))),WORKDAY(I389,-(Setup!$C$13+Setup!$G$27+Setup!$C$14),Setup!$C$39:$C$50),WORKDAY(I389,-(Setup!$C$13+Setup!$G$27),Setup!$C$39:$C$50))+(384*100+8)/10000000)))</f>
        <v/>
      </c>
      <c r="Z389" t="str">
        <f>IF(J389="","",IF(J389&lt;Setup!$C$5-Setup!$C$6,"",IF(IF(ISNUMBER(Roster!$D389),Setup!$C$28&lt;=Roster!$D389,FALSE),"",IF(OR(IF(Setup!$C$15&lt;=Setup!$C$16,AND(MONTH(J389)&gt;=Setup!$C$15,MONTH(J389)&lt;=Setup!$C$16),OR(MONTH(J389)&gt;=Setup!$C$15,MONTH(J389)&lt;=Setup!$C$16)),IF(Setup!$C$15&lt;=Setup!$C$16,AND(MONTH(WORKDAY(J389,-(Setup!$C$13+Setup!$G$28),Setup!$C$39:$C$50))&gt;=Setup!$C$15,MONTH(WORKDAY(J389,-(Setup!$C$13+Setup!$G$28),Setup!$C$39:$C$50))&lt;=Setup!$C$16),OR(MONTH(WORKDAY(J389,-(Setup!$C$13+Setup!$G$28),Setup!$C$39:$C$50))&gt;=Setup!$C$15,MONTH(WORKDAY(J389,-(Setup!$C$13+Setup!$G$28),Setup!$C$39:$C$50))&lt;=Setup!$C$16))),WORKDAY(J389,-(Setup!$C$13+Setup!$G$28+Setup!$C$14),Setup!$C$39:$C$50),WORKDAY(J389,-(Setup!$C$13+Setup!$G$28),Setup!$C$39:$C$50))+(384*100+9)/10000000)))</f>
        <v/>
      </c>
      <c r="AA389" t="str">
        <f>IF(K389="","",IF(K389&lt;Setup!$C$5-Setup!$C$6,"",IF(IF(ISNUMBER(Roster!$D389),Setup!$C$29&lt;=Roster!$D389,FALSE),"",IF(OR(IF(Setup!$C$15&lt;=Setup!$C$16,AND(MONTH(K389)&gt;=Setup!$C$15,MONTH(K389)&lt;=Setup!$C$16),OR(MONTH(K389)&gt;=Setup!$C$15,MONTH(K389)&lt;=Setup!$C$16)),IF(Setup!$C$15&lt;=Setup!$C$16,AND(MONTH(WORKDAY(K389,-(Setup!$C$13+Setup!$G$29),Setup!$C$39:$C$50))&gt;=Setup!$C$15,MONTH(WORKDAY(K389,-(Setup!$C$13+Setup!$G$29),Setup!$C$39:$C$50))&lt;=Setup!$C$16),OR(MONTH(WORKDAY(K389,-(Setup!$C$13+Setup!$G$29),Setup!$C$39:$C$50))&gt;=Setup!$C$15,MONTH(WORKDAY(K389,-(Setup!$C$13+Setup!$G$29),Setup!$C$39:$C$50))&lt;=Setup!$C$16))),WORKDAY(K389,-(Setup!$C$13+Setup!$G$29+Setup!$C$14),Setup!$C$39:$C$50),WORKDAY(K389,-(Setup!$C$13+Setup!$G$29),Setup!$C$39:$C$50))+(384*100+10)/10000000)))</f>
        <v/>
      </c>
      <c r="AB389" t="str">
        <f>IF(L389="","",IF(L389&lt;Setup!$C$5-Setup!$C$6,"",IF(IF(ISNUMBER(Roster!$D389),Setup!$C$30&lt;=Roster!$D389,FALSE),"",IF(OR(IF(Setup!$C$15&lt;=Setup!$C$16,AND(MONTH(L389)&gt;=Setup!$C$15,MONTH(L389)&lt;=Setup!$C$16),OR(MONTH(L389)&gt;=Setup!$C$15,MONTH(L389)&lt;=Setup!$C$16)),IF(Setup!$C$15&lt;=Setup!$C$16,AND(MONTH(WORKDAY(L389,-(Setup!$C$13+Setup!$G$30),Setup!$C$39:$C$50))&gt;=Setup!$C$15,MONTH(WORKDAY(L389,-(Setup!$C$13+Setup!$G$30),Setup!$C$39:$C$50))&lt;=Setup!$C$16),OR(MONTH(WORKDAY(L389,-(Setup!$C$13+Setup!$G$30),Setup!$C$39:$C$50))&gt;=Setup!$C$15,MONTH(WORKDAY(L389,-(Setup!$C$13+Setup!$G$30),Setup!$C$39:$C$50))&lt;=Setup!$C$16))),WORKDAY(L389,-(Setup!$C$13+Setup!$G$30+Setup!$C$14),Setup!$C$39:$C$50),WORKDAY(L389,-(Setup!$C$13+Setup!$G$30),Setup!$C$39:$C$50))+(384*100+11)/10000000)))</f>
        <v/>
      </c>
      <c r="AC389" t="str">
        <f>IF(M389="","",IF(M389&lt;Setup!$C$5-Setup!$C$6,"",IF(IF(ISNUMBER(Roster!$D389),Setup!$C$31&lt;=Roster!$D389,FALSE),"",IF(OR(IF(Setup!$C$15&lt;=Setup!$C$16,AND(MONTH(M389)&gt;=Setup!$C$15,MONTH(M389)&lt;=Setup!$C$16),OR(MONTH(M389)&gt;=Setup!$C$15,MONTH(M389)&lt;=Setup!$C$16)),IF(Setup!$C$15&lt;=Setup!$C$16,AND(MONTH(WORKDAY(M389,-(Setup!$C$13+Setup!$G$31),Setup!$C$39:$C$50))&gt;=Setup!$C$15,MONTH(WORKDAY(M389,-(Setup!$C$13+Setup!$G$31),Setup!$C$39:$C$50))&lt;=Setup!$C$16),OR(MONTH(WORKDAY(M389,-(Setup!$C$13+Setup!$G$31),Setup!$C$39:$C$50))&gt;=Setup!$C$15,MONTH(WORKDAY(M389,-(Setup!$C$13+Setup!$G$31),Setup!$C$39:$C$50))&lt;=Setup!$C$16))),WORKDAY(M389,-(Setup!$C$13+Setup!$G$31+Setup!$C$14),Setup!$C$39:$C$50),WORKDAY(M389,-(Setup!$C$13+Setup!$G$31),Setup!$C$39:$C$50))+(384*100+12)/10000000)))</f>
        <v/>
      </c>
      <c r="AD389" t="str">
        <f>IF(N389="","",IF(N389&lt;Setup!$C$5-Setup!$C$6,"",IF(IF(ISNUMBER(Roster!$D389),Setup!$C$32&lt;=Roster!$D389,FALSE),"",IF(OR(IF(Setup!$C$15&lt;=Setup!$C$16,AND(MONTH(N389)&gt;=Setup!$C$15,MONTH(N389)&lt;=Setup!$C$16),OR(MONTH(N389)&gt;=Setup!$C$15,MONTH(N389)&lt;=Setup!$C$16)),IF(Setup!$C$15&lt;=Setup!$C$16,AND(MONTH(WORKDAY(N389,-(Setup!$C$13+Setup!$G$32),Setup!$C$39:$C$50))&gt;=Setup!$C$15,MONTH(WORKDAY(N389,-(Setup!$C$13+Setup!$G$32),Setup!$C$39:$C$50))&lt;=Setup!$C$16),OR(MONTH(WORKDAY(N389,-(Setup!$C$13+Setup!$G$32),Setup!$C$39:$C$50))&gt;=Setup!$C$15,MONTH(WORKDAY(N389,-(Setup!$C$13+Setup!$G$32),Setup!$C$39:$C$50))&lt;=Setup!$C$16))),WORKDAY(N389,-(Setup!$C$13+Setup!$G$32+Setup!$C$14),Setup!$C$39:$C$50),WORKDAY(N389,-(Setup!$C$13+Setup!$G$32),Setup!$C$39:$C$50))+(384*100+13)/10000000)))</f>
        <v/>
      </c>
      <c r="AE389" t="str">
        <f>IF(O389="","",IF(O389&lt;Setup!$C$5-Setup!$C$6,"",IF(IF(ISNUMBER(Roster!$D389),Setup!$C$33&lt;=Roster!$D389,FALSE),"",IF(OR(IF(Setup!$C$15&lt;=Setup!$C$16,AND(MONTH(O389)&gt;=Setup!$C$15,MONTH(O389)&lt;=Setup!$C$16),OR(MONTH(O389)&gt;=Setup!$C$15,MONTH(O389)&lt;=Setup!$C$16)),IF(Setup!$C$15&lt;=Setup!$C$16,AND(MONTH(WORKDAY(O389,-(Setup!$C$13+Setup!$G$33),Setup!$C$39:$C$50))&gt;=Setup!$C$15,MONTH(WORKDAY(O389,-(Setup!$C$13+Setup!$G$33),Setup!$C$39:$C$50))&lt;=Setup!$C$16),OR(MONTH(WORKDAY(O389,-(Setup!$C$13+Setup!$G$33),Setup!$C$39:$C$50))&gt;=Setup!$C$15,MONTH(WORKDAY(O389,-(Setup!$C$13+Setup!$G$33),Setup!$C$39:$C$50))&lt;=Setup!$C$16))),WORKDAY(O389,-(Setup!$C$13+Setup!$G$33+Setup!$C$14),Setup!$C$39:$C$50),WORKDAY(O389,-(Setup!$C$13+Setup!$G$33),Setup!$C$39:$C$50))+(384*100+14)/10000000)))</f>
        <v/>
      </c>
      <c r="AF389" t="str">
        <f>IF(P389="","",IF(P389&lt;Setup!$C$5-Setup!$C$6,"",IF(IF(ISNUMBER(Roster!$D389),Setup!$C$34&lt;=Roster!$D389,FALSE),"",IF(OR(IF(Setup!$C$15&lt;=Setup!$C$16,AND(MONTH(P389)&gt;=Setup!$C$15,MONTH(P389)&lt;=Setup!$C$16),OR(MONTH(P389)&gt;=Setup!$C$15,MONTH(P389)&lt;=Setup!$C$16)),IF(Setup!$C$15&lt;=Setup!$C$16,AND(MONTH(WORKDAY(P389,-(Setup!$C$13+Setup!$G$34),Setup!$C$39:$C$50))&gt;=Setup!$C$15,MONTH(WORKDAY(P389,-(Setup!$C$13+Setup!$G$34),Setup!$C$39:$C$50))&lt;=Setup!$C$16),OR(MONTH(WORKDAY(P389,-(Setup!$C$13+Setup!$G$34),Setup!$C$39:$C$50))&gt;=Setup!$C$15,MONTH(WORKDAY(P389,-(Setup!$C$13+Setup!$G$34),Setup!$C$39:$C$50))&lt;=Setup!$C$16))),WORKDAY(P389,-(Setup!$C$13+Setup!$G$34+Setup!$C$14),Setup!$C$39:$C$50),WORKDAY(P389,-(Setup!$C$13+Setup!$G$34),Setup!$C$39:$C$50))+(384*100+15)/10000000)))</f>
        <v/>
      </c>
      <c r="AH389" t="str">
        <f t="shared" si="41"/>
        <v/>
      </c>
      <c r="AI389" t="str">
        <f t="shared" si="42"/>
        <v/>
      </c>
      <c r="AP389" t="str">
        <f>IF(ISNUMBER(Roster!$B389),MAX(1,YEAR(Setup!$C$5)-YEAR(Roster!$B389)+IF(EDATE(Roster!$B389,12*(YEAR(Setup!$C$5)-YEAR(Roster!$B389)))&lt;Setup!$C$5,1,0)),"")</f>
        <v/>
      </c>
      <c r="AQ389" s="32" t="str">
        <f>IF(AP389="","",EDATE(Roster!$B389,12*AP389))</f>
        <v/>
      </c>
      <c r="AR389" t="str">
        <f>IF(AQ389="","",IF(AQ389&lt;DATE(YEAR(Setup!$C$5)+1,MONTH(Setup!$C$5),DAY(Setup!$C$5)),AQ389+384/1000,""))</f>
        <v/>
      </c>
      <c r="AS389" t="str">
        <f t="shared" si="43"/>
        <v/>
      </c>
      <c r="AT389" t="str">
        <f>IF(AS389="","",IF(ISNUMBER(Roster!$D389),Roster!$D389&gt;=AP389,FALSE))</f>
        <v/>
      </c>
      <c r="AU389" t="str">
        <f t="shared" si="44"/>
        <v/>
      </c>
      <c r="AV389" t="str">
        <f ca="1">IF(384&gt;$AV$2,"",SMALL($AR$6:$AR$505,384))</f>
        <v/>
      </c>
      <c r="AW389" t="str">
        <f t="shared" ca="1" si="45"/>
        <v/>
      </c>
    </row>
    <row r="390" spans="2:49" x14ac:dyDescent="0.2">
      <c r="B390" s="32" t="str">
        <f>IF(AND(ISNUMBER(Roster!$B390),Setup!$B$20="Yes",ISNUMBER(Setup!$C$20)),EDATE(Roster!$B390,12*Setup!$C$20),"")</f>
        <v/>
      </c>
      <c r="C390" s="32" t="str">
        <f>IF(AND(ISNUMBER(Roster!$B390),Setup!$B$21="Yes",ISNUMBER(Setup!$C$21)),EDATE(Roster!$B390,12*Setup!$C$21),"")</f>
        <v/>
      </c>
      <c r="D390" s="32" t="str">
        <f>IF(AND(ISNUMBER(Roster!$B390),Setup!$B$22="Yes",ISNUMBER(Setup!$C$22)),EDATE(Roster!$B390,12*Setup!$C$22),"")</f>
        <v/>
      </c>
      <c r="E390" s="32" t="str">
        <f>IF(AND(ISNUMBER(Roster!$B390),Setup!$B$23="Yes",ISNUMBER(Setup!$C$23)),EDATE(Roster!$B390,12*Setup!$C$23),"")</f>
        <v/>
      </c>
      <c r="F390" s="32" t="str">
        <f>IF(AND(ISNUMBER(Roster!$B390),Setup!$B$24="Yes",ISNUMBER(Setup!$C$24)),EDATE(Roster!$B390,12*Setup!$C$24),"")</f>
        <v/>
      </c>
      <c r="G390" s="32" t="str">
        <f>IF(AND(ISNUMBER(Roster!$B390),Setup!$B$25="Yes",ISNUMBER(Setup!$C$25)),EDATE(Roster!$B390,12*Setup!$C$25),"")</f>
        <v/>
      </c>
      <c r="H390" s="32" t="str">
        <f>IF(AND(ISNUMBER(Roster!$B390),Setup!$B$26="Yes",ISNUMBER(Setup!$C$26)),EDATE(Roster!$B390,12*Setup!$C$26),"")</f>
        <v/>
      </c>
      <c r="I390" s="32" t="str">
        <f>IF(AND(ISNUMBER(Roster!$B390),Setup!$B$27="Yes",ISNUMBER(Setup!$C$27)),EDATE(Roster!$B390,12*Setup!$C$27),"")</f>
        <v/>
      </c>
      <c r="J390" s="32" t="str">
        <f>IF(AND(ISNUMBER(Roster!$B390),Setup!$B$28="Yes",ISNUMBER(Setup!$C$28)),EDATE(Roster!$B390,12*Setup!$C$28),"")</f>
        <v/>
      </c>
      <c r="K390" s="32" t="str">
        <f>IF(AND(ISNUMBER(Roster!$B390),Setup!$B$29="Yes",ISNUMBER(Setup!$C$29)),EDATE(Roster!$B390,12*Setup!$C$29),"")</f>
        <v/>
      </c>
      <c r="L390" s="32" t="str">
        <f>IF(AND(ISNUMBER(Roster!$B390),Setup!$B$30="Yes",ISNUMBER(Setup!$C$30)),EDATE(Roster!$B390,12*Setup!$C$30),"")</f>
        <v/>
      </c>
      <c r="M390" s="32" t="str">
        <f>IF(AND(ISNUMBER(Roster!$B390),Setup!$B$31="Yes",ISNUMBER(Setup!$C$31)),EDATE(Roster!$B390,12*Setup!$C$31),"")</f>
        <v/>
      </c>
      <c r="N390" s="32" t="str">
        <f>IF(AND(ISNUMBER(Roster!$B390),Setup!$B$32="Yes",ISNUMBER(Setup!$C$32)),EDATE(Roster!$B390,12*Setup!$C$32),"")</f>
        <v/>
      </c>
      <c r="O390" s="32" t="str">
        <f>IF(AND(ISNUMBER(Roster!$B390),Setup!$B$33="Yes",ISNUMBER(Setup!$C$33)),EDATE(Roster!$B390,12*Setup!$C$33),"")</f>
        <v/>
      </c>
      <c r="P390" s="32" t="str">
        <f>IF(AND(ISNUMBER(Roster!$B390),Setup!$B$34="Yes",ISNUMBER(Setup!$C$34)),EDATE(Roster!$B390,12*Setup!$C$34),"")</f>
        <v/>
      </c>
      <c r="R390" t="str">
        <f>IF(B390="","",IF(B390&lt;Setup!$C$5-Setup!$C$6,"",IF(IF(ISNUMBER(Roster!$D390),Setup!$C$20&lt;=Roster!$D390,FALSE),"",IF(OR(IF(Setup!$C$15&lt;=Setup!$C$16,AND(MONTH(B390)&gt;=Setup!$C$15,MONTH(B390)&lt;=Setup!$C$16),OR(MONTH(B390)&gt;=Setup!$C$15,MONTH(B390)&lt;=Setup!$C$16)),IF(Setup!$C$15&lt;=Setup!$C$16,AND(MONTH(WORKDAY(B390,-(Setup!$C$13+Setup!$G$20),Setup!$C$39:$C$50))&gt;=Setup!$C$15,MONTH(WORKDAY(B390,-(Setup!$C$13+Setup!$G$20),Setup!$C$39:$C$50))&lt;=Setup!$C$16),OR(MONTH(WORKDAY(B390,-(Setup!$C$13+Setup!$G$20),Setup!$C$39:$C$50))&gt;=Setup!$C$15,MONTH(WORKDAY(B390,-(Setup!$C$13+Setup!$G$20),Setup!$C$39:$C$50))&lt;=Setup!$C$16))),WORKDAY(B390,-(Setup!$C$13+Setup!$G$20+Setup!$C$14),Setup!$C$39:$C$50),WORKDAY(B390,-(Setup!$C$13+Setup!$G$20),Setup!$C$39:$C$50))+(385*100+1)/10000000)))</f>
        <v/>
      </c>
      <c r="S390" t="str">
        <f>IF(C390="","",IF(C390&lt;Setup!$C$5-Setup!$C$6,"",IF(IF(ISNUMBER(Roster!$D390),Setup!$C$21&lt;=Roster!$D390,FALSE),"",IF(OR(IF(Setup!$C$15&lt;=Setup!$C$16,AND(MONTH(C390)&gt;=Setup!$C$15,MONTH(C390)&lt;=Setup!$C$16),OR(MONTH(C390)&gt;=Setup!$C$15,MONTH(C390)&lt;=Setup!$C$16)),IF(Setup!$C$15&lt;=Setup!$C$16,AND(MONTH(WORKDAY(C390,-(Setup!$C$13+Setup!$G$21),Setup!$C$39:$C$50))&gt;=Setup!$C$15,MONTH(WORKDAY(C390,-(Setup!$C$13+Setup!$G$21),Setup!$C$39:$C$50))&lt;=Setup!$C$16),OR(MONTH(WORKDAY(C390,-(Setup!$C$13+Setup!$G$21),Setup!$C$39:$C$50))&gt;=Setup!$C$15,MONTH(WORKDAY(C390,-(Setup!$C$13+Setup!$G$21),Setup!$C$39:$C$50))&lt;=Setup!$C$16))),WORKDAY(C390,-(Setup!$C$13+Setup!$G$21+Setup!$C$14),Setup!$C$39:$C$50),WORKDAY(C390,-(Setup!$C$13+Setup!$G$21),Setup!$C$39:$C$50))+(385*100+2)/10000000)))</f>
        <v/>
      </c>
      <c r="T390" t="str">
        <f>IF(D390="","",IF(D390&lt;Setup!$C$5-Setup!$C$6,"",IF(IF(ISNUMBER(Roster!$D390),Setup!$C$22&lt;=Roster!$D390,FALSE),"",IF(OR(IF(Setup!$C$15&lt;=Setup!$C$16,AND(MONTH(D390)&gt;=Setup!$C$15,MONTH(D390)&lt;=Setup!$C$16),OR(MONTH(D390)&gt;=Setup!$C$15,MONTH(D390)&lt;=Setup!$C$16)),IF(Setup!$C$15&lt;=Setup!$C$16,AND(MONTH(WORKDAY(D390,-(Setup!$C$13+Setup!$G$22),Setup!$C$39:$C$50))&gt;=Setup!$C$15,MONTH(WORKDAY(D390,-(Setup!$C$13+Setup!$G$22),Setup!$C$39:$C$50))&lt;=Setup!$C$16),OR(MONTH(WORKDAY(D390,-(Setup!$C$13+Setup!$G$22),Setup!$C$39:$C$50))&gt;=Setup!$C$15,MONTH(WORKDAY(D390,-(Setup!$C$13+Setup!$G$22),Setup!$C$39:$C$50))&lt;=Setup!$C$16))),WORKDAY(D390,-(Setup!$C$13+Setup!$G$22+Setup!$C$14),Setup!$C$39:$C$50),WORKDAY(D390,-(Setup!$C$13+Setup!$G$22),Setup!$C$39:$C$50))+(385*100+3)/10000000)))</f>
        <v/>
      </c>
      <c r="U390" t="str">
        <f>IF(E390="","",IF(E390&lt;Setup!$C$5-Setup!$C$6,"",IF(IF(ISNUMBER(Roster!$D390),Setup!$C$23&lt;=Roster!$D390,FALSE),"",IF(OR(IF(Setup!$C$15&lt;=Setup!$C$16,AND(MONTH(E390)&gt;=Setup!$C$15,MONTH(E390)&lt;=Setup!$C$16),OR(MONTH(E390)&gt;=Setup!$C$15,MONTH(E390)&lt;=Setup!$C$16)),IF(Setup!$C$15&lt;=Setup!$C$16,AND(MONTH(WORKDAY(E390,-(Setup!$C$13+Setup!$G$23),Setup!$C$39:$C$50))&gt;=Setup!$C$15,MONTH(WORKDAY(E390,-(Setup!$C$13+Setup!$G$23),Setup!$C$39:$C$50))&lt;=Setup!$C$16),OR(MONTH(WORKDAY(E390,-(Setup!$C$13+Setup!$G$23),Setup!$C$39:$C$50))&gt;=Setup!$C$15,MONTH(WORKDAY(E390,-(Setup!$C$13+Setup!$G$23),Setup!$C$39:$C$50))&lt;=Setup!$C$16))),WORKDAY(E390,-(Setup!$C$13+Setup!$G$23+Setup!$C$14),Setup!$C$39:$C$50),WORKDAY(E390,-(Setup!$C$13+Setup!$G$23),Setup!$C$39:$C$50))+(385*100+4)/10000000)))</f>
        <v/>
      </c>
      <c r="V390" t="str">
        <f>IF(F390="","",IF(F390&lt;Setup!$C$5-Setup!$C$6,"",IF(IF(ISNUMBER(Roster!$D390),Setup!$C$24&lt;=Roster!$D390,FALSE),"",IF(OR(IF(Setup!$C$15&lt;=Setup!$C$16,AND(MONTH(F390)&gt;=Setup!$C$15,MONTH(F390)&lt;=Setup!$C$16),OR(MONTH(F390)&gt;=Setup!$C$15,MONTH(F390)&lt;=Setup!$C$16)),IF(Setup!$C$15&lt;=Setup!$C$16,AND(MONTH(WORKDAY(F390,-(Setup!$C$13+Setup!$G$24),Setup!$C$39:$C$50))&gt;=Setup!$C$15,MONTH(WORKDAY(F390,-(Setup!$C$13+Setup!$G$24),Setup!$C$39:$C$50))&lt;=Setup!$C$16),OR(MONTH(WORKDAY(F390,-(Setup!$C$13+Setup!$G$24),Setup!$C$39:$C$50))&gt;=Setup!$C$15,MONTH(WORKDAY(F390,-(Setup!$C$13+Setup!$G$24),Setup!$C$39:$C$50))&lt;=Setup!$C$16))),WORKDAY(F390,-(Setup!$C$13+Setup!$G$24+Setup!$C$14),Setup!$C$39:$C$50),WORKDAY(F390,-(Setup!$C$13+Setup!$G$24),Setup!$C$39:$C$50))+(385*100+5)/10000000)))</f>
        <v/>
      </c>
      <c r="W390" t="str">
        <f>IF(G390="","",IF(G390&lt;Setup!$C$5-Setup!$C$6,"",IF(IF(ISNUMBER(Roster!$D390),Setup!$C$25&lt;=Roster!$D390,FALSE),"",IF(OR(IF(Setup!$C$15&lt;=Setup!$C$16,AND(MONTH(G390)&gt;=Setup!$C$15,MONTH(G390)&lt;=Setup!$C$16),OR(MONTH(G390)&gt;=Setup!$C$15,MONTH(G390)&lt;=Setup!$C$16)),IF(Setup!$C$15&lt;=Setup!$C$16,AND(MONTH(WORKDAY(G390,-(Setup!$C$13+Setup!$G$25),Setup!$C$39:$C$50))&gt;=Setup!$C$15,MONTH(WORKDAY(G390,-(Setup!$C$13+Setup!$G$25),Setup!$C$39:$C$50))&lt;=Setup!$C$16),OR(MONTH(WORKDAY(G390,-(Setup!$C$13+Setup!$G$25),Setup!$C$39:$C$50))&gt;=Setup!$C$15,MONTH(WORKDAY(G390,-(Setup!$C$13+Setup!$G$25),Setup!$C$39:$C$50))&lt;=Setup!$C$16))),WORKDAY(G390,-(Setup!$C$13+Setup!$G$25+Setup!$C$14),Setup!$C$39:$C$50),WORKDAY(G390,-(Setup!$C$13+Setup!$G$25),Setup!$C$39:$C$50))+(385*100+6)/10000000)))</f>
        <v/>
      </c>
      <c r="X390" t="str">
        <f>IF(H390="","",IF(H390&lt;Setup!$C$5-Setup!$C$6,"",IF(IF(ISNUMBER(Roster!$D390),Setup!$C$26&lt;=Roster!$D390,FALSE),"",IF(OR(IF(Setup!$C$15&lt;=Setup!$C$16,AND(MONTH(H390)&gt;=Setup!$C$15,MONTH(H390)&lt;=Setup!$C$16),OR(MONTH(H390)&gt;=Setup!$C$15,MONTH(H390)&lt;=Setup!$C$16)),IF(Setup!$C$15&lt;=Setup!$C$16,AND(MONTH(WORKDAY(H390,-(Setup!$C$13+Setup!$G$26),Setup!$C$39:$C$50))&gt;=Setup!$C$15,MONTH(WORKDAY(H390,-(Setup!$C$13+Setup!$G$26),Setup!$C$39:$C$50))&lt;=Setup!$C$16),OR(MONTH(WORKDAY(H390,-(Setup!$C$13+Setup!$G$26),Setup!$C$39:$C$50))&gt;=Setup!$C$15,MONTH(WORKDAY(H390,-(Setup!$C$13+Setup!$G$26),Setup!$C$39:$C$50))&lt;=Setup!$C$16))),WORKDAY(H390,-(Setup!$C$13+Setup!$G$26+Setup!$C$14),Setup!$C$39:$C$50),WORKDAY(H390,-(Setup!$C$13+Setup!$G$26),Setup!$C$39:$C$50))+(385*100+7)/10000000)))</f>
        <v/>
      </c>
      <c r="Y390" t="str">
        <f>IF(I390="","",IF(I390&lt;Setup!$C$5-Setup!$C$6,"",IF(IF(ISNUMBER(Roster!$D390),Setup!$C$27&lt;=Roster!$D390,FALSE),"",IF(OR(IF(Setup!$C$15&lt;=Setup!$C$16,AND(MONTH(I390)&gt;=Setup!$C$15,MONTH(I390)&lt;=Setup!$C$16),OR(MONTH(I390)&gt;=Setup!$C$15,MONTH(I390)&lt;=Setup!$C$16)),IF(Setup!$C$15&lt;=Setup!$C$16,AND(MONTH(WORKDAY(I390,-(Setup!$C$13+Setup!$G$27),Setup!$C$39:$C$50))&gt;=Setup!$C$15,MONTH(WORKDAY(I390,-(Setup!$C$13+Setup!$G$27),Setup!$C$39:$C$50))&lt;=Setup!$C$16),OR(MONTH(WORKDAY(I390,-(Setup!$C$13+Setup!$G$27),Setup!$C$39:$C$50))&gt;=Setup!$C$15,MONTH(WORKDAY(I390,-(Setup!$C$13+Setup!$G$27),Setup!$C$39:$C$50))&lt;=Setup!$C$16))),WORKDAY(I390,-(Setup!$C$13+Setup!$G$27+Setup!$C$14),Setup!$C$39:$C$50),WORKDAY(I390,-(Setup!$C$13+Setup!$G$27),Setup!$C$39:$C$50))+(385*100+8)/10000000)))</f>
        <v/>
      </c>
      <c r="Z390" t="str">
        <f>IF(J390="","",IF(J390&lt;Setup!$C$5-Setup!$C$6,"",IF(IF(ISNUMBER(Roster!$D390),Setup!$C$28&lt;=Roster!$D390,FALSE),"",IF(OR(IF(Setup!$C$15&lt;=Setup!$C$16,AND(MONTH(J390)&gt;=Setup!$C$15,MONTH(J390)&lt;=Setup!$C$16),OR(MONTH(J390)&gt;=Setup!$C$15,MONTH(J390)&lt;=Setup!$C$16)),IF(Setup!$C$15&lt;=Setup!$C$16,AND(MONTH(WORKDAY(J390,-(Setup!$C$13+Setup!$G$28),Setup!$C$39:$C$50))&gt;=Setup!$C$15,MONTH(WORKDAY(J390,-(Setup!$C$13+Setup!$G$28),Setup!$C$39:$C$50))&lt;=Setup!$C$16),OR(MONTH(WORKDAY(J390,-(Setup!$C$13+Setup!$G$28),Setup!$C$39:$C$50))&gt;=Setup!$C$15,MONTH(WORKDAY(J390,-(Setup!$C$13+Setup!$G$28),Setup!$C$39:$C$50))&lt;=Setup!$C$16))),WORKDAY(J390,-(Setup!$C$13+Setup!$G$28+Setup!$C$14),Setup!$C$39:$C$50),WORKDAY(J390,-(Setup!$C$13+Setup!$G$28),Setup!$C$39:$C$50))+(385*100+9)/10000000)))</f>
        <v/>
      </c>
      <c r="AA390" t="str">
        <f>IF(K390="","",IF(K390&lt;Setup!$C$5-Setup!$C$6,"",IF(IF(ISNUMBER(Roster!$D390),Setup!$C$29&lt;=Roster!$D390,FALSE),"",IF(OR(IF(Setup!$C$15&lt;=Setup!$C$16,AND(MONTH(K390)&gt;=Setup!$C$15,MONTH(K390)&lt;=Setup!$C$16),OR(MONTH(K390)&gt;=Setup!$C$15,MONTH(K390)&lt;=Setup!$C$16)),IF(Setup!$C$15&lt;=Setup!$C$16,AND(MONTH(WORKDAY(K390,-(Setup!$C$13+Setup!$G$29),Setup!$C$39:$C$50))&gt;=Setup!$C$15,MONTH(WORKDAY(K390,-(Setup!$C$13+Setup!$G$29),Setup!$C$39:$C$50))&lt;=Setup!$C$16),OR(MONTH(WORKDAY(K390,-(Setup!$C$13+Setup!$G$29),Setup!$C$39:$C$50))&gt;=Setup!$C$15,MONTH(WORKDAY(K390,-(Setup!$C$13+Setup!$G$29),Setup!$C$39:$C$50))&lt;=Setup!$C$16))),WORKDAY(K390,-(Setup!$C$13+Setup!$G$29+Setup!$C$14),Setup!$C$39:$C$50),WORKDAY(K390,-(Setup!$C$13+Setup!$G$29),Setup!$C$39:$C$50))+(385*100+10)/10000000)))</f>
        <v/>
      </c>
      <c r="AB390" t="str">
        <f>IF(L390="","",IF(L390&lt;Setup!$C$5-Setup!$C$6,"",IF(IF(ISNUMBER(Roster!$D390),Setup!$C$30&lt;=Roster!$D390,FALSE),"",IF(OR(IF(Setup!$C$15&lt;=Setup!$C$16,AND(MONTH(L390)&gt;=Setup!$C$15,MONTH(L390)&lt;=Setup!$C$16),OR(MONTH(L390)&gt;=Setup!$C$15,MONTH(L390)&lt;=Setup!$C$16)),IF(Setup!$C$15&lt;=Setup!$C$16,AND(MONTH(WORKDAY(L390,-(Setup!$C$13+Setup!$G$30),Setup!$C$39:$C$50))&gt;=Setup!$C$15,MONTH(WORKDAY(L390,-(Setup!$C$13+Setup!$G$30),Setup!$C$39:$C$50))&lt;=Setup!$C$16),OR(MONTH(WORKDAY(L390,-(Setup!$C$13+Setup!$G$30),Setup!$C$39:$C$50))&gt;=Setup!$C$15,MONTH(WORKDAY(L390,-(Setup!$C$13+Setup!$G$30),Setup!$C$39:$C$50))&lt;=Setup!$C$16))),WORKDAY(L390,-(Setup!$C$13+Setup!$G$30+Setup!$C$14),Setup!$C$39:$C$50),WORKDAY(L390,-(Setup!$C$13+Setup!$G$30),Setup!$C$39:$C$50))+(385*100+11)/10000000)))</f>
        <v/>
      </c>
      <c r="AC390" t="str">
        <f>IF(M390="","",IF(M390&lt;Setup!$C$5-Setup!$C$6,"",IF(IF(ISNUMBER(Roster!$D390),Setup!$C$31&lt;=Roster!$D390,FALSE),"",IF(OR(IF(Setup!$C$15&lt;=Setup!$C$16,AND(MONTH(M390)&gt;=Setup!$C$15,MONTH(M390)&lt;=Setup!$C$16),OR(MONTH(M390)&gt;=Setup!$C$15,MONTH(M390)&lt;=Setup!$C$16)),IF(Setup!$C$15&lt;=Setup!$C$16,AND(MONTH(WORKDAY(M390,-(Setup!$C$13+Setup!$G$31),Setup!$C$39:$C$50))&gt;=Setup!$C$15,MONTH(WORKDAY(M390,-(Setup!$C$13+Setup!$G$31),Setup!$C$39:$C$50))&lt;=Setup!$C$16),OR(MONTH(WORKDAY(M390,-(Setup!$C$13+Setup!$G$31),Setup!$C$39:$C$50))&gt;=Setup!$C$15,MONTH(WORKDAY(M390,-(Setup!$C$13+Setup!$G$31),Setup!$C$39:$C$50))&lt;=Setup!$C$16))),WORKDAY(M390,-(Setup!$C$13+Setup!$G$31+Setup!$C$14),Setup!$C$39:$C$50),WORKDAY(M390,-(Setup!$C$13+Setup!$G$31),Setup!$C$39:$C$50))+(385*100+12)/10000000)))</f>
        <v/>
      </c>
      <c r="AD390" t="str">
        <f>IF(N390="","",IF(N390&lt;Setup!$C$5-Setup!$C$6,"",IF(IF(ISNUMBER(Roster!$D390),Setup!$C$32&lt;=Roster!$D390,FALSE),"",IF(OR(IF(Setup!$C$15&lt;=Setup!$C$16,AND(MONTH(N390)&gt;=Setup!$C$15,MONTH(N390)&lt;=Setup!$C$16),OR(MONTH(N390)&gt;=Setup!$C$15,MONTH(N390)&lt;=Setup!$C$16)),IF(Setup!$C$15&lt;=Setup!$C$16,AND(MONTH(WORKDAY(N390,-(Setup!$C$13+Setup!$G$32),Setup!$C$39:$C$50))&gt;=Setup!$C$15,MONTH(WORKDAY(N390,-(Setup!$C$13+Setup!$G$32),Setup!$C$39:$C$50))&lt;=Setup!$C$16),OR(MONTH(WORKDAY(N390,-(Setup!$C$13+Setup!$G$32),Setup!$C$39:$C$50))&gt;=Setup!$C$15,MONTH(WORKDAY(N390,-(Setup!$C$13+Setup!$G$32),Setup!$C$39:$C$50))&lt;=Setup!$C$16))),WORKDAY(N390,-(Setup!$C$13+Setup!$G$32+Setup!$C$14),Setup!$C$39:$C$50),WORKDAY(N390,-(Setup!$C$13+Setup!$G$32),Setup!$C$39:$C$50))+(385*100+13)/10000000)))</f>
        <v/>
      </c>
      <c r="AE390" t="str">
        <f>IF(O390="","",IF(O390&lt;Setup!$C$5-Setup!$C$6,"",IF(IF(ISNUMBER(Roster!$D390),Setup!$C$33&lt;=Roster!$D390,FALSE),"",IF(OR(IF(Setup!$C$15&lt;=Setup!$C$16,AND(MONTH(O390)&gt;=Setup!$C$15,MONTH(O390)&lt;=Setup!$C$16),OR(MONTH(O390)&gt;=Setup!$C$15,MONTH(O390)&lt;=Setup!$C$16)),IF(Setup!$C$15&lt;=Setup!$C$16,AND(MONTH(WORKDAY(O390,-(Setup!$C$13+Setup!$G$33),Setup!$C$39:$C$50))&gt;=Setup!$C$15,MONTH(WORKDAY(O390,-(Setup!$C$13+Setup!$G$33),Setup!$C$39:$C$50))&lt;=Setup!$C$16),OR(MONTH(WORKDAY(O390,-(Setup!$C$13+Setup!$G$33),Setup!$C$39:$C$50))&gt;=Setup!$C$15,MONTH(WORKDAY(O390,-(Setup!$C$13+Setup!$G$33),Setup!$C$39:$C$50))&lt;=Setup!$C$16))),WORKDAY(O390,-(Setup!$C$13+Setup!$G$33+Setup!$C$14),Setup!$C$39:$C$50),WORKDAY(O390,-(Setup!$C$13+Setup!$G$33),Setup!$C$39:$C$50))+(385*100+14)/10000000)))</f>
        <v/>
      </c>
      <c r="AF390" t="str">
        <f>IF(P390="","",IF(P390&lt;Setup!$C$5-Setup!$C$6,"",IF(IF(ISNUMBER(Roster!$D390),Setup!$C$34&lt;=Roster!$D390,FALSE),"",IF(OR(IF(Setup!$C$15&lt;=Setup!$C$16,AND(MONTH(P390)&gt;=Setup!$C$15,MONTH(P390)&lt;=Setup!$C$16),OR(MONTH(P390)&gt;=Setup!$C$15,MONTH(P390)&lt;=Setup!$C$16)),IF(Setup!$C$15&lt;=Setup!$C$16,AND(MONTH(WORKDAY(P390,-(Setup!$C$13+Setup!$G$34),Setup!$C$39:$C$50))&gt;=Setup!$C$15,MONTH(WORKDAY(P390,-(Setup!$C$13+Setup!$G$34),Setup!$C$39:$C$50))&lt;=Setup!$C$16),OR(MONTH(WORKDAY(P390,-(Setup!$C$13+Setup!$G$34),Setup!$C$39:$C$50))&gt;=Setup!$C$15,MONTH(WORKDAY(P390,-(Setup!$C$13+Setup!$G$34),Setup!$C$39:$C$50))&lt;=Setup!$C$16))),WORKDAY(P390,-(Setup!$C$13+Setup!$G$34+Setup!$C$14),Setup!$C$39:$C$50),WORKDAY(P390,-(Setup!$C$13+Setup!$G$34),Setup!$C$39:$C$50))+(385*100+15)/10000000)))</f>
        <v/>
      </c>
      <c r="AH390" t="str">
        <f t="shared" ref="AH390:AH453" si="46">IF(COUNT(R390:AF390)=0,"",MIN(R390:AF390))</f>
        <v/>
      </c>
      <c r="AI390" t="str">
        <f t="shared" ref="AI390:AI453" si="47">IF(AH390="","",MOD(ROUND((AH390-INT(AH390))*10000000,0),100))</f>
        <v/>
      </c>
      <c r="AP390" t="str">
        <f>IF(ISNUMBER(Roster!$B390),MAX(1,YEAR(Setup!$C$5)-YEAR(Roster!$B390)+IF(EDATE(Roster!$B390,12*(YEAR(Setup!$C$5)-YEAR(Roster!$B390)))&lt;Setup!$C$5,1,0)),"")</f>
        <v/>
      </c>
      <c r="AQ390" s="32" t="str">
        <f>IF(AP390="","",EDATE(Roster!$B390,12*AP390))</f>
        <v/>
      </c>
      <c r="AR390" t="str">
        <f>IF(AQ390="","",IF(AQ390&lt;DATE(YEAR(Setup!$C$5)+1,MONTH(Setup!$C$5),DAY(Setup!$C$5)),AQ390+385/1000,""))</f>
        <v/>
      </c>
      <c r="AS390" t="str">
        <f t="shared" ref="AS390:AS453" si="48">IF(AR390="","",IFERROR(MATCH(AP390,$AY$20:$AY$34,0),""))</f>
        <v/>
      </c>
      <c r="AT390" t="str">
        <f>IF(AS390="","",IF(ISNUMBER(Roster!$D390),Roster!$D390&gt;=AP390,FALSE))</f>
        <v/>
      </c>
      <c r="AU390" t="str">
        <f t="shared" ref="AU390:AU453" si="49">IF(AS390="","",IF(AT390,"",INT(INDEX($R390:$AF390,1,AS390))))</f>
        <v/>
      </c>
      <c r="AV390" t="str">
        <f ca="1">IF(385&gt;$AV$2,"",SMALL($AR$6:$AR$505,385))</f>
        <v/>
      </c>
      <c r="AW390" t="str">
        <f t="shared" ref="AW390:AW453" ca="1" si="50">IF(AV390="","",ROUND((AV390-INT(AV390))*1000,0))</f>
        <v/>
      </c>
    </row>
    <row r="391" spans="2:49" x14ac:dyDescent="0.2">
      <c r="B391" s="32" t="str">
        <f>IF(AND(ISNUMBER(Roster!$B391),Setup!$B$20="Yes",ISNUMBER(Setup!$C$20)),EDATE(Roster!$B391,12*Setup!$C$20),"")</f>
        <v/>
      </c>
      <c r="C391" s="32" t="str">
        <f>IF(AND(ISNUMBER(Roster!$B391),Setup!$B$21="Yes",ISNUMBER(Setup!$C$21)),EDATE(Roster!$B391,12*Setup!$C$21),"")</f>
        <v/>
      </c>
      <c r="D391" s="32" t="str">
        <f>IF(AND(ISNUMBER(Roster!$B391),Setup!$B$22="Yes",ISNUMBER(Setup!$C$22)),EDATE(Roster!$B391,12*Setup!$C$22),"")</f>
        <v/>
      </c>
      <c r="E391" s="32" t="str">
        <f>IF(AND(ISNUMBER(Roster!$B391),Setup!$B$23="Yes",ISNUMBER(Setup!$C$23)),EDATE(Roster!$B391,12*Setup!$C$23),"")</f>
        <v/>
      </c>
      <c r="F391" s="32" t="str">
        <f>IF(AND(ISNUMBER(Roster!$B391),Setup!$B$24="Yes",ISNUMBER(Setup!$C$24)),EDATE(Roster!$B391,12*Setup!$C$24),"")</f>
        <v/>
      </c>
      <c r="G391" s="32" t="str">
        <f>IF(AND(ISNUMBER(Roster!$B391),Setup!$B$25="Yes",ISNUMBER(Setup!$C$25)),EDATE(Roster!$B391,12*Setup!$C$25),"")</f>
        <v/>
      </c>
      <c r="H391" s="32" t="str">
        <f>IF(AND(ISNUMBER(Roster!$B391),Setup!$B$26="Yes",ISNUMBER(Setup!$C$26)),EDATE(Roster!$B391,12*Setup!$C$26),"")</f>
        <v/>
      </c>
      <c r="I391" s="32" t="str">
        <f>IF(AND(ISNUMBER(Roster!$B391),Setup!$B$27="Yes",ISNUMBER(Setup!$C$27)),EDATE(Roster!$B391,12*Setup!$C$27),"")</f>
        <v/>
      </c>
      <c r="J391" s="32" t="str">
        <f>IF(AND(ISNUMBER(Roster!$B391),Setup!$B$28="Yes",ISNUMBER(Setup!$C$28)),EDATE(Roster!$B391,12*Setup!$C$28),"")</f>
        <v/>
      </c>
      <c r="K391" s="32" t="str">
        <f>IF(AND(ISNUMBER(Roster!$B391),Setup!$B$29="Yes",ISNUMBER(Setup!$C$29)),EDATE(Roster!$B391,12*Setup!$C$29),"")</f>
        <v/>
      </c>
      <c r="L391" s="32" t="str">
        <f>IF(AND(ISNUMBER(Roster!$B391),Setup!$B$30="Yes",ISNUMBER(Setup!$C$30)),EDATE(Roster!$B391,12*Setup!$C$30),"")</f>
        <v/>
      </c>
      <c r="M391" s="32" t="str">
        <f>IF(AND(ISNUMBER(Roster!$B391),Setup!$B$31="Yes",ISNUMBER(Setup!$C$31)),EDATE(Roster!$B391,12*Setup!$C$31),"")</f>
        <v/>
      </c>
      <c r="N391" s="32" t="str">
        <f>IF(AND(ISNUMBER(Roster!$B391),Setup!$B$32="Yes",ISNUMBER(Setup!$C$32)),EDATE(Roster!$B391,12*Setup!$C$32),"")</f>
        <v/>
      </c>
      <c r="O391" s="32" t="str">
        <f>IF(AND(ISNUMBER(Roster!$B391),Setup!$B$33="Yes",ISNUMBER(Setup!$C$33)),EDATE(Roster!$B391,12*Setup!$C$33),"")</f>
        <v/>
      </c>
      <c r="P391" s="32" t="str">
        <f>IF(AND(ISNUMBER(Roster!$B391),Setup!$B$34="Yes",ISNUMBER(Setup!$C$34)),EDATE(Roster!$B391,12*Setup!$C$34),"")</f>
        <v/>
      </c>
      <c r="R391" t="str">
        <f>IF(B391="","",IF(B391&lt;Setup!$C$5-Setup!$C$6,"",IF(IF(ISNUMBER(Roster!$D391),Setup!$C$20&lt;=Roster!$D391,FALSE),"",IF(OR(IF(Setup!$C$15&lt;=Setup!$C$16,AND(MONTH(B391)&gt;=Setup!$C$15,MONTH(B391)&lt;=Setup!$C$16),OR(MONTH(B391)&gt;=Setup!$C$15,MONTH(B391)&lt;=Setup!$C$16)),IF(Setup!$C$15&lt;=Setup!$C$16,AND(MONTH(WORKDAY(B391,-(Setup!$C$13+Setup!$G$20),Setup!$C$39:$C$50))&gt;=Setup!$C$15,MONTH(WORKDAY(B391,-(Setup!$C$13+Setup!$G$20),Setup!$C$39:$C$50))&lt;=Setup!$C$16),OR(MONTH(WORKDAY(B391,-(Setup!$C$13+Setup!$G$20),Setup!$C$39:$C$50))&gt;=Setup!$C$15,MONTH(WORKDAY(B391,-(Setup!$C$13+Setup!$G$20),Setup!$C$39:$C$50))&lt;=Setup!$C$16))),WORKDAY(B391,-(Setup!$C$13+Setup!$G$20+Setup!$C$14),Setup!$C$39:$C$50),WORKDAY(B391,-(Setup!$C$13+Setup!$G$20),Setup!$C$39:$C$50))+(386*100+1)/10000000)))</f>
        <v/>
      </c>
      <c r="S391" t="str">
        <f>IF(C391="","",IF(C391&lt;Setup!$C$5-Setup!$C$6,"",IF(IF(ISNUMBER(Roster!$D391),Setup!$C$21&lt;=Roster!$D391,FALSE),"",IF(OR(IF(Setup!$C$15&lt;=Setup!$C$16,AND(MONTH(C391)&gt;=Setup!$C$15,MONTH(C391)&lt;=Setup!$C$16),OR(MONTH(C391)&gt;=Setup!$C$15,MONTH(C391)&lt;=Setup!$C$16)),IF(Setup!$C$15&lt;=Setup!$C$16,AND(MONTH(WORKDAY(C391,-(Setup!$C$13+Setup!$G$21),Setup!$C$39:$C$50))&gt;=Setup!$C$15,MONTH(WORKDAY(C391,-(Setup!$C$13+Setup!$G$21),Setup!$C$39:$C$50))&lt;=Setup!$C$16),OR(MONTH(WORKDAY(C391,-(Setup!$C$13+Setup!$G$21),Setup!$C$39:$C$50))&gt;=Setup!$C$15,MONTH(WORKDAY(C391,-(Setup!$C$13+Setup!$G$21),Setup!$C$39:$C$50))&lt;=Setup!$C$16))),WORKDAY(C391,-(Setup!$C$13+Setup!$G$21+Setup!$C$14),Setup!$C$39:$C$50),WORKDAY(C391,-(Setup!$C$13+Setup!$G$21),Setup!$C$39:$C$50))+(386*100+2)/10000000)))</f>
        <v/>
      </c>
      <c r="T391" t="str">
        <f>IF(D391="","",IF(D391&lt;Setup!$C$5-Setup!$C$6,"",IF(IF(ISNUMBER(Roster!$D391),Setup!$C$22&lt;=Roster!$D391,FALSE),"",IF(OR(IF(Setup!$C$15&lt;=Setup!$C$16,AND(MONTH(D391)&gt;=Setup!$C$15,MONTH(D391)&lt;=Setup!$C$16),OR(MONTH(D391)&gt;=Setup!$C$15,MONTH(D391)&lt;=Setup!$C$16)),IF(Setup!$C$15&lt;=Setup!$C$16,AND(MONTH(WORKDAY(D391,-(Setup!$C$13+Setup!$G$22),Setup!$C$39:$C$50))&gt;=Setup!$C$15,MONTH(WORKDAY(D391,-(Setup!$C$13+Setup!$G$22),Setup!$C$39:$C$50))&lt;=Setup!$C$16),OR(MONTH(WORKDAY(D391,-(Setup!$C$13+Setup!$G$22),Setup!$C$39:$C$50))&gt;=Setup!$C$15,MONTH(WORKDAY(D391,-(Setup!$C$13+Setup!$G$22),Setup!$C$39:$C$50))&lt;=Setup!$C$16))),WORKDAY(D391,-(Setup!$C$13+Setup!$G$22+Setup!$C$14),Setup!$C$39:$C$50),WORKDAY(D391,-(Setup!$C$13+Setup!$G$22),Setup!$C$39:$C$50))+(386*100+3)/10000000)))</f>
        <v/>
      </c>
      <c r="U391" t="str">
        <f>IF(E391="","",IF(E391&lt;Setup!$C$5-Setup!$C$6,"",IF(IF(ISNUMBER(Roster!$D391),Setup!$C$23&lt;=Roster!$D391,FALSE),"",IF(OR(IF(Setup!$C$15&lt;=Setup!$C$16,AND(MONTH(E391)&gt;=Setup!$C$15,MONTH(E391)&lt;=Setup!$C$16),OR(MONTH(E391)&gt;=Setup!$C$15,MONTH(E391)&lt;=Setup!$C$16)),IF(Setup!$C$15&lt;=Setup!$C$16,AND(MONTH(WORKDAY(E391,-(Setup!$C$13+Setup!$G$23),Setup!$C$39:$C$50))&gt;=Setup!$C$15,MONTH(WORKDAY(E391,-(Setup!$C$13+Setup!$G$23),Setup!$C$39:$C$50))&lt;=Setup!$C$16),OR(MONTH(WORKDAY(E391,-(Setup!$C$13+Setup!$G$23),Setup!$C$39:$C$50))&gt;=Setup!$C$15,MONTH(WORKDAY(E391,-(Setup!$C$13+Setup!$G$23),Setup!$C$39:$C$50))&lt;=Setup!$C$16))),WORKDAY(E391,-(Setup!$C$13+Setup!$G$23+Setup!$C$14),Setup!$C$39:$C$50),WORKDAY(E391,-(Setup!$C$13+Setup!$G$23),Setup!$C$39:$C$50))+(386*100+4)/10000000)))</f>
        <v/>
      </c>
      <c r="V391" t="str">
        <f>IF(F391="","",IF(F391&lt;Setup!$C$5-Setup!$C$6,"",IF(IF(ISNUMBER(Roster!$D391),Setup!$C$24&lt;=Roster!$D391,FALSE),"",IF(OR(IF(Setup!$C$15&lt;=Setup!$C$16,AND(MONTH(F391)&gt;=Setup!$C$15,MONTH(F391)&lt;=Setup!$C$16),OR(MONTH(F391)&gt;=Setup!$C$15,MONTH(F391)&lt;=Setup!$C$16)),IF(Setup!$C$15&lt;=Setup!$C$16,AND(MONTH(WORKDAY(F391,-(Setup!$C$13+Setup!$G$24),Setup!$C$39:$C$50))&gt;=Setup!$C$15,MONTH(WORKDAY(F391,-(Setup!$C$13+Setup!$G$24),Setup!$C$39:$C$50))&lt;=Setup!$C$16),OR(MONTH(WORKDAY(F391,-(Setup!$C$13+Setup!$G$24),Setup!$C$39:$C$50))&gt;=Setup!$C$15,MONTH(WORKDAY(F391,-(Setup!$C$13+Setup!$G$24),Setup!$C$39:$C$50))&lt;=Setup!$C$16))),WORKDAY(F391,-(Setup!$C$13+Setup!$G$24+Setup!$C$14),Setup!$C$39:$C$50),WORKDAY(F391,-(Setup!$C$13+Setup!$G$24),Setup!$C$39:$C$50))+(386*100+5)/10000000)))</f>
        <v/>
      </c>
      <c r="W391" t="str">
        <f>IF(G391="","",IF(G391&lt;Setup!$C$5-Setup!$C$6,"",IF(IF(ISNUMBER(Roster!$D391),Setup!$C$25&lt;=Roster!$D391,FALSE),"",IF(OR(IF(Setup!$C$15&lt;=Setup!$C$16,AND(MONTH(G391)&gt;=Setup!$C$15,MONTH(G391)&lt;=Setup!$C$16),OR(MONTH(G391)&gt;=Setup!$C$15,MONTH(G391)&lt;=Setup!$C$16)),IF(Setup!$C$15&lt;=Setup!$C$16,AND(MONTH(WORKDAY(G391,-(Setup!$C$13+Setup!$G$25),Setup!$C$39:$C$50))&gt;=Setup!$C$15,MONTH(WORKDAY(G391,-(Setup!$C$13+Setup!$G$25),Setup!$C$39:$C$50))&lt;=Setup!$C$16),OR(MONTH(WORKDAY(G391,-(Setup!$C$13+Setup!$G$25),Setup!$C$39:$C$50))&gt;=Setup!$C$15,MONTH(WORKDAY(G391,-(Setup!$C$13+Setup!$G$25),Setup!$C$39:$C$50))&lt;=Setup!$C$16))),WORKDAY(G391,-(Setup!$C$13+Setup!$G$25+Setup!$C$14),Setup!$C$39:$C$50),WORKDAY(G391,-(Setup!$C$13+Setup!$G$25),Setup!$C$39:$C$50))+(386*100+6)/10000000)))</f>
        <v/>
      </c>
      <c r="X391" t="str">
        <f>IF(H391="","",IF(H391&lt;Setup!$C$5-Setup!$C$6,"",IF(IF(ISNUMBER(Roster!$D391),Setup!$C$26&lt;=Roster!$D391,FALSE),"",IF(OR(IF(Setup!$C$15&lt;=Setup!$C$16,AND(MONTH(H391)&gt;=Setup!$C$15,MONTH(H391)&lt;=Setup!$C$16),OR(MONTH(H391)&gt;=Setup!$C$15,MONTH(H391)&lt;=Setup!$C$16)),IF(Setup!$C$15&lt;=Setup!$C$16,AND(MONTH(WORKDAY(H391,-(Setup!$C$13+Setup!$G$26),Setup!$C$39:$C$50))&gt;=Setup!$C$15,MONTH(WORKDAY(H391,-(Setup!$C$13+Setup!$G$26),Setup!$C$39:$C$50))&lt;=Setup!$C$16),OR(MONTH(WORKDAY(H391,-(Setup!$C$13+Setup!$G$26),Setup!$C$39:$C$50))&gt;=Setup!$C$15,MONTH(WORKDAY(H391,-(Setup!$C$13+Setup!$G$26),Setup!$C$39:$C$50))&lt;=Setup!$C$16))),WORKDAY(H391,-(Setup!$C$13+Setup!$G$26+Setup!$C$14),Setup!$C$39:$C$50),WORKDAY(H391,-(Setup!$C$13+Setup!$G$26),Setup!$C$39:$C$50))+(386*100+7)/10000000)))</f>
        <v/>
      </c>
      <c r="Y391" t="str">
        <f>IF(I391="","",IF(I391&lt;Setup!$C$5-Setup!$C$6,"",IF(IF(ISNUMBER(Roster!$D391),Setup!$C$27&lt;=Roster!$D391,FALSE),"",IF(OR(IF(Setup!$C$15&lt;=Setup!$C$16,AND(MONTH(I391)&gt;=Setup!$C$15,MONTH(I391)&lt;=Setup!$C$16),OR(MONTH(I391)&gt;=Setup!$C$15,MONTH(I391)&lt;=Setup!$C$16)),IF(Setup!$C$15&lt;=Setup!$C$16,AND(MONTH(WORKDAY(I391,-(Setup!$C$13+Setup!$G$27),Setup!$C$39:$C$50))&gt;=Setup!$C$15,MONTH(WORKDAY(I391,-(Setup!$C$13+Setup!$G$27),Setup!$C$39:$C$50))&lt;=Setup!$C$16),OR(MONTH(WORKDAY(I391,-(Setup!$C$13+Setup!$G$27),Setup!$C$39:$C$50))&gt;=Setup!$C$15,MONTH(WORKDAY(I391,-(Setup!$C$13+Setup!$G$27),Setup!$C$39:$C$50))&lt;=Setup!$C$16))),WORKDAY(I391,-(Setup!$C$13+Setup!$G$27+Setup!$C$14),Setup!$C$39:$C$50),WORKDAY(I391,-(Setup!$C$13+Setup!$G$27),Setup!$C$39:$C$50))+(386*100+8)/10000000)))</f>
        <v/>
      </c>
      <c r="Z391" t="str">
        <f>IF(J391="","",IF(J391&lt;Setup!$C$5-Setup!$C$6,"",IF(IF(ISNUMBER(Roster!$D391),Setup!$C$28&lt;=Roster!$D391,FALSE),"",IF(OR(IF(Setup!$C$15&lt;=Setup!$C$16,AND(MONTH(J391)&gt;=Setup!$C$15,MONTH(J391)&lt;=Setup!$C$16),OR(MONTH(J391)&gt;=Setup!$C$15,MONTH(J391)&lt;=Setup!$C$16)),IF(Setup!$C$15&lt;=Setup!$C$16,AND(MONTH(WORKDAY(J391,-(Setup!$C$13+Setup!$G$28),Setup!$C$39:$C$50))&gt;=Setup!$C$15,MONTH(WORKDAY(J391,-(Setup!$C$13+Setup!$G$28),Setup!$C$39:$C$50))&lt;=Setup!$C$16),OR(MONTH(WORKDAY(J391,-(Setup!$C$13+Setup!$G$28),Setup!$C$39:$C$50))&gt;=Setup!$C$15,MONTH(WORKDAY(J391,-(Setup!$C$13+Setup!$G$28),Setup!$C$39:$C$50))&lt;=Setup!$C$16))),WORKDAY(J391,-(Setup!$C$13+Setup!$G$28+Setup!$C$14),Setup!$C$39:$C$50),WORKDAY(J391,-(Setup!$C$13+Setup!$G$28),Setup!$C$39:$C$50))+(386*100+9)/10000000)))</f>
        <v/>
      </c>
      <c r="AA391" t="str">
        <f>IF(K391="","",IF(K391&lt;Setup!$C$5-Setup!$C$6,"",IF(IF(ISNUMBER(Roster!$D391),Setup!$C$29&lt;=Roster!$D391,FALSE),"",IF(OR(IF(Setup!$C$15&lt;=Setup!$C$16,AND(MONTH(K391)&gt;=Setup!$C$15,MONTH(K391)&lt;=Setup!$C$16),OR(MONTH(K391)&gt;=Setup!$C$15,MONTH(K391)&lt;=Setup!$C$16)),IF(Setup!$C$15&lt;=Setup!$C$16,AND(MONTH(WORKDAY(K391,-(Setup!$C$13+Setup!$G$29),Setup!$C$39:$C$50))&gt;=Setup!$C$15,MONTH(WORKDAY(K391,-(Setup!$C$13+Setup!$G$29),Setup!$C$39:$C$50))&lt;=Setup!$C$16),OR(MONTH(WORKDAY(K391,-(Setup!$C$13+Setup!$G$29),Setup!$C$39:$C$50))&gt;=Setup!$C$15,MONTH(WORKDAY(K391,-(Setup!$C$13+Setup!$G$29),Setup!$C$39:$C$50))&lt;=Setup!$C$16))),WORKDAY(K391,-(Setup!$C$13+Setup!$G$29+Setup!$C$14),Setup!$C$39:$C$50),WORKDAY(K391,-(Setup!$C$13+Setup!$G$29),Setup!$C$39:$C$50))+(386*100+10)/10000000)))</f>
        <v/>
      </c>
      <c r="AB391" t="str">
        <f>IF(L391="","",IF(L391&lt;Setup!$C$5-Setup!$C$6,"",IF(IF(ISNUMBER(Roster!$D391),Setup!$C$30&lt;=Roster!$D391,FALSE),"",IF(OR(IF(Setup!$C$15&lt;=Setup!$C$16,AND(MONTH(L391)&gt;=Setup!$C$15,MONTH(L391)&lt;=Setup!$C$16),OR(MONTH(L391)&gt;=Setup!$C$15,MONTH(L391)&lt;=Setup!$C$16)),IF(Setup!$C$15&lt;=Setup!$C$16,AND(MONTH(WORKDAY(L391,-(Setup!$C$13+Setup!$G$30),Setup!$C$39:$C$50))&gt;=Setup!$C$15,MONTH(WORKDAY(L391,-(Setup!$C$13+Setup!$G$30),Setup!$C$39:$C$50))&lt;=Setup!$C$16),OR(MONTH(WORKDAY(L391,-(Setup!$C$13+Setup!$G$30),Setup!$C$39:$C$50))&gt;=Setup!$C$15,MONTH(WORKDAY(L391,-(Setup!$C$13+Setup!$G$30),Setup!$C$39:$C$50))&lt;=Setup!$C$16))),WORKDAY(L391,-(Setup!$C$13+Setup!$G$30+Setup!$C$14),Setup!$C$39:$C$50),WORKDAY(L391,-(Setup!$C$13+Setup!$G$30),Setup!$C$39:$C$50))+(386*100+11)/10000000)))</f>
        <v/>
      </c>
      <c r="AC391" t="str">
        <f>IF(M391="","",IF(M391&lt;Setup!$C$5-Setup!$C$6,"",IF(IF(ISNUMBER(Roster!$D391),Setup!$C$31&lt;=Roster!$D391,FALSE),"",IF(OR(IF(Setup!$C$15&lt;=Setup!$C$16,AND(MONTH(M391)&gt;=Setup!$C$15,MONTH(M391)&lt;=Setup!$C$16),OR(MONTH(M391)&gt;=Setup!$C$15,MONTH(M391)&lt;=Setup!$C$16)),IF(Setup!$C$15&lt;=Setup!$C$16,AND(MONTH(WORKDAY(M391,-(Setup!$C$13+Setup!$G$31),Setup!$C$39:$C$50))&gt;=Setup!$C$15,MONTH(WORKDAY(M391,-(Setup!$C$13+Setup!$G$31),Setup!$C$39:$C$50))&lt;=Setup!$C$16),OR(MONTH(WORKDAY(M391,-(Setup!$C$13+Setup!$G$31),Setup!$C$39:$C$50))&gt;=Setup!$C$15,MONTH(WORKDAY(M391,-(Setup!$C$13+Setup!$G$31),Setup!$C$39:$C$50))&lt;=Setup!$C$16))),WORKDAY(M391,-(Setup!$C$13+Setup!$G$31+Setup!$C$14),Setup!$C$39:$C$50),WORKDAY(M391,-(Setup!$C$13+Setup!$G$31),Setup!$C$39:$C$50))+(386*100+12)/10000000)))</f>
        <v/>
      </c>
      <c r="AD391" t="str">
        <f>IF(N391="","",IF(N391&lt;Setup!$C$5-Setup!$C$6,"",IF(IF(ISNUMBER(Roster!$D391),Setup!$C$32&lt;=Roster!$D391,FALSE),"",IF(OR(IF(Setup!$C$15&lt;=Setup!$C$16,AND(MONTH(N391)&gt;=Setup!$C$15,MONTH(N391)&lt;=Setup!$C$16),OR(MONTH(N391)&gt;=Setup!$C$15,MONTH(N391)&lt;=Setup!$C$16)),IF(Setup!$C$15&lt;=Setup!$C$16,AND(MONTH(WORKDAY(N391,-(Setup!$C$13+Setup!$G$32),Setup!$C$39:$C$50))&gt;=Setup!$C$15,MONTH(WORKDAY(N391,-(Setup!$C$13+Setup!$G$32),Setup!$C$39:$C$50))&lt;=Setup!$C$16),OR(MONTH(WORKDAY(N391,-(Setup!$C$13+Setup!$G$32),Setup!$C$39:$C$50))&gt;=Setup!$C$15,MONTH(WORKDAY(N391,-(Setup!$C$13+Setup!$G$32),Setup!$C$39:$C$50))&lt;=Setup!$C$16))),WORKDAY(N391,-(Setup!$C$13+Setup!$G$32+Setup!$C$14),Setup!$C$39:$C$50),WORKDAY(N391,-(Setup!$C$13+Setup!$G$32),Setup!$C$39:$C$50))+(386*100+13)/10000000)))</f>
        <v/>
      </c>
      <c r="AE391" t="str">
        <f>IF(O391="","",IF(O391&lt;Setup!$C$5-Setup!$C$6,"",IF(IF(ISNUMBER(Roster!$D391),Setup!$C$33&lt;=Roster!$D391,FALSE),"",IF(OR(IF(Setup!$C$15&lt;=Setup!$C$16,AND(MONTH(O391)&gt;=Setup!$C$15,MONTH(O391)&lt;=Setup!$C$16),OR(MONTH(O391)&gt;=Setup!$C$15,MONTH(O391)&lt;=Setup!$C$16)),IF(Setup!$C$15&lt;=Setup!$C$16,AND(MONTH(WORKDAY(O391,-(Setup!$C$13+Setup!$G$33),Setup!$C$39:$C$50))&gt;=Setup!$C$15,MONTH(WORKDAY(O391,-(Setup!$C$13+Setup!$G$33),Setup!$C$39:$C$50))&lt;=Setup!$C$16),OR(MONTH(WORKDAY(O391,-(Setup!$C$13+Setup!$G$33),Setup!$C$39:$C$50))&gt;=Setup!$C$15,MONTH(WORKDAY(O391,-(Setup!$C$13+Setup!$G$33),Setup!$C$39:$C$50))&lt;=Setup!$C$16))),WORKDAY(O391,-(Setup!$C$13+Setup!$G$33+Setup!$C$14),Setup!$C$39:$C$50),WORKDAY(O391,-(Setup!$C$13+Setup!$G$33),Setup!$C$39:$C$50))+(386*100+14)/10000000)))</f>
        <v/>
      </c>
      <c r="AF391" t="str">
        <f>IF(P391="","",IF(P391&lt;Setup!$C$5-Setup!$C$6,"",IF(IF(ISNUMBER(Roster!$D391),Setup!$C$34&lt;=Roster!$D391,FALSE),"",IF(OR(IF(Setup!$C$15&lt;=Setup!$C$16,AND(MONTH(P391)&gt;=Setup!$C$15,MONTH(P391)&lt;=Setup!$C$16),OR(MONTH(P391)&gt;=Setup!$C$15,MONTH(P391)&lt;=Setup!$C$16)),IF(Setup!$C$15&lt;=Setup!$C$16,AND(MONTH(WORKDAY(P391,-(Setup!$C$13+Setup!$G$34),Setup!$C$39:$C$50))&gt;=Setup!$C$15,MONTH(WORKDAY(P391,-(Setup!$C$13+Setup!$G$34),Setup!$C$39:$C$50))&lt;=Setup!$C$16),OR(MONTH(WORKDAY(P391,-(Setup!$C$13+Setup!$G$34),Setup!$C$39:$C$50))&gt;=Setup!$C$15,MONTH(WORKDAY(P391,-(Setup!$C$13+Setup!$G$34),Setup!$C$39:$C$50))&lt;=Setup!$C$16))),WORKDAY(P391,-(Setup!$C$13+Setup!$G$34+Setup!$C$14),Setup!$C$39:$C$50),WORKDAY(P391,-(Setup!$C$13+Setup!$G$34),Setup!$C$39:$C$50))+(386*100+15)/10000000)))</f>
        <v/>
      </c>
      <c r="AH391" t="str">
        <f t="shared" si="46"/>
        <v/>
      </c>
      <c r="AI391" t="str">
        <f t="shared" si="47"/>
        <v/>
      </c>
      <c r="AP391" t="str">
        <f>IF(ISNUMBER(Roster!$B391),MAX(1,YEAR(Setup!$C$5)-YEAR(Roster!$B391)+IF(EDATE(Roster!$B391,12*(YEAR(Setup!$C$5)-YEAR(Roster!$B391)))&lt;Setup!$C$5,1,0)),"")</f>
        <v/>
      </c>
      <c r="AQ391" s="32" t="str">
        <f>IF(AP391="","",EDATE(Roster!$B391,12*AP391))</f>
        <v/>
      </c>
      <c r="AR391" t="str">
        <f>IF(AQ391="","",IF(AQ391&lt;DATE(YEAR(Setup!$C$5)+1,MONTH(Setup!$C$5),DAY(Setup!$C$5)),AQ391+386/1000,""))</f>
        <v/>
      </c>
      <c r="AS391" t="str">
        <f t="shared" si="48"/>
        <v/>
      </c>
      <c r="AT391" t="str">
        <f>IF(AS391="","",IF(ISNUMBER(Roster!$D391),Roster!$D391&gt;=AP391,FALSE))</f>
        <v/>
      </c>
      <c r="AU391" t="str">
        <f t="shared" si="49"/>
        <v/>
      </c>
      <c r="AV391" t="str">
        <f ca="1">IF(386&gt;$AV$2,"",SMALL($AR$6:$AR$505,386))</f>
        <v/>
      </c>
      <c r="AW391" t="str">
        <f t="shared" ca="1" si="50"/>
        <v/>
      </c>
    </row>
    <row r="392" spans="2:49" x14ac:dyDescent="0.2">
      <c r="B392" s="32" t="str">
        <f>IF(AND(ISNUMBER(Roster!$B392),Setup!$B$20="Yes",ISNUMBER(Setup!$C$20)),EDATE(Roster!$B392,12*Setup!$C$20),"")</f>
        <v/>
      </c>
      <c r="C392" s="32" t="str">
        <f>IF(AND(ISNUMBER(Roster!$B392),Setup!$B$21="Yes",ISNUMBER(Setup!$C$21)),EDATE(Roster!$B392,12*Setup!$C$21),"")</f>
        <v/>
      </c>
      <c r="D392" s="32" t="str">
        <f>IF(AND(ISNUMBER(Roster!$B392),Setup!$B$22="Yes",ISNUMBER(Setup!$C$22)),EDATE(Roster!$B392,12*Setup!$C$22),"")</f>
        <v/>
      </c>
      <c r="E392" s="32" t="str">
        <f>IF(AND(ISNUMBER(Roster!$B392),Setup!$B$23="Yes",ISNUMBER(Setup!$C$23)),EDATE(Roster!$B392,12*Setup!$C$23),"")</f>
        <v/>
      </c>
      <c r="F392" s="32" t="str">
        <f>IF(AND(ISNUMBER(Roster!$B392),Setup!$B$24="Yes",ISNUMBER(Setup!$C$24)),EDATE(Roster!$B392,12*Setup!$C$24),"")</f>
        <v/>
      </c>
      <c r="G392" s="32" t="str">
        <f>IF(AND(ISNUMBER(Roster!$B392),Setup!$B$25="Yes",ISNUMBER(Setup!$C$25)),EDATE(Roster!$B392,12*Setup!$C$25),"")</f>
        <v/>
      </c>
      <c r="H392" s="32" t="str">
        <f>IF(AND(ISNUMBER(Roster!$B392),Setup!$B$26="Yes",ISNUMBER(Setup!$C$26)),EDATE(Roster!$B392,12*Setup!$C$26),"")</f>
        <v/>
      </c>
      <c r="I392" s="32" t="str">
        <f>IF(AND(ISNUMBER(Roster!$B392),Setup!$B$27="Yes",ISNUMBER(Setup!$C$27)),EDATE(Roster!$B392,12*Setup!$C$27),"")</f>
        <v/>
      </c>
      <c r="J392" s="32" t="str">
        <f>IF(AND(ISNUMBER(Roster!$B392),Setup!$B$28="Yes",ISNUMBER(Setup!$C$28)),EDATE(Roster!$B392,12*Setup!$C$28),"")</f>
        <v/>
      </c>
      <c r="K392" s="32" t="str">
        <f>IF(AND(ISNUMBER(Roster!$B392),Setup!$B$29="Yes",ISNUMBER(Setup!$C$29)),EDATE(Roster!$B392,12*Setup!$C$29),"")</f>
        <v/>
      </c>
      <c r="L392" s="32" t="str">
        <f>IF(AND(ISNUMBER(Roster!$B392),Setup!$B$30="Yes",ISNUMBER(Setup!$C$30)),EDATE(Roster!$B392,12*Setup!$C$30),"")</f>
        <v/>
      </c>
      <c r="M392" s="32" t="str">
        <f>IF(AND(ISNUMBER(Roster!$B392),Setup!$B$31="Yes",ISNUMBER(Setup!$C$31)),EDATE(Roster!$B392,12*Setup!$C$31),"")</f>
        <v/>
      </c>
      <c r="N392" s="32" t="str">
        <f>IF(AND(ISNUMBER(Roster!$B392),Setup!$B$32="Yes",ISNUMBER(Setup!$C$32)),EDATE(Roster!$B392,12*Setup!$C$32),"")</f>
        <v/>
      </c>
      <c r="O392" s="32" t="str">
        <f>IF(AND(ISNUMBER(Roster!$B392),Setup!$B$33="Yes",ISNUMBER(Setup!$C$33)),EDATE(Roster!$B392,12*Setup!$C$33),"")</f>
        <v/>
      </c>
      <c r="P392" s="32" t="str">
        <f>IF(AND(ISNUMBER(Roster!$B392),Setup!$B$34="Yes",ISNUMBER(Setup!$C$34)),EDATE(Roster!$B392,12*Setup!$C$34),"")</f>
        <v/>
      </c>
      <c r="R392" t="str">
        <f>IF(B392="","",IF(B392&lt;Setup!$C$5-Setup!$C$6,"",IF(IF(ISNUMBER(Roster!$D392),Setup!$C$20&lt;=Roster!$D392,FALSE),"",IF(OR(IF(Setup!$C$15&lt;=Setup!$C$16,AND(MONTH(B392)&gt;=Setup!$C$15,MONTH(B392)&lt;=Setup!$C$16),OR(MONTH(B392)&gt;=Setup!$C$15,MONTH(B392)&lt;=Setup!$C$16)),IF(Setup!$C$15&lt;=Setup!$C$16,AND(MONTH(WORKDAY(B392,-(Setup!$C$13+Setup!$G$20),Setup!$C$39:$C$50))&gt;=Setup!$C$15,MONTH(WORKDAY(B392,-(Setup!$C$13+Setup!$G$20),Setup!$C$39:$C$50))&lt;=Setup!$C$16),OR(MONTH(WORKDAY(B392,-(Setup!$C$13+Setup!$G$20),Setup!$C$39:$C$50))&gt;=Setup!$C$15,MONTH(WORKDAY(B392,-(Setup!$C$13+Setup!$G$20),Setup!$C$39:$C$50))&lt;=Setup!$C$16))),WORKDAY(B392,-(Setup!$C$13+Setup!$G$20+Setup!$C$14),Setup!$C$39:$C$50),WORKDAY(B392,-(Setup!$C$13+Setup!$G$20),Setup!$C$39:$C$50))+(387*100+1)/10000000)))</f>
        <v/>
      </c>
      <c r="S392" t="str">
        <f>IF(C392="","",IF(C392&lt;Setup!$C$5-Setup!$C$6,"",IF(IF(ISNUMBER(Roster!$D392),Setup!$C$21&lt;=Roster!$D392,FALSE),"",IF(OR(IF(Setup!$C$15&lt;=Setup!$C$16,AND(MONTH(C392)&gt;=Setup!$C$15,MONTH(C392)&lt;=Setup!$C$16),OR(MONTH(C392)&gt;=Setup!$C$15,MONTH(C392)&lt;=Setup!$C$16)),IF(Setup!$C$15&lt;=Setup!$C$16,AND(MONTH(WORKDAY(C392,-(Setup!$C$13+Setup!$G$21),Setup!$C$39:$C$50))&gt;=Setup!$C$15,MONTH(WORKDAY(C392,-(Setup!$C$13+Setup!$G$21),Setup!$C$39:$C$50))&lt;=Setup!$C$16),OR(MONTH(WORKDAY(C392,-(Setup!$C$13+Setup!$G$21),Setup!$C$39:$C$50))&gt;=Setup!$C$15,MONTH(WORKDAY(C392,-(Setup!$C$13+Setup!$G$21),Setup!$C$39:$C$50))&lt;=Setup!$C$16))),WORKDAY(C392,-(Setup!$C$13+Setup!$G$21+Setup!$C$14),Setup!$C$39:$C$50),WORKDAY(C392,-(Setup!$C$13+Setup!$G$21),Setup!$C$39:$C$50))+(387*100+2)/10000000)))</f>
        <v/>
      </c>
      <c r="T392" t="str">
        <f>IF(D392="","",IF(D392&lt;Setup!$C$5-Setup!$C$6,"",IF(IF(ISNUMBER(Roster!$D392),Setup!$C$22&lt;=Roster!$D392,FALSE),"",IF(OR(IF(Setup!$C$15&lt;=Setup!$C$16,AND(MONTH(D392)&gt;=Setup!$C$15,MONTH(D392)&lt;=Setup!$C$16),OR(MONTH(D392)&gt;=Setup!$C$15,MONTH(D392)&lt;=Setup!$C$16)),IF(Setup!$C$15&lt;=Setup!$C$16,AND(MONTH(WORKDAY(D392,-(Setup!$C$13+Setup!$G$22),Setup!$C$39:$C$50))&gt;=Setup!$C$15,MONTH(WORKDAY(D392,-(Setup!$C$13+Setup!$G$22),Setup!$C$39:$C$50))&lt;=Setup!$C$16),OR(MONTH(WORKDAY(D392,-(Setup!$C$13+Setup!$G$22),Setup!$C$39:$C$50))&gt;=Setup!$C$15,MONTH(WORKDAY(D392,-(Setup!$C$13+Setup!$G$22),Setup!$C$39:$C$50))&lt;=Setup!$C$16))),WORKDAY(D392,-(Setup!$C$13+Setup!$G$22+Setup!$C$14),Setup!$C$39:$C$50),WORKDAY(D392,-(Setup!$C$13+Setup!$G$22),Setup!$C$39:$C$50))+(387*100+3)/10000000)))</f>
        <v/>
      </c>
      <c r="U392" t="str">
        <f>IF(E392="","",IF(E392&lt;Setup!$C$5-Setup!$C$6,"",IF(IF(ISNUMBER(Roster!$D392),Setup!$C$23&lt;=Roster!$D392,FALSE),"",IF(OR(IF(Setup!$C$15&lt;=Setup!$C$16,AND(MONTH(E392)&gt;=Setup!$C$15,MONTH(E392)&lt;=Setup!$C$16),OR(MONTH(E392)&gt;=Setup!$C$15,MONTH(E392)&lt;=Setup!$C$16)),IF(Setup!$C$15&lt;=Setup!$C$16,AND(MONTH(WORKDAY(E392,-(Setup!$C$13+Setup!$G$23),Setup!$C$39:$C$50))&gt;=Setup!$C$15,MONTH(WORKDAY(E392,-(Setup!$C$13+Setup!$G$23),Setup!$C$39:$C$50))&lt;=Setup!$C$16),OR(MONTH(WORKDAY(E392,-(Setup!$C$13+Setup!$G$23),Setup!$C$39:$C$50))&gt;=Setup!$C$15,MONTH(WORKDAY(E392,-(Setup!$C$13+Setup!$G$23),Setup!$C$39:$C$50))&lt;=Setup!$C$16))),WORKDAY(E392,-(Setup!$C$13+Setup!$G$23+Setup!$C$14),Setup!$C$39:$C$50),WORKDAY(E392,-(Setup!$C$13+Setup!$G$23),Setup!$C$39:$C$50))+(387*100+4)/10000000)))</f>
        <v/>
      </c>
      <c r="V392" t="str">
        <f>IF(F392="","",IF(F392&lt;Setup!$C$5-Setup!$C$6,"",IF(IF(ISNUMBER(Roster!$D392),Setup!$C$24&lt;=Roster!$D392,FALSE),"",IF(OR(IF(Setup!$C$15&lt;=Setup!$C$16,AND(MONTH(F392)&gt;=Setup!$C$15,MONTH(F392)&lt;=Setup!$C$16),OR(MONTH(F392)&gt;=Setup!$C$15,MONTH(F392)&lt;=Setup!$C$16)),IF(Setup!$C$15&lt;=Setup!$C$16,AND(MONTH(WORKDAY(F392,-(Setup!$C$13+Setup!$G$24),Setup!$C$39:$C$50))&gt;=Setup!$C$15,MONTH(WORKDAY(F392,-(Setup!$C$13+Setup!$G$24),Setup!$C$39:$C$50))&lt;=Setup!$C$16),OR(MONTH(WORKDAY(F392,-(Setup!$C$13+Setup!$G$24),Setup!$C$39:$C$50))&gt;=Setup!$C$15,MONTH(WORKDAY(F392,-(Setup!$C$13+Setup!$G$24),Setup!$C$39:$C$50))&lt;=Setup!$C$16))),WORKDAY(F392,-(Setup!$C$13+Setup!$G$24+Setup!$C$14),Setup!$C$39:$C$50),WORKDAY(F392,-(Setup!$C$13+Setup!$G$24),Setup!$C$39:$C$50))+(387*100+5)/10000000)))</f>
        <v/>
      </c>
      <c r="W392" t="str">
        <f>IF(G392="","",IF(G392&lt;Setup!$C$5-Setup!$C$6,"",IF(IF(ISNUMBER(Roster!$D392),Setup!$C$25&lt;=Roster!$D392,FALSE),"",IF(OR(IF(Setup!$C$15&lt;=Setup!$C$16,AND(MONTH(G392)&gt;=Setup!$C$15,MONTH(G392)&lt;=Setup!$C$16),OR(MONTH(G392)&gt;=Setup!$C$15,MONTH(G392)&lt;=Setup!$C$16)),IF(Setup!$C$15&lt;=Setup!$C$16,AND(MONTH(WORKDAY(G392,-(Setup!$C$13+Setup!$G$25),Setup!$C$39:$C$50))&gt;=Setup!$C$15,MONTH(WORKDAY(G392,-(Setup!$C$13+Setup!$G$25),Setup!$C$39:$C$50))&lt;=Setup!$C$16),OR(MONTH(WORKDAY(G392,-(Setup!$C$13+Setup!$G$25),Setup!$C$39:$C$50))&gt;=Setup!$C$15,MONTH(WORKDAY(G392,-(Setup!$C$13+Setup!$G$25),Setup!$C$39:$C$50))&lt;=Setup!$C$16))),WORKDAY(G392,-(Setup!$C$13+Setup!$G$25+Setup!$C$14),Setup!$C$39:$C$50),WORKDAY(G392,-(Setup!$C$13+Setup!$G$25),Setup!$C$39:$C$50))+(387*100+6)/10000000)))</f>
        <v/>
      </c>
      <c r="X392" t="str">
        <f>IF(H392="","",IF(H392&lt;Setup!$C$5-Setup!$C$6,"",IF(IF(ISNUMBER(Roster!$D392),Setup!$C$26&lt;=Roster!$D392,FALSE),"",IF(OR(IF(Setup!$C$15&lt;=Setup!$C$16,AND(MONTH(H392)&gt;=Setup!$C$15,MONTH(H392)&lt;=Setup!$C$16),OR(MONTH(H392)&gt;=Setup!$C$15,MONTH(H392)&lt;=Setup!$C$16)),IF(Setup!$C$15&lt;=Setup!$C$16,AND(MONTH(WORKDAY(H392,-(Setup!$C$13+Setup!$G$26),Setup!$C$39:$C$50))&gt;=Setup!$C$15,MONTH(WORKDAY(H392,-(Setup!$C$13+Setup!$G$26),Setup!$C$39:$C$50))&lt;=Setup!$C$16),OR(MONTH(WORKDAY(H392,-(Setup!$C$13+Setup!$G$26),Setup!$C$39:$C$50))&gt;=Setup!$C$15,MONTH(WORKDAY(H392,-(Setup!$C$13+Setup!$G$26),Setup!$C$39:$C$50))&lt;=Setup!$C$16))),WORKDAY(H392,-(Setup!$C$13+Setup!$G$26+Setup!$C$14),Setup!$C$39:$C$50),WORKDAY(H392,-(Setup!$C$13+Setup!$G$26),Setup!$C$39:$C$50))+(387*100+7)/10000000)))</f>
        <v/>
      </c>
      <c r="Y392" t="str">
        <f>IF(I392="","",IF(I392&lt;Setup!$C$5-Setup!$C$6,"",IF(IF(ISNUMBER(Roster!$D392),Setup!$C$27&lt;=Roster!$D392,FALSE),"",IF(OR(IF(Setup!$C$15&lt;=Setup!$C$16,AND(MONTH(I392)&gt;=Setup!$C$15,MONTH(I392)&lt;=Setup!$C$16),OR(MONTH(I392)&gt;=Setup!$C$15,MONTH(I392)&lt;=Setup!$C$16)),IF(Setup!$C$15&lt;=Setup!$C$16,AND(MONTH(WORKDAY(I392,-(Setup!$C$13+Setup!$G$27),Setup!$C$39:$C$50))&gt;=Setup!$C$15,MONTH(WORKDAY(I392,-(Setup!$C$13+Setup!$G$27),Setup!$C$39:$C$50))&lt;=Setup!$C$16),OR(MONTH(WORKDAY(I392,-(Setup!$C$13+Setup!$G$27),Setup!$C$39:$C$50))&gt;=Setup!$C$15,MONTH(WORKDAY(I392,-(Setup!$C$13+Setup!$G$27),Setup!$C$39:$C$50))&lt;=Setup!$C$16))),WORKDAY(I392,-(Setup!$C$13+Setup!$G$27+Setup!$C$14),Setup!$C$39:$C$50),WORKDAY(I392,-(Setup!$C$13+Setup!$G$27),Setup!$C$39:$C$50))+(387*100+8)/10000000)))</f>
        <v/>
      </c>
      <c r="Z392" t="str">
        <f>IF(J392="","",IF(J392&lt;Setup!$C$5-Setup!$C$6,"",IF(IF(ISNUMBER(Roster!$D392),Setup!$C$28&lt;=Roster!$D392,FALSE),"",IF(OR(IF(Setup!$C$15&lt;=Setup!$C$16,AND(MONTH(J392)&gt;=Setup!$C$15,MONTH(J392)&lt;=Setup!$C$16),OR(MONTH(J392)&gt;=Setup!$C$15,MONTH(J392)&lt;=Setup!$C$16)),IF(Setup!$C$15&lt;=Setup!$C$16,AND(MONTH(WORKDAY(J392,-(Setup!$C$13+Setup!$G$28),Setup!$C$39:$C$50))&gt;=Setup!$C$15,MONTH(WORKDAY(J392,-(Setup!$C$13+Setup!$G$28),Setup!$C$39:$C$50))&lt;=Setup!$C$16),OR(MONTH(WORKDAY(J392,-(Setup!$C$13+Setup!$G$28),Setup!$C$39:$C$50))&gt;=Setup!$C$15,MONTH(WORKDAY(J392,-(Setup!$C$13+Setup!$G$28),Setup!$C$39:$C$50))&lt;=Setup!$C$16))),WORKDAY(J392,-(Setup!$C$13+Setup!$G$28+Setup!$C$14),Setup!$C$39:$C$50),WORKDAY(J392,-(Setup!$C$13+Setup!$G$28),Setup!$C$39:$C$50))+(387*100+9)/10000000)))</f>
        <v/>
      </c>
      <c r="AA392" t="str">
        <f>IF(K392="","",IF(K392&lt;Setup!$C$5-Setup!$C$6,"",IF(IF(ISNUMBER(Roster!$D392),Setup!$C$29&lt;=Roster!$D392,FALSE),"",IF(OR(IF(Setup!$C$15&lt;=Setup!$C$16,AND(MONTH(K392)&gt;=Setup!$C$15,MONTH(K392)&lt;=Setup!$C$16),OR(MONTH(K392)&gt;=Setup!$C$15,MONTH(K392)&lt;=Setup!$C$16)),IF(Setup!$C$15&lt;=Setup!$C$16,AND(MONTH(WORKDAY(K392,-(Setup!$C$13+Setup!$G$29),Setup!$C$39:$C$50))&gt;=Setup!$C$15,MONTH(WORKDAY(K392,-(Setup!$C$13+Setup!$G$29),Setup!$C$39:$C$50))&lt;=Setup!$C$16),OR(MONTH(WORKDAY(K392,-(Setup!$C$13+Setup!$G$29),Setup!$C$39:$C$50))&gt;=Setup!$C$15,MONTH(WORKDAY(K392,-(Setup!$C$13+Setup!$G$29),Setup!$C$39:$C$50))&lt;=Setup!$C$16))),WORKDAY(K392,-(Setup!$C$13+Setup!$G$29+Setup!$C$14),Setup!$C$39:$C$50),WORKDAY(K392,-(Setup!$C$13+Setup!$G$29),Setup!$C$39:$C$50))+(387*100+10)/10000000)))</f>
        <v/>
      </c>
      <c r="AB392" t="str">
        <f>IF(L392="","",IF(L392&lt;Setup!$C$5-Setup!$C$6,"",IF(IF(ISNUMBER(Roster!$D392),Setup!$C$30&lt;=Roster!$D392,FALSE),"",IF(OR(IF(Setup!$C$15&lt;=Setup!$C$16,AND(MONTH(L392)&gt;=Setup!$C$15,MONTH(L392)&lt;=Setup!$C$16),OR(MONTH(L392)&gt;=Setup!$C$15,MONTH(L392)&lt;=Setup!$C$16)),IF(Setup!$C$15&lt;=Setup!$C$16,AND(MONTH(WORKDAY(L392,-(Setup!$C$13+Setup!$G$30),Setup!$C$39:$C$50))&gt;=Setup!$C$15,MONTH(WORKDAY(L392,-(Setup!$C$13+Setup!$G$30),Setup!$C$39:$C$50))&lt;=Setup!$C$16),OR(MONTH(WORKDAY(L392,-(Setup!$C$13+Setup!$G$30),Setup!$C$39:$C$50))&gt;=Setup!$C$15,MONTH(WORKDAY(L392,-(Setup!$C$13+Setup!$G$30),Setup!$C$39:$C$50))&lt;=Setup!$C$16))),WORKDAY(L392,-(Setup!$C$13+Setup!$G$30+Setup!$C$14),Setup!$C$39:$C$50),WORKDAY(L392,-(Setup!$C$13+Setup!$G$30),Setup!$C$39:$C$50))+(387*100+11)/10000000)))</f>
        <v/>
      </c>
      <c r="AC392" t="str">
        <f>IF(M392="","",IF(M392&lt;Setup!$C$5-Setup!$C$6,"",IF(IF(ISNUMBER(Roster!$D392),Setup!$C$31&lt;=Roster!$D392,FALSE),"",IF(OR(IF(Setup!$C$15&lt;=Setup!$C$16,AND(MONTH(M392)&gt;=Setup!$C$15,MONTH(M392)&lt;=Setup!$C$16),OR(MONTH(M392)&gt;=Setup!$C$15,MONTH(M392)&lt;=Setup!$C$16)),IF(Setup!$C$15&lt;=Setup!$C$16,AND(MONTH(WORKDAY(M392,-(Setup!$C$13+Setup!$G$31),Setup!$C$39:$C$50))&gt;=Setup!$C$15,MONTH(WORKDAY(M392,-(Setup!$C$13+Setup!$G$31),Setup!$C$39:$C$50))&lt;=Setup!$C$16),OR(MONTH(WORKDAY(M392,-(Setup!$C$13+Setup!$G$31),Setup!$C$39:$C$50))&gt;=Setup!$C$15,MONTH(WORKDAY(M392,-(Setup!$C$13+Setup!$G$31),Setup!$C$39:$C$50))&lt;=Setup!$C$16))),WORKDAY(M392,-(Setup!$C$13+Setup!$G$31+Setup!$C$14),Setup!$C$39:$C$50),WORKDAY(M392,-(Setup!$C$13+Setup!$G$31),Setup!$C$39:$C$50))+(387*100+12)/10000000)))</f>
        <v/>
      </c>
      <c r="AD392" t="str">
        <f>IF(N392="","",IF(N392&lt;Setup!$C$5-Setup!$C$6,"",IF(IF(ISNUMBER(Roster!$D392),Setup!$C$32&lt;=Roster!$D392,FALSE),"",IF(OR(IF(Setup!$C$15&lt;=Setup!$C$16,AND(MONTH(N392)&gt;=Setup!$C$15,MONTH(N392)&lt;=Setup!$C$16),OR(MONTH(N392)&gt;=Setup!$C$15,MONTH(N392)&lt;=Setup!$C$16)),IF(Setup!$C$15&lt;=Setup!$C$16,AND(MONTH(WORKDAY(N392,-(Setup!$C$13+Setup!$G$32),Setup!$C$39:$C$50))&gt;=Setup!$C$15,MONTH(WORKDAY(N392,-(Setup!$C$13+Setup!$G$32),Setup!$C$39:$C$50))&lt;=Setup!$C$16),OR(MONTH(WORKDAY(N392,-(Setup!$C$13+Setup!$G$32),Setup!$C$39:$C$50))&gt;=Setup!$C$15,MONTH(WORKDAY(N392,-(Setup!$C$13+Setup!$G$32),Setup!$C$39:$C$50))&lt;=Setup!$C$16))),WORKDAY(N392,-(Setup!$C$13+Setup!$G$32+Setup!$C$14),Setup!$C$39:$C$50),WORKDAY(N392,-(Setup!$C$13+Setup!$G$32),Setup!$C$39:$C$50))+(387*100+13)/10000000)))</f>
        <v/>
      </c>
      <c r="AE392" t="str">
        <f>IF(O392="","",IF(O392&lt;Setup!$C$5-Setup!$C$6,"",IF(IF(ISNUMBER(Roster!$D392),Setup!$C$33&lt;=Roster!$D392,FALSE),"",IF(OR(IF(Setup!$C$15&lt;=Setup!$C$16,AND(MONTH(O392)&gt;=Setup!$C$15,MONTH(O392)&lt;=Setup!$C$16),OR(MONTH(O392)&gt;=Setup!$C$15,MONTH(O392)&lt;=Setup!$C$16)),IF(Setup!$C$15&lt;=Setup!$C$16,AND(MONTH(WORKDAY(O392,-(Setup!$C$13+Setup!$G$33),Setup!$C$39:$C$50))&gt;=Setup!$C$15,MONTH(WORKDAY(O392,-(Setup!$C$13+Setup!$G$33),Setup!$C$39:$C$50))&lt;=Setup!$C$16),OR(MONTH(WORKDAY(O392,-(Setup!$C$13+Setup!$G$33),Setup!$C$39:$C$50))&gt;=Setup!$C$15,MONTH(WORKDAY(O392,-(Setup!$C$13+Setup!$G$33),Setup!$C$39:$C$50))&lt;=Setup!$C$16))),WORKDAY(O392,-(Setup!$C$13+Setup!$G$33+Setup!$C$14),Setup!$C$39:$C$50),WORKDAY(O392,-(Setup!$C$13+Setup!$G$33),Setup!$C$39:$C$50))+(387*100+14)/10000000)))</f>
        <v/>
      </c>
      <c r="AF392" t="str">
        <f>IF(P392="","",IF(P392&lt;Setup!$C$5-Setup!$C$6,"",IF(IF(ISNUMBER(Roster!$D392),Setup!$C$34&lt;=Roster!$D392,FALSE),"",IF(OR(IF(Setup!$C$15&lt;=Setup!$C$16,AND(MONTH(P392)&gt;=Setup!$C$15,MONTH(P392)&lt;=Setup!$C$16),OR(MONTH(P392)&gt;=Setup!$C$15,MONTH(P392)&lt;=Setup!$C$16)),IF(Setup!$C$15&lt;=Setup!$C$16,AND(MONTH(WORKDAY(P392,-(Setup!$C$13+Setup!$G$34),Setup!$C$39:$C$50))&gt;=Setup!$C$15,MONTH(WORKDAY(P392,-(Setup!$C$13+Setup!$G$34),Setup!$C$39:$C$50))&lt;=Setup!$C$16),OR(MONTH(WORKDAY(P392,-(Setup!$C$13+Setup!$G$34),Setup!$C$39:$C$50))&gt;=Setup!$C$15,MONTH(WORKDAY(P392,-(Setup!$C$13+Setup!$G$34),Setup!$C$39:$C$50))&lt;=Setup!$C$16))),WORKDAY(P392,-(Setup!$C$13+Setup!$G$34+Setup!$C$14),Setup!$C$39:$C$50),WORKDAY(P392,-(Setup!$C$13+Setup!$G$34),Setup!$C$39:$C$50))+(387*100+15)/10000000)))</f>
        <v/>
      </c>
      <c r="AH392" t="str">
        <f t="shared" si="46"/>
        <v/>
      </c>
      <c r="AI392" t="str">
        <f t="shared" si="47"/>
        <v/>
      </c>
      <c r="AP392" t="str">
        <f>IF(ISNUMBER(Roster!$B392),MAX(1,YEAR(Setup!$C$5)-YEAR(Roster!$B392)+IF(EDATE(Roster!$B392,12*(YEAR(Setup!$C$5)-YEAR(Roster!$B392)))&lt;Setup!$C$5,1,0)),"")</f>
        <v/>
      </c>
      <c r="AQ392" s="32" t="str">
        <f>IF(AP392="","",EDATE(Roster!$B392,12*AP392))</f>
        <v/>
      </c>
      <c r="AR392" t="str">
        <f>IF(AQ392="","",IF(AQ392&lt;DATE(YEAR(Setup!$C$5)+1,MONTH(Setup!$C$5),DAY(Setup!$C$5)),AQ392+387/1000,""))</f>
        <v/>
      </c>
      <c r="AS392" t="str">
        <f t="shared" si="48"/>
        <v/>
      </c>
      <c r="AT392" t="str">
        <f>IF(AS392="","",IF(ISNUMBER(Roster!$D392),Roster!$D392&gt;=AP392,FALSE))</f>
        <v/>
      </c>
      <c r="AU392" t="str">
        <f t="shared" si="49"/>
        <v/>
      </c>
      <c r="AV392" t="str">
        <f ca="1">IF(387&gt;$AV$2,"",SMALL($AR$6:$AR$505,387))</f>
        <v/>
      </c>
      <c r="AW392" t="str">
        <f t="shared" ca="1" si="50"/>
        <v/>
      </c>
    </row>
    <row r="393" spans="2:49" x14ac:dyDescent="0.2">
      <c r="B393" s="32" t="str">
        <f>IF(AND(ISNUMBER(Roster!$B393),Setup!$B$20="Yes",ISNUMBER(Setup!$C$20)),EDATE(Roster!$B393,12*Setup!$C$20),"")</f>
        <v/>
      </c>
      <c r="C393" s="32" t="str">
        <f>IF(AND(ISNUMBER(Roster!$B393),Setup!$B$21="Yes",ISNUMBER(Setup!$C$21)),EDATE(Roster!$B393,12*Setup!$C$21),"")</f>
        <v/>
      </c>
      <c r="D393" s="32" t="str">
        <f>IF(AND(ISNUMBER(Roster!$B393),Setup!$B$22="Yes",ISNUMBER(Setup!$C$22)),EDATE(Roster!$B393,12*Setup!$C$22),"")</f>
        <v/>
      </c>
      <c r="E393" s="32" t="str">
        <f>IF(AND(ISNUMBER(Roster!$B393),Setup!$B$23="Yes",ISNUMBER(Setup!$C$23)),EDATE(Roster!$B393,12*Setup!$C$23),"")</f>
        <v/>
      </c>
      <c r="F393" s="32" t="str">
        <f>IF(AND(ISNUMBER(Roster!$B393),Setup!$B$24="Yes",ISNUMBER(Setup!$C$24)),EDATE(Roster!$B393,12*Setup!$C$24),"")</f>
        <v/>
      </c>
      <c r="G393" s="32" t="str">
        <f>IF(AND(ISNUMBER(Roster!$B393),Setup!$B$25="Yes",ISNUMBER(Setup!$C$25)),EDATE(Roster!$B393,12*Setup!$C$25),"")</f>
        <v/>
      </c>
      <c r="H393" s="32" t="str">
        <f>IF(AND(ISNUMBER(Roster!$B393),Setup!$B$26="Yes",ISNUMBER(Setup!$C$26)),EDATE(Roster!$B393,12*Setup!$C$26),"")</f>
        <v/>
      </c>
      <c r="I393" s="32" t="str">
        <f>IF(AND(ISNUMBER(Roster!$B393),Setup!$B$27="Yes",ISNUMBER(Setup!$C$27)),EDATE(Roster!$B393,12*Setup!$C$27),"")</f>
        <v/>
      </c>
      <c r="J393" s="32" t="str">
        <f>IF(AND(ISNUMBER(Roster!$B393),Setup!$B$28="Yes",ISNUMBER(Setup!$C$28)),EDATE(Roster!$B393,12*Setup!$C$28),"")</f>
        <v/>
      </c>
      <c r="K393" s="32" t="str">
        <f>IF(AND(ISNUMBER(Roster!$B393),Setup!$B$29="Yes",ISNUMBER(Setup!$C$29)),EDATE(Roster!$B393,12*Setup!$C$29),"")</f>
        <v/>
      </c>
      <c r="L393" s="32" t="str">
        <f>IF(AND(ISNUMBER(Roster!$B393),Setup!$B$30="Yes",ISNUMBER(Setup!$C$30)),EDATE(Roster!$B393,12*Setup!$C$30),"")</f>
        <v/>
      </c>
      <c r="M393" s="32" t="str">
        <f>IF(AND(ISNUMBER(Roster!$B393),Setup!$B$31="Yes",ISNUMBER(Setup!$C$31)),EDATE(Roster!$B393,12*Setup!$C$31),"")</f>
        <v/>
      </c>
      <c r="N393" s="32" t="str">
        <f>IF(AND(ISNUMBER(Roster!$B393),Setup!$B$32="Yes",ISNUMBER(Setup!$C$32)),EDATE(Roster!$B393,12*Setup!$C$32),"")</f>
        <v/>
      </c>
      <c r="O393" s="32" t="str">
        <f>IF(AND(ISNUMBER(Roster!$B393),Setup!$B$33="Yes",ISNUMBER(Setup!$C$33)),EDATE(Roster!$B393,12*Setup!$C$33),"")</f>
        <v/>
      </c>
      <c r="P393" s="32" t="str">
        <f>IF(AND(ISNUMBER(Roster!$B393),Setup!$B$34="Yes",ISNUMBER(Setup!$C$34)),EDATE(Roster!$B393,12*Setup!$C$34),"")</f>
        <v/>
      </c>
      <c r="R393" t="str">
        <f>IF(B393="","",IF(B393&lt;Setup!$C$5-Setup!$C$6,"",IF(IF(ISNUMBER(Roster!$D393),Setup!$C$20&lt;=Roster!$D393,FALSE),"",IF(OR(IF(Setup!$C$15&lt;=Setup!$C$16,AND(MONTH(B393)&gt;=Setup!$C$15,MONTH(B393)&lt;=Setup!$C$16),OR(MONTH(B393)&gt;=Setup!$C$15,MONTH(B393)&lt;=Setup!$C$16)),IF(Setup!$C$15&lt;=Setup!$C$16,AND(MONTH(WORKDAY(B393,-(Setup!$C$13+Setup!$G$20),Setup!$C$39:$C$50))&gt;=Setup!$C$15,MONTH(WORKDAY(B393,-(Setup!$C$13+Setup!$G$20),Setup!$C$39:$C$50))&lt;=Setup!$C$16),OR(MONTH(WORKDAY(B393,-(Setup!$C$13+Setup!$G$20),Setup!$C$39:$C$50))&gt;=Setup!$C$15,MONTH(WORKDAY(B393,-(Setup!$C$13+Setup!$G$20),Setup!$C$39:$C$50))&lt;=Setup!$C$16))),WORKDAY(B393,-(Setup!$C$13+Setup!$G$20+Setup!$C$14),Setup!$C$39:$C$50),WORKDAY(B393,-(Setup!$C$13+Setup!$G$20),Setup!$C$39:$C$50))+(388*100+1)/10000000)))</f>
        <v/>
      </c>
      <c r="S393" t="str">
        <f>IF(C393="","",IF(C393&lt;Setup!$C$5-Setup!$C$6,"",IF(IF(ISNUMBER(Roster!$D393),Setup!$C$21&lt;=Roster!$D393,FALSE),"",IF(OR(IF(Setup!$C$15&lt;=Setup!$C$16,AND(MONTH(C393)&gt;=Setup!$C$15,MONTH(C393)&lt;=Setup!$C$16),OR(MONTH(C393)&gt;=Setup!$C$15,MONTH(C393)&lt;=Setup!$C$16)),IF(Setup!$C$15&lt;=Setup!$C$16,AND(MONTH(WORKDAY(C393,-(Setup!$C$13+Setup!$G$21),Setup!$C$39:$C$50))&gt;=Setup!$C$15,MONTH(WORKDAY(C393,-(Setup!$C$13+Setup!$G$21),Setup!$C$39:$C$50))&lt;=Setup!$C$16),OR(MONTH(WORKDAY(C393,-(Setup!$C$13+Setup!$G$21),Setup!$C$39:$C$50))&gt;=Setup!$C$15,MONTH(WORKDAY(C393,-(Setup!$C$13+Setup!$G$21),Setup!$C$39:$C$50))&lt;=Setup!$C$16))),WORKDAY(C393,-(Setup!$C$13+Setup!$G$21+Setup!$C$14),Setup!$C$39:$C$50),WORKDAY(C393,-(Setup!$C$13+Setup!$G$21),Setup!$C$39:$C$50))+(388*100+2)/10000000)))</f>
        <v/>
      </c>
      <c r="T393" t="str">
        <f>IF(D393="","",IF(D393&lt;Setup!$C$5-Setup!$C$6,"",IF(IF(ISNUMBER(Roster!$D393),Setup!$C$22&lt;=Roster!$D393,FALSE),"",IF(OR(IF(Setup!$C$15&lt;=Setup!$C$16,AND(MONTH(D393)&gt;=Setup!$C$15,MONTH(D393)&lt;=Setup!$C$16),OR(MONTH(D393)&gt;=Setup!$C$15,MONTH(D393)&lt;=Setup!$C$16)),IF(Setup!$C$15&lt;=Setup!$C$16,AND(MONTH(WORKDAY(D393,-(Setup!$C$13+Setup!$G$22),Setup!$C$39:$C$50))&gt;=Setup!$C$15,MONTH(WORKDAY(D393,-(Setup!$C$13+Setup!$G$22),Setup!$C$39:$C$50))&lt;=Setup!$C$16),OR(MONTH(WORKDAY(D393,-(Setup!$C$13+Setup!$G$22),Setup!$C$39:$C$50))&gt;=Setup!$C$15,MONTH(WORKDAY(D393,-(Setup!$C$13+Setup!$G$22),Setup!$C$39:$C$50))&lt;=Setup!$C$16))),WORKDAY(D393,-(Setup!$C$13+Setup!$G$22+Setup!$C$14),Setup!$C$39:$C$50),WORKDAY(D393,-(Setup!$C$13+Setup!$G$22),Setup!$C$39:$C$50))+(388*100+3)/10000000)))</f>
        <v/>
      </c>
      <c r="U393" t="str">
        <f>IF(E393="","",IF(E393&lt;Setup!$C$5-Setup!$C$6,"",IF(IF(ISNUMBER(Roster!$D393),Setup!$C$23&lt;=Roster!$D393,FALSE),"",IF(OR(IF(Setup!$C$15&lt;=Setup!$C$16,AND(MONTH(E393)&gt;=Setup!$C$15,MONTH(E393)&lt;=Setup!$C$16),OR(MONTH(E393)&gt;=Setup!$C$15,MONTH(E393)&lt;=Setup!$C$16)),IF(Setup!$C$15&lt;=Setup!$C$16,AND(MONTH(WORKDAY(E393,-(Setup!$C$13+Setup!$G$23),Setup!$C$39:$C$50))&gt;=Setup!$C$15,MONTH(WORKDAY(E393,-(Setup!$C$13+Setup!$G$23),Setup!$C$39:$C$50))&lt;=Setup!$C$16),OR(MONTH(WORKDAY(E393,-(Setup!$C$13+Setup!$G$23),Setup!$C$39:$C$50))&gt;=Setup!$C$15,MONTH(WORKDAY(E393,-(Setup!$C$13+Setup!$G$23),Setup!$C$39:$C$50))&lt;=Setup!$C$16))),WORKDAY(E393,-(Setup!$C$13+Setup!$G$23+Setup!$C$14),Setup!$C$39:$C$50),WORKDAY(E393,-(Setup!$C$13+Setup!$G$23),Setup!$C$39:$C$50))+(388*100+4)/10000000)))</f>
        <v/>
      </c>
      <c r="V393" t="str">
        <f>IF(F393="","",IF(F393&lt;Setup!$C$5-Setup!$C$6,"",IF(IF(ISNUMBER(Roster!$D393),Setup!$C$24&lt;=Roster!$D393,FALSE),"",IF(OR(IF(Setup!$C$15&lt;=Setup!$C$16,AND(MONTH(F393)&gt;=Setup!$C$15,MONTH(F393)&lt;=Setup!$C$16),OR(MONTH(F393)&gt;=Setup!$C$15,MONTH(F393)&lt;=Setup!$C$16)),IF(Setup!$C$15&lt;=Setup!$C$16,AND(MONTH(WORKDAY(F393,-(Setup!$C$13+Setup!$G$24),Setup!$C$39:$C$50))&gt;=Setup!$C$15,MONTH(WORKDAY(F393,-(Setup!$C$13+Setup!$G$24),Setup!$C$39:$C$50))&lt;=Setup!$C$16),OR(MONTH(WORKDAY(F393,-(Setup!$C$13+Setup!$G$24),Setup!$C$39:$C$50))&gt;=Setup!$C$15,MONTH(WORKDAY(F393,-(Setup!$C$13+Setup!$G$24),Setup!$C$39:$C$50))&lt;=Setup!$C$16))),WORKDAY(F393,-(Setup!$C$13+Setup!$G$24+Setup!$C$14),Setup!$C$39:$C$50),WORKDAY(F393,-(Setup!$C$13+Setup!$G$24),Setup!$C$39:$C$50))+(388*100+5)/10000000)))</f>
        <v/>
      </c>
      <c r="W393" t="str">
        <f>IF(G393="","",IF(G393&lt;Setup!$C$5-Setup!$C$6,"",IF(IF(ISNUMBER(Roster!$D393),Setup!$C$25&lt;=Roster!$D393,FALSE),"",IF(OR(IF(Setup!$C$15&lt;=Setup!$C$16,AND(MONTH(G393)&gt;=Setup!$C$15,MONTH(G393)&lt;=Setup!$C$16),OR(MONTH(G393)&gt;=Setup!$C$15,MONTH(G393)&lt;=Setup!$C$16)),IF(Setup!$C$15&lt;=Setup!$C$16,AND(MONTH(WORKDAY(G393,-(Setup!$C$13+Setup!$G$25),Setup!$C$39:$C$50))&gt;=Setup!$C$15,MONTH(WORKDAY(G393,-(Setup!$C$13+Setup!$G$25),Setup!$C$39:$C$50))&lt;=Setup!$C$16),OR(MONTH(WORKDAY(G393,-(Setup!$C$13+Setup!$G$25),Setup!$C$39:$C$50))&gt;=Setup!$C$15,MONTH(WORKDAY(G393,-(Setup!$C$13+Setup!$G$25),Setup!$C$39:$C$50))&lt;=Setup!$C$16))),WORKDAY(G393,-(Setup!$C$13+Setup!$G$25+Setup!$C$14),Setup!$C$39:$C$50),WORKDAY(G393,-(Setup!$C$13+Setup!$G$25),Setup!$C$39:$C$50))+(388*100+6)/10000000)))</f>
        <v/>
      </c>
      <c r="X393" t="str">
        <f>IF(H393="","",IF(H393&lt;Setup!$C$5-Setup!$C$6,"",IF(IF(ISNUMBER(Roster!$D393),Setup!$C$26&lt;=Roster!$D393,FALSE),"",IF(OR(IF(Setup!$C$15&lt;=Setup!$C$16,AND(MONTH(H393)&gt;=Setup!$C$15,MONTH(H393)&lt;=Setup!$C$16),OR(MONTH(H393)&gt;=Setup!$C$15,MONTH(H393)&lt;=Setup!$C$16)),IF(Setup!$C$15&lt;=Setup!$C$16,AND(MONTH(WORKDAY(H393,-(Setup!$C$13+Setup!$G$26),Setup!$C$39:$C$50))&gt;=Setup!$C$15,MONTH(WORKDAY(H393,-(Setup!$C$13+Setup!$G$26),Setup!$C$39:$C$50))&lt;=Setup!$C$16),OR(MONTH(WORKDAY(H393,-(Setup!$C$13+Setup!$G$26),Setup!$C$39:$C$50))&gt;=Setup!$C$15,MONTH(WORKDAY(H393,-(Setup!$C$13+Setup!$G$26),Setup!$C$39:$C$50))&lt;=Setup!$C$16))),WORKDAY(H393,-(Setup!$C$13+Setup!$G$26+Setup!$C$14),Setup!$C$39:$C$50),WORKDAY(H393,-(Setup!$C$13+Setup!$G$26),Setup!$C$39:$C$50))+(388*100+7)/10000000)))</f>
        <v/>
      </c>
      <c r="Y393" t="str">
        <f>IF(I393="","",IF(I393&lt;Setup!$C$5-Setup!$C$6,"",IF(IF(ISNUMBER(Roster!$D393),Setup!$C$27&lt;=Roster!$D393,FALSE),"",IF(OR(IF(Setup!$C$15&lt;=Setup!$C$16,AND(MONTH(I393)&gt;=Setup!$C$15,MONTH(I393)&lt;=Setup!$C$16),OR(MONTH(I393)&gt;=Setup!$C$15,MONTH(I393)&lt;=Setup!$C$16)),IF(Setup!$C$15&lt;=Setup!$C$16,AND(MONTH(WORKDAY(I393,-(Setup!$C$13+Setup!$G$27),Setup!$C$39:$C$50))&gt;=Setup!$C$15,MONTH(WORKDAY(I393,-(Setup!$C$13+Setup!$G$27),Setup!$C$39:$C$50))&lt;=Setup!$C$16),OR(MONTH(WORKDAY(I393,-(Setup!$C$13+Setup!$G$27),Setup!$C$39:$C$50))&gt;=Setup!$C$15,MONTH(WORKDAY(I393,-(Setup!$C$13+Setup!$G$27),Setup!$C$39:$C$50))&lt;=Setup!$C$16))),WORKDAY(I393,-(Setup!$C$13+Setup!$G$27+Setup!$C$14),Setup!$C$39:$C$50),WORKDAY(I393,-(Setup!$C$13+Setup!$G$27),Setup!$C$39:$C$50))+(388*100+8)/10000000)))</f>
        <v/>
      </c>
      <c r="Z393" t="str">
        <f>IF(J393="","",IF(J393&lt;Setup!$C$5-Setup!$C$6,"",IF(IF(ISNUMBER(Roster!$D393),Setup!$C$28&lt;=Roster!$D393,FALSE),"",IF(OR(IF(Setup!$C$15&lt;=Setup!$C$16,AND(MONTH(J393)&gt;=Setup!$C$15,MONTH(J393)&lt;=Setup!$C$16),OR(MONTH(J393)&gt;=Setup!$C$15,MONTH(J393)&lt;=Setup!$C$16)),IF(Setup!$C$15&lt;=Setup!$C$16,AND(MONTH(WORKDAY(J393,-(Setup!$C$13+Setup!$G$28),Setup!$C$39:$C$50))&gt;=Setup!$C$15,MONTH(WORKDAY(J393,-(Setup!$C$13+Setup!$G$28),Setup!$C$39:$C$50))&lt;=Setup!$C$16),OR(MONTH(WORKDAY(J393,-(Setup!$C$13+Setup!$G$28),Setup!$C$39:$C$50))&gt;=Setup!$C$15,MONTH(WORKDAY(J393,-(Setup!$C$13+Setup!$G$28),Setup!$C$39:$C$50))&lt;=Setup!$C$16))),WORKDAY(J393,-(Setup!$C$13+Setup!$G$28+Setup!$C$14),Setup!$C$39:$C$50),WORKDAY(J393,-(Setup!$C$13+Setup!$G$28),Setup!$C$39:$C$50))+(388*100+9)/10000000)))</f>
        <v/>
      </c>
      <c r="AA393" t="str">
        <f>IF(K393="","",IF(K393&lt;Setup!$C$5-Setup!$C$6,"",IF(IF(ISNUMBER(Roster!$D393),Setup!$C$29&lt;=Roster!$D393,FALSE),"",IF(OR(IF(Setup!$C$15&lt;=Setup!$C$16,AND(MONTH(K393)&gt;=Setup!$C$15,MONTH(K393)&lt;=Setup!$C$16),OR(MONTH(K393)&gt;=Setup!$C$15,MONTH(K393)&lt;=Setup!$C$16)),IF(Setup!$C$15&lt;=Setup!$C$16,AND(MONTH(WORKDAY(K393,-(Setup!$C$13+Setup!$G$29),Setup!$C$39:$C$50))&gt;=Setup!$C$15,MONTH(WORKDAY(K393,-(Setup!$C$13+Setup!$G$29),Setup!$C$39:$C$50))&lt;=Setup!$C$16),OR(MONTH(WORKDAY(K393,-(Setup!$C$13+Setup!$G$29),Setup!$C$39:$C$50))&gt;=Setup!$C$15,MONTH(WORKDAY(K393,-(Setup!$C$13+Setup!$G$29),Setup!$C$39:$C$50))&lt;=Setup!$C$16))),WORKDAY(K393,-(Setup!$C$13+Setup!$G$29+Setup!$C$14),Setup!$C$39:$C$50),WORKDAY(K393,-(Setup!$C$13+Setup!$G$29),Setup!$C$39:$C$50))+(388*100+10)/10000000)))</f>
        <v/>
      </c>
      <c r="AB393" t="str">
        <f>IF(L393="","",IF(L393&lt;Setup!$C$5-Setup!$C$6,"",IF(IF(ISNUMBER(Roster!$D393),Setup!$C$30&lt;=Roster!$D393,FALSE),"",IF(OR(IF(Setup!$C$15&lt;=Setup!$C$16,AND(MONTH(L393)&gt;=Setup!$C$15,MONTH(L393)&lt;=Setup!$C$16),OR(MONTH(L393)&gt;=Setup!$C$15,MONTH(L393)&lt;=Setup!$C$16)),IF(Setup!$C$15&lt;=Setup!$C$16,AND(MONTH(WORKDAY(L393,-(Setup!$C$13+Setup!$G$30),Setup!$C$39:$C$50))&gt;=Setup!$C$15,MONTH(WORKDAY(L393,-(Setup!$C$13+Setup!$G$30),Setup!$C$39:$C$50))&lt;=Setup!$C$16),OR(MONTH(WORKDAY(L393,-(Setup!$C$13+Setup!$G$30),Setup!$C$39:$C$50))&gt;=Setup!$C$15,MONTH(WORKDAY(L393,-(Setup!$C$13+Setup!$G$30),Setup!$C$39:$C$50))&lt;=Setup!$C$16))),WORKDAY(L393,-(Setup!$C$13+Setup!$G$30+Setup!$C$14),Setup!$C$39:$C$50),WORKDAY(L393,-(Setup!$C$13+Setup!$G$30),Setup!$C$39:$C$50))+(388*100+11)/10000000)))</f>
        <v/>
      </c>
      <c r="AC393" t="str">
        <f>IF(M393="","",IF(M393&lt;Setup!$C$5-Setup!$C$6,"",IF(IF(ISNUMBER(Roster!$D393),Setup!$C$31&lt;=Roster!$D393,FALSE),"",IF(OR(IF(Setup!$C$15&lt;=Setup!$C$16,AND(MONTH(M393)&gt;=Setup!$C$15,MONTH(M393)&lt;=Setup!$C$16),OR(MONTH(M393)&gt;=Setup!$C$15,MONTH(M393)&lt;=Setup!$C$16)),IF(Setup!$C$15&lt;=Setup!$C$16,AND(MONTH(WORKDAY(M393,-(Setup!$C$13+Setup!$G$31),Setup!$C$39:$C$50))&gt;=Setup!$C$15,MONTH(WORKDAY(M393,-(Setup!$C$13+Setup!$G$31),Setup!$C$39:$C$50))&lt;=Setup!$C$16),OR(MONTH(WORKDAY(M393,-(Setup!$C$13+Setup!$G$31),Setup!$C$39:$C$50))&gt;=Setup!$C$15,MONTH(WORKDAY(M393,-(Setup!$C$13+Setup!$G$31),Setup!$C$39:$C$50))&lt;=Setup!$C$16))),WORKDAY(M393,-(Setup!$C$13+Setup!$G$31+Setup!$C$14),Setup!$C$39:$C$50),WORKDAY(M393,-(Setup!$C$13+Setup!$G$31),Setup!$C$39:$C$50))+(388*100+12)/10000000)))</f>
        <v/>
      </c>
      <c r="AD393" t="str">
        <f>IF(N393="","",IF(N393&lt;Setup!$C$5-Setup!$C$6,"",IF(IF(ISNUMBER(Roster!$D393),Setup!$C$32&lt;=Roster!$D393,FALSE),"",IF(OR(IF(Setup!$C$15&lt;=Setup!$C$16,AND(MONTH(N393)&gt;=Setup!$C$15,MONTH(N393)&lt;=Setup!$C$16),OR(MONTH(N393)&gt;=Setup!$C$15,MONTH(N393)&lt;=Setup!$C$16)),IF(Setup!$C$15&lt;=Setup!$C$16,AND(MONTH(WORKDAY(N393,-(Setup!$C$13+Setup!$G$32),Setup!$C$39:$C$50))&gt;=Setup!$C$15,MONTH(WORKDAY(N393,-(Setup!$C$13+Setup!$G$32),Setup!$C$39:$C$50))&lt;=Setup!$C$16),OR(MONTH(WORKDAY(N393,-(Setup!$C$13+Setup!$G$32),Setup!$C$39:$C$50))&gt;=Setup!$C$15,MONTH(WORKDAY(N393,-(Setup!$C$13+Setup!$G$32),Setup!$C$39:$C$50))&lt;=Setup!$C$16))),WORKDAY(N393,-(Setup!$C$13+Setup!$G$32+Setup!$C$14),Setup!$C$39:$C$50),WORKDAY(N393,-(Setup!$C$13+Setup!$G$32),Setup!$C$39:$C$50))+(388*100+13)/10000000)))</f>
        <v/>
      </c>
      <c r="AE393" t="str">
        <f>IF(O393="","",IF(O393&lt;Setup!$C$5-Setup!$C$6,"",IF(IF(ISNUMBER(Roster!$D393),Setup!$C$33&lt;=Roster!$D393,FALSE),"",IF(OR(IF(Setup!$C$15&lt;=Setup!$C$16,AND(MONTH(O393)&gt;=Setup!$C$15,MONTH(O393)&lt;=Setup!$C$16),OR(MONTH(O393)&gt;=Setup!$C$15,MONTH(O393)&lt;=Setup!$C$16)),IF(Setup!$C$15&lt;=Setup!$C$16,AND(MONTH(WORKDAY(O393,-(Setup!$C$13+Setup!$G$33),Setup!$C$39:$C$50))&gt;=Setup!$C$15,MONTH(WORKDAY(O393,-(Setup!$C$13+Setup!$G$33),Setup!$C$39:$C$50))&lt;=Setup!$C$16),OR(MONTH(WORKDAY(O393,-(Setup!$C$13+Setup!$G$33),Setup!$C$39:$C$50))&gt;=Setup!$C$15,MONTH(WORKDAY(O393,-(Setup!$C$13+Setup!$G$33),Setup!$C$39:$C$50))&lt;=Setup!$C$16))),WORKDAY(O393,-(Setup!$C$13+Setup!$G$33+Setup!$C$14),Setup!$C$39:$C$50),WORKDAY(O393,-(Setup!$C$13+Setup!$G$33),Setup!$C$39:$C$50))+(388*100+14)/10000000)))</f>
        <v/>
      </c>
      <c r="AF393" t="str">
        <f>IF(P393="","",IF(P393&lt;Setup!$C$5-Setup!$C$6,"",IF(IF(ISNUMBER(Roster!$D393),Setup!$C$34&lt;=Roster!$D393,FALSE),"",IF(OR(IF(Setup!$C$15&lt;=Setup!$C$16,AND(MONTH(P393)&gt;=Setup!$C$15,MONTH(P393)&lt;=Setup!$C$16),OR(MONTH(P393)&gt;=Setup!$C$15,MONTH(P393)&lt;=Setup!$C$16)),IF(Setup!$C$15&lt;=Setup!$C$16,AND(MONTH(WORKDAY(P393,-(Setup!$C$13+Setup!$G$34),Setup!$C$39:$C$50))&gt;=Setup!$C$15,MONTH(WORKDAY(P393,-(Setup!$C$13+Setup!$G$34),Setup!$C$39:$C$50))&lt;=Setup!$C$16),OR(MONTH(WORKDAY(P393,-(Setup!$C$13+Setup!$G$34),Setup!$C$39:$C$50))&gt;=Setup!$C$15,MONTH(WORKDAY(P393,-(Setup!$C$13+Setup!$G$34),Setup!$C$39:$C$50))&lt;=Setup!$C$16))),WORKDAY(P393,-(Setup!$C$13+Setup!$G$34+Setup!$C$14),Setup!$C$39:$C$50),WORKDAY(P393,-(Setup!$C$13+Setup!$G$34),Setup!$C$39:$C$50))+(388*100+15)/10000000)))</f>
        <v/>
      </c>
      <c r="AH393" t="str">
        <f t="shared" si="46"/>
        <v/>
      </c>
      <c r="AI393" t="str">
        <f t="shared" si="47"/>
        <v/>
      </c>
      <c r="AP393" t="str">
        <f>IF(ISNUMBER(Roster!$B393),MAX(1,YEAR(Setup!$C$5)-YEAR(Roster!$B393)+IF(EDATE(Roster!$B393,12*(YEAR(Setup!$C$5)-YEAR(Roster!$B393)))&lt;Setup!$C$5,1,0)),"")</f>
        <v/>
      </c>
      <c r="AQ393" s="32" t="str">
        <f>IF(AP393="","",EDATE(Roster!$B393,12*AP393))</f>
        <v/>
      </c>
      <c r="AR393" t="str">
        <f>IF(AQ393="","",IF(AQ393&lt;DATE(YEAR(Setup!$C$5)+1,MONTH(Setup!$C$5),DAY(Setup!$C$5)),AQ393+388/1000,""))</f>
        <v/>
      </c>
      <c r="AS393" t="str">
        <f t="shared" si="48"/>
        <v/>
      </c>
      <c r="AT393" t="str">
        <f>IF(AS393="","",IF(ISNUMBER(Roster!$D393),Roster!$D393&gt;=AP393,FALSE))</f>
        <v/>
      </c>
      <c r="AU393" t="str">
        <f t="shared" si="49"/>
        <v/>
      </c>
      <c r="AV393" t="str">
        <f ca="1">IF(388&gt;$AV$2,"",SMALL($AR$6:$AR$505,388))</f>
        <v/>
      </c>
      <c r="AW393" t="str">
        <f t="shared" ca="1" si="50"/>
        <v/>
      </c>
    </row>
    <row r="394" spans="2:49" x14ac:dyDescent="0.2">
      <c r="B394" s="32" t="str">
        <f>IF(AND(ISNUMBER(Roster!$B394),Setup!$B$20="Yes",ISNUMBER(Setup!$C$20)),EDATE(Roster!$B394,12*Setup!$C$20),"")</f>
        <v/>
      </c>
      <c r="C394" s="32" t="str">
        <f>IF(AND(ISNUMBER(Roster!$B394),Setup!$B$21="Yes",ISNUMBER(Setup!$C$21)),EDATE(Roster!$B394,12*Setup!$C$21),"")</f>
        <v/>
      </c>
      <c r="D394" s="32" t="str">
        <f>IF(AND(ISNUMBER(Roster!$B394),Setup!$B$22="Yes",ISNUMBER(Setup!$C$22)),EDATE(Roster!$B394,12*Setup!$C$22),"")</f>
        <v/>
      </c>
      <c r="E394" s="32" t="str">
        <f>IF(AND(ISNUMBER(Roster!$B394),Setup!$B$23="Yes",ISNUMBER(Setup!$C$23)),EDATE(Roster!$B394,12*Setup!$C$23),"")</f>
        <v/>
      </c>
      <c r="F394" s="32" t="str">
        <f>IF(AND(ISNUMBER(Roster!$B394),Setup!$B$24="Yes",ISNUMBER(Setup!$C$24)),EDATE(Roster!$B394,12*Setup!$C$24),"")</f>
        <v/>
      </c>
      <c r="G394" s="32" t="str">
        <f>IF(AND(ISNUMBER(Roster!$B394),Setup!$B$25="Yes",ISNUMBER(Setup!$C$25)),EDATE(Roster!$B394,12*Setup!$C$25),"")</f>
        <v/>
      </c>
      <c r="H394" s="32" t="str">
        <f>IF(AND(ISNUMBER(Roster!$B394),Setup!$B$26="Yes",ISNUMBER(Setup!$C$26)),EDATE(Roster!$B394,12*Setup!$C$26),"")</f>
        <v/>
      </c>
      <c r="I394" s="32" t="str">
        <f>IF(AND(ISNUMBER(Roster!$B394),Setup!$B$27="Yes",ISNUMBER(Setup!$C$27)),EDATE(Roster!$B394,12*Setup!$C$27),"")</f>
        <v/>
      </c>
      <c r="J394" s="32" t="str">
        <f>IF(AND(ISNUMBER(Roster!$B394),Setup!$B$28="Yes",ISNUMBER(Setup!$C$28)),EDATE(Roster!$B394,12*Setup!$C$28),"")</f>
        <v/>
      </c>
      <c r="K394" s="32" t="str">
        <f>IF(AND(ISNUMBER(Roster!$B394),Setup!$B$29="Yes",ISNUMBER(Setup!$C$29)),EDATE(Roster!$B394,12*Setup!$C$29),"")</f>
        <v/>
      </c>
      <c r="L394" s="32" t="str">
        <f>IF(AND(ISNUMBER(Roster!$B394),Setup!$B$30="Yes",ISNUMBER(Setup!$C$30)),EDATE(Roster!$B394,12*Setup!$C$30),"")</f>
        <v/>
      </c>
      <c r="M394" s="32" t="str">
        <f>IF(AND(ISNUMBER(Roster!$B394),Setup!$B$31="Yes",ISNUMBER(Setup!$C$31)),EDATE(Roster!$B394,12*Setup!$C$31),"")</f>
        <v/>
      </c>
      <c r="N394" s="32" t="str">
        <f>IF(AND(ISNUMBER(Roster!$B394),Setup!$B$32="Yes",ISNUMBER(Setup!$C$32)),EDATE(Roster!$B394,12*Setup!$C$32),"")</f>
        <v/>
      </c>
      <c r="O394" s="32" t="str">
        <f>IF(AND(ISNUMBER(Roster!$B394),Setup!$B$33="Yes",ISNUMBER(Setup!$C$33)),EDATE(Roster!$B394,12*Setup!$C$33),"")</f>
        <v/>
      </c>
      <c r="P394" s="32" t="str">
        <f>IF(AND(ISNUMBER(Roster!$B394),Setup!$B$34="Yes",ISNUMBER(Setup!$C$34)),EDATE(Roster!$B394,12*Setup!$C$34),"")</f>
        <v/>
      </c>
      <c r="R394" t="str">
        <f>IF(B394="","",IF(B394&lt;Setup!$C$5-Setup!$C$6,"",IF(IF(ISNUMBER(Roster!$D394),Setup!$C$20&lt;=Roster!$D394,FALSE),"",IF(OR(IF(Setup!$C$15&lt;=Setup!$C$16,AND(MONTH(B394)&gt;=Setup!$C$15,MONTH(B394)&lt;=Setup!$C$16),OR(MONTH(B394)&gt;=Setup!$C$15,MONTH(B394)&lt;=Setup!$C$16)),IF(Setup!$C$15&lt;=Setup!$C$16,AND(MONTH(WORKDAY(B394,-(Setup!$C$13+Setup!$G$20),Setup!$C$39:$C$50))&gt;=Setup!$C$15,MONTH(WORKDAY(B394,-(Setup!$C$13+Setup!$G$20),Setup!$C$39:$C$50))&lt;=Setup!$C$16),OR(MONTH(WORKDAY(B394,-(Setup!$C$13+Setup!$G$20),Setup!$C$39:$C$50))&gt;=Setup!$C$15,MONTH(WORKDAY(B394,-(Setup!$C$13+Setup!$G$20),Setup!$C$39:$C$50))&lt;=Setup!$C$16))),WORKDAY(B394,-(Setup!$C$13+Setup!$G$20+Setup!$C$14),Setup!$C$39:$C$50),WORKDAY(B394,-(Setup!$C$13+Setup!$G$20),Setup!$C$39:$C$50))+(389*100+1)/10000000)))</f>
        <v/>
      </c>
      <c r="S394" t="str">
        <f>IF(C394="","",IF(C394&lt;Setup!$C$5-Setup!$C$6,"",IF(IF(ISNUMBER(Roster!$D394),Setup!$C$21&lt;=Roster!$D394,FALSE),"",IF(OR(IF(Setup!$C$15&lt;=Setup!$C$16,AND(MONTH(C394)&gt;=Setup!$C$15,MONTH(C394)&lt;=Setup!$C$16),OR(MONTH(C394)&gt;=Setup!$C$15,MONTH(C394)&lt;=Setup!$C$16)),IF(Setup!$C$15&lt;=Setup!$C$16,AND(MONTH(WORKDAY(C394,-(Setup!$C$13+Setup!$G$21),Setup!$C$39:$C$50))&gt;=Setup!$C$15,MONTH(WORKDAY(C394,-(Setup!$C$13+Setup!$G$21),Setup!$C$39:$C$50))&lt;=Setup!$C$16),OR(MONTH(WORKDAY(C394,-(Setup!$C$13+Setup!$G$21),Setup!$C$39:$C$50))&gt;=Setup!$C$15,MONTH(WORKDAY(C394,-(Setup!$C$13+Setup!$G$21),Setup!$C$39:$C$50))&lt;=Setup!$C$16))),WORKDAY(C394,-(Setup!$C$13+Setup!$G$21+Setup!$C$14),Setup!$C$39:$C$50),WORKDAY(C394,-(Setup!$C$13+Setup!$G$21),Setup!$C$39:$C$50))+(389*100+2)/10000000)))</f>
        <v/>
      </c>
      <c r="T394" t="str">
        <f>IF(D394="","",IF(D394&lt;Setup!$C$5-Setup!$C$6,"",IF(IF(ISNUMBER(Roster!$D394),Setup!$C$22&lt;=Roster!$D394,FALSE),"",IF(OR(IF(Setup!$C$15&lt;=Setup!$C$16,AND(MONTH(D394)&gt;=Setup!$C$15,MONTH(D394)&lt;=Setup!$C$16),OR(MONTH(D394)&gt;=Setup!$C$15,MONTH(D394)&lt;=Setup!$C$16)),IF(Setup!$C$15&lt;=Setup!$C$16,AND(MONTH(WORKDAY(D394,-(Setup!$C$13+Setup!$G$22),Setup!$C$39:$C$50))&gt;=Setup!$C$15,MONTH(WORKDAY(D394,-(Setup!$C$13+Setup!$G$22),Setup!$C$39:$C$50))&lt;=Setup!$C$16),OR(MONTH(WORKDAY(D394,-(Setup!$C$13+Setup!$G$22),Setup!$C$39:$C$50))&gt;=Setup!$C$15,MONTH(WORKDAY(D394,-(Setup!$C$13+Setup!$G$22),Setup!$C$39:$C$50))&lt;=Setup!$C$16))),WORKDAY(D394,-(Setup!$C$13+Setup!$G$22+Setup!$C$14),Setup!$C$39:$C$50),WORKDAY(D394,-(Setup!$C$13+Setup!$G$22),Setup!$C$39:$C$50))+(389*100+3)/10000000)))</f>
        <v/>
      </c>
      <c r="U394" t="str">
        <f>IF(E394="","",IF(E394&lt;Setup!$C$5-Setup!$C$6,"",IF(IF(ISNUMBER(Roster!$D394),Setup!$C$23&lt;=Roster!$D394,FALSE),"",IF(OR(IF(Setup!$C$15&lt;=Setup!$C$16,AND(MONTH(E394)&gt;=Setup!$C$15,MONTH(E394)&lt;=Setup!$C$16),OR(MONTH(E394)&gt;=Setup!$C$15,MONTH(E394)&lt;=Setup!$C$16)),IF(Setup!$C$15&lt;=Setup!$C$16,AND(MONTH(WORKDAY(E394,-(Setup!$C$13+Setup!$G$23),Setup!$C$39:$C$50))&gt;=Setup!$C$15,MONTH(WORKDAY(E394,-(Setup!$C$13+Setup!$G$23),Setup!$C$39:$C$50))&lt;=Setup!$C$16),OR(MONTH(WORKDAY(E394,-(Setup!$C$13+Setup!$G$23),Setup!$C$39:$C$50))&gt;=Setup!$C$15,MONTH(WORKDAY(E394,-(Setup!$C$13+Setup!$G$23),Setup!$C$39:$C$50))&lt;=Setup!$C$16))),WORKDAY(E394,-(Setup!$C$13+Setup!$G$23+Setup!$C$14),Setup!$C$39:$C$50),WORKDAY(E394,-(Setup!$C$13+Setup!$G$23),Setup!$C$39:$C$50))+(389*100+4)/10000000)))</f>
        <v/>
      </c>
      <c r="V394" t="str">
        <f>IF(F394="","",IF(F394&lt;Setup!$C$5-Setup!$C$6,"",IF(IF(ISNUMBER(Roster!$D394),Setup!$C$24&lt;=Roster!$D394,FALSE),"",IF(OR(IF(Setup!$C$15&lt;=Setup!$C$16,AND(MONTH(F394)&gt;=Setup!$C$15,MONTH(F394)&lt;=Setup!$C$16),OR(MONTH(F394)&gt;=Setup!$C$15,MONTH(F394)&lt;=Setup!$C$16)),IF(Setup!$C$15&lt;=Setup!$C$16,AND(MONTH(WORKDAY(F394,-(Setup!$C$13+Setup!$G$24),Setup!$C$39:$C$50))&gt;=Setup!$C$15,MONTH(WORKDAY(F394,-(Setup!$C$13+Setup!$G$24),Setup!$C$39:$C$50))&lt;=Setup!$C$16),OR(MONTH(WORKDAY(F394,-(Setup!$C$13+Setup!$G$24),Setup!$C$39:$C$50))&gt;=Setup!$C$15,MONTH(WORKDAY(F394,-(Setup!$C$13+Setup!$G$24),Setup!$C$39:$C$50))&lt;=Setup!$C$16))),WORKDAY(F394,-(Setup!$C$13+Setup!$G$24+Setup!$C$14),Setup!$C$39:$C$50),WORKDAY(F394,-(Setup!$C$13+Setup!$G$24),Setup!$C$39:$C$50))+(389*100+5)/10000000)))</f>
        <v/>
      </c>
      <c r="W394" t="str">
        <f>IF(G394="","",IF(G394&lt;Setup!$C$5-Setup!$C$6,"",IF(IF(ISNUMBER(Roster!$D394),Setup!$C$25&lt;=Roster!$D394,FALSE),"",IF(OR(IF(Setup!$C$15&lt;=Setup!$C$16,AND(MONTH(G394)&gt;=Setup!$C$15,MONTH(G394)&lt;=Setup!$C$16),OR(MONTH(G394)&gt;=Setup!$C$15,MONTH(G394)&lt;=Setup!$C$16)),IF(Setup!$C$15&lt;=Setup!$C$16,AND(MONTH(WORKDAY(G394,-(Setup!$C$13+Setup!$G$25),Setup!$C$39:$C$50))&gt;=Setup!$C$15,MONTH(WORKDAY(G394,-(Setup!$C$13+Setup!$G$25),Setup!$C$39:$C$50))&lt;=Setup!$C$16),OR(MONTH(WORKDAY(G394,-(Setup!$C$13+Setup!$G$25),Setup!$C$39:$C$50))&gt;=Setup!$C$15,MONTH(WORKDAY(G394,-(Setup!$C$13+Setup!$G$25),Setup!$C$39:$C$50))&lt;=Setup!$C$16))),WORKDAY(G394,-(Setup!$C$13+Setup!$G$25+Setup!$C$14),Setup!$C$39:$C$50),WORKDAY(G394,-(Setup!$C$13+Setup!$G$25),Setup!$C$39:$C$50))+(389*100+6)/10000000)))</f>
        <v/>
      </c>
      <c r="X394" t="str">
        <f>IF(H394="","",IF(H394&lt;Setup!$C$5-Setup!$C$6,"",IF(IF(ISNUMBER(Roster!$D394),Setup!$C$26&lt;=Roster!$D394,FALSE),"",IF(OR(IF(Setup!$C$15&lt;=Setup!$C$16,AND(MONTH(H394)&gt;=Setup!$C$15,MONTH(H394)&lt;=Setup!$C$16),OR(MONTH(H394)&gt;=Setup!$C$15,MONTH(H394)&lt;=Setup!$C$16)),IF(Setup!$C$15&lt;=Setup!$C$16,AND(MONTH(WORKDAY(H394,-(Setup!$C$13+Setup!$G$26),Setup!$C$39:$C$50))&gt;=Setup!$C$15,MONTH(WORKDAY(H394,-(Setup!$C$13+Setup!$G$26),Setup!$C$39:$C$50))&lt;=Setup!$C$16),OR(MONTH(WORKDAY(H394,-(Setup!$C$13+Setup!$G$26),Setup!$C$39:$C$50))&gt;=Setup!$C$15,MONTH(WORKDAY(H394,-(Setup!$C$13+Setup!$G$26),Setup!$C$39:$C$50))&lt;=Setup!$C$16))),WORKDAY(H394,-(Setup!$C$13+Setup!$G$26+Setup!$C$14),Setup!$C$39:$C$50),WORKDAY(H394,-(Setup!$C$13+Setup!$G$26),Setup!$C$39:$C$50))+(389*100+7)/10000000)))</f>
        <v/>
      </c>
      <c r="Y394" t="str">
        <f>IF(I394="","",IF(I394&lt;Setup!$C$5-Setup!$C$6,"",IF(IF(ISNUMBER(Roster!$D394),Setup!$C$27&lt;=Roster!$D394,FALSE),"",IF(OR(IF(Setup!$C$15&lt;=Setup!$C$16,AND(MONTH(I394)&gt;=Setup!$C$15,MONTH(I394)&lt;=Setup!$C$16),OR(MONTH(I394)&gt;=Setup!$C$15,MONTH(I394)&lt;=Setup!$C$16)),IF(Setup!$C$15&lt;=Setup!$C$16,AND(MONTH(WORKDAY(I394,-(Setup!$C$13+Setup!$G$27),Setup!$C$39:$C$50))&gt;=Setup!$C$15,MONTH(WORKDAY(I394,-(Setup!$C$13+Setup!$G$27),Setup!$C$39:$C$50))&lt;=Setup!$C$16),OR(MONTH(WORKDAY(I394,-(Setup!$C$13+Setup!$G$27),Setup!$C$39:$C$50))&gt;=Setup!$C$15,MONTH(WORKDAY(I394,-(Setup!$C$13+Setup!$G$27),Setup!$C$39:$C$50))&lt;=Setup!$C$16))),WORKDAY(I394,-(Setup!$C$13+Setup!$G$27+Setup!$C$14),Setup!$C$39:$C$50),WORKDAY(I394,-(Setup!$C$13+Setup!$G$27),Setup!$C$39:$C$50))+(389*100+8)/10000000)))</f>
        <v/>
      </c>
      <c r="Z394" t="str">
        <f>IF(J394="","",IF(J394&lt;Setup!$C$5-Setup!$C$6,"",IF(IF(ISNUMBER(Roster!$D394),Setup!$C$28&lt;=Roster!$D394,FALSE),"",IF(OR(IF(Setup!$C$15&lt;=Setup!$C$16,AND(MONTH(J394)&gt;=Setup!$C$15,MONTH(J394)&lt;=Setup!$C$16),OR(MONTH(J394)&gt;=Setup!$C$15,MONTH(J394)&lt;=Setup!$C$16)),IF(Setup!$C$15&lt;=Setup!$C$16,AND(MONTH(WORKDAY(J394,-(Setup!$C$13+Setup!$G$28),Setup!$C$39:$C$50))&gt;=Setup!$C$15,MONTH(WORKDAY(J394,-(Setup!$C$13+Setup!$G$28),Setup!$C$39:$C$50))&lt;=Setup!$C$16),OR(MONTH(WORKDAY(J394,-(Setup!$C$13+Setup!$G$28),Setup!$C$39:$C$50))&gt;=Setup!$C$15,MONTH(WORKDAY(J394,-(Setup!$C$13+Setup!$G$28),Setup!$C$39:$C$50))&lt;=Setup!$C$16))),WORKDAY(J394,-(Setup!$C$13+Setup!$G$28+Setup!$C$14),Setup!$C$39:$C$50),WORKDAY(J394,-(Setup!$C$13+Setup!$G$28),Setup!$C$39:$C$50))+(389*100+9)/10000000)))</f>
        <v/>
      </c>
      <c r="AA394" t="str">
        <f>IF(K394="","",IF(K394&lt;Setup!$C$5-Setup!$C$6,"",IF(IF(ISNUMBER(Roster!$D394),Setup!$C$29&lt;=Roster!$D394,FALSE),"",IF(OR(IF(Setup!$C$15&lt;=Setup!$C$16,AND(MONTH(K394)&gt;=Setup!$C$15,MONTH(K394)&lt;=Setup!$C$16),OR(MONTH(K394)&gt;=Setup!$C$15,MONTH(K394)&lt;=Setup!$C$16)),IF(Setup!$C$15&lt;=Setup!$C$16,AND(MONTH(WORKDAY(K394,-(Setup!$C$13+Setup!$G$29),Setup!$C$39:$C$50))&gt;=Setup!$C$15,MONTH(WORKDAY(K394,-(Setup!$C$13+Setup!$G$29),Setup!$C$39:$C$50))&lt;=Setup!$C$16),OR(MONTH(WORKDAY(K394,-(Setup!$C$13+Setup!$G$29),Setup!$C$39:$C$50))&gt;=Setup!$C$15,MONTH(WORKDAY(K394,-(Setup!$C$13+Setup!$G$29),Setup!$C$39:$C$50))&lt;=Setup!$C$16))),WORKDAY(K394,-(Setup!$C$13+Setup!$G$29+Setup!$C$14),Setup!$C$39:$C$50),WORKDAY(K394,-(Setup!$C$13+Setup!$G$29),Setup!$C$39:$C$50))+(389*100+10)/10000000)))</f>
        <v/>
      </c>
      <c r="AB394" t="str">
        <f>IF(L394="","",IF(L394&lt;Setup!$C$5-Setup!$C$6,"",IF(IF(ISNUMBER(Roster!$D394),Setup!$C$30&lt;=Roster!$D394,FALSE),"",IF(OR(IF(Setup!$C$15&lt;=Setup!$C$16,AND(MONTH(L394)&gt;=Setup!$C$15,MONTH(L394)&lt;=Setup!$C$16),OR(MONTH(L394)&gt;=Setup!$C$15,MONTH(L394)&lt;=Setup!$C$16)),IF(Setup!$C$15&lt;=Setup!$C$16,AND(MONTH(WORKDAY(L394,-(Setup!$C$13+Setup!$G$30),Setup!$C$39:$C$50))&gt;=Setup!$C$15,MONTH(WORKDAY(L394,-(Setup!$C$13+Setup!$G$30),Setup!$C$39:$C$50))&lt;=Setup!$C$16),OR(MONTH(WORKDAY(L394,-(Setup!$C$13+Setup!$G$30),Setup!$C$39:$C$50))&gt;=Setup!$C$15,MONTH(WORKDAY(L394,-(Setup!$C$13+Setup!$G$30),Setup!$C$39:$C$50))&lt;=Setup!$C$16))),WORKDAY(L394,-(Setup!$C$13+Setup!$G$30+Setup!$C$14),Setup!$C$39:$C$50),WORKDAY(L394,-(Setup!$C$13+Setup!$G$30),Setup!$C$39:$C$50))+(389*100+11)/10000000)))</f>
        <v/>
      </c>
      <c r="AC394" t="str">
        <f>IF(M394="","",IF(M394&lt;Setup!$C$5-Setup!$C$6,"",IF(IF(ISNUMBER(Roster!$D394),Setup!$C$31&lt;=Roster!$D394,FALSE),"",IF(OR(IF(Setup!$C$15&lt;=Setup!$C$16,AND(MONTH(M394)&gt;=Setup!$C$15,MONTH(M394)&lt;=Setup!$C$16),OR(MONTH(M394)&gt;=Setup!$C$15,MONTH(M394)&lt;=Setup!$C$16)),IF(Setup!$C$15&lt;=Setup!$C$16,AND(MONTH(WORKDAY(M394,-(Setup!$C$13+Setup!$G$31),Setup!$C$39:$C$50))&gt;=Setup!$C$15,MONTH(WORKDAY(M394,-(Setup!$C$13+Setup!$G$31),Setup!$C$39:$C$50))&lt;=Setup!$C$16),OR(MONTH(WORKDAY(M394,-(Setup!$C$13+Setup!$G$31),Setup!$C$39:$C$50))&gt;=Setup!$C$15,MONTH(WORKDAY(M394,-(Setup!$C$13+Setup!$G$31),Setup!$C$39:$C$50))&lt;=Setup!$C$16))),WORKDAY(M394,-(Setup!$C$13+Setup!$G$31+Setup!$C$14),Setup!$C$39:$C$50),WORKDAY(M394,-(Setup!$C$13+Setup!$G$31),Setup!$C$39:$C$50))+(389*100+12)/10000000)))</f>
        <v/>
      </c>
      <c r="AD394" t="str">
        <f>IF(N394="","",IF(N394&lt;Setup!$C$5-Setup!$C$6,"",IF(IF(ISNUMBER(Roster!$D394),Setup!$C$32&lt;=Roster!$D394,FALSE),"",IF(OR(IF(Setup!$C$15&lt;=Setup!$C$16,AND(MONTH(N394)&gt;=Setup!$C$15,MONTH(N394)&lt;=Setup!$C$16),OR(MONTH(N394)&gt;=Setup!$C$15,MONTH(N394)&lt;=Setup!$C$16)),IF(Setup!$C$15&lt;=Setup!$C$16,AND(MONTH(WORKDAY(N394,-(Setup!$C$13+Setup!$G$32),Setup!$C$39:$C$50))&gt;=Setup!$C$15,MONTH(WORKDAY(N394,-(Setup!$C$13+Setup!$G$32),Setup!$C$39:$C$50))&lt;=Setup!$C$16),OR(MONTH(WORKDAY(N394,-(Setup!$C$13+Setup!$G$32),Setup!$C$39:$C$50))&gt;=Setup!$C$15,MONTH(WORKDAY(N394,-(Setup!$C$13+Setup!$G$32),Setup!$C$39:$C$50))&lt;=Setup!$C$16))),WORKDAY(N394,-(Setup!$C$13+Setup!$G$32+Setup!$C$14),Setup!$C$39:$C$50),WORKDAY(N394,-(Setup!$C$13+Setup!$G$32),Setup!$C$39:$C$50))+(389*100+13)/10000000)))</f>
        <v/>
      </c>
      <c r="AE394" t="str">
        <f>IF(O394="","",IF(O394&lt;Setup!$C$5-Setup!$C$6,"",IF(IF(ISNUMBER(Roster!$D394),Setup!$C$33&lt;=Roster!$D394,FALSE),"",IF(OR(IF(Setup!$C$15&lt;=Setup!$C$16,AND(MONTH(O394)&gt;=Setup!$C$15,MONTH(O394)&lt;=Setup!$C$16),OR(MONTH(O394)&gt;=Setup!$C$15,MONTH(O394)&lt;=Setup!$C$16)),IF(Setup!$C$15&lt;=Setup!$C$16,AND(MONTH(WORKDAY(O394,-(Setup!$C$13+Setup!$G$33),Setup!$C$39:$C$50))&gt;=Setup!$C$15,MONTH(WORKDAY(O394,-(Setup!$C$13+Setup!$G$33),Setup!$C$39:$C$50))&lt;=Setup!$C$16),OR(MONTH(WORKDAY(O394,-(Setup!$C$13+Setup!$G$33),Setup!$C$39:$C$50))&gt;=Setup!$C$15,MONTH(WORKDAY(O394,-(Setup!$C$13+Setup!$G$33),Setup!$C$39:$C$50))&lt;=Setup!$C$16))),WORKDAY(O394,-(Setup!$C$13+Setup!$G$33+Setup!$C$14),Setup!$C$39:$C$50),WORKDAY(O394,-(Setup!$C$13+Setup!$G$33),Setup!$C$39:$C$50))+(389*100+14)/10000000)))</f>
        <v/>
      </c>
      <c r="AF394" t="str">
        <f>IF(P394="","",IF(P394&lt;Setup!$C$5-Setup!$C$6,"",IF(IF(ISNUMBER(Roster!$D394),Setup!$C$34&lt;=Roster!$D394,FALSE),"",IF(OR(IF(Setup!$C$15&lt;=Setup!$C$16,AND(MONTH(P394)&gt;=Setup!$C$15,MONTH(P394)&lt;=Setup!$C$16),OR(MONTH(P394)&gt;=Setup!$C$15,MONTH(P394)&lt;=Setup!$C$16)),IF(Setup!$C$15&lt;=Setup!$C$16,AND(MONTH(WORKDAY(P394,-(Setup!$C$13+Setup!$G$34),Setup!$C$39:$C$50))&gt;=Setup!$C$15,MONTH(WORKDAY(P394,-(Setup!$C$13+Setup!$G$34),Setup!$C$39:$C$50))&lt;=Setup!$C$16),OR(MONTH(WORKDAY(P394,-(Setup!$C$13+Setup!$G$34),Setup!$C$39:$C$50))&gt;=Setup!$C$15,MONTH(WORKDAY(P394,-(Setup!$C$13+Setup!$G$34),Setup!$C$39:$C$50))&lt;=Setup!$C$16))),WORKDAY(P394,-(Setup!$C$13+Setup!$G$34+Setup!$C$14),Setup!$C$39:$C$50),WORKDAY(P394,-(Setup!$C$13+Setup!$G$34),Setup!$C$39:$C$50))+(389*100+15)/10000000)))</f>
        <v/>
      </c>
      <c r="AH394" t="str">
        <f t="shared" si="46"/>
        <v/>
      </c>
      <c r="AI394" t="str">
        <f t="shared" si="47"/>
        <v/>
      </c>
      <c r="AP394" t="str">
        <f>IF(ISNUMBER(Roster!$B394),MAX(1,YEAR(Setup!$C$5)-YEAR(Roster!$B394)+IF(EDATE(Roster!$B394,12*(YEAR(Setup!$C$5)-YEAR(Roster!$B394)))&lt;Setup!$C$5,1,0)),"")</f>
        <v/>
      </c>
      <c r="AQ394" s="32" t="str">
        <f>IF(AP394="","",EDATE(Roster!$B394,12*AP394))</f>
        <v/>
      </c>
      <c r="AR394" t="str">
        <f>IF(AQ394="","",IF(AQ394&lt;DATE(YEAR(Setup!$C$5)+1,MONTH(Setup!$C$5),DAY(Setup!$C$5)),AQ394+389/1000,""))</f>
        <v/>
      </c>
      <c r="AS394" t="str">
        <f t="shared" si="48"/>
        <v/>
      </c>
      <c r="AT394" t="str">
        <f>IF(AS394="","",IF(ISNUMBER(Roster!$D394),Roster!$D394&gt;=AP394,FALSE))</f>
        <v/>
      </c>
      <c r="AU394" t="str">
        <f t="shared" si="49"/>
        <v/>
      </c>
      <c r="AV394" t="str">
        <f ca="1">IF(389&gt;$AV$2,"",SMALL($AR$6:$AR$505,389))</f>
        <v/>
      </c>
      <c r="AW394" t="str">
        <f t="shared" ca="1" si="50"/>
        <v/>
      </c>
    </row>
    <row r="395" spans="2:49" x14ac:dyDescent="0.2">
      <c r="B395" s="32" t="str">
        <f>IF(AND(ISNUMBER(Roster!$B395),Setup!$B$20="Yes",ISNUMBER(Setup!$C$20)),EDATE(Roster!$B395,12*Setup!$C$20),"")</f>
        <v/>
      </c>
      <c r="C395" s="32" t="str">
        <f>IF(AND(ISNUMBER(Roster!$B395),Setup!$B$21="Yes",ISNUMBER(Setup!$C$21)),EDATE(Roster!$B395,12*Setup!$C$21),"")</f>
        <v/>
      </c>
      <c r="D395" s="32" t="str">
        <f>IF(AND(ISNUMBER(Roster!$B395),Setup!$B$22="Yes",ISNUMBER(Setup!$C$22)),EDATE(Roster!$B395,12*Setup!$C$22),"")</f>
        <v/>
      </c>
      <c r="E395" s="32" t="str">
        <f>IF(AND(ISNUMBER(Roster!$B395),Setup!$B$23="Yes",ISNUMBER(Setup!$C$23)),EDATE(Roster!$B395,12*Setup!$C$23),"")</f>
        <v/>
      </c>
      <c r="F395" s="32" t="str">
        <f>IF(AND(ISNUMBER(Roster!$B395),Setup!$B$24="Yes",ISNUMBER(Setup!$C$24)),EDATE(Roster!$B395,12*Setup!$C$24),"")</f>
        <v/>
      </c>
      <c r="G395" s="32" t="str">
        <f>IF(AND(ISNUMBER(Roster!$B395),Setup!$B$25="Yes",ISNUMBER(Setup!$C$25)),EDATE(Roster!$B395,12*Setup!$C$25),"")</f>
        <v/>
      </c>
      <c r="H395" s="32" t="str">
        <f>IF(AND(ISNUMBER(Roster!$B395),Setup!$B$26="Yes",ISNUMBER(Setup!$C$26)),EDATE(Roster!$B395,12*Setup!$C$26),"")</f>
        <v/>
      </c>
      <c r="I395" s="32" t="str">
        <f>IF(AND(ISNUMBER(Roster!$B395),Setup!$B$27="Yes",ISNUMBER(Setup!$C$27)),EDATE(Roster!$B395,12*Setup!$C$27),"")</f>
        <v/>
      </c>
      <c r="J395" s="32" t="str">
        <f>IF(AND(ISNUMBER(Roster!$B395),Setup!$B$28="Yes",ISNUMBER(Setup!$C$28)),EDATE(Roster!$B395,12*Setup!$C$28),"")</f>
        <v/>
      </c>
      <c r="K395" s="32" t="str">
        <f>IF(AND(ISNUMBER(Roster!$B395),Setup!$B$29="Yes",ISNUMBER(Setup!$C$29)),EDATE(Roster!$B395,12*Setup!$C$29),"")</f>
        <v/>
      </c>
      <c r="L395" s="32" t="str">
        <f>IF(AND(ISNUMBER(Roster!$B395),Setup!$B$30="Yes",ISNUMBER(Setup!$C$30)),EDATE(Roster!$B395,12*Setup!$C$30),"")</f>
        <v/>
      </c>
      <c r="M395" s="32" t="str">
        <f>IF(AND(ISNUMBER(Roster!$B395),Setup!$B$31="Yes",ISNUMBER(Setup!$C$31)),EDATE(Roster!$B395,12*Setup!$C$31),"")</f>
        <v/>
      </c>
      <c r="N395" s="32" t="str">
        <f>IF(AND(ISNUMBER(Roster!$B395),Setup!$B$32="Yes",ISNUMBER(Setup!$C$32)),EDATE(Roster!$B395,12*Setup!$C$32),"")</f>
        <v/>
      </c>
      <c r="O395" s="32" t="str">
        <f>IF(AND(ISNUMBER(Roster!$B395),Setup!$B$33="Yes",ISNUMBER(Setup!$C$33)),EDATE(Roster!$B395,12*Setup!$C$33),"")</f>
        <v/>
      </c>
      <c r="P395" s="32" t="str">
        <f>IF(AND(ISNUMBER(Roster!$B395),Setup!$B$34="Yes",ISNUMBER(Setup!$C$34)),EDATE(Roster!$B395,12*Setup!$C$34),"")</f>
        <v/>
      </c>
      <c r="R395" t="str">
        <f>IF(B395="","",IF(B395&lt;Setup!$C$5-Setup!$C$6,"",IF(IF(ISNUMBER(Roster!$D395),Setup!$C$20&lt;=Roster!$D395,FALSE),"",IF(OR(IF(Setup!$C$15&lt;=Setup!$C$16,AND(MONTH(B395)&gt;=Setup!$C$15,MONTH(B395)&lt;=Setup!$C$16),OR(MONTH(B395)&gt;=Setup!$C$15,MONTH(B395)&lt;=Setup!$C$16)),IF(Setup!$C$15&lt;=Setup!$C$16,AND(MONTH(WORKDAY(B395,-(Setup!$C$13+Setup!$G$20),Setup!$C$39:$C$50))&gt;=Setup!$C$15,MONTH(WORKDAY(B395,-(Setup!$C$13+Setup!$G$20),Setup!$C$39:$C$50))&lt;=Setup!$C$16),OR(MONTH(WORKDAY(B395,-(Setup!$C$13+Setup!$G$20),Setup!$C$39:$C$50))&gt;=Setup!$C$15,MONTH(WORKDAY(B395,-(Setup!$C$13+Setup!$G$20),Setup!$C$39:$C$50))&lt;=Setup!$C$16))),WORKDAY(B395,-(Setup!$C$13+Setup!$G$20+Setup!$C$14),Setup!$C$39:$C$50),WORKDAY(B395,-(Setup!$C$13+Setup!$G$20),Setup!$C$39:$C$50))+(390*100+1)/10000000)))</f>
        <v/>
      </c>
      <c r="S395" t="str">
        <f>IF(C395="","",IF(C395&lt;Setup!$C$5-Setup!$C$6,"",IF(IF(ISNUMBER(Roster!$D395),Setup!$C$21&lt;=Roster!$D395,FALSE),"",IF(OR(IF(Setup!$C$15&lt;=Setup!$C$16,AND(MONTH(C395)&gt;=Setup!$C$15,MONTH(C395)&lt;=Setup!$C$16),OR(MONTH(C395)&gt;=Setup!$C$15,MONTH(C395)&lt;=Setup!$C$16)),IF(Setup!$C$15&lt;=Setup!$C$16,AND(MONTH(WORKDAY(C395,-(Setup!$C$13+Setup!$G$21),Setup!$C$39:$C$50))&gt;=Setup!$C$15,MONTH(WORKDAY(C395,-(Setup!$C$13+Setup!$G$21),Setup!$C$39:$C$50))&lt;=Setup!$C$16),OR(MONTH(WORKDAY(C395,-(Setup!$C$13+Setup!$G$21),Setup!$C$39:$C$50))&gt;=Setup!$C$15,MONTH(WORKDAY(C395,-(Setup!$C$13+Setup!$G$21),Setup!$C$39:$C$50))&lt;=Setup!$C$16))),WORKDAY(C395,-(Setup!$C$13+Setup!$G$21+Setup!$C$14),Setup!$C$39:$C$50),WORKDAY(C395,-(Setup!$C$13+Setup!$G$21),Setup!$C$39:$C$50))+(390*100+2)/10000000)))</f>
        <v/>
      </c>
      <c r="T395" t="str">
        <f>IF(D395="","",IF(D395&lt;Setup!$C$5-Setup!$C$6,"",IF(IF(ISNUMBER(Roster!$D395),Setup!$C$22&lt;=Roster!$D395,FALSE),"",IF(OR(IF(Setup!$C$15&lt;=Setup!$C$16,AND(MONTH(D395)&gt;=Setup!$C$15,MONTH(D395)&lt;=Setup!$C$16),OR(MONTH(D395)&gt;=Setup!$C$15,MONTH(D395)&lt;=Setup!$C$16)),IF(Setup!$C$15&lt;=Setup!$C$16,AND(MONTH(WORKDAY(D395,-(Setup!$C$13+Setup!$G$22),Setup!$C$39:$C$50))&gt;=Setup!$C$15,MONTH(WORKDAY(D395,-(Setup!$C$13+Setup!$G$22),Setup!$C$39:$C$50))&lt;=Setup!$C$16),OR(MONTH(WORKDAY(D395,-(Setup!$C$13+Setup!$G$22),Setup!$C$39:$C$50))&gt;=Setup!$C$15,MONTH(WORKDAY(D395,-(Setup!$C$13+Setup!$G$22),Setup!$C$39:$C$50))&lt;=Setup!$C$16))),WORKDAY(D395,-(Setup!$C$13+Setup!$G$22+Setup!$C$14),Setup!$C$39:$C$50),WORKDAY(D395,-(Setup!$C$13+Setup!$G$22),Setup!$C$39:$C$50))+(390*100+3)/10000000)))</f>
        <v/>
      </c>
      <c r="U395" t="str">
        <f>IF(E395="","",IF(E395&lt;Setup!$C$5-Setup!$C$6,"",IF(IF(ISNUMBER(Roster!$D395),Setup!$C$23&lt;=Roster!$D395,FALSE),"",IF(OR(IF(Setup!$C$15&lt;=Setup!$C$16,AND(MONTH(E395)&gt;=Setup!$C$15,MONTH(E395)&lt;=Setup!$C$16),OR(MONTH(E395)&gt;=Setup!$C$15,MONTH(E395)&lt;=Setup!$C$16)),IF(Setup!$C$15&lt;=Setup!$C$16,AND(MONTH(WORKDAY(E395,-(Setup!$C$13+Setup!$G$23),Setup!$C$39:$C$50))&gt;=Setup!$C$15,MONTH(WORKDAY(E395,-(Setup!$C$13+Setup!$G$23),Setup!$C$39:$C$50))&lt;=Setup!$C$16),OR(MONTH(WORKDAY(E395,-(Setup!$C$13+Setup!$G$23),Setup!$C$39:$C$50))&gt;=Setup!$C$15,MONTH(WORKDAY(E395,-(Setup!$C$13+Setup!$G$23),Setup!$C$39:$C$50))&lt;=Setup!$C$16))),WORKDAY(E395,-(Setup!$C$13+Setup!$G$23+Setup!$C$14),Setup!$C$39:$C$50),WORKDAY(E395,-(Setup!$C$13+Setup!$G$23),Setup!$C$39:$C$50))+(390*100+4)/10000000)))</f>
        <v/>
      </c>
      <c r="V395" t="str">
        <f>IF(F395="","",IF(F395&lt;Setup!$C$5-Setup!$C$6,"",IF(IF(ISNUMBER(Roster!$D395),Setup!$C$24&lt;=Roster!$D395,FALSE),"",IF(OR(IF(Setup!$C$15&lt;=Setup!$C$16,AND(MONTH(F395)&gt;=Setup!$C$15,MONTH(F395)&lt;=Setup!$C$16),OR(MONTH(F395)&gt;=Setup!$C$15,MONTH(F395)&lt;=Setup!$C$16)),IF(Setup!$C$15&lt;=Setup!$C$16,AND(MONTH(WORKDAY(F395,-(Setup!$C$13+Setup!$G$24),Setup!$C$39:$C$50))&gt;=Setup!$C$15,MONTH(WORKDAY(F395,-(Setup!$C$13+Setup!$G$24),Setup!$C$39:$C$50))&lt;=Setup!$C$16),OR(MONTH(WORKDAY(F395,-(Setup!$C$13+Setup!$G$24),Setup!$C$39:$C$50))&gt;=Setup!$C$15,MONTH(WORKDAY(F395,-(Setup!$C$13+Setup!$G$24),Setup!$C$39:$C$50))&lt;=Setup!$C$16))),WORKDAY(F395,-(Setup!$C$13+Setup!$G$24+Setup!$C$14),Setup!$C$39:$C$50),WORKDAY(F395,-(Setup!$C$13+Setup!$G$24),Setup!$C$39:$C$50))+(390*100+5)/10000000)))</f>
        <v/>
      </c>
      <c r="W395" t="str">
        <f>IF(G395="","",IF(G395&lt;Setup!$C$5-Setup!$C$6,"",IF(IF(ISNUMBER(Roster!$D395),Setup!$C$25&lt;=Roster!$D395,FALSE),"",IF(OR(IF(Setup!$C$15&lt;=Setup!$C$16,AND(MONTH(G395)&gt;=Setup!$C$15,MONTH(G395)&lt;=Setup!$C$16),OR(MONTH(G395)&gt;=Setup!$C$15,MONTH(G395)&lt;=Setup!$C$16)),IF(Setup!$C$15&lt;=Setup!$C$16,AND(MONTH(WORKDAY(G395,-(Setup!$C$13+Setup!$G$25),Setup!$C$39:$C$50))&gt;=Setup!$C$15,MONTH(WORKDAY(G395,-(Setup!$C$13+Setup!$G$25),Setup!$C$39:$C$50))&lt;=Setup!$C$16),OR(MONTH(WORKDAY(G395,-(Setup!$C$13+Setup!$G$25),Setup!$C$39:$C$50))&gt;=Setup!$C$15,MONTH(WORKDAY(G395,-(Setup!$C$13+Setup!$G$25),Setup!$C$39:$C$50))&lt;=Setup!$C$16))),WORKDAY(G395,-(Setup!$C$13+Setup!$G$25+Setup!$C$14),Setup!$C$39:$C$50),WORKDAY(G395,-(Setup!$C$13+Setup!$G$25),Setup!$C$39:$C$50))+(390*100+6)/10000000)))</f>
        <v/>
      </c>
      <c r="X395" t="str">
        <f>IF(H395="","",IF(H395&lt;Setup!$C$5-Setup!$C$6,"",IF(IF(ISNUMBER(Roster!$D395),Setup!$C$26&lt;=Roster!$D395,FALSE),"",IF(OR(IF(Setup!$C$15&lt;=Setup!$C$16,AND(MONTH(H395)&gt;=Setup!$C$15,MONTH(H395)&lt;=Setup!$C$16),OR(MONTH(H395)&gt;=Setup!$C$15,MONTH(H395)&lt;=Setup!$C$16)),IF(Setup!$C$15&lt;=Setup!$C$16,AND(MONTH(WORKDAY(H395,-(Setup!$C$13+Setup!$G$26),Setup!$C$39:$C$50))&gt;=Setup!$C$15,MONTH(WORKDAY(H395,-(Setup!$C$13+Setup!$G$26),Setup!$C$39:$C$50))&lt;=Setup!$C$16),OR(MONTH(WORKDAY(H395,-(Setup!$C$13+Setup!$G$26),Setup!$C$39:$C$50))&gt;=Setup!$C$15,MONTH(WORKDAY(H395,-(Setup!$C$13+Setup!$G$26),Setup!$C$39:$C$50))&lt;=Setup!$C$16))),WORKDAY(H395,-(Setup!$C$13+Setup!$G$26+Setup!$C$14),Setup!$C$39:$C$50),WORKDAY(H395,-(Setup!$C$13+Setup!$G$26),Setup!$C$39:$C$50))+(390*100+7)/10000000)))</f>
        <v/>
      </c>
      <c r="Y395" t="str">
        <f>IF(I395="","",IF(I395&lt;Setup!$C$5-Setup!$C$6,"",IF(IF(ISNUMBER(Roster!$D395),Setup!$C$27&lt;=Roster!$D395,FALSE),"",IF(OR(IF(Setup!$C$15&lt;=Setup!$C$16,AND(MONTH(I395)&gt;=Setup!$C$15,MONTH(I395)&lt;=Setup!$C$16),OR(MONTH(I395)&gt;=Setup!$C$15,MONTH(I395)&lt;=Setup!$C$16)),IF(Setup!$C$15&lt;=Setup!$C$16,AND(MONTH(WORKDAY(I395,-(Setup!$C$13+Setup!$G$27),Setup!$C$39:$C$50))&gt;=Setup!$C$15,MONTH(WORKDAY(I395,-(Setup!$C$13+Setup!$G$27),Setup!$C$39:$C$50))&lt;=Setup!$C$16),OR(MONTH(WORKDAY(I395,-(Setup!$C$13+Setup!$G$27),Setup!$C$39:$C$50))&gt;=Setup!$C$15,MONTH(WORKDAY(I395,-(Setup!$C$13+Setup!$G$27),Setup!$C$39:$C$50))&lt;=Setup!$C$16))),WORKDAY(I395,-(Setup!$C$13+Setup!$G$27+Setup!$C$14),Setup!$C$39:$C$50),WORKDAY(I395,-(Setup!$C$13+Setup!$G$27),Setup!$C$39:$C$50))+(390*100+8)/10000000)))</f>
        <v/>
      </c>
      <c r="Z395" t="str">
        <f>IF(J395="","",IF(J395&lt;Setup!$C$5-Setup!$C$6,"",IF(IF(ISNUMBER(Roster!$D395),Setup!$C$28&lt;=Roster!$D395,FALSE),"",IF(OR(IF(Setup!$C$15&lt;=Setup!$C$16,AND(MONTH(J395)&gt;=Setup!$C$15,MONTH(J395)&lt;=Setup!$C$16),OR(MONTH(J395)&gt;=Setup!$C$15,MONTH(J395)&lt;=Setup!$C$16)),IF(Setup!$C$15&lt;=Setup!$C$16,AND(MONTH(WORKDAY(J395,-(Setup!$C$13+Setup!$G$28),Setup!$C$39:$C$50))&gt;=Setup!$C$15,MONTH(WORKDAY(J395,-(Setup!$C$13+Setup!$G$28),Setup!$C$39:$C$50))&lt;=Setup!$C$16),OR(MONTH(WORKDAY(J395,-(Setup!$C$13+Setup!$G$28),Setup!$C$39:$C$50))&gt;=Setup!$C$15,MONTH(WORKDAY(J395,-(Setup!$C$13+Setup!$G$28),Setup!$C$39:$C$50))&lt;=Setup!$C$16))),WORKDAY(J395,-(Setup!$C$13+Setup!$G$28+Setup!$C$14),Setup!$C$39:$C$50),WORKDAY(J395,-(Setup!$C$13+Setup!$G$28),Setup!$C$39:$C$50))+(390*100+9)/10000000)))</f>
        <v/>
      </c>
      <c r="AA395" t="str">
        <f>IF(K395="","",IF(K395&lt;Setup!$C$5-Setup!$C$6,"",IF(IF(ISNUMBER(Roster!$D395),Setup!$C$29&lt;=Roster!$D395,FALSE),"",IF(OR(IF(Setup!$C$15&lt;=Setup!$C$16,AND(MONTH(K395)&gt;=Setup!$C$15,MONTH(K395)&lt;=Setup!$C$16),OR(MONTH(K395)&gt;=Setup!$C$15,MONTH(K395)&lt;=Setup!$C$16)),IF(Setup!$C$15&lt;=Setup!$C$16,AND(MONTH(WORKDAY(K395,-(Setup!$C$13+Setup!$G$29),Setup!$C$39:$C$50))&gt;=Setup!$C$15,MONTH(WORKDAY(K395,-(Setup!$C$13+Setup!$G$29),Setup!$C$39:$C$50))&lt;=Setup!$C$16),OR(MONTH(WORKDAY(K395,-(Setup!$C$13+Setup!$G$29),Setup!$C$39:$C$50))&gt;=Setup!$C$15,MONTH(WORKDAY(K395,-(Setup!$C$13+Setup!$G$29),Setup!$C$39:$C$50))&lt;=Setup!$C$16))),WORKDAY(K395,-(Setup!$C$13+Setup!$G$29+Setup!$C$14),Setup!$C$39:$C$50),WORKDAY(K395,-(Setup!$C$13+Setup!$G$29),Setup!$C$39:$C$50))+(390*100+10)/10000000)))</f>
        <v/>
      </c>
      <c r="AB395" t="str">
        <f>IF(L395="","",IF(L395&lt;Setup!$C$5-Setup!$C$6,"",IF(IF(ISNUMBER(Roster!$D395),Setup!$C$30&lt;=Roster!$D395,FALSE),"",IF(OR(IF(Setup!$C$15&lt;=Setup!$C$16,AND(MONTH(L395)&gt;=Setup!$C$15,MONTH(L395)&lt;=Setup!$C$16),OR(MONTH(L395)&gt;=Setup!$C$15,MONTH(L395)&lt;=Setup!$C$16)),IF(Setup!$C$15&lt;=Setup!$C$16,AND(MONTH(WORKDAY(L395,-(Setup!$C$13+Setup!$G$30),Setup!$C$39:$C$50))&gt;=Setup!$C$15,MONTH(WORKDAY(L395,-(Setup!$C$13+Setup!$G$30),Setup!$C$39:$C$50))&lt;=Setup!$C$16),OR(MONTH(WORKDAY(L395,-(Setup!$C$13+Setup!$G$30),Setup!$C$39:$C$50))&gt;=Setup!$C$15,MONTH(WORKDAY(L395,-(Setup!$C$13+Setup!$G$30),Setup!$C$39:$C$50))&lt;=Setup!$C$16))),WORKDAY(L395,-(Setup!$C$13+Setup!$G$30+Setup!$C$14),Setup!$C$39:$C$50),WORKDAY(L395,-(Setup!$C$13+Setup!$G$30),Setup!$C$39:$C$50))+(390*100+11)/10000000)))</f>
        <v/>
      </c>
      <c r="AC395" t="str">
        <f>IF(M395="","",IF(M395&lt;Setup!$C$5-Setup!$C$6,"",IF(IF(ISNUMBER(Roster!$D395),Setup!$C$31&lt;=Roster!$D395,FALSE),"",IF(OR(IF(Setup!$C$15&lt;=Setup!$C$16,AND(MONTH(M395)&gt;=Setup!$C$15,MONTH(M395)&lt;=Setup!$C$16),OR(MONTH(M395)&gt;=Setup!$C$15,MONTH(M395)&lt;=Setup!$C$16)),IF(Setup!$C$15&lt;=Setup!$C$16,AND(MONTH(WORKDAY(M395,-(Setup!$C$13+Setup!$G$31),Setup!$C$39:$C$50))&gt;=Setup!$C$15,MONTH(WORKDAY(M395,-(Setup!$C$13+Setup!$G$31),Setup!$C$39:$C$50))&lt;=Setup!$C$16),OR(MONTH(WORKDAY(M395,-(Setup!$C$13+Setup!$G$31),Setup!$C$39:$C$50))&gt;=Setup!$C$15,MONTH(WORKDAY(M395,-(Setup!$C$13+Setup!$G$31),Setup!$C$39:$C$50))&lt;=Setup!$C$16))),WORKDAY(M395,-(Setup!$C$13+Setup!$G$31+Setup!$C$14),Setup!$C$39:$C$50),WORKDAY(M395,-(Setup!$C$13+Setup!$G$31),Setup!$C$39:$C$50))+(390*100+12)/10000000)))</f>
        <v/>
      </c>
      <c r="AD395" t="str">
        <f>IF(N395="","",IF(N395&lt;Setup!$C$5-Setup!$C$6,"",IF(IF(ISNUMBER(Roster!$D395),Setup!$C$32&lt;=Roster!$D395,FALSE),"",IF(OR(IF(Setup!$C$15&lt;=Setup!$C$16,AND(MONTH(N395)&gt;=Setup!$C$15,MONTH(N395)&lt;=Setup!$C$16),OR(MONTH(N395)&gt;=Setup!$C$15,MONTH(N395)&lt;=Setup!$C$16)),IF(Setup!$C$15&lt;=Setup!$C$16,AND(MONTH(WORKDAY(N395,-(Setup!$C$13+Setup!$G$32),Setup!$C$39:$C$50))&gt;=Setup!$C$15,MONTH(WORKDAY(N395,-(Setup!$C$13+Setup!$G$32),Setup!$C$39:$C$50))&lt;=Setup!$C$16),OR(MONTH(WORKDAY(N395,-(Setup!$C$13+Setup!$G$32),Setup!$C$39:$C$50))&gt;=Setup!$C$15,MONTH(WORKDAY(N395,-(Setup!$C$13+Setup!$G$32),Setup!$C$39:$C$50))&lt;=Setup!$C$16))),WORKDAY(N395,-(Setup!$C$13+Setup!$G$32+Setup!$C$14),Setup!$C$39:$C$50),WORKDAY(N395,-(Setup!$C$13+Setup!$G$32),Setup!$C$39:$C$50))+(390*100+13)/10000000)))</f>
        <v/>
      </c>
      <c r="AE395" t="str">
        <f>IF(O395="","",IF(O395&lt;Setup!$C$5-Setup!$C$6,"",IF(IF(ISNUMBER(Roster!$D395),Setup!$C$33&lt;=Roster!$D395,FALSE),"",IF(OR(IF(Setup!$C$15&lt;=Setup!$C$16,AND(MONTH(O395)&gt;=Setup!$C$15,MONTH(O395)&lt;=Setup!$C$16),OR(MONTH(O395)&gt;=Setup!$C$15,MONTH(O395)&lt;=Setup!$C$16)),IF(Setup!$C$15&lt;=Setup!$C$16,AND(MONTH(WORKDAY(O395,-(Setup!$C$13+Setup!$G$33),Setup!$C$39:$C$50))&gt;=Setup!$C$15,MONTH(WORKDAY(O395,-(Setup!$C$13+Setup!$G$33),Setup!$C$39:$C$50))&lt;=Setup!$C$16),OR(MONTH(WORKDAY(O395,-(Setup!$C$13+Setup!$G$33),Setup!$C$39:$C$50))&gt;=Setup!$C$15,MONTH(WORKDAY(O395,-(Setup!$C$13+Setup!$G$33),Setup!$C$39:$C$50))&lt;=Setup!$C$16))),WORKDAY(O395,-(Setup!$C$13+Setup!$G$33+Setup!$C$14),Setup!$C$39:$C$50),WORKDAY(O395,-(Setup!$C$13+Setup!$G$33),Setup!$C$39:$C$50))+(390*100+14)/10000000)))</f>
        <v/>
      </c>
      <c r="AF395" t="str">
        <f>IF(P395="","",IF(P395&lt;Setup!$C$5-Setup!$C$6,"",IF(IF(ISNUMBER(Roster!$D395),Setup!$C$34&lt;=Roster!$D395,FALSE),"",IF(OR(IF(Setup!$C$15&lt;=Setup!$C$16,AND(MONTH(P395)&gt;=Setup!$C$15,MONTH(P395)&lt;=Setup!$C$16),OR(MONTH(P395)&gt;=Setup!$C$15,MONTH(P395)&lt;=Setup!$C$16)),IF(Setup!$C$15&lt;=Setup!$C$16,AND(MONTH(WORKDAY(P395,-(Setup!$C$13+Setup!$G$34),Setup!$C$39:$C$50))&gt;=Setup!$C$15,MONTH(WORKDAY(P395,-(Setup!$C$13+Setup!$G$34),Setup!$C$39:$C$50))&lt;=Setup!$C$16),OR(MONTH(WORKDAY(P395,-(Setup!$C$13+Setup!$G$34),Setup!$C$39:$C$50))&gt;=Setup!$C$15,MONTH(WORKDAY(P395,-(Setup!$C$13+Setup!$G$34),Setup!$C$39:$C$50))&lt;=Setup!$C$16))),WORKDAY(P395,-(Setup!$C$13+Setup!$G$34+Setup!$C$14),Setup!$C$39:$C$50),WORKDAY(P395,-(Setup!$C$13+Setup!$G$34),Setup!$C$39:$C$50))+(390*100+15)/10000000)))</f>
        <v/>
      </c>
      <c r="AH395" t="str">
        <f t="shared" si="46"/>
        <v/>
      </c>
      <c r="AI395" t="str">
        <f t="shared" si="47"/>
        <v/>
      </c>
      <c r="AP395" t="str">
        <f>IF(ISNUMBER(Roster!$B395),MAX(1,YEAR(Setup!$C$5)-YEAR(Roster!$B395)+IF(EDATE(Roster!$B395,12*(YEAR(Setup!$C$5)-YEAR(Roster!$B395)))&lt;Setup!$C$5,1,0)),"")</f>
        <v/>
      </c>
      <c r="AQ395" s="32" t="str">
        <f>IF(AP395="","",EDATE(Roster!$B395,12*AP395))</f>
        <v/>
      </c>
      <c r="AR395" t="str">
        <f>IF(AQ395="","",IF(AQ395&lt;DATE(YEAR(Setup!$C$5)+1,MONTH(Setup!$C$5),DAY(Setup!$C$5)),AQ395+390/1000,""))</f>
        <v/>
      </c>
      <c r="AS395" t="str">
        <f t="shared" si="48"/>
        <v/>
      </c>
      <c r="AT395" t="str">
        <f>IF(AS395="","",IF(ISNUMBER(Roster!$D395),Roster!$D395&gt;=AP395,FALSE))</f>
        <v/>
      </c>
      <c r="AU395" t="str">
        <f t="shared" si="49"/>
        <v/>
      </c>
      <c r="AV395" t="str">
        <f ca="1">IF(390&gt;$AV$2,"",SMALL($AR$6:$AR$505,390))</f>
        <v/>
      </c>
      <c r="AW395" t="str">
        <f t="shared" ca="1" si="50"/>
        <v/>
      </c>
    </row>
    <row r="396" spans="2:49" x14ac:dyDescent="0.2">
      <c r="B396" s="32" t="str">
        <f>IF(AND(ISNUMBER(Roster!$B396),Setup!$B$20="Yes",ISNUMBER(Setup!$C$20)),EDATE(Roster!$B396,12*Setup!$C$20),"")</f>
        <v/>
      </c>
      <c r="C396" s="32" t="str">
        <f>IF(AND(ISNUMBER(Roster!$B396),Setup!$B$21="Yes",ISNUMBER(Setup!$C$21)),EDATE(Roster!$B396,12*Setup!$C$21),"")</f>
        <v/>
      </c>
      <c r="D396" s="32" t="str">
        <f>IF(AND(ISNUMBER(Roster!$B396),Setup!$B$22="Yes",ISNUMBER(Setup!$C$22)),EDATE(Roster!$B396,12*Setup!$C$22),"")</f>
        <v/>
      </c>
      <c r="E396" s="32" t="str">
        <f>IF(AND(ISNUMBER(Roster!$B396),Setup!$B$23="Yes",ISNUMBER(Setup!$C$23)),EDATE(Roster!$B396,12*Setup!$C$23),"")</f>
        <v/>
      </c>
      <c r="F396" s="32" t="str">
        <f>IF(AND(ISNUMBER(Roster!$B396),Setup!$B$24="Yes",ISNUMBER(Setup!$C$24)),EDATE(Roster!$B396,12*Setup!$C$24),"")</f>
        <v/>
      </c>
      <c r="G396" s="32" t="str">
        <f>IF(AND(ISNUMBER(Roster!$B396),Setup!$B$25="Yes",ISNUMBER(Setup!$C$25)),EDATE(Roster!$B396,12*Setup!$C$25),"")</f>
        <v/>
      </c>
      <c r="H396" s="32" t="str">
        <f>IF(AND(ISNUMBER(Roster!$B396),Setup!$B$26="Yes",ISNUMBER(Setup!$C$26)),EDATE(Roster!$B396,12*Setup!$C$26),"")</f>
        <v/>
      </c>
      <c r="I396" s="32" t="str">
        <f>IF(AND(ISNUMBER(Roster!$B396),Setup!$B$27="Yes",ISNUMBER(Setup!$C$27)),EDATE(Roster!$B396,12*Setup!$C$27),"")</f>
        <v/>
      </c>
      <c r="J396" s="32" t="str">
        <f>IF(AND(ISNUMBER(Roster!$B396),Setup!$B$28="Yes",ISNUMBER(Setup!$C$28)),EDATE(Roster!$B396,12*Setup!$C$28),"")</f>
        <v/>
      </c>
      <c r="K396" s="32" t="str">
        <f>IF(AND(ISNUMBER(Roster!$B396),Setup!$B$29="Yes",ISNUMBER(Setup!$C$29)),EDATE(Roster!$B396,12*Setup!$C$29),"")</f>
        <v/>
      </c>
      <c r="L396" s="32" t="str">
        <f>IF(AND(ISNUMBER(Roster!$B396),Setup!$B$30="Yes",ISNUMBER(Setup!$C$30)),EDATE(Roster!$B396,12*Setup!$C$30),"")</f>
        <v/>
      </c>
      <c r="M396" s="32" t="str">
        <f>IF(AND(ISNUMBER(Roster!$B396),Setup!$B$31="Yes",ISNUMBER(Setup!$C$31)),EDATE(Roster!$B396,12*Setup!$C$31),"")</f>
        <v/>
      </c>
      <c r="N396" s="32" t="str">
        <f>IF(AND(ISNUMBER(Roster!$B396),Setup!$B$32="Yes",ISNUMBER(Setup!$C$32)),EDATE(Roster!$B396,12*Setup!$C$32),"")</f>
        <v/>
      </c>
      <c r="O396" s="32" t="str">
        <f>IF(AND(ISNUMBER(Roster!$B396),Setup!$B$33="Yes",ISNUMBER(Setup!$C$33)),EDATE(Roster!$B396,12*Setup!$C$33),"")</f>
        <v/>
      </c>
      <c r="P396" s="32" t="str">
        <f>IF(AND(ISNUMBER(Roster!$B396),Setup!$B$34="Yes",ISNUMBER(Setup!$C$34)),EDATE(Roster!$B396,12*Setup!$C$34),"")</f>
        <v/>
      </c>
      <c r="R396" t="str">
        <f>IF(B396="","",IF(B396&lt;Setup!$C$5-Setup!$C$6,"",IF(IF(ISNUMBER(Roster!$D396),Setup!$C$20&lt;=Roster!$D396,FALSE),"",IF(OR(IF(Setup!$C$15&lt;=Setup!$C$16,AND(MONTH(B396)&gt;=Setup!$C$15,MONTH(B396)&lt;=Setup!$C$16),OR(MONTH(B396)&gt;=Setup!$C$15,MONTH(B396)&lt;=Setup!$C$16)),IF(Setup!$C$15&lt;=Setup!$C$16,AND(MONTH(WORKDAY(B396,-(Setup!$C$13+Setup!$G$20),Setup!$C$39:$C$50))&gt;=Setup!$C$15,MONTH(WORKDAY(B396,-(Setup!$C$13+Setup!$G$20),Setup!$C$39:$C$50))&lt;=Setup!$C$16),OR(MONTH(WORKDAY(B396,-(Setup!$C$13+Setup!$G$20),Setup!$C$39:$C$50))&gt;=Setup!$C$15,MONTH(WORKDAY(B396,-(Setup!$C$13+Setup!$G$20),Setup!$C$39:$C$50))&lt;=Setup!$C$16))),WORKDAY(B396,-(Setup!$C$13+Setup!$G$20+Setup!$C$14),Setup!$C$39:$C$50),WORKDAY(B396,-(Setup!$C$13+Setup!$G$20),Setup!$C$39:$C$50))+(391*100+1)/10000000)))</f>
        <v/>
      </c>
      <c r="S396" t="str">
        <f>IF(C396="","",IF(C396&lt;Setup!$C$5-Setup!$C$6,"",IF(IF(ISNUMBER(Roster!$D396),Setup!$C$21&lt;=Roster!$D396,FALSE),"",IF(OR(IF(Setup!$C$15&lt;=Setup!$C$16,AND(MONTH(C396)&gt;=Setup!$C$15,MONTH(C396)&lt;=Setup!$C$16),OR(MONTH(C396)&gt;=Setup!$C$15,MONTH(C396)&lt;=Setup!$C$16)),IF(Setup!$C$15&lt;=Setup!$C$16,AND(MONTH(WORKDAY(C396,-(Setup!$C$13+Setup!$G$21),Setup!$C$39:$C$50))&gt;=Setup!$C$15,MONTH(WORKDAY(C396,-(Setup!$C$13+Setup!$G$21),Setup!$C$39:$C$50))&lt;=Setup!$C$16),OR(MONTH(WORKDAY(C396,-(Setup!$C$13+Setup!$G$21),Setup!$C$39:$C$50))&gt;=Setup!$C$15,MONTH(WORKDAY(C396,-(Setup!$C$13+Setup!$G$21),Setup!$C$39:$C$50))&lt;=Setup!$C$16))),WORKDAY(C396,-(Setup!$C$13+Setup!$G$21+Setup!$C$14),Setup!$C$39:$C$50),WORKDAY(C396,-(Setup!$C$13+Setup!$G$21),Setup!$C$39:$C$50))+(391*100+2)/10000000)))</f>
        <v/>
      </c>
      <c r="T396" t="str">
        <f>IF(D396="","",IF(D396&lt;Setup!$C$5-Setup!$C$6,"",IF(IF(ISNUMBER(Roster!$D396),Setup!$C$22&lt;=Roster!$D396,FALSE),"",IF(OR(IF(Setup!$C$15&lt;=Setup!$C$16,AND(MONTH(D396)&gt;=Setup!$C$15,MONTH(D396)&lt;=Setup!$C$16),OR(MONTH(D396)&gt;=Setup!$C$15,MONTH(D396)&lt;=Setup!$C$16)),IF(Setup!$C$15&lt;=Setup!$C$16,AND(MONTH(WORKDAY(D396,-(Setup!$C$13+Setup!$G$22),Setup!$C$39:$C$50))&gt;=Setup!$C$15,MONTH(WORKDAY(D396,-(Setup!$C$13+Setup!$G$22),Setup!$C$39:$C$50))&lt;=Setup!$C$16),OR(MONTH(WORKDAY(D396,-(Setup!$C$13+Setup!$G$22),Setup!$C$39:$C$50))&gt;=Setup!$C$15,MONTH(WORKDAY(D396,-(Setup!$C$13+Setup!$G$22),Setup!$C$39:$C$50))&lt;=Setup!$C$16))),WORKDAY(D396,-(Setup!$C$13+Setup!$G$22+Setup!$C$14),Setup!$C$39:$C$50),WORKDAY(D396,-(Setup!$C$13+Setup!$G$22),Setup!$C$39:$C$50))+(391*100+3)/10000000)))</f>
        <v/>
      </c>
      <c r="U396" t="str">
        <f>IF(E396="","",IF(E396&lt;Setup!$C$5-Setup!$C$6,"",IF(IF(ISNUMBER(Roster!$D396),Setup!$C$23&lt;=Roster!$D396,FALSE),"",IF(OR(IF(Setup!$C$15&lt;=Setup!$C$16,AND(MONTH(E396)&gt;=Setup!$C$15,MONTH(E396)&lt;=Setup!$C$16),OR(MONTH(E396)&gt;=Setup!$C$15,MONTH(E396)&lt;=Setup!$C$16)),IF(Setup!$C$15&lt;=Setup!$C$16,AND(MONTH(WORKDAY(E396,-(Setup!$C$13+Setup!$G$23),Setup!$C$39:$C$50))&gt;=Setup!$C$15,MONTH(WORKDAY(E396,-(Setup!$C$13+Setup!$G$23),Setup!$C$39:$C$50))&lt;=Setup!$C$16),OR(MONTH(WORKDAY(E396,-(Setup!$C$13+Setup!$G$23),Setup!$C$39:$C$50))&gt;=Setup!$C$15,MONTH(WORKDAY(E396,-(Setup!$C$13+Setup!$G$23),Setup!$C$39:$C$50))&lt;=Setup!$C$16))),WORKDAY(E396,-(Setup!$C$13+Setup!$G$23+Setup!$C$14),Setup!$C$39:$C$50),WORKDAY(E396,-(Setup!$C$13+Setup!$G$23),Setup!$C$39:$C$50))+(391*100+4)/10000000)))</f>
        <v/>
      </c>
      <c r="V396" t="str">
        <f>IF(F396="","",IF(F396&lt;Setup!$C$5-Setup!$C$6,"",IF(IF(ISNUMBER(Roster!$D396),Setup!$C$24&lt;=Roster!$D396,FALSE),"",IF(OR(IF(Setup!$C$15&lt;=Setup!$C$16,AND(MONTH(F396)&gt;=Setup!$C$15,MONTH(F396)&lt;=Setup!$C$16),OR(MONTH(F396)&gt;=Setup!$C$15,MONTH(F396)&lt;=Setup!$C$16)),IF(Setup!$C$15&lt;=Setup!$C$16,AND(MONTH(WORKDAY(F396,-(Setup!$C$13+Setup!$G$24),Setup!$C$39:$C$50))&gt;=Setup!$C$15,MONTH(WORKDAY(F396,-(Setup!$C$13+Setup!$G$24),Setup!$C$39:$C$50))&lt;=Setup!$C$16),OR(MONTH(WORKDAY(F396,-(Setup!$C$13+Setup!$G$24),Setup!$C$39:$C$50))&gt;=Setup!$C$15,MONTH(WORKDAY(F396,-(Setup!$C$13+Setup!$G$24),Setup!$C$39:$C$50))&lt;=Setup!$C$16))),WORKDAY(F396,-(Setup!$C$13+Setup!$G$24+Setup!$C$14),Setup!$C$39:$C$50),WORKDAY(F396,-(Setup!$C$13+Setup!$G$24),Setup!$C$39:$C$50))+(391*100+5)/10000000)))</f>
        <v/>
      </c>
      <c r="W396" t="str">
        <f>IF(G396="","",IF(G396&lt;Setup!$C$5-Setup!$C$6,"",IF(IF(ISNUMBER(Roster!$D396),Setup!$C$25&lt;=Roster!$D396,FALSE),"",IF(OR(IF(Setup!$C$15&lt;=Setup!$C$16,AND(MONTH(G396)&gt;=Setup!$C$15,MONTH(G396)&lt;=Setup!$C$16),OR(MONTH(G396)&gt;=Setup!$C$15,MONTH(G396)&lt;=Setup!$C$16)),IF(Setup!$C$15&lt;=Setup!$C$16,AND(MONTH(WORKDAY(G396,-(Setup!$C$13+Setup!$G$25),Setup!$C$39:$C$50))&gt;=Setup!$C$15,MONTH(WORKDAY(G396,-(Setup!$C$13+Setup!$G$25),Setup!$C$39:$C$50))&lt;=Setup!$C$16),OR(MONTH(WORKDAY(G396,-(Setup!$C$13+Setup!$G$25),Setup!$C$39:$C$50))&gt;=Setup!$C$15,MONTH(WORKDAY(G396,-(Setup!$C$13+Setup!$G$25),Setup!$C$39:$C$50))&lt;=Setup!$C$16))),WORKDAY(G396,-(Setup!$C$13+Setup!$G$25+Setup!$C$14),Setup!$C$39:$C$50),WORKDAY(G396,-(Setup!$C$13+Setup!$G$25),Setup!$C$39:$C$50))+(391*100+6)/10000000)))</f>
        <v/>
      </c>
      <c r="X396" t="str">
        <f>IF(H396="","",IF(H396&lt;Setup!$C$5-Setup!$C$6,"",IF(IF(ISNUMBER(Roster!$D396),Setup!$C$26&lt;=Roster!$D396,FALSE),"",IF(OR(IF(Setup!$C$15&lt;=Setup!$C$16,AND(MONTH(H396)&gt;=Setup!$C$15,MONTH(H396)&lt;=Setup!$C$16),OR(MONTH(H396)&gt;=Setup!$C$15,MONTH(H396)&lt;=Setup!$C$16)),IF(Setup!$C$15&lt;=Setup!$C$16,AND(MONTH(WORKDAY(H396,-(Setup!$C$13+Setup!$G$26),Setup!$C$39:$C$50))&gt;=Setup!$C$15,MONTH(WORKDAY(H396,-(Setup!$C$13+Setup!$G$26),Setup!$C$39:$C$50))&lt;=Setup!$C$16),OR(MONTH(WORKDAY(H396,-(Setup!$C$13+Setup!$G$26),Setup!$C$39:$C$50))&gt;=Setup!$C$15,MONTH(WORKDAY(H396,-(Setup!$C$13+Setup!$G$26),Setup!$C$39:$C$50))&lt;=Setup!$C$16))),WORKDAY(H396,-(Setup!$C$13+Setup!$G$26+Setup!$C$14),Setup!$C$39:$C$50),WORKDAY(H396,-(Setup!$C$13+Setup!$G$26),Setup!$C$39:$C$50))+(391*100+7)/10000000)))</f>
        <v/>
      </c>
      <c r="Y396" t="str">
        <f>IF(I396="","",IF(I396&lt;Setup!$C$5-Setup!$C$6,"",IF(IF(ISNUMBER(Roster!$D396),Setup!$C$27&lt;=Roster!$D396,FALSE),"",IF(OR(IF(Setup!$C$15&lt;=Setup!$C$16,AND(MONTH(I396)&gt;=Setup!$C$15,MONTH(I396)&lt;=Setup!$C$16),OR(MONTH(I396)&gt;=Setup!$C$15,MONTH(I396)&lt;=Setup!$C$16)),IF(Setup!$C$15&lt;=Setup!$C$16,AND(MONTH(WORKDAY(I396,-(Setup!$C$13+Setup!$G$27),Setup!$C$39:$C$50))&gt;=Setup!$C$15,MONTH(WORKDAY(I396,-(Setup!$C$13+Setup!$G$27),Setup!$C$39:$C$50))&lt;=Setup!$C$16),OR(MONTH(WORKDAY(I396,-(Setup!$C$13+Setup!$G$27),Setup!$C$39:$C$50))&gt;=Setup!$C$15,MONTH(WORKDAY(I396,-(Setup!$C$13+Setup!$G$27),Setup!$C$39:$C$50))&lt;=Setup!$C$16))),WORKDAY(I396,-(Setup!$C$13+Setup!$G$27+Setup!$C$14),Setup!$C$39:$C$50),WORKDAY(I396,-(Setup!$C$13+Setup!$G$27),Setup!$C$39:$C$50))+(391*100+8)/10000000)))</f>
        <v/>
      </c>
      <c r="Z396" t="str">
        <f>IF(J396="","",IF(J396&lt;Setup!$C$5-Setup!$C$6,"",IF(IF(ISNUMBER(Roster!$D396),Setup!$C$28&lt;=Roster!$D396,FALSE),"",IF(OR(IF(Setup!$C$15&lt;=Setup!$C$16,AND(MONTH(J396)&gt;=Setup!$C$15,MONTH(J396)&lt;=Setup!$C$16),OR(MONTH(J396)&gt;=Setup!$C$15,MONTH(J396)&lt;=Setup!$C$16)),IF(Setup!$C$15&lt;=Setup!$C$16,AND(MONTH(WORKDAY(J396,-(Setup!$C$13+Setup!$G$28),Setup!$C$39:$C$50))&gt;=Setup!$C$15,MONTH(WORKDAY(J396,-(Setup!$C$13+Setup!$G$28),Setup!$C$39:$C$50))&lt;=Setup!$C$16),OR(MONTH(WORKDAY(J396,-(Setup!$C$13+Setup!$G$28),Setup!$C$39:$C$50))&gt;=Setup!$C$15,MONTH(WORKDAY(J396,-(Setup!$C$13+Setup!$G$28),Setup!$C$39:$C$50))&lt;=Setup!$C$16))),WORKDAY(J396,-(Setup!$C$13+Setup!$G$28+Setup!$C$14),Setup!$C$39:$C$50),WORKDAY(J396,-(Setup!$C$13+Setup!$G$28),Setup!$C$39:$C$50))+(391*100+9)/10000000)))</f>
        <v/>
      </c>
      <c r="AA396" t="str">
        <f>IF(K396="","",IF(K396&lt;Setup!$C$5-Setup!$C$6,"",IF(IF(ISNUMBER(Roster!$D396),Setup!$C$29&lt;=Roster!$D396,FALSE),"",IF(OR(IF(Setup!$C$15&lt;=Setup!$C$16,AND(MONTH(K396)&gt;=Setup!$C$15,MONTH(K396)&lt;=Setup!$C$16),OR(MONTH(K396)&gt;=Setup!$C$15,MONTH(K396)&lt;=Setup!$C$16)),IF(Setup!$C$15&lt;=Setup!$C$16,AND(MONTH(WORKDAY(K396,-(Setup!$C$13+Setup!$G$29),Setup!$C$39:$C$50))&gt;=Setup!$C$15,MONTH(WORKDAY(K396,-(Setup!$C$13+Setup!$G$29),Setup!$C$39:$C$50))&lt;=Setup!$C$16),OR(MONTH(WORKDAY(K396,-(Setup!$C$13+Setup!$G$29),Setup!$C$39:$C$50))&gt;=Setup!$C$15,MONTH(WORKDAY(K396,-(Setup!$C$13+Setup!$G$29),Setup!$C$39:$C$50))&lt;=Setup!$C$16))),WORKDAY(K396,-(Setup!$C$13+Setup!$G$29+Setup!$C$14),Setup!$C$39:$C$50),WORKDAY(K396,-(Setup!$C$13+Setup!$G$29),Setup!$C$39:$C$50))+(391*100+10)/10000000)))</f>
        <v/>
      </c>
      <c r="AB396" t="str">
        <f>IF(L396="","",IF(L396&lt;Setup!$C$5-Setup!$C$6,"",IF(IF(ISNUMBER(Roster!$D396),Setup!$C$30&lt;=Roster!$D396,FALSE),"",IF(OR(IF(Setup!$C$15&lt;=Setup!$C$16,AND(MONTH(L396)&gt;=Setup!$C$15,MONTH(L396)&lt;=Setup!$C$16),OR(MONTH(L396)&gt;=Setup!$C$15,MONTH(L396)&lt;=Setup!$C$16)),IF(Setup!$C$15&lt;=Setup!$C$16,AND(MONTH(WORKDAY(L396,-(Setup!$C$13+Setup!$G$30),Setup!$C$39:$C$50))&gt;=Setup!$C$15,MONTH(WORKDAY(L396,-(Setup!$C$13+Setup!$G$30),Setup!$C$39:$C$50))&lt;=Setup!$C$16),OR(MONTH(WORKDAY(L396,-(Setup!$C$13+Setup!$G$30),Setup!$C$39:$C$50))&gt;=Setup!$C$15,MONTH(WORKDAY(L396,-(Setup!$C$13+Setup!$G$30),Setup!$C$39:$C$50))&lt;=Setup!$C$16))),WORKDAY(L396,-(Setup!$C$13+Setup!$G$30+Setup!$C$14),Setup!$C$39:$C$50),WORKDAY(L396,-(Setup!$C$13+Setup!$G$30),Setup!$C$39:$C$50))+(391*100+11)/10000000)))</f>
        <v/>
      </c>
      <c r="AC396" t="str">
        <f>IF(M396="","",IF(M396&lt;Setup!$C$5-Setup!$C$6,"",IF(IF(ISNUMBER(Roster!$D396),Setup!$C$31&lt;=Roster!$D396,FALSE),"",IF(OR(IF(Setup!$C$15&lt;=Setup!$C$16,AND(MONTH(M396)&gt;=Setup!$C$15,MONTH(M396)&lt;=Setup!$C$16),OR(MONTH(M396)&gt;=Setup!$C$15,MONTH(M396)&lt;=Setup!$C$16)),IF(Setup!$C$15&lt;=Setup!$C$16,AND(MONTH(WORKDAY(M396,-(Setup!$C$13+Setup!$G$31),Setup!$C$39:$C$50))&gt;=Setup!$C$15,MONTH(WORKDAY(M396,-(Setup!$C$13+Setup!$G$31),Setup!$C$39:$C$50))&lt;=Setup!$C$16),OR(MONTH(WORKDAY(M396,-(Setup!$C$13+Setup!$G$31),Setup!$C$39:$C$50))&gt;=Setup!$C$15,MONTH(WORKDAY(M396,-(Setup!$C$13+Setup!$G$31),Setup!$C$39:$C$50))&lt;=Setup!$C$16))),WORKDAY(M396,-(Setup!$C$13+Setup!$G$31+Setup!$C$14),Setup!$C$39:$C$50),WORKDAY(M396,-(Setup!$C$13+Setup!$G$31),Setup!$C$39:$C$50))+(391*100+12)/10000000)))</f>
        <v/>
      </c>
      <c r="AD396" t="str">
        <f>IF(N396="","",IF(N396&lt;Setup!$C$5-Setup!$C$6,"",IF(IF(ISNUMBER(Roster!$D396),Setup!$C$32&lt;=Roster!$D396,FALSE),"",IF(OR(IF(Setup!$C$15&lt;=Setup!$C$16,AND(MONTH(N396)&gt;=Setup!$C$15,MONTH(N396)&lt;=Setup!$C$16),OR(MONTH(N396)&gt;=Setup!$C$15,MONTH(N396)&lt;=Setup!$C$16)),IF(Setup!$C$15&lt;=Setup!$C$16,AND(MONTH(WORKDAY(N396,-(Setup!$C$13+Setup!$G$32),Setup!$C$39:$C$50))&gt;=Setup!$C$15,MONTH(WORKDAY(N396,-(Setup!$C$13+Setup!$G$32),Setup!$C$39:$C$50))&lt;=Setup!$C$16),OR(MONTH(WORKDAY(N396,-(Setup!$C$13+Setup!$G$32),Setup!$C$39:$C$50))&gt;=Setup!$C$15,MONTH(WORKDAY(N396,-(Setup!$C$13+Setup!$G$32),Setup!$C$39:$C$50))&lt;=Setup!$C$16))),WORKDAY(N396,-(Setup!$C$13+Setup!$G$32+Setup!$C$14),Setup!$C$39:$C$50),WORKDAY(N396,-(Setup!$C$13+Setup!$G$32),Setup!$C$39:$C$50))+(391*100+13)/10000000)))</f>
        <v/>
      </c>
      <c r="AE396" t="str">
        <f>IF(O396="","",IF(O396&lt;Setup!$C$5-Setup!$C$6,"",IF(IF(ISNUMBER(Roster!$D396),Setup!$C$33&lt;=Roster!$D396,FALSE),"",IF(OR(IF(Setup!$C$15&lt;=Setup!$C$16,AND(MONTH(O396)&gt;=Setup!$C$15,MONTH(O396)&lt;=Setup!$C$16),OR(MONTH(O396)&gt;=Setup!$C$15,MONTH(O396)&lt;=Setup!$C$16)),IF(Setup!$C$15&lt;=Setup!$C$16,AND(MONTH(WORKDAY(O396,-(Setup!$C$13+Setup!$G$33),Setup!$C$39:$C$50))&gt;=Setup!$C$15,MONTH(WORKDAY(O396,-(Setup!$C$13+Setup!$G$33),Setup!$C$39:$C$50))&lt;=Setup!$C$16),OR(MONTH(WORKDAY(O396,-(Setup!$C$13+Setup!$G$33),Setup!$C$39:$C$50))&gt;=Setup!$C$15,MONTH(WORKDAY(O396,-(Setup!$C$13+Setup!$G$33),Setup!$C$39:$C$50))&lt;=Setup!$C$16))),WORKDAY(O396,-(Setup!$C$13+Setup!$G$33+Setup!$C$14),Setup!$C$39:$C$50),WORKDAY(O396,-(Setup!$C$13+Setup!$G$33),Setup!$C$39:$C$50))+(391*100+14)/10000000)))</f>
        <v/>
      </c>
      <c r="AF396" t="str">
        <f>IF(P396="","",IF(P396&lt;Setup!$C$5-Setup!$C$6,"",IF(IF(ISNUMBER(Roster!$D396),Setup!$C$34&lt;=Roster!$D396,FALSE),"",IF(OR(IF(Setup!$C$15&lt;=Setup!$C$16,AND(MONTH(P396)&gt;=Setup!$C$15,MONTH(P396)&lt;=Setup!$C$16),OR(MONTH(P396)&gt;=Setup!$C$15,MONTH(P396)&lt;=Setup!$C$16)),IF(Setup!$C$15&lt;=Setup!$C$16,AND(MONTH(WORKDAY(P396,-(Setup!$C$13+Setup!$G$34),Setup!$C$39:$C$50))&gt;=Setup!$C$15,MONTH(WORKDAY(P396,-(Setup!$C$13+Setup!$G$34),Setup!$C$39:$C$50))&lt;=Setup!$C$16),OR(MONTH(WORKDAY(P396,-(Setup!$C$13+Setup!$G$34),Setup!$C$39:$C$50))&gt;=Setup!$C$15,MONTH(WORKDAY(P396,-(Setup!$C$13+Setup!$G$34),Setup!$C$39:$C$50))&lt;=Setup!$C$16))),WORKDAY(P396,-(Setup!$C$13+Setup!$G$34+Setup!$C$14),Setup!$C$39:$C$50),WORKDAY(P396,-(Setup!$C$13+Setup!$G$34),Setup!$C$39:$C$50))+(391*100+15)/10000000)))</f>
        <v/>
      </c>
      <c r="AH396" t="str">
        <f t="shared" si="46"/>
        <v/>
      </c>
      <c r="AI396" t="str">
        <f t="shared" si="47"/>
        <v/>
      </c>
      <c r="AP396" t="str">
        <f>IF(ISNUMBER(Roster!$B396),MAX(1,YEAR(Setup!$C$5)-YEAR(Roster!$B396)+IF(EDATE(Roster!$B396,12*(YEAR(Setup!$C$5)-YEAR(Roster!$B396)))&lt;Setup!$C$5,1,0)),"")</f>
        <v/>
      </c>
      <c r="AQ396" s="32" t="str">
        <f>IF(AP396="","",EDATE(Roster!$B396,12*AP396))</f>
        <v/>
      </c>
      <c r="AR396" t="str">
        <f>IF(AQ396="","",IF(AQ396&lt;DATE(YEAR(Setup!$C$5)+1,MONTH(Setup!$C$5),DAY(Setup!$C$5)),AQ396+391/1000,""))</f>
        <v/>
      </c>
      <c r="AS396" t="str">
        <f t="shared" si="48"/>
        <v/>
      </c>
      <c r="AT396" t="str">
        <f>IF(AS396="","",IF(ISNUMBER(Roster!$D396),Roster!$D396&gt;=AP396,FALSE))</f>
        <v/>
      </c>
      <c r="AU396" t="str">
        <f t="shared" si="49"/>
        <v/>
      </c>
      <c r="AV396" t="str">
        <f ca="1">IF(391&gt;$AV$2,"",SMALL($AR$6:$AR$505,391))</f>
        <v/>
      </c>
      <c r="AW396" t="str">
        <f t="shared" ca="1" si="50"/>
        <v/>
      </c>
    </row>
    <row r="397" spans="2:49" x14ac:dyDescent="0.2">
      <c r="B397" s="32" t="str">
        <f>IF(AND(ISNUMBER(Roster!$B397),Setup!$B$20="Yes",ISNUMBER(Setup!$C$20)),EDATE(Roster!$B397,12*Setup!$C$20),"")</f>
        <v/>
      </c>
      <c r="C397" s="32" t="str">
        <f>IF(AND(ISNUMBER(Roster!$B397),Setup!$B$21="Yes",ISNUMBER(Setup!$C$21)),EDATE(Roster!$B397,12*Setup!$C$21),"")</f>
        <v/>
      </c>
      <c r="D397" s="32" t="str">
        <f>IF(AND(ISNUMBER(Roster!$B397),Setup!$B$22="Yes",ISNUMBER(Setup!$C$22)),EDATE(Roster!$B397,12*Setup!$C$22),"")</f>
        <v/>
      </c>
      <c r="E397" s="32" t="str">
        <f>IF(AND(ISNUMBER(Roster!$B397),Setup!$B$23="Yes",ISNUMBER(Setup!$C$23)),EDATE(Roster!$B397,12*Setup!$C$23),"")</f>
        <v/>
      </c>
      <c r="F397" s="32" t="str">
        <f>IF(AND(ISNUMBER(Roster!$B397),Setup!$B$24="Yes",ISNUMBER(Setup!$C$24)),EDATE(Roster!$B397,12*Setup!$C$24),"")</f>
        <v/>
      </c>
      <c r="G397" s="32" t="str">
        <f>IF(AND(ISNUMBER(Roster!$B397),Setup!$B$25="Yes",ISNUMBER(Setup!$C$25)),EDATE(Roster!$B397,12*Setup!$C$25),"")</f>
        <v/>
      </c>
      <c r="H397" s="32" t="str">
        <f>IF(AND(ISNUMBER(Roster!$B397),Setup!$B$26="Yes",ISNUMBER(Setup!$C$26)),EDATE(Roster!$B397,12*Setup!$C$26),"")</f>
        <v/>
      </c>
      <c r="I397" s="32" t="str">
        <f>IF(AND(ISNUMBER(Roster!$B397),Setup!$B$27="Yes",ISNUMBER(Setup!$C$27)),EDATE(Roster!$B397,12*Setup!$C$27),"")</f>
        <v/>
      </c>
      <c r="J397" s="32" t="str">
        <f>IF(AND(ISNUMBER(Roster!$B397),Setup!$B$28="Yes",ISNUMBER(Setup!$C$28)),EDATE(Roster!$B397,12*Setup!$C$28),"")</f>
        <v/>
      </c>
      <c r="K397" s="32" t="str">
        <f>IF(AND(ISNUMBER(Roster!$B397),Setup!$B$29="Yes",ISNUMBER(Setup!$C$29)),EDATE(Roster!$B397,12*Setup!$C$29),"")</f>
        <v/>
      </c>
      <c r="L397" s="32" t="str">
        <f>IF(AND(ISNUMBER(Roster!$B397),Setup!$B$30="Yes",ISNUMBER(Setup!$C$30)),EDATE(Roster!$B397,12*Setup!$C$30),"")</f>
        <v/>
      </c>
      <c r="M397" s="32" t="str">
        <f>IF(AND(ISNUMBER(Roster!$B397),Setup!$B$31="Yes",ISNUMBER(Setup!$C$31)),EDATE(Roster!$B397,12*Setup!$C$31),"")</f>
        <v/>
      </c>
      <c r="N397" s="32" t="str">
        <f>IF(AND(ISNUMBER(Roster!$B397),Setup!$B$32="Yes",ISNUMBER(Setup!$C$32)),EDATE(Roster!$B397,12*Setup!$C$32),"")</f>
        <v/>
      </c>
      <c r="O397" s="32" t="str">
        <f>IF(AND(ISNUMBER(Roster!$B397),Setup!$B$33="Yes",ISNUMBER(Setup!$C$33)),EDATE(Roster!$B397,12*Setup!$C$33),"")</f>
        <v/>
      </c>
      <c r="P397" s="32" t="str">
        <f>IF(AND(ISNUMBER(Roster!$B397),Setup!$B$34="Yes",ISNUMBER(Setup!$C$34)),EDATE(Roster!$B397,12*Setup!$C$34),"")</f>
        <v/>
      </c>
      <c r="R397" t="str">
        <f>IF(B397="","",IF(B397&lt;Setup!$C$5-Setup!$C$6,"",IF(IF(ISNUMBER(Roster!$D397),Setup!$C$20&lt;=Roster!$D397,FALSE),"",IF(OR(IF(Setup!$C$15&lt;=Setup!$C$16,AND(MONTH(B397)&gt;=Setup!$C$15,MONTH(B397)&lt;=Setup!$C$16),OR(MONTH(B397)&gt;=Setup!$C$15,MONTH(B397)&lt;=Setup!$C$16)),IF(Setup!$C$15&lt;=Setup!$C$16,AND(MONTH(WORKDAY(B397,-(Setup!$C$13+Setup!$G$20),Setup!$C$39:$C$50))&gt;=Setup!$C$15,MONTH(WORKDAY(B397,-(Setup!$C$13+Setup!$G$20),Setup!$C$39:$C$50))&lt;=Setup!$C$16),OR(MONTH(WORKDAY(B397,-(Setup!$C$13+Setup!$G$20),Setup!$C$39:$C$50))&gt;=Setup!$C$15,MONTH(WORKDAY(B397,-(Setup!$C$13+Setup!$G$20),Setup!$C$39:$C$50))&lt;=Setup!$C$16))),WORKDAY(B397,-(Setup!$C$13+Setup!$G$20+Setup!$C$14),Setup!$C$39:$C$50),WORKDAY(B397,-(Setup!$C$13+Setup!$G$20),Setup!$C$39:$C$50))+(392*100+1)/10000000)))</f>
        <v/>
      </c>
      <c r="S397" t="str">
        <f>IF(C397="","",IF(C397&lt;Setup!$C$5-Setup!$C$6,"",IF(IF(ISNUMBER(Roster!$D397),Setup!$C$21&lt;=Roster!$D397,FALSE),"",IF(OR(IF(Setup!$C$15&lt;=Setup!$C$16,AND(MONTH(C397)&gt;=Setup!$C$15,MONTH(C397)&lt;=Setup!$C$16),OR(MONTH(C397)&gt;=Setup!$C$15,MONTH(C397)&lt;=Setup!$C$16)),IF(Setup!$C$15&lt;=Setup!$C$16,AND(MONTH(WORKDAY(C397,-(Setup!$C$13+Setup!$G$21),Setup!$C$39:$C$50))&gt;=Setup!$C$15,MONTH(WORKDAY(C397,-(Setup!$C$13+Setup!$G$21),Setup!$C$39:$C$50))&lt;=Setup!$C$16),OR(MONTH(WORKDAY(C397,-(Setup!$C$13+Setup!$G$21),Setup!$C$39:$C$50))&gt;=Setup!$C$15,MONTH(WORKDAY(C397,-(Setup!$C$13+Setup!$G$21),Setup!$C$39:$C$50))&lt;=Setup!$C$16))),WORKDAY(C397,-(Setup!$C$13+Setup!$G$21+Setup!$C$14),Setup!$C$39:$C$50),WORKDAY(C397,-(Setup!$C$13+Setup!$G$21),Setup!$C$39:$C$50))+(392*100+2)/10000000)))</f>
        <v/>
      </c>
      <c r="T397" t="str">
        <f>IF(D397="","",IF(D397&lt;Setup!$C$5-Setup!$C$6,"",IF(IF(ISNUMBER(Roster!$D397),Setup!$C$22&lt;=Roster!$D397,FALSE),"",IF(OR(IF(Setup!$C$15&lt;=Setup!$C$16,AND(MONTH(D397)&gt;=Setup!$C$15,MONTH(D397)&lt;=Setup!$C$16),OR(MONTH(D397)&gt;=Setup!$C$15,MONTH(D397)&lt;=Setup!$C$16)),IF(Setup!$C$15&lt;=Setup!$C$16,AND(MONTH(WORKDAY(D397,-(Setup!$C$13+Setup!$G$22),Setup!$C$39:$C$50))&gt;=Setup!$C$15,MONTH(WORKDAY(D397,-(Setup!$C$13+Setup!$G$22),Setup!$C$39:$C$50))&lt;=Setup!$C$16),OR(MONTH(WORKDAY(D397,-(Setup!$C$13+Setup!$G$22),Setup!$C$39:$C$50))&gt;=Setup!$C$15,MONTH(WORKDAY(D397,-(Setup!$C$13+Setup!$G$22),Setup!$C$39:$C$50))&lt;=Setup!$C$16))),WORKDAY(D397,-(Setup!$C$13+Setup!$G$22+Setup!$C$14),Setup!$C$39:$C$50),WORKDAY(D397,-(Setup!$C$13+Setup!$G$22),Setup!$C$39:$C$50))+(392*100+3)/10000000)))</f>
        <v/>
      </c>
      <c r="U397" t="str">
        <f>IF(E397="","",IF(E397&lt;Setup!$C$5-Setup!$C$6,"",IF(IF(ISNUMBER(Roster!$D397),Setup!$C$23&lt;=Roster!$D397,FALSE),"",IF(OR(IF(Setup!$C$15&lt;=Setup!$C$16,AND(MONTH(E397)&gt;=Setup!$C$15,MONTH(E397)&lt;=Setup!$C$16),OR(MONTH(E397)&gt;=Setup!$C$15,MONTH(E397)&lt;=Setup!$C$16)),IF(Setup!$C$15&lt;=Setup!$C$16,AND(MONTH(WORKDAY(E397,-(Setup!$C$13+Setup!$G$23),Setup!$C$39:$C$50))&gt;=Setup!$C$15,MONTH(WORKDAY(E397,-(Setup!$C$13+Setup!$G$23),Setup!$C$39:$C$50))&lt;=Setup!$C$16),OR(MONTH(WORKDAY(E397,-(Setup!$C$13+Setup!$G$23),Setup!$C$39:$C$50))&gt;=Setup!$C$15,MONTH(WORKDAY(E397,-(Setup!$C$13+Setup!$G$23),Setup!$C$39:$C$50))&lt;=Setup!$C$16))),WORKDAY(E397,-(Setup!$C$13+Setup!$G$23+Setup!$C$14),Setup!$C$39:$C$50),WORKDAY(E397,-(Setup!$C$13+Setup!$G$23),Setup!$C$39:$C$50))+(392*100+4)/10000000)))</f>
        <v/>
      </c>
      <c r="V397" t="str">
        <f>IF(F397="","",IF(F397&lt;Setup!$C$5-Setup!$C$6,"",IF(IF(ISNUMBER(Roster!$D397),Setup!$C$24&lt;=Roster!$D397,FALSE),"",IF(OR(IF(Setup!$C$15&lt;=Setup!$C$16,AND(MONTH(F397)&gt;=Setup!$C$15,MONTH(F397)&lt;=Setup!$C$16),OR(MONTH(F397)&gt;=Setup!$C$15,MONTH(F397)&lt;=Setup!$C$16)),IF(Setup!$C$15&lt;=Setup!$C$16,AND(MONTH(WORKDAY(F397,-(Setup!$C$13+Setup!$G$24),Setup!$C$39:$C$50))&gt;=Setup!$C$15,MONTH(WORKDAY(F397,-(Setup!$C$13+Setup!$G$24),Setup!$C$39:$C$50))&lt;=Setup!$C$16),OR(MONTH(WORKDAY(F397,-(Setup!$C$13+Setup!$G$24),Setup!$C$39:$C$50))&gt;=Setup!$C$15,MONTH(WORKDAY(F397,-(Setup!$C$13+Setup!$G$24),Setup!$C$39:$C$50))&lt;=Setup!$C$16))),WORKDAY(F397,-(Setup!$C$13+Setup!$G$24+Setup!$C$14),Setup!$C$39:$C$50),WORKDAY(F397,-(Setup!$C$13+Setup!$G$24),Setup!$C$39:$C$50))+(392*100+5)/10000000)))</f>
        <v/>
      </c>
      <c r="W397" t="str">
        <f>IF(G397="","",IF(G397&lt;Setup!$C$5-Setup!$C$6,"",IF(IF(ISNUMBER(Roster!$D397),Setup!$C$25&lt;=Roster!$D397,FALSE),"",IF(OR(IF(Setup!$C$15&lt;=Setup!$C$16,AND(MONTH(G397)&gt;=Setup!$C$15,MONTH(G397)&lt;=Setup!$C$16),OR(MONTH(G397)&gt;=Setup!$C$15,MONTH(G397)&lt;=Setup!$C$16)),IF(Setup!$C$15&lt;=Setup!$C$16,AND(MONTH(WORKDAY(G397,-(Setup!$C$13+Setup!$G$25),Setup!$C$39:$C$50))&gt;=Setup!$C$15,MONTH(WORKDAY(G397,-(Setup!$C$13+Setup!$G$25),Setup!$C$39:$C$50))&lt;=Setup!$C$16),OR(MONTH(WORKDAY(G397,-(Setup!$C$13+Setup!$G$25),Setup!$C$39:$C$50))&gt;=Setup!$C$15,MONTH(WORKDAY(G397,-(Setup!$C$13+Setup!$G$25),Setup!$C$39:$C$50))&lt;=Setup!$C$16))),WORKDAY(G397,-(Setup!$C$13+Setup!$G$25+Setup!$C$14),Setup!$C$39:$C$50),WORKDAY(G397,-(Setup!$C$13+Setup!$G$25),Setup!$C$39:$C$50))+(392*100+6)/10000000)))</f>
        <v/>
      </c>
      <c r="X397" t="str">
        <f>IF(H397="","",IF(H397&lt;Setup!$C$5-Setup!$C$6,"",IF(IF(ISNUMBER(Roster!$D397),Setup!$C$26&lt;=Roster!$D397,FALSE),"",IF(OR(IF(Setup!$C$15&lt;=Setup!$C$16,AND(MONTH(H397)&gt;=Setup!$C$15,MONTH(H397)&lt;=Setup!$C$16),OR(MONTH(H397)&gt;=Setup!$C$15,MONTH(H397)&lt;=Setup!$C$16)),IF(Setup!$C$15&lt;=Setup!$C$16,AND(MONTH(WORKDAY(H397,-(Setup!$C$13+Setup!$G$26),Setup!$C$39:$C$50))&gt;=Setup!$C$15,MONTH(WORKDAY(H397,-(Setup!$C$13+Setup!$G$26),Setup!$C$39:$C$50))&lt;=Setup!$C$16),OR(MONTH(WORKDAY(H397,-(Setup!$C$13+Setup!$G$26),Setup!$C$39:$C$50))&gt;=Setup!$C$15,MONTH(WORKDAY(H397,-(Setup!$C$13+Setup!$G$26),Setup!$C$39:$C$50))&lt;=Setup!$C$16))),WORKDAY(H397,-(Setup!$C$13+Setup!$G$26+Setup!$C$14),Setup!$C$39:$C$50),WORKDAY(H397,-(Setup!$C$13+Setup!$G$26),Setup!$C$39:$C$50))+(392*100+7)/10000000)))</f>
        <v/>
      </c>
      <c r="Y397" t="str">
        <f>IF(I397="","",IF(I397&lt;Setup!$C$5-Setup!$C$6,"",IF(IF(ISNUMBER(Roster!$D397),Setup!$C$27&lt;=Roster!$D397,FALSE),"",IF(OR(IF(Setup!$C$15&lt;=Setup!$C$16,AND(MONTH(I397)&gt;=Setup!$C$15,MONTH(I397)&lt;=Setup!$C$16),OR(MONTH(I397)&gt;=Setup!$C$15,MONTH(I397)&lt;=Setup!$C$16)),IF(Setup!$C$15&lt;=Setup!$C$16,AND(MONTH(WORKDAY(I397,-(Setup!$C$13+Setup!$G$27),Setup!$C$39:$C$50))&gt;=Setup!$C$15,MONTH(WORKDAY(I397,-(Setup!$C$13+Setup!$G$27),Setup!$C$39:$C$50))&lt;=Setup!$C$16),OR(MONTH(WORKDAY(I397,-(Setup!$C$13+Setup!$G$27),Setup!$C$39:$C$50))&gt;=Setup!$C$15,MONTH(WORKDAY(I397,-(Setup!$C$13+Setup!$G$27),Setup!$C$39:$C$50))&lt;=Setup!$C$16))),WORKDAY(I397,-(Setup!$C$13+Setup!$G$27+Setup!$C$14),Setup!$C$39:$C$50),WORKDAY(I397,-(Setup!$C$13+Setup!$G$27),Setup!$C$39:$C$50))+(392*100+8)/10000000)))</f>
        <v/>
      </c>
      <c r="Z397" t="str">
        <f>IF(J397="","",IF(J397&lt;Setup!$C$5-Setup!$C$6,"",IF(IF(ISNUMBER(Roster!$D397),Setup!$C$28&lt;=Roster!$D397,FALSE),"",IF(OR(IF(Setup!$C$15&lt;=Setup!$C$16,AND(MONTH(J397)&gt;=Setup!$C$15,MONTH(J397)&lt;=Setup!$C$16),OR(MONTH(J397)&gt;=Setup!$C$15,MONTH(J397)&lt;=Setup!$C$16)),IF(Setup!$C$15&lt;=Setup!$C$16,AND(MONTH(WORKDAY(J397,-(Setup!$C$13+Setup!$G$28),Setup!$C$39:$C$50))&gt;=Setup!$C$15,MONTH(WORKDAY(J397,-(Setup!$C$13+Setup!$G$28),Setup!$C$39:$C$50))&lt;=Setup!$C$16),OR(MONTH(WORKDAY(J397,-(Setup!$C$13+Setup!$G$28),Setup!$C$39:$C$50))&gt;=Setup!$C$15,MONTH(WORKDAY(J397,-(Setup!$C$13+Setup!$G$28),Setup!$C$39:$C$50))&lt;=Setup!$C$16))),WORKDAY(J397,-(Setup!$C$13+Setup!$G$28+Setup!$C$14),Setup!$C$39:$C$50),WORKDAY(J397,-(Setup!$C$13+Setup!$G$28),Setup!$C$39:$C$50))+(392*100+9)/10000000)))</f>
        <v/>
      </c>
      <c r="AA397" t="str">
        <f>IF(K397="","",IF(K397&lt;Setup!$C$5-Setup!$C$6,"",IF(IF(ISNUMBER(Roster!$D397),Setup!$C$29&lt;=Roster!$D397,FALSE),"",IF(OR(IF(Setup!$C$15&lt;=Setup!$C$16,AND(MONTH(K397)&gt;=Setup!$C$15,MONTH(K397)&lt;=Setup!$C$16),OR(MONTH(K397)&gt;=Setup!$C$15,MONTH(K397)&lt;=Setup!$C$16)),IF(Setup!$C$15&lt;=Setup!$C$16,AND(MONTH(WORKDAY(K397,-(Setup!$C$13+Setup!$G$29),Setup!$C$39:$C$50))&gt;=Setup!$C$15,MONTH(WORKDAY(K397,-(Setup!$C$13+Setup!$G$29),Setup!$C$39:$C$50))&lt;=Setup!$C$16),OR(MONTH(WORKDAY(K397,-(Setup!$C$13+Setup!$G$29),Setup!$C$39:$C$50))&gt;=Setup!$C$15,MONTH(WORKDAY(K397,-(Setup!$C$13+Setup!$G$29),Setup!$C$39:$C$50))&lt;=Setup!$C$16))),WORKDAY(K397,-(Setup!$C$13+Setup!$G$29+Setup!$C$14),Setup!$C$39:$C$50),WORKDAY(K397,-(Setup!$C$13+Setup!$G$29),Setup!$C$39:$C$50))+(392*100+10)/10000000)))</f>
        <v/>
      </c>
      <c r="AB397" t="str">
        <f>IF(L397="","",IF(L397&lt;Setup!$C$5-Setup!$C$6,"",IF(IF(ISNUMBER(Roster!$D397),Setup!$C$30&lt;=Roster!$D397,FALSE),"",IF(OR(IF(Setup!$C$15&lt;=Setup!$C$16,AND(MONTH(L397)&gt;=Setup!$C$15,MONTH(L397)&lt;=Setup!$C$16),OR(MONTH(L397)&gt;=Setup!$C$15,MONTH(L397)&lt;=Setup!$C$16)),IF(Setup!$C$15&lt;=Setup!$C$16,AND(MONTH(WORKDAY(L397,-(Setup!$C$13+Setup!$G$30),Setup!$C$39:$C$50))&gt;=Setup!$C$15,MONTH(WORKDAY(L397,-(Setup!$C$13+Setup!$G$30),Setup!$C$39:$C$50))&lt;=Setup!$C$16),OR(MONTH(WORKDAY(L397,-(Setup!$C$13+Setup!$G$30),Setup!$C$39:$C$50))&gt;=Setup!$C$15,MONTH(WORKDAY(L397,-(Setup!$C$13+Setup!$G$30),Setup!$C$39:$C$50))&lt;=Setup!$C$16))),WORKDAY(L397,-(Setup!$C$13+Setup!$G$30+Setup!$C$14),Setup!$C$39:$C$50),WORKDAY(L397,-(Setup!$C$13+Setup!$G$30),Setup!$C$39:$C$50))+(392*100+11)/10000000)))</f>
        <v/>
      </c>
      <c r="AC397" t="str">
        <f>IF(M397="","",IF(M397&lt;Setup!$C$5-Setup!$C$6,"",IF(IF(ISNUMBER(Roster!$D397),Setup!$C$31&lt;=Roster!$D397,FALSE),"",IF(OR(IF(Setup!$C$15&lt;=Setup!$C$16,AND(MONTH(M397)&gt;=Setup!$C$15,MONTH(M397)&lt;=Setup!$C$16),OR(MONTH(M397)&gt;=Setup!$C$15,MONTH(M397)&lt;=Setup!$C$16)),IF(Setup!$C$15&lt;=Setup!$C$16,AND(MONTH(WORKDAY(M397,-(Setup!$C$13+Setup!$G$31),Setup!$C$39:$C$50))&gt;=Setup!$C$15,MONTH(WORKDAY(M397,-(Setup!$C$13+Setup!$G$31),Setup!$C$39:$C$50))&lt;=Setup!$C$16),OR(MONTH(WORKDAY(M397,-(Setup!$C$13+Setup!$G$31),Setup!$C$39:$C$50))&gt;=Setup!$C$15,MONTH(WORKDAY(M397,-(Setup!$C$13+Setup!$G$31),Setup!$C$39:$C$50))&lt;=Setup!$C$16))),WORKDAY(M397,-(Setup!$C$13+Setup!$G$31+Setup!$C$14),Setup!$C$39:$C$50),WORKDAY(M397,-(Setup!$C$13+Setup!$G$31),Setup!$C$39:$C$50))+(392*100+12)/10000000)))</f>
        <v/>
      </c>
      <c r="AD397" t="str">
        <f>IF(N397="","",IF(N397&lt;Setup!$C$5-Setup!$C$6,"",IF(IF(ISNUMBER(Roster!$D397),Setup!$C$32&lt;=Roster!$D397,FALSE),"",IF(OR(IF(Setup!$C$15&lt;=Setup!$C$16,AND(MONTH(N397)&gt;=Setup!$C$15,MONTH(N397)&lt;=Setup!$C$16),OR(MONTH(N397)&gt;=Setup!$C$15,MONTH(N397)&lt;=Setup!$C$16)),IF(Setup!$C$15&lt;=Setup!$C$16,AND(MONTH(WORKDAY(N397,-(Setup!$C$13+Setup!$G$32),Setup!$C$39:$C$50))&gt;=Setup!$C$15,MONTH(WORKDAY(N397,-(Setup!$C$13+Setup!$G$32),Setup!$C$39:$C$50))&lt;=Setup!$C$16),OR(MONTH(WORKDAY(N397,-(Setup!$C$13+Setup!$G$32),Setup!$C$39:$C$50))&gt;=Setup!$C$15,MONTH(WORKDAY(N397,-(Setup!$C$13+Setup!$G$32),Setup!$C$39:$C$50))&lt;=Setup!$C$16))),WORKDAY(N397,-(Setup!$C$13+Setup!$G$32+Setup!$C$14),Setup!$C$39:$C$50),WORKDAY(N397,-(Setup!$C$13+Setup!$G$32),Setup!$C$39:$C$50))+(392*100+13)/10000000)))</f>
        <v/>
      </c>
      <c r="AE397" t="str">
        <f>IF(O397="","",IF(O397&lt;Setup!$C$5-Setup!$C$6,"",IF(IF(ISNUMBER(Roster!$D397),Setup!$C$33&lt;=Roster!$D397,FALSE),"",IF(OR(IF(Setup!$C$15&lt;=Setup!$C$16,AND(MONTH(O397)&gt;=Setup!$C$15,MONTH(O397)&lt;=Setup!$C$16),OR(MONTH(O397)&gt;=Setup!$C$15,MONTH(O397)&lt;=Setup!$C$16)),IF(Setup!$C$15&lt;=Setup!$C$16,AND(MONTH(WORKDAY(O397,-(Setup!$C$13+Setup!$G$33),Setup!$C$39:$C$50))&gt;=Setup!$C$15,MONTH(WORKDAY(O397,-(Setup!$C$13+Setup!$G$33),Setup!$C$39:$C$50))&lt;=Setup!$C$16),OR(MONTH(WORKDAY(O397,-(Setup!$C$13+Setup!$G$33),Setup!$C$39:$C$50))&gt;=Setup!$C$15,MONTH(WORKDAY(O397,-(Setup!$C$13+Setup!$G$33),Setup!$C$39:$C$50))&lt;=Setup!$C$16))),WORKDAY(O397,-(Setup!$C$13+Setup!$G$33+Setup!$C$14),Setup!$C$39:$C$50),WORKDAY(O397,-(Setup!$C$13+Setup!$G$33),Setup!$C$39:$C$50))+(392*100+14)/10000000)))</f>
        <v/>
      </c>
      <c r="AF397" t="str">
        <f>IF(P397="","",IF(P397&lt;Setup!$C$5-Setup!$C$6,"",IF(IF(ISNUMBER(Roster!$D397),Setup!$C$34&lt;=Roster!$D397,FALSE),"",IF(OR(IF(Setup!$C$15&lt;=Setup!$C$16,AND(MONTH(P397)&gt;=Setup!$C$15,MONTH(P397)&lt;=Setup!$C$16),OR(MONTH(P397)&gt;=Setup!$C$15,MONTH(P397)&lt;=Setup!$C$16)),IF(Setup!$C$15&lt;=Setup!$C$16,AND(MONTH(WORKDAY(P397,-(Setup!$C$13+Setup!$G$34),Setup!$C$39:$C$50))&gt;=Setup!$C$15,MONTH(WORKDAY(P397,-(Setup!$C$13+Setup!$G$34),Setup!$C$39:$C$50))&lt;=Setup!$C$16),OR(MONTH(WORKDAY(P397,-(Setup!$C$13+Setup!$G$34),Setup!$C$39:$C$50))&gt;=Setup!$C$15,MONTH(WORKDAY(P397,-(Setup!$C$13+Setup!$G$34),Setup!$C$39:$C$50))&lt;=Setup!$C$16))),WORKDAY(P397,-(Setup!$C$13+Setup!$G$34+Setup!$C$14),Setup!$C$39:$C$50),WORKDAY(P397,-(Setup!$C$13+Setup!$G$34),Setup!$C$39:$C$50))+(392*100+15)/10000000)))</f>
        <v/>
      </c>
      <c r="AH397" t="str">
        <f t="shared" si="46"/>
        <v/>
      </c>
      <c r="AI397" t="str">
        <f t="shared" si="47"/>
        <v/>
      </c>
      <c r="AP397" t="str">
        <f>IF(ISNUMBER(Roster!$B397),MAX(1,YEAR(Setup!$C$5)-YEAR(Roster!$B397)+IF(EDATE(Roster!$B397,12*(YEAR(Setup!$C$5)-YEAR(Roster!$B397)))&lt;Setup!$C$5,1,0)),"")</f>
        <v/>
      </c>
      <c r="AQ397" s="32" t="str">
        <f>IF(AP397="","",EDATE(Roster!$B397,12*AP397))</f>
        <v/>
      </c>
      <c r="AR397" t="str">
        <f>IF(AQ397="","",IF(AQ397&lt;DATE(YEAR(Setup!$C$5)+1,MONTH(Setup!$C$5),DAY(Setup!$C$5)),AQ397+392/1000,""))</f>
        <v/>
      </c>
      <c r="AS397" t="str">
        <f t="shared" si="48"/>
        <v/>
      </c>
      <c r="AT397" t="str">
        <f>IF(AS397="","",IF(ISNUMBER(Roster!$D397),Roster!$D397&gt;=AP397,FALSE))</f>
        <v/>
      </c>
      <c r="AU397" t="str">
        <f t="shared" si="49"/>
        <v/>
      </c>
      <c r="AV397" t="str">
        <f ca="1">IF(392&gt;$AV$2,"",SMALL($AR$6:$AR$505,392))</f>
        <v/>
      </c>
      <c r="AW397" t="str">
        <f t="shared" ca="1" si="50"/>
        <v/>
      </c>
    </row>
    <row r="398" spans="2:49" x14ac:dyDescent="0.2">
      <c r="B398" s="32" t="str">
        <f>IF(AND(ISNUMBER(Roster!$B398),Setup!$B$20="Yes",ISNUMBER(Setup!$C$20)),EDATE(Roster!$B398,12*Setup!$C$20),"")</f>
        <v/>
      </c>
      <c r="C398" s="32" t="str">
        <f>IF(AND(ISNUMBER(Roster!$B398),Setup!$B$21="Yes",ISNUMBER(Setup!$C$21)),EDATE(Roster!$B398,12*Setup!$C$21),"")</f>
        <v/>
      </c>
      <c r="D398" s="32" t="str">
        <f>IF(AND(ISNUMBER(Roster!$B398),Setup!$B$22="Yes",ISNUMBER(Setup!$C$22)),EDATE(Roster!$B398,12*Setup!$C$22),"")</f>
        <v/>
      </c>
      <c r="E398" s="32" t="str">
        <f>IF(AND(ISNUMBER(Roster!$B398),Setup!$B$23="Yes",ISNUMBER(Setup!$C$23)),EDATE(Roster!$B398,12*Setup!$C$23),"")</f>
        <v/>
      </c>
      <c r="F398" s="32" t="str">
        <f>IF(AND(ISNUMBER(Roster!$B398),Setup!$B$24="Yes",ISNUMBER(Setup!$C$24)),EDATE(Roster!$B398,12*Setup!$C$24),"")</f>
        <v/>
      </c>
      <c r="G398" s="32" t="str">
        <f>IF(AND(ISNUMBER(Roster!$B398),Setup!$B$25="Yes",ISNUMBER(Setup!$C$25)),EDATE(Roster!$B398,12*Setup!$C$25),"")</f>
        <v/>
      </c>
      <c r="H398" s="32" t="str">
        <f>IF(AND(ISNUMBER(Roster!$B398),Setup!$B$26="Yes",ISNUMBER(Setup!$C$26)),EDATE(Roster!$B398,12*Setup!$C$26),"")</f>
        <v/>
      </c>
      <c r="I398" s="32" t="str">
        <f>IF(AND(ISNUMBER(Roster!$B398),Setup!$B$27="Yes",ISNUMBER(Setup!$C$27)),EDATE(Roster!$B398,12*Setup!$C$27),"")</f>
        <v/>
      </c>
      <c r="J398" s="32" t="str">
        <f>IF(AND(ISNUMBER(Roster!$B398),Setup!$B$28="Yes",ISNUMBER(Setup!$C$28)),EDATE(Roster!$B398,12*Setup!$C$28),"")</f>
        <v/>
      </c>
      <c r="K398" s="32" t="str">
        <f>IF(AND(ISNUMBER(Roster!$B398),Setup!$B$29="Yes",ISNUMBER(Setup!$C$29)),EDATE(Roster!$B398,12*Setup!$C$29),"")</f>
        <v/>
      </c>
      <c r="L398" s="32" t="str">
        <f>IF(AND(ISNUMBER(Roster!$B398),Setup!$B$30="Yes",ISNUMBER(Setup!$C$30)),EDATE(Roster!$B398,12*Setup!$C$30),"")</f>
        <v/>
      </c>
      <c r="M398" s="32" t="str">
        <f>IF(AND(ISNUMBER(Roster!$B398),Setup!$B$31="Yes",ISNUMBER(Setup!$C$31)),EDATE(Roster!$B398,12*Setup!$C$31),"")</f>
        <v/>
      </c>
      <c r="N398" s="32" t="str">
        <f>IF(AND(ISNUMBER(Roster!$B398),Setup!$B$32="Yes",ISNUMBER(Setup!$C$32)),EDATE(Roster!$B398,12*Setup!$C$32),"")</f>
        <v/>
      </c>
      <c r="O398" s="32" t="str">
        <f>IF(AND(ISNUMBER(Roster!$B398),Setup!$B$33="Yes",ISNUMBER(Setup!$C$33)),EDATE(Roster!$B398,12*Setup!$C$33),"")</f>
        <v/>
      </c>
      <c r="P398" s="32" t="str">
        <f>IF(AND(ISNUMBER(Roster!$B398),Setup!$B$34="Yes",ISNUMBER(Setup!$C$34)),EDATE(Roster!$B398,12*Setup!$C$34),"")</f>
        <v/>
      </c>
      <c r="R398" t="str">
        <f>IF(B398="","",IF(B398&lt;Setup!$C$5-Setup!$C$6,"",IF(IF(ISNUMBER(Roster!$D398),Setup!$C$20&lt;=Roster!$D398,FALSE),"",IF(OR(IF(Setup!$C$15&lt;=Setup!$C$16,AND(MONTH(B398)&gt;=Setup!$C$15,MONTH(B398)&lt;=Setup!$C$16),OR(MONTH(B398)&gt;=Setup!$C$15,MONTH(B398)&lt;=Setup!$C$16)),IF(Setup!$C$15&lt;=Setup!$C$16,AND(MONTH(WORKDAY(B398,-(Setup!$C$13+Setup!$G$20),Setup!$C$39:$C$50))&gt;=Setup!$C$15,MONTH(WORKDAY(B398,-(Setup!$C$13+Setup!$G$20),Setup!$C$39:$C$50))&lt;=Setup!$C$16),OR(MONTH(WORKDAY(B398,-(Setup!$C$13+Setup!$G$20),Setup!$C$39:$C$50))&gt;=Setup!$C$15,MONTH(WORKDAY(B398,-(Setup!$C$13+Setup!$G$20),Setup!$C$39:$C$50))&lt;=Setup!$C$16))),WORKDAY(B398,-(Setup!$C$13+Setup!$G$20+Setup!$C$14),Setup!$C$39:$C$50),WORKDAY(B398,-(Setup!$C$13+Setup!$G$20),Setup!$C$39:$C$50))+(393*100+1)/10000000)))</f>
        <v/>
      </c>
      <c r="S398" t="str">
        <f>IF(C398="","",IF(C398&lt;Setup!$C$5-Setup!$C$6,"",IF(IF(ISNUMBER(Roster!$D398),Setup!$C$21&lt;=Roster!$D398,FALSE),"",IF(OR(IF(Setup!$C$15&lt;=Setup!$C$16,AND(MONTH(C398)&gt;=Setup!$C$15,MONTH(C398)&lt;=Setup!$C$16),OR(MONTH(C398)&gt;=Setup!$C$15,MONTH(C398)&lt;=Setup!$C$16)),IF(Setup!$C$15&lt;=Setup!$C$16,AND(MONTH(WORKDAY(C398,-(Setup!$C$13+Setup!$G$21),Setup!$C$39:$C$50))&gt;=Setup!$C$15,MONTH(WORKDAY(C398,-(Setup!$C$13+Setup!$G$21),Setup!$C$39:$C$50))&lt;=Setup!$C$16),OR(MONTH(WORKDAY(C398,-(Setup!$C$13+Setup!$G$21),Setup!$C$39:$C$50))&gt;=Setup!$C$15,MONTH(WORKDAY(C398,-(Setup!$C$13+Setup!$G$21),Setup!$C$39:$C$50))&lt;=Setup!$C$16))),WORKDAY(C398,-(Setup!$C$13+Setup!$G$21+Setup!$C$14),Setup!$C$39:$C$50),WORKDAY(C398,-(Setup!$C$13+Setup!$G$21),Setup!$C$39:$C$50))+(393*100+2)/10000000)))</f>
        <v/>
      </c>
      <c r="T398" t="str">
        <f>IF(D398="","",IF(D398&lt;Setup!$C$5-Setup!$C$6,"",IF(IF(ISNUMBER(Roster!$D398),Setup!$C$22&lt;=Roster!$D398,FALSE),"",IF(OR(IF(Setup!$C$15&lt;=Setup!$C$16,AND(MONTH(D398)&gt;=Setup!$C$15,MONTH(D398)&lt;=Setup!$C$16),OR(MONTH(D398)&gt;=Setup!$C$15,MONTH(D398)&lt;=Setup!$C$16)),IF(Setup!$C$15&lt;=Setup!$C$16,AND(MONTH(WORKDAY(D398,-(Setup!$C$13+Setup!$G$22),Setup!$C$39:$C$50))&gt;=Setup!$C$15,MONTH(WORKDAY(D398,-(Setup!$C$13+Setup!$G$22),Setup!$C$39:$C$50))&lt;=Setup!$C$16),OR(MONTH(WORKDAY(D398,-(Setup!$C$13+Setup!$G$22),Setup!$C$39:$C$50))&gt;=Setup!$C$15,MONTH(WORKDAY(D398,-(Setup!$C$13+Setup!$G$22),Setup!$C$39:$C$50))&lt;=Setup!$C$16))),WORKDAY(D398,-(Setup!$C$13+Setup!$G$22+Setup!$C$14),Setup!$C$39:$C$50),WORKDAY(D398,-(Setup!$C$13+Setup!$G$22),Setup!$C$39:$C$50))+(393*100+3)/10000000)))</f>
        <v/>
      </c>
      <c r="U398" t="str">
        <f>IF(E398="","",IF(E398&lt;Setup!$C$5-Setup!$C$6,"",IF(IF(ISNUMBER(Roster!$D398),Setup!$C$23&lt;=Roster!$D398,FALSE),"",IF(OR(IF(Setup!$C$15&lt;=Setup!$C$16,AND(MONTH(E398)&gt;=Setup!$C$15,MONTH(E398)&lt;=Setup!$C$16),OR(MONTH(E398)&gt;=Setup!$C$15,MONTH(E398)&lt;=Setup!$C$16)),IF(Setup!$C$15&lt;=Setup!$C$16,AND(MONTH(WORKDAY(E398,-(Setup!$C$13+Setup!$G$23),Setup!$C$39:$C$50))&gt;=Setup!$C$15,MONTH(WORKDAY(E398,-(Setup!$C$13+Setup!$G$23),Setup!$C$39:$C$50))&lt;=Setup!$C$16),OR(MONTH(WORKDAY(E398,-(Setup!$C$13+Setup!$G$23),Setup!$C$39:$C$50))&gt;=Setup!$C$15,MONTH(WORKDAY(E398,-(Setup!$C$13+Setup!$G$23),Setup!$C$39:$C$50))&lt;=Setup!$C$16))),WORKDAY(E398,-(Setup!$C$13+Setup!$G$23+Setup!$C$14),Setup!$C$39:$C$50),WORKDAY(E398,-(Setup!$C$13+Setup!$G$23),Setup!$C$39:$C$50))+(393*100+4)/10000000)))</f>
        <v/>
      </c>
      <c r="V398" t="str">
        <f>IF(F398="","",IF(F398&lt;Setup!$C$5-Setup!$C$6,"",IF(IF(ISNUMBER(Roster!$D398),Setup!$C$24&lt;=Roster!$D398,FALSE),"",IF(OR(IF(Setup!$C$15&lt;=Setup!$C$16,AND(MONTH(F398)&gt;=Setup!$C$15,MONTH(F398)&lt;=Setup!$C$16),OR(MONTH(F398)&gt;=Setup!$C$15,MONTH(F398)&lt;=Setup!$C$16)),IF(Setup!$C$15&lt;=Setup!$C$16,AND(MONTH(WORKDAY(F398,-(Setup!$C$13+Setup!$G$24),Setup!$C$39:$C$50))&gt;=Setup!$C$15,MONTH(WORKDAY(F398,-(Setup!$C$13+Setup!$G$24),Setup!$C$39:$C$50))&lt;=Setup!$C$16),OR(MONTH(WORKDAY(F398,-(Setup!$C$13+Setup!$G$24),Setup!$C$39:$C$50))&gt;=Setup!$C$15,MONTH(WORKDAY(F398,-(Setup!$C$13+Setup!$G$24),Setup!$C$39:$C$50))&lt;=Setup!$C$16))),WORKDAY(F398,-(Setup!$C$13+Setup!$G$24+Setup!$C$14),Setup!$C$39:$C$50),WORKDAY(F398,-(Setup!$C$13+Setup!$G$24),Setup!$C$39:$C$50))+(393*100+5)/10000000)))</f>
        <v/>
      </c>
      <c r="W398" t="str">
        <f>IF(G398="","",IF(G398&lt;Setup!$C$5-Setup!$C$6,"",IF(IF(ISNUMBER(Roster!$D398),Setup!$C$25&lt;=Roster!$D398,FALSE),"",IF(OR(IF(Setup!$C$15&lt;=Setup!$C$16,AND(MONTH(G398)&gt;=Setup!$C$15,MONTH(G398)&lt;=Setup!$C$16),OR(MONTH(G398)&gt;=Setup!$C$15,MONTH(G398)&lt;=Setup!$C$16)),IF(Setup!$C$15&lt;=Setup!$C$16,AND(MONTH(WORKDAY(G398,-(Setup!$C$13+Setup!$G$25),Setup!$C$39:$C$50))&gt;=Setup!$C$15,MONTH(WORKDAY(G398,-(Setup!$C$13+Setup!$G$25),Setup!$C$39:$C$50))&lt;=Setup!$C$16),OR(MONTH(WORKDAY(G398,-(Setup!$C$13+Setup!$G$25),Setup!$C$39:$C$50))&gt;=Setup!$C$15,MONTH(WORKDAY(G398,-(Setup!$C$13+Setup!$G$25),Setup!$C$39:$C$50))&lt;=Setup!$C$16))),WORKDAY(G398,-(Setup!$C$13+Setup!$G$25+Setup!$C$14),Setup!$C$39:$C$50),WORKDAY(G398,-(Setup!$C$13+Setup!$G$25),Setup!$C$39:$C$50))+(393*100+6)/10000000)))</f>
        <v/>
      </c>
      <c r="X398" t="str">
        <f>IF(H398="","",IF(H398&lt;Setup!$C$5-Setup!$C$6,"",IF(IF(ISNUMBER(Roster!$D398),Setup!$C$26&lt;=Roster!$D398,FALSE),"",IF(OR(IF(Setup!$C$15&lt;=Setup!$C$16,AND(MONTH(H398)&gt;=Setup!$C$15,MONTH(H398)&lt;=Setup!$C$16),OR(MONTH(H398)&gt;=Setup!$C$15,MONTH(H398)&lt;=Setup!$C$16)),IF(Setup!$C$15&lt;=Setup!$C$16,AND(MONTH(WORKDAY(H398,-(Setup!$C$13+Setup!$G$26),Setup!$C$39:$C$50))&gt;=Setup!$C$15,MONTH(WORKDAY(H398,-(Setup!$C$13+Setup!$G$26),Setup!$C$39:$C$50))&lt;=Setup!$C$16),OR(MONTH(WORKDAY(H398,-(Setup!$C$13+Setup!$G$26),Setup!$C$39:$C$50))&gt;=Setup!$C$15,MONTH(WORKDAY(H398,-(Setup!$C$13+Setup!$G$26),Setup!$C$39:$C$50))&lt;=Setup!$C$16))),WORKDAY(H398,-(Setup!$C$13+Setup!$G$26+Setup!$C$14),Setup!$C$39:$C$50),WORKDAY(H398,-(Setup!$C$13+Setup!$G$26),Setup!$C$39:$C$50))+(393*100+7)/10000000)))</f>
        <v/>
      </c>
      <c r="Y398" t="str">
        <f>IF(I398="","",IF(I398&lt;Setup!$C$5-Setup!$C$6,"",IF(IF(ISNUMBER(Roster!$D398),Setup!$C$27&lt;=Roster!$D398,FALSE),"",IF(OR(IF(Setup!$C$15&lt;=Setup!$C$16,AND(MONTH(I398)&gt;=Setup!$C$15,MONTH(I398)&lt;=Setup!$C$16),OR(MONTH(I398)&gt;=Setup!$C$15,MONTH(I398)&lt;=Setup!$C$16)),IF(Setup!$C$15&lt;=Setup!$C$16,AND(MONTH(WORKDAY(I398,-(Setup!$C$13+Setup!$G$27),Setup!$C$39:$C$50))&gt;=Setup!$C$15,MONTH(WORKDAY(I398,-(Setup!$C$13+Setup!$G$27),Setup!$C$39:$C$50))&lt;=Setup!$C$16),OR(MONTH(WORKDAY(I398,-(Setup!$C$13+Setup!$G$27),Setup!$C$39:$C$50))&gt;=Setup!$C$15,MONTH(WORKDAY(I398,-(Setup!$C$13+Setup!$G$27),Setup!$C$39:$C$50))&lt;=Setup!$C$16))),WORKDAY(I398,-(Setup!$C$13+Setup!$G$27+Setup!$C$14),Setup!$C$39:$C$50),WORKDAY(I398,-(Setup!$C$13+Setup!$G$27),Setup!$C$39:$C$50))+(393*100+8)/10000000)))</f>
        <v/>
      </c>
      <c r="Z398" t="str">
        <f>IF(J398="","",IF(J398&lt;Setup!$C$5-Setup!$C$6,"",IF(IF(ISNUMBER(Roster!$D398),Setup!$C$28&lt;=Roster!$D398,FALSE),"",IF(OR(IF(Setup!$C$15&lt;=Setup!$C$16,AND(MONTH(J398)&gt;=Setup!$C$15,MONTH(J398)&lt;=Setup!$C$16),OR(MONTH(J398)&gt;=Setup!$C$15,MONTH(J398)&lt;=Setup!$C$16)),IF(Setup!$C$15&lt;=Setup!$C$16,AND(MONTH(WORKDAY(J398,-(Setup!$C$13+Setup!$G$28),Setup!$C$39:$C$50))&gt;=Setup!$C$15,MONTH(WORKDAY(J398,-(Setup!$C$13+Setup!$G$28),Setup!$C$39:$C$50))&lt;=Setup!$C$16),OR(MONTH(WORKDAY(J398,-(Setup!$C$13+Setup!$G$28),Setup!$C$39:$C$50))&gt;=Setup!$C$15,MONTH(WORKDAY(J398,-(Setup!$C$13+Setup!$G$28),Setup!$C$39:$C$50))&lt;=Setup!$C$16))),WORKDAY(J398,-(Setup!$C$13+Setup!$G$28+Setup!$C$14),Setup!$C$39:$C$50),WORKDAY(J398,-(Setup!$C$13+Setup!$G$28),Setup!$C$39:$C$50))+(393*100+9)/10000000)))</f>
        <v/>
      </c>
      <c r="AA398" t="str">
        <f>IF(K398="","",IF(K398&lt;Setup!$C$5-Setup!$C$6,"",IF(IF(ISNUMBER(Roster!$D398),Setup!$C$29&lt;=Roster!$D398,FALSE),"",IF(OR(IF(Setup!$C$15&lt;=Setup!$C$16,AND(MONTH(K398)&gt;=Setup!$C$15,MONTH(K398)&lt;=Setup!$C$16),OR(MONTH(K398)&gt;=Setup!$C$15,MONTH(K398)&lt;=Setup!$C$16)),IF(Setup!$C$15&lt;=Setup!$C$16,AND(MONTH(WORKDAY(K398,-(Setup!$C$13+Setup!$G$29),Setup!$C$39:$C$50))&gt;=Setup!$C$15,MONTH(WORKDAY(K398,-(Setup!$C$13+Setup!$G$29),Setup!$C$39:$C$50))&lt;=Setup!$C$16),OR(MONTH(WORKDAY(K398,-(Setup!$C$13+Setup!$G$29),Setup!$C$39:$C$50))&gt;=Setup!$C$15,MONTH(WORKDAY(K398,-(Setup!$C$13+Setup!$G$29),Setup!$C$39:$C$50))&lt;=Setup!$C$16))),WORKDAY(K398,-(Setup!$C$13+Setup!$G$29+Setup!$C$14),Setup!$C$39:$C$50),WORKDAY(K398,-(Setup!$C$13+Setup!$G$29),Setup!$C$39:$C$50))+(393*100+10)/10000000)))</f>
        <v/>
      </c>
      <c r="AB398" t="str">
        <f>IF(L398="","",IF(L398&lt;Setup!$C$5-Setup!$C$6,"",IF(IF(ISNUMBER(Roster!$D398),Setup!$C$30&lt;=Roster!$D398,FALSE),"",IF(OR(IF(Setup!$C$15&lt;=Setup!$C$16,AND(MONTH(L398)&gt;=Setup!$C$15,MONTH(L398)&lt;=Setup!$C$16),OR(MONTH(L398)&gt;=Setup!$C$15,MONTH(L398)&lt;=Setup!$C$16)),IF(Setup!$C$15&lt;=Setup!$C$16,AND(MONTH(WORKDAY(L398,-(Setup!$C$13+Setup!$G$30),Setup!$C$39:$C$50))&gt;=Setup!$C$15,MONTH(WORKDAY(L398,-(Setup!$C$13+Setup!$G$30),Setup!$C$39:$C$50))&lt;=Setup!$C$16),OR(MONTH(WORKDAY(L398,-(Setup!$C$13+Setup!$G$30),Setup!$C$39:$C$50))&gt;=Setup!$C$15,MONTH(WORKDAY(L398,-(Setup!$C$13+Setup!$G$30),Setup!$C$39:$C$50))&lt;=Setup!$C$16))),WORKDAY(L398,-(Setup!$C$13+Setup!$G$30+Setup!$C$14),Setup!$C$39:$C$50),WORKDAY(L398,-(Setup!$C$13+Setup!$G$30),Setup!$C$39:$C$50))+(393*100+11)/10000000)))</f>
        <v/>
      </c>
      <c r="AC398" t="str">
        <f>IF(M398="","",IF(M398&lt;Setup!$C$5-Setup!$C$6,"",IF(IF(ISNUMBER(Roster!$D398),Setup!$C$31&lt;=Roster!$D398,FALSE),"",IF(OR(IF(Setup!$C$15&lt;=Setup!$C$16,AND(MONTH(M398)&gt;=Setup!$C$15,MONTH(M398)&lt;=Setup!$C$16),OR(MONTH(M398)&gt;=Setup!$C$15,MONTH(M398)&lt;=Setup!$C$16)),IF(Setup!$C$15&lt;=Setup!$C$16,AND(MONTH(WORKDAY(M398,-(Setup!$C$13+Setup!$G$31),Setup!$C$39:$C$50))&gt;=Setup!$C$15,MONTH(WORKDAY(M398,-(Setup!$C$13+Setup!$G$31),Setup!$C$39:$C$50))&lt;=Setup!$C$16),OR(MONTH(WORKDAY(M398,-(Setup!$C$13+Setup!$G$31),Setup!$C$39:$C$50))&gt;=Setup!$C$15,MONTH(WORKDAY(M398,-(Setup!$C$13+Setup!$G$31),Setup!$C$39:$C$50))&lt;=Setup!$C$16))),WORKDAY(M398,-(Setup!$C$13+Setup!$G$31+Setup!$C$14),Setup!$C$39:$C$50),WORKDAY(M398,-(Setup!$C$13+Setup!$G$31),Setup!$C$39:$C$50))+(393*100+12)/10000000)))</f>
        <v/>
      </c>
      <c r="AD398" t="str">
        <f>IF(N398="","",IF(N398&lt;Setup!$C$5-Setup!$C$6,"",IF(IF(ISNUMBER(Roster!$D398),Setup!$C$32&lt;=Roster!$D398,FALSE),"",IF(OR(IF(Setup!$C$15&lt;=Setup!$C$16,AND(MONTH(N398)&gt;=Setup!$C$15,MONTH(N398)&lt;=Setup!$C$16),OR(MONTH(N398)&gt;=Setup!$C$15,MONTH(N398)&lt;=Setup!$C$16)),IF(Setup!$C$15&lt;=Setup!$C$16,AND(MONTH(WORKDAY(N398,-(Setup!$C$13+Setup!$G$32),Setup!$C$39:$C$50))&gt;=Setup!$C$15,MONTH(WORKDAY(N398,-(Setup!$C$13+Setup!$G$32),Setup!$C$39:$C$50))&lt;=Setup!$C$16),OR(MONTH(WORKDAY(N398,-(Setup!$C$13+Setup!$G$32),Setup!$C$39:$C$50))&gt;=Setup!$C$15,MONTH(WORKDAY(N398,-(Setup!$C$13+Setup!$G$32),Setup!$C$39:$C$50))&lt;=Setup!$C$16))),WORKDAY(N398,-(Setup!$C$13+Setup!$G$32+Setup!$C$14),Setup!$C$39:$C$50),WORKDAY(N398,-(Setup!$C$13+Setup!$G$32),Setup!$C$39:$C$50))+(393*100+13)/10000000)))</f>
        <v/>
      </c>
      <c r="AE398" t="str">
        <f>IF(O398="","",IF(O398&lt;Setup!$C$5-Setup!$C$6,"",IF(IF(ISNUMBER(Roster!$D398),Setup!$C$33&lt;=Roster!$D398,FALSE),"",IF(OR(IF(Setup!$C$15&lt;=Setup!$C$16,AND(MONTH(O398)&gt;=Setup!$C$15,MONTH(O398)&lt;=Setup!$C$16),OR(MONTH(O398)&gt;=Setup!$C$15,MONTH(O398)&lt;=Setup!$C$16)),IF(Setup!$C$15&lt;=Setup!$C$16,AND(MONTH(WORKDAY(O398,-(Setup!$C$13+Setup!$G$33),Setup!$C$39:$C$50))&gt;=Setup!$C$15,MONTH(WORKDAY(O398,-(Setup!$C$13+Setup!$G$33),Setup!$C$39:$C$50))&lt;=Setup!$C$16),OR(MONTH(WORKDAY(O398,-(Setup!$C$13+Setup!$G$33),Setup!$C$39:$C$50))&gt;=Setup!$C$15,MONTH(WORKDAY(O398,-(Setup!$C$13+Setup!$G$33),Setup!$C$39:$C$50))&lt;=Setup!$C$16))),WORKDAY(O398,-(Setup!$C$13+Setup!$G$33+Setup!$C$14),Setup!$C$39:$C$50),WORKDAY(O398,-(Setup!$C$13+Setup!$G$33),Setup!$C$39:$C$50))+(393*100+14)/10000000)))</f>
        <v/>
      </c>
      <c r="AF398" t="str">
        <f>IF(P398="","",IF(P398&lt;Setup!$C$5-Setup!$C$6,"",IF(IF(ISNUMBER(Roster!$D398),Setup!$C$34&lt;=Roster!$D398,FALSE),"",IF(OR(IF(Setup!$C$15&lt;=Setup!$C$16,AND(MONTH(P398)&gt;=Setup!$C$15,MONTH(P398)&lt;=Setup!$C$16),OR(MONTH(P398)&gt;=Setup!$C$15,MONTH(P398)&lt;=Setup!$C$16)),IF(Setup!$C$15&lt;=Setup!$C$16,AND(MONTH(WORKDAY(P398,-(Setup!$C$13+Setup!$G$34),Setup!$C$39:$C$50))&gt;=Setup!$C$15,MONTH(WORKDAY(P398,-(Setup!$C$13+Setup!$G$34),Setup!$C$39:$C$50))&lt;=Setup!$C$16),OR(MONTH(WORKDAY(P398,-(Setup!$C$13+Setup!$G$34),Setup!$C$39:$C$50))&gt;=Setup!$C$15,MONTH(WORKDAY(P398,-(Setup!$C$13+Setup!$G$34),Setup!$C$39:$C$50))&lt;=Setup!$C$16))),WORKDAY(P398,-(Setup!$C$13+Setup!$G$34+Setup!$C$14),Setup!$C$39:$C$50),WORKDAY(P398,-(Setup!$C$13+Setup!$G$34),Setup!$C$39:$C$50))+(393*100+15)/10000000)))</f>
        <v/>
      </c>
      <c r="AH398" t="str">
        <f t="shared" si="46"/>
        <v/>
      </c>
      <c r="AI398" t="str">
        <f t="shared" si="47"/>
        <v/>
      </c>
      <c r="AP398" t="str">
        <f>IF(ISNUMBER(Roster!$B398),MAX(1,YEAR(Setup!$C$5)-YEAR(Roster!$B398)+IF(EDATE(Roster!$B398,12*(YEAR(Setup!$C$5)-YEAR(Roster!$B398)))&lt;Setup!$C$5,1,0)),"")</f>
        <v/>
      </c>
      <c r="AQ398" s="32" t="str">
        <f>IF(AP398="","",EDATE(Roster!$B398,12*AP398))</f>
        <v/>
      </c>
      <c r="AR398" t="str">
        <f>IF(AQ398="","",IF(AQ398&lt;DATE(YEAR(Setup!$C$5)+1,MONTH(Setup!$C$5),DAY(Setup!$C$5)),AQ398+393/1000,""))</f>
        <v/>
      </c>
      <c r="AS398" t="str">
        <f t="shared" si="48"/>
        <v/>
      </c>
      <c r="AT398" t="str">
        <f>IF(AS398="","",IF(ISNUMBER(Roster!$D398),Roster!$D398&gt;=AP398,FALSE))</f>
        <v/>
      </c>
      <c r="AU398" t="str">
        <f t="shared" si="49"/>
        <v/>
      </c>
      <c r="AV398" t="str">
        <f ca="1">IF(393&gt;$AV$2,"",SMALL($AR$6:$AR$505,393))</f>
        <v/>
      </c>
      <c r="AW398" t="str">
        <f t="shared" ca="1" si="50"/>
        <v/>
      </c>
    </row>
    <row r="399" spans="2:49" x14ac:dyDescent="0.2">
      <c r="B399" s="32" t="str">
        <f>IF(AND(ISNUMBER(Roster!$B399),Setup!$B$20="Yes",ISNUMBER(Setup!$C$20)),EDATE(Roster!$B399,12*Setup!$C$20),"")</f>
        <v/>
      </c>
      <c r="C399" s="32" t="str">
        <f>IF(AND(ISNUMBER(Roster!$B399),Setup!$B$21="Yes",ISNUMBER(Setup!$C$21)),EDATE(Roster!$B399,12*Setup!$C$21),"")</f>
        <v/>
      </c>
      <c r="D399" s="32" t="str">
        <f>IF(AND(ISNUMBER(Roster!$B399),Setup!$B$22="Yes",ISNUMBER(Setup!$C$22)),EDATE(Roster!$B399,12*Setup!$C$22),"")</f>
        <v/>
      </c>
      <c r="E399" s="32" t="str">
        <f>IF(AND(ISNUMBER(Roster!$B399),Setup!$B$23="Yes",ISNUMBER(Setup!$C$23)),EDATE(Roster!$B399,12*Setup!$C$23),"")</f>
        <v/>
      </c>
      <c r="F399" s="32" t="str">
        <f>IF(AND(ISNUMBER(Roster!$B399),Setup!$B$24="Yes",ISNUMBER(Setup!$C$24)),EDATE(Roster!$B399,12*Setup!$C$24),"")</f>
        <v/>
      </c>
      <c r="G399" s="32" t="str">
        <f>IF(AND(ISNUMBER(Roster!$B399),Setup!$B$25="Yes",ISNUMBER(Setup!$C$25)),EDATE(Roster!$B399,12*Setup!$C$25),"")</f>
        <v/>
      </c>
      <c r="H399" s="32" t="str">
        <f>IF(AND(ISNUMBER(Roster!$B399),Setup!$B$26="Yes",ISNUMBER(Setup!$C$26)),EDATE(Roster!$B399,12*Setup!$C$26),"")</f>
        <v/>
      </c>
      <c r="I399" s="32" t="str">
        <f>IF(AND(ISNUMBER(Roster!$B399),Setup!$B$27="Yes",ISNUMBER(Setup!$C$27)),EDATE(Roster!$B399,12*Setup!$C$27),"")</f>
        <v/>
      </c>
      <c r="J399" s="32" t="str">
        <f>IF(AND(ISNUMBER(Roster!$B399),Setup!$B$28="Yes",ISNUMBER(Setup!$C$28)),EDATE(Roster!$B399,12*Setup!$C$28),"")</f>
        <v/>
      </c>
      <c r="K399" s="32" t="str">
        <f>IF(AND(ISNUMBER(Roster!$B399),Setup!$B$29="Yes",ISNUMBER(Setup!$C$29)),EDATE(Roster!$B399,12*Setup!$C$29),"")</f>
        <v/>
      </c>
      <c r="L399" s="32" t="str">
        <f>IF(AND(ISNUMBER(Roster!$B399),Setup!$B$30="Yes",ISNUMBER(Setup!$C$30)),EDATE(Roster!$B399,12*Setup!$C$30),"")</f>
        <v/>
      </c>
      <c r="M399" s="32" t="str">
        <f>IF(AND(ISNUMBER(Roster!$B399),Setup!$B$31="Yes",ISNUMBER(Setup!$C$31)),EDATE(Roster!$B399,12*Setup!$C$31),"")</f>
        <v/>
      </c>
      <c r="N399" s="32" t="str">
        <f>IF(AND(ISNUMBER(Roster!$B399),Setup!$B$32="Yes",ISNUMBER(Setup!$C$32)),EDATE(Roster!$B399,12*Setup!$C$32),"")</f>
        <v/>
      </c>
      <c r="O399" s="32" t="str">
        <f>IF(AND(ISNUMBER(Roster!$B399),Setup!$B$33="Yes",ISNUMBER(Setup!$C$33)),EDATE(Roster!$B399,12*Setup!$C$33),"")</f>
        <v/>
      </c>
      <c r="P399" s="32" t="str">
        <f>IF(AND(ISNUMBER(Roster!$B399),Setup!$B$34="Yes",ISNUMBER(Setup!$C$34)),EDATE(Roster!$B399,12*Setup!$C$34),"")</f>
        <v/>
      </c>
      <c r="R399" t="str">
        <f>IF(B399="","",IF(B399&lt;Setup!$C$5-Setup!$C$6,"",IF(IF(ISNUMBER(Roster!$D399),Setup!$C$20&lt;=Roster!$D399,FALSE),"",IF(OR(IF(Setup!$C$15&lt;=Setup!$C$16,AND(MONTH(B399)&gt;=Setup!$C$15,MONTH(B399)&lt;=Setup!$C$16),OR(MONTH(B399)&gt;=Setup!$C$15,MONTH(B399)&lt;=Setup!$C$16)),IF(Setup!$C$15&lt;=Setup!$C$16,AND(MONTH(WORKDAY(B399,-(Setup!$C$13+Setup!$G$20),Setup!$C$39:$C$50))&gt;=Setup!$C$15,MONTH(WORKDAY(B399,-(Setup!$C$13+Setup!$G$20),Setup!$C$39:$C$50))&lt;=Setup!$C$16),OR(MONTH(WORKDAY(B399,-(Setup!$C$13+Setup!$G$20),Setup!$C$39:$C$50))&gt;=Setup!$C$15,MONTH(WORKDAY(B399,-(Setup!$C$13+Setup!$G$20),Setup!$C$39:$C$50))&lt;=Setup!$C$16))),WORKDAY(B399,-(Setup!$C$13+Setup!$G$20+Setup!$C$14),Setup!$C$39:$C$50),WORKDAY(B399,-(Setup!$C$13+Setup!$G$20),Setup!$C$39:$C$50))+(394*100+1)/10000000)))</f>
        <v/>
      </c>
      <c r="S399" t="str">
        <f>IF(C399="","",IF(C399&lt;Setup!$C$5-Setup!$C$6,"",IF(IF(ISNUMBER(Roster!$D399),Setup!$C$21&lt;=Roster!$D399,FALSE),"",IF(OR(IF(Setup!$C$15&lt;=Setup!$C$16,AND(MONTH(C399)&gt;=Setup!$C$15,MONTH(C399)&lt;=Setup!$C$16),OR(MONTH(C399)&gt;=Setup!$C$15,MONTH(C399)&lt;=Setup!$C$16)),IF(Setup!$C$15&lt;=Setup!$C$16,AND(MONTH(WORKDAY(C399,-(Setup!$C$13+Setup!$G$21),Setup!$C$39:$C$50))&gt;=Setup!$C$15,MONTH(WORKDAY(C399,-(Setup!$C$13+Setup!$G$21),Setup!$C$39:$C$50))&lt;=Setup!$C$16),OR(MONTH(WORKDAY(C399,-(Setup!$C$13+Setup!$G$21),Setup!$C$39:$C$50))&gt;=Setup!$C$15,MONTH(WORKDAY(C399,-(Setup!$C$13+Setup!$G$21),Setup!$C$39:$C$50))&lt;=Setup!$C$16))),WORKDAY(C399,-(Setup!$C$13+Setup!$G$21+Setup!$C$14),Setup!$C$39:$C$50),WORKDAY(C399,-(Setup!$C$13+Setup!$G$21),Setup!$C$39:$C$50))+(394*100+2)/10000000)))</f>
        <v/>
      </c>
      <c r="T399" t="str">
        <f>IF(D399="","",IF(D399&lt;Setup!$C$5-Setup!$C$6,"",IF(IF(ISNUMBER(Roster!$D399),Setup!$C$22&lt;=Roster!$D399,FALSE),"",IF(OR(IF(Setup!$C$15&lt;=Setup!$C$16,AND(MONTH(D399)&gt;=Setup!$C$15,MONTH(D399)&lt;=Setup!$C$16),OR(MONTH(D399)&gt;=Setup!$C$15,MONTH(D399)&lt;=Setup!$C$16)),IF(Setup!$C$15&lt;=Setup!$C$16,AND(MONTH(WORKDAY(D399,-(Setup!$C$13+Setup!$G$22),Setup!$C$39:$C$50))&gt;=Setup!$C$15,MONTH(WORKDAY(D399,-(Setup!$C$13+Setup!$G$22),Setup!$C$39:$C$50))&lt;=Setup!$C$16),OR(MONTH(WORKDAY(D399,-(Setup!$C$13+Setup!$G$22),Setup!$C$39:$C$50))&gt;=Setup!$C$15,MONTH(WORKDAY(D399,-(Setup!$C$13+Setup!$G$22),Setup!$C$39:$C$50))&lt;=Setup!$C$16))),WORKDAY(D399,-(Setup!$C$13+Setup!$G$22+Setup!$C$14),Setup!$C$39:$C$50),WORKDAY(D399,-(Setup!$C$13+Setup!$G$22),Setup!$C$39:$C$50))+(394*100+3)/10000000)))</f>
        <v/>
      </c>
      <c r="U399" t="str">
        <f>IF(E399="","",IF(E399&lt;Setup!$C$5-Setup!$C$6,"",IF(IF(ISNUMBER(Roster!$D399),Setup!$C$23&lt;=Roster!$D399,FALSE),"",IF(OR(IF(Setup!$C$15&lt;=Setup!$C$16,AND(MONTH(E399)&gt;=Setup!$C$15,MONTH(E399)&lt;=Setup!$C$16),OR(MONTH(E399)&gt;=Setup!$C$15,MONTH(E399)&lt;=Setup!$C$16)),IF(Setup!$C$15&lt;=Setup!$C$16,AND(MONTH(WORKDAY(E399,-(Setup!$C$13+Setup!$G$23),Setup!$C$39:$C$50))&gt;=Setup!$C$15,MONTH(WORKDAY(E399,-(Setup!$C$13+Setup!$G$23),Setup!$C$39:$C$50))&lt;=Setup!$C$16),OR(MONTH(WORKDAY(E399,-(Setup!$C$13+Setup!$G$23),Setup!$C$39:$C$50))&gt;=Setup!$C$15,MONTH(WORKDAY(E399,-(Setup!$C$13+Setup!$G$23),Setup!$C$39:$C$50))&lt;=Setup!$C$16))),WORKDAY(E399,-(Setup!$C$13+Setup!$G$23+Setup!$C$14),Setup!$C$39:$C$50),WORKDAY(E399,-(Setup!$C$13+Setup!$G$23),Setup!$C$39:$C$50))+(394*100+4)/10000000)))</f>
        <v/>
      </c>
      <c r="V399" t="str">
        <f>IF(F399="","",IF(F399&lt;Setup!$C$5-Setup!$C$6,"",IF(IF(ISNUMBER(Roster!$D399),Setup!$C$24&lt;=Roster!$D399,FALSE),"",IF(OR(IF(Setup!$C$15&lt;=Setup!$C$16,AND(MONTH(F399)&gt;=Setup!$C$15,MONTH(F399)&lt;=Setup!$C$16),OR(MONTH(F399)&gt;=Setup!$C$15,MONTH(F399)&lt;=Setup!$C$16)),IF(Setup!$C$15&lt;=Setup!$C$16,AND(MONTH(WORKDAY(F399,-(Setup!$C$13+Setup!$G$24),Setup!$C$39:$C$50))&gt;=Setup!$C$15,MONTH(WORKDAY(F399,-(Setup!$C$13+Setup!$G$24),Setup!$C$39:$C$50))&lt;=Setup!$C$16),OR(MONTH(WORKDAY(F399,-(Setup!$C$13+Setup!$G$24),Setup!$C$39:$C$50))&gt;=Setup!$C$15,MONTH(WORKDAY(F399,-(Setup!$C$13+Setup!$G$24),Setup!$C$39:$C$50))&lt;=Setup!$C$16))),WORKDAY(F399,-(Setup!$C$13+Setup!$G$24+Setup!$C$14),Setup!$C$39:$C$50),WORKDAY(F399,-(Setup!$C$13+Setup!$G$24),Setup!$C$39:$C$50))+(394*100+5)/10000000)))</f>
        <v/>
      </c>
      <c r="W399" t="str">
        <f>IF(G399="","",IF(G399&lt;Setup!$C$5-Setup!$C$6,"",IF(IF(ISNUMBER(Roster!$D399),Setup!$C$25&lt;=Roster!$D399,FALSE),"",IF(OR(IF(Setup!$C$15&lt;=Setup!$C$16,AND(MONTH(G399)&gt;=Setup!$C$15,MONTH(G399)&lt;=Setup!$C$16),OR(MONTH(G399)&gt;=Setup!$C$15,MONTH(G399)&lt;=Setup!$C$16)),IF(Setup!$C$15&lt;=Setup!$C$16,AND(MONTH(WORKDAY(G399,-(Setup!$C$13+Setup!$G$25),Setup!$C$39:$C$50))&gt;=Setup!$C$15,MONTH(WORKDAY(G399,-(Setup!$C$13+Setup!$G$25),Setup!$C$39:$C$50))&lt;=Setup!$C$16),OR(MONTH(WORKDAY(G399,-(Setup!$C$13+Setup!$G$25),Setup!$C$39:$C$50))&gt;=Setup!$C$15,MONTH(WORKDAY(G399,-(Setup!$C$13+Setup!$G$25),Setup!$C$39:$C$50))&lt;=Setup!$C$16))),WORKDAY(G399,-(Setup!$C$13+Setup!$G$25+Setup!$C$14),Setup!$C$39:$C$50),WORKDAY(G399,-(Setup!$C$13+Setup!$G$25),Setup!$C$39:$C$50))+(394*100+6)/10000000)))</f>
        <v/>
      </c>
      <c r="X399" t="str">
        <f>IF(H399="","",IF(H399&lt;Setup!$C$5-Setup!$C$6,"",IF(IF(ISNUMBER(Roster!$D399),Setup!$C$26&lt;=Roster!$D399,FALSE),"",IF(OR(IF(Setup!$C$15&lt;=Setup!$C$16,AND(MONTH(H399)&gt;=Setup!$C$15,MONTH(H399)&lt;=Setup!$C$16),OR(MONTH(H399)&gt;=Setup!$C$15,MONTH(H399)&lt;=Setup!$C$16)),IF(Setup!$C$15&lt;=Setup!$C$16,AND(MONTH(WORKDAY(H399,-(Setup!$C$13+Setup!$G$26),Setup!$C$39:$C$50))&gt;=Setup!$C$15,MONTH(WORKDAY(H399,-(Setup!$C$13+Setup!$G$26),Setup!$C$39:$C$50))&lt;=Setup!$C$16),OR(MONTH(WORKDAY(H399,-(Setup!$C$13+Setup!$G$26),Setup!$C$39:$C$50))&gt;=Setup!$C$15,MONTH(WORKDAY(H399,-(Setup!$C$13+Setup!$G$26),Setup!$C$39:$C$50))&lt;=Setup!$C$16))),WORKDAY(H399,-(Setup!$C$13+Setup!$G$26+Setup!$C$14),Setup!$C$39:$C$50),WORKDAY(H399,-(Setup!$C$13+Setup!$G$26),Setup!$C$39:$C$50))+(394*100+7)/10000000)))</f>
        <v/>
      </c>
      <c r="Y399" t="str">
        <f>IF(I399="","",IF(I399&lt;Setup!$C$5-Setup!$C$6,"",IF(IF(ISNUMBER(Roster!$D399),Setup!$C$27&lt;=Roster!$D399,FALSE),"",IF(OR(IF(Setup!$C$15&lt;=Setup!$C$16,AND(MONTH(I399)&gt;=Setup!$C$15,MONTH(I399)&lt;=Setup!$C$16),OR(MONTH(I399)&gt;=Setup!$C$15,MONTH(I399)&lt;=Setup!$C$16)),IF(Setup!$C$15&lt;=Setup!$C$16,AND(MONTH(WORKDAY(I399,-(Setup!$C$13+Setup!$G$27),Setup!$C$39:$C$50))&gt;=Setup!$C$15,MONTH(WORKDAY(I399,-(Setup!$C$13+Setup!$G$27),Setup!$C$39:$C$50))&lt;=Setup!$C$16),OR(MONTH(WORKDAY(I399,-(Setup!$C$13+Setup!$G$27),Setup!$C$39:$C$50))&gt;=Setup!$C$15,MONTH(WORKDAY(I399,-(Setup!$C$13+Setup!$G$27),Setup!$C$39:$C$50))&lt;=Setup!$C$16))),WORKDAY(I399,-(Setup!$C$13+Setup!$G$27+Setup!$C$14),Setup!$C$39:$C$50),WORKDAY(I399,-(Setup!$C$13+Setup!$G$27),Setup!$C$39:$C$50))+(394*100+8)/10000000)))</f>
        <v/>
      </c>
      <c r="Z399" t="str">
        <f>IF(J399="","",IF(J399&lt;Setup!$C$5-Setup!$C$6,"",IF(IF(ISNUMBER(Roster!$D399),Setup!$C$28&lt;=Roster!$D399,FALSE),"",IF(OR(IF(Setup!$C$15&lt;=Setup!$C$16,AND(MONTH(J399)&gt;=Setup!$C$15,MONTH(J399)&lt;=Setup!$C$16),OR(MONTH(J399)&gt;=Setup!$C$15,MONTH(J399)&lt;=Setup!$C$16)),IF(Setup!$C$15&lt;=Setup!$C$16,AND(MONTH(WORKDAY(J399,-(Setup!$C$13+Setup!$G$28),Setup!$C$39:$C$50))&gt;=Setup!$C$15,MONTH(WORKDAY(J399,-(Setup!$C$13+Setup!$G$28),Setup!$C$39:$C$50))&lt;=Setup!$C$16),OR(MONTH(WORKDAY(J399,-(Setup!$C$13+Setup!$G$28),Setup!$C$39:$C$50))&gt;=Setup!$C$15,MONTH(WORKDAY(J399,-(Setup!$C$13+Setup!$G$28),Setup!$C$39:$C$50))&lt;=Setup!$C$16))),WORKDAY(J399,-(Setup!$C$13+Setup!$G$28+Setup!$C$14),Setup!$C$39:$C$50),WORKDAY(J399,-(Setup!$C$13+Setup!$G$28),Setup!$C$39:$C$50))+(394*100+9)/10000000)))</f>
        <v/>
      </c>
      <c r="AA399" t="str">
        <f>IF(K399="","",IF(K399&lt;Setup!$C$5-Setup!$C$6,"",IF(IF(ISNUMBER(Roster!$D399),Setup!$C$29&lt;=Roster!$D399,FALSE),"",IF(OR(IF(Setup!$C$15&lt;=Setup!$C$16,AND(MONTH(K399)&gt;=Setup!$C$15,MONTH(K399)&lt;=Setup!$C$16),OR(MONTH(K399)&gt;=Setup!$C$15,MONTH(K399)&lt;=Setup!$C$16)),IF(Setup!$C$15&lt;=Setup!$C$16,AND(MONTH(WORKDAY(K399,-(Setup!$C$13+Setup!$G$29),Setup!$C$39:$C$50))&gt;=Setup!$C$15,MONTH(WORKDAY(K399,-(Setup!$C$13+Setup!$G$29),Setup!$C$39:$C$50))&lt;=Setup!$C$16),OR(MONTH(WORKDAY(K399,-(Setup!$C$13+Setup!$G$29),Setup!$C$39:$C$50))&gt;=Setup!$C$15,MONTH(WORKDAY(K399,-(Setup!$C$13+Setup!$G$29),Setup!$C$39:$C$50))&lt;=Setup!$C$16))),WORKDAY(K399,-(Setup!$C$13+Setup!$G$29+Setup!$C$14),Setup!$C$39:$C$50),WORKDAY(K399,-(Setup!$C$13+Setup!$G$29),Setup!$C$39:$C$50))+(394*100+10)/10000000)))</f>
        <v/>
      </c>
      <c r="AB399" t="str">
        <f>IF(L399="","",IF(L399&lt;Setup!$C$5-Setup!$C$6,"",IF(IF(ISNUMBER(Roster!$D399),Setup!$C$30&lt;=Roster!$D399,FALSE),"",IF(OR(IF(Setup!$C$15&lt;=Setup!$C$16,AND(MONTH(L399)&gt;=Setup!$C$15,MONTH(L399)&lt;=Setup!$C$16),OR(MONTH(L399)&gt;=Setup!$C$15,MONTH(L399)&lt;=Setup!$C$16)),IF(Setup!$C$15&lt;=Setup!$C$16,AND(MONTH(WORKDAY(L399,-(Setup!$C$13+Setup!$G$30),Setup!$C$39:$C$50))&gt;=Setup!$C$15,MONTH(WORKDAY(L399,-(Setup!$C$13+Setup!$G$30),Setup!$C$39:$C$50))&lt;=Setup!$C$16),OR(MONTH(WORKDAY(L399,-(Setup!$C$13+Setup!$G$30),Setup!$C$39:$C$50))&gt;=Setup!$C$15,MONTH(WORKDAY(L399,-(Setup!$C$13+Setup!$G$30),Setup!$C$39:$C$50))&lt;=Setup!$C$16))),WORKDAY(L399,-(Setup!$C$13+Setup!$G$30+Setup!$C$14),Setup!$C$39:$C$50),WORKDAY(L399,-(Setup!$C$13+Setup!$G$30),Setup!$C$39:$C$50))+(394*100+11)/10000000)))</f>
        <v/>
      </c>
      <c r="AC399" t="str">
        <f>IF(M399="","",IF(M399&lt;Setup!$C$5-Setup!$C$6,"",IF(IF(ISNUMBER(Roster!$D399),Setup!$C$31&lt;=Roster!$D399,FALSE),"",IF(OR(IF(Setup!$C$15&lt;=Setup!$C$16,AND(MONTH(M399)&gt;=Setup!$C$15,MONTH(M399)&lt;=Setup!$C$16),OR(MONTH(M399)&gt;=Setup!$C$15,MONTH(M399)&lt;=Setup!$C$16)),IF(Setup!$C$15&lt;=Setup!$C$16,AND(MONTH(WORKDAY(M399,-(Setup!$C$13+Setup!$G$31),Setup!$C$39:$C$50))&gt;=Setup!$C$15,MONTH(WORKDAY(M399,-(Setup!$C$13+Setup!$G$31),Setup!$C$39:$C$50))&lt;=Setup!$C$16),OR(MONTH(WORKDAY(M399,-(Setup!$C$13+Setup!$G$31),Setup!$C$39:$C$50))&gt;=Setup!$C$15,MONTH(WORKDAY(M399,-(Setup!$C$13+Setup!$G$31),Setup!$C$39:$C$50))&lt;=Setup!$C$16))),WORKDAY(M399,-(Setup!$C$13+Setup!$G$31+Setup!$C$14),Setup!$C$39:$C$50),WORKDAY(M399,-(Setup!$C$13+Setup!$G$31),Setup!$C$39:$C$50))+(394*100+12)/10000000)))</f>
        <v/>
      </c>
      <c r="AD399" t="str">
        <f>IF(N399="","",IF(N399&lt;Setup!$C$5-Setup!$C$6,"",IF(IF(ISNUMBER(Roster!$D399),Setup!$C$32&lt;=Roster!$D399,FALSE),"",IF(OR(IF(Setup!$C$15&lt;=Setup!$C$16,AND(MONTH(N399)&gt;=Setup!$C$15,MONTH(N399)&lt;=Setup!$C$16),OR(MONTH(N399)&gt;=Setup!$C$15,MONTH(N399)&lt;=Setup!$C$16)),IF(Setup!$C$15&lt;=Setup!$C$16,AND(MONTH(WORKDAY(N399,-(Setup!$C$13+Setup!$G$32),Setup!$C$39:$C$50))&gt;=Setup!$C$15,MONTH(WORKDAY(N399,-(Setup!$C$13+Setup!$G$32),Setup!$C$39:$C$50))&lt;=Setup!$C$16),OR(MONTH(WORKDAY(N399,-(Setup!$C$13+Setup!$G$32),Setup!$C$39:$C$50))&gt;=Setup!$C$15,MONTH(WORKDAY(N399,-(Setup!$C$13+Setup!$G$32),Setup!$C$39:$C$50))&lt;=Setup!$C$16))),WORKDAY(N399,-(Setup!$C$13+Setup!$G$32+Setup!$C$14),Setup!$C$39:$C$50),WORKDAY(N399,-(Setup!$C$13+Setup!$G$32),Setup!$C$39:$C$50))+(394*100+13)/10000000)))</f>
        <v/>
      </c>
      <c r="AE399" t="str">
        <f>IF(O399="","",IF(O399&lt;Setup!$C$5-Setup!$C$6,"",IF(IF(ISNUMBER(Roster!$D399),Setup!$C$33&lt;=Roster!$D399,FALSE),"",IF(OR(IF(Setup!$C$15&lt;=Setup!$C$16,AND(MONTH(O399)&gt;=Setup!$C$15,MONTH(O399)&lt;=Setup!$C$16),OR(MONTH(O399)&gt;=Setup!$C$15,MONTH(O399)&lt;=Setup!$C$16)),IF(Setup!$C$15&lt;=Setup!$C$16,AND(MONTH(WORKDAY(O399,-(Setup!$C$13+Setup!$G$33),Setup!$C$39:$C$50))&gt;=Setup!$C$15,MONTH(WORKDAY(O399,-(Setup!$C$13+Setup!$G$33),Setup!$C$39:$C$50))&lt;=Setup!$C$16),OR(MONTH(WORKDAY(O399,-(Setup!$C$13+Setup!$G$33),Setup!$C$39:$C$50))&gt;=Setup!$C$15,MONTH(WORKDAY(O399,-(Setup!$C$13+Setup!$G$33),Setup!$C$39:$C$50))&lt;=Setup!$C$16))),WORKDAY(O399,-(Setup!$C$13+Setup!$G$33+Setup!$C$14),Setup!$C$39:$C$50),WORKDAY(O399,-(Setup!$C$13+Setup!$G$33),Setup!$C$39:$C$50))+(394*100+14)/10000000)))</f>
        <v/>
      </c>
      <c r="AF399" t="str">
        <f>IF(P399="","",IF(P399&lt;Setup!$C$5-Setup!$C$6,"",IF(IF(ISNUMBER(Roster!$D399),Setup!$C$34&lt;=Roster!$D399,FALSE),"",IF(OR(IF(Setup!$C$15&lt;=Setup!$C$16,AND(MONTH(P399)&gt;=Setup!$C$15,MONTH(P399)&lt;=Setup!$C$16),OR(MONTH(P399)&gt;=Setup!$C$15,MONTH(P399)&lt;=Setup!$C$16)),IF(Setup!$C$15&lt;=Setup!$C$16,AND(MONTH(WORKDAY(P399,-(Setup!$C$13+Setup!$G$34),Setup!$C$39:$C$50))&gt;=Setup!$C$15,MONTH(WORKDAY(P399,-(Setup!$C$13+Setup!$G$34),Setup!$C$39:$C$50))&lt;=Setup!$C$16),OR(MONTH(WORKDAY(P399,-(Setup!$C$13+Setup!$G$34),Setup!$C$39:$C$50))&gt;=Setup!$C$15,MONTH(WORKDAY(P399,-(Setup!$C$13+Setup!$G$34),Setup!$C$39:$C$50))&lt;=Setup!$C$16))),WORKDAY(P399,-(Setup!$C$13+Setup!$G$34+Setup!$C$14),Setup!$C$39:$C$50),WORKDAY(P399,-(Setup!$C$13+Setup!$G$34),Setup!$C$39:$C$50))+(394*100+15)/10000000)))</f>
        <v/>
      </c>
      <c r="AH399" t="str">
        <f t="shared" si="46"/>
        <v/>
      </c>
      <c r="AI399" t="str">
        <f t="shared" si="47"/>
        <v/>
      </c>
      <c r="AP399" t="str">
        <f>IF(ISNUMBER(Roster!$B399),MAX(1,YEAR(Setup!$C$5)-YEAR(Roster!$B399)+IF(EDATE(Roster!$B399,12*(YEAR(Setup!$C$5)-YEAR(Roster!$B399)))&lt;Setup!$C$5,1,0)),"")</f>
        <v/>
      </c>
      <c r="AQ399" s="32" t="str">
        <f>IF(AP399="","",EDATE(Roster!$B399,12*AP399))</f>
        <v/>
      </c>
      <c r="AR399" t="str">
        <f>IF(AQ399="","",IF(AQ399&lt;DATE(YEAR(Setup!$C$5)+1,MONTH(Setup!$C$5),DAY(Setup!$C$5)),AQ399+394/1000,""))</f>
        <v/>
      </c>
      <c r="AS399" t="str">
        <f t="shared" si="48"/>
        <v/>
      </c>
      <c r="AT399" t="str">
        <f>IF(AS399="","",IF(ISNUMBER(Roster!$D399),Roster!$D399&gt;=AP399,FALSE))</f>
        <v/>
      </c>
      <c r="AU399" t="str">
        <f t="shared" si="49"/>
        <v/>
      </c>
      <c r="AV399" t="str">
        <f ca="1">IF(394&gt;$AV$2,"",SMALL($AR$6:$AR$505,394))</f>
        <v/>
      </c>
      <c r="AW399" t="str">
        <f t="shared" ca="1" si="50"/>
        <v/>
      </c>
    </row>
    <row r="400" spans="2:49" x14ac:dyDescent="0.2">
      <c r="B400" s="32" t="str">
        <f>IF(AND(ISNUMBER(Roster!$B400),Setup!$B$20="Yes",ISNUMBER(Setup!$C$20)),EDATE(Roster!$B400,12*Setup!$C$20),"")</f>
        <v/>
      </c>
      <c r="C400" s="32" t="str">
        <f>IF(AND(ISNUMBER(Roster!$B400),Setup!$B$21="Yes",ISNUMBER(Setup!$C$21)),EDATE(Roster!$B400,12*Setup!$C$21),"")</f>
        <v/>
      </c>
      <c r="D400" s="32" t="str">
        <f>IF(AND(ISNUMBER(Roster!$B400),Setup!$B$22="Yes",ISNUMBER(Setup!$C$22)),EDATE(Roster!$B400,12*Setup!$C$22),"")</f>
        <v/>
      </c>
      <c r="E400" s="32" t="str">
        <f>IF(AND(ISNUMBER(Roster!$B400),Setup!$B$23="Yes",ISNUMBER(Setup!$C$23)),EDATE(Roster!$B400,12*Setup!$C$23),"")</f>
        <v/>
      </c>
      <c r="F400" s="32" t="str">
        <f>IF(AND(ISNUMBER(Roster!$B400),Setup!$B$24="Yes",ISNUMBER(Setup!$C$24)),EDATE(Roster!$B400,12*Setup!$C$24),"")</f>
        <v/>
      </c>
      <c r="G400" s="32" t="str">
        <f>IF(AND(ISNUMBER(Roster!$B400),Setup!$B$25="Yes",ISNUMBER(Setup!$C$25)),EDATE(Roster!$B400,12*Setup!$C$25),"")</f>
        <v/>
      </c>
      <c r="H400" s="32" t="str">
        <f>IF(AND(ISNUMBER(Roster!$B400),Setup!$B$26="Yes",ISNUMBER(Setup!$C$26)),EDATE(Roster!$B400,12*Setup!$C$26),"")</f>
        <v/>
      </c>
      <c r="I400" s="32" t="str">
        <f>IF(AND(ISNUMBER(Roster!$B400),Setup!$B$27="Yes",ISNUMBER(Setup!$C$27)),EDATE(Roster!$B400,12*Setup!$C$27),"")</f>
        <v/>
      </c>
      <c r="J400" s="32" t="str">
        <f>IF(AND(ISNUMBER(Roster!$B400),Setup!$B$28="Yes",ISNUMBER(Setup!$C$28)),EDATE(Roster!$B400,12*Setup!$C$28),"")</f>
        <v/>
      </c>
      <c r="K400" s="32" t="str">
        <f>IF(AND(ISNUMBER(Roster!$B400),Setup!$B$29="Yes",ISNUMBER(Setup!$C$29)),EDATE(Roster!$B400,12*Setup!$C$29),"")</f>
        <v/>
      </c>
      <c r="L400" s="32" t="str">
        <f>IF(AND(ISNUMBER(Roster!$B400),Setup!$B$30="Yes",ISNUMBER(Setup!$C$30)),EDATE(Roster!$B400,12*Setup!$C$30),"")</f>
        <v/>
      </c>
      <c r="M400" s="32" t="str">
        <f>IF(AND(ISNUMBER(Roster!$B400),Setup!$B$31="Yes",ISNUMBER(Setup!$C$31)),EDATE(Roster!$B400,12*Setup!$C$31),"")</f>
        <v/>
      </c>
      <c r="N400" s="32" t="str">
        <f>IF(AND(ISNUMBER(Roster!$B400),Setup!$B$32="Yes",ISNUMBER(Setup!$C$32)),EDATE(Roster!$B400,12*Setup!$C$32),"")</f>
        <v/>
      </c>
      <c r="O400" s="32" t="str">
        <f>IF(AND(ISNUMBER(Roster!$B400),Setup!$B$33="Yes",ISNUMBER(Setup!$C$33)),EDATE(Roster!$B400,12*Setup!$C$33),"")</f>
        <v/>
      </c>
      <c r="P400" s="32" t="str">
        <f>IF(AND(ISNUMBER(Roster!$B400),Setup!$B$34="Yes",ISNUMBER(Setup!$C$34)),EDATE(Roster!$B400,12*Setup!$C$34),"")</f>
        <v/>
      </c>
      <c r="R400" t="str">
        <f>IF(B400="","",IF(B400&lt;Setup!$C$5-Setup!$C$6,"",IF(IF(ISNUMBER(Roster!$D400),Setup!$C$20&lt;=Roster!$D400,FALSE),"",IF(OR(IF(Setup!$C$15&lt;=Setup!$C$16,AND(MONTH(B400)&gt;=Setup!$C$15,MONTH(B400)&lt;=Setup!$C$16),OR(MONTH(B400)&gt;=Setup!$C$15,MONTH(B400)&lt;=Setup!$C$16)),IF(Setup!$C$15&lt;=Setup!$C$16,AND(MONTH(WORKDAY(B400,-(Setup!$C$13+Setup!$G$20),Setup!$C$39:$C$50))&gt;=Setup!$C$15,MONTH(WORKDAY(B400,-(Setup!$C$13+Setup!$G$20),Setup!$C$39:$C$50))&lt;=Setup!$C$16),OR(MONTH(WORKDAY(B400,-(Setup!$C$13+Setup!$G$20),Setup!$C$39:$C$50))&gt;=Setup!$C$15,MONTH(WORKDAY(B400,-(Setup!$C$13+Setup!$G$20),Setup!$C$39:$C$50))&lt;=Setup!$C$16))),WORKDAY(B400,-(Setup!$C$13+Setup!$G$20+Setup!$C$14),Setup!$C$39:$C$50),WORKDAY(B400,-(Setup!$C$13+Setup!$G$20),Setup!$C$39:$C$50))+(395*100+1)/10000000)))</f>
        <v/>
      </c>
      <c r="S400" t="str">
        <f>IF(C400="","",IF(C400&lt;Setup!$C$5-Setup!$C$6,"",IF(IF(ISNUMBER(Roster!$D400),Setup!$C$21&lt;=Roster!$D400,FALSE),"",IF(OR(IF(Setup!$C$15&lt;=Setup!$C$16,AND(MONTH(C400)&gt;=Setup!$C$15,MONTH(C400)&lt;=Setup!$C$16),OR(MONTH(C400)&gt;=Setup!$C$15,MONTH(C400)&lt;=Setup!$C$16)),IF(Setup!$C$15&lt;=Setup!$C$16,AND(MONTH(WORKDAY(C400,-(Setup!$C$13+Setup!$G$21),Setup!$C$39:$C$50))&gt;=Setup!$C$15,MONTH(WORKDAY(C400,-(Setup!$C$13+Setup!$G$21),Setup!$C$39:$C$50))&lt;=Setup!$C$16),OR(MONTH(WORKDAY(C400,-(Setup!$C$13+Setup!$G$21),Setup!$C$39:$C$50))&gt;=Setup!$C$15,MONTH(WORKDAY(C400,-(Setup!$C$13+Setup!$G$21),Setup!$C$39:$C$50))&lt;=Setup!$C$16))),WORKDAY(C400,-(Setup!$C$13+Setup!$G$21+Setup!$C$14),Setup!$C$39:$C$50),WORKDAY(C400,-(Setup!$C$13+Setup!$G$21),Setup!$C$39:$C$50))+(395*100+2)/10000000)))</f>
        <v/>
      </c>
      <c r="T400" t="str">
        <f>IF(D400="","",IF(D400&lt;Setup!$C$5-Setup!$C$6,"",IF(IF(ISNUMBER(Roster!$D400),Setup!$C$22&lt;=Roster!$D400,FALSE),"",IF(OR(IF(Setup!$C$15&lt;=Setup!$C$16,AND(MONTH(D400)&gt;=Setup!$C$15,MONTH(D400)&lt;=Setup!$C$16),OR(MONTH(D400)&gt;=Setup!$C$15,MONTH(D400)&lt;=Setup!$C$16)),IF(Setup!$C$15&lt;=Setup!$C$16,AND(MONTH(WORKDAY(D400,-(Setup!$C$13+Setup!$G$22),Setup!$C$39:$C$50))&gt;=Setup!$C$15,MONTH(WORKDAY(D400,-(Setup!$C$13+Setup!$G$22),Setup!$C$39:$C$50))&lt;=Setup!$C$16),OR(MONTH(WORKDAY(D400,-(Setup!$C$13+Setup!$G$22),Setup!$C$39:$C$50))&gt;=Setup!$C$15,MONTH(WORKDAY(D400,-(Setup!$C$13+Setup!$G$22),Setup!$C$39:$C$50))&lt;=Setup!$C$16))),WORKDAY(D400,-(Setup!$C$13+Setup!$G$22+Setup!$C$14),Setup!$C$39:$C$50),WORKDAY(D400,-(Setup!$C$13+Setup!$G$22),Setup!$C$39:$C$50))+(395*100+3)/10000000)))</f>
        <v/>
      </c>
      <c r="U400" t="str">
        <f>IF(E400="","",IF(E400&lt;Setup!$C$5-Setup!$C$6,"",IF(IF(ISNUMBER(Roster!$D400),Setup!$C$23&lt;=Roster!$D400,FALSE),"",IF(OR(IF(Setup!$C$15&lt;=Setup!$C$16,AND(MONTH(E400)&gt;=Setup!$C$15,MONTH(E400)&lt;=Setup!$C$16),OR(MONTH(E400)&gt;=Setup!$C$15,MONTH(E400)&lt;=Setup!$C$16)),IF(Setup!$C$15&lt;=Setup!$C$16,AND(MONTH(WORKDAY(E400,-(Setup!$C$13+Setup!$G$23),Setup!$C$39:$C$50))&gt;=Setup!$C$15,MONTH(WORKDAY(E400,-(Setup!$C$13+Setup!$G$23),Setup!$C$39:$C$50))&lt;=Setup!$C$16),OR(MONTH(WORKDAY(E400,-(Setup!$C$13+Setup!$G$23),Setup!$C$39:$C$50))&gt;=Setup!$C$15,MONTH(WORKDAY(E400,-(Setup!$C$13+Setup!$G$23),Setup!$C$39:$C$50))&lt;=Setup!$C$16))),WORKDAY(E400,-(Setup!$C$13+Setup!$G$23+Setup!$C$14),Setup!$C$39:$C$50),WORKDAY(E400,-(Setup!$C$13+Setup!$G$23),Setup!$C$39:$C$50))+(395*100+4)/10000000)))</f>
        <v/>
      </c>
      <c r="V400" t="str">
        <f>IF(F400="","",IF(F400&lt;Setup!$C$5-Setup!$C$6,"",IF(IF(ISNUMBER(Roster!$D400),Setup!$C$24&lt;=Roster!$D400,FALSE),"",IF(OR(IF(Setup!$C$15&lt;=Setup!$C$16,AND(MONTH(F400)&gt;=Setup!$C$15,MONTH(F400)&lt;=Setup!$C$16),OR(MONTH(F400)&gt;=Setup!$C$15,MONTH(F400)&lt;=Setup!$C$16)),IF(Setup!$C$15&lt;=Setup!$C$16,AND(MONTH(WORKDAY(F400,-(Setup!$C$13+Setup!$G$24),Setup!$C$39:$C$50))&gt;=Setup!$C$15,MONTH(WORKDAY(F400,-(Setup!$C$13+Setup!$G$24),Setup!$C$39:$C$50))&lt;=Setup!$C$16),OR(MONTH(WORKDAY(F400,-(Setup!$C$13+Setup!$G$24),Setup!$C$39:$C$50))&gt;=Setup!$C$15,MONTH(WORKDAY(F400,-(Setup!$C$13+Setup!$G$24),Setup!$C$39:$C$50))&lt;=Setup!$C$16))),WORKDAY(F400,-(Setup!$C$13+Setup!$G$24+Setup!$C$14),Setup!$C$39:$C$50),WORKDAY(F400,-(Setup!$C$13+Setup!$G$24),Setup!$C$39:$C$50))+(395*100+5)/10000000)))</f>
        <v/>
      </c>
      <c r="W400" t="str">
        <f>IF(G400="","",IF(G400&lt;Setup!$C$5-Setup!$C$6,"",IF(IF(ISNUMBER(Roster!$D400),Setup!$C$25&lt;=Roster!$D400,FALSE),"",IF(OR(IF(Setup!$C$15&lt;=Setup!$C$16,AND(MONTH(G400)&gt;=Setup!$C$15,MONTH(G400)&lt;=Setup!$C$16),OR(MONTH(G400)&gt;=Setup!$C$15,MONTH(G400)&lt;=Setup!$C$16)),IF(Setup!$C$15&lt;=Setup!$C$16,AND(MONTH(WORKDAY(G400,-(Setup!$C$13+Setup!$G$25),Setup!$C$39:$C$50))&gt;=Setup!$C$15,MONTH(WORKDAY(G400,-(Setup!$C$13+Setup!$G$25),Setup!$C$39:$C$50))&lt;=Setup!$C$16),OR(MONTH(WORKDAY(G400,-(Setup!$C$13+Setup!$G$25),Setup!$C$39:$C$50))&gt;=Setup!$C$15,MONTH(WORKDAY(G400,-(Setup!$C$13+Setup!$G$25),Setup!$C$39:$C$50))&lt;=Setup!$C$16))),WORKDAY(G400,-(Setup!$C$13+Setup!$G$25+Setup!$C$14),Setup!$C$39:$C$50),WORKDAY(G400,-(Setup!$C$13+Setup!$G$25),Setup!$C$39:$C$50))+(395*100+6)/10000000)))</f>
        <v/>
      </c>
      <c r="X400" t="str">
        <f>IF(H400="","",IF(H400&lt;Setup!$C$5-Setup!$C$6,"",IF(IF(ISNUMBER(Roster!$D400),Setup!$C$26&lt;=Roster!$D400,FALSE),"",IF(OR(IF(Setup!$C$15&lt;=Setup!$C$16,AND(MONTH(H400)&gt;=Setup!$C$15,MONTH(H400)&lt;=Setup!$C$16),OR(MONTH(H400)&gt;=Setup!$C$15,MONTH(H400)&lt;=Setup!$C$16)),IF(Setup!$C$15&lt;=Setup!$C$16,AND(MONTH(WORKDAY(H400,-(Setup!$C$13+Setup!$G$26),Setup!$C$39:$C$50))&gt;=Setup!$C$15,MONTH(WORKDAY(H400,-(Setup!$C$13+Setup!$G$26),Setup!$C$39:$C$50))&lt;=Setup!$C$16),OR(MONTH(WORKDAY(H400,-(Setup!$C$13+Setup!$G$26),Setup!$C$39:$C$50))&gt;=Setup!$C$15,MONTH(WORKDAY(H400,-(Setup!$C$13+Setup!$G$26),Setup!$C$39:$C$50))&lt;=Setup!$C$16))),WORKDAY(H400,-(Setup!$C$13+Setup!$G$26+Setup!$C$14),Setup!$C$39:$C$50),WORKDAY(H400,-(Setup!$C$13+Setup!$G$26),Setup!$C$39:$C$50))+(395*100+7)/10000000)))</f>
        <v/>
      </c>
      <c r="Y400" t="str">
        <f>IF(I400="","",IF(I400&lt;Setup!$C$5-Setup!$C$6,"",IF(IF(ISNUMBER(Roster!$D400),Setup!$C$27&lt;=Roster!$D400,FALSE),"",IF(OR(IF(Setup!$C$15&lt;=Setup!$C$16,AND(MONTH(I400)&gt;=Setup!$C$15,MONTH(I400)&lt;=Setup!$C$16),OR(MONTH(I400)&gt;=Setup!$C$15,MONTH(I400)&lt;=Setup!$C$16)),IF(Setup!$C$15&lt;=Setup!$C$16,AND(MONTH(WORKDAY(I400,-(Setup!$C$13+Setup!$G$27),Setup!$C$39:$C$50))&gt;=Setup!$C$15,MONTH(WORKDAY(I400,-(Setup!$C$13+Setup!$G$27),Setup!$C$39:$C$50))&lt;=Setup!$C$16),OR(MONTH(WORKDAY(I400,-(Setup!$C$13+Setup!$G$27),Setup!$C$39:$C$50))&gt;=Setup!$C$15,MONTH(WORKDAY(I400,-(Setup!$C$13+Setup!$G$27),Setup!$C$39:$C$50))&lt;=Setup!$C$16))),WORKDAY(I400,-(Setup!$C$13+Setup!$G$27+Setup!$C$14),Setup!$C$39:$C$50),WORKDAY(I400,-(Setup!$C$13+Setup!$G$27),Setup!$C$39:$C$50))+(395*100+8)/10000000)))</f>
        <v/>
      </c>
      <c r="Z400" t="str">
        <f>IF(J400="","",IF(J400&lt;Setup!$C$5-Setup!$C$6,"",IF(IF(ISNUMBER(Roster!$D400),Setup!$C$28&lt;=Roster!$D400,FALSE),"",IF(OR(IF(Setup!$C$15&lt;=Setup!$C$16,AND(MONTH(J400)&gt;=Setup!$C$15,MONTH(J400)&lt;=Setup!$C$16),OR(MONTH(J400)&gt;=Setup!$C$15,MONTH(J400)&lt;=Setup!$C$16)),IF(Setup!$C$15&lt;=Setup!$C$16,AND(MONTH(WORKDAY(J400,-(Setup!$C$13+Setup!$G$28),Setup!$C$39:$C$50))&gt;=Setup!$C$15,MONTH(WORKDAY(J400,-(Setup!$C$13+Setup!$G$28),Setup!$C$39:$C$50))&lt;=Setup!$C$16),OR(MONTH(WORKDAY(J400,-(Setup!$C$13+Setup!$G$28),Setup!$C$39:$C$50))&gt;=Setup!$C$15,MONTH(WORKDAY(J400,-(Setup!$C$13+Setup!$G$28),Setup!$C$39:$C$50))&lt;=Setup!$C$16))),WORKDAY(J400,-(Setup!$C$13+Setup!$G$28+Setup!$C$14),Setup!$C$39:$C$50),WORKDAY(J400,-(Setup!$C$13+Setup!$G$28),Setup!$C$39:$C$50))+(395*100+9)/10000000)))</f>
        <v/>
      </c>
      <c r="AA400" t="str">
        <f>IF(K400="","",IF(K400&lt;Setup!$C$5-Setup!$C$6,"",IF(IF(ISNUMBER(Roster!$D400),Setup!$C$29&lt;=Roster!$D400,FALSE),"",IF(OR(IF(Setup!$C$15&lt;=Setup!$C$16,AND(MONTH(K400)&gt;=Setup!$C$15,MONTH(K400)&lt;=Setup!$C$16),OR(MONTH(K400)&gt;=Setup!$C$15,MONTH(K400)&lt;=Setup!$C$16)),IF(Setup!$C$15&lt;=Setup!$C$16,AND(MONTH(WORKDAY(K400,-(Setup!$C$13+Setup!$G$29),Setup!$C$39:$C$50))&gt;=Setup!$C$15,MONTH(WORKDAY(K400,-(Setup!$C$13+Setup!$G$29),Setup!$C$39:$C$50))&lt;=Setup!$C$16),OR(MONTH(WORKDAY(K400,-(Setup!$C$13+Setup!$G$29),Setup!$C$39:$C$50))&gt;=Setup!$C$15,MONTH(WORKDAY(K400,-(Setup!$C$13+Setup!$G$29),Setup!$C$39:$C$50))&lt;=Setup!$C$16))),WORKDAY(K400,-(Setup!$C$13+Setup!$G$29+Setup!$C$14),Setup!$C$39:$C$50),WORKDAY(K400,-(Setup!$C$13+Setup!$G$29),Setup!$C$39:$C$50))+(395*100+10)/10000000)))</f>
        <v/>
      </c>
      <c r="AB400" t="str">
        <f>IF(L400="","",IF(L400&lt;Setup!$C$5-Setup!$C$6,"",IF(IF(ISNUMBER(Roster!$D400),Setup!$C$30&lt;=Roster!$D400,FALSE),"",IF(OR(IF(Setup!$C$15&lt;=Setup!$C$16,AND(MONTH(L400)&gt;=Setup!$C$15,MONTH(L400)&lt;=Setup!$C$16),OR(MONTH(L400)&gt;=Setup!$C$15,MONTH(L400)&lt;=Setup!$C$16)),IF(Setup!$C$15&lt;=Setup!$C$16,AND(MONTH(WORKDAY(L400,-(Setup!$C$13+Setup!$G$30),Setup!$C$39:$C$50))&gt;=Setup!$C$15,MONTH(WORKDAY(L400,-(Setup!$C$13+Setup!$G$30),Setup!$C$39:$C$50))&lt;=Setup!$C$16),OR(MONTH(WORKDAY(L400,-(Setup!$C$13+Setup!$G$30),Setup!$C$39:$C$50))&gt;=Setup!$C$15,MONTH(WORKDAY(L400,-(Setup!$C$13+Setup!$G$30),Setup!$C$39:$C$50))&lt;=Setup!$C$16))),WORKDAY(L400,-(Setup!$C$13+Setup!$G$30+Setup!$C$14),Setup!$C$39:$C$50),WORKDAY(L400,-(Setup!$C$13+Setup!$G$30),Setup!$C$39:$C$50))+(395*100+11)/10000000)))</f>
        <v/>
      </c>
      <c r="AC400" t="str">
        <f>IF(M400="","",IF(M400&lt;Setup!$C$5-Setup!$C$6,"",IF(IF(ISNUMBER(Roster!$D400),Setup!$C$31&lt;=Roster!$D400,FALSE),"",IF(OR(IF(Setup!$C$15&lt;=Setup!$C$16,AND(MONTH(M400)&gt;=Setup!$C$15,MONTH(M400)&lt;=Setup!$C$16),OR(MONTH(M400)&gt;=Setup!$C$15,MONTH(M400)&lt;=Setup!$C$16)),IF(Setup!$C$15&lt;=Setup!$C$16,AND(MONTH(WORKDAY(M400,-(Setup!$C$13+Setup!$G$31),Setup!$C$39:$C$50))&gt;=Setup!$C$15,MONTH(WORKDAY(M400,-(Setup!$C$13+Setup!$G$31),Setup!$C$39:$C$50))&lt;=Setup!$C$16),OR(MONTH(WORKDAY(M400,-(Setup!$C$13+Setup!$G$31),Setup!$C$39:$C$50))&gt;=Setup!$C$15,MONTH(WORKDAY(M400,-(Setup!$C$13+Setup!$G$31),Setup!$C$39:$C$50))&lt;=Setup!$C$16))),WORKDAY(M400,-(Setup!$C$13+Setup!$G$31+Setup!$C$14),Setup!$C$39:$C$50),WORKDAY(M400,-(Setup!$C$13+Setup!$G$31),Setup!$C$39:$C$50))+(395*100+12)/10000000)))</f>
        <v/>
      </c>
      <c r="AD400" t="str">
        <f>IF(N400="","",IF(N400&lt;Setup!$C$5-Setup!$C$6,"",IF(IF(ISNUMBER(Roster!$D400),Setup!$C$32&lt;=Roster!$D400,FALSE),"",IF(OR(IF(Setup!$C$15&lt;=Setup!$C$16,AND(MONTH(N400)&gt;=Setup!$C$15,MONTH(N400)&lt;=Setup!$C$16),OR(MONTH(N400)&gt;=Setup!$C$15,MONTH(N400)&lt;=Setup!$C$16)),IF(Setup!$C$15&lt;=Setup!$C$16,AND(MONTH(WORKDAY(N400,-(Setup!$C$13+Setup!$G$32),Setup!$C$39:$C$50))&gt;=Setup!$C$15,MONTH(WORKDAY(N400,-(Setup!$C$13+Setup!$G$32),Setup!$C$39:$C$50))&lt;=Setup!$C$16),OR(MONTH(WORKDAY(N400,-(Setup!$C$13+Setup!$G$32),Setup!$C$39:$C$50))&gt;=Setup!$C$15,MONTH(WORKDAY(N400,-(Setup!$C$13+Setup!$G$32),Setup!$C$39:$C$50))&lt;=Setup!$C$16))),WORKDAY(N400,-(Setup!$C$13+Setup!$G$32+Setup!$C$14),Setup!$C$39:$C$50),WORKDAY(N400,-(Setup!$C$13+Setup!$G$32),Setup!$C$39:$C$50))+(395*100+13)/10000000)))</f>
        <v/>
      </c>
      <c r="AE400" t="str">
        <f>IF(O400="","",IF(O400&lt;Setup!$C$5-Setup!$C$6,"",IF(IF(ISNUMBER(Roster!$D400),Setup!$C$33&lt;=Roster!$D400,FALSE),"",IF(OR(IF(Setup!$C$15&lt;=Setup!$C$16,AND(MONTH(O400)&gt;=Setup!$C$15,MONTH(O400)&lt;=Setup!$C$16),OR(MONTH(O400)&gt;=Setup!$C$15,MONTH(O400)&lt;=Setup!$C$16)),IF(Setup!$C$15&lt;=Setup!$C$16,AND(MONTH(WORKDAY(O400,-(Setup!$C$13+Setup!$G$33),Setup!$C$39:$C$50))&gt;=Setup!$C$15,MONTH(WORKDAY(O400,-(Setup!$C$13+Setup!$G$33),Setup!$C$39:$C$50))&lt;=Setup!$C$16),OR(MONTH(WORKDAY(O400,-(Setup!$C$13+Setup!$G$33),Setup!$C$39:$C$50))&gt;=Setup!$C$15,MONTH(WORKDAY(O400,-(Setup!$C$13+Setup!$G$33),Setup!$C$39:$C$50))&lt;=Setup!$C$16))),WORKDAY(O400,-(Setup!$C$13+Setup!$G$33+Setup!$C$14),Setup!$C$39:$C$50),WORKDAY(O400,-(Setup!$C$13+Setup!$G$33),Setup!$C$39:$C$50))+(395*100+14)/10000000)))</f>
        <v/>
      </c>
      <c r="AF400" t="str">
        <f>IF(P400="","",IF(P400&lt;Setup!$C$5-Setup!$C$6,"",IF(IF(ISNUMBER(Roster!$D400),Setup!$C$34&lt;=Roster!$D400,FALSE),"",IF(OR(IF(Setup!$C$15&lt;=Setup!$C$16,AND(MONTH(P400)&gt;=Setup!$C$15,MONTH(P400)&lt;=Setup!$C$16),OR(MONTH(P400)&gt;=Setup!$C$15,MONTH(P400)&lt;=Setup!$C$16)),IF(Setup!$C$15&lt;=Setup!$C$16,AND(MONTH(WORKDAY(P400,-(Setup!$C$13+Setup!$G$34),Setup!$C$39:$C$50))&gt;=Setup!$C$15,MONTH(WORKDAY(P400,-(Setup!$C$13+Setup!$G$34),Setup!$C$39:$C$50))&lt;=Setup!$C$16),OR(MONTH(WORKDAY(P400,-(Setup!$C$13+Setup!$G$34),Setup!$C$39:$C$50))&gt;=Setup!$C$15,MONTH(WORKDAY(P400,-(Setup!$C$13+Setup!$G$34),Setup!$C$39:$C$50))&lt;=Setup!$C$16))),WORKDAY(P400,-(Setup!$C$13+Setup!$G$34+Setup!$C$14),Setup!$C$39:$C$50),WORKDAY(P400,-(Setup!$C$13+Setup!$G$34),Setup!$C$39:$C$50))+(395*100+15)/10000000)))</f>
        <v/>
      </c>
      <c r="AH400" t="str">
        <f t="shared" si="46"/>
        <v/>
      </c>
      <c r="AI400" t="str">
        <f t="shared" si="47"/>
        <v/>
      </c>
      <c r="AP400" t="str">
        <f>IF(ISNUMBER(Roster!$B400),MAX(1,YEAR(Setup!$C$5)-YEAR(Roster!$B400)+IF(EDATE(Roster!$B400,12*(YEAR(Setup!$C$5)-YEAR(Roster!$B400)))&lt;Setup!$C$5,1,0)),"")</f>
        <v/>
      </c>
      <c r="AQ400" s="32" t="str">
        <f>IF(AP400="","",EDATE(Roster!$B400,12*AP400))</f>
        <v/>
      </c>
      <c r="AR400" t="str">
        <f>IF(AQ400="","",IF(AQ400&lt;DATE(YEAR(Setup!$C$5)+1,MONTH(Setup!$C$5),DAY(Setup!$C$5)),AQ400+395/1000,""))</f>
        <v/>
      </c>
      <c r="AS400" t="str">
        <f t="shared" si="48"/>
        <v/>
      </c>
      <c r="AT400" t="str">
        <f>IF(AS400="","",IF(ISNUMBER(Roster!$D400),Roster!$D400&gt;=AP400,FALSE))</f>
        <v/>
      </c>
      <c r="AU400" t="str">
        <f t="shared" si="49"/>
        <v/>
      </c>
      <c r="AV400" t="str">
        <f ca="1">IF(395&gt;$AV$2,"",SMALL($AR$6:$AR$505,395))</f>
        <v/>
      </c>
      <c r="AW400" t="str">
        <f t="shared" ca="1" si="50"/>
        <v/>
      </c>
    </row>
    <row r="401" spans="2:49" x14ac:dyDescent="0.2">
      <c r="B401" s="32" t="str">
        <f>IF(AND(ISNUMBER(Roster!$B401),Setup!$B$20="Yes",ISNUMBER(Setup!$C$20)),EDATE(Roster!$B401,12*Setup!$C$20),"")</f>
        <v/>
      </c>
      <c r="C401" s="32" t="str">
        <f>IF(AND(ISNUMBER(Roster!$B401),Setup!$B$21="Yes",ISNUMBER(Setup!$C$21)),EDATE(Roster!$B401,12*Setup!$C$21),"")</f>
        <v/>
      </c>
      <c r="D401" s="32" t="str">
        <f>IF(AND(ISNUMBER(Roster!$B401),Setup!$B$22="Yes",ISNUMBER(Setup!$C$22)),EDATE(Roster!$B401,12*Setup!$C$22),"")</f>
        <v/>
      </c>
      <c r="E401" s="32" t="str">
        <f>IF(AND(ISNUMBER(Roster!$B401),Setup!$B$23="Yes",ISNUMBER(Setup!$C$23)),EDATE(Roster!$B401,12*Setup!$C$23),"")</f>
        <v/>
      </c>
      <c r="F401" s="32" t="str">
        <f>IF(AND(ISNUMBER(Roster!$B401),Setup!$B$24="Yes",ISNUMBER(Setup!$C$24)),EDATE(Roster!$B401,12*Setup!$C$24),"")</f>
        <v/>
      </c>
      <c r="G401" s="32" t="str">
        <f>IF(AND(ISNUMBER(Roster!$B401),Setup!$B$25="Yes",ISNUMBER(Setup!$C$25)),EDATE(Roster!$B401,12*Setup!$C$25),"")</f>
        <v/>
      </c>
      <c r="H401" s="32" t="str">
        <f>IF(AND(ISNUMBER(Roster!$B401),Setup!$B$26="Yes",ISNUMBER(Setup!$C$26)),EDATE(Roster!$B401,12*Setup!$C$26),"")</f>
        <v/>
      </c>
      <c r="I401" s="32" t="str">
        <f>IF(AND(ISNUMBER(Roster!$B401),Setup!$B$27="Yes",ISNUMBER(Setup!$C$27)),EDATE(Roster!$B401,12*Setup!$C$27),"")</f>
        <v/>
      </c>
      <c r="J401" s="32" t="str">
        <f>IF(AND(ISNUMBER(Roster!$B401),Setup!$B$28="Yes",ISNUMBER(Setup!$C$28)),EDATE(Roster!$B401,12*Setup!$C$28),"")</f>
        <v/>
      </c>
      <c r="K401" s="32" t="str">
        <f>IF(AND(ISNUMBER(Roster!$B401),Setup!$B$29="Yes",ISNUMBER(Setup!$C$29)),EDATE(Roster!$B401,12*Setup!$C$29),"")</f>
        <v/>
      </c>
      <c r="L401" s="32" t="str">
        <f>IF(AND(ISNUMBER(Roster!$B401),Setup!$B$30="Yes",ISNUMBER(Setup!$C$30)),EDATE(Roster!$B401,12*Setup!$C$30),"")</f>
        <v/>
      </c>
      <c r="M401" s="32" t="str">
        <f>IF(AND(ISNUMBER(Roster!$B401),Setup!$B$31="Yes",ISNUMBER(Setup!$C$31)),EDATE(Roster!$B401,12*Setup!$C$31),"")</f>
        <v/>
      </c>
      <c r="N401" s="32" t="str">
        <f>IF(AND(ISNUMBER(Roster!$B401),Setup!$B$32="Yes",ISNUMBER(Setup!$C$32)),EDATE(Roster!$B401,12*Setup!$C$32),"")</f>
        <v/>
      </c>
      <c r="O401" s="32" t="str">
        <f>IF(AND(ISNUMBER(Roster!$B401),Setup!$B$33="Yes",ISNUMBER(Setup!$C$33)),EDATE(Roster!$B401,12*Setup!$C$33),"")</f>
        <v/>
      </c>
      <c r="P401" s="32" t="str">
        <f>IF(AND(ISNUMBER(Roster!$B401),Setup!$B$34="Yes",ISNUMBER(Setup!$C$34)),EDATE(Roster!$B401,12*Setup!$C$34),"")</f>
        <v/>
      </c>
      <c r="R401" t="str">
        <f>IF(B401="","",IF(B401&lt;Setup!$C$5-Setup!$C$6,"",IF(IF(ISNUMBER(Roster!$D401),Setup!$C$20&lt;=Roster!$D401,FALSE),"",IF(OR(IF(Setup!$C$15&lt;=Setup!$C$16,AND(MONTH(B401)&gt;=Setup!$C$15,MONTH(B401)&lt;=Setup!$C$16),OR(MONTH(B401)&gt;=Setup!$C$15,MONTH(B401)&lt;=Setup!$C$16)),IF(Setup!$C$15&lt;=Setup!$C$16,AND(MONTH(WORKDAY(B401,-(Setup!$C$13+Setup!$G$20),Setup!$C$39:$C$50))&gt;=Setup!$C$15,MONTH(WORKDAY(B401,-(Setup!$C$13+Setup!$G$20),Setup!$C$39:$C$50))&lt;=Setup!$C$16),OR(MONTH(WORKDAY(B401,-(Setup!$C$13+Setup!$G$20),Setup!$C$39:$C$50))&gt;=Setup!$C$15,MONTH(WORKDAY(B401,-(Setup!$C$13+Setup!$G$20),Setup!$C$39:$C$50))&lt;=Setup!$C$16))),WORKDAY(B401,-(Setup!$C$13+Setup!$G$20+Setup!$C$14),Setup!$C$39:$C$50),WORKDAY(B401,-(Setup!$C$13+Setup!$G$20),Setup!$C$39:$C$50))+(396*100+1)/10000000)))</f>
        <v/>
      </c>
      <c r="S401" t="str">
        <f>IF(C401="","",IF(C401&lt;Setup!$C$5-Setup!$C$6,"",IF(IF(ISNUMBER(Roster!$D401),Setup!$C$21&lt;=Roster!$D401,FALSE),"",IF(OR(IF(Setup!$C$15&lt;=Setup!$C$16,AND(MONTH(C401)&gt;=Setup!$C$15,MONTH(C401)&lt;=Setup!$C$16),OR(MONTH(C401)&gt;=Setup!$C$15,MONTH(C401)&lt;=Setup!$C$16)),IF(Setup!$C$15&lt;=Setup!$C$16,AND(MONTH(WORKDAY(C401,-(Setup!$C$13+Setup!$G$21),Setup!$C$39:$C$50))&gt;=Setup!$C$15,MONTH(WORKDAY(C401,-(Setup!$C$13+Setup!$G$21),Setup!$C$39:$C$50))&lt;=Setup!$C$16),OR(MONTH(WORKDAY(C401,-(Setup!$C$13+Setup!$G$21),Setup!$C$39:$C$50))&gt;=Setup!$C$15,MONTH(WORKDAY(C401,-(Setup!$C$13+Setup!$G$21),Setup!$C$39:$C$50))&lt;=Setup!$C$16))),WORKDAY(C401,-(Setup!$C$13+Setup!$G$21+Setup!$C$14),Setup!$C$39:$C$50),WORKDAY(C401,-(Setup!$C$13+Setup!$G$21),Setup!$C$39:$C$50))+(396*100+2)/10000000)))</f>
        <v/>
      </c>
      <c r="T401" t="str">
        <f>IF(D401="","",IF(D401&lt;Setup!$C$5-Setup!$C$6,"",IF(IF(ISNUMBER(Roster!$D401),Setup!$C$22&lt;=Roster!$D401,FALSE),"",IF(OR(IF(Setup!$C$15&lt;=Setup!$C$16,AND(MONTH(D401)&gt;=Setup!$C$15,MONTH(D401)&lt;=Setup!$C$16),OR(MONTH(D401)&gt;=Setup!$C$15,MONTH(D401)&lt;=Setup!$C$16)),IF(Setup!$C$15&lt;=Setup!$C$16,AND(MONTH(WORKDAY(D401,-(Setup!$C$13+Setup!$G$22),Setup!$C$39:$C$50))&gt;=Setup!$C$15,MONTH(WORKDAY(D401,-(Setup!$C$13+Setup!$G$22),Setup!$C$39:$C$50))&lt;=Setup!$C$16),OR(MONTH(WORKDAY(D401,-(Setup!$C$13+Setup!$G$22),Setup!$C$39:$C$50))&gt;=Setup!$C$15,MONTH(WORKDAY(D401,-(Setup!$C$13+Setup!$G$22),Setup!$C$39:$C$50))&lt;=Setup!$C$16))),WORKDAY(D401,-(Setup!$C$13+Setup!$G$22+Setup!$C$14),Setup!$C$39:$C$50),WORKDAY(D401,-(Setup!$C$13+Setup!$G$22),Setup!$C$39:$C$50))+(396*100+3)/10000000)))</f>
        <v/>
      </c>
      <c r="U401" t="str">
        <f>IF(E401="","",IF(E401&lt;Setup!$C$5-Setup!$C$6,"",IF(IF(ISNUMBER(Roster!$D401),Setup!$C$23&lt;=Roster!$D401,FALSE),"",IF(OR(IF(Setup!$C$15&lt;=Setup!$C$16,AND(MONTH(E401)&gt;=Setup!$C$15,MONTH(E401)&lt;=Setup!$C$16),OR(MONTH(E401)&gt;=Setup!$C$15,MONTH(E401)&lt;=Setup!$C$16)),IF(Setup!$C$15&lt;=Setup!$C$16,AND(MONTH(WORKDAY(E401,-(Setup!$C$13+Setup!$G$23),Setup!$C$39:$C$50))&gt;=Setup!$C$15,MONTH(WORKDAY(E401,-(Setup!$C$13+Setup!$G$23),Setup!$C$39:$C$50))&lt;=Setup!$C$16),OR(MONTH(WORKDAY(E401,-(Setup!$C$13+Setup!$G$23),Setup!$C$39:$C$50))&gt;=Setup!$C$15,MONTH(WORKDAY(E401,-(Setup!$C$13+Setup!$G$23),Setup!$C$39:$C$50))&lt;=Setup!$C$16))),WORKDAY(E401,-(Setup!$C$13+Setup!$G$23+Setup!$C$14),Setup!$C$39:$C$50),WORKDAY(E401,-(Setup!$C$13+Setup!$G$23),Setup!$C$39:$C$50))+(396*100+4)/10000000)))</f>
        <v/>
      </c>
      <c r="V401" t="str">
        <f>IF(F401="","",IF(F401&lt;Setup!$C$5-Setup!$C$6,"",IF(IF(ISNUMBER(Roster!$D401),Setup!$C$24&lt;=Roster!$D401,FALSE),"",IF(OR(IF(Setup!$C$15&lt;=Setup!$C$16,AND(MONTH(F401)&gt;=Setup!$C$15,MONTH(F401)&lt;=Setup!$C$16),OR(MONTH(F401)&gt;=Setup!$C$15,MONTH(F401)&lt;=Setup!$C$16)),IF(Setup!$C$15&lt;=Setup!$C$16,AND(MONTH(WORKDAY(F401,-(Setup!$C$13+Setup!$G$24),Setup!$C$39:$C$50))&gt;=Setup!$C$15,MONTH(WORKDAY(F401,-(Setup!$C$13+Setup!$G$24),Setup!$C$39:$C$50))&lt;=Setup!$C$16),OR(MONTH(WORKDAY(F401,-(Setup!$C$13+Setup!$G$24),Setup!$C$39:$C$50))&gt;=Setup!$C$15,MONTH(WORKDAY(F401,-(Setup!$C$13+Setup!$G$24),Setup!$C$39:$C$50))&lt;=Setup!$C$16))),WORKDAY(F401,-(Setup!$C$13+Setup!$G$24+Setup!$C$14),Setup!$C$39:$C$50),WORKDAY(F401,-(Setup!$C$13+Setup!$G$24),Setup!$C$39:$C$50))+(396*100+5)/10000000)))</f>
        <v/>
      </c>
      <c r="W401" t="str">
        <f>IF(G401="","",IF(G401&lt;Setup!$C$5-Setup!$C$6,"",IF(IF(ISNUMBER(Roster!$D401),Setup!$C$25&lt;=Roster!$D401,FALSE),"",IF(OR(IF(Setup!$C$15&lt;=Setup!$C$16,AND(MONTH(G401)&gt;=Setup!$C$15,MONTH(G401)&lt;=Setup!$C$16),OR(MONTH(G401)&gt;=Setup!$C$15,MONTH(G401)&lt;=Setup!$C$16)),IF(Setup!$C$15&lt;=Setup!$C$16,AND(MONTH(WORKDAY(G401,-(Setup!$C$13+Setup!$G$25),Setup!$C$39:$C$50))&gt;=Setup!$C$15,MONTH(WORKDAY(G401,-(Setup!$C$13+Setup!$G$25),Setup!$C$39:$C$50))&lt;=Setup!$C$16),OR(MONTH(WORKDAY(G401,-(Setup!$C$13+Setup!$G$25),Setup!$C$39:$C$50))&gt;=Setup!$C$15,MONTH(WORKDAY(G401,-(Setup!$C$13+Setup!$G$25),Setup!$C$39:$C$50))&lt;=Setup!$C$16))),WORKDAY(G401,-(Setup!$C$13+Setup!$G$25+Setup!$C$14),Setup!$C$39:$C$50),WORKDAY(G401,-(Setup!$C$13+Setup!$G$25),Setup!$C$39:$C$50))+(396*100+6)/10000000)))</f>
        <v/>
      </c>
      <c r="X401" t="str">
        <f>IF(H401="","",IF(H401&lt;Setup!$C$5-Setup!$C$6,"",IF(IF(ISNUMBER(Roster!$D401),Setup!$C$26&lt;=Roster!$D401,FALSE),"",IF(OR(IF(Setup!$C$15&lt;=Setup!$C$16,AND(MONTH(H401)&gt;=Setup!$C$15,MONTH(H401)&lt;=Setup!$C$16),OR(MONTH(H401)&gt;=Setup!$C$15,MONTH(H401)&lt;=Setup!$C$16)),IF(Setup!$C$15&lt;=Setup!$C$16,AND(MONTH(WORKDAY(H401,-(Setup!$C$13+Setup!$G$26),Setup!$C$39:$C$50))&gt;=Setup!$C$15,MONTH(WORKDAY(H401,-(Setup!$C$13+Setup!$G$26),Setup!$C$39:$C$50))&lt;=Setup!$C$16),OR(MONTH(WORKDAY(H401,-(Setup!$C$13+Setup!$G$26),Setup!$C$39:$C$50))&gt;=Setup!$C$15,MONTH(WORKDAY(H401,-(Setup!$C$13+Setup!$G$26),Setup!$C$39:$C$50))&lt;=Setup!$C$16))),WORKDAY(H401,-(Setup!$C$13+Setup!$G$26+Setup!$C$14),Setup!$C$39:$C$50),WORKDAY(H401,-(Setup!$C$13+Setup!$G$26),Setup!$C$39:$C$50))+(396*100+7)/10000000)))</f>
        <v/>
      </c>
      <c r="Y401" t="str">
        <f>IF(I401="","",IF(I401&lt;Setup!$C$5-Setup!$C$6,"",IF(IF(ISNUMBER(Roster!$D401),Setup!$C$27&lt;=Roster!$D401,FALSE),"",IF(OR(IF(Setup!$C$15&lt;=Setup!$C$16,AND(MONTH(I401)&gt;=Setup!$C$15,MONTH(I401)&lt;=Setup!$C$16),OR(MONTH(I401)&gt;=Setup!$C$15,MONTH(I401)&lt;=Setup!$C$16)),IF(Setup!$C$15&lt;=Setup!$C$16,AND(MONTH(WORKDAY(I401,-(Setup!$C$13+Setup!$G$27),Setup!$C$39:$C$50))&gt;=Setup!$C$15,MONTH(WORKDAY(I401,-(Setup!$C$13+Setup!$G$27),Setup!$C$39:$C$50))&lt;=Setup!$C$16),OR(MONTH(WORKDAY(I401,-(Setup!$C$13+Setup!$G$27),Setup!$C$39:$C$50))&gt;=Setup!$C$15,MONTH(WORKDAY(I401,-(Setup!$C$13+Setup!$G$27),Setup!$C$39:$C$50))&lt;=Setup!$C$16))),WORKDAY(I401,-(Setup!$C$13+Setup!$G$27+Setup!$C$14),Setup!$C$39:$C$50),WORKDAY(I401,-(Setup!$C$13+Setup!$G$27),Setup!$C$39:$C$50))+(396*100+8)/10000000)))</f>
        <v/>
      </c>
      <c r="Z401" t="str">
        <f>IF(J401="","",IF(J401&lt;Setup!$C$5-Setup!$C$6,"",IF(IF(ISNUMBER(Roster!$D401),Setup!$C$28&lt;=Roster!$D401,FALSE),"",IF(OR(IF(Setup!$C$15&lt;=Setup!$C$16,AND(MONTH(J401)&gt;=Setup!$C$15,MONTH(J401)&lt;=Setup!$C$16),OR(MONTH(J401)&gt;=Setup!$C$15,MONTH(J401)&lt;=Setup!$C$16)),IF(Setup!$C$15&lt;=Setup!$C$16,AND(MONTH(WORKDAY(J401,-(Setup!$C$13+Setup!$G$28),Setup!$C$39:$C$50))&gt;=Setup!$C$15,MONTH(WORKDAY(J401,-(Setup!$C$13+Setup!$G$28),Setup!$C$39:$C$50))&lt;=Setup!$C$16),OR(MONTH(WORKDAY(J401,-(Setup!$C$13+Setup!$G$28),Setup!$C$39:$C$50))&gt;=Setup!$C$15,MONTH(WORKDAY(J401,-(Setup!$C$13+Setup!$G$28),Setup!$C$39:$C$50))&lt;=Setup!$C$16))),WORKDAY(J401,-(Setup!$C$13+Setup!$G$28+Setup!$C$14),Setup!$C$39:$C$50),WORKDAY(J401,-(Setup!$C$13+Setup!$G$28),Setup!$C$39:$C$50))+(396*100+9)/10000000)))</f>
        <v/>
      </c>
      <c r="AA401" t="str">
        <f>IF(K401="","",IF(K401&lt;Setup!$C$5-Setup!$C$6,"",IF(IF(ISNUMBER(Roster!$D401),Setup!$C$29&lt;=Roster!$D401,FALSE),"",IF(OR(IF(Setup!$C$15&lt;=Setup!$C$16,AND(MONTH(K401)&gt;=Setup!$C$15,MONTH(K401)&lt;=Setup!$C$16),OR(MONTH(K401)&gt;=Setup!$C$15,MONTH(K401)&lt;=Setup!$C$16)),IF(Setup!$C$15&lt;=Setup!$C$16,AND(MONTH(WORKDAY(K401,-(Setup!$C$13+Setup!$G$29),Setup!$C$39:$C$50))&gt;=Setup!$C$15,MONTH(WORKDAY(K401,-(Setup!$C$13+Setup!$G$29),Setup!$C$39:$C$50))&lt;=Setup!$C$16),OR(MONTH(WORKDAY(K401,-(Setup!$C$13+Setup!$G$29),Setup!$C$39:$C$50))&gt;=Setup!$C$15,MONTH(WORKDAY(K401,-(Setup!$C$13+Setup!$G$29),Setup!$C$39:$C$50))&lt;=Setup!$C$16))),WORKDAY(K401,-(Setup!$C$13+Setup!$G$29+Setup!$C$14),Setup!$C$39:$C$50),WORKDAY(K401,-(Setup!$C$13+Setup!$G$29),Setup!$C$39:$C$50))+(396*100+10)/10000000)))</f>
        <v/>
      </c>
      <c r="AB401" t="str">
        <f>IF(L401="","",IF(L401&lt;Setup!$C$5-Setup!$C$6,"",IF(IF(ISNUMBER(Roster!$D401),Setup!$C$30&lt;=Roster!$D401,FALSE),"",IF(OR(IF(Setup!$C$15&lt;=Setup!$C$16,AND(MONTH(L401)&gt;=Setup!$C$15,MONTH(L401)&lt;=Setup!$C$16),OR(MONTH(L401)&gt;=Setup!$C$15,MONTH(L401)&lt;=Setup!$C$16)),IF(Setup!$C$15&lt;=Setup!$C$16,AND(MONTH(WORKDAY(L401,-(Setup!$C$13+Setup!$G$30),Setup!$C$39:$C$50))&gt;=Setup!$C$15,MONTH(WORKDAY(L401,-(Setup!$C$13+Setup!$G$30),Setup!$C$39:$C$50))&lt;=Setup!$C$16),OR(MONTH(WORKDAY(L401,-(Setup!$C$13+Setup!$G$30),Setup!$C$39:$C$50))&gt;=Setup!$C$15,MONTH(WORKDAY(L401,-(Setup!$C$13+Setup!$G$30),Setup!$C$39:$C$50))&lt;=Setup!$C$16))),WORKDAY(L401,-(Setup!$C$13+Setup!$G$30+Setup!$C$14),Setup!$C$39:$C$50),WORKDAY(L401,-(Setup!$C$13+Setup!$G$30),Setup!$C$39:$C$50))+(396*100+11)/10000000)))</f>
        <v/>
      </c>
      <c r="AC401" t="str">
        <f>IF(M401="","",IF(M401&lt;Setup!$C$5-Setup!$C$6,"",IF(IF(ISNUMBER(Roster!$D401),Setup!$C$31&lt;=Roster!$D401,FALSE),"",IF(OR(IF(Setup!$C$15&lt;=Setup!$C$16,AND(MONTH(M401)&gt;=Setup!$C$15,MONTH(M401)&lt;=Setup!$C$16),OR(MONTH(M401)&gt;=Setup!$C$15,MONTH(M401)&lt;=Setup!$C$16)),IF(Setup!$C$15&lt;=Setup!$C$16,AND(MONTH(WORKDAY(M401,-(Setup!$C$13+Setup!$G$31),Setup!$C$39:$C$50))&gt;=Setup!$C$15,MONTH(WORKDAY(M401,-(Setup!$C$13+Setup!$G$31),Setup!$C$39:$C$50))&lt;=Setup!$C$16),OR(MONTH(WORKDAY(M401,-(Setup!$C$13+Setup!$G$31),Setup!$C$39:$C$50))&gt;=Setup!$C$15,MONTH(WORKDAY(M401,-(Setup!$C$13+Setup!$G$31),Setup!$C$39:$C$50))&lt;=Setup!$C$16))),WORKDAY(M401,-(Setup!$C$13+Setup!$G$31+Setup!$C$14),Setup!$C$39:$C$50),WORKDAY(M401,-(Setup!$C$13+Setup!$G$31),Setup!$C$39:$C$50))+(396*100+12)/10000000)))</f>
        <v/>
      </c>
      <c r="AD401" t="str">
        <f>IF(N401="","",IF(N401&lt;Setup!$C$5-Setup!$C$6,"",IF(IF(ISNUMBER(Roster!$D401),Setup!$C$32&lt;=Roster!$D401,FALSE),"",IF(OR(IF(Setup!$C$15&lt;=Setup!$C$16,AND(MONTH(N401)&gt;=Setup!$C$15,MONTH(N401)&lt;=Setup!$C$16),OR(MONTH(N401)&gt;=Setup!$C$15,MONTH(N401)&lt;=Setup!$C$16)),IF(Setup!$C$15&lt;=Setup!$C$16,AND(MONTH(WORKDAY(N401,-(Setup!$C$13+Setup!$G$32),Setup!$C$39:$C$50))&gt;=Setup!$C$15,MONTH(WORKDAY(N401,-(Setup!$C$13+Setup!$G$32),Setup!$C$39:$C$50))&lt;=Setup!$C$16),OR(MONTH(WORKDAY(N401,-(Setup!$C$13+Setup!$G$32),Setup!$C$39:$C$50))&gt;=Setup!$C$15,MONTH(WORKDAY(N401,-(Setup!$C$13+Setup!$G$32),Setup!$C$39:$C$50))&lt;=Setup!$C$16))),WORKDAY(N401,-(Setup!$C$13+Setup!$G$32+Setup!$C$14),Setup!$C$39:$C$50),WORKDAY(N401,-(Setup!$C$13+Setup!$G$32),Setup!$C$39:$C$50))+(396*100+13)/10000000)))</f>
        <v/>
      </c>
      <c r="AE401" t="str">
        <f>IF(O401="","",IF(O401&lt;Setup!$C$5-Setup!$C$6,"",IF(IF(ISNUMBER(Roster!$D401),Setup!$C$33&lt;=Roster!$D401,FALSE),"",IF(OR(IF(Setup!$C$15&lt;=Setup!$C$16,AND(MONTH(O401)&gt;=Setup!$C$15,MONTH(O401)&lt;=Setup!$C$16),OR(MONTH(O401)&gt;=Setup!$C$15,MONTH(O401)&lt;=Setup!$C$16)),IF(Setup!$C$15&lt;=Setup!$C$16,AND(MONTH(WORKDAY(O401,-(Setup!$C$13+Setup!$G$33),Setup!$C$39:$C$50))&gt;=Setup!$C$15,MONTH(WORKDAY(O401,-(Setup!$C$13+Setup!$G$33),Setup!$C$39:$C$50))&lt;=Setup!$C$16),OR(MONTH(WORKDAY(O401,-(Setup!$C$13+Setup!$G$33),Setup!$C$39:$C$50))&gt;=Setup!$C$15,MONTH(WORKDAY(O401,-(Setup!$C$13+Setup!$G$33),Setup!$C$39:$C$50))&lt;=Setup!$C$16))),WORKDAY(O401,-(Setup!$C$13+Setup!$G$33+Setup!$C$14),Setup!$C$39:$C$50),WORKDAY(O401,-(Setup!$C$13+Setup!$G$33),Setup!$C$39:$C$50))+(396*100+14)/10000000)))</f>
        <v/>
      </c>
      <c r="AF401" t="str">
        <f>IF(P401="","",IF(P401&lt;Setup!$C$5-Setup!$C$6,"",IF(IF(ISNUMBER(Roster!$D401),Setup!$C$34&lt;=Roster!$D401,FALSE),"",IF(OR(IF(Setup!$C$15&lt;=Setup!$C$16,AND(MONTH(P401)&gt;=Setup!$C$15,MONTH(P401)&lt;=Setup!$C$16),OR(MONTH(P401)&gt;=Setup!$C$15,MONTH(P401)&lt;=Setup!$C$16)),IF(Setup!$C$15&lt;=Setup!$C$16,AND(MONTH(WORKDAY(P401,-(Setup!$C$13+Setup!$G$34),Setup!$C$39:$C$50))&gt;=Setup!$C$15,MONTH(WORKDAY(P401,-(Setup!$C$13+Setup!$G$34),Setup!$C$39:$C$50))&lt;=Setup!$C$16),OR(MONTH(WORKDAY(P401,-(Setup!$C$13+Setup!$G$34),Setup!$C$39:$C$50))&gt;=Setup!$C$15,MONTH(WORKDAY(P401,-(Setup!$C$13+Setup!$G$34),Setup!$C$39:$C$50))&lt;=Setup!$C$16))),WORKDAY(P401,-(Setup!$C$13+Setup!$G$34+Setup!$C$14),Setup!$C$39:$C$50),WORKDAY(P401,-(Setup!$C$13+Setup!$G$34),Setup!$C$39:$C$50))+(396*100+15)/10000000)))</f>
        <v/>
      </c>
      <c r="AH401" t="str">
        <f t="shared" si="46"/>
        <v/>
      </c>
      <c r="AI401" t="str">
        <f t="shared" si="47"/>
        <v/>
      </c>
      <c r="AP401" t="str">
        <f>IF(ISNUMBER(Roster!$B401),MAX(1,YEAR(Setup!$C$5)-YEAR(Roster!$B401)+IF(EDATE(Roster!$B401,12*(YEAR(Setup!$C$5)-YEAR(Roster!$B401)))&lt;Setup!$C$5,1,0)),"")</f>
        <v/>
      </c>
      <c r="AQ401" s="32" t="str">
        <f>IF(AP401="","",EDATE(Roster!$B401,12*AP401))</f>
        <v/>
      </c>
      <c r="AR401" t="str">
        <f>IF(AQ401="","",IF(AQ401&lt;DATE(YEAR(Setup!$C$5)+1,MONTH(Setup!$C$5),DAY(Setup!$C$5)),AQ401+396/1000,""))</f>
        <v/>
      </c>
      <c r="AS401" t="str">
        <f t="shared" si="48"/>
        <v/>
      </c>
      <c r="AT401" t="str">
        <f>IF(AS401="","",IF(ISNUMBER(Roster!$D401),Roster!$D401&gt;=AP401,FALSE))</f>
        <v/>
      </c>
      <c r="AU401" t="str">
        <f t="shared" si="49"/>
        <v/>
      </c>
      <c r="AV401" t="str">
        <f ca="1">IF(396&gt;$AV$2,"",SMALL($AR$6:$AR$505,396))</f>
        <v/>
      </c>
      <c r="AW401" t="str">
        <f t="shared" ca="1" si="50"/>
        <v/>
      </c>
    </row>
    <row r="402" spans="2:49" x14ac:dyDescent="0.2">
      <c r="B402" s="32" t="str">
        <f>IF(AND(ISNUMBER(Roster!$B402),Setup!$B$20="Yes",ISNUMBER(Setup!$C$20)),EDATE(Roster!$B402,12*Setup!$C$20),"")</f>
        <v/>
      </c>
      <c r="C402" s="32" t="str">
        <f>IF(AND(ISNUMBER(Roster!$B402),Setup!$B$21="Yes",ISNUMBER(Setup!$C$21)),EDATE(Roster!$B402,12*Setup!$C$21),"")</f>
        <v/>
      </c>
      <c r="D402" s="32" t="str">
        <f>IF(AND(ISNUMBER(Roster!$B402),Setup!$B$22="Yes",ISNUMBER(Setup!$C$22)),EDATE(Roster!$B402,12*Setup!$C$22),"")</f>
        <v/>
      </c>
      <c r="E402" s="32" t="str">
        <f>IF(AND(ISNUMBER(Roster!$B402),Setup!$B$23="Yes",ISNUMBER(Setup!$C$23)),EDATE(Roster!$B402,12*Setup!$C$23),"")</f>
        <v/>
      </c>
      <c r="F402" s="32" t="str">
        <f>IF(AND(ISNUMBER(Roster!$B402),Setup!$B$24="Yes",ISNUMBER(Setup!$C$24)),EDATE(Roster!$B402,12*Setup!$C$24),"")</f>
        <v/>
      </c>
      <c r="G402" s="32" t="str">
        <f>IF(AND(ISNUMBER(Roster!$B402),Setup!$B$25="Yes",ISNUMBER(Setup!$C$25)),EDATE(Roster!$B402,12*Setup!$C$25),"")</f>
        <v/>
      </c>
      <c r="H402" s="32" t="str">
        <f>IF(AND(ISNUMBER(Roster!$B402),Setup!$B$26="Yes",ISNUMBER(Setup!$C$26)),EDATE(Roster!$B402,12*Setup!$C$26),"")</f>
        <v/>
      </c>
      <c r="I402" s="32" t="str">
        <f>IF(AND(ISNUMBER(Roster!$B402),Setup!$B$27="Yes",ISNUMBER(Setup!$C$27)),EDATE(Roster!$B402,12*Setup!$C$27),"")</f>
        <v/>
      </c>
      <c r="J402" s="32" t="str">
        <f>IF(AND(ISNUMBER(Roster!$B402),Setup!$B$28="Yes",ISNUMBER(Setup!$C$28)),EDATE(Roster!$B402,12*Setup!$C$28),"")</f>
        <v/>
      </c>
      <c r="K402" s="32" t="str">
        <f>IF(AND(ISNUMBER(Roster!$B402),Setup!$B$29="Yes",ISNUMBER(Setup!$C$29)),EDATE(Roster!$B402,12*Setup!$C$29),"")</f>
        <v/>
      </c>
      <c r="L402" s="32" t="str">
        <f>IF(AND(ISNUMBER(Roster!$B402),Setup!$B$30="Yes",ISNUMBER(Setup!$C$30)),EDATE(Roster!$B402,12*Setup!$C$30),"")</f>
        <v/>
      </c>
      <c r="M402" s="32" t="str">
        <f>IF(AND(ISNUMBER(Roster!$B402),Setup!$B$31="Yes",ISNUMBER(Setup!$C$31)),EDATE(Roster!$B402,12*Setup!$C$31),"")</f>
        <v/>
      </c>
      <c r="N402" s="32" t="str">
        <f>IF(AND(ISNUMBER(Roster!$B402),Setup!$B$32="Yes",ISNUMBER(Setup!$C$32)),EDATE(Roster!$B402,12*Setup!$C$32),"")</f>
        <v/>
      </c>
      <c r="O402" s="32" t="str">
        <f>IF(AND(ISNUMBER(Roster!$B402),Setup!$B$33="Yes",ISNUMBER(Setup!$C$33)),EDATE(Roster!$B402,12*Setup!$C$33),"")</f>
        <v/>
      </c>
      <c r="P402" s="32" t="str">
        <f>IF(AND(ISNUMBER(Roster!$B402),Setup!$B$34="Yes",ISNUMBER(Setup!$C$34)),EDATE(Roster!$B402,12*Setup!$C$34),"")</f>
        <v/>
      </c>
      <c r="R402" t="str">
        <f>IF(B402="","",IF(B402&lt;Setup!$C$5-Setup!$C$6,"",IF(IF(ISNUMBER(Roster!$D402),Setup!$C$20&lt;=Roster!$D402,FALSE),"",IF(OR(IF(Setup!$C$15&lt;=Setup!$C$16,AND(MONTH(B402)&gt;=Setup!$C$15,MONTH(B402)&lt;=Setup!$C$16),OR(MONTH(B402)&gt;=Setup!$C$15,MONTH(B402)&lt;=Setup!$C$16)),IF(Setup!$C$15&lt;=Setup!$C$16,AND(MONTH(WORKDAY(B402,-(Setup!$C$13+Setup!$G$20),Setup!$C$39:$C$50))&gt;=Setup!$C$15,MONTH(WORKDAY(B402,-(Setup!$C$13+Setup!$G$20),Setup!$C$39:$C$50))&lt;=Setup!$C$16),OR(MONTH(WORKDAY(B402,-(Setup!$C$13+Setup!$G$20),Setup!$C$39:$C$50))&gt;=Setup!$C$15,MONTH(WORKDAY(B402,-(Setup!$C$13+Setup!$G$20),Setup!$C$39:$C$50))&lt;=Setup!$C$16))),WORKDAY(B402,-(Setup!$C$13+Setup!$G$20+Setup!$C$14),Setup!$C$39:$C$50),WORKDAY(B402,-(Setup!$C$13+Setup!$G$20),Setup!$C$39:$C$50))+(397*100+1)/10000000)))</f>
        <v/>
      </c>
      <c r="S402" t="str">
        <f>IF(C402="","",IF(C402&lt;Setup!$C$5-Setup!$C$6,"",IF(IF(ISNUMBER(Roster!$D402),Setup!$C$21&lt;=Roster!$D402,FALSE),"",IF(OR(IF(Setup!$C$15&lt;=Setup!$C$16,AND(MONTH(C402)&gt;=Setup!$C$15,MONTH(C402)&lt;=Setup!$C$16),OR(MONTH(C402)&gt;=Setup!$C$15,MONTH(C402)&lt;=Setup!$C$16)),IF(Setup!$C$15&lt;=Setup!$C$16,AND(MONTH(WORKDAY(C402,-(Setup!$C$13+Setup!$G$21),Setup!$C$39:$C$50))&gt;=Setup!$C$15,MONTH(WORKDAY(C402,-(Setup!$C$13+Setup!$G$21),Setup!$C$39:$C$50))&lt;=Setup!$C$16),OR(MONTH(WORKDAY(C402,-(Setup!$C$13+Setup!$G$21),Setup!$C$39:$C$50))&gt;=Setup!$C$15,MONTH(WORKDAY(C402,-(Setup!$C$13+Setup!$G$21),Setup!$C$39:$C$50))&lt;=Setup!$C$16))),WORKDAY(C402,-(Setup!$C$13+Setup!$G$21+Setup!$C$14),Setup!$C$39:$C$50),WORKDAY(C402,-(Setup!$C$13+Setup!$G$21),Setup!$C$39:$C$50))+(397*100+2)/10000000)))</f>
        <v/>
      </c>
      <c r="T402" t="str">
        <f>IF(D402="","",IF(D402&lt;Setup!$C$5-Setup!$C$6,"",IF(IF(ISNUMBER(Roster!$D402),Setup!$C$22&lt;=Roster!$D402,FALSE),"",IF(OR(IF(Setup!$C$15&lt;=Setup!$C$16,AND(MONTH(D402)&gt;=Setup!$C$15,MONTH(D402)&lt;=Setup!$C$16),OR(MONTH(D402)&gt;=Setup!$C$15,MONTH(D402)&lt;=Setup!$C$16)),IF(Setup!$C$15&lt;=Setup!$C$16,AND(MONTH(WORKDAY(D402,-(Setup!$C$13+Setup!$G$22),Setup!$C$39:$C$50))&gt;=Setup!$C$15,MONTH(WORKDAY(D402,-(Setup!$C$13+Setup!$G$22),Setup!$C$39:$C$50))&lt;=Setup!$C$16),OR(MONTH(WORKDAY(D402,-(Setup!$C$13+Setup!$G$22),Setup!$C$39:$C$50))&gt;=Setup!$C$15,MONTH(WORKDAY(D402,-(Setup!$C$13+Setup!$G$22),Setup!$C$39:$C$50))&lt;=Setup!$C$16))),WORKDAY(D402,-(Setup!$C$13+Setup!$G$22+Setup!$C$14),Setup!$C$39:$C$50),WORKDAY(D402,-(Setup!$C$13+Setup!$G$22),Setup!$C$39:$C$50))+(397*100+3)/10000000)))</f>
        <v/>
      </c>
      <c r="U402" t="str">
        <f>IF(E402="","",IF(E402&lt;Setup!$C$5-Setup!$C$6,"",IF(IF(ISNUMBER(Roster!$D402),Setup!$C$23&lt;=Roster!$D402,FALSE),"",IF(OR(IF(Setup!$C$15&lt;=Setup!$C$16,AND(MONTH(E402)&gt;=Setup!$C$15,MONTH(E402)&lt;=Setup!$C$16),OR(MONTH(E402)&gt;=Setup!$C$15,MONTH(E402)&lt;=Setup!$C$16)),IF(Setup!$C$15&lt;=Setup!$C$16,AND(MONTH(WORKDAY(E402,-(Setup!$C$13+Setup!$G$23),Setup!$C$39:$C$50))&gt;=Setup!$C$15,MONTH(WORKDAY(E402,-(Setup!$C$13+Setup!$G$23),Setup!$C$39:$C$50))&lt;=Setup!$C$16),OR(MONTH(WORKDAY(E402,-(Setup!$C$13+Setup!$G$23),Setup!$C$39:$C$50))&gt;=Setup!$C$15,MONTH(WORKDAY(E402,-(Setup!$C$13+Setup!$G$23),Setup!$C$39:$C$50))&lt;=Setup!$C$16))),WORKDAY(E402,-(Setup!$C$13+Setup!$G$23+Setup!$C$14),Setup!$C$39:$C$50),WORKDAY(E402,-(Setup!$C$13+Setup!$G$23),Setup!$C$39:$C$50))+(397*100+4)/10000000)))</f>
        <v/>
      </c>
      <c r="V402" t="str">
        <f>IF(F402="","",IF(F402&lt;Setup!$C$5-Setup!$C$6,"",IF(IF(ISNUMBER(Roster!$D402),Setup!$C$24&lt;=Roster!$D402,FALSE),"",IF(OR(IF(Setup!$C$15&lt;=Setup!$C$16,AND(MONTH(F402)&gt;=Setup!$C$15,MONTH(F402)&lt;=Setup!$C$16),OR(MONTH(F402)&gt;=Setup!$C$15,MONTH(F402)&lt;=Setup!$C$16)),IF(Setup!$C$15&lt;=Setup!$C$16,AND(MONTH(WORKDAY(F402,-(Setup!$C$13+Setup!$G$24),Setup!$C$39:$C$50))&gt;=Setup!$C$15,MONTH(WORKDAY(F402,-(Setup!$C$13+Setup!$G$24),Setup!$C$39:$C$50))&lt;=Setup!$C$16),OR(MONTH(WORKDAY(F402,-(Setup!$C$13+Setup!$G$24),Setup!$C$39:$C$50))&gt;=Setup!$C$15,MONTH(WORKDAY(F402,-(Setup!$C$13+Setup!$G$24),Setup!$C$39:$C$50))&lt;=Setup!$C$16))),WORKDAY(F402,-(Setup!$C$13+Setup!$G$24+Setup!$C$14),Setup!$C$39:$C$50),WORKDAY(F402,-(Setup!$C$13+Setup!$G$24),Setup!$C$39:$C$50))+(397*100+5)/10000000)))</f>
        <v/>
      </c>
      <c r="W402" t="str">
        <f>IF(G402="","",IF(G402&lt;Setup!$C$5-Setup!$C$6,"",IF(IF(ISNUMBER(Roster!$D402),Setup!$C$25&lt;=Roster!$D402,FALSE),"",IF(OR(IF(Setup!$C$15&lt;=Setup!$C$16,AND(MONTH(G402)&gt;=Setup!$C$15,MONTH(G402)&lt;=Setup!$C$16),OR(MONTH(G402)&gt;=Setup!$C$15,MONTH(G402)&lt;=Setup!$C$16)),IF(Setup!$C$15&lt;=Setup!$C$16,AND(MONTH(WORKDAY(G402,-(Setup!$C$13+Setup!$G$25),Setup!$C$39:$C$50))&gt;=Setup!$C$15,MONTH(WORKDAY(G402,-(Setup!$C$13+Setup!$G$25),Setup!$C$39:$C$50))&lt;=Setup!$C$16),OR(MONTH(WORKDAY(G402,-(Setup!$C$13+Setup!$G$25),Setup!$C$39:$C$50))&gt;=Setup!$C$15,MONTH(WORKDAY(G402,-(Setup!$C$13+Setup!$G$25),Setup!$C$39:$C$50))&lt;=Setup!$C$16))),WORKDAY(G402,-(Setup!$C$13+Setup!$G$25+Setup!$C$14),Setup!$C$39:$C$50),WORKDAY(G402,-(Setup!$C$13+Setup!$G$25),Setup!$C$39:$C$50))+(397*100+6)/10000000)))</f>
        <v/>
      </c>
      <c r="X402" t="str">
        <f>IF(H402="","",IF(H402&lt;Setup!$C$5-Setup!$C$6,"",IF(IF(ISNUMBER(Roster!$D402),Setup!$C$26&lt;=Roster!$D402,FALSE),"",IF(OR(IF(Setup!$C$15&lt;=Setup!$C$16,AND(MONTH(H402)&gt;=Setup!$C$15,MONTH(H402)&lt;=Setup!$C$16),OR(MONTH(H402)&gt;=Setup!$C$15,MONTH(H402)&lt;=Setup!$C$16)),IF(Setup!$C$15&lt;=Setup!$C$16,AND(MONTH(WORKDAY(H402,-(Setup!$C$13+Setup!$G$26),Setup!$C$39:$C$50))&gt;=Setup!$C$15,MONTH(WORKDAY(H402,-(Setup!$C$13+Setup!$G$26),Setup!$C$39:$C$50))&lt;=Setup!$C$16),OR(MONTH(WORKDAY(H402,-(Setup!$C$13+Setup!$G$26),Setup!$C$39:$C$50))&gt;=Setup!$C$15,MONTH(WORKDAY(H402,-(Setup!$C$13+Setup!$G$26),Setup!$C$39:$C$50))&lt;=Setup!$C$16))),WORKDAY(H402,-(Setup!$C$13+Setup!$G$26+Setup!$C$14),Setup!$C$39:$C$50),WORKDAY(H402,-(Setup!$C$13+Setup!$G$26),Setup!$C$39:$C$50))+(397*100+7)/10000000)))</f>
        <v/>
      </c>
      <c r="Y402" t="str">
        <f>IF(I402="","",IF(I402&lt;Setup!$C$5-Setup!$C$6,"",IF(IF(ISNUMBER(Roster!$D402),Setup!$C$27&lt;=Roster!$D402,FALSE),"",IF(OR(IF(Setup!$C$15&lt;=Setup!$C$16,AND(MONTH(I402)&gt;=Setup!$C$15,MONTH(I402)&lt;=Setup!$C$16),OR(MONTH(I402)&gt;=Setup!$C$15,MONTH(I402)&lt;=Setup!$C$16)),IF(Setup!$C$15&lt;=Setup!$C$16,AND(MONTH(WORKDAY(I402,-(Setup!$C$13+Setup!$G$27),Setup!$C$39:$C$50))&gt;=Setup!$C$15,MONTH(WORKDAY(I402,-(Setup!$C$13+Setup!$G$27),Setup!$C$39:$C$50))&lt;=Setup!$C$16),OR(MONTH(WORKDAY(I402,-(Setup!$C$13+Setup!$G$27),Setup!$C$39:$C$50))&gt;=Setup!$C$15,MONTH(WORKDAY(I402,-(Setup!$C$13+Setup!$G$27),Setup!$C$39:$C$50))&lt;=Setup!$C$16))),WORKDAY(I402,-(Setup!$C$13+Setup!$G$27+Setup!$C$14),Setup!$C$39:$C$50),WORKDAY(I402,-(Setup!$C$13+Setup!$G$27),Setup!$C$39:$C$50))+(397*100+8)/10000000)))</f>
        <v/>
      </c>
      <c r="Z402" t="str">
        <f>IF(J402="","",IF(J402&lt;Setup!$C$5-Setup!$C$6,"",IF(IF(ISNUMBER(Roster!$D402),Setup!$C$28&lt;=Roster!$D402,FALSE),"",IF(OR(IF(Setup!$C$15&lt;=Setup!$C$16,AND(MONTH(J402)&gt;=Setup!$C$15,MONTH(J402)&lt;=Setup!$C$16),OR(MONTH(J402)&gt;=Setup!$C$15,MONTH(J402)&lt;=Setup!$C$16)),IF(Setup!$C$15&lt;=Setup!$C$16,AND(MONTH(WORKDAY(J402,-(Setup!$C$13+Setup!$G$28),Setup!$C$39:$C$50))&gt;=Setup!$C$15,MONTH(WORKDAY(J402,-(Setup!$C$13+Setup!$G$28),Setup!$C$39:$C$50))&lt;=Setup!$C$16),OR(MONTH(WORKDAY(J402,-(Setup!$C$13+Setup!$G$28),Setup!$C$39:$C$50))&gt;=Setup!$C$15,MONTH(WORKDAY(J402,-(Setup!$C$13+Setup!$G$28),Setup!$C$39:$C$50))&lt;=Setup!$C$16))),WORKDAY(J402,-(Setup!$C$13+Setup!$G$28+Setup!$C$14),Setup!$C$39:$C$50),WORKDAY(J402,-(Setup!$C$13+Setup!$G$28),Setup!$C$39:$C$50))+(397*100+9)/10000000)))</f>
        <v/>
      </c>
      <c r="AA402" t="str">
        <f>IF(K402="","",IF(K402&lt;Setup!$C$5-Setup!$C$6,"",IF(IF(ISNUMBER(Roster!$D402),Setup!$C$29&lt;=Roster!$D402,FALSE),"",IF(OR(IF(Setup!$C$15&lt;=Setup!$C$16,AND(MONTH(K402)&gt;=Setup!$C$15,MONTH(K402)&lt;=Setup!$C$16),OR(MONTH(K402)&gt;=Setup!$C$15,MONTH(K402)&lt;=Setup!$C$16)),IF(Setup!$C$15&lt;=Setup!$C$16,AND(MONTH(WORKDAY(K402,-(Setup!$C$13+Setup!$G$29),Setup!$C$39:$C$50))&gt;=Setup!$C$15,MONTH(WORKDAY(K402,-(Setup!$C$13+Setup!$G$29),Setup!$C$39:$C$50))&lt;=Setup!$C$16),OR(MONTH(WORKDAY(K402,-(Setup!$C$13+Setup!$G$29),Setup!$C$39:$C$50))&gt;=Setup!$C$15,MONTH(WORKDAY(K402,-(Setup!$C$13+Setup!$G$29),Setup!$C$39:$C$50))&lt;=Setup!$C$16))),WORKDAY(K402,-(Setup!$C$13+Setup!$G$29+Setup!$C$14),Setup!$C$39:$C$50),WORKDAY(K402,-(Setup!$C$13+Setup!$G$29),Setup!$C$39:$C$50))+(397*100+10)/10000000)))</f>
        <v/>
      </c>
      <c r="AB402" t="str">
        <f>IF(L402="","",IF(L402&lt;Setup!$C$5-Setup!$C$6,"",IF(IF(ISNUMBER(Roster!$D402),Setup!$C$30&lt;=Roster!$D402,FALSE),"",IF(OR(IF(Setup!$C$15&lt;=Setup!$C$16,AND(MONTH(L402)&gt;=Setup!$C$15,MONTH(L402)&lt;=Setup!$C$16),OR(MONTH(L402)&gt;=Setup!$C$15,MONTH(L402)&lt;=Setup!$C$16)),IF(Setup!$C$15&lt;=Setup!$C$16,AND(MONTH(WORKDAY(L402,-(Setup!$C$13+Setup!$G$30),Setup!$C$39:$C$50))&gt;=Setup!$C$15,MONTH(WORKDAY(L402,-(Setup!$C$13+Setup!$G$30),Setup!$C$39:$C$50))&lt;=Setup!$C$16),OR(MONTH(WORKDAY(L402,-(Setup!$C$13+Setup!$G$30),Setup!$C$39:$C$50))&gt;=Setup!$C$15,MONTH(WORKDAY(L402,-(Setup!$C$13+Setup!$G$30),Setup!$C$39:$C$50))&lt;=Setup!$C$16))),WORKDAY(L402,-(Setup!$C$13+Setup!$G$30+Setup!$C$14),Setup!$C$39:$C$50),WORKDAY(L402,-(Setup!$C$13+Setup!$G$30),Setup!$C$39:$C$50))+(397*100+11)/10000000)))</f>
        <v/>
      </c>
      <c r="AC402" t="str">
        <f>IF(M402="","",IF(M402&lt;Setup!$C$5-Setup!$C$6,"",IF(IF(ISNUMBER(Roster!$D402),Setup!$C$31&lt;=Roster!$D402,FALSE),"",IF(OR(IF(Setup!$C$15&lt;=Setup!$C$16,AND(MONTH(M402)&gt;=Setup!$C$15,MONTH(M402)&lt;=Setup!$C$16),OR(MONTH(M402)&gt;=Setup!$C$15,MONTH(M402)&lt;=Setup!$C$16)),IF(Setup!$C$15&lt;=Setup!$C$16,AND(MONTH(WORKDAY(M402,-(Setup!$C$13+Setup!$G$31),Setup!$C$39:$C$50))&gt;=Setup!$C$15,MONTH(WORKDAY(M402,-(Setup!$C$13+Setup!$G$31),Setup!$C$39:$C$50))&lt;=Setup!$C$16),OR(MONTH(WORKDAY(M402,-(Setup!$C$13+Setup!$G$31),Setup!$C$39:$C$50))&gt;=Setup!$C$15,MONTH(WORKDAY(M402,-(Setup!$C$13+Setup!$G$31),Setup!$C$39:$C$50))&lt;=Setup!$C$16))),WORKDAY(M402,-(Setup!$C$13+Setup!$G$31+Setup!$C$14),Setup!$C$39:$C$50),WORKDAY(M402,-(Setup!$C$13+Setup!$G$31),Setup!$C$39:$C$50))+(397*100+12)/10000000)))</f>
        <v/>
      </c>
      <c r="AD402" t="str">
        <f>IF(N402="","",IF(N402&lt;Setup!$C$5-Setup!$C$6,"",IF(IF(ISNUMBER(Roster!$D402),Setup!$C$32&lt;=Roster!$D402,FALSE),"",IF(OR(IF(Setup!$C$15&lt;=Setup!$C$16,AND(MONTH(N402)&gt;=Setup!$C$15,MONTH(N402)&lt;=Setup!$C$16),OR(MONTH(N402)&gt;=Setup!$C$15,MONTH(N402)&lt;=Setup!$C$16)),IF(Setup!$C$15&lt;=Setup!$C$16,AND(MONTH(WORKDAY(N402,-(Setup!$C$13+Setup!$G$32),Setup!$C$39:$C$50))&gt;=Setup!$C$15,MONTH(WORKDAY(N402,-(Setup!$C$13+Setup!$G$32),Setup!$C$39:$C$50))&lt;=Setup!$C$16),OR(MONTH(WORKDAY(N402,-(Setup!$C$13+Setup!$G$32),Setup!$C$39:$C$50))&gt;=Setup!$C$15,MONTH(WORKDAY(N402,-(Setup!$C$13+Setup!$G$32),Setup!$C$39:$C$50))&lt;=Setup!$C$16))),WORKDAY(N402,-(Setup!$C$13+Setup!$G$32+Setup!$C$14),Setup!$C$39:$C$50),WORKDAY(N402,-(Setup!$C$13+Setup!$G$32),Setup!$C$39:$C$50))+(397*100+13)/10000000)))</f>
        <v/>
      </c>
      <c r="AE402" t="str">
        <f>IF(O402="","",IF(O402&lt;Setup!$C$5-Setup!$C$6,"",IF(IF(ISNUMBER(Roster!$D402),Setup!$C$33&lt;=Roster!$D402,FALSE),"",IF(OR(IF(Setup!$C$15&lt;=Setup!$C$16,AND(MONTH(O402)&gt;=Setup!$C$15,MONTH(O402)&lt;=Setup!$C$16),OR(MONTH(O402)&gt;=Setup!$C$15,MONTH(O402)&lt;=Setup!$C$16)),IF(Setup!$C$15&lt;=Setup!$C$16,AND(MONTH(WORKDAY(O402,-(Setup!$C$13+Setup!$G$33),Setup!$C$39:$C$50))&gt;=Setup!$C$15,MONTH(WORKDAY(O402,-(Setup!$C$13+Setup!$G$33),Setup!$C$39:$C$50))&lt;=Setup!$C$16),OR(MONTH(WORKDAY(O402,-(Setup!$C$13+Setup!$G$33),Setup!$C$39:$C$50))&gt;=Setup!$C$15,MONTH(WORKDAY(O402,-(Setup!$C$13+Setup!$G$33),Setup!$C$39:$C$50))&lt;=Setup!$C$16))),WORKDAY(O402,-(Setup!$C$13+Setup!$G$33+Setup!$C$14),Setup!$C$39:$C$50),WORKDAY(O402,-(Setup!$C$13+Setup!$G$33),Setup!$C$39:$C$50))+(397*100+14)/10000000)))</f>
        <v/>
      </c>
      <c r="AF402" t="str">
        <f>IF(P402="","",IF(P402&lt;Setup!$C$5-Setup!$C$6,"",IF(IF(ISNUMBER(Roster!$D402),Setup!$C$34&lt;=Roster!$D402,FALSE),"",IF(OR(IF(Setup!$C$15&lt;=Setup!$C$16,AND(MONTH(P402)&gt;=Setup!$C$15,MONTH(P402)&lt;=Setup!$C$16),OR(MONTH(P402)&gt;=Setup!$C$15,MONTH(P402)&lt;=Setup!$C$16)),IF(Setup!$C$15&lt;=Setup!$C$16,AND(MONTH(WORKDAY(P402,-(Setup!$C$13+Setup!$G$34),Setup!$C$39:$C$50))&gt;=Setup!$C$15,MONTH(WORKDAY(P402,-(Setup!$C$13+Setup!$G$34),Setup!$C$39:$C$50))&lt;=Setup!$C$16),OR(MONTH(WORKDAY(P402,-(Setup!$C$13+Setup!$G$34),Setup!$C$39:$C$50))&gt;=Setup!$C$15,MONTH(WORKDAY(P402,-(Setup!$C$13+Setup!$G$34),Setup!$C$39:$C$50))&lt;=Setup!$C$16))),WORKDAY(P402,-(Setup!$C$13+Setup!$G$34+Setup!$C$14),Setup!$C$39:$C$50),WORKDAY(P402,-(Setup!$C$13+Setup!$G$34),Setup!$C$39:$C$50))+(397*100+15)/10000000)))</f>
        <v/>
      </c>
      <c r="AH402" t="str">
        <f t="shared" si="46"/>
        <v/>
      </c>
      <c r="AI402" t="str">
        <f t="shared" si="47"/>
        <v/>
      </c>
      <c r="AP402" t="str">
        <f>IF(ISNUMBER(Roster!$B402),MAX(1,YEAR(Setup!$C$5)-YEAR(Roster!$B402)+IF(EDATE(Roster!$B402,12*(YEAR(Setup!$C$5)-YEAR(Roster!$B402)))&lt;Setup!$C$5,1,0)),"")</f>
        <v/>
      </c>
      <c r="AQ402" s="32" t="str">
        <f>IF(AP402="","",EDATE(Roster!$B402,12*AP402))</f>
        <v/>
      </c>
      <c r="AR402" t="str">
        <f>IF(AQ402="","",IF(AQ402&lt;DATE(YEAR(Setup!$C$5)+1,MONTH(Setup!$C$5),DAY(Setup!$C$5)),AQ402+397/1000,""))</f>
        <v/>
      </c>
      <c r="AS402" t="str">
        <f t="shared" si="48"/>
        <v/>
      </c>
      <c r="AT402" t="str">
        <f>IF(AS402="","",IF(ISNUMBER(Roster!$D402),Roster!$D402&gt;=AP402,FALSE))</f>
        <v/>
      </c>
      <c r="AU402" t="str">
        <f t="shared" si="49"/>
        <v/>
      </c>
      <c r="AV402" t="str">
        <f ca="1">IF(397&gt;$AV$2,"",SMALL($AR$6:$AR$505,397))</f>
        <v/>
      </c>
      <c r="AW402" t="str">
        <f t="shared" ca="1" si="50"/>
        <v/>
      </c>
    </row>
    <row r="403" spans="2:49" x14ac:dyDescent="0.2">
      <c r="B403" s="32" t="str">
        <f>IF(AND(ISNUMBER(Roster!$B403),Setup!$B$20="Yes",ISNUMBER(Setup!$C$20)),EDATE(Roster!$B403,12*Setup!$C$20),"")</f>
        <v/>
      </c>
      <c r="C403" s="32" t="str">
        <f>IF(AND(ISNUMBER(Roster!$B403),Setup!$B$21="Yes",ISNUMBER(Setup!$C$21)),EDATE(Roster!$B403,12*Setup!$C$21),"")</f>
        <v/>
      </c>
      <c r="D403" s="32" t="str">
        <f>IF(AND(ISNUMBER(Roster!$B403),Setup!$B$22="Yes",ISNUMBER(Setup!$C$22)),EDATE(Roster!$B403,12*Setup!$C$22),"")</f>
        <v/>
      </c>
      <c r="E403" s="32" t="str">
        <f>IF(AND(ISNUMBER(Roster!$B403),Setup!$B$23="Yes",ISNUMBER(Setup!$C$23)),EDATE(Roster!$B403,12*Setup!$C$23),"")</f>
        <v/>
      </c>
      <c r="F403" s="32" t="str">
        <f>IF(AND(ISNUMBER(Roster!$B403),Setup!$B$24="Yes",ISNUMBER(Setup!$C$24)),EDATE(Roster!$B403,12*Setup!$C$24),"")</f>
        <v/>
      </c>
      <c r="G403" s="32" t="str">
        <f>IF(AND(ISNUMBER(Roster!$B403),Setup!$B$25="Yes",ISNUMBER(Setup!$C$25)),EDATE(Roster!$B403,12*Setup!$C$25),"")</f>
        <v/>
      </c>
      <c r="H403" s="32" t="str">
        <f>IF(AND(ISNUMBER(Roster!$B403),Setup!$B$26="Yes",ISNUMBER(Setup!$C$26)),EDATE(Roster!$B403,12*Setup!$C$26),"")</f>
        <v/>
      </c>
      <c r="I403" s="32" t="str">
        <f>IF(AND(ISNUMBER(Roster!$B403),Setup!$B$27="Yes",ISNUMBER(Setup!$C$27)),EDATE(Roster!$B403,12*Setup!$C$27),"")</f>
        <v/>
      </c>
      <c r="J403" s="32" t="str">
        <f>IF(AND(ISNUMBER(Roster!$B403),Setup!$B$28="Yes",ISNUMBER(Setup!$C$28)),EDATE(Roster!$B403,12*Setup!$C$28),"")</f>
        <v/>
      </c>
      <c r="K403" s="32" t="str">
        <f>IF(AND(ISNUMBER(Roster!$B403),Setup!$B$29="Yes",ISNUMBER(Setup!$C$29)),EDATE(Roster!$B403,12*Setup!$C$29),"")</f>
        <v/>
      </c>
      <c r="L403" s="32" t="str">
        <f>IF(AND(ISNUMBER(Roster!$B403),Setup!$B$30="Yes",ISNUMBER(Setup!$C$30)),EDATE(Roster!$B403,12*Setup!$C$30),"")</f>
        <v/>
      </c>
      <c r="M403" s="32" t="str">
        <f>IF(AND(ISNUMBER(Roster!$B403),Setup!$B$31="Yes",ISNUMBER(Setup!$C$31)),EDATE(Roster!$B403,12*Setup!$C$31),"")</f>
        <v/>
      </c>
      <c r="N403" s="32" t="str">
        <f>IF(AND(ISNUMBER(Roster!$B403),Setup!$B$32="Yes",ISNUMBER(Setup!$C$32)),EDATE(Roster!$B403,12*Setup!$C$32),"")</f>
        <v/>
      </c>
      <c r="O403" s="32" t="str">
        <f>IF(AND(ISNUMBER(Roster!$B403),Setup!$B$33="Yes",ISNUMBER(Setup!$C$33)),EDATE(Roster!$B403,12*Setup!$C$33),"")</f>
        <v/>
      </c>
      <c r="P403" s="32" t="str">
        <f>IF(AND(ISNUMBER(Roster!$B403),Setup!$B$34="Yes",ISNUMBER(Setup!$C$34)),EDATE(Roster!$B403,12*Setup!$C$34),"")</f>
        <v/>
      </c>
      <c r="R403" t="str">
        <f>IF(B403="","",IF(B403&lt;Setup!$C$5-Setup!$C$6,"",IF(IF(ISNUMBER(Roster!$D403),Setup!$C$20&lt;=Roster!$D403,FALSE),"",IF(OR(IF(Setup!$C$15&lt;=Setup!$C$16,AND(MONTH(B403)&gt;=Setup!$C$15,MONTH(B403)&lt;=Setup!$C$16),OR(MONTH(B403)&gt;=Setup!$C$15,MONTH(B403)&lt;=Setup!$C$16)),IF(Setup!$C$15&lt;=Setup!$C$16,AND(MONTH(WORKDAY(B403,-(Setup!$C$13+Setup!$G$20),Setup!$C$39:$C$50))&gt;=Setup!$C$15,MONTH(WORKDAY(B403,-(Setup!$C$13+Setup!$G$20),Setup!$C$39:$C$50))&lt;=Setup!$C$16),OR(MONTH(WORKDAY(B403,-(Setup!$C$13+Setup!$G$20),Setup!$C$39:$C$50))&gt;=Setup!$C$15,MONTH(WORKDAY(B403,-(Setup!$C$13+Setup!$G$20),Setup!$C$39:$C$50))&lt;=Setup!$C$16))),WORKDAY(B403,-(Setup!$C$13+Setup!$G$20+Setup!$C$14),Setup!$C$39:$C$50),WORKDAY(B403,-(Setup!$C$13+Setup!$G$20),Setup!$C$39:$C$50))+(398*100+1)/10000000)))</f>
        <v/>
      </c>
      <c r="S403" t="str">
        <f>IF(C403="","",IF(C403&lt;Setup!$C$5-Setup!$C$6,"",IF(IF(ISNUMBER(Roster!$D403),Setup!$C$21&lt;=Roster!$D403,FALSE),"",IF(OR(IF(Setup!$C$15&lt;=Setup!$C$16,AND(MONTH(C403)&gt;=Setup!$C$15,MONTH(C403)&lt;=Setup!$C$16),OR(MONTH(C403)&gt;=Setup!$C$15,MONTH(C403)&lt;=Setup!$C$16)),IF(Setup!$C$15&lt;=Setup!$C$16,AND(MONTH(WORKDAY(C403,-(Setup!$C$13+Setup!$G$21),Setup!$C$39:$C$50))&gt;=Setup!$C$15,MONTH(WORKDAY(C403,-(Setup!$C$13+Setup!$G$21),Setup!$C$39:$C$50))&lt;=Setup!$C$16),OR(MONTH(WORKDAY(C403,-(Setup!$C$13+Setup!$G$21),Setup!$C$39:$C$50))&gt;=Setup!$C$15,MONTH(WORKDAY(C403,-(Setup!$C$13+Setup!$G$21),Setup!$C$39:$C$50))&lt;=Setup!$C$16))),WORKDAY(C403,-(Setup!$C$13+Setup!$G$21+Setup!$C$14),Setup!$C$39:$C$50),WORKDAY(C403,-(Setup!$C$13+Setup!$G$21),Setup!$C$39:$C$50))+(398*100+2)/10000000)))</f>
        <v/>
      </c>
      <c r="T403" t="str">
        <f>IF(D403="","",IF(D403&lt;Setup!$C$5-Setup!$C$6,"",IF(IF(ISNUMBER(Roster!$D403),Setup!$C$22&lt;=Roster!$D403,FALSE),"",IF(OR(IF(Setup!$C$15&lt;=Setup!$C$16,AND(MONTH(D403)&gt;=Setup!$C$15,MONTH(D403)&lt;=Setup!$C$16),OR(MONTH(D403)&gt;=Setup!$C$15,MONTH(D403)&lt;=Setup!$C$16)),IF(Setup!$C$15&lt;=Setup!$C$16,AND(MONTH(WORKDAY(D403,-(Setup!$C$13+Setup!$G$22),Setup!$C$39:$C$50))&gt;=Setup!$C$15,MONTH(WORKDAY(D403,-(Setup!$C$13+Setup!$G$22),Setup!$C$39:$C$50))&lt;=Setup!$C$16),OR(MONTH(WORKDAY(D403,-(Setup!$C$13+Setup!$G$22),Setup!$C$39:$C$50))&gt;=Setup!$C$15,MONTH(WORKDAY(D403,-(Setup!$C$13+Setup!$G$22),Setup!$C$39:$C$50))&lt;=Setup!$C$16))),WORKDAY(D403,-(Setup!$C$13+Setup!$G$22+Setup!$C$14),Setup!$C$39:$C$50),WORKDAY(D403,-(Setup!$C$13+Setup!$G$22),Setup!$C$39:$C$50))+(398*100+3)/10000000)))</f>
        <v/>
      </c>
      <c r="U403" t="str">
        <f>IF(E403="","",IF(E403&lt;Setup!$C$5-Setup!$C$6,"",IF(IF(ISNUMBER(Roster!$D403),Setup!$C$23&lt;=Roster!$D403,FALSE),"",IF(OR(IF(Setup!$C$15&lt;=Setup!$C$16,AND(MONTH(E403)&gt;=Setup!$C$15,MONTH(E403)&lt;=Setup!$C$16),OR(MONTH(E403)&gt;=Setup!$C$15,MONTH(E403)&lt;=Setup!$C$16)),IF(Setup!$C$15&lt;=Setup!$C$16,AND(MONTH(WORKDAY(E403,-(Setup!$C$13+Setup!$G$23),Setup!$C$39:$C$50))&gt;=Setup!$C$15,MONTH(WORKDAY(E403,-(Setup!$C$13+Setup!$G$23),Setup!$C$39:$C$50))&lt;=Setup!$C$16),OR(MONTH(WORKDAY(E403,-(Setup!$C$13+Setup!$G$23),Setup!$C$39:$C$50))&gt;=Setup!$C$15,MONTH(WORKDAY(E403,-(Setup!$C$13+Setup!$G$23),Setup!$C$39:$C$50))&lt;=Setup!$C$16))),WORKDAY(E403,-(Setup!$C$13+Setup!$G$23+Setup!$C$14),Setup!$C$39:$C$50),WORKDAY(E403,-(Setup!$C$13+Setup!$G$23),Setup!$C$39:$C$50))+(398*100+4)/10000000)))</f>
        <v/>
      </c>
      <c r="V403" t="str">
        <f>IF(F403="","",IF(F403&lt;Setup!$C$5-Setup!$C$6,"",IF(IF(ISNUMBER(Roster!$D403),Setup!$C$24&lt;=Roster!$D403,FALSE),"",IF(OR(IF(Setup!$C$15&lt;=Setup!$C$16,AND(MONTH(F403)&gt;=Setup!$C$15,MONTH(F403)&lt;=Setup!$C$16),OR(MONTH(F403)&gt;=Setup!$C$15,MONTH(F403)&lt;=Setup!$C$16)),IF(Setup!$C$15&lt;=Setup!$C$16,AND(MONTH(WORKDAY(F403,-(Setup!$C$13+Setup!$G$24),Setup!$C$39:$C$50))&gt;=Setup!$C$15,MONTH(WORKDAY(F403,-(Setup!$C$13+Setup!$G$24),Setup!$C$39:$C$50))&lt;=Setup!$C$16),OR(MONTH(WORKDAY(F403,-(Setup!$C$13+Setup!$G$24),Setup!$C$39:$C$50))&gt;=Setup!$C$15,MONTH(WORKDAY(F403,-(Setup!$C$13+Setup!$G$24),Setup!$C$39:$C$50))&lt;=Setup!$C$16))),WORKDAY(F403,-(Setup!$C$13+Setup!$G$24+Setup!$C$14),Setup!$C$39:$C$50),WORKDAY(F403,-(Setup!$C$13+Setup!$G$24),Setup!$C$39:$C$50))+(398*100+5)/10000000)))</f>
        <v/>
      </c>
      <c r="W403" t="str">
        <f>IF(G403="","",IF(G403&lt;Setup!$C$5-Setup!$C$6,"",IF(IF(ISNUMBER(Roster!$D403),Setup!$C$25&lt;=Roster!$D403,FALSE),"",IF(OR(IF(Setup!$C$15&lt;=Setup!$C$16,AND(MONTH(G403)&gt;=Setup!$C$15,MONTH(G403)&lt;=Setup!$C$16),OR(MONTH(G403)&gt;=Setup!$C$15,MONTH(G403)&lt;=Setup!$C$16)),IF(Setup!$C$15&lt;=Setup!$C$16,AND(MONTH(WORKDAY(G403,-(Setup!$C$13+Setup!$G$25),Setup!$C$39:$C$50))&gt;=Setup!$C$15,MONTH(WORKDAY(G403,-(Setup!$C$13+Setup!$G$25),Setup!$C$39:$C$50))&lt;=Setup!$C$16),OR(MONTH(WORKDAY(G403,-(Setup!$C$13+Setup!$G$25),Setup!$C$39:$C$50))&gt;=Setup!$C$15,MONTH(WORKDAY(G403,-(Setup!$C$13+Setup!$G$25),Setup!$C$39:$C$50))&lt;=Setup!$C$16))),WORKDAY(G403,-(Setup!$C$13+Setup!$G$25+Setup!$C$14),Setup!$C$39:$C$50),WORKDAY(G403,-(Setup!$C$13+Setup!$G$25),Setup!$C$39:$C$50))+(398*100+6)/10000000)))</f>
        <v/>
      </c>
      <c r="X403" t="str">
        <f>IF(H403="","",IF(H403&lt;Setup!$C$5-Setup!$C$6,"",IF(IF(ISNUMBER(Roster!$D403),Setup!$C$26&lt;=Roster!$D403,FALSE),"",IF(OR(IF(Setup!$C$15&lt;=Setup!$C$16,AND(MONTH(H403)&gt;=Setup!$C$15,MONTH(H403)&lt;=Setup!$C$16),OR(MONTH(H403)&gt;=Setup!$C$15,MONTH(H403)&lt;=Setup!$C$16)),IF(Setup!$C$15&lt;=Setup!$C$16,AND(MONTH(WORKDAY(H403,-(Setup!$C$13+Setup!$G$26),Setup!$C$39:$C$50))&gt;=Setup!$C$15,MONTH(WORKDAY(H403,-(Setup!$C$13+Setup!$G$26),Setup!$C$39:$C$50))&lt;=Setup!$C$16),OR(MONTH(WORKDAY(H403,-(Setup!$C$13+Setup!$G$26),Setup!$C$39:$C$50))&gt;=Setup!$C$15,MONTH(WORKDAY(H403,-(Setup!$C$13+Setup!$G$26),Setup!$C$39:$C$50))&lt;=Setup!$C$16))),WORKDAY(H403,-(Setup!$C$13+Setup!$G$26+Setup!$C$14),Setup!$C$39:$C$50),WORKDAY(H403,-(Setup!$C$13+Setup!$G$26),Setup!$C$39:$C$50))+(398*100+7)/10000000)))</f>
        <v/>
      </c>
      <c r="Y403" t="str">
        <f>IF(I403="","",IF(I403&lt;Setup!$C$5-Setup!$C$6,"",IF(IF(ISNUMBER(Roster!$D403),Setup!$C$27&lt;=Roster!$D403,FALSE),"",IF(OR(IF(Setup!$C$15&lt;=Setup!$C$16,AND(MONTH(I403)&gt;=Setup!$C$15,MONTH(I403)&lt;=Setup!$C$16),OR(MONTH(I403)&gt;=Setup!$C$15,MONTH(I403)&lt;=Setup!$C$16)),IF(Setup!$C$15&lt;=Setup!$C$16,AND(MONTH(WORKDAY(I403,-(Setup!$C$13+Setup!$G$27),Setup!$C$39:$C$50))&gt;=Setup!$C$15,MONTH(WORKDAY(I403,-(Setup!$C$13+Setup!$G$27),Setup!$C$39:$C$50))&lt;=Setup!$C$16),OR(MONTH(WORKDAY(I403,-(Setup!$C$13+Setup!$G$27),Setup!$C$39:$C$50))&gt;=Setup!$C$15,MONTH(WORKDAY(I403,-(Setup!$C$13+Setup!$G$27),Setup!$C$39:$C$50))&lt;=Setup!$C$16))),WORKDAY(I403,-(Setup!$C$13+Setup!$G$27+Setup!$C$14),Setup!$C$39:$C$50),WORKDAY(I403,-(Setup!$C$13+Setup!$G$27),Setup!$C$39:$C$50))+(398*100+8)/10000000)))</f>
        <v/>
      </c>
      <c r="Z403" t="str">
        <f>IF(J403="","",IF(J403&lt;Setup!$C$5-Setup!$C$6,"",IF(IF(ISNUMBER(Roster!$D403),Setup!$C$28&lt;=Roster!$D403,FALSE),"",IF(OR(IF(Setup!$C$15&lt;=Setup!$C$16,AND(MONTH(J403)&gt;=Setup!$C$15,MONTH(J403)&lt;=Setup!$C$16),OR(MONTH(J403)&gt;=Setup!$C$15,MONTH(J403)&lt;=Setup!$C$16)),IF(Setup!$C$15&lt;=Setup!$C$16,AND(MONTH(WORKDAY(J403,-(Setup!$C$13+Setup!$G$28),Setup!$C$39:$C$50))&gt;=Setup!$C$15,MONTH(WORKDAY(J403,-(Setup!$C$13+Setup!$G$28),Setup!$C$39:$C$50))&lt;=Setup!$C$16),OR(MONTH(WORKDAY(J403,-(Setup!$C$13+Setup!$G$28),Setup!$C$39:$C$50))&gt;=Setup!$C$15,MONTH(WORKDAY(J403,-(Setup!$C$13+Setup!$G$28),Setup!$C$39:$C$50))&lt;=Setup!$C$16))),WORKDAY(J403,-(Setup!$C$13+Setup!$G$28+Setup!$C$14),Setup!$C$39:$C$50),WORKDAY(J403,-(Setup!$C$13+Setup!$G$28),Setup!$C$39:$C$50))+(398*100+9)/10000000)))</f>
        <v/>
      </c>
      <c r="AA403" t="str">
        <f>IF(K403="","",IF(K403&lt;Setup!$C$5-Setup!$C$6,"",IF(IF(ISNUMBER(Roster!$D403),Setup!$C$29&lt;=Roster!$D403,FALSE),"",IF(OR(IF(Setup!$C$15&lt;=Setup!$C$16,AND(MONTH(K403)&gt;=Setup!$C$15,MONTH(K403)&lt;=Setup!$C$16),OR(MONTH(K403)&gt;=Setup!$C$15,MONTH(K403)&lt;=Setup!$C$16)),IF(Setup!$C$15&lt;=Setup!$C$16,AND(MONTH(WORKDAY(K403,-(Setup!$C$13+Setup!$G$29),Setup!$C$39:$C$50))&gt;=Setup!$C$15,MONTH(WORKDAY(K403,-(Setup!$C$13+Setup!$G$29),Setup!$C$39:$C$50))&lt;=Setup!$C$16),OR(MONTH(WORKDAY(K403,-(Setup!$C$13+Setup!$G$29),Setup!$C$39:$C$50))&gt;=Setup!$C$15,MONTH(WORKDAY(K403,-(Setup!$C$13+Setup!$G$29),Setup!$C$39:$C$50))&lt;=Setup!$C$16))),WORKDAY(K403,-(Setup!$C$13+Setup!$G$29+Setup!$C$14),Setup!$C$39:$C$50),WORKDAY(K403,-(Setup!$C$13+Setup!$G$29),Setup!$C$39:$C$50))+(398*100+10)/10000000)))</f>
        <v/>
      </c>
      <c r="AB403" t="str">
        <f>IF(L403="","",IF(L403&lt;Setup!$C$5-Setup!$C$6,"",IF(IF(ISNUMBER(Roster!$D403),Setup!$C$30&lt;=Roster!$D403,FALSE),"",IF(OR(IF(Setup!$C$15&lt;=Setup!$C$16,AND(MONTH(L403)&gt;=Setup!$C$15,MONTH(L403)&lt;=Setup!$C$16),OR(MONTH(L403)&gt;=Setup!$C$15,MONTH(L403)&lt;=Setup!$C$16)),IF(Setup!$C$15&lt;=Setup!$C$16,AND(MONTH(WORKDAY(L403,-(Setup!$C$13+Setup!$G$30),Setup!$C$39:$C$50))&gt;=Setup!$C$15,MONTH(WORKDAY(L403,-(Setup!$C$13+Setup!$G$30),Setup!$C$39:$C$50))&lt;=Setup!$C$16),OR(MONTH(WORKDAY(L403,-(Setup!$C$13+Setup!$G$30),Setup!$C$39:$C$50))&gt;=Setup!$C$15,MONTH(WORKDAY(L403,-(Setup!$C$13+Setup!$G$30),Setup!$C$39:$C$50))&lt;=Setup!$C$16))),WORKDAY(L403,-(Setup!$C$13+Setup!$G$30+Setup!$C$14),Setup!$C$39:$C$50),WORKDAY(L403,-(Setup!$C$13+Setup!$G$30),Setup!$C$39:$C$50))+(398*100+11)/10000000)))</f>
        <v/>
      </c>
      <c r="AC403" t="str">
        <f>IF(M403="","",IF(M403&lt;Setup!$C$5-Setup!$C$6,"",IF(IF(ISNUMBER(Roster!$D403),Setup!$C$31&lt;=Roster!$D403,FALSE),"",IF(OR(IF(Setup!$C$15&lt;=Setup!$C$16,AND(MONTH(M403)&gt;=Setup!$C$15,MONTH(M403)&lt;=Setup!$C$16),OR(MONTH(M403)&gt;=Setup!$C$15,MONTH(M403)&lt;=Setup!$C$16)),IF(Setup!$C$15&lt;=Setup!$C$16,AND(MONTH(WORKDAY(M403,-(Setup!$C$13+Setup!$G$31),Setup!$C$39:$C$50))&gt;=Setup!$C$15,MONTH(WORKDAY(M403,-(Setup!$C$13+Setup!$G$31),Setup!$C$39:$C$50))&lt;=Setup!$C$16),OR(MONTH(WORKDAY(M403,-(Setup!$C$13+Setup!$G$31),Setup!$C$39:$C$50))&gt;=Setup!$C$15,MONTH(WORKDAY(M403,-(Setup!$C$13+Setup!$G$31),Setup!$C$39:$C$50))&lt;=Setup!$C$16))),WORKDAY(M403,-(Setup!$C$13+Setup!$G$31+Setup!$C$14),Setup!$C$39:$C$50),WORKDAY(M403,-(Setup!$C$13+Setup!$G$31),Setup!$C$39:$C$50))+(398*100+12)/10000000)))</f>
        <v/>
      </c>
      <c r="AD403" t="str">
        <f>IF(N403="","",IF(N403&lt;Setup!$C$5-Setup!$C$6,"",IF(IF(ISNUMBER(Roster!$D403),Setup!$C$32&lt;=Roster!$D403,FALSE),"",IF(OR(IF(Setup!$C$15&lt;=Setup!$C$16,AND(MONTH(N403)&gt;=Setup!$C$15,MONTH(N403)&lt;=Setup!$C$16),OR(MONTH(N403)&gt;=Setup!$C$15,MONTH(N403)&lt;=Setup!$C$16)),IF(Setup!$C$15&lt;=Setup!$C$16,AND(MONTH(WORKDAY(N403,-(Setup!$C$13+Setup!$G$32),Setup!$C$39:$C$50))&gt;=Setup!$C$15,MONTH(WORKDAY(N403,-(Setup!$C$13+Setup!$G$32),Setup!$C$39:$C$50))&lt;=Setup!$C$16),OR(MONTH(WORKDAY(N403,-(Setup!$C$13+Setup!$G$32),Setup!$C$39:$C$50))&gt;=Setup!$C$15,MONTH(WORKDAY(N403,-(Setup!$C$13+Setup!$G$32),Setup!$C$39:$C$50))&lt;=Setup!$C$16))),WORKDAY(N403,-(Setup!$C$13+Setup!$G$32+Setup!$C$14),Setup!$C$39:$C$50),WORKDAY(N403,-(Setup!$C$13+Setup!$G$32),Setup!$C$39:$C$50))+(398*100+13)/10000000)))</f>
        <v/>
      </c>
      <c r="AE403" t="str">
        <f>IF(O403="","",IF(O403&lt;Setup!$C$5-Setup!$C$6,"",IF(IF(ISNUMBER(Roster!$D403),Setup!$C$33&lt;=Roster!$D403,FALSE),"",IF(OR(IF(Setup!$C$15&lt;=Setup!$C$16,AND(MONTH(O403)&gt;=Setup!$C$15,MONTH(O403)&lt;=Setup!$C$16),OR(MONTH(O403)&gt;=Setup!$C$15,MONTH(O403)&lt;=Setup!$C$16)),IF(Setup!$C$15&lt;=Setup!$C$16,AND(MONTH(WORKDAY(O403,-(Setup!$C$13+Setup!$G$33),Setup!$C$39:$C$50))&gt;=Setup!$C$15,MONTH(WORKDAY(O403,-(Setup!$C$13+Setup!$G$33),Setup!$C$39:$C$50))&lt;=Setup!$C$16),OR(MONTH(WORKDAY(O403,-(Setup!$C$13+Setup!$G$33),Setup!$C$39:$C$50))&gt;=Setup!$C$15,MONTH(WORKDAY(O403,-(Setup!$C$13+Setup!$G$33),Setup!$C$39:$C$50))&lt;=Setup!$C$16))),WORKDAY(O403,-(Setup!$C$13+Setup!$G$33+Setup!$C$14),Setup!$C$39:$C$50),WORKDAY(O403,-(Setup!$C$13+Setup!$G$33),Setup!$C$39:$C$50))+(398*100+14)/10000000)))</f>
        <v/>
      </c>
      <c r="AF403" t="str">
        <f>IF(P403="","",IF(P403&lt;Setup!$C$5-Setup!$C$6,"",IF(IF(ISNUMBER(Roster!$D403),Setup!$C$34&lt;=Roster!$D403,FALSE),"",IF(OR(IF(Setup!$C$15&lt;=Setup!$C$16,AND(MONTH(P403)&gt;=Setup!$C$15,MONTH(P403)&lt;=Setup!$C$16),OR(MONTH(P403)&gt;=Setup!$C$15,MONTH(P403)&lt;=Setup!$C$16)),IF(Setup!$C$15&lt;=Setup!$C$16,AND(MONTH(WORKDAY(P403,-(Setup!$C$13+Setup!$G$34),Setup!$C$39:$C$50))&gt;=Setup!$C$15,MONTH(WORKDAY(P403,-(Setup!$C$13+Setup!$G$34),Setup!$C$39:$C$50))&lt;=Setup!$C$16),OR(MONTH(WORKDAY(P403,-(Setup!$C$13+Setup!$G$34),Setup!$C$39:$C$50))&gt;=Setup!$C$15,MONTH(WORKDAY(P403,-(Setup!$C$13+Setup!$G$34),Setup!$C$39:$C$50))&lt;=Setup!$C$16))),WORKDAY(P403,-(Setup!$C$13+Setup!$G$34+Setup!$C$14),Setup!$C$39:$C$50),WORKDAY(P403,-(Setup!$C$13+Setup!$G$34),Setup!$C$39:$C$50))+(398*100+15)/10000000)))</f>
        <v/>
      </c>
      <c r="AH403" t="str">
        <f t="shared" si="46"/>
        <v/>
      </c>
      <c r="AI403" t="str">
        <f t="shared" si="47"/>
        <v/>
      </c>
      <c r="AP403" t="str">
        <f>IF(ISNUMBER(Roster!$B403),MAX(1,YEAR(Setup!$C$5)-YEAR(Roster!$B403)+IF(EDATE(Roster!$B403,12*(YEAR(Setup!$C$5)-YEAR(Roster!$B403)))&lt;Setup!$C$5,1,0)),"")</f>
        <v/>
      </c>
      <c r="AQ403" s="32" t="str">
        <f>IF(AP403="","",EDATE(Roster!$B403,12*AP403))</f>
        <v/>
      </c>
      <c r="AR403" t="str">
        <f>IF(AQ403="","",IF(AQ403&lt;DATE(YEAR(Setup!$C$5)+1,MONTH(Setup!$C$5),DAY(Setup!$C$5)),AQ403+398/1000,""))</f>
        <v/>
      </c>
      <c r="AS403" t="str">
        <f t="shared" si="48"/>
        <v/>
      </c>
      <c r="AT403" t="str">
        <f>IF(AS403="","",IF(ISNUMBER(Roster!$D403),Roster!$D403&gt;=AP403,FALSE))</f>
        <v/>
      </c>
      <c r="AU403" t="str">
        <f t="shared" si="49"/>
        <v/>
      </c>
      <c r="AV403" t="str">
        <f ca="1">IF(398&gt;$AV$2,"",SMALL($AR$6:$AR$505,398))</f>
        <v/>
      </c>
      <c r="AW403" t="str">
        <f t="shared" ca="1" si="50"/>
        <v/>
      </c>
    </row>
    <row r="404" spans="2:49" x14ac:dyDescent="0.2">
      <c r="B404" s="32" t="str">
        <f>IF(AND(ISNUMBER(Roster!$B404),Setup!$B$20="Yes",ISNUMBER(Setup!$C$20)),EDATE(Roster!$B404,12*Setup!$C$20),"")</f>
        <v/>
      </c>
      <c r="C404" s="32" t="str">
        <f>IF(AND(ISNUMBER(Roster!$B404),Setup!$B$21="Yes",ISNUMBER(Setup!$C$21)),EDATE(Roster!$B404,12*Setup!$C$21),"")</f>
        <v/>
      </c>
      <c r="D404" s="32" t="str">
        <f>IF(AND(ISNUMBER(Roster!$B404),Setup!$B$22="Yes",ISNUMBER(Setup!$C$22)),EDATE(Roster!$B404,12*Setup!$C$22),"")</f>
        <v/>
      </c>
      <c r="E404" s="32" t="str">
        <f>IF(AND(ISNUMBER(Roster!$B404),Setup!$B$23="Yes",ISNUMBER(Setup!$C$23)),EDATE(Roster!$B404,12*Setup!$C$23),"")</f>
        <v/>
      </c>
      <c r="F404" s="32" t="str">
        <f>IF(AND(ISNUMBER(Roster!$B404),Setup!$B$24="Yes",ISNUMBER(Setup!$C$24)),EDATE(Roster!$B404,12*Setup!$C$24),"")</f>
        <v/>
      </c>
      <c r="G404" s="32" t="str">
        <f>IF(AND(ISNUMBER(Roster!$B404),Setup!$B$25="Yes",ISNUMBER(Setup!$C$25)),EDATE(Roster!$B404,12*Setup!$C$25),"")</f>
        <v/>
      </c>
      <c r="H404" s="32" t="str">
        <f>IF(AND(ISNUMBER(Roster!$B404),Setup!$B$26="Yes",ISNUMBER(Setup!$C$26)),EDATE(Roster!$B404,12*Setup!$C$26),"")</f>
        <v/>
      </c>
      <c r="I404" s="32" t="str">
        <f>IF(AND(ISNUMBER(Roster!$B404),Setup!$B$27="Yes",ISNUMBER(Setup!$C$27)),EDATE(Roster!$B404,12*Setup!$C$27),"")</f>
        <v/>
      </c>
      <c r="J404" s="32" t="str">
        <f>IF(AND(ISNUMBER(Roster!$B404),Setup!$B$28="Yes",ISNUMBER(Setup!$C$28)),EDATE(Roster!$B404,12*Setup!$C$28),"")</f>
        <v/>
      </c>
      <c r="K404" s="32" t="str">
        <f>IF(AND(ISNUMBER(Roster!$B404),Setup!$B$29="Yes",ISNUMBER(Setup!$C$29)),EDATE(Roster!$B404,12*Setup!$C$29),"")</f>
        <v/>
      </c>
      <c r="L404" s="32" t="str">
        <f>IF(AND(ISNUMBER(Roster!$B404),Setup!$B$30="Yes",ISNUMBER(Setup!$C$30)),EDATE(Roster!$B404,12*Setup!$C$30),"")</f>
        <v/>
      </c>
      <c r="M404" s="32" t="str">
        <f>IF(AND(ISNUMBER(Roster!$B404),Setup!$B$31="Yes",ISNUMBER(Setup!$C$31)),EDATE(Roster!$B404,12*Setup!$C$31),"")</f>
        <v/>
      </c>
      <c r="N404" s="32" t="str">
        <f>IF(AND(ISNUMBER(Roster!$B404),Setup!$B$32="Yes",ISNUMBER(Setup!$C$32)),EDATE(Roster!$B404,12*Setup!$C$32),"")</f>
        <v/>
      </c>
      <c r="O404" s="32" t="str">
        <f>IF(AND(ISNUMBER(Roster!$B404),Setup!$B$33="Yes",ISNUMBER(Setup!$C$33)),EDATE(Roster!$B404,12*Setup!$C$33),"")</f>
        <v/>
      </c>
      <c r="P404" s="32" t="str">
        <f>IF(AND(ISNUMBER(Roster!$B404),Setup!$B$34="Yes",ISNUMBER(Setup!$C$34)),EDATE(Roster!$B404,12*Setup!$C$34),"")</f>
        <v/>
      </c>
      <c r="R404" t="str">
        <f>IF(B404="","",IF(B404&lt;Setup!$C$5-Setup!$C$6,"",IF(IF(ISNUMBER(Roster!$D404),Setup!$C$20&lt;=Roster!$D404,FALSE),"",IF(OR(IF(Setup!$C$15&lt;=Setup!$C$16,AND(MONTH(B404)&gt;=Setup!$C$15,MONTH(B404)&lt;=Setup!$C$16),OR(MONTH(B404)&gt;=Setup!$C$15,MONTH(B404)&lt;=Setup!$C$16)),IF(Setup!$C$15&lt;=Setup!$C$16,AND(MONTH(WORKDAY(B404,-(Setup!$C$13+Setup!$G$20),Setup!$C$39:$C$50))&gt;=Setup!$C$15,MONTH(WORKDAY(B404,-(Setup!$C$13+Setup!$G$20),Setup!$C$39:$C$50))&lt;=Setup!$C$16),OR(MONTH(WORKDAY(B404,-(Setup!$C$13+Setup!$G$20),Setup!$C$39:$C$50))&gt;=Setup!$C$15,MONTH(WORKDAY(B404,-(Setup!$C$13+Setup!$G$20),Setup!$C$39:$C$50))&lt;=Setup!$C$16))),WORKDAY(B404,-(Setup!$C$13+Setup!$G$20+Setup!$C$14),Setup!$C$39:$C$50),WORKDAY(B404,-(Setup!$C$13+Setup!$G$20),Setup!$C$39:$C$50))+(399*100+1)/10000000)))</f>
        <v/>
      </c>
      <c r="S404" t="str">
        <f>IF(C404="","",IF(C404&lt;Setup!$C$5-Setup!$C$6,"",IF(IF(ISNUMBER(Roster!$D404),Setup!$C$21&lt;=Roster!$D404,FALSE),"",IF(OR(IF(Setup!$C$15&lt;=Setup!$C$16,AND(MONTH(C404)&gt;=Setup!$C$15,MONTH(C404)&lt;=Setup!$C$16),OR(MONTH(C404)&gt;=Setup!$C$15,MONTH(C404)&lt;=Setup!$C$16)),IF(Setup!$C$15&lt;=Setup!$C$16,AND(MONTH(WORKDAY(C404,-(Setup!$C$13+Setup!$G$21),Setup!$C$39:$C$50))&gt;=Setup!$C$15,MONTH(WORKDAY(C404,-(Setup!$C$13+Setup!$G$21),Setup!$C$39:$C$50))&lt;=Setup!$C$16),OR(MONTH(WORKDAY(C404,-(Setup!$C$13+Setup!$G$21),Setup!$C$39:$C$50))&gt;=Setup!$C$15,MONTH(WORKDAY(C404,-(Setup!$C$13+Setup!$G$21),Setup!$C$39:$C$50))&lt;=Setup!$C$16))),WORKDAY(C404,-(Setup!$C$13+Setup!$G$21+Setup!$C$14),Setup!$C$39:$C$50),WORKDAY(C404,-(Setup!$C$13+Setup!$G$21),Setup!$C$39:$C$50))+(399*100+2)/10000000)))</f>
        <v/>
      </c>
      <c r="T404" t="str">
        <f>IF(D404="","",IF(D404&lt;Setup!$C$5-Setup!$C$6,"",IF(IF(ISNUMBER(Roster!$D404),Setup!$C$22&lt;=Roster!$D404,FALSE),"",IF(OR(IF(Setup!$C$15&lt;=Setup!$C$16,AND(MONTH(D404)&gt;=Setup!$C$15,MONTH(D404)&lt;=Setup!$C$16),OR(MONTH(D404)&gt;=Setup!$C$15,MONTH(D404)&lt;=Setup!$C$16)),IF(Setup!$C$15&lt;=Setup!$C$16,AND(MONTH(WORKDAY(D404,-(Setup!$C$13+Setup!$G$22),Setup!$C$39:$C$50))&gt;=Setup!$C$15,MONTH(WORKDAY(D404,-(Setup!$C$13+Setup!$G$22),Setup!$C$39:$C$50))&lt;=Setup!$C$16),OR(MONTH(WORKDAY(D404,-(Setup!$C$13+Setup!$G$22),Setup!$C$39:$C$50))&gt;=Setup!$C$15,MONTH(WORKDAY(D404,-(Setup!$C$13+Setup!$G$22),Setup!$C$39:$C$50))&lt;=Setup!$C$16))),WORKDAY(D404,-(Setup!$C$13+Setup!$G$22+Setup!$C$14),Setup!$C$39:$C$50),WORKDAY(D404,-(Setup!$C$13+Setup!$G$22),Setup!$C$39:$C$50))+(399*100+3)/10000000)))</f>
        <v/>
      </c>
      <c r="U404" t="str">
        <f>IF(E404="","",IF(E404&lt;Setup!$C$5-Setup!$C$6,"",IF(IF(ISNUMBER(Roster!$D404),Setup!$C$23&lt;=Roster!$D404,FALSE),"",IF(OR(IF(Setup!$C$15&lt;=Setup!$C$16,AND(MONTH(E404)&gt;=Setup!$C$15,MONTH(E404)&lt;=Setup!$C$16),OR(MONTH(E404)&gt;=Setup!$C$15,MONTH(E404)&lt;=Setup!$C$16)),IF(Setup!$C$15&lt;=Setup!$C$16,AND(MONTH(WORKDAY(E404,-(Setup!$C$13+Setup!$G$23),Setup!$C$39:$C$50))&gt;=Setup!$C$15,MONTH(WORKDAY(E404,-(Setup!$C$13+Setup!$G$23),Setup!$C$39:$C$50))&lt;=Setup!$C$16),OR(MONTH(WORKDAY(E404,-(Setup!$C$13+Setup!$G$23),Setup!$C$39:$C$50))&gt;=Setup!$C$15,MONTH(WORKDAY(E404,-(Setup!$C$13+Setup!$G$23),Setup!$C$39:$C$50))&lt;=Setup!$C$16))),WORKDAY(E404,-(Setup!$C$13+Setup!$G$23+Setup!$C$14),Setup!$C$39:$C$50),WORKDAY(E404,-(Setup!$C$13+Setup!$G$23),Setup!$C$39:$C$50))+(399*100+4)/10000000)))</f>
        <v/>
      </c>
      <c r="V404" t="str">
        <f>IF(F404="","",IF(F404&lt;Setup!$C$5-Setup!$C$6,"",IF(IF(ISNUMBER(Roster!$D404),Setup!$C$24&lt;=Roster!$D404,FALSE),"",IF(OR(IF(Setup!$C$15&lt;=Setup!$C$16,AND(MONTH(F404)&gt;=Setup!$C$15,MONTH(F404)&lt;=Setup!$C$16),OR(MONTH(F404)&gt;=Setup!$C$15,MONTH(F404)&lt;=Setup!$C$16)),IF(Setup!$C$15&lt;=Setup!$C$16,AND(MONTH(WORKDAY(F404,-(Setup!$C$13+Setup!$G$24),Setup!$C$39:$C$50))&gt;=Setup!$C$15,MONTH(WORKDAY(F404,-(Setup!$C$13+Setup!$G$24),Setup!$C$39:$C$50))&lt;=Setup!$C$16),OR(MONTH(WORKDAY(F404,-(Setup!$C$13+Setup!$G$24),Setup!$C$39:$C$50))&gt;=Setup!$C$15,MONTH(WORKDAY(F404,-(Setup!$C$13+Setup!$G$24),Setup!$C$39:$C$50))&lt;=Setup!$C$16))),WORKDAY(F404,-(Setup!$C$13+Setup!$G$24+Setup!$C$14),Setup!$C$39:$C$50),WORKDAY(F404,-(Setup!$C$13+Setup!$G$24),Setup!$C$39:$C$50))+(399*100+5)/10000000)))</f>
        <v/>
      </c>
      <c r="W404" t="str">
        <f>IF(G404="","",IF(G404&lt;Setup!$C$5-Setup!$C$6,"",IF(IF(ISNUMBER(Roster!$D404),Setup!$C$25&lt;=Roster!$D404,FALSE),"",IF(OR(IF(Setup!$C$15&lt;=Setup!$C$16,AND(MONTH(G404)&gt;=Setup!$C$15,MONTH(G404)&lt;=Setup!$C$16),OR(MONTH(G404)&gt;=Setup!$C$15,MONTH(G404)&lt;=Setup!$C$16)),IF(Setup!$C$15&lt;=Setup!$C$16,AND(MONTH(WORKDAY(G404,-(Setup!$C$13+Setup!$G$25),Setup!$C$39:$C$50))&gt;=Setup!$C$15,MONTH(WORKDAY(G404,-(Setup!$C$13+Setup!$G$25),Setup!$C$39:$C$50))&lt;=Setup!$C$16),OR(MONTH(WORKDAY(G404,-(Setup!$C$13+Setup!$G$25),Setup!$C$39:$C$50))&gt;=Setup!$C$15,MONTH(WORKDAY(G404,-(Setup!$C$13+Setup!$G$25),Setup!$C$39:$C$50))&lt;=Setup!$C$16))),WORKDAY(G404,-(Setup!$C$13+Setup!$G$25+Setup!$C$14),Setup!$C$39:$C$50),WORKDAY(G404,-(Setup!$C$13+Setup!$G$25),Setup!$C$39:$C$50))+(399*100+6)/10000000)))</f>
        <v/>
      </c>
      <c r="X404" t="str">
        <f>IF(H404="","",IF(H404&lt;Setup!$C$5-Setup!$C$6,"",IF(IF(ISNUMBER(Roster!$D404),Setup!$C$26&lt;=Roster!$D404,FALSE),"",IF(OR(IF(Setup!$C$15&lt;=Setup!$C$16,AND(MONTH(H404)&gt;=Setup!$C$15,MONTH(H404)&lt;=Setup!$C$16),OR(MONTH(H404)&gt;=Setup!$C$15,MONTH(H404)&lt;=Setup!$C$16)),IF(Setup!$C$15&lt;=Setup!$C$16,AND(MONTH(WORKDAY(H404,-(Setup!$C$13+Setup!$G$26),Setup!$C$39:$C$50))&gt;=Setup!$C$15,MONTH(WORKDAY(H404,-(Setup!$C$13+Setup!$G$26),Setup!$C$39:$C$50))&lt;=Setup!$C$16),OR(MONTH(WORKDAY(H404,-(Setup!$C$13+Setup!$G$26),Setup!$C$39:$C$50))&gt;=Setup!$C$15,MONTH(WORKDAY(H404,-(Setup!$C$13+Setup!$G$26),Setup!$C$39:$C$50))&lt;=Setup!$C$16))),WORKDAY(H404,-(Setup!$C$13+Setup!$G$26+Setup!$C$14),Setup!$C$39:$C$50),WORKDAY(H404,-(Setup!$C$13+Setup!$G$26),Setup!$C$39:$C$50))+(399*100+7)/10000000)))</f>
        <v/>
      </c>
      <c r="Y404" t="str">
        <f>IF(I404="","",IF(I404&lt;Setup!$C$5-Setup!$C$6,"",IF(IF(ISNUMBER(Roster!$D404),Setup!$C$27&lt;=Roster!$D404,FALSE),"",IF(OR(IF(Setup!$C$15&lt;=Setup!$C$16,AND(MONTH(I404)&gt;=Setup!$C$15,MONTH(I404)&lt;=Setup!$C$16),OR(MONTH(I404)&gt;=Setup!$C$15,MONTH(I404)&lt;=Setup!$C$16)),IF(Setup!$C$15&lt;=Setup!$C$16,AND(MONTH(WORKDAY(I404,-(Setup!$C$13+Setup!$G$27),Setup!$C$39:$C$50))&gt;=Setup!$C$15,MONTH(WORKDAY(I404,-(Setup!$C$13+Setup!$G$27),Setup!$C$39:$C$50))&lt;=Setup!$C$16),OR(MONTH(WORKDAY(I404,-(Setup!$C$13+Setup!$G$27),Setup!$C$39:$C$50))&gt;=Setup!$C$15,MONTH(WORKDAY(I404,-(Setup!$C$13+Setup!$G$27),Setup!$C$39:$C$50))&lt;=Setup!$C$16))),WORKDAY(I404,-(Setup!$C$13+Setup!$G$27+Setup!$C$14),Setup!$C$39:$C$50),WORKDAY(I404,-(Setup!$C$13+Setup!$G$27),Setup!$C$39:$C$50))+(399*100+8)/10000000)))</f>
        <v/>
      </c>
      <c r="Z404" t="str">
        <f>IF(J404="","",IF(J404&lt;Setup!$C$5-Setup!$C$6,"",IF(IF(ISNUMBER(Roster!$D404),Setup!$C$28&lt;=Roster!$D404,FALSE),"",IF(OR(IF(Setup!$C$15&lt;=Setup!$C$16,AND(MONTH(J404)&gt;=Setup!$C$15,MONTH(J404)&lt;=Setup!$C$16),OR(MONTH(J404)&gt;=Setup!$C$15,MONTH(J404)&lt;=Setup!$C$16)),IF(Setup!$C$15&lt;=Setup!$C$16,AND(MONTH(WORKDAY(J404,-(Setup!$C$13+Setup!$G$28),Setup!$C$39:$C$50))&gt;=Setup!$C$15,MONTH(WORKDAY(J404,-(Setup!$C$13+Setup!$G$28),Setup!$C$39:$C$50))&lt;=Setup!$C$16),OR(MONTH(WORKDAY(J404,-(Setup!$C$13+Setup!$G$28),Setup!$C$39:$C$50))&gt;=Setup!$C$15,MONTH(WORKDAY(J404,-(Setup!$C$13+Setup!$G$28),Setup!$C$39:$C$50))&lt;=Setup!$C$16))),WORKDAY(J404,-(Setup!$C$13+Setup!$G$28+Setup!$C$14),Setup!$C$39:$C$50),WORKDAY(J404,-(Setup!$C$13+Setup!$G$28),Setup!$C$39:$C$50))+(399*100+9)/10000000)))</f>
        <v/>
      </c>
      <c r="AA404" t="str">
        <f>IF(K404="","",IF(K404&lt;Setup!$C$5-Setup!$C$6,"",IF(IF(ISNUMBER(Roster!$D404),Setup!$C$29&lt;=Roster!$D404,FALSE),"",IF(OR(IF(Setup!$C$15&lt;=Setup!$C$16,AND(MONTH(K404)&gt;=Setup!$C$15,MONTH(K404)&lt;=Setup!$C$16),OR(MONTH(K404)&gt;=Setup!$C$15,MONTH(K404)&lt;=Setup!$C$16)),IF(Setup!$C$15&lt;=Setup!$C$16,AND(MONTH(WORKDAY(K404,-(Setup!$C$13+Setup!$G$29),Setup!$C$39:$C$50))&gt;=Setup!$C$15,MONTH(WORKDAY(K404,-(Setup!$C$13+Setup!$G$29),Setup!$C$39:$C$50))&lt;=Setup!$C$16),OR(MONTH(WORKDAY(K404,-(Setup!$C$13+Setup!$G$29),Setup!$C$39:$C$50))&gt;=Setup!$C$15,MONTH(WORKDAY(K404,-(Setup!$C$13+Setup!$G$29),Setup!$C$39:$C$50))&lt;=Setup!$C$16))),WORKDAY(K404,-(Setup!$C$13+Setup!$G$29+Setup!$C$14),Setup!$C$39:$C$50),WORKDAY(K404,-(Setup!$C$13+Setup!$G$29),Setup!$C$39:$C$50))+(399*100+10)/10000000)))</f>
        <v/>
      </c>
      <c r="AB404" t="str">
        <f>IF(L404="","",IF(L404&lt;Setup!$C$5-Setup!$C$6,"",IF(IF(ISNUMBER(Roster!$D404),Setup!$C$30&lt;=Roster!$D404,FALSE),"",IF(OR(IF(Setup!$C$15&lt;=Setup!$C$16,AND(MONTH(L404)&gt;=Setup!$C$15,MONTH(L404)&lt;=Setup!$C$16),OR(MONTH(L404)&gt;=Setup!$C$15,MONTH(L404)&lt;=Setup!$C$16)),IF(Setup!$C$15&lt;=Setup!$C$16,AND(MONTH(WORKDAY(L404,-(Setup!$C$13+Setup!$G$30),Setup!$C$39:$C$50))&gt;=Setup!$C$15,MONTH(WORKDAY(L404,-(Setup!$C$13+Setup!$G$30),Setup!$C$39:$C$50))&lt;=Setup!$C$16),OR(MONTH(WORKDAY(L404,-(Setup!$C$13+Setup!$G$30),Setup!$C$39:$C$50))&gt;=Setup!$C$15,MONTH(WORKDAY(L404,-(Setup!$C$13+Setup!$G$30),Setup!$C$39:$C$50))&lt;=Setup!$C$16))),WORKDAY(L404,-(Setup!$C$13+Setup!$G$30+Setup!$C$14),Setup!$C$39:$C$50),WORKDAY(L404,-(Setup!$C$13+Setup!$G$30),Setup!$C$39:$C$50))+(399*100+11)/10000000)))</f>
        <v/>
      </c>
      <c r="AC404" t="str">
        <f>IF(M404="","",IF(M404&lt;Setup!$C$5-Setup!$C$6,"",IF(IF(ISNUMBER(Roster!$D404),Setup!$C$31&lt;=Roster!$D404,FALSE),"",IF(OR(IF(Setup!$C$15&lt;=Setup!$C$16,AND(MONTH(M404)&gt;=Setup!$C$15,MONTH(M404)&lt;=Setup!$C$16),OR(MONTH(M404)&gt;=Setup!$C$15,MONTH(M404)&lt;=Setup!$C$16)),IF(Setup!$C$15&lt;=Setup!$C$16,AND(MONTH(WORKDAY(M404,-(Setup!$C$13+Setup!$G$31),Setup!$C$39:$C$50))&gt;=Setup!$C$15,MONTH(WORKDAY(M404,-(Setup!$C$13+Setup!$G$31),Setup!$C$39:$C$50))&lt;=Setup!$C$16),OR(MONTH(WORKDAY(M404,-(Setup!$C$13+Setup!$G$31),Setup!$C$39:$C$50))&gt;=Setup!$C$15,MONTH(WORKDAY(M404,-(Setup!$C$13+Setup!$G$31),Setup!$C$39:$C$50))&lt;=Setup!$C$16))),WORKDAY(M404,-(Setup!$C$13+Setup!$G$31+Setup!$C$14),Setup!$C$39:$C$50),WORKDAY(M404,-(Setup!$C$13+Setup!$G$31),Setup!$C$39:$C$50))+(399*100+12)/10000000)))</f>
        <v/>
      </c>
      <c r="AD404" t="str">
        <f>IF(N404="","",IF(N404&lt;Setup!$C$5-Setup!$C$6,"",IF(IF(ISNUMBER(Roster!$D404),Setup!$C$32&lt;=Roster!$D404,FALSE),"",IF(OR(IF(Setup!$C$15&lt;=Setup!$C$16,AND(MONTH(N404)&gt;=Setup!$C$15,MONTH(N404)&lt;=Setup!$C$16),OR(MONTH(N404)&gt;=Setup!$C$15,MONTH(N404)&lt;=Setup!$C$16)),IF(Setup!$C$15&lt;=Setup!$C$16,AND(MONTH(WORKDAY(N404,-(Setup!$C$13+Setup!$G$32),Setup!$C$39:$C$50))&gt;=Setup!$C$15,MONTH(WORKDAY(N404,-(Setup!$C$13+Setup!$G$32),Setup!$C$39:$C$50))&lt;=Setup!$C$16),OR(MONTH(WORKDAY(N404,-(Setup!$C$13+Setup!$G$32),Setup!$C$39:$C$50))&gt;=Setup!$C$15,MONTH(WORKDAY(N404,-(Setup!$C$13+Setup!$G$32),Setup!$C$39:$C$50))&lt;=Setup!$C$16))),WORKDAY(N404,-(Setup!$C$13+Setup!$G$32+Setup!$C$14),Setup!$C$39:$C$50),WORKDAY(N404,-(Setup!$C$13+Setup!$G$32),Setup!$C$39:$C$50))+(399*100+13)/10000000)))</f>
        <v/>
      </c>
      <c r="AE404" t="str">
        <f>IF(O404="","",IF(O404&lt;Setup!$C$5-Setup!$C$6,"",IF(IF(ISNUMBER(Roster!$D404),Setup!$C$33&lt;=Roster!$D404,FALSE),"",IF(OR(IF(Setup!$C$15&lt;=Setup!$C$16,AND(MONTH(O404)&gt;=Setup!$C$15,MONTH(O404)&lt;=Setup!$C$16),OR(MONTH(O404)&gt;=Setup!$C$15,MONTH(O404)&lt;=Setup!$C$16)),IF(Setup!$C$15&lt;=Setup!$C$16,AND(MONTH(WORKDAY(O404,-(Setup!$C$13+Setup!$G$33),Setup!$C$39:$C$50))&gt;=Setup!$C$15,MONTH(WORKDAY(O404,-(Setup!$C$13+Setup!$G$33),Setup!$C$39:$C$50))&lt;=Setup!$C$16),OR(MONTH(WORKDAY(O404,-(Setup!$C$13+Setup!$G$33),Setup!$C$39:$C$50))&gt;=Setup!$C$15,MONTH(WORKDAY(O404,-(Setup!$C$13+Setup!$G$33),Setup!$C$39:$C$50))&lt;=Setup!$C$16))),WORKDAY(O404,-(Setup!$C$13+Setup!$G$33+Setup!$C$14),Setup!$C$39:$C$50),WORKDAY(O404,-(Setup!$C$13+Setup!$G$33),Setup!$C$39:$C$50))+(399*100+14)/10000000)))</f>
        <v/>
      </c>
      <c r="AF404" t="str">
        <f>IF(P404="","",IF(P404&lt;Setup!$C$5-Setup!$C$6,"",IF(IF(ISNUMBER(Roster!$D404),Setup!$C$34&lt;=Roster!$D404,FALSE),"",IF(OR(IF(Setup!$C$15&lt;=Setup!$C$16,AND(MONTH(P404)&gt;=Setup!$C$15,MONTH(P404)&lt;=Setup!$C$16),OR(MONTH(P404)&gt;=Setup!$C$15,MONTH(P404)&lt;=Setup!$C$16)),IF(Setup!$C$15&lt;=Setup!$C$16,AND(MONTH(WORKDAY(P404,-(Setup!$C$13+Setup!$G$34),Setup!$C$39:$C$50))&gt;=Setup!$C$15,MONTH(WORKDAY(P404,-(Setup!$C$13+Setup!$G$34),Setup!$C$39:$C$50))&lt;=Setup!$C$16),OR(MONTH(WORKDAY(P404,-(Setup!$C$13+Setup!$G$34),Setup!$C$39:$C$50))&gt;=Setup!$C$15,MONTH(WORKDAY(P404,-(Setup!$C$13+Setup!$G$34),Setup!$C$39:$C$50))&lt;=Setup!$C$16))),WORKDAY(P404,-(Setup!$C$13+Setup!$G$34+Setup!$C$14),Setup!$C$39:$C$50),WORKDAY(P404,-(Setup!$C$13+Setup!$G$34),Setup!$C$39:$C$50))+(399*100+15)/10000000)))</f>
        <v/>
      </c>
      <c r="AH404" t="str">
        <f t="shared" si="46"/>
        <v/>
      </c>
      <c r="AI404" t="str">
        <f t="shared" si="47"/>
        <v/>
      </c>
      <c r="AP404" t="str">
        <f>IF(ISNUMBER(Roster!$B404),MAX(1,YEAR(Setup!$C$5)-YEAR(Roster!$B404)+IF(EDATE(Roster!$B404,12*(YEAR(Setup!$C$5)-YEAR(Roster!$B404)))&lt;Setup!$C$5,1,0)),"")</f>
        <v/>
      </c>
      <c r="AQ404" s="32" t="str">
        <f>IF(AP404="","",EDATE(Roster!$B404,12*AP404))</f>
        <v/>
      </c>
      <c r="AR404" t="str">
        <f>IF(AQ404="","",IF(AQ404&lt;DATE(YEAR(Setup!$C$5)+1,MONTH(Setup!$C$5),DAY(Setup!$C$5)),AQ404+399/1000,""))</f>
        <v/>
      </c>
      <c r="AS404" t="str">
        <f t="shared" si="48"/>
        <v/>
      </c>
      <c r="AT404" t="str">
        <f>IF(AS404="","",IF(ISNUMBER(Roster!$D404),Roster!$D404&gt;=AP404,FALSE))</f>
        <v/>
      </c>
      <c r="AU404" t="str">
        <f t="shared" si="49"/>
        <v/>
      </c>
      <c r="AV404" t="str">
        <f ca="1">IF(399&gt;$AV$2,"",SMALL($AR$6:$AR$505,399))</f>
        <v/>
      </c>
      <c r="AW404" t="str">
        <f t="shared" ca="1" si="50"/>
        <v/>
      </c>
    </row>
    <row r="405" spans="2:49" x14ac:dyDescent="0.2">
      <c r="B405" s="32" t="str">
        <f>IF(AND(ISNUMBER(Roster!$B405),Setup!$B$20="Yes",ISNUMBER(Setup!$C$20)),EDATE(Roster!$B405,12*Setup!$C$20),"")</f>
        <v/>
      </c>
      <c r="C405" s="32" t="str">
        <f>IF(AND(ISNUMBER(Roster!$B405),Setup!$B$21="Yes",ISNUMBER(Setup!$C$21)),EDATE(Roster!$B405,12*Setup!$C$21),"")</f>
        <v/>
      </c>
      <c r="D405" s="32" t="str">
        <f>IF(AND(ISNUMBER(Roster!$B405),Setup!$B$22="Yes",ISNUMBER(Setup!$C$22)),EDATE(Roster!$B405,12*Setup!$C$22),"")</f>
        <v/>
      </c>
      <c r="E405" s="32" t="str">
        <f>IF(AND(ISNUMBER(Roster!$B405),Setup!$B$23="Yes",ISNUMBER(Setup!$C$23)),EDATE(Roster!$B405,12*Setup!$C$23),"")</f>
        <v/>
      </c>
      <c r="F405" s="32" t="str">
        <f>IF(AND(ISNUMBER(Roster!$B405),Setup!$B$24="Yes",ISNUMBER(Setup!$C$24)),EDATE(Roster!$B405,12*Setup!$C$24),"")</f>
        <v/>
      </c>
      <c r="G405" s="32" t="str">
        <f>IF(AND(ISNUMBER(Roster!$B405),Setup!$B$25="Yes",ISNUMBER(Setup!$C$25)),EDATE(Roster!$B405,12*Setup!$C$25),"")</f>
        <v/>
      </c>
      <c r="H405" s="32" t="str">
        <f>IF(AND(ISNUMBER(Roster!$B405),Setup!$B$26="Yes",ISNUMBER(Setup!$C$26)),EDATE(Roster!$B405,12*Setup!$C$26),"")</f>
        <v/>
      </c>
      <c r="I405" s="32" t="str">
        <f>IF(AND(ISNUMBER(Roster!$B405),Setup!$B$27="Yes",ISNUMBER(Setup!$C$27)),EDATE(Roster!$B405,12*Setup!$C$27),"")</f>
        <v/>
      </c>
      <c r="J405" s="32" t="str">
        <f>IF(AND(ISNUMBER(Roster!$B405),Setup!$B$28="Yes",ISNUMBER(Setup!$C$28)),EDATE(Roster!$B405,12*Setup!$C$28),"")</f>
        <v/>
      </c>
      <c r="K405" s="32" t="str">
        <f>IF(AND(ISNUMBER(Roster!$B405),Setup!$B$29="Yes",ISNUMBER(Setup!$C$29)),EDATE(Roster!$B405,12*Setup!$C$29),"")</f>
        <v/>
      </c>
      <c r="L405" s="32" t="str">
        <f>IF(AND(ISNUMBER(Roster!$B405),Setup!$B$30="Yes",ISNUMBER(Setup!$C$30)),EDATE(Roster!$B405,12*Setup!$C$30),"")</f>
        <v/>
      </c>
      <c r="M405" s="32" t="str">
        <f>IF(AND(ISNUMBER(Roster!$B405),Setup!$B$31="Yes",ISNUMBER(Setup!$C$31)),EDATE(Roster!$B405,12*Setup!$C$31),"")</f>
        <v/>
      </c>
      <c r="N405" s="32" t="str">
        <f>IF(AND(ISNUMBER(Roster!$B405),Setup!$B$32="Yes",ISNUMBER(Setup!$C$32)),EDATE(Roster!$B405,12*Setup!$C$32),"")</f>
        <v/>
      </c>
      <c r="O405" s="32" t="str">
        <f>IF(AND(ISNUMBER(Roster!$B405),Setup!$B$33="Yes",ISNUMBER(Setup!$C$33)),EDATE(Roster!$B405,12*Setup!$C$33),"")</f>
        <v/>
      </c>
      <c r="P405" s="32" t="str">
        <f>IF(AND(ISNUMBER(Roster!$B405),Setup!$B$34="Yes",ISNUMBER(Setup!$C$34)),EDATE(Roster!$B405,12*Setup!$C$34),"")</f>
        <v/>
      </c>
      <c r="R405" t="str">
        <f>IF(B405="","",IF(B405&lt;Setup!$C$5-Setup!$C$6,"",IF(IF(ISNUMBER(Roster!$D405),Setup!$C$20&lt;=Roster!$D405,FALSE),"",IF(OR(IF(Setup!$C$15&lt;=Setup!$C$16,AND(MONTH(B405)&gt;=Setup!$C$15,MONTH(B405)&lt;=Setup!$C$16),OR(MONTH(B405)&gt;=Setup!$C$15,MONTH(B405)&lt;=Setup!$C$16)),IF(Setup!$C$15&lt;=Setup!$C$16,AND(MONTH(WORKDAY(B405,-(Setup!$C$13+Setup!$G$20),Setup!$C$39:$C$50))&gt;=Setup!$C$15,MONTH(WORKDAY(B405,-(Setup!$C$13+Setup!$G$20),Setup!$C$39:$C$50))&lt;=Setup!$C$16),OR(MONTH(WORKDAY(B405,-(Setup!$C$13+Setup!$G$20),Setup!$C$39:$C$50))&gt;=Setup!$C$15,MONTH(WORKDAY(B405,-(Setup!$C$13+Setup!$G$20),Setup!$C$39:$C$50))&lt;=Setup!$C$16))),WORKDAY(B405,-(Setup!$C$13+Setup!$G$20+Setup!$C$14),Setup!$C$39:$C$50),WORKDAY(B405,-(Setup!$C$13+Setup!$G$20),Setup!$C$39:$C$50))+(400*100+1)/10000000)))</f>
        <v/>
      </c>
      <c r="S405" t="str">
        <f>IF(C405="","",IF(C405&lt;Setup!$C$5-Setup!$C$6,"",IF(IF(ISNUMBER(Roster!$D405),Setup!$C$21&lt;=Roster!$D405,FALSE),"",IF(OR(IF(Setup!$C$15&lt;=Setup!$C$16,AND(MONTH(C405)&gt;=Setup!$C$15,MONTH(C405)&lt;=Setup!$C$16),OR(MONTH(C405)&gt;=Setup!$C$15,MONTH(C405)&lt;=Setup!$C$16)),IF(Setup!$C$15&lt;=Setup!$C$16,AND(MONTH(WORKDAY(C405,-(Setup!$C$13+Setup!$G$21),Setup!$C$39:$C$50))&gt;=Setup!$C$15,MONTH(WORKDAY(C405,-(Setup!$C$13+Setup!$G$21),Setup!$C$39:$C$50))&lt;=Setup!$C$16),OR(MONTH(WORKDAY(C405,-(Setup!$C$13+Setup!$G$21),Setup!$C$39:$C$50))&gt;=Setup!$C$15,MONTH(WORKDAY(C405,-(Setup!$C$13+Setup!$G$21),Setup!$C$39:$C$50))&lt;=Setup!$C$16))),WORKDAY(C405,-(Setup!$C$13+Setup!$G$21+Setup!$C$14),Setup!$C$39:$C$50),WORKDAY(C405,-(Setup!$C$13+Setup!$G$21),Setup!$C$39:$C$50))+(400*100+2)/10000000)))</f>
        <v/>
      </c>
      <c r="T405" t="str">
        <f>IF(D405="","",IF(D405&lt;Setup!$C$5-Setup!$C$6,"",IF(IF(ISNUMBER(Roster!$D405),Setup!$C$22&lt;=Roster!$D405,FALSE),"",IF(OR(IF(Setup!$C$15&lt;=Setup!$C$16,AND(MONTH(D405)&gt;=Setup!$C$15,MONTH(D405)&lt;=Setup!$C$16),OR(MONTH(D405)&gt;=Setup!$C$15,MONTH(D405)&lt;=Setup!$C$16)),IF(Setup!$C$15&lt;=Setup!$C$16,AND(MONTH(WORKDAY(D405,-(Setup!$C$13+Setup!$G$22),Setup!$C$39:$C$50))&gt;=Setup!$C$15,MONTH(WORKDAY(D405,-(Setup!$C$13+Setup!$G$22),Setup!$C$39:$C$50))&lt;=Setup!$C$16),OR(MONTH(WORKDAY(D405,-(Setup!$C$13+Setup!$G$22),Setup!$C$39:$C$50))&gt;=Setup!$C$15,MONTH(WORKDAY(D405,-(Setup!$C$13+Setup!$G$22),Setup!$C$39:$C$50))&lt;=Setup!$C$16))),WORKDAY(D405,-(Setup!$C$13+Setup!$G$22+Setup!$C$14),Setup!$C$39:$C$50),WORKDAY(D405,-(Setup!$C$13+Setup!$G$22),Setup!$C$39:$C$50))+(400*100+3)/10000000)))</f>
        <v/>
      </c>
      <c r="U405" t="str">
        <f>IF(E405="","",IF(E405&lt;Setup!$C$5-Setup!$C$6,"",IF(IF(ISNUMBER(Roster!$D405),Setup!$C$23&lt;=Roster!$D405,FALSE),"",IF(OR(IF(Setup!$C$15&lt;=Setup!$C$16,AND(MONTH(E405)&gt;=Setup!$C$15,MONTH(E405)&lt;=Setup!$C$16),OR(MONTH(E405)&gt;=Setup!$C$15,MONTH(E405)&lt;=Setup!$C$16)),IF(Setup!$C$15&lt;=Setup!$C$16,AND(MONTH(WORKDAY(E405,-(Setup!$C$13+Setup!$G$23),Setup!$C$39:$C$50))&gt;=Setup!$C$15,MONTH(WORKDAY(E405,-(Setup!$C$13+Setup!$G$23),Setup!$C$39:$C$50))&lt;=Setup!$C$16),OR(MONTH(WORKDAY(E405,-(Setup!$C$13+Setup!$G$23),Setup!$C$39:$C$50))&gt;=Setup!$C$15,MONTH(WORKDAY(E405,-(Setup!$C$13+Setup!$G$23),Setup!$C$39:$C$50))&lt;=Setup!$C$16))),WORKDAY(E405,-(Setup!$C$13+Setup!$G$23+Setup!$C$14),Setup!$C$39:$C$50),WORKDAY(E405,-(Setup!$C$13+Setup!$G$23),Setup!$C$39:$C$50))+(400*100+4)/10000000)))</f>
        <v/>
      </c>
      <c r="V405" t="str">
        <f>IF(F405="","",IF(F405&lt;Setup!$C$5-Setup!$C$6,"",IF(IF(ISNUMBER(Roster!$D405),Setup!$C$24&lt;=Roster!$D405,FALSE),"",IF(OR(IF(Setup!$C$15&lt;=Setup!$C$16,AND(MONTH(F405)&gt;=Setup!$C$15,MONTH(F405)&lt;=Setup!$C$16),OR(MONTH(F405)&gt;=Setup!$C$15,MONTH(F405)&lt;=Setup!$C$16)),IF(Setup!$C$15&lt;=Setup!$C$16,AND(MONTH(WORKDAY(F405,-(Setup!$C$13+Setup!$G$24),Setup!$C$39:$C$50))&gt;=Setup!$C$15,MONTH(WORKDAY(F405,-(Setup!$C$13+Setup!$G$24),Setup!$C$39:$C$50))&lt;=Setup!$C$16),OR(MONTH(WORKDAY(F405,-(Setup!$C$13+Setup!$G$24),Setup!$C$39:$C$50))&gt;=Setup!$C$15,MONTH(WORKDAY(F405,-(Setup!$C$13+Setup!$G$24),Setup!$C$39:$C$50))&lt;=Setup!$C$16))),WORKDAY(F405,-(Setup!$C$13+Setup!$G$24+Setup!$C$14),Setup!$C$39:$C$50),WORKDAY(F405,-(Setup!$C$13+Setup!$G$24),Setup!$C$39:$C$50))+(400*100+5)/10000000)))</f>
        <v/>
      </c>
      <c r="W405" t="str">
        <f>IF(G405="","",IF(G405&lt;Setup!$C$5-Setup!$C$6,"",IF(IF(ISNUMBER(Roster!$D405),Setup!$C$25&lt;=Roster!$D405,FALSE),"",IF(OR(IF(Setup!$C$15&lt;=Setup!$C$16,AND(MONTH(G405)&gt;=Setup!$C$15,MONTH(G405)&lt;=Setup!$C$16),OR(MONTH(G405)&gt;=Setup!$C$15,MONTH(G405)&lt;=Setup!$C$16)),IF(Setup!$C$15&lt;=Setup!$C$16,AND(MONTH(WORKDAY(G405,-(Setup!$C$13+Setup!$G$25),Setup!$C$39:$C$50))&gt;=Setup!$C$15,MONTH(WORKDAY(G405,-(Setup!$C$13+Setup!$G$25),Setup!$C$39:$C$50))&lt;=Setup!$C$16),OR(MONTH(WORKDAY(G405,-(Setup!$C$13+Setup!$G$25),Setup!$C$39:$C$50))&gt;=Setup!$C$15,MONTH(WORKDAY(G405,-(Setup!$C$13+Setup!$G$25),Setup!$C$39:$C$50))&lt;=Setup!$C$16))),WORKDAY(G405,-(Setup!$C$13+Setup!$G$25+Setup!$C$14),Setup!$C$39:$C$50),WORKDAY(G405,-(Setup!$C$13+Setup!$G$25),Setup!$C$39:$C$50))+(400*100+6)/10000000)))</f>
        <v/>
      </c>
      <c r="X405" t="str">
        <f>IF(H405="","",IF(H405&lt;Setup!$C$5-Setup!$C$6,"",IF(IF(ISNUMBER(Roster!$D405),Setup!$C$26&lt;=Roster!$D405,FALSE),"",IF(OR(IF(Setup!$C$15&lt;=Setup!$C$16,AND(MONTH(H405)&gt;=Setup!$C$15,MONTH(H405)&lt;=Setup!$C$16),OR(MONTH(H405)&gt;=Setup!$C$15,MONTH(H405)&lt;=Setup!$C$16)),IF(Setup!$C$15&lt;=Setup!$C$16,AND(MONTH(WORKDAY(H405,-(Setup!$C$13+Setup!$G$26),Setup!$C$39:$C$50))&gt;=Setup!$C$15,MONTH(WORKDAY(H405,-(Setup!$C$13+Setup!$G$26),Setup!$C$39:$C$50))&lt;=Setup!$C$16),OR(MONTH(WORKDAY(H405,-(Setup!$C$13+Setup!$G$26),Setup!$C$39:$C$50))&gt;=Setup!$C$15,MONTH(WORKDAY(H405,-(Setup!$C$13+Setup!$G$26),Setup!$C$39:$C$50))&lt;=Setup!$C$16))),WORKDAY(H405,-(Setup!$C$13+Setup!$G$26+Setup!$C$14),Setup!$C$39:$C$50),WORKDAY(H405,-(Setup!$C$13+Setup!$G$26),Setup!$C$39:$C$50))+(400*100+7)/10000000)))</f>
        <v/>
      </c>
      <c r="Y405" t="str">
        <f>IF(I405="","",IF(I405&lt;Setup!$C$5-Setup!$C$6,"",IF(IF(ISNUMBER(Roster!$D405),Setup!$C$27&lt;=Roster!$D405,FALSE),"",IF(OR(IF(Setup!$C$15&lt;=Setup!$C$16,AND(MONTH(I405)&gt;=Setup!$C$15,MONTH(I405)&lt;=Setup!$C$16),OR(MONTH(I405)&gt;=Setup!$C$15,MONTH(I405)&lt;=Setup!$C$16)),IF(Setup!$C$15&lt;=Setup!$C$16,AND(MONTH(WORKDAY(I405,-(Setup!$C$13+Setup!$G$27),Setup!$C$39:$C$50))&gt;=Setup!$C$15,MONTH(WORKDAY(I405,-(Setup!$C$13+Setup!$G$27),Setup!$C$39:$C$50))&lt;=Setup!$C$16),OR(MONTH(WORKDAY(I405,-(Setup!$C$13+Setup!$G$27),Setup!$C$39:$C$50))&gt;=Setup!$C$15,MONTH(WORKDAY(I405,-(Setup!$C$13+Setup!$G$27),Setup!$C$39:$C$50))&lt;=Setup!$C$16))),WORKDAY(I405,-(Setup!$C$13+Setup!$G$27+Setup!$C$14),Setup!$C$39:$C$50),WORKDAY(I405,-(Setup!$C$13+Setup!$G$27),Setup!$C$39:$C$50))+(400*100+8)/10000000)))</f>
        <v/>
      </c>
      <c r="Z405" t="str">
        <f>IF(J405="","",IF(J405&lt;Setup!$C$5-Setup!$C$6,"",IF(IF(ISNUMBER(Roster!$D405),Setup!$C$28&lt;=Roster!$D405,FALSE),"",IF(OR(IF(Setup!$C$15&lt;=Setup!$C$16,AND(MONTH(J405)&gt;=Setup!$C$15,MONTH(J405)&lt;=Setup!$C$16),OR(MONTH(J405)&gt;=Setup!$C$15,MONTH(J405)&lt;=Setup!$C$16)),IF(Setup!$C$15&lt;=Setup!$C$16,AND(MONTH(WORKDAY(J405,-(Setup!$C$13+Setup!$G$28),Setup!$C$39:$C$50))&gt;=Setup!$C$15,MONTH(WORKDAY(J405,-(Setup!$C$13+Setup!$G$28),Setup!$C$39:$C$50))&lt;=Setup!$C$16),OR(MONTH(WORKDAY(J405,-(Setup!$C$13+Setup!$G$28),Setup!$C$39:$C$50))&gt;=Setup!$C$15,MONTH(WORKDAY(J405,-(Setup!$C$13+Setup!$G$28),Setup!$C$39:$C$50))&lt;=Setup!$C$16))),WORKDAY(J405,-(Setup!$C$13+Setup!$G$28+Setup!$C$14),Setup!$C$39:$C$50),WORKDAY(J405,-(Setup!$C$13+Setup!$G$28),Setup!$C$39:$C$50))+(400*100+9)/10000000)))</f>
        <v/>
      </c>
      <c r="AA405" t="str">
        <f>IF(K405="","",IF(K405&lt;Setup!$C$5-Setup!$C$6,"",IF(IF(ISNUMBER(Roster!$D405),Setup!$C$29&lt;=Roster!$D405,FALSE),"",IF(OR(IF(Setup!$C$15&lt;=Setup!$C$16,AND(MONTH(K405)&gt;=Setup!$C$15,MONTH(K405)&lt;=Setup!$C$16),OR(MONTH(K405)&gt;=Setup!$C$15,MONTH(K405)&lt;=Setup!$C$16)),IF(Setup!$C$15&lt;=Setup!$C$16,AND(MONTH(WORKDAY(K405,-(Setup!$C$13+Setup!$G$29),Setup!$C$39:$C$50))&gt;=Setup!$C$15,MONTH(WORKDAY(K405,-(Setup!$C$13+Setup!$G$29),Setup!$C$39:$C$50))&lt;=Setup!$C$16),OR(MONTH(WORKDAY(K405,-(Setup!$C$13+Setup!$G$29),Setup!$C$39:$C$50))&gt;=Setup!$C$15,MONTH(WORKDAY(K405,-(Setup!$C$13+Setup!$G$29),Setup!$C$39:$C$50))&lt;=Setup!$C$16))),WORKDAY(K405,-(Setup!$C$13+Setup!$G$29+Setup!$C$14),Setup!$C$39:$C$50),WORKDAY(K405,-(Setup!$C$13+Setup!$G$29),Setup!$C$39:$C$50))+(400*100+10)/10000000)))</f>
        <v/>
      </c>
      <c r="AB405" t="str">
        <f>IF(L405="","",IF(L405&lt;Setup!$C$5-Setup!$C$6,"",IF(IF(ISNUMBER(Roster!$D405),Setup!$C$30&lt;=Roster!$D405,FALSE),"",IF(OR(IF(Setup!$C$15&lt;=Setup!$C$16,AND(MONTH(L405)&gt;=Setup!$C$15,MONTH(L405)&lt;=Setup!$C$16),OR(MONTH(L405)&gt;=Setup!$C$15,MONTH(L405)&lt;=Setup!$C$16)),IF(Setup!$C$15&lt;=Setup!$C$16,AND(MONTH(WORKDAY(L405,-(Setup!$C$13+Setup!$G$30),Setup!$C$39:$C$50))&gt;=Setup!$C$15,MONTH(WORKDAY(L405,-(Setup!$C$13+Setup!$G$30),Setup!$C$39:$C$50))&lt;=Setup!$C$16),OR(MONTH(WORKDAY(L405,-(Setup!$C$13+Setup!$G$30),Setup!$C$39:$C$50))&gt;=Setup!$C$15,MONTH(WORKDAY(L405,-(Setup!$C$13+Setup!$G$30),Setup!$C$39:$C$50))&lt;=Setup!$C$16))),WORKDAY(L405,-(Setup!$C$13+Setup!$G$30+Setup!$C$14),Setup!$C$39:$C$50),WORKDAY(L405,-(Setup!$C$13+Setup!$G$30),Setup!$C$39:$C$50))+(400*100+11)/10000000)))</f>
        <v/>
      </c>
      <c r="AC405" t="str">
        <f>IF(M405="","",IF(M405&lt;Setup!$C$5-Setup!$C$6,"",IF(IF(ISNUMBER(Roster!$D405),Setup!$C$31&lt;=Roster!$D405,FALSE),"",IF(OR(IF(Setup!$C$15&lt;=Setup!$C$16,AND(MONTH(M405)&gt;=Setup!$C$15,MONTH(M405)&lt;=Setup!$C$16),OR(MONTH(M405)&gt;=Setup!$C$15,MONTH(M405)&lt;=Setup!$C$16)),IF(Setup!$C$15&lt;=Setup!$C$16,AND(MONTH(WORKDAY(M405,-(Setup!$C$13+Setup!$G$31),Setup!$C$39:$C$50))&gt;=Setup!$C$15,MONTH(WORKDAY(M405,-(Setup!$C$13+Setup!$G$31),Setup!$C$39:$C$50))&lt;=Setup!$C$16),OR(MONTH(WORKDAY(M405,-(Setup!$C$13+Setup!$G$31),Setup!$C$39:$C$50))&gt;=Setup!$C$15,MONTH(WORKDAY(M405,-(Setup!$C$13+Setup!$G$31),Setup!$C$39:$C$50))&lt;=Setup!$C$16))),WORKDAY(M405,-(Setup!$C$13+Setup!$G$31+Setup!$C$14),Setup!$C$39:$C$50),WORKDAY(M405,-(Setup!$C$13+Setup!$G$31),Setup!$C$39:$C$50))+(400*100+12)/10000000)))</f>
        <v/>
      </c>
      <c r="AD405" t="str">
        <f>IF(N405="","",IF(N405&lt;Setup!$C$5-Setup!$C$6,"",IF(IF(ISNUMBER(Roster!$D405),Setup!$C$32&lt;=Roster!$D405,FALSE),"",IF(OR(IF(Setup!$C$15&lt;=Setup!$C$16,AND(MONTH(N405)&gt;=Setup!$C$15,MONTH(N405)&lt;=Setup!$C$16),OR(MONTH(N405)&gt;=Setup!$C$15,MONTH(N405)&lt;=Setup!$C$16)),IF(Setup!$C$15&lt;=Setup!$C$16,AND(MONTH(WORKDAY(N405,-(Setup!$C$13+Setup!$G$32),Setup!$C$39:$C$50))&gt;=Setup!$C$15,MONTH(WORKDAY(N405,-(Setup!$C$13+Setup!$G$32),Setup!$C$39:$C$50))&lt;=Setup!$C$16),OR(MONTH(WORKDAY(N405,-(Setup!$C$13+Setup!$G$32),Setup!$C$39:$C$50))&gt;=Setup!$C$15,MONTH(WORKDAY(N405,-(Setup!$C$13+Setup!$G$32),Setup!$C$39:$C$50))&lt;=Setup!$C$16))),WORKDAY(N405,-(Setup!$C$13+Setup!$G$32+Setup!$C$14),Setup!$C$39:$C$50),WORKDAY(N405,-(Setup!$C$13+Setup!$G$32),Setup!$C$39:$C$50))+(400*100+13)/10000000)))</f>
        <v/>
      </c>
      <c r="AE405" t="str">
        <f>IF(O405="","",IF(O405&lt;Setup!$C$5-Setup!$C$6,"",IF(IF(ISNUMBER(Roster!$D405),Setup!$C$33&lt;=Roster!$D405,FALSE),"",IF(OR(IF(Setup!$C$15&lt;=Setup!$C$16,AND(MONTH(O405)&gt;=Setup!$C$15,MONTH(O405)&lt;=Setup!$C$16),OR(MONTH(O405)&gt;=Setup!$C$15,MONTH(O405)&lt;=Setup!$C$16)),IF(Setup!$C$15&lt;=Setup!$C$16,AND(MONTH(WORKDAY(O405,-(Setup!$C$13+Setup!$G$33),Setup!$C$39:$C$50))&gt;=Setup!$C$15,MONTH(WORKDAY(O405,-(Setup!$C$13+Setup!$G$33),Setup!$C$39:$C$50))&lt;=Setup!$C$16),OR(MONTH(WORKDAY(O405,-(Setup!$C$13+Setup!$G$33),Setup!$C$39:$C$50))&gt;=Setup!$C$15,MONTH(WORKDAY(O405,-(Setup!$C$13+Setup!$G$33),Setup!$C$39:$C$50))&lt;=Setup!$C$16))),WORKDAY(O405,-(Setup!$C$13+Setup!$G$33+Setup!$C$14),Setup!$C$39:$C$50),WORKDAY(O405,-(Setup!$C$13+Setup!$G$33),Setup!$C$39:$C$50))+(400*100+14)/10000000)))</f>
        <v/>
      </c>
      <c r="AF405" t="str">
        <f>IF(P405="","",IF(P405&lt;Setup!$C$5-Setup!$C$6,"",IF(IF(ISNUMBER(Roster!$D405),Setup!$C$34&lt;=Roster!$D405,FALSE),"",IF(OR(IF(Setup!$C$15&lt;=Setup!$C$16,AND(MONTH(P405)&gt;=Setup!$C$15,MONTH(P405)&lt;=Setup!$C$16),OR(MONTH(P405)&gt;=Setup!$C$15,MONTH(P405)&lt;=Setup!$C$16)),IF(Setup!$C$15&lt;=Setup!$C$16,AND(MONTH(WORKDAY(P405,-(Setup!$C$13+Setup!$G$34),Setup!$C$39:$C$50))&gt;=Setup!$C$15,MONTH(WORKDAY(P405,-(Setup!$C$13+Setup!$G$34),Setup!$C$39:$C$50))&lt;=Setup!$C$16),OR(MONTH(WORKDAY(P405,-(Setup!$C$13+Setup!$G$34),Setup!$C$39:$C$50))&gt;=Setup!$C$15,MONTH(WORKDAY(P405,-(Setup!$C$13+Setup!$G$34),Setup!$C$39:$C$50))&lt;=Setup!$C$16))),WORKDAY(P405,-(Setup!$C$13+Setup!$G$34+Setup!$C$14),Setup!$C$39:$C$50),WORKDAY(P405,-(Setup!$C$13+Setup!$G$34),Setup!$C$39:$C$50))+(400*100+15)/10000000)))</f>
        <v/>
      </c>
      <c r="AH405" t="str">
        <f t="shared" si="46"/>
        <v/>
      </c>
      <c r="AI405" t="str">
        <f t="shared" si="47"/>
        <v/>
      </c>
      <c r="AP405" t="str">
        <f>IF(ISNUMBER(Roster!$B405),MAX(1,YEAR(Setup!$C$5)-YEAR(Roster!$B405)+IF(EDATE(Roster!$B405,12*(YEAR(Setup!$C$5)-YEAR(Roster!$B405)))&lt;Setup!$C$5,1,0)),"")</f>
        <v/>
      </c>
      <c r="AQ405" s="32" t="str">
        <f>IF(AP405="","",EDATE(Roster!$B405,12*AP405))</f>
        <v/>
      </c>
      <c r="AR405" t="str">
        <f>IF(AQ405="","",IF(AQ405&lt;DATE(YEAR(Setup!$C$5)+1,MONTH(Setup!$C$5),DAY(Setup!$C$5)),AQ405+400/1000,""))</f>
        <v/>
      </c>
      <c r="AS405" t="str">
        <f t="shared" si="48"/>
        <v/>
      </c>
      <c r="AT405" t="str">
        <f>IF(AS405="","",IF(ISNUMBER(Roster!$D405),Roster!$D405&gt;=AP405,FALSE))</f>
        <v/>
      </c>
      <c r="AU405" t="str">
        <f t="shared" si="49"/>
        <v/>
      </c>
      <c r="AV405" t="str">
        <f ca="1">IF(400&gt;$AV$2,"",SMALL($AR$6:$AR$505,400))</f>
        <v/>
      </c>
      <c r="AW405" t="str">
        <f t="shared" ca="1" si="50"/>
        <v/>
      </c>
    </row>
    <row r="406" spans="2:49" x14ac:dyDescent="0.2">
      <c r="B406" s="32" t="str">
        <f>IF(AND(ISNUMBER(Roster!$B406),Setup!$B$20="Yes",ISNUMBER(Setup!$C$20)),EDATE(Roster!$B406,12*Setup!$C$20),"")</f>
        <v/>
      </c>
      <c r="C406" s="32" t="str">
        <f>IF(AND(ISNUMBER(Roster!$B406),Setup!$B$21="Yes",ISNUMBER(Setup!$C$21)),EDATE(Roster!$B406,12*Setup!$C$21),"")</f>
        <v/>
      </c>
      <c r="D406" s="32" t="str">
        <f>IF(AND(ISNUMBER(Roster!$B406),Setup!$B$22="Yes",ISNUMBER(Setup!$C$22)),EDATE(Roster!$B406,12*Setup!$C$22),"")</f>
        <v/>
      </c>
      <c r="E406" s="32" t="str">
        <f>IF(AND(ISNUMBER(Roster!$B406),Setup!$B$23="Yes",ISNUMBER(Setup!$C$23)),EDATE(Roster!$B406,12*Setup!$C$23),"")</f>
        <v/>
      </c>
      <c r="F406" s="32" t="str">
        <f>IF(AND(ISNUMBER(Roster!$B406),Setup!$B$24="Yes",ISNUMBER(Setup!$C$24)),EDATE(Roster!$B406,12*Setup!$C$24),"")</f>
        <v/>
      </c>
      <c r="G406" s="32" t="str">
        <f>IF(AND(ISNUMBER(Roster!$B406),Setup!$B$25="Yes",ISNUMBER(Setup!$C$25)),EDATE(Roster!$B406,12*Setup!$C$25),"")</f>
        <v/>
      </c>
      <c r="H406" s="32" t="str">
        <f>IF(AND(ISNUMBER(Roster!$B406),Setup!$B$26="Yes",ISNUMBER(Setup!$C$26)),EDATE(Roster!$B406,12*Setup!$C$26),"")</f>
        <v/>
      </c>
      <c r="I406" s="32" t="str">
        <f>IF(AND(ISNUMBER(Roster!$B406),Setup!$B$27="Yes",ISNUMBER(Setup!$C$27)),EDATE(Roster!$B406,12*Setup!$C$27),"")</f>
        <v/>
      </c>
      <c r="J406" s="32" t="str">
        <f>IF(AND(ISNUMBER(Roster!$B406),Setup!$B$28="Yes",ISNUMBER(Setup!$C$28)),EDATE(Roster!$B406,12*Setup!$C$28),"")</f>
        <v/>
      </c>
      <c r="K406" s="32" t="str">
        <f>IF(AND(ISNUMBER(Roster!$B406),Setup!$B$29="Yes",ISNUMBER(Setup!$C$29)),EDATE(Roster!$B406,12*Setup!$C$29),"")</f>
        <v/>
      </c>
      <c r="L406" s="32" t="str">
        <f>IF(AND(ISNUMBER(Roster!$B406),Setup!$B$30="Yes",ISNUMBER(Setup!$C$30)),EDATE(Roster!$B406,12*Setup!$C$30),"")</f>
        <v/>
      </c>
      <c r="M406" s="32" t="str">
        <f>IF(AND(ISNUMBER(Roster!$B406),Setup!$B$31="Yes",ISNUMBER(Setup!$C$31)),EDATE(Roster!$B406,12*Setup!$C$31),"")</f>
        <v/>
      </c>
      <c r="N406" s="32" t="str">
        <f>IF(AND(ISNUMBER(Roster!$B406),Setup!$B$32="Yes",ISNUMBER(Setup!$C$32)),EDATE(Roster!$B406,12*Setup!$C$32),"")</f>
        <v/>
      </c>
      <c r="O406" s="32" t="str">
        <f>IF(AND(ISNUMBER(Roster!$B406),Setup!$B$33="Yes",ISNUMBER(Setup!$C$33)),EDATE(Roster!$B406,12*Setup!$C$33),"")</f>
        <v/>
      </c>
      <c r="P406" s="32" t="str">
        <f>IF(AND(ISNUMBER(Roster!$B406),Setup!$B$34="Yes",ISNUMBER(Setup!$C$34)),EDATE(Roster!$B406,12*Setup!$C$34),"")</f>
        <v/>
      </c>
      <c r="R406" t="str">
        <f>IF(B406="","",IF(B406&lt;Setup!$C$5-Setup!$C$6,"",IF(IF(ISNUMBER(Roster!$D406),Setup!$C$20&lt;=Roster!$D406,FALSE),"",IF(OR(IF(Setup!$C$15&lt;=Setup!$C$16,AND(MONTH(B406)&gt;=Setup!$C$15,MONTH(B406)&lt;=Setup!$C$16),OR(MONTH(B406)&gt;=Setup!$C$15,MONTH(B406)&lt;=Setup!$C$16)),IF(Setup!$C$15&lt;=Setup!$C$16,AND(MONTH(WORKDAY(B406,-(Setup!$C$13+Setup!$G$20),Setup!$C$39:$C$50))&gt;=Setup!$C$15,MONTH(WORKDAY(B406,-(Setup!$C$13+Setup!$G$20),Setup!$C$39:$C$50))&lt;=Setup!$C$16),OR(MONTH(WORKDAY(B406,-(Setup!$C$13+Setup!$G$20),Setup!$C$39:$C$50))&gt;=Setup!$C$15,MONTH(WORKDAY(B406,-(Setup!$C$13+Setup!$G$20),Setup!$C$39:$C$50))&lt;=Setup!$C$16))),WORKDAY(B406,-(Setup!$C$13+Setup!$G$20+Setup!$C$14),Setup!$C$39:$C$50),WORKDAY(B406,-(Setup!$C$13+Setup!$G$20),Setup!$C$39:$C$50))+(401*100+1)/10000000)))</f>
        <v/>
      </c>
      <c r="S406" t="str">
        <f>IF(C406="","",IF(C406&lt;Setup!$C$5-Setup!$C$6,"",IF(IF(ISNUMBER(Roster!$D406),Setup!$C$21&lt;=Roster!$D406,FALSE),"",IF(OR(IF(Setup!$C$15&lt;=Setup!$C$16,AND(MONTH(C406)&gt;=Setup!$C$15,MONTH(C406)&lt;=Setup!$C$16),OR(MONTH(C406)&gt;=Setup!$C$15,MONTH(C406)&lt;=Setup!$C$16)),IF(Setup!$C$15&lt;=Setup!$C$16,AND(MONTH(WORKDAY(C406,-(Setup!$C$13+Setup!$G$21),Setup!$C$39:$C$50))&gt;=Setup!$C$15,MONTH(WORKDAY(C406,-(Setup!$C$13+Setup!$G$21),Setup!$C$39:$C$50))&lt;=Setup!$C$16),OR(MONTH(WORKDAY(C406,-(Setup!$C$13+Setup!$G$21),Setup!$C$39:$C$50))&gt;=Setup!$C$15,MONTH(WORKDAY(C406,-(Setup!$C$13+Setup!$G$21),Setup!$C$39:$C$50))&lt;=Setup!$C$16))),WORKDAY(C406,-(Setup!$C$13+Setup!$G$21+Setup!$C$14),Setup!$C$39:$C$50),WORKDAY(C406,-(Setup!$C$13+Setup!$G$21),Setup!$C$39:$C$50))+(401*100+2)/10000000)))</f>
        <v/>
      </c>
      <c r="T406" t="str">
        <f>IF(D406="","",IF(D406&lt;Setup!$C$5-Setup!$C$6,"",IF(IF(ISNUMBER(Roster!$D406),Setup!$C$22&lt;=Roster!$D406,FALSE),"",IF(OR(IF(Setup!$C$15&lt;=Setup!$C$16,AND(MONTH(D406)&gt;=Setup!$C$15,MONTH(D406)&lt;=Setup!$C$16),OR(MONTH(D406)&gt;=Setup!$C$15,MONTH(D406)&lt;=Setup!$C$16)),IF(Setup!$C$15&lt;=Setup!$C$16,AND(MONTH(WORKDAY(D406,-(Setup!$C$13+Setup!$G$22),Setup!$C$39:$C$50))&gt;=Setup!$C$15,MONTH(WORKDAY(D406,-(Setup!$C$13+Setup!$G$22),Setup!$C$39:$C$50))&lt;=Setup!$C$16),OR(MONTH(WORKDAY(D406,-(Setup!$C$13+Setup!$G$22),Setup!$C$39:$C$50))&gt;=Setup!$C$15,MONTH(WORKDAY(D406,-(Setup!$C$13+Setup!$G$22),Setup!$C$39:$C$50))&lt;=Setup!$C$16))),WORKDAY(D406,-(Setup!$C$13+Setup!$G$22+Setup!$C$14),Setup!$C$39:$C$50),WORKDAY(D406,-(Setup!$C$13+Setup!$G$22),Setup!$C$39:$C$50))+(401*100+3)/10000000)))</f>
        <v/>
      </c>
      <c r="U406" t="str">
        <f>IF(E406="","",IF(E406&lt;Setup!$C$5-Setup!$C$6,"",IF(IF(ISNUMBER(Roster!$D406),Setup!$C$23&lt;=Roster!$D406,FALSE),"",IF(OR(IF(Setup!$C$15&lt;=Setup!$C$16,AND(MONTH(E406)&gt;=Setup!$C$15,MONTH(E406)&lt;=Setup!$C$16),OR(MONTH(E406)&gt;=Setup!$C$15,MONTH(E406)&lt;=Setup!$C$16)),IF(Setup!$C$15&lt;=Setup!$C$16,AND(MONTH(WORKDAY(E406,-(Setup!$C$13+Setup!$G$23),Setup!$C$39:$C$50))&gt;=Setup!$C$15,MONTH(WORKDAY(E406,-(Setup!$C$13+Setup!$G$23),Setup!$C$39:$C$50))&lt;=Setup!$C$16),OR(MONTH(WORKDAY(E406,-(Setup!$C$13+Setup!$G$23),Setup!$C$39:$C$50))&gt;=Setup!$C$15,MONTH(WORKDAY(E406,-(Setup!$C$13+Setup!$G$23),Setup!$C$39:$C$50))&lt;=Setup!$C$16))),WORKDAY(E406,-(Setup!$C$13+Setup!$G$23+Setup!$C$14),Setup!$C$39:$C$50),WORKDAY(E406,-(Setup!$C$13+Setup!$G$23),Setup!$C$39:$C$50))+(401*100+4)/10000000)))</f>
        <v/>
      </c>
      <c r="V406" t="str">
        <f>IF(F406="","",IF(F406&lt;Setup!$C$5-Setup!$C$6,"",IF(IF(ISNUMBER(Roster!$D406),Setup!$C$24&lt;=Roster!$D406,FALSE),"",IF(OR(IF(Setup!$C$15&lt;=Setup!$C$16,AND(MONTH(F406)&gt;=Setup!$C$15,MONTH(F406)&lt;=Setup!$C$16),OR(MONTH(F406)&gt;=Setup!$C$15,MONTH(F406)&lt;=Setup!$C$16)),IF(Setup!$C$15&lt;=Setup!$C$16,AND(MONTH(WORKDAY(F406,-(Setup!$C$13+Setup!$G$24),Setup!$C$39:$C$50))&gt;=Setup!$C$15,MONTH(WORKDAY(F406,-(Setup!$C$13+Setup!$G$24),Setup!$C$39:$C$50))&lt;=Setup!$C$16),OR(MONTH(WORKDAY(F406,-(Setup!$C$13+Setup!$G$24),Setup!$C$39:$C$50))&gt;=Setup!$C$15,MONTH(WORKDAY(F406,-(Setup!$C$13+Setup!$G$24),Setup!$C$39:$C$50))&lt;=Setup!$C$16))),WORKDAY(F406,-(Setup!$C$13+Setup!$G$24+Setup!$C$14),Setup!$C$39:$C$50),WORKDAY(F406,-(Setup!$C$13+Setup!$G$24),Setup!$C$39:$C$50))+(401*100+5)/10000000)))</f>
        <v/>
      </c>
      <c r="W406" t="str">
        <f>IF(G406="","",IF(G406&lt;Setup!$C$5-Setup!$C$6,"",IF(IF(ISNUMBER(Roster!$D406),Setup!$C$25&lt;=Roster!$D406,FALSE),"",IF(OR(IF(Setup!$C$15&lt;=Setup!$C$16,AND(MONTH(G406)&gt;=Setup!$C$15,MONTH(G406)&lt;=Setup!$C$16),OR(MONTH(G406)&gt;=Setup!$C$15,MONTH(G406)&lt;=Setup!$C$16)),IF(Setup!$C$15&lt;=Setup!$C$16,AND(MONTH(WORKDAY(G406,-(Setup!$C$13+Setup!$G$25),Setup!$C$39:$C$50))&gt;=Setup!$C$15,MONTH(WORKDAY(G406,-(Setup!$C$13+Setup!$G$25),Setup!$C$39:$C$50))&lt;=Setup!$C$16),OR(MONTH(WORKDAY(G406,-(Setup!$C$13+Setup!$G$25),Setup!$C$39:$C$50))&gt;=Setup!$C$15,MONTH(WORKDAY(G406,-(Setup!$C$13+Setup!$G$25),Setup!$C$39:$C$50))&lt;=Setup!$C$16))),WORKDAY(G406,-(Setup!$C$13+Setup!$G$25+Setup!$C$14),Setup!$C$39:$C$50),WORKDAY(G406,-(Setup!$C$13+Setup!$G$25),Setup!$C$39:$C$50))+(401*100+6)/10000000)))</f>
        <v/>
      </c>
      <c r="X406" t="str">
        <f>IF(H406="","",IF(H406&lt;Setup!$C$5-Setup!$C$6,"",IF(IF(ISNUMBER(Roster!$D406),Setup!$C$26&lt;=Roster!$D406,FALSE),"",IF(OR(IF(Setup!$C$15&lt;=Setup!$C$16,AND(MONTH(H406)&gt;=Setup!$C$15,MONTH(H406)&lt;=Setup!$C$16),OR(MONTH(H406)&gt;=Setup!$C$15,MONTH(H406)&lt;=Setup!$C$16)),IF(Setup!$C$15&lt;=Setup!$C$16,AND(MONTH(WORKDAY(H406,-(Setup!$C$13+Setup!$G$26),Setup!$C$39:$C$50))&gt;=Setup!$C$15,MONTH(WORKDAY(H406,-(Setup!$C$13+Setup!$G$26),Setup!$C$39:$C$50))&lt;=Setup!$C$16),OR(MONTH(WORKDAY(H406,-(Setup!$C$13+Setup!$G$26),Setup!$C$39:$C$50))&gt;=Setup!$C$15,MONTH(WORKDAY(H406,-(Setup!$C$13+Setup!$G$26),Setup!$C$39:$C$50))&lt;=Setup!$C$16))),WORKDAY(H406,-(Setup!$C$13+Setup!$G$26+Setup!$C$14),Setup!$C$39:$C$50),WORKDAY(H406,-(Setup!$C$13+Setup!$G$26),Setup!$C$39:$C$50))+(401*100+7)/10000000)))</f>
        <v/>
      </c>
      <c r="Y406" t="str">
        <f>IF(I406="","",IF(I406&lt;Setup!$C$5-Setup!$C$6,"",IF(IF(ISNUMBER(Roster!$D406),Setup!$C$27&lt;=Roster!$D406,FALSE),"",IF(OR(IF(Setup!$C$15&lt;=Setup!$C$16,AND(MONTH(I406)&gt;=Setup!$C$15,MONTH(I406)&lt;=Setup!$C$16),OR(MONTH(I406)&gt;=Setup!$C$15,MONTH(I406)&lt;=Setup!$C$16)),IF(Setup!$C$15&lt;=Setup!$C$16,AND(MONTH(WORKDAY(I406,-(Setup!$C$13+Setup!$G$27),Setup!$C$39:$C$50))&gt;=Setup!$C$15,MONTH(WORKDAY(I406,-(Setup!$C$13+Setup!$G$27),Setup!$C$39:$C$50))&lt;=Setup!$C$16),OR(MONTH(WORKDAY(I406,-(Setup!$C$13+Setup!$G$27),Setup!$C$39:$C$50))&gt;=Setup!$C$15,MONTH(WORKDAY(I406,-(Setup!$C$13+Setup!$G$27),Setup!$C$39:$C$50))&lt;=Setup!$C$16))),WORKDAY(I406,-(Setup!$C$13+Setup!$G$27+Setup!$C$14),Setup!$C$39:$C$50),WORKDAY(I406,-(Setup!$C$13+Setup!$G$27),Setup!$C$39:$C$50))+(401*100+8)/10000000)))</f>
        <v/>
      </c>
      <c r="Z406" t="str">
        <f>IF(J406="","",IF(J406&lt;Setup!$C$5-Setup!$C$6,"",IF(IF(ISNUMBER(Roster!$D406),Setup!$C$28&lt;=Roster!$D406,FALSE),"",IF(OR(IF(Setup!$C$15&lt;=Setup!$C$16,AND(MONTH(J406)&gt;=Setup!$C$15,MONTH(J406)&lt;=Setup!$C$16),OR(MONTH(J406)&gt;=Setup!$C$15,MONTH(J406)&lt;=Setup!$C$16)),IF(Setup!$C$15&lt;=Setup!$C$16,AND(MONTH(WORKDAY(J406,-(Setup!$C$13+Setup!$G$28),Setup!$C$39:$C$50))&gt;=Setup!$C$15,MONTH(WORKDAY(J406,-(Setup!$C$13+Setup!$G$28),Setup!$C$39:$C$50))&lt;=Setup!$C$16),OR(MONTH(WORKDAY(J406,-(Setup!$C$13+Setup!$G$28),Setup!$C$39:$C$50))&gt;=Setup!$C$15,MONTH(WORKDAY(J406,-(Setup!$C$13+Setup!$G$28),Setup!$C$39:$C$50))&lt;=Setup!$C$16))),WORKDAY(J406,-(Setup!$C$13+Setup!$G$28+Setup!$C$14),Setup!$C$39:$C$50),WORKDAY(J406,-(Setup!$C$13+Setup!$G$28),Setup!$C$39:$C$50))+(401*100+9)/10000000)))</f>
        <v/>
      </c>
      <c r="AA406" t="str">
        <f>IF(K406="","",IF(K406&lt;Setup!$C$5-Setup!$C$6,"",IF(IF(ISNUMBER(Roster!$D406),Setup!$C$29&lt;=Roster!$D406,FALSE),"",IF(OR(IF(Setup!$C$15&lt;=Setup!$C$16,AND(MONTH(K406)&gt;=Setup!$C$15,MONTH(K406)&lt;=Setup!$C$16),OR(MONTH(K406)&gt;=Setup!$C$15,MONTH(K406)&lt;=Setup!$C$16)),IF(Setup!$C$15&lt;=Setup!$C$16,AND(MONTH(WORKDAY(K406,-(Setup!$C$13+Setup!$G$29),Setup!$C$39:$C$50))&gt;=Setup!$C$15,MONTH(WORKDAY(K406,-(Setup!$C$13+Setup!$G$29),Setup!$C$39:$C$50))&lt;=Setup!$C$16),OR(MONTH(WORKDAY(K406,-(Setup!$C$13+Setup!$G$29),Setup!$C$39:$C$50))&gt;=Setup!$C$15,MONTH(WORKDAY(K406,-(Setup!$C$13+Setup!$G$29),Setup!$C$39:$C$50))&lt;=Setup!$C$16))),WORKDAY(K406,-(Setup!$C$13+Setup!$G$29+Setup!$C$14),Setup!$C$39:$C$50),WORKDAY(K406,-(Setup!$C$13+Setup!$G$29),Setup!$C$39:$C$50))+(401*100+10)/10000000)))</f>
        <v/>
      </c>
      <c r="AB406" t="str">
        <f>IF(L406="","",IF(L406&lt;Setup!$C$5-Setup!$C$6,"",IF(IF(ISNUMBER(Roster!$D406),Setup!$C$30&lt;=Roster!$D406,FALSE),"",IF(OR(IF(Setup!$C$15&lt;=Setup!$C$16,AND(MONTH(L406)&gt;=Setup!$C$15,MONTH(L406)&lt;=Setup!$C$16),OR(MONTH(L406)&gt;=Setup!$C$15,MONTH(L406)&lt;=Setup!$C$16)),IF(Setup!$C$15&lt;=Setup!$C$16,AND(MONTH(WORKDAY(L406,-(Setup!$C$13+Setup!$G$30),Setup!$C$39:$C$50))&gt;=Setup!$C$15,MONTH(WORKDAY(L406,-(Setup!$C$13+Setup!$G$30),Setup!$C$39:$C$50))&lt;=Setup!$C$16),OR(MONTH(WORKDAY(L406,-(Setup!$C$13+Setup!$G$30),Setup!$C$39:$C$50))&gt;=Setup!$C$15,MONTH(WORKDAY(L406,-(Setup!$C$13+Setup!$G$30),Setup!$C$39:$C$50))&lt;=Setup!$C$16))),WORKDAY(L406,-(Setup!$C$13+Setup!$G$30+Setup!$C$14),Setup!$C$39:$C$50),WORKDAY(L406,-(Setup!$C$13+Setup!$G$30),Setup!$C$39:$C$50))+(401*100+11)/10000000)))</f>
        <v/>
      </c>
      <c r="AC406" t="str">
        <f>IF(M406="","",IF(M406&lt;Setup!$C$5-Setup!$C$6,"",IF(IF(ISNUMBER(Roster!$D406),Setup!$C$31&lt;=Roster!$D406,FALSE),"",IF(OR(IF(Setup!$C$15&lt;=Setup!$C$16,AND(MONTH(M406)&gt;=Setup!$C$15,MONTH(M406)&lt;=Setup!$C$16),OR(MONTH(M406)&gt;=Setup!$C$15,MONTH(M406)&lt;=Setup!$C$16)),IF(Setup!$C$15&lt;=Setup!$C$16,AND(MONTH(WORKDAY(M406,-(Setup!$C$13+Setup!$G$31),Setup!$C$39:$C$50))&gt;=Setup!$C$15,MONTH(WORKDAY(M406,-(Setup!$C$13+Setup!$G$31),Setup!$C$39:$C$50))&lt;=Setup!$C$16),OR(MONTH(WORKDAY(M406,-(Setup!$C$13+Setup!$G$31),Setup!$C$39:$C$50))&gt;=Setup!$C$15,MONTH(WORKDAY(M406,-(Setup!$C$13+Setup!$G$31),Setup!$C$39:$C$50))&lt;=Setup!$C$16))),WORKDAY(M406,-(Setup!$C$13+Setup!$G$31+Setup!$C$14),Setup!$C$39:$C$50),WORKDAY(M406,-(Setup!$C$13+Setup!$G$31),Setup!$C$39:$C$50))+(401*100+12)/10000000)))</f>
        <v/>
      </c>
      <c r="AD406" t="str">
        <f>IF(N406="","",IF(N406&lt;Setup!$C$5-Setup!$C$6,"",IF(IF(ISNUMBER(Roster!$D406),Setup!$C$32&lt;=Roster!$D406,FALSE),"",IF(OR(IF(Setup!$C$15&lt;=Setup!$C$16,AND(MONTH(N406)&gt;=Setup!$C$15,MONTH(N406)&lt;=Setup!$C$16),OR(MONTH(N406)&gt;=Setup!$C$15,MONTH(N406)&lt;=Setup!$C$16)),IF(Setup!$C$15&lt;=Setup!$C$16,AND(MONTH(WORKDAY(N406,-(Setup!$C$13+Setup!$G$32),Setup!$C$39:$C$50))&gt;=Setup!$C$15,MONTH(WORKDAY(N406,-(Setup!$C$13+Setup!$G$32),Setup!$C$39:$C$50))&lt;=Setup!$C$16),OR(MONTH(WORKDAY(N406,-(Setup!$C$13+Setup!$G$32),Setup!$C$39:$C$50))&gt;=Setup!$C$15,MONTH(WORKDAY(N406,-(Setup!$C$13+Setup!$G$32),Setup!$C$39:$C$50))&lt;=Setup!$C$16))),WORKDAY(N406,-(Setup!$C$13+Setup!$G$32+Setup!$C$14),Setup!$C$39:$C$50),WORKDAY(N406,-(Setup!$C$13+Setup!$G$32),Setup!$C$39:$C$50))+(401*100+13)/10000000)))</f>
        <v/>
      </c>
      <c r="AE406" t="str">
        <f>IF(O406="","",IF(O406&lt;Setup!$C$5-Setup!$C$6,"",IF(IF(ISNUMBER(Roster!$D406),Setup!$C$33&lt;=Roster!$D406,FALSE),"",IF(OR(IF(Setup!$C$15&lt;=Setup!$C$16,AND(MONTH(O406)&gt;=Setup!$C$15,MONTH(O406)&lt;=Setup!$C$16),OR(MONTH(O406)&gt;=Setup!$C$15,MONTH(O406)&lt;=Setup!$C$16)),IF(Setup!$C$15&lt;=Setup!$C$16,AND(MONTH(WORKDAY(O406,-(Setup!$C$13+Setup!$G$33),Setup!$C$39:$C$50))&gt;=Setup!$C$15,MONTH(WORKDAY(O406,-(Setup!$C$13+Setup!$G$33),Setup!$C$39:$C$50))&lt;=Setup!$C$16),OR(MONTH(WORKDAY(O406,-(Setup!$C$13+Setup!$G$33),Setup!$C$39:$C$50))&gt;=Setup!$C$15,MONTH(WORKDAY(O406,-(Setup!$C$13+Setup!$G$33),Setup!$C$39:$C$50))&lt;=Setup!$C$16))),WORKDAY(O406,-(Setup!$C$13+Setup!$G$33+Setup!$C$14),Setup!$C$39:$C$50),WORKDAY(O406,-(Setup!$C$13+Setup!$G$33),Setup!$C$39:$C$50))+(401*100+14)/10000000)))</f>
        <v/>
      </c>
      <c r="AF406" t="str">
        <f>IF(P406="","",IF(P406&lt;Setup!$C$5-Setup!$C$6,"",IF(IF(ISNUMBER(Roster!$D406),Setup!$C$34&lt;=Roster!$D406,FALSE),"",IF(OR(IF(Setup!$C$15&lt;=Setup!$C$16,AND(MONTH(P406)&gt;=Setup!$C$15,MONTH(P406)&lt;=Setup!$C$16),OR(MONTH(P406)&gt;=Setup!$C$15,MONTH(P406)&lt;=Setup!$C$16)),IF(Setup!$C$15&lt;=Setup!$C$16,AND(MONTH(WORKDAY(P406,-(Setup!$C$13+Setup!$G$34),Setup!$C$39:$C$50))&gt;=Setup!$C$15,MONTH(WORKDAY(P406,-(Setup!$C$13+Setup!$G$34),Setup!$C$39:$C$50))&lt;=Setup!$C$16),OR(MONTH(WORKDAY(P406,-(Setup!$C$13+Setup!$G$34),Setup!$C$39:$C$50))&gt;=Setup!$C$15,MONTH(WORKDAY(P406,-(Setup!$C$13+Setup!$G$34),Setup!$C$39:$C$50))&lt;=Setup!$C$16))),WORKDAY(P406,-(Setup!$C$13+Setup!$G$34+Setup!$C$14),Setup!$C$39:$C$50),WORKDAY(P406,-(Setup!$C$13+Setup!$G$34),Setup!$C$39:$C$50))+(401*100+15)/10000000)))</f>
        <v/>
      </c>
      <c r="AH406" t="str">
        <f t="shared" si="46"/>
        <v/>
      </c>
      <c r="AI406" t="str">
        <f t="shared" si="47"/>
        <v/>
      </c>
      <c r="AP406" t="str">
        <f>IF(ISNUMBER(Roster!$B406),MAX(1,YEAR(Setup!$C$5)-YEAR(Roster!$B406)+IF(EDATE(Roster!$B406,12*(YEAR(Setup!$C$5)-YEAR(Roster!$B406)))&lt;Setup!$C$5,1,0)),"")</f>
        <v/>
      </c>
      <c r="AQ406" s="32" t="str">
        <f>IF(AP406="","",EDATE(Roster!$B406,12*AP406))</f>
        <v/>
      </c>
      <c r="AR406" t="str">
        <f>IF(AQ406="","",IF(AQ406&lt;DATE(YEAR(Setup!$C$5)+1,MONTH(Setup!$C$5),DAY(Setup!$C$5)),AQ406+401/1000,""))</f>
        <v/>
      </c>
      <c r="AS406" t="str">
        <f t="shared" si="48"/>
        <v/>
      </c>
      <c r="AT406" t="str">
        <f>IF(AS406="","",IF(ISNUMBER(Roster!$D406),Roster!$D406&gt;=AP406,FALSE))</f>
        <v/>
      </c>
      <c r="AU406" t="str">
        <f t="shared" si="49"/>
        <v/>
      </c>
      <c r="AV406" t="str">
        <f ca="1">IF(401&gt;$AV$2,"",SMALL($AR$6:$AR$505,401))</f>
        <v/>
      </c>
      <c r="AW406" t="str">
        <f t="shared" ca="1" si="50"/>
        <v/>
      </c>
    </row>
    <row r="407" spans="2:49" x14ac:dyDescent="0.2">
      <c r="B407" s="32" t="str">
        <f>IF(AND(ISNUMBER(Roster!$B407),Setup!$B$20="Yes",ISNUMBER(Setup!$C$20)),EDATE(Roster!$B407,12*Setup!$C$20),"")</f>
        <v/>
      </c>
      <c r="C407" s="32" t="str">
        <f>IF(AND(ISNUMBER(Roster!$B407),Setup!$B$21="Yes",ISNUMBER(Setup!$C$21)),EDATE(Roster!$B407,12*Setup!$C$21),"")</f>
        <v/>
      </c>
      <c r="D407" s="32" t="str">
        <f>IF(AND(ISNUMBER(Roster!$B407),Setup!$B$22="Yes",ISNUMBER(Setup!$C$22)),EDATE(Roster!$B407,12*Setup!$C$22),"")</f>
        <v/>
      </c>
      <c r="E407" s="32" t="str">
        <f>IF(AND(ISNUMBER(Roster!$B407),Setup!$B$23="Yes",ISNUMBER(Setup!$C$23)),EDATE(Roster!$B407,12*Setup!$C$23),"")</f>
        <v/>
      </c>
      <c r="F407" s="32" t="str">
        <f>IF(AND(ISNUMBER(Roster!$B407),Setup!$B$24="Yes",ISNUMBER(Setup!$C$24)),EDATE(Roster!$B407,12*Setup!$C$24),"")</f>
        <v/>
      </c>
      <c r="G407" s="32" t="str">
        <f>IF(AND(ISNUMBER(Roster!$B407),Setup!$B$25="Yes",ISNUMBER(Setup!$C$25)),EDATE(Roster!$B407,12*Setup!$C$25),"")</f>
        <v/>
      </c>
      <c r="H407" s="32" t="str">
        <f>IF(AND(ISNUMBER(Roster!$B407),Setup!$B$26="Yes",ISNUMBER(Setup!$C$26)),EDATE(Roster!$B407,12*Setup!$C$26),"")</f>
        <v/>
      </c>
      <c r="I407" s="32" t="str">
        <f>IF(AND(ISNUMBER(Roster!$B407),Setup!$B$27="Yes",ISNUMBER(Setup!$C$27)),EDATE(Roster!$B407,12*Setup!$C$27),"")</f>
        <v/>
      </c>
      <c r="J407" s="32" t="str">
        <f>IF(AND(ISNUMBER(Roster!$B407),Setup!$B$28="Yes",ISNUMBER(Setup!$C$28)),EDATE(Roster!$B407,12*Setup!$C$28),"")</f>
        <v/>
      </c>
      <c r="K407" s="32" t="str">
        <f>IF(AND(ISNUMBER(Roster!$B407),Setup!$B$29="Yes",ISNUMBER(Setup!$C$29)),EDATE(Roster!$B407,12*Setup!$C$29),"")</f>
        <v/>
      </c>
      <c r="L407" s="32" t="str">
        <f>IF(AND(ISNUMBER(Roster!$B407),Setup!$B$30="Yes",ISNUMBER(Setup!$C$30)),EDATE(Roster!$B407,12*Setup!$C$30),"")</f>
        <v/>
      </c>
      <c r="M407" s="32" t="str">
        <f>IF(AND(ISNUMBER(Roster!$B407),Setup!$B$31="Yes",ISNUMBER(Setup!$C$31)),EDATE(Roster!$B407,12*Setup!$C$31),"")</f>
        <v/>
      </c>
      <c r="N407" s="32" t="str">
        <f>IF(AND(ISNUMBER(Roster!$B407),Setup!$B$32="Yes",ISNUMBER(Setup!$C$32)),EDATE(Roster!$B407,12*Setup!$C$32),"")</f>
        <v/>
      </c>
      <c r="O407" s="32" t="str">
        <f>IF(AND(ISNUMBER(Roster!$B407),Setup!$B$33="Yes",ISNUMBER(Setup!$C$33)),EDATE(Roster!$B407,12*Setup!$C$33),"")</f>
        <v/>
      </c>
      <c r="P407" s="32" t="str">
        <f>IF(AND(ISNUMBER(Roster!$B407),Setup!$B$34="Yes",ISNUMBER(Setup!$C$34)),EDATE(Roster!$B407,12*Setup!$C$34),"")</f>
        <v/>
      </c>
      <c r="R407" t="str">
        <f>IF(B407="","",IF(B407&lt;Setup!$C$5-Setup!$C$6,"",IF(IF(ISNUMBER(Roster!$D407),Setup!$C$20&lt;=Roster!$D407,FALSE),"",IF(OR(IF(Setup!$C$15&lt;=Setup!$C$16,AND(MONTH(B407)&gt;=Setup!$C$15,MONTH(B407)&lt;=Setup!$C$16),OR(MONTH(B407)&gt;=Setup!$C$15,MONTH(B407)&lt;=Setup!$C$16)),IF(Setup!$C$15&lt;=Setup!$C$16,AND(MONTH(WORKDAY(B407,-(Setup!$C$13+Setup!$G$20),Setup!$C$39:$C$50))&gt;=Setup!$C$15,MONTH(WORKDAY(B407,-(Setup!$C$13+Setup!$G$20),Setup!$C$39:$C$50))&lt;=Setup!$C$16),OR(MONTH(WORKDAY(B407,-(Setup!$C$13+Setup!$G$20),Setup!$C$39:$C$50))&gt;=Setup!$C$15,MONTH(WORKDAY(B407,-(Setup!$C$13+Setup!$G$20),Setup!$C$39:$C$50))&lt;=Setup!$C$16))),WORKDAY(B407,-(Setup!$C$13+Setup!$G$20+Setup!$C$14),Setup!$C$39:$C$50),WORKDAY(B407,-(Setup!$C$13+Setup!$G$20),Setup!$C$39:$C$50))+(402*100+1)/10000000)))</f>
        <v/>
      </c>
      <c r="S407" t="str">
        <f>IF(C407="","",IF(C407&lt;Setup!$C$5-Setup!$C$6,"",IF(IF(ISNUMBER(Roster!$D407),Setup!$C$21&lt;=Roster!$D407,FALSE),"",IF(OR(IF(Setup!$C$15&lt;=Setup!$C$16,AND(MONTH(C407)&gt;=Setup!$C$15,MONTH(C407)&lt;=Setup!$C$16),OR(MONTH(C407)&gt;=Setup!$C$15,MONTH(C407)&lt;=Setup!$C$16)),IF(Setup!$C$15&lt;=Setup!$C$16,AND(MONTH(WORKDAY(C407,-(Setup!$C$13+Setup!$G$21),Setup!$C$39:$C$50))&gt;=Setup!$C$15,MONTH(WORKDAY(C407,-(Setup!$C$13+Setup!$G$21),Setup!$C$39:$C$50))&lt;=Setup!$C$16),OR(MONTH(WORKDAY(C407,-(Setup!$C$13+Setup!$G$21),Setup!$C$39:$C$50))&gt;=Setup!$C$15,MONTH(WORKDAY(C407,-(Setup!$C$13+Setup!$G$21),Setup!$C$39:$C$50))&lt;=Setup!$C$16))),WORKDAY(C407,-(Setup!$C$13+Setup!$G$21+Setup!$C$14),Setup!$C$39:$C$50),WORKDAY(C407,-(Setup!$C$13+Setup!$G$21),Setup!$C$39:$C$50))+(402*100+2)/10000000)))</f>
        <v/>
      </c>
      <c r="T407" t="str">
        <f>IF(D407="","",IF(D407&lt;Setup!$C$5-Setup!$C$6,"",IF(IF(ISNUMBER(Roster!$D407),Setup!$C$22&lt;=Roster!$D407,FALSE),"",IF(OR(IF(Setup!$C$15&lt;=Setup!$C$16,AND(MONTH(D407)&gt;=Setup!$C$15,MONTH(D407)&lt;=Setup!$C$16),OR(MONTH(D407)&gt;=Setup!$C$15,MONTH(D407)&lt;=Setup!$C$16)),IF(Setup!$C$15&lt;=Setup!$C$16,AND(MONTH(WORKDAY(D407,-(Setup!$C$13+Setup!$G$22),Setup!$C$39:$C$50))&gt;=Setup!$C$15,MONTH(WORKDAY(D407,-(Setup!$C$13+Setup!$G$22),Setup!$C$39:$C$50))&lt;=Setup!$C$16),OR(MONTH(WORKDAY(D407,-(Setup!$C$13+Setup!$G$22),Setup!$C$39:$C$50))&gt;=Setup!$C$15,MONTH(WORKDAY(D407,-(Setup!$C$13+Setup!$G$22),Setup!$C$39:$C$50))&lt;=Setup!$C$16))),WORKDAY(D407,-(Setup!$C$13+Setup!$G$22+Setup!$C$14),Setup!$C$39:$C$50),WORKDAY(D407,-(Setup!$C$13+Setup!$G$22),Setup!$C$39:$C$50))+(402*100+3)/10000000)))</f>
        <v/>
      </c>
      <c r="U407" t="str">
        <f>IF(E407="","",IF(E407&lt;Setup!$C$5-Setup!$C$6,"",IF(IF(ISNUMBER(Roster!$D407),Setup!$C$23&lt;=Roster!$D407,FALSE),"",IF(OR(IF(Setup!$C$15&lt;=Setup!$C$16,AND(MONTH(E407)&gt;=Setup!$C$15,MONTH(E407)&lt;=Setup!$C$16),OR(MONTH(E407)&gt;=Setup!$C$15,MONTH(E407)&lt;=Setup!$C$16)),IF(Setup!$C$15&lt;=Setup!$C$16,AND(MONTH(WORKDAY(E407,-(Setup!$C$13+Setup!$G$23),Setup!$C$39:$C$50))&gt;=Setup!$C$15,MONTH(WORKDAY(E407,-(Setup!$C$13+Setup!$G$23),Setup!$C$39:$C$50))&lt;=Setup!$C$16),OR(MONTH(WORKDAY(E407,-(Setup!$C$13+Setup!$G$23),Setup!$C$39:$C$50))&gt;=Setup!$C$15,MONTH(WORKDAY(E407,-(Setup!$C$13+Setup!$G$23),Setup!$C$39:$C$50))&lt;=Setup!$C$16))),WORKDAY(E407,-(Setup!$C$13+Setup!$G$23+Setup!$C$14),Setup!$C$39:$C$50),WORKDAY(E407,-(Setup!$C$13+Setup!$G$23),Setup!$C$39:$C$50))+(402*100+4)/10000000)))</f>
        <v/>
      </c>
      <c r="V407" t="str">
        <f>IF(F407="","",IF(F407&lt;Setup!$C$5-Setup!$C$6,"",IF(IF(ISNUMBER(Roster!$D407),Setup!$C$24&lt;=Roster!$D407,FALSE),"",IF(OR(IF(Setup!$C$15&lt;=Setup!$C$16,AND(MONTH(F407)&gt;=Setup!$C$15,MONTH(F407)&lt;=Setup!$C$16),OR(MONTH(F407)&gt;=Setup!$C$15,MONTH(F407)&lt;=Setup!$C$16)),IF(Setup!$C$15&lt;=Setup!$C$16,AND(MONTH(WORKDAY(F407,-(Setup!$C$13+Setup!$G$24),Setup!$C$39:$C$50))&gt;=Setup!$C$15,MONTH(WORKDAY(F407,-(Setup!$C$13+Setup!$G$24),Setup!$C$39:$C$50))&lt;=Setup!$C$16),OR(MONTH(WORKDAY(F407,-(Setup!$C$13+Setup!$G$24),Setup!$C$39:$C$50))&gt;=Setup!$C$15,MONTH(WORKDAY(F407,-(Setup!$C$13+Setup!$G$24),Setup!$C$39:$C$50))&lt;=Setup!$C$16))),WORKDAY(F407,-(Setup!$C$13+Setup!$G$24+Setup!$C$14),Setup!$C$39:$C$50),WORKDAY(F407,-(Setup!$C$13+Setup!$G$24),Setup!$C$39:$C$50))+(402*100+5)/10000000)))</f>
        <v/>
      </c>
      <c r="W407" t="str">
        <f>IF(G407="","",IF(G407&lt;Setup!$C$5-Setup!$C$6,"",IF(IF(ISNUMBER(Roster!$D407),Setup!$C$25&lt;=Roster!$D407,FALSE),"",IF(OR(IF(Setup!$C$15&lt;=Setup!$C$16,AND(MONTH(G407)&gt;=Setup!$C$15,MONTH(G407)&lt;=Setup!$C$16),OR(MONTH(G407)&gt;=Setup!$C$15,MONTH(G407)&lt;=Setup!$C$16)),IF(Setup!$C$15&lt;=Setup!$C$16,AND(MONTH(WORKDAY(G407,-(Setup!$C$13+Setup!$G$25),Setup!$C$39:$C$50))&gt;=Setup!$C$15,MONTH(WORKDAY(G407,-(Setup!$C$13+Setup!$G$25),Setup!$C$39:$C$50))&lt;=Setup!$C$16),OR(MONTH(WORKDAY(G407,-(Setup!$C$13+Setup!$G$25),Setup!$C$39:$C$50))&gt;=Setup!$C$15,MONTH(WORKDAY(G407,-(Setup!$C$13+Setup!$G$25),Setup!$C$39:$C$50))&lt;=Setup!$C$16))),WORKDAY(G407,-(Setup!$C$13+Setup!$G$25+Setup!$C$14),Setup!$C$39:$C$50),WORKDAY(G407,-(Setup!$C$13+Setup!$G$25),Setup!$C$39:$C$50))+(402*100+6)/10000000)))</f>
        <v/>
      </c>
      <c r="X407" t="str">
        <f>IF(H407="","",IF(H407&lt;Setup!$C$5-Setup!$C$6,"",IF(IF(ISNUMBER(Roster!$D407),Setup!$C$26&lt;=Roster!$D407,FALSE),"",IF(OR(IF(Setup!$C$15&lt;=Setup!$C$16,AND(MONTH(H407)&gt;=Setup!$C$15,MONTH(H407)&lt;=Setup!$C$16),OR(MONTH(H407)&gt;=Setup!$C$15,MONTH(H407)&lt;=Setup!$C$16)),IF(Setup!$C$15&lt;=Setup!$C$16,AND(MONTH(WORKDAY(H407,-(Setup!$C$13+Setup!$G$26),Setup!$C$39:$C$50))&gt;=Setup!$C$15,MONTH(WORKDAY(H407,-(Setup!$C$13+Setup!$G$26),Setup!$C$39:$C$50))&lt;=Setup!$C$16),OR(MONTH(WORKDAY(H407,-(Setup!$C$13+Setup!$G$26),Setup!$C$39:$C$50))&gt;=Setup!$C$15,MONTH(WORKDAY(H407,-(Setup!$C$13+Setup!$G$26),Setup!$C$39:$C$50))&lt;=Setup!$C$16))),WORKDAY(H407,-(Setup!$C$13+Setup!$G$26+Setup!$C$14),Setup!$C$39:$C$50),WORKDAY(H407,-(Setup!$C$13+Setup!$G$26),Setup!$C$39:$C$50))+(402*100+7)/10000000)))</f>
        <v/>
      </c>
      <c r="Y407" t="str">
        <f>IF(I407="","",IF(I407&lt;Setup!$C$5-Setup!$C$6,"",IF(IF(ISNUMBER(Roster!$D407),Setup!$C$27&lt;=Roster!$D407,FALSE),"",IF(OR(IF(Setup!$C$15&lt;=Setup!$C$16,AND(MONTH(I407)&gt;=Setup!$C$15,MONTH(I407)&lt;=Setup!$C$16),OR(MONTH(I407)&gt;=Setup!$C$15,MONTH(I407)&lt;=Setup!$C$16)),IF(Setup!$C$15&lt;=Setup!$C$16,AND(MONTH(WORKDAY(I407,-(Setup!$C$13+Setup!$G$27),Setup!$C$39:$C$50))&gt;=Setup!$C$15,MONTH(WORKDAY(I407,-(Setup!$C$13+Setup!$G$27),Setup!$C$39:$C$50))&lt;=Setup!$C$16),OR(MONTH(WORKDAY(I407,-(Setup!$C$13+Setup!$G$27),Setup!$C$39:$C$50))&gt;=Setup!$C$15,MONTH(WORKDAY(I407,-(Setup!$C$13+Setup!$G$27),Setup!$C$39:$C$50))&lt;=Setup!$C$16))),WORKDAY(I407,-(Setup!$C$13+Setup!$G$27+Setup!$C$14),Setup!$C$39:$C$50),WORKDAY(I407,-(Setup!$C$13+Setup!$G$27),Setup!$C$39:$C$50))+(402*100+8)/10000000)))</f>
        <v/>
      </c>
      <c r="Z407" t="str">
        <f>IF(J407="","",IF(J407&lt;Setup!$C$5-Setup!$C$6,"",IF(IF(ISNUMBER(Roster!$D407),Setup!$C$28&lt;=Roster!$D407,FALSE),"",IF(OR(IF(Setup!$C$15&lt;=Setup!$C$16,AND(MONTH(J407)&gt;=Setup!$C$15,MONTH(J407)&lt;=Setup!$C$16),OR(MONTH(J407)&gt;=Setup!$C$15,MONTH(J407)&lt;=Setup!$C$16)),IF(Setup!$C$15&lt;=Setup!$C$16,AND(MONTH(WORKDAY(J407,-(Setup!$C$13+Setup!$G$28),Setup!$C$39:$C$50))&gt;=Setup!$C$15,MONTH(WORKDAY(J407,-(Setup!$C$13+Setup!$G$28),Setup!$C$39:$C$50))&lt;=Setup!$C$16),OR(MONTH(WORKDAY(J407,-(Setup!$C$13+Setup!$G$28),Setup!$C$39:$C$50))&gt;=Setup!$C$15,MONTH(WORKDAY(J407,-(Setup!$C$13+Setup!$G$28),Setup!$C$39:$C$50))&lt;=Setup!$C$16))),WORKDAY(J407,-(Setup!$C$13+Setup!$G$28+Setup!$C$14),Setup!$C$39:$C$50),WORKDAY(J407,-(Setup!$C$13+Setup!$G$28),Setup!$C$39:$C$50))+(402*100+9)/10000000)))</f>
        <v/>
      </c>
      <c r="AA407" t="str">
        <f>IF(K407="","",IF(K407&lt;Setup!$C$5-Setup!$C$6,"",IF(IF(ISNUMBER(Roster!$D407),Setup!$C$29&lt;=Roster!$D407,FALSE),"",IF(OR(IF(Setup!$C$15&lt;=Setup!$C$16,AND(MONTH(K407)&gt;=Setup!$C$15,MONTH(K407)&lt;=Setup!$C$16),OR(MONTH(K407)&gt;=Setup!$C$15,MONTH(K407)&lt;=Setup!$C$16)),IF(Setup!$C$15&lt;=Setup!$C$16,AND(MONTH(WORKDAY(K407,-(Setup!$C$13+Setup!$G$29),Setup!$C$39:$C$50))&gt;=Setup!$C$15,MONTH(WORKDAY(K407,-(Setup!$C$13+Setup!$G$29),Setup!$C$39:$C$50))&lt;=Setup!$C$16),OR(MONTH(WORKDAY(K407,-(Setup!$C$13+Setup!$G$29),Setup!$C$39:$C$50))&gt;=Setup!$C$15,MONTH(WORKDAY(K407,-(Setup!$C$13+Setup!$G$29),Setup!$C$39:$C$50))&lt;=Setup!$C$16))),WORKDAY(K407,-(Setup!$C$13+Setup!$G$29+Setup!$C$14),Setup!$C$39:$C$50),WORKDAY(K407,-(Setup!$C$13+Setup!$G$29),Setup!$C$39:$C$50))+(402*100+10)/10000000)))</f>
        <v/>
      </c>
      <c r="AB407" t="str">
        <f>IF(L407="","",IF(L407&lt;Setup!$C$5-Setup!$C$6,"",IF(IF(ISNUMBER(Roster!$D407),Setup!$C$30&lt;=Roster!$D407,FALSE),"",IF(OR(IF(Setup!$C$15&lt;=Setup!$C$16,AND(MONTH(L407)&gt;=Setup!$C$15,MONTH(L407)&lt;=Setup!$C$16),OR(MONTH(L407)&gt;=Setup!$C$15,MONTH(L407)&lt;=Setup!$C$16)),IF(Setup!$C$15&lt;=Setup!$C$16,AND(MONTH(WORKDAY(L407,-(Setup!$C$13+Setup!$G$30),Setup!$C$39:$C$50))&gt;=Setup!$C$15,MONTH(WORKDAY(L407,-(Setup!$C$13+Setup!$G$30),Setup!$C$39:$C$50))&lt;=Setup!$C$16),OR(MONTH(WORKDAY(L407,-(Setup!$C$13+Setup!$G$30),Setup!$C$39:$C$50))&gt;=Setup!$C$15,MONTH(WORKDAY(L407,-(Setup!$C$13+Setup!$G$30),Setup!$C$39:$C$50))&lt;=Setup!$C$16))),WORKDAY(L407,-(Setup!$C$13+Setup!$G$30+Setup!$C$14),Setup!$C$39:$C$50),WORKDAY(L407,-(Setup!$C$13+Setup!$G$30),Setup!$C$39:$C$50))+(402*100+11)/10000000)))</f>
        <v/>
      </c>
      <c r="AC407" t="str">
        <f>IF(M407="","",IF(M407&lt;Setup!$C$5-Setup!$C$6,"",IF(IF(ISNUMBER(Roster!$D407),Setup!$C$31&lt;=Roster!$D407,FALSE),"",IF(OR(IF(Setup!$C$15&lt;=Setup!$C$16,AND(MONTH(M407)&gt;=Setup!$C$15,MONTH(M407)&lt;=Setup!$C$16),OR(MONTH(M407)&gt;=Setup!$C$15,MONTH(M407)&lt;=Setup!$C$16)),IF(Setup!$C$15&lt;=Setup!$C$16,AND(MONTH(WORKDAY(M407,-(Setup!$C$13+Setup!$G$31),Setup!$C$39:$C$50))&gt;=Setup!$C$15,MONTH(WORKDAY(M407,-(Setup!$C$13+Setup!$G$31),Setup!$C$39:$C$50))&lt;=Setup!$C$16),OR(MONTH(WORKDAY(M407,-(Setup!$C$13+Setup!$G$31),Setup!$C$39:$C$50))&gt;=Setup!$C$15,MONTH(WORKDAY(M407,-(Setup!$C$13+Setup!$G$31),Setup!$C$39:$C$50))&lt;=Setup!$C$16))),WORKDAY(M407,-(Setup!$C$13+Setup!$G$31+Setup!$C$14),Setup!$C$39:$C$50),WORKDAY(M407,-(Setup!$C$13+Setup!$G$31),Setup!$C$39:$C$50))+(402*100+12)/10000000)))</f>
        <v/>
      </c>
      <c r="AD407" t="str">
        <f>IF(N407="","",IF(N407&lt;Setup!$C$5-Setup!$C$6,"",IF(IF(ISNUMBER(Roster!$D407),Setup!$C$32&lt;=Roster!$D407,FALSE),"",IF(OR(IF(Setup!$C$15&lt;=Setup!$C$16,AND(MONTH(N407)&gt;=Setup!$C$15,MONTH(N407)&lt;=Setup!$C$16),OR(MONTH(N407)&gt;=Setup!$C$15,MONTH(N407)&lt;=Setup!$C$16)),IF(Setup!$C$15&lt;=Setup!$C$16,AND(MONTH(WORKDAY(N407,-(Setup!$C$13+Setup!$G$32),Setup!$C$39:$C$50))&gt;=Setup!$C$15,MONTH(WORKDAY(N407,-(Setup!$C$13+Setup!$G$32),Setup!$C$39:$C$50))&lt;=Setup!$C$16),OR(MONTH(WORKDAY(N407,-(Setup!$C$13+Setup!$G$32),Setup!$C$39:$C$50))&gt;=Setup!$C$15,MONTH(WORKDAY(N407,-(Setup!$C$13+Setup!$G$32),Setup!$C$39:$C$50))&lt;=Setup!$C$16))),WORKDAY(N407,-(Setup!$C$13+Setup!$G$32+Setup!$C$14),Setup!$C$39:$C$50),WORKDAY(N407,-(Setup!$C$13+Setup!$G$32),Setup!$C$39:$C$50))+(402*100+13)/10000000)))</f>
        <v/>
      </c>
      <c r="AE407" t="str">
        <f>IF(O407="","",IF(O407&lt;Setup!$C$5-Setup!$C$6,"",IF(IF(ISNUMBER(Roster!$D407),Setup!$C$33&lt;=Roster!$D407,FALSE),"",IF(OR(IF(Setup!$C$15&lt;=Setup!$C$16,AND(MONTH(O407)&gt;=Setup!$C$15,MONTH(O407)&lt;=Setup!$C$16),OR(MONTH(O407)&gt;=Setup!$C$15,MONTH(O407)&lt;=Setup!$C$16)),IF(Setup!$C$15&lt;=Setup!$C$16,AND(MONTH(WORKDAY(O407,-(Setup!$C$13+Setup!$G$33),Setup!$C$39:$C$50))&gt;=Setup!$C$15,MONTH(WORKDAY(O407,-(Setup!$C$13+Setup!$G$33),Setup!$C$39:$C$50))&lt;=Setup!$C$16),OR(MONTH(WORKDAY(O407,-(Setup!$C$13+Setup!$G$33),Setup!$C$39:$C$50))&gt;=Setup!$C$15,MONTH(WORKDAY(O407,-(Setup!$C$13+Setup!$G$33),Setup!$C$39:$C$50))&lt;=Setup!$C$16))),WORKDAY(O407,-(Setup!$C$13+Setup!$G$33+Setup!$C$14),Setup!$C$39:$C$50),WORKDAY(O407,-(Setup!$C$13+Setup!$G$33),Setup!$C$39:$C$50))+(402*100+14)/10000000)))</f>
        <v/>
      </c>
      <c r="AF407" t="str">
        <f>IF(P407="","",IF(P407&lt;Setup!$C$5-Setup!$C$6,"",IF(IF(ISNUMBER(Roster!$D407),Setup!$C$34&lt;=Roster!$D407,FALSE),"",IF(OR(IF(Setup!$C$15&lt;=Setup!$C$16,AND(MONTH(P407)&gt;=Setup!$C$15,MONTH(P407)&lt;=Setup!$C$16),OR(MONTH(P407)&gt;=Setup!$C$15,MONTH(P407)&lt;=Setup!$C$16)),IF(Setup!$C$15&lt;=Setup!$C$16,AND(MONTH(WORKDAY(P407,-(Setup!$C$13+Setup!$G$34),Setup!$C$39:$C$50))&gt;=Setup!$C$15,MONTH(WORKDAY(P407,-(Setup!$C$13+Setup!$G$34),Setup!$C$39:$C$50))&lt;=Setup!$C$16),OR(MONTH(WORKDAY(P407,-(Setup!$C$13+Setup!$G$34),Setup!$C$39:$C$50))&gt;=Setup!$C$15,MONTH(WORKDAY(P407,-(Setup!$C$13+Setup!$G$34),Setup!$C$39:$C$50))&lt;=Setup!$C$16))),WORKDAY(P407,-(Setup!$C$13+Setup!$G$34+Setup!$C$14),Setup!$C$39:$C$50),WORKDAY(P407,-(Setup!$C$13+Setup!$G$34),Setup!$C$39:$C$50))+(402*100+15)/10000000)))</f>
        <v/>
      </c>
      <c r="AH407" t="str">
        <f t="shared" si="46"/>
        <v/>
      </c>
      <c r="AI407" t="str">
        <f t="shared" si="47"/>
        <v/>
      </c>
      <c r="AP407" t="str">
        <f>IF(ISNUMBER(Roster!$B407),MAX(1,YEAR(Setup!$C$5)-YEAR(Roster!$B407)+IF(EDATE(Roster!$B407,12*(YEAR(Setup!$C$5)-YEAR(Roster!$B407)))&lt;Setup!$C$5,1,0)),"")</f>
        <v/>
      </c>
      <c r="AQ407" s="32" t="str">
        <f>IF(AP407="","",EDATE(Roster!$B407,12*AP407))</f>
        <v/>
      </c>
      <c r="AR407" t="str">
        <f>IF(AQ407="","",IF(AQ407&lt;DATE(YEAR(Setup!$C$5)+1,MONTH(Setup!$C$5),DAY(Setup!$C$5)),AQ407+402/1000,""))</f>
        <v/>
      </c>
      <c r="AS407" t="str">
        <f t="shared" si="48"/>
        <v/>
      </c>
      <c r="AT407" t="str">
        <f>IF(AS407="","",IF(ISNUMBER(Roster!$D407),Roster!$D407&gt;=AP407,FALSE))</f>
        <v/>
      </c>
      <c r="AU407" t="str">
        <f t="shared" si="49"/>
        <v/>
      </c>
      <c r="AV407" t="str">
        <f ca="1">IF(402&gt;$AV$2,"",SMALL($AR$6:$AR$505,402))</f>
        <v/>
      </c>
      <c r="AW407" t="str">
        <f t="shared" ca="1" si="50"/>
        <v/>
      </c>
    </row>
    <row r="408" spans="2:49" x14ac:dyDescent="0.2">
      <c r="B408" s="32" t="str">
        <f>IF(AND(ISNUMBER(Roster!$B408),Setup!$B$20="Yes",ISNUMBER(Setup!$C$20)),EDATE(Roster!$B408,12*Setup!$C$20),"")</f>
        <v/>
      </c>
      <c r="C408" s="32" t="str">
        <f>IF(AND(ISNUMBER(Roster!$B408),Setup!$B$21="Yes",ISNUMBER(Setup!$C$21)),EDATE(Roster!$B408,12*Setup!$C$21),"")</f>
        <v/>
      </c>
      <c r="D408" s="32" t="str">
        <f>IF(AND(ISNUMBER(Roster!$B408),Setup!$B$22="Yes",ISNUMBER(Setup!$C$22)),EDATE(Roster!$B408,12*Setup!$C$22),"")</f>
        <v/>
      </c>
      <c r="E408" s="32" t="str">
        <f>IF(AND(ISNUMBER(Roster!$B408),Setup!$B$23="Yes",ISNUMBER(Setup!$C$23)),EDATE(Roster!$B408,12*Setup!$C$23),"")</f>
        <v/>
      </c>
      <c r="F408" s="32" t="str">
        <f>IF(AND(ISNUMBER(Roster!$B408),Setup!$B$24="Yes",ISNUMBER(Setup!$C$24)),EDATE(Roster!$B408,12*Setup!$C$24),"")</f>
        <v/>
      </c>
      <c r="G408" s="32" t="str">
        <f>IF(AND(ISNUMBER(Roster!$B408),Setup!$B$25="Yes",ISNUMBER(Setup!$C$25)),EDATE(Roster!$B408,12*Setup!$C$25),"")</f>
        <v/>
      </c>
      <c r="H408" s="32" t="str">
        <f>IF(AND(ISNUMBER(Roster!$B408),Setup!$B$26="Yes",ISNUMBER(Setup!$C$26)),EDATE(Roster!$B408,12*Setup!$C$26),"")</f>
        <v/>
      </c>
      <c r="I408" s="32" t="str">
        <f>IF(AND(ISNUMBER(Roster!$B408),Setup!$B$27="Yes",ISNUMBER(Setup!$C$27)),EDATE(Roster!$B408,12*Setup!$C$27),"")</f>
        <v/>
      </c>
      <c r="J408" s="32" t="str">
        <f>IF(AND(ISNUMBER(Roster!$B408),Setup!$B$28="Yes",ISNUMBER(Setup!$C$28)),EDATE(Roster!$B408,12*Setup!$C$28),"")</f>
        <v/>
      </c>
      <c r="K408" s="32" t="str">
        <f>IF(AND(ISNUMBER(Roster!$B408),Setup!$B$29="Yes",ISNUMBER(Setup!$C$29)),EDATE(Roster!$B408,12*Setup!$C$29),"")</f>
        <v/>
      </c>
      <c r="L408" s="32" t="str">
        <f>IF(AND(ISNUMBER(Roster!$B408),Setup!$B$30="Yes",ISNUMBER(Setup!$C$30)),EDATE(Roster!$B408,12*Setup!$C$30),"")</f>
        <v/>
      </c>
      <c r="M408" s="32" t="str">
        <f>IF(AND(ISNUMBER(Roster!$B408),Setup!$B$31="Yes",ISNUMBER(Setup!$C$31)),EDATE(Roster!$B408,12*Setup!$C$31),"")</f>
        <v/>
      </c>
      <c r="N408" s="32" t="str">
        <f>IF(AND(ISNUMBER(Roster!$B408),Setup!$B$32="Yes",ISNUMBER(Setup!$C$32)),EDATE(Roster!$B408,12*Setup!$C$32),"")</f>
        <v/>
      </c>
      <c r="O408" s="32" t="str">
        <f>IF(AND(ISNUMBER(Roster!$B408),Setup!$B$33="Yes",ISNUMBER(Setup!$C$33)),EDATE(Roster!$B408,12*Setup!$C$33),"")</f>
        <v/>
      </c>
      <c r="P408" s="32" t="str">
        <f>IF(AND(ISNUMBER(Roster!$B408),Setup!$B$34="Yes",ISNUMBER(Setup!$C$34)),EDATE(Roster!$B408,12*Setup!$C$34),"")</f>
        <v/>
      </c>
      <c r="R408" t="str">
        <f>IF(B408="","",IF(B408&lt;Setup!$C$5-Setup!$C$6,"",IF(IF(ISNUMBER(Roster!$D408),Setup!$C$20&lt;=Roster!$D408,FALSE),"",IF(OR(IF(Setup!$C$15&lt;=Setup!$C$16,AND(MONTH(B408)&gt;=Setup!$C$15,MONTH(B408)&lt;=Setup!$C$16),OR(MONTH(B408)&gt;=Setup!$C$15,MONTH(B408)&lt;=Setup!$C$16)),IF(Setup!$C$15&lt;=Setup!$C$16,AND(MONTH(WORKDAY(B408,-(Setup!$C$13+Setup!$G$20),Setup!$C$39:$C$50))&gt;=Setup!$C$15,MONTH(WORKDAY(B408,-(Setup!$C$13+Setup!$G$20),Setup!$C$39:$C$50))&lt;=Setup!$C$16),OR(MONTH(WORKDAY(B408,-(Setup!$C$13+Setup!$G$20),Setup!$C$39:$C$50))&gt;=Setup!$C$15,MONTH(WORKDAY(B408,-(Setup!$C$13+Setup!$G$20),Setup!$C$39:$C$50))&lt;=Setup!$C$16))),WORKDAY(B408,-(Setup!$C$13+Setup!$G$20+Setup!$C$14),Setup!$C$39:$C$50),WORKDAY(B408,-(Setup!$C$13+Setup!$G$20),Setup!$C$39:$C$50))+(403*100+1)/10000000)))</f>
        <v/>
      </c>
      <c r="S408" t="str">
        <f>IF(C408="","",IF(C408&lt;Setup!$C$5-Setup!$C$6,"",IF(IF(ISNUMBER(Roster!$D408),Setup!$C$21&lt;=Roster!$D408,FALSE),"",IF(OR(IF(Setup!$C$15&lt;=Setup!$C$16,AND(MONTH(C408)&gt;=Setup!$C$15,MONTH(C408)&lt;=Setup!$C$16),OR(MONTH(C408)&gt;=Setup!$C$15,MONTH(C408)&lt;=Setup!$C$16)),IF(Setup!$C$15&lt;=Setup!$C$16,AND(MONTH(WORKDAY(C408,-(Setup!$C$13+Setup!$G$21),Setup!$C$39:$C$50))&gt;=Setup!$C$15,MONTH(WORKDAY(C408,-(Setup!$C$13+Setup!$G$21),Setup!$C$39:$C$50))&lt;=Setup!$C$16),OR(MONTH(WORKDAY(C408,-(Setup!$C$13+Setup!$G$21),Setup!$C$39:$C$50))&gt;=Setup!$C$15,MONTH(WORKDAY(C408,-(Setup!$C$13+Setup!$G$21),Setup!$C$39:$C$50))&lt;=Setup!$C$16))),WORKDAY(C408,-(Setup!$C$13+Setup!$G$21+Setup!$C$14),Setup!$C$39:$C$50),WORKDAY(C408,-(Setup!$C$13+Setup!$G$21),Setup!$C$39:$C$50))+(403*100+2)/10000000)))</f>
        <v/>
      </c>
      <c r="T408" t="str">
        <f>IF(D408="","",IF(D408&lt;Setup!$C$5-Setup!$C$6,"",IF(IF(ISNUMBER(Roster!$D408),Setup!$C$22&lt;=Roster!$D408,FALSE),"",IF(OR(IF(Setup!$C$15&lt;=Setup!$C$16,AND(MONTH(D408)&gt;=Setup!$C$15,MONTH(D408)&lt;=Setup!$C$16),OR(MONTH(D408)&gt;=Setup!$C$15,MONTH(D408)&lt;=Setup!$C$16)),IF(Setup!$C$15&lt;=Setup!$C$16,AND(MONTH(WORKDAY(D408,-(Setup!$C$13+Setup!$G$22),Setup!$C$39:$C$50))&gt;=Setup!$C$15,MONTH(WORKDAY(D408,-(Setup!$C$13+Setup!$G$22),Setup!$C$39:$C$50))&lt;=Setup!$C$16),OR(MONTH(WORKDAY(D408,-(Setup!$C$13+Setup!$G$22),Setup!$C$39:$C$50))&gt;=Setup!$C$15,MONTH(WORKDAY(D408,-(Setup!$C$13+Setup!$G$22),Setup!$C$39:$C$50))&lt;=Setup!$C$16))),WORKDAY(D408,-(Setup!$C$13+Setup!$G$22+Setup!$C$14),Setup!$C$39:$C$50),WORKDAY(D408,-(Setup!$C$13+Setup!$G$22),Setup!$C$39:$C$50))+(403*100+3)/10000000)))</f>
        <v/>
      </c>
      <c r="U408" t="str">
        <f>IF(E408="","",IF(E408&lt;Setup!$C$5-Setup!$C$6,"",IF(IF(ISNUMBER(Roster!$D408),Setup!$C$23&lt;=Roster!$D408,FALSE),"",IF(OR(IF(Setup!$C$15&lt;=Setup!$C$16,AND(MONTH(E408)&gt;=Setup!$C$15,MONTH(E408)&lt;=Setup!$C$16),OR(MONTH(E408)&gt;=Setup!$C$15,MONTH(E408)&lt;=Setup!$C$16)),IF(Setup!$C$15&lt;=Setup!$C$16,AND(MONTH(WORKDAY(E408,-(Setup!$C$13+Setup!$G$23),Setup!$C$39:$C$50))&gt;=Setup!$C$15,MONTH(WORKDAY(E408,-(Setup!$C$13+Setup!$G$23),Setup!$C$39:$C$50))&lt;=Setup!$C$16),OR(MONTH(WORKDAY(E408,-(Setup!$C$13+Setup!$G$23),Setup!$C$39:$C$50))&gt;=Setup!$C$15,MONTH(WORKDAY(E408,-(Setup!$C$13+Setup!$G$23),Setup!$C$39:$C$50))&lt;=Setup!$C$16))),WORKDAY(E408,-(Setup!$C$13+Setup!$G$23+Setup!$C$14),Setup!$C$39:$C$50),WORKDAY(E408,-(Setup!$C$13+Setup!$G$23),Setup!$C$39:$C$50))+(403*100+4)/10000000)))</f>
        <v/>
      </c>
      <c r="V408" t="str">
        <f>IF(F408="","",IF(F408&lt;Setup!$C$5-Setup!$C$6,"",IF(IF(ISNUMBER(Roster!$D408),Setup!$C$24&lt;=Roster!$D408,FALSE),"",IF(OR(IF(Setup!$C$15&lt;=Setup!$C$16,AND(MONTH(F408)&gt;=Setup!$C$15,MONTH(F408)&lt;=Setup!$C$16),OR(MONTH(F408)&gt;=Setup!$C$15,MONTH(F408)&lt;=Setup!$C$16)),IF(Setup!$C$15&lt;=Setup!$C$16,AND(MONTH(WORKDAY(F408,-(Setup!$C$13+Setup!$G$24),Setup!$C$39:$C$50))&gt;=Setup!$C$15,MONTH(WORKDAY(F408,-(Setup!$C$13+Setup!$G$24),Setup!$C$39:$C$50))&lt;=Setup!$C$16),OR(MONTH(WORKDAY(F408,-(Setup!$C$13+Setup!$G$24),Setup!$C$39:$C$50))&gt;=Setup!$C$15,MONTH(WORKDAY(F408,-(Setup!$C$13+Setup!$G$24),Setup!$C$39:$C$50))&lt;=Setup!$C$16))),WORKDAY(F408,-(Setup!$C$13+Setup!$G$24+Setup!$C$14),Setup!$C$39:$C$50),WORKDAY(F408,-(Setup!$C$13+Setup!$G$24),Setup!$C$39:$C$50))+(403*100+5)/10000000)))</f>
        <v/>
      </c>
      <c r="W408" t="str">
        <f>IF(G408="","",IF(G408&lt;Setup!$C$5-Setup!$C$6,"",IF(IF(ISNUMBER(Roster!$D408),Setup!$C$25&lt;=Roster!$D408,FALSE),"",IF(OR(IF(Setup!$C$15&lt;=Setup!$C$16,AND(MONTH(G408)&gt;=Setup!$C$15,MONTH(G408)&lt;=Setup!$C$16),OR(MONTH(G408)&gt;=Setup!$C$15,MONTH(G408)&lt;=Setup!$C$16)),IF(Setup!$C$15&lt;=Setup!$C$16,AND(MONTH(WORKDAY(G408,-(Setup!$C$13+Setup!$G$25),Setup!$C$39:$C$50))&gt;=Setup!$C$15,MONTH(WORKDAY(G408,-(Setup!$C$13+Setup!$G$25),Setup!$C$39:$C$50))&lt;=Setup!$C$16),OR(MONTH(WORKDAY(G408,-(Setup!$C$13+Setup!$G$25),Setup!$C$39:$C$50))&gt;=Setup!$C$15,MONTH(WORKDAY(G408,-(Setup!$C$13+Setup!$G$25),Setup!$C$39:$C$50))&lt;=Setup!$C$16))),WORKDAY(G408,-(Setup!$C$13+Setup!$G$25+Setup!$C$14),Setup!$C$39:$C$50),WORKDAY(G408,-(Setup!$C$13+Setup!$G$25),Setup!$C$39:$C$50))+(403*100+6)/10000000)))</f>
        <v/>
      </c>
      <c r="X408" t="str">
        <f>IF(H408="","",IF(H408&lt;Setup!$C$5-Setup!$C$6,"",IF(IF(ISNUMBER(Roster!$D408),Setup!$C$26&lt;=Roster!$D408,FALSE),"",IF(OR(IF(Setup!$C$15&lt;=Setup!$C$16,AND(MONTH(H408)&gt;=Setup!$C$15,MONTH(H408)&lt;=Setup!$C$16),OR(MONTH(H408)&gt;=Setup!$C$15,MONTH(H408)&lt;=Setup!$C$16)),IF(Setup!$C$15&lt;=Setup!$C$16,AND(MONTH(WORKDAY(H408,-(Setup!$C$13+Setup!$G$26),Setup!$C$39:$C$50))&gt;=Setup!$C$15,MONTH(WORKDAY(H408,-(Setup!$C$13+Setup!$G$26),Setup!$C$39:$C$50))&lt;=Setup!$C$16),OR(MONTH(WORKDAY(H408,-(Setup!$C$13+Setup!$G$26),Setup!$C$39:$C$50))&gt;=Setup!$C$15,MONTH(WORKDAY(H408,-(Setup!$C$13+Setup!$G$26),Setup!$C$39:$C$50))&lt;=Setup!$C$16))),WORKDAY(H408,-(Setup!$C$13+Setup!$G$26+Setup!$C$14),Setup!$C$39:$C$50),WORKDAY(H408,-(Setup!$C$13+Setup!$G$26),Setup!$C$39:$C$50))+(403*100+7)/10000000)))</f>
        <v/>
      </c>
      <c r="Y408" t="str">
        <f>IF(I408="","",IF(I408&lt;Setup!$C$5-Setup!$C$6,"",IF(IF(ISNUMBER(Roster!$D408),Setup!$C$27&lt;=Roster!$D408,FALSE),"",IF(OR(IF(Setup!$C$15&lt;=Setup!$C$16,AND(MONTH(I408)&gt;=Setup!$C$15,MONTH(I408)&lt;=Setup!$C$16),OR(MONTH(I408)&gt;=Setup!$C$15,MONTH(I408)&lt;=Setup!$C$16)),IF(Setup!$C$15&lt;=Setup!$C$16,AND(MONTH(WORKDAY(I408,-(Setup!$C$13+Setup!$G$27),Setup!$C$39:$C$50))&gt;=Setup!$C$15,MONTH(WORKDAY(I408,-(Setup!$C$13+Setup!$G$27),Setup!$C$39:$C$50))&lt;=Setup!$C$16),OR(MONTH(WORKDAY(I408,-(Setup!$C$13+Setup!$G$27),Setup!$C$39:$C$50))&gt;=Setup!$C$15,MONTH(WORKDAY(I408,-(Setup!$C$13+Setup!$G$27),Setup!$C$39:$C$50))&lt;=Setup!$C$16))),WORKDAY(I408,-(Setup!$C$13+Setup!$G$27+Setup!$C$14),Setup!$C$39:$C$50),WORKDAY(I408,-(Setup!$C$13+Setup!$G$27),Setup!$C$39:$C$50))+(403*100+8)/10000000)))</f>
        <v/>
      </c>
      <c r="Z408" t="str">
        <f>IF(J408="","",IF(J408&lt;Setup!$C$5-Setup!$C$6,"",IF(IF(ISNUMBER(Roster!$D408),Setup!$C$28&lt;=Roster!$D408,FALSE),"",IF(OR(IF(Setup!$C$15&lt;=Setup!$C$16,AND(MONTH(J408)&gt;=Setup!$C$15,MONTH(J408)&lt;=Setup!$C$16),OR(MONTH(J408)&gt;=Setup!$C$15,MONTH(J408)&lt;=Setup!$C$16)),IF(Setup!$C$15&lt;=Setup!$C$16,AND(MONTH(WORKDAY(J408,-(Setup!$C$13+Setup!$G$28),Setup!$C$39:$C$50))&gt;=Setup!$C$15,MONTH(WORKDAY(J408,-(Setup!$C$13+Setup!$G$28),Setup!$C$39:$C$50))&lt;=Setup!$C$16),OR(MONTH(WORKDAY(J408,-(Setup!$C$13+Setup!$G$28),Setup!$C$39:$C$50))&gt;=Setup!$C$15,MONTH(WORKDAY(J408,-(Setup!$C$13+Setup!$G$28),Setup!$C$39:$C$50))&lt;=Setup!$C$16))),WORKDAY(J408,-(Setup!$C$13+Setup!$G$28+Setup!$C$14),Setup!$C$39:$C$50),WORKDAY(J408,-(Setup!$C$13+Setup!$G$28),Setup!$C$39:$C$50))+(403*100+9)/10000000)))</f>
        <v/>
      </c>
      <c r="AA408" t="str">
        <f>IF(K408="","",IF(K408&lt;Setup!$C$5-Setup!$C$6,"",IF(IF(ISNUMBER(Roster!$D408),Setup!$C$29&lt;=Roster!$D408,FALSE),"",IF(OR(IF(Setup!$C$15&lt;=Setup!$C$16,AND(MONTH(K408)&gt;=Setup!$C$15,MONTH(K408)&lt;=Setup!$C$16),OR(MONTH(K408)&gt;=Setup!$C$15,MONTH(K408)&lt;=Setup!$C$16)),IF(Setup!$C$15&lt;=Setup!$C$16,AND(MONTH(WORKDAY(K408,-(Setup!$C$13+Setup!$G$29),Setup!$C$39:$C$50))&gt;=Setup!$C$15,MONTH(WORKDAY(K408,-(Setup!$C$13+Setup!$G$29),Setup!$C$39:$C$50))&lt;=Setup!$C$16),OR(MONTH(WORKDAY(K408,-(Setup!$C$13+Setup!$G$29),Setup!$C$39:$C$50))&gt;=Setup!$C$15,MONTH(WORKDAY(K408,-(Setup!$C$13+Setup!$G$29),Setup!$C$39:$C$50))&lt;=Setup!$C$16))),WORKDAY(K408,-(Setup!$C$13+Setup!$G$29+Setup!$C$14),Setup!$C$39:$C$50),WORKDAY(K408,-(Setup!$C$13+Setup!$G$29),Setup!$C$39:$C$50))+(403*100+10)/10000000)))</f>
        <v/>
      </c>
      <c r="AB408" t="str">
        <f>IF(L408="","",IF(L408&lt;Setup!$C$5-Setup!$C$6,"",IF(IF(ISNUMBER(Roster!$D408),Setup!$C$30&lt;=Roster!$D408,FALSE),"",IF(OR(IF(Setup!$C$15&lt;=Setup!$C$16,AND(MONTH(L408)&gt;=Setup!$C$15,MONTH(L408)&lt;=Setup!$C$16),OR(MONTH(L408)&gt;=Setup!$C$15,MONTH(L408)&lt;=Setup!$C$16)),IF(Setup!$C$15&lt;=Setup!$C$16,AND(MONTH(WORKDAY(L408,-(Setup!$C$13+Setup!$G$30),Setup!$C$39:$C$50))&gt;=Setup!$C$15,MONTH(WORKDAY(L408,-(Setup!$C$13+Setup!$G$30),Setup!$C$39:$C$50))&lt;=Setup!$C$16),OR(MONTH(WORKDAY(L408,-(Setup!$C$13+Setup!$G$30),Setup!$C$39:$C$50))&gt;=Setup!$C$15,MONTH(WORKDAY(L408,-(Setup!$C$13+Setup!$G$30),Setup!$C$39:$C$50))&lt;=Setup!$C$16))),WORKDAY(L408,-(Setup!$C$13+Setup!$G$30+Setup!$C$14),Setup!$C$39:$C$50),WORKDAY(L408,-(Setup!$C$13+Setup!$G$30),Setup!$C$39:$C$50))+(403*100+11)/10000000)))</f>
        <v/>
      </c>
      <c r="AC408" t="str">
        <f>IF(M408="","",IF(M408&lt;Setup!$C$5-Setup!$C$6,"",IF(IF(ISNUMBER(Roster!$D408),Setup!$C$31&lt;=Roster!$D408,FALSE),"",IF(OR(IF(Setup!$C$15&lt;=Setup!$C$16,AND(MONTH(M408)&gt;=Setup!$C$15,MONTH(M408)&lt;=Setup!$C$16),OR(MONTH(M408)&gt;=Setup!$C$15,MONTH(M408)&lt;=Setup!$C$16)),IF(Setup!$C$15&lt;=Setup!$C$16,AND(MONTH(WORKDAY(M408,-(Setup!$C$13+Setup!$G$31),Setup!$C$39:$C$50))&gt;=Setup!$C$15,MONTH(WORKDAY(M408,-(Setup!$C$13+Setup!$G$31),Setup!$C$39:$C$50))&lt;=Setup!$C$16),OR(MONTH(WORKDAY(M408,-(Setup!$C$13+Setup!$G$31),Setup!$C$39:$C$50))&gt;=Setup!$C$15,MONTH(WORKDAY(M408,-(Setup!$C$13+Setup!$G$31),Setup!$C$39:$C$50))&lt;=Setup!$C$16))),WORKDAY(M408,-(Setup!$C$13+Setup!$G$31+Setup!$C$14),Setup!$C$39:$C$50),WORKDAY(M408,-(Setup!$C$13+Setup!$G$31),Setup!$C$39:$C$50))+(403*100+12)/10000000)))</f>
        <v/>
      </c>
      <c r="AD408" t="str">
        <f>IF(N408="","",IF(N408&lt;Setup!$C$5-Setup!$C$6,"",IF(IF(ISNUMBER(Roster!$D408),Setup!$C$32&lt;=Roster!$D408,FALSE),"",IF(OR(IF(Setup!$C$15&lt;=Setup!$C$16,AND(MONTH(N408)&gt;=Setup!$C$15,MONTH(N408)&lt;=Setup!$C$16),OR(MONTH(N408)&gt;=Setup!$C$15,MONTH(N408)&lt;=Setup!$C$16)),IF(Setup!$C$15&lt;=Setup!$C$16,AND(MONTH(WORKDAY(N408,-(Setup!$C$13+Setup!$G$32),Setup!$C$39:$C$50))&gt;=Setup!$C$15,MONTH(WORKDAY(N408,-(Setup!$C$13+Setup!$G$32),Setup!$C$39:$C$50))&lt;=Setup!$C$16),OR(MONTH(WORKDAY(N408,-(Setup!$C$13+Setup!$G$32),Setup!$C$39:$C$50))&gt;=Setup!$C$15,MONTH(WORKDAY(N408,-(Setup!$C$13+Setup!$G$32),Setup!$C$39:$C$50))&lt;=Setup!$C$16))),WORKDAY(N408,-(Setup!$C$13+Setup!$G$32+Setup!$C$14),Setup!$C$39:$C$50),WORKDAY(N408,-(Setup!$C$13+Setup!$G$32),Setup!$C$39:$C$50))+(403*100+13)/10000000)))</f>
        <v/>
      </c>
      <c r="AE408" t="str">
        <f>IF(O408="","",IF(O408&lt;Setup!$C$5-Setup!$C$6,"",IF(IF(ISNUMBER(Roster!$D408),Setup!$C$33&lt;=Roster!$D408,FALSE),"",IF(OR(IF(Setup!$C$15&lt;=Setup!$C$16,AND(MONTH(O408)&gt;=Setup!$C$15,MONTH(O408)&lt;=Setup!$C$16),OR(MONTH(O408)&gt;=Setup!$C$15,MONTH(O408)&lt;=Setup!$C$16)),IF(Setup!$C$15&lt;=Setup!$C$16,AND(MONTH(WORKDAY(O408,-(Setup!$C$13+Setup!$G$33),Setup!$C$39:$C$50))&gt;=Setup!$C$15,MONTH(WORKDAY(O408,-(Setup!$C$13+Setup!$G$33),Setup!$C$39:$C$50))&lt;=Setup!$C$16),OR(MONTH(WORKDAY(O408,-(Setup!$C$13+Setup!$G$33),Setup!$C$39:$C$50))&gt;=Setup!$C$15,MONTH(WORKDAY(O408,-(Setup!$C$13+Setup!$G$33),Setup!$C$39:$C$50))&lt;=Setup!$C$16))),WORKDAY(O408,-(Setup!$C$13+Setup!$G$33+Setup!$C$14),Setup!$C$39:$C$50),WORKDAY(O408,-(Setup!$C$13+Setup!$G$33),Setup!$C$39:$C$50))+(403*100+14)/10000000)))</f>
        <v/>
      </c>
      <c r="AF408" t="str">
        <f>IF(P408="","",IF(P408&lt;Setup!$C$5-Setup!$C$6,"",IF(IF(ISNUMBER(Roster!$D408),Setup!$C$34&lt;=Roster!$D408,FALSE),"",IF(OR(IF(Setup!$C$15&lt;=Setup!$C$16,AND(MONTH(P408)&gt;=Setup!$C$15,MONTH(P408)&lt;=Setup!$C$16),OR(MONTH(P408)&gt;=Setup!$C$15,MONTH(P408)&lt;=Setup!$C$16)),IF(Setup!$C$15&lt;=Setup!$C$16,AND(MONTH(WORKDAY(P408,-(Setup!$C$13+Setup!$G$34),Setup!$C$39:$C$50))&gt;=Setup!$C$15,MONTH(WORKDAY(P408,-(Setup!$C$13+Setup!$G$34),Setup!$C$39:$C$50))&lt;=Setup!$C$16),OR(MONTH(WORKDAY(P408,-(Setup!$C$13+Setup!$G$34),Setup!$C$39:$C$50))&gt;=Setup!$C$15,MONTH(WORKDAY(P408,-(Setup!$C$13+Setup!$G$34),Setup!$C$39:$C$50))&lt;=Setup!$C$16))),WORKDAY(P408,-(Setup!$C$13+Setup!$G$34+Setup!$C$14),Setup!$C$39:$C$50),WORKDAY(P408,-(Setup!$C$13+Setup!$G$34),Setup!$C$39:$C$50))+(403*100+15)/10000000)))</f>
        <v/>
      </c>
      <c r="AH408" t="str">
        <f t="shared" si="46"/>
        <v/>
      </c>
      <c r="AI408" t="str">
        <f t="shared" si="47"/>
        <v/>
      </c>
      <c r="AP408" t="str">
        <f>IF(ISNUMBER(Roster!$B408),MAX(1,YEAR(Setup!$C$5)-YEAR(Roster!$B408)+IF(EDATE(Roster!$B408,12*(YEAR(Setup!$C$5)-YEAR(Roster!$B408)))&lt;Setup!$C$5,1,0)),"")</f>
        <v/>
      </c>
      <c r="AQ408" s="32" t="str">
        <f>IF(AP408="","",EDATE(Roster!$B408,12*AP408))</f>
        <v/>
      </c>
      <c r="AR408" t="str">
        <f>IF(AQ408="","",IF(AQ408&lt;DATE(YEAR(Setup!$C$5)+1,MONTH(Setup!$C$5),DAY(Setup!$C$5)),AQ408+403/1000,""))</f>
        <v/>
      </c>
      <c r="AS408" t="str">
        <f t="shared" si="48"/>
        <v/>
      </c>
      <c r="AT408" t="str">
        <f>IF(AS408="","",IF(ISNUMBER(Roster!$D408),Roster!$D408&gt;=AP408,FALSE))</f>
        <v/>
      </c>
      <c r="AU408" t="str">
        <f t="shared" si="49"/>
        <v/>
      </c>
      <c r="AV408" t="str">
        <f ca="1">IF(403&gt;$AV$2,"",SMALL($AR$6:$AR$505,403))</f>
        <v/>
      </c>
      <c r="AW408" t="str">
        <f t="shared" ca="1" si="50"/>
        <v/>
      </c>
    </row>
    <row r="409" spans="2:49" x14ac:dyDescent="0.2">
      <c r="B409" s="32" t="str">
        <f>IF(AND(ISNUMBER(Roster!$B409),Setup!$B$20="Yes",ISNUMBER(Setup!$C$20)),EDATE(Roster!$B409,12*Setup!$C$20),"")</f>
        <v/>
      </c>
      <c r="C409" s="32" t="str">
        <f>IF(AND(ISNUMBER(Roster!$B409),Setup!$B$21="Yes",ISNUMBER(Setup!$C$21)),EDATE(Roster!$B409,12*Setup!$C$21),"")</f>
        <v/>
      </c>
      <c r="D409" s="32" t="str">
        <f>IF(AND(ISNUMBER(Roster!$B409),Setup!$B$22="Yes",ISNUMBER(Setup!$C$22)),EDATE(Roster!$B409,12*Setup!$C$22),"")</f>
        <v/>
      </c>
      <c r="E409" s="32" t="str">
        <f>IF(AND(ISNUMBER(Roster!$B409),Setup!$B$23="Yes",ISNUMBER(Setup!$C$23)),EDATE(Roster!$B409,12*Setup!$C$23),"")</f>
        <v/>
      </c>
      <c r="F409" s="32" t="str">
        <f>IF(AND(ISNUMBER(Roster!$B409),Setup!$B$24="Yes",ISNUMBER(Setup!$C$24)),EDATE(Roster!$B409,12*Setup!$C$24),"")</f>
        <v/>
      </c>
      <c r="G409" s="32" t="str">
        <f>IF(AND(ISNUMBER(Roster!$B409),Setup!$B$25="Yes",ISNUMBER(Setup!$C$25)),EDATE(Roster!$B409,12*Setup!$C$25),"")</f>
        <v/>
      </c>
      <c r="H409" s="32" t="str">
        <f>IF(AND(ISNUMBER(Roster!$B409),Setup!$B$26="Yes",ISNUMBER(Setup!$C$26)),EDATE(Roster!$B409,12*Setup!$C$26),"")</f>
        <v/>
      </c>
      <c r="I409" s="32" t="str">
        <f>IF(AND(ISNUMBER(Roster!$B409),Setup!$B$27="Yes",ISNUMBER(Setup!$C$27)),EDATE(Roster!$B409,12*Setup!$C$27),"")</f>
        <v/>
      </c>
      <c r="J409" s="32" t="str">
        <f>IF(AND(ISNUMBER(Roster!$B409),Setup!$B$28="Yes",ISNUMBER(Setup!$C$28)),EDATE(Roster!$B409,12*Setup!$C$28),"")</f>
        <v/>
      </c>
      <c r="K409" s="32" t="str">
        <f>IF(AND(ISNUMBER(Roster!$B409),Setup!$B$29="Yes",ISNUMBER(Setup!$C$29)),EDATE(Roster!$B409,12*Setup!$C$29),"")</f>
        <v/>
      </c>
      <c r="L409" s="32" t="str">
        <f>IF(AND(ISNUMBER(Roster!$B409),Setup!$B$30="Yes",ISNUMBER(Setup!$C$30)),EDATE(Roster!$B409,12*Setup!$C$30),"")</f>
        <v/>
      </c>
      <c r="M409" s="32" t="str">
        <f>IF(AND(ISNUMBER(Roster!$B409),Setup!$B$31="Yes",ISNUMBER(Setup!$C$31)),EDATE(Roster!$B409,12*Setup!$C$31),"")</f>
        <v/>
      </c>
      <c r="N409" s="32" t="str">
        <f>IF(AND(ISNUMBER(Roster!$B409),Setup!$B$32="Yes",ISNUMBER(Setup!$C$32)),EDATE(Roster!$B409,12*Setup!$C$32),"")</f>
        <v/>
      </c>
      <c r="O409" s="32" t="str">
        <f>IF(AND(ISNUMBER(Roster!$B409),Setup!$B$33="Yes",ISNUMBER(Setup!$C$33)),EDATE(Roster!$B409,12*Setup!$C$33),"")</f>
        <v/>
      </c>
      <c r="P409" s="32" t="str">
        <f>IF(AND(ISNUMBER(Roster!$B409),Setup!$B$34="Yes",ISNUMBER(Setup!$C$34)),EDATE(Roster!$B409,12*Setup!$C$34),"")</f>
        <v/>
      </c>
      <c r="R409" t="str">
        <f>IF(B409="","",IF(B409&lt;Setup!$C$5-Setup!$C$6,"",IF(IF(ISNUMBER(Roster!$D409),Setup!$C$20&lt;=Roster!$D409,FALSE),"",IF(OR(IF(Setup!$C$15&lt;=Setup!$C$16,AND(MONTH(B409)&gt;=Setup!$C$15,MONTH(B409)&lt;=Setup!$C$16),OR(MONTH(B409)&gt;=Setup!$C$15,MONTH(B409)&lt;=Setup!$C$16)),IF(Setup!$C$15&lt;=Setup!$C$16,AND(MONTH(WORKDAY(B409,-(Setup!$C$13+Setup!$G$20),Setup!$C$39:$C$50))&gt;=Setup!$C$15,MONTH(WORKDAY(B409,-(Setup!$C$13+Setup!$G$20),Setup!$C$39:$C$50))&lt;=Setup!$C$16),OR(MONTH(WORKDAY(B409,-(Setup!$C$13+Setup!$G$20),Setup!$C$39:$C$50))&gt;=Setup!$C$15,MONTH(WORKDAY(B409,-(Setup!$C$13+Setup!$G$20),Setup!$C$39:$C$50))&lt;=Setup!$C$16))),WORKDAY(B409,-(Setup!$C$13+Setup!$G$20+Setup!$C$14),Setup!$C$39:$C$50),WORKDAY(B409,-(Setup!$C$13+Setup!$G$20),Setup!$C$39:$C$50))+(404*100+1)/10000000)))</f>
        <v/>
      </c>
      <c r="S409" t="str">
        <f>IF(C409="","",IF(C409&lt;Setup!$C$5-Setup!$C$6,"",IF(IF(ISNUMBER(Roster!$D409),Setup!$C$21&lt;=Roster!$D409,FALSE),"",IF(OR(IF(Setup!$C$15&lt;=Setup!$C$16,AND(MONTH(C409)&gt;=Setup!$C$15,MONTH(C409)&lt;=Setup!$C$16),OR(MONTH(C409)&gt;=Setup!$C$15,MONTH(C409)&lt;=Setup!$C$16)),IF(Setup!$C$15&lt;=Setup!$C$16,AND(MONTH(WORKDAY(C409,-(Setup!$C$13+Setup!$G$21),Setup!$C$39:$C$50))&gt;=Setup!$C$15,MONTH(WORKDAY(C409,-(Setup!$C$13+Setup!$G$21),Setup!$C$39:$C$50))&lt;=Setup!$C$16),OR(MONTH(WORKDAY(C409,-(Setup!$C$13+Setup!$G$21),Setup!$C$39:$C$50))&gt;=Setup!$C$15,MONTH(WORKDAY(C409,-(Setup!$C$13+Setup!$G$21),Setup!$C$39:$C$50))&lt;=Setup!$C$16))),WORKDAY(C409,-(Setup!$C$13+Setup!$G$21+Setup!$C$14),Setup!$C$39:$C$50),WORKDAY(C409,-(Setup!$C$13+Setup!$G$21),Setup!$C$39:$C$50))+(404*100+2)/10000000)))</f>
        <v/>
      </c>
      <c r="T409" t="str">
        <f>IF(D409="","",IF(D409&lt;Setup!$C$5-Setup!$C$6,"",IF(IF(ISNUMBER(Roster!$D409),Setup!$C$22&lt;=Roster!$D409,FALSE),"",IF(OR(IF(Setup!$C$15&lt;=Setup!$C$16,AND(MONTH(D409)&gt;=Setup!$C$15,MONTH(D409)&lt;=Setup!$C$16),OR(MONTH(D409)&gt;=Setup!$C$15,MONTH(D409)&lt;=Setup!$C$16)),IF(Setup!$C$15&lt;=Setup!$C$16,AND(MONTH(WORKDAY(D409,-(Setup!$C$13+Setup!$G$22),Setup!$C$39:$C$50))&gt;=Setup!$C$15,MONTH(WORKDAY(D409,-(Setup!$C$13+Setup!$G$22),Setup!$C$39:$C$50))&lt;=Setup!$C$16),OR(MONTH(WORKDAY(D409,-(Setup!$C$13+Setup!$G$22),Setup!$C$39:$C$50))&gt;=Setup!$C$15,MONTH(WORKDAY(D409,-(Setup!$C$13+Setup!$G$22),Setup!$C$39:$C$50))&lt;=Setup!$C$16))),WORKDAY(D409,-(Setup!$C$13+Setup!$G$22+Setup!$C$14),Setup!$C$39:$C$50),WORKDAY(D409,-(Setup!$C$13+Setup!$G$22),Setup!$C$39:$C$50))+(404*100+3)/10000000)))</f>
        <v/>
      </c>
      <c r="U409" t="str">
        <f>IF(E409="","",IF(E409&lt;Setup!$C$5-Setup!$C$6,"",IF(IF(ISNUMBER(Roster!$D409),Setup!$C$23&lt;=Roster!$D409,FALSE),"",IF(OR(IF(Setup!$C$15&lt;=Setup!$C$16,AND(MONTH(E409)&gt;=Setup!$C$15,MONTH(E409)&lt;=Setup!$C$16),OR(MONTH(E409)&gt;=Setup!$C$15,MONTH(E409)&lt;=Setup!$C$16)),IF(Setup!$C$15&lt;=Setup!$C$16,AND(MONTH(WORKDAY(E409,-(Setup!$C$13+Setup!$G$23),Setup!$C$39:$C$50))&gt;=Setup!$C$15,MONTH(WORKDAY(E409,-(Setup!$C$13+Setup!$G$23),Setup!$C$39:$C$50))&lt;=Setup!$C$16),OR(MONTH(WORKDAY(E409,-(Setup!$C$13+Setup!$G$23),Setup!$C$39:$C$50))&gt;=Setup!$C$15,MONTH(WORKDAY(E409,-(Setup!$C$13+Setup!$G$23),Setup!$C$39:$C$50))&lt;=Setup!$C$16))),WORKDAY(E409,-(Setup!$C$13+Setup!$G$23+Setup!$C$14),Setup!$C$39:$C$50),WORKDAY(E409,-(Setup!$C$13+Setup!$G$23),Setup!$C$39:$C$50))+(404*100+4)/10000000)))</f>
        <v/>
      </c>
      <c r="V409" t="str">
        <f>IF(F409="","",IF(F409&lt;Setup!$C$5-Setup!$C$6,"",IF(IF(ISNUMBER(Roster!$D409),Setup!$C$24&lt;=Roster!$D409,FALSE),"",IF(OR(IF(Setup!$C$15&lt;=Setup!$C$16,AND(MONTH(F409)&gt;=Setup!$C$15,MONTH(F409)&lt;=Setup!$C$16),OR(MONTH(F409)&gt;=Setup!$C$15,MONTH(F409)&lt;=Setup!$C$16)),IF(Setup!$C$15&lt;=Setup!$C$16,AND(MONTH(WORKDAY(F409,-(Setup!$C$13+Setup!$G$24),Setup!$C$39:$C$50))&gt;=Setup!$C$15,MONTH(WORKDAY(F409,-(Setup!$C$13+Setup!$G$24),Setup!$C$39:$C$50))&lt;=Setup!$C$16),OR(MONTH(WORKDAY(F409,-(Setup!$C$13+Setup!$G$24),Setup!$C$39:$C$50))&gt;=Setup!$C$15,MONTH(WORKDAY(F409,-(Setup!$C$13+Setup!$G$24),Setup!$C$39:$C$50))&lt;=Setup!$C$16))),WORKDAY(F409,-(Setup!$C$13+Setup!$G$24+Setup!$C$14),Setup!$C$39:$C$50),WORKDAY(F409,-(Setup!$C$13+Setup!$G$24),Setup!$C$39:$C$50))+(404*100+5)/10000000)))</f>
        <v/>
      </c>
      <c r="W409" t="str">
        <f>IF(G409="","",IF(G409&lt;Setup!$C$5-Setup!$C$6,"",IF(IF(ISNUMBER(Roster!$D409),Setup!$C$25&lt;=Roster!$D409,FALSE),"",IF(OR(IF(Setup!$C$15&lt;=Setup!$C$16,AND(MONTH(G409)&gt;=Setup!$C$15,MONTH(G409)&lt;=Setup!$C$16),OR(MONTH(G409)&gt;=Setup!$C$15,MONTH(G409)&lt;=Setup!$C$16)),IF(Setup!$C$15&lt;=Setup!$C$16,AND(MONTH(WORKDAY(G409,-(Setup!$C$13+Setup!$G$25),Setup!$C$39:$C$50))&gt;=Setup!$C$15,MONTH(WORKDAY(G409,-(Setup!$C$13+Setup!$G$25),Setup!$C$39:$C$50))&lt;=Setup!$C$16),OR(MONTH(WORKDAY(G409,-(Setup!$C$13+Setup!$G$25),Setup!$C$39:$C$50))&gt;=Setup!$C$15,MONTH(WORKDAY(G409,-(Setup!$C$13+Setup!$G$25),Setup!$C$39:$C$50))&lt;=Setup!$C$16))),WORKDAY(G409,-(Setup!$C$13+Setup!$G$25+Setup!$C$14),Setup!$C$39:$C$50),WORKDAY(G409,-(Setup!$C$13+Setup!$G$25),Setup!$C$39:$C$50))+(404*100+6)/10000000)))</f>
        <v/>
      </c>
      <c r="X409" t="str">
        <f>IF(H409="","",IF(H409&lt;Setup!$C$5-Setup!$C$6,"",IF(IF(ISNUMBER(Roster!$D409),Setup!$C$26&lt;=Roster!$D409,FALSE),"",IF(OR(IF(Setup!$C$15&lt;=Setup!$C$16,AND(MONTH(H409)&gt;=Setup!$C$15,MONTH(H409)&lt;=Setup!$C$16),OR(MONTH(H409)&gt;=Setup!$C$15,MONTH(H409)&lt;=Setup!$C$16)),IF(Setup!$C$15&lt;=Setup!$C$16,AND(MONTH(WORKDAY(H409,-(Setup!$C$13+Setup!$G$26),Setup!$C$39:$C$50))&gt;=Setup!$C$15,MONTH(WORKDAY(H409,-(Setup!$C$13+Setup!$G$26),Setup!$C$39:$C$50))&lt;=Setup!$C$16),OR(MONTH(WORKDAY(H409,-(Setup!$C$13+Setup!$G$26),Setup!$C$39:$C$50))&gt;=Setup!$C$15,MONTH(WORKDAY(H409,-(Setup!$C$13+Setup!$G$26),Setup!$C$39:$C$50))&lt;=Setup!$C$16))),WORKDAY(H409,-(Setup!$C$13+Setup!$G$26+Setup!$C$14),Setup!$C$39:$C$50),WORKDAY(H409,-(Setup!$C$13+Setup!$G$26),Setup!$C$39:$C$50))+(404*100+7)/10000000)))</f>
        <v/>
      </c>
      <c r="Y409" t="str">
        <f>IF(I409="","",IF(I409&lt;Setup!$C$5-Setup!$C$6,"",IF(IF(ISNUMBER(Roster!$D409),Setup!$C$27&lt;=Roster!$D409,FALSE),"",IF(OR(IF(Setup!$C$15&lt;=Setup!$C$16,AND(MONTH(I409)&gt;=Setup!$C$15,MONTH(I409)&lt;=Setup!$C$16),OR(MONTH(I409)&gt;=Setup!$C$15,MONTH(I409)&lt;=Setup!$C$16)),IF(Setup!$C$15&lt;=Setup!$C$16,AND(MONTH(WORKDAY(I409,-(Setup!$C$13+Setup!$G$27),Setup!$C$39:$C$50))&gt;=Setup!$C$15,MONTH(WORKDAY(I409,-(Setup!$C$13+Setup!$G$27),Setup!$C$39:$C$50))&lt;=Setup!$C$16),OR(MONTH(WORKDAY(I409,-(Setup!$C$13+Setup!$G$27),Setup!$C$39:$C$50))&gt;=Setup!$C$15,MONTH(WORKDAY(I409,-(Setup!$C$13+Setup!$G$27),Setup!$C$39:$C$50))&lt;=Setup!$C$16))),WORKDAY(I409,-(Setup!$C$13+Setup!$G$27+Setup!$C$14),Setup!$C$39:$C$50),WORKDAY(I409,-(Setup!$C$13+Setup!$G$27),Setup!$C$39:$C$50))+(404*100+8)/10000000)))</f>
        <v/>
      </c>
      <c r="Z409" t="str">
        <f>IF(J409="","",IF(J409&lt;Setup!$C$5-Setup!$C$6,"",IF(IF(ISNUMBER(Roster!$D409),Setup!$C$28&lt;=Roster!$D409,FALSE),"",IF(OR(IF(Setup!$C$15&lt;=Setup!$C$16,AND(MONTH(J409)&gt;=Setup!$C$15,MONTH(J409)&lt;=Setup!$C$16),OR(MONTH(J409)&gt;=Setup!$C$15,MONTH(J409)&lt;=Setup!$C$16)),IF(Setup!$C$15&lt;=Setup!$C$16,AND(MONTH(WORKDAY(J409,-(Setup!$C$13+Setup!$G$28),Setup!$C$39:$C$50))&gt;=Setup!$C$15,MONTH(WORKDAY(J409,-(Setup!$C$13+Setup!$G$28),Setup!$C$39:$C$50))&lt;=Setup!$C$16),OR(MONTH(WORKDAY(J409,-(Setup!$C$13+Setup!$G$28),Setup!$C$39:$C$50))&gt;=Setup!$C$15,MONTH(WORKDAY(J409,-(Setup!$C$13+Setup!$G$28),Setup!$C$39:$C$50))&lt;=Setup!$C$16))),WORKDAY(J409,-(Setup!$C$13+Setup!$G$28+Setup!$C$14),Setup!$C$39:$C$50),WORKDAY(J409,-(Setup!$C$13+Setup!$G$28),Setup!$C$39:$C$50))+(404*100+9)/10000000)))</f>
        <v/>
      </c>
      <c r="AA409" t="str">
        <f>IF(K409="","",IF(K409&lt;Setup!$C$5-Setup!$C$6,"",IF(IF(ISNUMBER(Roster!$D409),Setup!$C$29&lt;=Roster!$D409,FALSE),"",IF(OR(IF(Setup!$C$15&lt;=Setup!$C$16,AND(MONTH(K409)&gt;=Setup!$C$15,MONTH(K409)&lt;=Setup!$C$16),OR(MONTH(K409)&gt;=Setup!$C$15,MONTH(K409)&lt;=Setup!$C$16)),IF(Setup!$C$15&lt;=Setup!$C$16,AND(MONTH(WORKDAY(K409,-(Setup!$C$13+Setup!$G$29),Setup!$C$39:$C$50))&gt;=Setup!$C$15,MONTH(WORKDAY(K409,-(Setup!$C$13+Setup!$G$29),Setup!$C$39:$C$50))&lt;=Setup!$C$16),OR(MONTH(WORKDAY(K409,-(Setup!$C$13+Setup!$G$29),Setup!$C$39:$C$50))&gt;=Setup!$C$15,MONTH(WORKDAY(K409,-(Setup!$C$13+Setup!$G$29),Setup!$C$39:$C$50))&lt;=Setup!$C$16))),WORKDAY(K409,-(Setup!$C$13+Setup!$G$29+Setup!$C$14),Setup!$C$39:$C$50),WORKDAY(K409,-(Setup!$C$13+Setup!$G$29),Setup!$C$39:$C$50))+(404*100+10)/10000000)))</f>
        <v/>
      </c>
      <c r="AB409" t="str">
        <f>IF(L409="","",IF(L409&lt;Setup!$C$5-Setup!$C$6,"",IF(IF(ISNUMBER(Roster!$D409),Setup!$C$30&lt;=Roster!$D409,FALSE),"",IF(OR(IF(Setup!$C$15&lt;=Setup!$C$16,AND(MONTH(L409)&gt;=Setup!$C$15,MONTH(L409)&lt;=Setup!$C$16),OR(MONTH(L409)&gt;=Setup!$C$15,MONTH(L409)&lt;=Setup!$C$16)),IF(Setup!$C$15&lt;=Setup!$C$16,AND(MONTH(WORKDAY(L409,-(Setup!$C$13+Setup!$G$30),Setup!$C$39:$C$50))&gt;=Setup!$C$15,MONTH(WORKDAY(L409,-(Setup!$C$13+Setup!$G$30),Setup!$C$39:$C$50))&lt;=Setup!$C$16),OR(MONTH(WORKDAY(L409,-(Setup!$C$13+Setup!$G$30),Setup!$C$39:$C$50))&gt;=Setup!$C$15,MONTH(WORKDAY(L409,-(Setup!$C$13+Setup!$G$30),Setup!$C$39:$C$50))&lt;=Setup!$C$16))),WORKDAY(L409,-(Setup!$C$13+Setup!$G$30+Setup!$C$14),Setup!$C$39:$C$50),WORKDAY(L409,-(Setup!$C$13+Setup!$G$30),Setup!$C$39:$C$50))+(404*100+11)/10000000)))</f>
        <v/>
      </c>
      <c r="AC409" t="str">
        <f>IF(M409="","",IF(M409&lt;Setup!$C$5-Setup!$C$6,"",IF(IF(ISNUMBER(Roster!$D409),Setup!$C$31&lt;=Roster!$D409,FALSE),"",IF(OR(IF(Setup!$C$15&lt;=Setup!$C$16,AND(MONTH(M409)&gt;=Setup!$C$15,MONTH(M409)&lt;=Setup!$C$16),OR(MONTH(M409)&gt;=Setup!$C$15,MONTH(M409)&lt;=Setup!$C$16)),IF(Setup!$C$15&lt;=Setup!$C$16,AND(MONTH(WORKDAY(M409,-(Setup!$C$13+Setup!$G$31),Setup!$C$39:$C$50))&gt;=Setup!$C$15,MONTH(WORKDAY(M409,-(Setup!$C$13+Setup!$G$31),Setup!$C$39:$C$50))&lt;=Setup!$C$16),OR(MONTH(WORKDAY(M409,-(Setup!$C$13+Setup!$G$31),Setup!$C$39:$C$50))&gt;=Setup!$C$15,MONTH(WORKDAY(M409,-(Setup!$C$13+Setup!$G$31),Setup!$C$39:$C$50))&lt;=Setup!$C$16))),WORKDAY(M409,-(Setup!$C$13+Setup!$G$31+Setup!$C$14),Setup!$C$39:$C$50),WORKDAY(M409,-(Setup!$C$13+Setup!$G$31),Setup!$C$39:$C$50))+(404*100+12)/10000000)))</f>
        <v/>
      </c>
      <c r="AD409" t="str">
        <f>IF(N409="","",IF(N409&lt;Setup!$C$5-Setup!$C$6,"",IF(IF(ISNUMBER(Roster!$D409),Setup!$C$32&lt;=Roster!$D409,FALSE),"",IF(OR(IF(Setup!$C$15&lt;=Setup!$C$16,AND(MONTH(N409)&gt;=Setup!$C$15,MONTH(N409)&lt;=Setup!$C$16),OR(MONTH(N409)&gt;=Setup!$C$15,MONTH(N409)&lt;=Setup!$C$16)),IF(Setup!$C$15&lt;=Setup!$C$16,AND(MONTH(WORKDAY(N409,-(Setup!$C$13+Setup!$G$32),Setup!$C$39:$C$50))&gt;=Setup!$C$15,MONTH(WORKDAY(N409,-(Setup!$C$13+Setup!$G$32),Setup!$C$39:$C$50))&lt;=Setup!$C$16),OR(MONTH(WORKDAY(N409,-(Setup!$C$13+Setup!$G$32),Setup!$C$39:$C$50))&gt;=Setup!$C$15,MONTH(WORKDAY(N409,-(Setup!$C$13+Setup!$G$32),Setup!$C$39:$C$50))&lt;=Setup!$C$16))),WORKDAY(N409,-(Setup!$C$13+Setup!$G$32+Setup!$C$14),Setup!$C$39:$C$50),WORKDAY(N409,-(Setup!$C$13+Setup!$G$32),Setup!$C$39:$C$50))+(404*100+13)/10000000)))</f>
        <v/>
      </c>
      <c r="AE409" t="str">
        <f>IF(O409="","",IF(O409&lt;Setup!$C$5-Setup!$C$6,"",IF(IF(ISNUMBER(Roster!$D409),Setup!$C$33&lt;=Roster!$D409,FALSE),"",IF(OR(IF(Setup!$C$15&lt;=Setup!$C$16,AND(MONTH(O409)&gt;=Setup!$C$15,MONTH(O409)&lt;=Setup!$C$16),OR(MONTH(O409)&gt;=Setup!$C$15,MONTH(O409)&lt;=Setup!$C$16)),IF(Setup!$C$15&lt;=Setup!$C$16,AND(MONTH(WORKDAY(O409,-(Setup!$C$13+Setup!$G$33),Setup!$C$39:$C$50))&gt;=Setup!$C$15,MONTH(WORKDAY(O409,-(Setup!$C$13+Setup!$G$33),Setup!$C$39:$C$50))&lt;=Setup!$C$16),OR(MONTH(WORKDAY(O409,-(Setup!$C$13+Setup!$G$33),Setup!$C$39:$C$50))&gt;=Setup!$C$15,MONTH(WORKDAY(O409,-(Setup!$C$13+Setup!$G$33),Setup!$C$39:$C$50))&lt;=Setup!$C$16))),WORKDAY(O409,-(Setup!$C$13+Setup!$G$33+Setup!$C$14),Setup!$C$39:$C$50),WORKDAY(O409,-(Setup!$C$13+Setup!$G$33),Setup!$C$39:$C$50))+(404*100+14)/10000000)))</f>
        <v/>
      </c>
      <c r="AF409" t="str">
        <f>IF(P409="","",IF(P409&lt;Setup!$C$5-Setup!$C$6,"",IF(IF(ISNUMBER(Roster!$D409),Setup!$C$34&lt;=Roster!$D409,FALSE),"",IF(OR(IF(Setup!$C$15&lt;=Setup!$C$16,AND(MONTH(P409)&gt;=Setup!$C$15,MONTH(P409)&lt;=Setup!$C$16),OR(MONTH(P409)&gt;=Setup!$C$15,MONTH(P409)&lt;=Setup!$C$16)),IF(Setup!$C$15&lt;=Setup!$C$16,AND(MONTH(WORKDAY(P409,-(Setup!$C$13+Setup!$G$34),Setup!$C$39:$C$50))&gt;=Setup!$C$15,MONTH(WORKDAY(P409,-(Setup!$C$13+Setup!$G$34),Setup!$C$39:$C$50))&lt;=Setup!$C$16),OR(MONTH(WORKDAY(P409,-(Setup!$C$13+Setup!$G$34),Setup!$C$39:$C$50))&gt;=Setup!$C$15,MONTH(WORKDAY(P409,-(Setup!$C$13+Setup!$G$34),Setup!$C$39:$C$50))&lt;=Setup!$C$16))),WORKDAY(P409,-(Setup!$C$13+Setup!$G$34+Setup!$C$14),Setup!$C$39:$C$50),WORKDAY(P409,-(Setup!$C$13+Setup!$G$34),Setup!$C$39:$C$50))+(404*100+15)/10000000)))</f>
        <v/>
      </c>
      <c r="AH409" t="str">
        <f t="shared" si="46"/>
        <v/>
      </c>
      <c r="AI409" t="str">
        <f t="shared" si="47"/>
        <v/>
      </c>
      <c r="AP409" t="str">
        <f>IF(ISNUMBER(Roster!$B409),MAX(1,YEAR(Setup!$C$5)-YEAR(Roster!$B409)+IF(EDATE(Roster!$B409,12*(YEAR(Setup!$C$5)-YEAR(Roster!$B409)))&lt;Setup!$C$5,1,0)),"")</f>
        <v/>
      </c>
      <c r="AQ409" s="32" t="str">
        <f>IF(AP409="","",EDATE(Roster!$B409,12*AP409))</f>
        <v/>
      </c>
      <c r="AR409" t="str">
        <f>IF(AQ409="","",IF(AQ409&lt;DATE(YEAR(Setup!$C$5)+1,MONTH(Setup!$C$5),DAY(Setup!$C$5)),AQ409+404/1000,""))</f>
        <v/>
      </c>
      <c r="AS409" t="str">
        <f t="shared" si="48"/>
        <v/>
      </c>
      <c r="AT409" t="str">
        <f>IF(AS409="","",IF(ISNUMBER(Roster!$D409),Roster!$D409&gt;=AP409,FALSE))</f>
        <v/>
      </c>
      <c r="AU409" t="str">
        <f t="shared" si="49"/>
        <v/>
      </c>
      <c r="AV409" t="str">
        <f ca="1">IF(404&gt;$AV$2,"",SMALL($AR$6:$AR$505,404))</f>
        <v/>
      </c>
      <c r="AW409" t="str">
        <f t="shared" ca="1" si="50"/>
        <v/>
      </c>
    </row>
    <row r="410" spans="2:49" x14ac:dyDescent="0.2">
      <c r="B410" s="32" t="str">
        <f>IF(AND(ISNUMBER(Roster!$B410),Setup!$B$20="Yes",ISNUMBER(Setup!$C$20)),EDATE(Roster!$B410,12*Setup!$C$20),"")</f>
        <v/>
      </c>
      <c r="C410" s="32" t="str">
        <f>IF(AND(ISNUMBER(Roster!$B410),Setup!$B$21="Yes",ISNUMBER(Setup!$C$21)),EDATE(Roster!$B410,12*Setup!$C$21),"")</f>
        <v/>
      </c>
      <c r="D410" s="32" t="str">
        <f>IF(AND(ISNUMBER(Roster!$B410),Setup!$B$22="Yes",ISNUMBER(Setup!$C$22)),EDATE(Roster!$B410,12*Setup!$C$22),"")</f>
        <v/>
      </c>
      <c r="E410" s="32" t="str">
        <f>IF(AND(ISNUMBER(Roster!$B410),Setup!$B$23="Yes",ISNUMBER(Setup!$C$23)),EDATE(Roster!$B410,12*Setup!$C$23),"")</f>
        <v/>
      </c>
      <c r="F410" s="32" t="str">
        <f>IF(AND(ISNUMBER(Roster!$B410),Setup!$B$24="Yes",ISNUMBER(Setup!$C$24)),EDATE(Roster!$B410,12*Setup!$C$24),"")</f>
        <v/>
      </c>
      <c r="G410" s="32" t="str">
        <f>IF(AND(ISNUMBER(Roster!$B410),Setup!$B$25="Yes",ISNUMBER(Setup!$C$25)),EDATE(Roster!$B410,12*Setup!$C$25),"")</f>
        <v/>
      </c>
      <c r="H410" s="32" t="str">
        <f>IF(AND(ISNUMBER(Roster!$B410),Setup!$B$26="Yes",ISNUMBER(Setup!$C$26)),EDATE(Roster!$B410,12*Setup!$C$26),"")</f>
        <v/>
      </c>
      <c r="I410" s="32" t="str">
        <f>IF(AND(ISNUMBER(Roster!$B410),Setup!$B$27="Yes",ISNUMBER(Setup!$C$27)),EDATE(Roster!$B410,12*Setup!$C$27),"")</f>
        <v/>
      </c>
      <c r="J410" s="32" t="str">
        <f>IF(AND(ISNUMBER(Roster!$B410),Setup!$B$28="Yes",ISNUMBER(Setup!$C$28)),EDATE(Roster!$B410,12*Setup!$C$28),"")</f>
        <v/>
      </c>
      <c r="K410" s="32" t="str">
        <f>IF(AND(ISNUMBER(Roster!$B410),Setup!$B$29="Yes",ISNUMBER(Setup!$C$29)),EDATE(Roster!$B410,12*Setup!$C$29),"")</f>
        <v/>
      </c>
      <c r="L410" s="32" t="str">
        <f>IF(AND(ISNUMBER(Roster!$B410),Setup!$B$30="Yes",ISNUMBER(Setup!$C$30)),EDATE(Roster!$B410,12*Setup!$C$30),"")</f>
        <v/>
      </c>
      <c r="M410" s="32" t="str">
        <f>IF(AND(ISNUMBER(Roster!$B410),Setup!$B$31="Yes",ISNUMBER(Setup!$C$31)),EDATE(Roster!$B410,12*Setup!$C$31),"")</f>
        <v/>
      </c>
      <c r="N410" s="32" t="str">
        <f>IF(AND(ISNUMBER(Roster!$B410),Setup!$B$32="Yes",ISNUMBER(Setup!$C$32)),EDATE(Roster!$B410,12*Setup!$C$32),"")</f>
        <v/>
      </c>
      <c r="O410" s="32" t="str">
        <f>IF(AND(ISNUMBER(Roster!$B410),Setup!$B$33="Yes",ISNUMBER(Setup!$C$33)),EDATE(Roster!$B410,12*Setup!$C$33),"")</f>
        <v/>
      </c>
      <c r="P410" s="32" t="str">
        <f>IF(AND(ISNUMBER(Roster!$B410),Setup!$B$34="Yes",ISNUMBER(Setup!$C$34)),EDATE(Roster!$B410,12*Setup!$C$34),"")</f>
        <v/>
      </c>
      <c r="R410" t="str">
        <f>IF(B410="","",IF(B410&lt;Setup!$C$5-Setup!$C$6,"",IF(IF(ISNUMBER(Roster!$D410),Setup!$C$20&lt;=Roster!$D410,FALSE),"",IF(OR(IF(Setup!$C$15&lt;=Setup!$C$16,AND(MONTH(B410)&gt;=Setup!$C$15,MONTH(B410)&lt;=Setup!$C$16),OR(MONTH(B410)&gt;=Setup!$C$15,MONTH(B410)&lt;=Setup!$C$16)),IF(Setup!$C$15&lt;=Setup!$C$16,AND(MONTH(WORKDAY(B410,-(Setup!$C$13+Setup!$G$20),Setup!$C$39:$C$50))&gt;=Setup!$C$15,MONTH(WORKDAY(B410,-(Setup!$C$13+Setup!$G$20),Setup!$C$39:$C$50))&lt;=Setup!$C$16),OR(MONTH(WORKDAY(B410,-(Setup!$C$13+Setup!$G$20),Setup!$C$39:$C$50))&gt;=Setup!$C$15,MONTH(WORKDAY(B410,-(Setup!$C$13+Setup!$G$20),Setup!$C$39:$C$50))&lt;=Setup!$C$16))),WORKDAY(B410,-(Setup!$C$13+Setup!$G$20+Setup!$C$14),Setup!$C$39:$C$50),WORKDAY(B410,-(Setup!$C$13+Setup!$G$20),Setup!$C$39:$C$50))+(405*100+1)/10000000)))</f>
        <v/>
      </c>
      <c r="S410" t="str">
        <f>IF(C410="","",IF(C410&lt;Setup!$C$5-Setup!$C$6,"",IF(IF(ISNUMBER(Roster!$D410),Setup!$C$21&lt;=Roster!$D410,FALSE),"",IF(OR(IF(Setup!$C$15&lt;=Setup!$C$16,AND(MONTH(C410)&gt;=Setup!$C$15,MONTH(C410)&lt;=Setup!$C$16),OR(MONTH(C410)&gt;=Setup!$C$15,MONTH(C410)&lt;=Setup!$C$16)),IF(Setup!$C$15&lt;=Setup!$C$16,AND(MONTH(WORKDAY(C410,-(Setup!$C$13+Setup!$G$21),Setup!$C$39:$C$50))&gt;=Setup!$C$15,MONTH(WORKDAY(C410,-(Setup!$C$13+Setup!$G$21),Setup!$C$39:$C$50))&lt;=Setup!$C$16),OR(MONTH(WORKDAY(C410,-(Setup!$C$13+Setup!$G$21),Setup!$C$39:$C$50))&gt;=Setup!$C$15,MONTH(WORKDAY(C410,-(Setup!$C$13+Setup!$G$21),Setup!$C$39:$C$50))&lt;=Setup!$C$16))),WORKDAY(C410,-(Setup!$C$13+Setup!$G$21+Setup!$C$14),Setup!$C$39:$C$50),WORKDAY(C410,-(Setup!$C$13+Setup!$G$21),Setup!$C$39:$C$50))+(405*100+2)/10000000)))</f>
        <v/>
      </c>
      <c r="T410" t="str">
        <f>IF(D410="","",IF(D410&lt;Setup!$C$5-Setup!$C$6,"",IF(IF(ISNUMBER(Roster!$D410),Setup!$C$22&lt;=Roster!$D410,FALSE),"",IF(OR(IF(Setup!$C$15&lt;=Setup!$C$16,AND(MONTH(D410)&gt;=Setup!$C$15,MONTH(D410)&lt;=Setup!$C$16),OR(MONTH(D410)&gt;=Setup!$C$15,MONTH(D410)&lt;=Setup!$C$16)),IF(Setup!$C$15&lt;=Setup!$C$16,AND(MONTH(WORKDAY(D410,-(Setup!$C$13+Setup!$G$22),Setup!$C$39:$C$50))&gt;=Setup!$C$15,MONTH(WORKDAY(D410,-(Setup!$C$13+Setup!$G$22),Setup!$C$39:$C$50))&lt;=Setup!$C$16),OR(MONTH(WORKDAY(D410,-(Setup!$C$13+Setup!$G$22),Setup!$C$39:$C$50))&gt;=Setup!$C$15,MONTH(WORKDAY(D410,-(Setup!$C$13+Setup!$G$22),Setup!$C$39:$C$50))&lt;=Setup!$C$16))),WORKDAY(D410,-(Setup!$C$13+Setup!$G$22+Setup!$C$14),Setup!$C$39:$C$50),WORKDAY(D410,-(Setup!$C$13+Setup!$G$22),Setup!$C$39:$C$50))+(405*100+3)/10000000)))</f>
        <v/>
      </c>
      <c r="U410" t="str">
        <f>IF(E410="","",IF(E410&lt;Setup!$C$5-Setup!$C$6,"",IF(IF(ISNUMBER(Roster!$D410),Setup!$C$23&lt;=Roster!$D410,FALSE),"",IF(OR(IF(Setup!$C$15&lt;=Setup!$C$16,AND(MONTH(E410)&gt;=Setup!$C$15,MONTH(E410)&lt;=Setup!$C$16),OR(MONTH(E410)&gt;=Setup!$C$15,MONTH(E410)&lt;=Setup!$C$16)),IF(Setup!$C$15&lt;=Setup!$C$16,AND(MONTH(WORKDAY(E410,-(Setup!$C$13+Setup!$G$23),Setup!$C$39:$C$50))&gt;=Setup!$C$15,MONTH(WORKDAY(E410,-(Setup!$C$13+Setup!$G$23),Setup!$C$39:$C$50))&lt;=Setup!$C$16),OR(MONTH(WORKDAY(E410,-(Setup!$C$13+Setup!$G$23),Setup!$C$39:$C$50))&gt;=Setup!$C$15,MONTH(WORKDAY(E410,-(Setup!$C$13+Setup!$G$23),Setup!$C$39:$C$50))&lt;=Setup!$C$16))),WORKDAY(E410,-(Setup!$C$13+Setup!$G$23+Setup!$C$14),Setup!$C$39:$C$50),WORKDAY(E410,-(Setup!$C$13+Setup!$G$23),Setup!$C$39:$C$50))+(405*100+4)/10000000)))</f>
        <v/>
      </c>
      <c r="V410" t="str">
        <f>IF(F410="","",IF(F410&lt;Setup!$C$5-Setup!$C$6,"",IF(IF(ISNUMBER(Roster!$D410),Setup!$C$24&lt;=Roster!$D410,FALSE),"",IF(OR(IF(Setup!$C$15&lt;=Setup!$C$16,AND(MONTH(F410)&gt;=Setup!$C$15,MONTH(F410)&lt;=Setup!$C$16),OR(MONTH(F410)&gt;=Setup!$C$15,MONTH(F410)&lt;=Setup!$C$16)),IF(Setup!$C$15&lt;=Setup!$C$16,AND(MONTH(WORKDAY(F410,-(Setup!$C$13+Setup!$G$24),Setup!$C$39:$C$50))&gt;=Setup!$C$15,MONTH(WORKDAY(F410,-(Setup!$C$13+Setup!$G$24),Setup!$C$39:$C$50))&lt;=Setup!$C$16),OR(MONTH(WORKDAY(F410,-(Setup!$C$13+Setup!$G$24),Setup!$C$39:$C$50))&gt;=Setup!$C$15,MONTH(WORKDAY(F410,-(Setup!$C$13+Setup!$G$24),Setup!$C$39:$C$50))&lt;=Setup!$C$16))),WORKDAY(F410,-(Setup!$C$13+Setup!$G$24+Setup!$C$14),Setup!$C$39:$C$50),WORKDAY(F410,-(Setup!$C$13+Setup!$G$24),Setup!$C$39:$C$50))+(405*100+5)/10000000)))</f>
        <v/>
      </c>
      <c r="W410" t="str">
        <f>IF(G410="","",IF(G410&lt;Setup!$C$5-Setup!$C$6,"",IF(IF(ISNUMBER(Roster!$D410),Setup!$C$25&lt;=Roster!$D410,FALSE),"",IF(OR(IF(Setup!$C$15&lt;=Setup!$C$16,AND(MONTH(G410)&gt;=Setup!$C$15,MONTH(G410)&lt;=Setup!$C$16),OR(MONTH(G410)&gt;=Setup!$C$15,MONTH(G410)&lt;=Setup!$C$16)),IF(Setup!$C$15&lt;=Setup!$C$16,AND(MONTH(WORKDAY(G410,-(Setup!$C$13+Setup!$G$25),Setup!$C$39:$C$50))&gt;=Setup!$C$15,MONTH(WORKDAY(G410,-(Setup!$C$13+Setup!$G$25),Setup!$C$39:$C$50))&lt;=Setup!$C$16),OR(MONTH(WORKDAY(G410,-(Setup!$C$13+Setup!$G$25),Setup!$C$39:$C$50))&gt;=Setup!$C$15,MONTH(WORKDAY(G410,-(Setup!$C$13+Setup!$G$25),Setup!$C$39:$C$50))&lt;=Setup!$C$16))),WORKDAY(G410,-(Setup!$C$13+Setup!$G$25+Setup!$C$14),Setup!$C$39:$C$50),WORKDAY(G410,-(Setup!$C$13+Setup!$G$25),Setup!$C$39:$C$50))+(405*100+6)/10000000)))</f>
        <v/>
      </c>
      <c r="X410" t="str">
        <f>IF(H410="","",IF(H410&lt;Setup!$C$5-Setup!$C$6,"",IF(IF(ISNUMBER(Roster!$D410),Setup!$C$26&lt;=Roster!$D410,FALSE),"",IF(OR(IF(Setup!$C$15&lt;=Setup!$C$16,AND(MONTH(H410)&gt;=Setup!$C$15,MONTH(H410)&lt;=Setup!$C$16),OR(MONTH(H410)&gt;=Setup!$C$15,MONTH(H410)&lt;=Setup!$C$16)),IF(Setup!$C$15&lt;=Setup!$C$16,AND(MONTH(WORKDAY(H410,-(Setup!$C$13+Setup!$G$26),Setup!$C$39:$C$50))&gt;=Setup!$C$15,MONTH(WORKDAY(H410,-(Setup!$C$13+Setup!$G$26),Setup!$C$39:$C$50))&lt;=Setup!$C$16),OR(MONTH(WORKDAY(H410,-(Setup!$C$13+Setup!$G$26),Setup!$C$39:$C$50))&gt;=Setup!$C$15,MONTH(WORKDAY(H410,-(Setup!$C$13+Setup!$G$26),Setup!$C$39:$C$50))&lt;=Setup!$C$16))),WORKDAY(H410,-(Setup!$C$13+Setup!$G$26+Setup!$C$14),Setup!$C$39:$C$50),WORKDAY(H410,-(Setup!$C$13+Setup!$G$26),Setup!$C$39:$C$50))+(405*100+7)/10000000)))</f>
        <v/>
      </c>
      <c r="Y410" t="str">
        <f>IF(I410="","",IF(I410&lt;Setup!$C$5-Setup!$C$6,"",IF(IF(ISNUMBER(Roster!$D410),Setup!$C$27&lt;=Roster!$D410,FALSE),"",IF(OR(IF(Setup!$C$15&lt;=Setup!$C$16,AND(MONTH(I410)&gt;=Setup!$C$15,MONTH(I410)&lt;=Setup!$C$16),OR(MONTH(I410)&gt;=Setup!$C$15,MONTH(I410)&lt;=Setup!$C$16)),IF(Setup!$C$15&lt;=Setup!$C$16,AND(MONTH(WORKDAY(I410,-(Setup!$C$13+Setup!$G$27),Setup!$C$39:$C$50))&gt;=Setup!$C$15,MONTH(WORKDAY(I410,-(Setup!$C$13+Setup!$G$27),Setup!$C$39:$C$50))&lt;=Setup!$C$16),OR(MONTH(WORKDAY(I410,-(Setup!$C$13+Setup!$G$27),Setup!$C$39:$C$50))&gt;=Setup!$C$15,MONTH(WORKDAY(I410,-(Setup!$C$13+Setup!$G$27),Setup!$C$39:$C$50))&lt;=Setup!$C$16))),WORKDAY(I410,-(Setup!$C$13+Setup!$G$27+Setup!$C$14),Setup!$C$39:$C$50),WORKDAY(I410,-(Setup!$C$13+Setup!$G$27),Setup!$C$39:$C$50))+(405*100+8)/10000000)))</f>
        <v/>
      </c>
      <c r="Z410" t="str">
        <f>IF(J410="","",IF(J410&lt;Setup!$C$5-Setup!$C$6,"",IF(IF(ISNUMBER(Roster!$D410),Setup!$C$28&lt;=Roster!$D410,FALSE),"",IF(OR(IF(Setup!$C$15&lt;=Setup!$C$16,AND(MONTH(J410)&gt;=Setup!$C$15,MONTH(J410)&lt;=Setup!$C$16),OR(MONTH(J410)&gt;=Setup!$C$15,MONTH(J410)&lt;=Setup!$C$16)),IF(Setup!$C$15&lt;=Setup!$C$16,AND(MONTH(WORKDAY(J410,-(Setup!$C$13+Setup!$G$28),Setup!$C$39:$C$50))&gt;=Setup!$C$15,MONTH(WORKDAY(J410,-(Setup!$C$13+Setup!$G$28),Setup!$C$39:$C$50))&lt;=Setup!$C$16),OR(MONTH(WORKDAY(J410,-(Setup!$C$13+Setup!$G$28),Setup!$C$39:$C$50))&gt;=Setup!$C$15,MONTH(WORKDAY(J410,-(Setup!$C$13+Setup!$G$28),Setup!$C$39:$C$50))&lt;=Setup!$C$16))),WORKDAY(J410,-(Setup!$C$13+Setup!$G$28+Setup!$C$14),Setup!$C$39:$C$50),WORKDAY(J410,-(Setup!$C$13+Setup!$G$28),Setup!$C$39:$C$50))+(405*100+9)/10000000)))</f>
        <v/>
      </c>
      <c r="AA410" t="str">
        <f>IF(K410="","",IF(K410&lt;Setup!$C$5-Setup!$C$6,"",IF(IF(ISNUMBER(Roster!$D410),Setup!$C$29&lt;=Roster!$D410,FALSE),"",IF(OR(IF(Setup!$C$15&lt;=Setup!$C$16,AND(MONTH(K410)&gt;=Setup!$C$15,MONTH(K410)&lt;=Setup!$C$16),OR(MONTH(K410)&gt;=Setup!$C$15,MONTH(K410)&lt;=Setup!$C$16)),IF(Setup!$C$15&lt;=Setup!$C$16,AND(MONTH(WORKDAY(K410,-(Setup!$C$13+Setup!$G$29),Setup!$C$39:$C$50))&gt;=Setup!$C$15,MONTH(WORKDAY(K410,-(Setup!$C$13+Setup!$G$29),Setup!$C$39:$C$50))&lt;=Setup!$C$16),OR(MONTH(WORKDAY(K410,-(Setup!$C$13+Setup!$G$29),Setup!$C$39:$C$50))&gt;=Setup!$C$15,MONTH(WORKDAY(K410,-(Setup!$C$13+Setup!$G$29),Setup!$C$39:$C$50))&lt;=Setup!$C$16))),WORKDAY(K410,-(Setup!$C$13+Setup!$G$29+Setup!$C$14),Setup!$C$39:$C$50),WORKDAY(K410,-(Setup!$C$13+Setup!$G$29),Setup!$C$39:$C$50))+(405*100+10)/10000000)))</f>
        <v/>
      </c>
      <c r="AB410" t="str">
        <f>IF(L410="","",IF(L410&lt;Setup!$C$5-Setup!$C$6,"",IF(IF(ISNUMBER(Roster!$D410),Setup!$C$30&lt;=Roster!$D410,FALSE),"",IF(OR(IF(Setup!$C$15&lt;=Setup!$C$16,AND(MONTH(L410)&gt;=Setup!$C$15,MONTH(L410)&lt;=Setup!$C$16),OR(MONTH(L410)&gt;=Setup!$C$15,MONTH(L410)&lt;=Setup!$C$16)),IF(Setup!$C$15&lt;=Setup!$C$16,AND(MONTH(WORKDAY(L410,-(Setup!$C$13+Setup!$G$30),Setup!$C$39:$C$50))&gt;=Setup!$C$15,MONTH(WORKDAY(L410,-(Setup!$C$13+Setup!$G$30),Setup!$C$39:$C$50))&lt;=Setup!$C$16),OR(MONTH(WORKDAY(L410,-(Setup!$C$13+Setup!$G$30),Setup!$C$39:$C$50))&gt;=Setup!$C$15,MONTH(WORKDAY(L410,-(Setup!$C$13+Setup!$G$30),Setup!$C$39:$C$50))&lt;=Setup!$C$16))),WORKDAY(L410,-(Setup!$C$13+Setup!$G$30+Setup!$C$14),Setup!$C$39:$C$50),WORKDAY(L410,-(Setup!$C$13+Setup!$G$30),Setup!$C$39:$C$50))+(405*100+11)/10000000)))</f>
        <v/>
      </c>
      <c r="AC410" t="str">
        <f>IF(M410="","",IF(M410&lt;Setup!$C$5-Setup!$C$6,"",IF(IF(ISNUMBER(Roster!$D410),Setup!$C$31&lt;=Roster!$D410,FALSE),"",IF(OR(IF(Setup!$C$15&lt;=Setup!$C$16,AND(MONTH(M410)&gt;=Setup!$C$15,MONTH(M410)&lt;=Setup!$C$16),OR(MONTH(M410)&gt;=Setup!$C$15,MONTH(M410)&lt;=Setup!$C$16)),IF(Setup!$C$15&lt;=Setup!$C$16,AND(MONTH(WORKDAY(M410,-(Setup!$C$13+Setup!$G$31),Setup!$C$39:$C$50))&gt;=Setup!$C$15,MONTH(WORKDAY(M410,-(Setup!$C$13+Setup!$G$31),Setup!$C$39:$C$50))&lt;=Setup!$C$16),OR(MONTH(WORKDAY(M410,-(Setup!$C$13+Setup!$G$31),Setup!$C$39:$C$50))&gt;=Setup!$C$15,MONTH(WORKDAY(M410,-(Setup!$C$13+Setup!$G$31),Setup!$C$39:$C$50))&lt;=Setup!$C$16))),WORKDAY(M410,-(Setup!$C$13+Setup!$G$31+Setup!$C$14),Setup!$C$39:$C$50),WORKDAY(M410,-(Setup!$C$13+Setup!$G$31),Setup!$C$39:$C$50))+(405*100+12)/10000000)))</f>
        <v/>
      </c>
      <c r="AD410" t="str">
        <f>IF(N410="","",IF(N410&lt;Setup!$C$5-Setup!$C$6,"",IF(IF(ISNUMBER(Roster!$D410),Setup!$C$32&lt;=Roster!$D410,FALSE),"",IF(OR(IF(Setup!$C$15&lt;=Setup!$C$16,AND(MONTH(N410)&gt;=Setup!$C$15,MONTH(N410)&lt;=Setup!$C$16),OR(MONTH(N410)&gt;=Setup!$C$15,MONTH(N410)&lt;=Setup!$C$16)),IF(Setup!$C$15&lt;=Setup!$C$16,AND(MONTH(WORKDAY(N410,-(Setup!$C$13+Setup!$G$32),Setup!$C$39:$C$50))&gt;=Setup!$C$15,MONTH(WORKDAY(N410,-(Setup!$C$13+Setup!$G$32),Setup!$C$39:$C$50))&lt;=Setup!$C$16),OR(MONTH(WORKDAY(N410,-(Setup!$C$13+Setup!$G$32),Setup!$C$39:$C$50))&gt;=Setup!$C$15,MONTH(WORKDAY(N410,-(Setup!$C$13+Setup!$G$32),Setup!$C$39:$C$50))&lt;=Setup!$C$16))),WORKDAY(N410,-(Setup!$C$13+Setup!$G$32+Setup!$C$14),Setup!$C$39:$C$50),WORKDAY(N410,-(Setup!$C$13+Setup!$G$32),Setup!$C$39:$C$50))+(405*100+13)/10000000)))</f>
        <v/>
      </c>
      <c r="AE410" t="str">
        <f>IF(O410="","",IF(O410&lt;Setup!$C$5-Setup!$C$6,"",IF(IF(ISNUMBER(Roster!$D410),Setup!$C$33&lt;=Roster!$D410,FALSE),"",IF(OR(IF(Setup!$C$15&lt;=Setup!$C$16,AND(MONTH(O410)&gt;=Setup!$C$15,MONTH(O410)&lt;=Setup!$C$16),OR(MONTH(O410)&gt;=Setup!$C$15,MONTH(O410)&lt;=Setup!$C$16)),IF(Setup!$C$15&lt;=Setup!$C$16,AND(MONTH(WORKDAY(O410,-(Setup!$C$13+Setup!$G$33),Setup!$C$39:$C$50))&gt;=Setup!$C$15,MONTH(WORKDAY(O410,-(Setup!$C$13+Setup!$G$33),Setup!$C$39:$C$50))&lt;=Setup!$C$16),OR(MONTH(WORKDAY(O410,-(Setup!$C$13+Setup!$G$33),Setup!$C$39:$C$50))&gt;=Setup!$C$15,MONTH(WORKDAY(O410,-(Setup!$C$13+Setup!$G$33),Setup!$C$39:$C$50))&lt;=Setup!$C$16))),WORKDAY(O410,-(Setup!$C$13+Setup!$G$33+Setup!$C$14),Setup!$C$39:$C$50),WORKDAY(O410,-(Setup!$C$13+Setup!$G$33),Setup!$C$39:$C$50))+(405*100+14)/10000000)))</f>
        <v/>
      </c>
      <c r="AF410" t="str">
        <f>IF(P410="","",IF(P410&lt;Setup!$C$5-Setup!$C$6,"",IF(IF(ISNUMBER(Roster!$D410),Setup!$C$34&lt;=Roster!$D410,FALSE),"",IF(OR(IF(Setup!$C$15&lt;=Setup!$C$16,AND(MONTH(P410)&gt;=Setup!$C$15,MONTH(P410)&lt;=Setup!$C$16),OR(MONTH(P410)&gt;=Setup!$C$15,MONTH(P410)&lt;=Setup!$C$16)),IF(Setup!$C$15&lt;=Setup!$C$16,AND(MONTH(WORKDAY(P410,-(Setup!$C$13+Setup!$G$34),Setup!$C$39:$C$50))&gt;=Setup!$C$15,MONTH(WORKDAY(P410,-(Setup!$C$13+Setup!$G$34),Setup!$C$39:$C$50))&lt;=Setup!$C$16),OR(MONTH(WORKDAY(P410,-(Setup!$C$13+Setup!$G$34),Setup!$C$39:$C$50))&gt;=Setup!$C$15,MONTH(WORKDAY(P410,-(Setup!$C$13+Setup!$G$34),Setup!$C$39:$C$50))&lt;=Setup!$C$16))),WORKDAY(P410,-(Setup!$C$13+Setup!$G$34+Setup!$C$14),Setup!$C$39:$C$50),WORKDAY(P410,-(Setup!$C$13+Setup!$G$34),Setup!$C$39:$C$50))+(405*100+15)/10000000)))</f>
        <v/>
      </c>
      <c r="AH410" t="str">
        <f t="shared" si="46"/>
        <v/>
      </c>
      <c r="AI410" t="str">
        <f t="shared" si="47"/>
        <v/>
      </c>
      <c r="AP410" t="str">
        <f>IF(ISNUMBER(Roster!$B410),MAX(1,YEAR(Setup!$C$5)-YEAR(Roster!$B410)+IF(EDATE(Roster!$B410,12*(YEAR(Setup!$C$5)-YEAR(Roster!$B410)))&lt;Setup!$C$5,1,0)),"")</f>
        <v/>
      </c>
      <c r="AQ410" s="32" t="str">
        <f>IF(AP410="","",EDATE(Roster!$B410,12*AP410))</f>
        <v/>
      </c>
      <c r="AR410" t="str">
        <f>IF(AQ410="","",IF(AQ410&lt;DATE(YEAR(Setup!$C$5)+1,MONTH(Setup!$C$5),DAY(Setup!$C$5)),AQ410+405/1000,""))</f>
        <v/>
      </c>
      <c r="AS410" t="str">
        <f t="shared" si="48"/>
        <v/>
      </c>
      <c r="AT410" t="str">
        <f>IF(AS410="","",IF(ISNUMBER(Roster!$D410),Roster!$D410&gt;=AP410,FALSE))</f>
        <v/>
      </c>
      <c r="AU410" t="str">
        <f t="shared" si="49"/>
        <v/>
      </c>
      <c r="AV410" t="str">
        <f ca="1">IF(405&gt;$AV$2,"",SMALL($AR$6:$AR$505,405))</f>
        <v/>
      </c>
      <c r="AW410" t="str">
        <f t="shared" ca="1" si="50"/>
        <v/>
      </c>
    </row>
    <row r="411" spans="2:49" x14ac:dyDescent="0.2">
      <c r="B411" s="32" t="str">
        <f>IF(AND(ISNUMBER(Roster!$B411),Setup!$B$20="Yes",ISNUMBER(Setup!$C$20)),EDATE(Roster!$B411,12*Setup!$C$20),"")</f>
        <v/>
      </c>
      <c r="C411" s="32" t="str">
        <f>IF(AND(ISNUMBER(Roster!$B411),Setup!$B$21="Yes",ISNUMBER(Setup!$C$21)),EDATE(Roster!$B411,12*Setup!$C$21),"")</f>
        <v/>
      </c>
      <c r="D411" s="32" t="str">
        <f>IF(AND(ISNUMBER(Roster!$B411),Setup!$B$22="Yes",ISNUMBER(Setup!$C$22)),EDATE(Roster!$B411,12*Setup!$C$22),"")</f>
        <v/>
      </c>
      <c r="E411" s="32" t="str">
        <f>IF(AND(ISNUMBER(Roster!$B411),Setup!$B$23="Yes",ISNUMBER(Setup!$C$23)),EDATE(Roster!$B411,12*Setup!$C$23),"")</f>
        <v/>
      </c>
      <c r="F411" s="32" t="str">
        <f>IF(AND(ISNUMBER(Roster!$B411),Setup!$B$24="Yes",ISNUMBER(Setup!$C$24)),EDATE(Roster!$B411,12*Setup!$C$24),"")</f>
        <v/>
      </c>
      <c r="G411" s="32" t="str">
        <f>IF(AND(ISNUMBER(Roster!$B411),Setup!$B$25="Yes",ISNUMBER(Setup!$C$25)),EDATE(Roster!$B411,12*Setup!$C$25),"")</f>
        <v/>
      </c>
      <c r="H411" s="32" t="str">
        <f>IF(AND(ISNUMBER(Roster!$B411),Setup!$B$26="Yes",ISNUMBER(Setup!$C$26)),EDATE(Roster!$B411,12*Setup!$C$26),"")</f>
        <v/>
      </c>
      <c r="I411" s="32" t="str">
        <f>IF(AND(ISNUMBER(Roster!$B411),Setup!$B$27="Yes",ISNUMBER(Setup!$C$27)),EDATE(Roster!$B411,12*Setup!$C$27),"")</f>
        <v/>
      </c>
      <c r="J411" s="32" t="str">
        <f>IF(AND(ISNUMBER(Roster!$B411),Setup!$B$28="Yes",ISNUMBER(Setup!$C$28)),EDATE(Roster!$B411,12*Setup!$C$28),"")</f>
        <v/>
      </c>
      <c r="K411" s="32" t="str">
        <f>IF(AND(ISNUMBER(Roster!$B411),Setup!$B$29="Yes",ISNUMBER(Setup!$C$29)),EDATE(Roster!$B411,12*Setup!$C$29),"")</f>
        <v/>
      </c>
      <c r="L411" s="32" t="str">
        <f>IF(AND(ISNUMBER(Roster!$B411),Setup!$B$30="Yes",ISNUMBER(Setup!$C$30)),EDATE(Roster!$B411,12*Setup!$C$30),"")</f>
        <v/>
      </c>
      <c r="M411" s="32" t="str">
        <f>IF(AND(ISNUMBER(Roster!$B411),Setup!$B$31="Yes",ISNUMBER(Setup!$C$31)),EDATE(Roster!$B411,12*Setup!$C$31),"")</f>
        <v/>
      </c>
      <c r="N411" s="32" t="str">
        <f>IF(AND(ISNUMBER(Roster!$B411),Setup!$B$32="Yes",ISNUMBER(Setup!$C$32)),EDATE(Roster!$B411,12*Setup!$C$32),"")</f>
        <v/>
      </c>
      <c r="O411" s="32" t="str">
        <f>IF(AND(ISNUMBER(Roster!$B411),Setup!$B$33="Yes",ISNUMBER(Setup!$C$33)),EDATE(Roster!$B411,12*Setup!$C$33),"")</f>
        <v/>
      </c>
      <c r="P411" s="32" t="str">
        <f>IF(AND(ISNUMBER(Roster!$B411),Setup!$B$34="Yes",ISNUMBER(Setup!$C$34)),EDATE(Roster!$B411,12*Setup!$C$34),"")</f>
        <v/>
      </c>
      <c r="R411" t="str">
        <f>IF(B411="","",IF(B411&lt;Setup!$C$5-Setup!$C$6,"",IF(IF(ISNUMBER(Roster!$D411),Setup!$C$20&lt;=Roster!$D411,FALSE),"",IF(OR(IF(Setup!$C$15&lt;=Setup!$C$16,AND(MONTH(B411)&gt;=Setup!$C$15,MONTH(B411)&lt;=Setup!$C$16),OR(MONTH(B411)&gt;=Setup!$C$15,MONTH(B411)&lt;=Setup!$C$16)),IF(Setup!$C$15&lt;=Setup!$C$16,AND(MONTH(WORKDAY(B411,-(Setup!$C$13+Setup!$G$20),Setup!$C$39:$C$50))&gt;=Setup!$C$15,MONTH(WORKDAY(B411,-(Setup!$C$13+Setup!$G$20),Setup!$C$39:$C$50))&lt;=Setup!$C$16),OR(MONTH(WORKDAY(B411,-(Setup!$C$13+Setup!$G$20),Setup!$C$39:$C$50))&gt;=Setup!$C$15,MONTH(WORKDAY(B411,-(Setup!$C$13+Setup!$G$20),Setup!$C$39:$C$50))&lt;=Setup!$C$16))),WORKDAY(B411,-(Setup!$C$13+Setup!$G$20+Setup!$C$14),Setup!$C$39:$C$50),WORKDAY(B411,-(Setup!$C$13+Setup!$G$20),Setup!$C$39:$C$50))+(406*100+1)/10000000)))</f>
        <v/>
      </c>
      <c r="S411" t="str">
        <f>IF(C411="","",IF(C411&lt;Setup!$C$5-Setup!$C$6,"",IF(IF(ISNUMBER(Roster!$D411),Setup!$C$21&lt;=Roster!$D411,FALSE),"",IF(OR(IF(Setup!$C$15&lt;=Setup!$C$16,AND(MONTH(C411)&gt;=Setup!$C$15,MONTH(C411)&lt;=Setup!$C$16),OR(MONTH(C411)&gt;=Setup!$C$15,MONTH(C411)&lt;=Setup!$C$16)),IF(Setup!$C$15&lt;=Setup!$C$16,AND(MONTH(WORKDAY(C411,-(Setup!$C$13+Setup!$G$21),Setup!$C$39:$C$50))&gt;=Setup!$C$15,MONTH(WORKDAY(C411,-(Setup!$C$13+Setup!$G$21),Setup!$C$39:$C$50))&lt;=Setup!$C$16),OR(MONTH(WORKDAY(C411,-(Setup!$C$13+Setup!$G$21),Setup!$C$39:$C$50))&gt;=Setup!$C$15,MONTH(WORKDAY(C411,-(Setup!$C$13+Setup!$G$21),Setup!$C$39:$C$50))&lt;=Setup!$C$16))),WORKDAY(C411,-(Setup!$C$13+Setup!$G$21+Setup!$C$14),Setup!$C$39:$C$50),WORKDAY(C411,-(Setup!$C$13+Setup!$G$21),Setup!$C$39:$C$50))+(406*100+2)/10000000)))</f>
        <v/>
      </c>
      <c r="T411" t="str">
        <f>IF(D411="","",IF(D411&lt;Setup!$C$5-Setup!$C$6,"",IF(IF(ISNUMBER(Roster!$D411),Setup!$C$22&lt;=Roster!$D411,FALSE),"",IF(OR(IF(Setup!$C$15&lt;=Setup!$C$16,AND(MONTH(D411)&gt;=Setup!$C$15,MONTH(D411)&lt;=Setup!$C$16),OR(MONTH(D411)&gt;=Setup!$C$15,MONTH(D411)&lt;=Setup!$C$16)),IF(Setup!$C$15&lt;=Setup!$C$16,AND(MONTH(WORKDAY(D411,-(Setup!$C$13+Setup!$G$22),Setup!$C$39:$C$50))&gt;=Setup!$C$15,MONTH(WORKDAY(D411,-(Setup!$C$13+Setup!$G$22),Setup!$C$39:$C$50))&lt;=Setup!$C$16),OR(MONTH(WORKDAY(D411,-(Setup!$C$13+Setup!$G$22),Setup!$C$39:$C$50))&gt;=Setup!$C$15,MONTH(WORKDAY(D411,-(Setup!$C$13+Setup!$G$22),Setup!$C$39:$C$50))&lt;=Setup!$C$16))),WORKDAY(D411,-(Setup!$C$13+Setup!$G$22+Setup!$C$14),Setup!$C$39:$C$50),WORKDAY(D411,-(Setup!$C$13+Setup!$G$22),Setup!$C$39:$C$50))+(406*100+3)/10000000)))</f>
        <v/>
      </c>
      <c r="U411" t="str">
        <f>IF(E411="","",IF(E411&lt;Setup!$C$5-Setup!$C$6,"",IF(IF(ISNUMBER(Roster!$D411),Setup!$C$23&lt;=Roster!$D411,FALSE),"",IF(OR(IF(Setup!$C$15&lt;=Setup!$C$16,AND(MONTH(E411)&gt;=Setup!$C$15,MONTH(E411)&lt;=Setup!$C$16),OR(MONTH(E411)&gt;=Setup!$C$15,MONTH(E411)&lt;=Setup!$C$16)),IF(Setup!$C$15&lt;=Setup!$C$16,AND(MONTH(WORKDAY(E411,-(Setup!$C$13+Setup!$G$23),Setup!$C$39:$C$50))&gt;=Setup!$C$15,MONTH(WORKDAY(E411,-(Setup!$C$13+Setup!$G$23),Setup!$C$39:$C$50))&lt;=Setup!$C$16),OR(MONTH(WORKDAY(E411,-(Setup!$C$13+Setup!$G$23),Setup!$C$39:$C$50))&gt;=Setup!$C$15,MONTH(WORKDAY(E411,-(Setup!$C$13+Setup!$G$23),Setup!$C$39:$C$50))&lt;=Setup!$C$16))),WORKDAY(E411,-(Setup!$C$13+Setup!$G$23+Setup!$C$14),Setup!$C$39:$C$50),WORKDAY(E411,-(Setup!$C$13+Setup!$G$23),Setup!$C$39:$C$50))+(406*100+4)/10000000)))</f>
        <v/>
      </c>
      <c r="V411" t="str">
        <f>IF(F411="","",IF(F411&lt;Setup!$C$5-Setup!$C$6,"",IF(IF(ISNUMBER(Roster!$D411),Setup!$C$24&lt;=Roster!$D411,FALSE),"",IF(OR(IF(Setup!$C$15&lt;=Setup!$C$16,AND(MONTH(F411)&gt;=Setup!$C$15,MONTH(F411)&lt;=Setup!$C$16),OR(MONTH(F411)&gt;=Setup!$C$15,MONTH(F411)&lt;=Setup!$C$16)),IF(Setup!$C$15&lt;=Setup!$C$16,AND(MONTH(WORKDAY(F411,-(Setup!$C$13+Setup!$G$24),Setup!$C$39:$C$50))&gt;=Setup!$C$15,MONTH(WORKDAY(F411,-(Setup!$C$13+Setup!$G$24),Setup!$C$39:$C$50))&lt;=Setup!$C$16),OR(MONTH(WORKDAY(F411,-(Setup!$C$13+Setup!$G$24),Setup!$C$39:$C$50))&gt;=Setup!$C$15,MONTH(WORKDAY(F411,-(Setup!$C$13+Setup!$G$24),Setup!$C$39:$C$50))&lt;=Setup!$C$16))),WORKDAY(F411,-(Setup!$C$13+Setup!$G$24+Setup!$C$14),Setup!$C$39:$C$50),WORKDAY(F411,-(Setup!$C$13+Setup!$G$24),Setup!$C$39:$C$50))+(406*100+5)/10000000)))</f>
        <v/>
      </c>
      <c r="W411" t="str">
        <f>IF(G411="","",IF(G411&lt;Setup!$C$5-Setup!$C$6,"",IF(IF(ISNUMBER(Roster!$D411),Setup!$C$25&lt;=Roster!$D411,FALSE),"",IF(OR(IF(Setup!$C$15&lt;=Setup!$C$16,AND(MONTH(G411)&gt;=Setup!$C$15,MONTH(G411)&lt;=Setup!$C$16),OR(MONTH(G411)&gt;=Setup!$C$15,MONTH(G411)&lt;=Setup!$C$16)),IF(Setup!$C$15&lt;=Setup!$C$16,AND(MONTH(WORKDAY(G411,-(Setup!$C$13+Setup!$G$25),Setup!$C$39:$C$50))&gt;=Setup!$C$15,MONTH(WORKDAY(G411,-(Setup!$C$13+Setup!$G$25),Setup!$C$39:$C$50))&lt;=Setup!$C$16),OR(MONTH(WORKDAY(G411,-(Setup!$C$13+Setup!$G$25),Setup!$C$39:$C$50))&gt;=Setup!$C$15,MONTH(WORKDAY(G411,-(Setup!$C$13+Setup!$G$25),Setup!$C$39:$C$50))&lt;=Setup!$C$16))),WORKDAY(G411,-(Setup!$C$13+Setup!$G$25+Setup!$C$14),Setup!$C$39:$C$50),WORKDAY(G411,-(Setup!$C$13+Setup!$G$25),Setup!$C$39:$C$50))+(406*100+6)/10000000)))</f>
        <v/>
      </c>
      <c r="X411" t="str">
        <f>IF(H411="","",IF(H411&lt;Setup!$C$5-Setup!$C$6,"",IF(IF(ISNUMBER(Roster!$D411),Setup!$C$26&lt;=Roster!$D411,FALSE),"",IF(OR(IF(Setup!$C$15&lt;=Setup!$C$16,AND(MONTH(H411)&gt;=Setup!$C$15,MONTH(H411)&lt;=Setup!$C$16),OR(MONTH(H411)&gt;=Setup!$C$15,MONTH(H411)&lt;=Setup!$C$16)),IF(Setup!$C$15&lt;=Setup!$C$16,AND(MONTH(WORKDAY(H411,-(Setup!$C$13+Setup!$G$26),Setup!$C$39:$C$50))&gt;=Setup!$C$15,MONTH(WORKDAY(H411,-(Setup!$C$13+Setup!$G$26),Setup!$C$39:$C$50))&lt;=Setup!$C$16),OR(MONTH(WORKDAY(H411,-(Setup!$C$13+Setup!$G$26),Setup!$C$39:$C$50))&gt;=Setup!$C$15,MONTH(WORKDAY(H411,-(Setup!$C$13+Setup!$G$26),Setup!$C$39:$C$50))&lt;=Setup!$C$16))),WORKDAY(H411,-(Setup!$C$13+Setup!$G$26+Setup!$C$14),Setup!$C$39:$C$50),WORKDAY(H411,-(Setup!$C$13+Setup!$G$26),Setup!$C$39:$C$50))+(406*100+7)/10000000)))</f>
        <v/>
      </c>
      <c r="Y411" t="str">
        <f>IF(I411="","",IF(I411&lt;Setup!$C$5-Setup!$C$6,"",IF(IF(ISNUMBER(Roster!$D411),Setup!$C$27&lt;=Roster!$D411,FALSE),"",IF(OR(IF(Setup!$C$15&lt;=Setup!$C$16,AND(MONTH(I411)&gt;=Setup!$C$15,MONTH(I411)&lt;=Setup!$C$16),OR(MONTH(I411)&gt;=Setup!$C$15,MONTH(I411)&lt;=Setup!$C$16)),IF(Setup!$C$15&lt;=Setup!$C$16,AND(MONTH(WORKDAY(I411,-(Setup!$C$13+Setup!$G$27),Setup!$C$39:$C$50))&gt;=Setup!$C$15,MONTH(WORKDAY(I411,-(Setup!$C$13+Setup!$G$27),Setup!$C$39:$C$50))&lt;=Setup!$C$16),OR(MONTH(WORKDAY(I411,-(Setup!$C$13+Setup!$G$27),Setup!$C$39:$C$50))&gt;=Setup!$C$15,MONTH(WORKDAY(I411,-(Setup!$C$13+Setup!$G$27),Setup!$C$39:$C$50))&lt;=Setup!$C$16))),WORKDAY(I411,-(Setup!$C$13+Setup!$G$27+Setup!$C$14),Setup!$C$39:$C$50),WORKDAY(I411,-(Setup!$C$13+Setup!$G$27),Setup!$C$39:$C$50))+(406*100+8)/10000000)))</f>
        <v/>
      </c>
      <c r="Z411" t="str">
        <f>IF(J411="","",IF(J411&lt;Setup!$C$5-Setup!$C$6,"",IF(IF(ISNUMBER(Roster!$D411),Setup!$C$28&lt;=Roster!$D411,FALSE),"",IF(OR(IF(Setup!$C$15&lt;=Setup!$C$16,AND(MONTH(J411)&gt;=Setup!$C$15,MONTH(J411)&lt;=Setup!$C$16),OR(MONTH(J411)&gt;=Setup!$C$15,MONTH(J411)&lt;=Setup!$C$16)),IF(Setup!$C$15&lt;=Setup!$C$16,AND(MONTH(WORKDAY(J411,-(Setup!$C$13+Setup!$G$28),Setup!$C$39:$C$50))&gt;=Setup!$C$15,MONTH(WORKDAY(J411,-(Setup!$C$13+Setup!$G$28),Setup!$C$39:$C$50))&lt;=Setup!$C$16),OR(MONTH(WORKDAY(J411,-(Setup!$C$13+Setup!$G$28),Setup!$C$39:$C$50))&gt;=Setup!$C$15,MONTH(WORKDAY(J411,-(Setup!$C$13+Setup!$G$28),Setup!$C$39:$C$50))&lt;=Setup!$C$16))),WORKDAY(J411,-(Setup!$C$13+Setup!$G$28+Setup!$C$14),Setup!$C$39:$C$50),WORKDAY(J411,-(Setup!$C$13+Setup!$G$28),Setup!$C$39:$C$50))+(406*100+9)/10000000)))</f>
        <v/>
      </c>
      <c r="AA411" t="str">
        <f>IF(K411="","",IF(K411&lt;Setup!$C$5-Setup!$C$6,"",IF(IF(ISNUMBER(Roster!$D411),Setup!$C$29&lt;=Roster!$D411,FALSE),"",IF(OR(IF(Setup!$C$15&lt;=Setup!$C$16,AND(MONTH(K411)&gt;=Setup!$C$15,MONTH(K411)&lt;=Setup!$C$16),OR(MONTH(K411)&gt;=Setup!$C$15,MONTH(K411)&lt;=Setup!$C$16)),IF(Setup!$C$15&lt;=Setup!$C$16,AND(MONTH(WORKDAY(K411,-(Setup!$C$13+Setup!$G$29),Setup!$C$39:$C$50))&gt;=Setup!$C$15,MONTH(WORKDAY(K411,-(Setup!$C$13+Setup!$G$29),Setup!$C$39:$C$50))&lt;=Setup!$C$16),OR(MONTH(WORKDAY(K411,-(Setup!$C$13+Setup!$G$29),Setup!$C$39:$C$50))&gt;=Setup!$C$15,MONTH(WORKDAY(K411,-(Setup!$C$13+Setup!$G$29),Setup!$C$39:$C$50))&lt;=Setup!$C$16))),WORKDAY(K411,-(Setup!$C$13+Setup!$G$29+Setup!$C$14),Setup!$C$39:$C$50),WORKDAY(K411,-(Setup!$C$13+Setup!$G$29),Setup!$C$39:$C$50))+(406*100+10)/10000000)))</f>
        <v/>
      </c>
      <c r="AB411" t="str">
        <f>IF(L411="","",IF(L411&lt;Setup!$C$5-Setup!$C$6,"",IF(IF(ISNUMBER(Roster!$D411),Setup!$C$30&lt;=Roster!$D411,FALSE),"",IF(OR(IF(Setup!$C$15&lt;=Setup!$C$16,AND(MONTH(L411)&gt;=Setup!$C$15,MONTH(L411)&lt;=Setup!$C$16),OR(MONTH(L411)&gt;=Setup!$C$15,MONTH(L411)&lt;=Setup!$C$16)),IF(Setup!$C$15&lt;=Setup!$C$16,AND(MONTH(WORKDAY(L411,-(Setup!$C$13+Setup!$G$30),Setup!$C$39:$C$50))&gt;=Setup!$C$15,MONTH(WORKDAY(L411,-(Setup!$C$13+Setup!$G$30),Setup!$C$39:$C$50))&lt;=Setup!$C$16),OR(MONTH(WORKDAY(L411,-(Setup!$C$13+Setup!$G$30),Setup!$C$39:$C$50))&gt;=Setup!$C$15,MONTH(WORKDAY(L411,-(Setup!$C$13+Setup!$G$30),Setup!$C$39:$C$50))&lt;=Setup!$C$16))),WORKDAY(L411,-(Setup!$C$13+Setup!$G$30+Setup!$C$14),Setup!$C$39:$C$50),WORKDAY(L411,-(Setup!$C$13+Setup!$G$30),Setup!$C$39:$C$50))+(406*100+11)/10000000)))</f>
        <v/>
      </c>
      <c r="AC411" t="str">
        <f>IF(M411="","",IF(M411&lt;Setup!$C$5-Setup!$C$6,"",IF(IF(ISNUMBER(Roster!$D411),Setup!$C$31&lt;=Roster!$D411,FALSE),"",IF(OR(IF(Setup!$C$15&lt;=Setup!$C$16,AND(MONTH(M411)&gt;=Setup!$C$15,MONTH(M411)&lt;=Setup!$C$16),OR(MONTH(M411)&gt;=Setup!$C$15,MONTH(M411)&lt;=Setup!$C$16)),IF(Setup!$C$15&lt;=Setup!$C$16,AND(MONTH(WORKDAY(M411,-(Setup!$C$13+Setup!$G$31),Setup!$C$39:$C$50))&gt;=Setup!$C$15,MONTH(WORKDAY(M411,-(Setup!$C$13+Setup!$G$31),Setup!$C$39:$C$50))&lt;=Setup!$C$16),OR(MONTH(WORKDAY(M411,-(Setup!$C$13+Setup!$G$31),Setup!$C$39:$C$50))&gt;=Setup!$C$15,MONTH(WORKDAY(M411,-(Setup!$C$13+Setup!$G$31),Setup!$C$39:$C$50))&lt;=Setup!$C$16))),WORKDAY(M411,-(Setup!$C$13+Setup!$G$31+Setup!$C$14),Setup!$C$39:$C$50),WORKDAY(M411,-(Setup!$C$13+Setup!$G$31),Setup!$C$39:$C$50))+(406*100+12)/10000000)))</f>
        <v/>
      </c>
      <c r="AD411" t="str">
        <f>IF(N411="","",IF(N411&lt;Setup!$C$5-Setup!$C$6,"",IF(IF(ISNUMBER(Roster!$D411),Setup!$C$32&lt;=Roster!$D411,FALSE),"",IF(OR(IF(Setup!$C$15&lt;=Setup!$C$16,AND(MONTH(N411)&gt;=Setup!$C$15,MONTH(N411)&lt;=Setup!$C$16),OR(MONTH(N411)&gt;=Setup!$C$15,MONTH(N411)&lt;=Setup!$C$16)),IF(Setup!$C$15&lt;=Setup!$C$16,AND(MONTH(WORKDAY(N411,-(Setup!$C$13+Setup!$G$32),Setup!$C$39:$C$50))&gt;=Setup!$C$15,MONTH(WORKDAY(N411,-(Setup!$C$13+Setup!$G$32),Setup!$C$39:$C$50))&lt;=Setup!$C$16),OR(MONTH(WORKDAY(N411,-(Setup!$C$13+Setup!$G$32),Setup!$C$39:$C$50))&gt;=Setup!$C$15,MONTH(WORKDAY(N411,-(Setup!$C$13+Setup!$G$32),Setup!$C$39:$C$50))&lt;=Setup!$C$16))),WORKDAY(N411,-(Setup!$C$13+Setup!$G$32+Setup!$C$14),Setup!$C$39:$C$50),WORKDAY(N411,-(Setup!$C$13+Setup!$G$32),Setup!$C$39:$C$50))+(406*100+13)/10000000)))</f>
        <v/>
      </c>
      <c r="AE411" t="str">
        <f>IF(O411="","",IF(O411&lt;Setup!$C$5-Setup!$C$6,"",IF(IF(ISNUMBER(Roster!$D411),Setup!$C$33&lt;=Roster!$D411,FALSE),"",IF(OR(IF(Setup!$C$15&lt;=Setup!$C$16,AND(MONTH(O411)&gt;=Setup!$C$15,MONTH(O411)&lt;=Setup!$C$16),OR(MONTH(O411)&gt;=Setup!$C$15,MONTH(O411)&lt;=Setup!$C$16)),IF(Setup!$C$15&lt;=Setup!$C$16,AND(MONTH(WORKDAY(O411,-(Setup!$C$13+Setup!$G$33),Setup!$C$39:$C$50))&gt;=Setup!$C$15,MONTH(WORKDAY(O411,-(Setup!$C$13+Setup!$G$33),Setup!$C$39:$C$50))&lt;=Setup!$C$16),OR(MONTH(WORKDAY(O411,-(Setup!$C$13+Setup!$G$33),Setup!$C$39:$C$50))&gt;=Setup!$C$15,MONTH(WORKDAY(O411,-(Setup!$C$13+Setup!$G$33),Setup!$C$39:$C$50))&lt;=Setup!$C$16))),WORKDAY(O411,-(Setup!$C$13+Setup!$G$33+Setup!$C$14),Setup!$C$39:$C$50),WORKDAY(O411,-(Setup!$C$13+Setup!$G$33),Setup!$C$39:$C$50))+(406*100+14)/10000000)))</f>
        <v/>
      </c>
      <c r="AF411" t="str">
        <f>IF(P411="","",IF(P411&lt;Setup!$C$5-Setup!$C$6,"",IF(IF(ISNUMBER(Roster!$D411),Setup!$C$34&lt;=Roster!$D411,FALSE),"",IF(OR(IF(Setup!$C$15&lt;=Setup!$C$16,AND(MONTH(P411)&gt;=Setup!$C$15,MONTH(P411)&lt;=Setup!$C$16),OR(MONTH(P411)&gt;=Setup!$C$15,MONTH(P411)&lt;=Setup!$C$16)),IF(Setup!$C$15&lt;=Setup!$C$16,AND(MONTH(WORKDAY(P411,-(Setup!$C$13+Setup!$G$34),Setup!$C$39:$C$50))&gt;=Setup!$C$15,MONTH(WORKDAY(P411,-(Setup!$C$13+Setup!$G$34),Setup!$C$39:$C$50))&lt;=Setup!$C$16),OR(MONTH(WORKDAY(P411,-(Setup!$C$13+Setup!$G$34),Setup!$C$39:$C$50))&gt;=Setup!$C$15,MONTH(WORKDAY(P411,-(Setup!$C$13+Setup!$G$34),Setup!$C$39:$C$50))&lt;=Setup!$C$16))),WORKDAY(P411,-(Setup!$C$13+Setup!$G$34+Setup!$C$14),Setup!$C$39:$C$50),WORKDAY(P411,-(Setup!$C$13+Setup!$G$34),Setup!$C$39:$C$50))+(406*100+15)/10000000)))</f>
        <v/>
      </c>
      <c r="AH411" t="str">
        <f t="shared" si="46"/>
        <v/>
      </c>
      <c r="AI411" t="str">
        <f t="shared" si="47"/>
        <v/>
      </c>
      <c r="AP411" t="str">
        <f>IF(ISNUMBER(Roster!$B411),MAX(1,YEAR(Setup!$C$5)-YEAR(Roster!$B411)+IF(EDATE(Roster!$B411,12*(YEAR(Setup!$C$5)-YEAR(Roster!$B411)))&lt;Setup!$C$5,1,0)),"")</f>
        <v/>
      </c>
      <c r="AQ411" s="32" t="str">
        <f>IF(AP411="","",EDATE(Roster!$B411,12*AP411))</f>
        <v/>
      </c>
      <c r="AR411" t="str">
        <f>IF(AQ411="","",IF(AQ411&lt;DATE(YEAR(Setup!$C$5)+1,MONTH(Setup!$C$5),DAY(Setup!$C$5)),AQ411+406/1000,""))</f>
        <v/>
      </c>
      <c r="AS411" t="str">
        <f t="shared" si="48"/>
        <v/>
      </c>
      <c r="AT411" t="str">
        <f>IF(AS411="","",IF(ISNUMBER(Roster!$D411),Roster!$D411&gt;=AP411,FALSE))</f>
        <v/>
      </c>
      <c r="AU411" t="str">
        <f t="shared" si="49"/>
        <v/>
      </c>
      <c r="AV411" t="str">
        <f ca="1">IF(406&gt;$AV$2,"",SMALL($AR$6:$AR$505,406))</f>
        <v/>
      </c>
      <c r="AW411" t="str">
        <f t="shared" ca="1" si="50"/>
        <v/>
      </c>
    </row>
    <row r="412" spans="2:49" x14ac:dyDescent="0.2">
      <c r="B412" s="32" t="str">
        <f>IF(AND(ISNUMBER(Roster!$B412),Setup!$B$20="Yes",ISNUMBER(Setup!$C$20)),EDATE(Roster!$B412,12*Setup!$C$20),"")</f>
        <v/>
      </c>
      <c r="C412" s="32" t="str">
        <f>IF(AND(ISNUMBER(Roster!$B412),Setup!$B$21="Yes",ISNUMBER(Setup!$C$21)),EDATE(Roster!$B412,12*Setup!$C$21),"")</f>
        <v/>
      </c>
      <c r="D412" s="32" t="str">
        <f>IF(AND(ISNUMBER(Roster!$B412),Setup!$B$22="Yes",ISNUMBER(Setup!$C$22)),EDATE(Roster!$B412,12*Setup!$C$22),"")</f>
        <v/>
      </c>
      <c r="E412" s="32" t="str">
        <f>IF(AND(ISNUMBER(Roster!$B412),Setup!$B$23="Yes",ISNUMBER(Setup!$C$23)),EDATE(Roster!$B412,12*Setup!$C$23),"")</f>
        <v/>
      </c>
      <c r="F412" s="32" t="str">
        <f>IF(AND(ISNUMBER(Roster!$B412),Setup!$B$24="Yes",ISNUMBER(Setup!$C$24)),EDATE(Roster!$B412,12*Setup!$C$24),"")</f>
        <v/>
      </c>
      <c r="G412" s="32" t="str">
        <f>IF(AND(ISNUMBER(Roster!$B412),Setup!$B$25="Yes",ISNUMBER(Setup!$C$25)),EDATE(Roster!$B412,12*Setup!$C$25),"")</f>
        <v/>
      </c>
      <c r="H412" s="32" t="str">
        <f>IF(AND(ISNUMBER(Roster!$B412),Setup!$B$26="Yes",ISNUMBER(Setup!$C$26)),EDATE(Roster!$B412,12*Setup!$C$26),"")</f>
        <v/>
      </c>
      <c r="I412" s="32" t="str">
        <f>IF(AND(ISNUMBER(Roster!$B412),Setup!$B$27="Yes",ISNUMBER(Setup!$C$27)),EDATE(Roster!$B412,12*Setup!$C$27),"")</f>
        <v/>
      </c>
      <c r="J412" s="32" t="str">
        <f>IF(AND(ISNUMBER(Roster!$B412),Setup!$B$28="Yes",ISNUMBER(Setup!$C$28)),EDATE(Roster!$B412,12*Setup!$C$28),"")</f>
        <v/>
      </c>
      <c r="K412" s="32" t="str">
        <f>IF(AND(ISNUMBER(Roster!$B412),Setup!$B$29="Yes",ISNUMBER(Setup!$C$29)),EDATE(Roster!$B412,12*Setup!$C$29),"")</f>
        <v/>
      </c>
      <c r="L412" s="32" t="str">
        <f>IF(AND(ISNUMBER(Roster!$B412),Setup!$B$30="Yes",ISNUMBER(Setup!$C$30)),EDATE(Roster!$B412,12*Setup!$C$30),"")</f>
        <v/>
      </c>
      <c r="M412" s="32" t="str">
        <f>IF(AND(ISNUMBER(Roster!$B412),Setup!$B$31="Yes",ISNUMBER(Setup!$C$31)),EDATE(Roster!$B412,12*Setup!$C$31),"")</f>
        <v/>
      </c>
      <c r="N412" s="32" t="str">
        <f>IF(AND(ISNUMBER(Roster!$B412),Setup!$B$32="Yes",ISNUMBER(Setup!$C$32)),EDATE(Roster!$B412,12*Setup!$C$32),"")</f>
        <v/>
      </c>
      <c r="O412" s="32" t="str">
        <f>IF(AND(ISNUMBER(Roster!$B412),Setup!$B$33="Yes",ISNUMBER(Setup!$C$33)),EDATE(Roster!$B412,12*Setup!$C$33),"")</f>
        <v/>
      </c>
      <c r="P412" s="32" t="str">
        <f>IF(AND(ISNUMBER(Roster!$B412),Setup!$B$34="Yes",ISNUMBER(Setup!$C$34)),EDATE(Roster!$B412,12*Setup!$C$34),"")</f>
        <v/>
      </c>
      <c r="R412" t="str">
        <f>IF(B412="","",IF(B412&lt;Setup!$C$5-Setup!$C$6,"",IF(IF(ISNUMBER(Roster!$D412),Setup!$C$20&lt;=Roster!$D412,FALSE),"",IF(OR(IF(Setup!$C$15&lt;=Setup!$C$16,AND(MONTH(B412)&gt;=Setup!$C$15,MONTH(B412)&lt;=Setup!$C$16),OR(MONTH(B412)&gt;=Setup!$C$15,MONTH(B412)&lt;=Setup!$C$16)),IF(Setup!$C$15&lt;=Setup!$C$16,AND(MONTH(WORKDAY(B412,-(Setup!$C$13+Setup!$G$20),Setup!$C$39:$C$50))&gt;=Setup!$C$15,MONTH(WORKDAY(B412,-(Setup!$C$13+Setup!$G$20),Setup!$C$39:$C$50))&lt;=Setup!$C$16),OR(MONTH(WORKDAY(B412,-(Setup!$C$13+Setup!$G$20),Setup!$C$39:$C$50))&gt;=Setup!$C$15,MONTH(WORKDAY(B412,-(Setup!$C$13+Setup!$G$20),Setup!$C$39:$C$50))&lt;=Setup!$C$16))),WORKDAY(B412,-(Setup!$C$13+Setup!$G$20+Setup!$C$14),Setup!$C$39:$C$50),WORKDAY(B412,-(Setup!$C$13+Setup!$G$20),Setup!$C$39:$C$50))+(407*100+1)/10000000)))</f>
        <v/>
      </c>
      <c r="S412" t="str">
        <f>IF(C412="","",IF(C412&lt;Setup!$C$5-Setup!$C$6,"",IF(IF(ISNUMBER(Roster!$D412),Setup!$C$21&lt;=Roster!$D412,FALSE),"",IF(OR(IF(Setup!$C$15&lt;=Setup!$C$16,AND(MONTH(C412)&gt;=Setup!$C$15,MONTH(C412)&lt;=Setup!$C$16),OR(MONTH(C412)&gt;=Setup!$C$15,MONTH(C412)&lt;=Setup!$C$16)),IF(Setup!$C$15&lt;=Setup!$C$16,AND(MONTH(WORKDAY(C412,-(Setup!$C$13+Setup!$G$21),Setup!$C$39:$C$50))&gt;=Setup!$C$15,MONTH(WORKDAY(C412,-(Setup!$C$13+Setup!$G$21),Setup!$C$39:$C$50))&lt;=Setup!$C$16),OR(MONTH(WORKDAY(C412,-(Setup!$C$13+Setup!$G$21),Setup!$C$39:$C$50))&gt;=Setup!$C$15,MONTH(WORKDAY(C412,-(Setup!$C$13+Setup!$G$21),Setup!$C$39:$C$50))&lt;=Setup!$C$16))),WORKDAY(C412,-(Setup!$C$13+Setup!$G$21+Setup!$C$14),Setup!$C$39:$C$50),WORKDAY(C412,-(Setup!$C$13+Setup!$G$21),Setup!$C$39:$C$50))+(407*100+2)/10000000)))</f>
        <v/>
      </c>
      <c r="T412" t="str">
        <f>IF(D412="","",IF(D412&lt;Setup!$C$5-Setup!$C$6,"",IF(IF(ISNUMBER(Roster!$D412),Setup!$C$22&lt;=Roster!$D412,FALSE),"",IF(OR(IF(Setup!$C$15&lt;=Setup!$C$16,AND(MONTH(D412)&gt;=Setup!$C$15,MONTH(D412)&lt;=Setup!$C$16),OR(MONTH(D412)&gt;=Setup!$C$15,MONTH(D412)&lt;=Setup!$C$16)),IF(Setup!$C$15&lt;=Setup!$C$16,AND(MONTH(WORKDAY(D412,-(Setup!$C$13+Setup!$G$22),Setup!$C$39:$C$50))&gt;=Setup!$C$15,MONTH(WORKDAY(D412,-(Setup!$C$13+Setup!$G$22),Setup!$C$39:$C$50))&lt;=Setup!$C$16),OR(MONTH(WORKDAY(D412,-(Setup!$C$13+Setup!$G$22),Setup!$C$39:$C$50))&gt;=Setup!$C$15,MONTH(WORKDAY(D412,-(Setup!$C$13+Setup!$G$22),Setup!$C$39:$C$50))&lt;=Setup!$C$16))),WORKDAY(D412,-(Setup!$C$13+Setup!$G$22+Setup!$C$14),Setup!$C$39:$C$50),WORKDAY(D412,-(Setup!$C$13+Setup!$G$22),Setup!$C$39:$C$50))+(407*100+3)/10000000)))</f>
        <v/>
      </c>
      <c r="U412" t="str">
        <f>IF(E412="","",IF(E412&lt;Setup!$C$5-Setup!$C$6,"",IF(IF(ISNUMBER(Roster!$D412),Setup!$C$23&lt;=Roster!$D412,FALSE),"",IF(OR(IF(Setup!$C$15&lt;=Setup!$C$16,AND(MONTH(E412)&gt;=Setup!$C$15,MONTH(E412)&lt;=Setup!$C$16),OR(MONTH(E412)&gt;=Setup!$C$15,MONTH(E412)&lt;=Setup!$C$16)),IF(Setup!$C$15&lt;=Setup!$C$16,AND(MONTH(WORKDAY(E412,-(Setup!$C$13+Setup!$G$23),Setup!$C$39:$C$50))&gt;=Setup!$C$15,MONTH(WORKDAY(E412,-(Setup!$C$13+Setup!$G$23),Setup!$C$39:$C$50))&lt;=Setup!$C$16),OR(MONTH(WORKDAY(E412,-(Setup!$C$13+Setup!$G$23),Setup!$C$39:$C$50))&gt;=Setup!$C$15,MONTH(WORKDAY(E412,-(Setup!$C$13+Setup!$G$23),Setup!$C$39:$C$50))&lt;=Setup!$C$16))),WORKDAY(E412,-(Setup!$C$13+Setup!$G$23+Setup!$C$14),Setup!$C$39:$C$50),WORKDAY(E412,-(Setup!$C$13+Setup!$G$23),Setup!$C$39:$C$50))+(407*100+4)/10000000)))</f>
        <v/>
      </c>
      <c r="V412" t="str">
        <f>IF(F412="","",IF(F412&lt;Setup!$C$5-Setup!$C$6,"",IF(IF(ISNUMBER(Roster!$D412),Setup!$C$24&lt;=Roster!$D412,FALSE),"",IF(OR(IF(Setup!$C$15&lt;=Setup!$C$16,AND(MONTH(F412)&gt;=Setup!$C$15,MONTH(F412)&lt;=Setup!$C$16),OR(MONTH(F412)&gt;=Setup!$C$15,MONTH(F412)&lt;=Setup!$C$16)),IF(Setup!$C$15&lt;=Setup!$C$16,AND(MONTH(WORKDAY(F412,-(Setup!$C$13+Setup!$G$24),Setup!$C$39:$C$50))&gt;=Setup!$C$15,MONTH(WORKDAY(F412,-(Setup!$C$13+Setup!$G$24),Setup!$C$39:$C$50))&lt;=Setup!$C$16),OR(MONTH(WORKDAY(F412,-(Setup!$C$13+Setup!$G$24),Setup!$C$39:$C$50))&gt;=Setup!$C$15,MONTH(WORKDAY(F412,-(Setup!$C$13+Setup!$G$24),Setup!$C$39:$C$50))&lt;=Setup!$C$16))),WORKDAY(F412,-(Setup!$C$13+Setup!$G$24+Setup!$C$14),Setup!$C$39:$C$50),WORKDAY(F412,-(Setup!$C$13+Setup!$G$24),Setup!$C$39:$C$50))+(407*100+5)/10000000)))</f>
        <v/>
      </c>
      <c r="W412" t="str">
        <f>IF(G412="","",IF(G412&lt;Setup!$C$5-Setup!$C$6,"",IF(IF(ISNUMBER(Roster!$D412),Setup!$C$25&lt;=Roster!$D412,FALSE),"",IF(OR(IF(Setup!$C$15&lt;=Setup!$C$16,AND(MONTH(G412)&gt;=Setup!$C$15,MONTH(G412)&lt;=Setup!$C$16),OR(MONTH(G412)&gt;=Setup!$C$15,MONTH(G412)&lt;=Setup!$C$16)),IF(Setup!$C$15&lt;=Setup!$C$16,AND(MONTH(WORKDAY(G412,-(Setup!$C$13+Setup!$G$25),Setup!$C$39:$C$50))&gt;=Setup!$C$15,MONTH(WORKDAY(G412,-(Setup!$C$13+Setup!$G$25),Setup!$C$39:$C$50))&lt;=Setup!$C$16),OR(MONTH(WORKDAY(G412,-(Setup!$C$13+Setup!$G$25),Setup!$C$39:$C$50))&gt;=Setup!$C$15,MONTH(WORKDAY(G412,-(Setup!$C$13+Setup!$G$25),Setup!$C$39:$C$50))&lt;=Setup!$C$16))),WORKDAY(G412,-(Setup!$C$13+Setup!$G$25+Setup!$C$14),Setup!$C$39:$C$50),WORKDAY(G412,-(Setup!$C$13+Setup!$G$25),Setup!$C$39:$C$50))+(407*100+6)/10000000)))</f>
        <v/>
      </c>
      <c r="X412" t="str">
        <f>IF(H412="","",IF(H412&lt;Setup!$C$5-Setup!$C$6,"",IF(IF(ISNUMBER(Roster!$D412),Setup!$C$26&lt;=Roster!$D412,FALSE),"",IF(OR(IF(Setup!$C$15&lt;=Setup!$C$16,AND(MONTH(H412)&gt;=Setup!$C$15,MONTH(H412)&lt;=Setup!$C$16),OR(MONTH(H412)&gt;=Setup!$C$15,MONTH(H412)&lt;=Setup!$C$16)),IF(Setup!$C$15&lt;=Setup!$C$16,AND(MONTH(WORKDAY(H412,-(Setup!$C$13+Setup!$G$26),Setup!$C$39:$C$50))&gt;=Setup!$C$15,MONTH(WORKDAY(H412,-(Setup!$C$13+Setup!$G$26),Setup!$C$39:$C$50))&lt;=Setup!$C$16),OR(MONTH(WORKDAY(H412,-(Setup!$C$13+Setup!$G$26),Setup!$C$39:$C$50))&gt;=Setup!$C$15,MONTH(WORKDAY(H412,-(Setup!$C$13+Setup!$G$26),Setup!$C$39:$C$50))&lt;=Setup!$C$16))),WORKDAY(H412,-(Setup!$C$13+Setup!$G$26+Setup!$C$14),Setup!$C$39:$C$50),WORKDAY(H412,-(Setup!$C$13+Setup!$G$26),Setup!$C$39:$C$50))+(407*100+7)/10000000)))</f>
        <v/>
      </c>
      <c r="Y412" t="str">
        <f>IF(I412="","",IF(I412&lt;Setup!$C$5-Setup!$C$6,"",IF(IF(ISNUMBER(Roster!$D412),Setup!$C$27&lt;=Roster!$D412,FALSE),"",IF(OR(IF(Setup!$C$15&lt;=Setup!$C$16,AND(MONTH(I412)&gt;=Setup!$C$15,MONTH(I412)&lt;=Setup!$C$16),OR(MONTH(I412)&gt;=Setup!$C$15,MONTH(I412)&lt;=Setup!$C$16)),IF(Setup!$C$15&lt;=Setup!$C$16,AND(MONTH(WORKDAY(I412,-(Setup!$C$13+Setup!$G$27),Setup!$C$39:$C$50))&gt;=Setup!$C$15,MONTH(WORKDAY(I412,-(Setup!$C$13+Setup!$G$27),Setup!$C$39:$C$50))&lt;=Setup!$C$16),OR(MONTH(WORKDAY(I412,-(Setup!$C$13+Setup!$G$27),Setup!$C$39:$C$50))&gt;=Setup!$C$15,MONTH(WORKDAY(I412,-(Setup!$C$13+Setup!$G$27),Setup!$C$39:$C$50))&lt;=Setup!$C$16))),WORKDAY(I412,-(Setup!$C$13+Setup!$G$27+Setup!$C$14),Setup!$C$39:$C$50),WORKDAY(I412,-(Setup!$C$13+Setup!$G$27),Setup!$C$39:$C$50))+(407*100+8)/10000000)))</f>
        <v/>
      </c>
      <c r="Z412" t="str">
        <f>IF(J412="","",IF(J412&lt;Setup!$C$5-Setup!$C$6,"",IF(IF(ISNUMBER(Roster!$D412),Setup!$C$28&lt;=Roster!$D412,FALSE),"",IF(OR(IF(Setup!$C$15&lt;=Setup!$C$16,AND(MONTH(J412)&gt;=Setup!$C$15,MONTH(J412)&lt;=Setup!$C$16),OR(MONTH(J412)&gt;=Setup!$C$15,MONTH(J412)&lt;=Setup!$C$16)),IF(Setup!$C$15&lt;=Setup!$C$16,AND(MONTH(WORKDAY(J412,-(Setup!$C$13+Setup!$G$28),Setup!$C$39:$C$50))&gt;=Setup!$C$15,MONTH(WORKDAY(J412,-(Setup!$C$13+Setup!$G$28),Setup!$C$39:$C$50))&lt;=Setup!$C$16),OR(MONTH(WORKDAY(J412,-(Setup!$C$13+Setup!$G$28),Setup!$C$39:$C$50))&gt;=Setup!$C$15,MONTH(WORKDAY(J412,-(Setup!$C$13+Setup!$G$28),Setup!$C$39:$C$50))&lt;=Setup!$C$16))),WORKDAY(J412,-(Setup!$C$13+Setup!$G$28+Setup!$C$14),Setup!$C$39:$C$50),WORKDAY(J412,-(Setup!$C$13+Setup!$G$28),Setup!$C$39:$C$50))+(407*100+9)/10000000)))</f>
        <v/>
      </c>
      <c r="AA412" t="str">
        <f>IF(K412="","",IF(K412&lt;Setup!$C$5-Setup!$C$6,"",IF(IF(ISNUMBER(Roster!$D412),Setup!$C$29&lt;=Roster!$D412,FALSE),"",IF(OR(IF(Setup!$C$15&lt;=Setup!$C$16,AND(MONTH(K412)&gt;=Setup!$C$15,MONTH(K412)&lt;=Setup!$C$16),OR(MONTH(K412)&gt;=Setup!$C$15,MONTH(K412)&lt;=Setup!$C$16)),IF(Setup!$C$15&lt;=Setup!$C$16,AND(MONTH(WORKDAY(K412,-(Setup!$C$13+Setup!$G$29),Setup!$C$39:$C$50))&gt;=Setup!$C$15,MONTH(WORKDAY(K412,-(Setup!$C$13+Setup!$G$29),Setup!$C$39:$C$50))&lt;=Setup!$C$16),OR(MONTH(WORKDAY(K412,-(Setup!$C$13+Setup!$G$29),Setup!$C$39:$C$50))&gt;=Setup!$C$15,MONTH(WORKDAY(K412,-(Setup!$C$13+Setup!$G$29),Setup!$C$39:$C$50))&lt;=Setup!$C$16))),WORKDAY(K412,-(Setup!$C$13+Setup!$G$29+Setup!$C$14),Setup!$C$39:$C$50),WORKDAY(K412,-(Setup!$C$13+Setup!$G$29),Setup!$C$39:$C$50))+(407*100+10)/10000000)))</f>
        <v/>
      </c>
      <c r="AB412" t="str">
        <f>IF(L412="","",IF(L412&lt;Setup!$C$5-Setup!$C$6,"",IF(IF(ISNUMBER(Roster!$D412),Setup!$C$30&lt;=Roster!$D412,FALSE),"",IF(OR(IF(Setup!$C$15&lt;=Setup!$C$16,AND(MONTH(L412)&gt;=Setup!$C$15,MONTH(L412)&lt;=Setup!$C$16),OR(MONTH(L412)&gt;=Setup!$C$15,MONTH(L412)&lt;=Setup!$C$16)),IF(Setup!$C$15&lt;=Setup!$C$16,AND(MONTH(WORKDAY(L412,-(Setup!$C$13+Setup!$G$30),Setup!$C$39:$C$50))&gt;=Setup!$C$15,MONTH(WORKDAY(L412,-(Setup!$C$13+Setup!$G$30),Setup!$C$39:$C$50))&lt;=Setup!$C$16),OR(MONTH(WORKDAY(L412,-(Setup!$C$13+Setup!$G$30),Setup!$C$39:$C$50))&gt;=Setup!$C$15,MONTH(WORKDAY(L412,-(Setup!$C$13+Setup!$G$30),Setup!$C$39:$C$50))&lt;=Setup!$C$16))),WORKDAY(L412,-(Setup!$C$13+Setup!$G$30+Setup!$C$14),Setup!$C$39:$C$50),WORKDAY(L412,-(Setup!$C$13+Setup!$G$30),Setup!$C$39:$C$50))+(407*100+11)/10000000)))</f>
        <v/>
      </c>
      <c r="AC412" t="str">
        <f>IF(M412="","",IF(M412&lt;Setup!$C$5-Setup!$C$6,"",IF(IF(ISNUMBER(Roster!$D412),Setup!$C$31&lt;=Roster!$D412,FALSE),"",IF(OR(IF(Setup!$C$15&lt;=Setup!$C$16,AND(MONTH(M412)&gt;=Setup!$C$15,MONTH(M412)&lt;=Setup!$C$16),OR(MONTH(M412)&gt;=Setup!$C$15,MONTH(M412)&lt;=Setup!$C$16)),IF(Setup!$C$15&lt;=Setup!$C$16,AND(MONTH(WORKDAY(M412,-(Setup!$C$13+Setup!$G$31),Setup!$C$39:$C$50))&gt;=Setup!$C$15,MONTH(WORKDAY(M412,-(Setup!$C$13+Setup!$G$31),Setup!$C$39:$C$50))&lt;=Setup!$C$16),OR(MONTH(WORKDAY(M412,-(Setup!$C$13+Setup!$G$31),Setup!$C$39:$C$50))&gt;=Setup!$C$15,MONTH(WORKDAY(M412,-(Setup!$C$13+Setup!$G$31),Setup!$C$39:$C$50))&lt;=Setup!$C$16))),WORKDAY(M412,-(Setup!$C$13+Setup!$G$31+Setup!$C$14),Setup!$C$39:$C$50),WORKDAY(M412,-(Setup!$C$13+Setup!$G$31),Setup!$C$39:$C$50))+(407*100+12)/10000000)))</f>
        <v/>
      </c>
      <c r="AD412" t="str">
        <f>IF(N412="","",IF(N412&lt;Setup!$C$5-Setup!$C$6,"",IF(IF(ISNUMBER(Roster!$D412),Setup!$C$32&lt;=Roster!$D412,FALSE),"",IF(OR(IF(Setup!$C$15&lt;=Setup!$C$16,AND(MONTH(N412)&gt;=Setup!$C$15,MONTH(N412)&lt;=Setup!$C$16),OR(MONTH(N412)&gt;=Setup!$C$15,MONTH(N412)&lt;=Setup!$C$16)),IF(Setup!$C$15&lt;=Setup!$C$16,AND(MONTH(WORKDAY(N412,-(Setup!$C$13+Setup!$G$32),Setup!$C$39:$C$50))&gt;=Setup!$C$15,MONTH(WORKDAY(N412,-(Setup!$C$13+Setup!$G$32),Setup!$C$39:$C$50))&lt;=Setup!$C$16),OR(MONTH(WORKDAY(N412,-(Setup!$C$13+Setup!$G$32),Setup!$C$39:$C$50))&gt;=Setup!$C$15,MONTH(WORKDAY(N412,-(Setup!$C$13+Setup!$G$32),Setup!$C$39:$C$50))&lt;=Setup!$C$16))),WORKDAY(N412,-(Setup!$C$13+Setup!$G$32+Setup!$C$14),Setup!$C$39:$C$50),WORKDAY(N412,-(Setup!$C$13+Setup!$G$32),Setup!$C$39:$C$50))+(407*100+13)/10000000)))</f>
        <v/>
      </c>
      <c r="AE412" t="str">
        <f>IF(O412="","",IF(O412&lt;Setup!$C$5-Setup!$C$6,"",IF(IF(ISNUMBER(Roster!$D412),Setup!$C$33&lt;=Roster!$D412,FALSE),"",IF(OR(IF(Setup!$C$15&lt;=Setup!$C$16,AND(MONTH(O412)&gt;=Setup!$C$15,MONTH(O412)&lt;=Setup!$C$16),OR(MONTH(O412)&gt;=Setup!$C$15,MONTH(O412)&lt;=Setup!$C$16)),IF(Setup!$C$15&lt;=Setup!$C$16,AND(MONTH(WORKDAY(O412,-(Setup!$C$13+Setup!$G$33),Setup!$C$39:$C$50))&gt;=Setup!$C$15,MONTH(WORKDAY(O412,-(Setup!$C$13+Setup!$G$33),Setup!$C$39:$C$50))&lt;=Setup!$C$16),OR(MONTH(WORKDAY(O412,-(Setup!$C$13+Setup!$G$33),Setup!$C$39:$C$50))&gt;=Setup!$C$15,MONTH(WORKDAY(O412,-(Setup!$C$13+Setup!$G$33),Setup!$C$39:$C$50))&lt;=Setup!$C$16))),WORKDAY(O412,-(Setup!$C$13+Setup!$G$33+Setup!$C$14),Setup!$C$39:$C$50),WORKDAY(O412,-(Setup!$C$13+Setup!$G$33),Setup!$C$39:$C$50))+(407*100+14)/10000000)))</f>
        <v/>
      </c>
      <c r="AF412" t="str">
        <f>IF(P412="","",IF(P412&lt;Setup!$C$5-Setup!$C$6,"",IF(IF(ISNUMBER(Roster!$D412),Setup!$C$34&lt;=Roster!$D412,FALSE),"",IF(OR(IF(Setup!$C$15&lt;=Setup!$C$16,AND(MONTH(P412)&gt;=Setup!$C$15,MONTH(P412)&lt;=Setup!$C$16),OR(MONTH(P412)&gt;=Setup!$C$15,MONTH(P412)&lt;=Setup!$C$16)),IF(Setup!$C$15&lt;=Setup!$C$16,AND(MONTH(WORKDAY(P412,-(Setup!$C$13+Setup!$G$34),Setup!$C$39:$C$50))&gt;=Setup!$C$15,MONTH(WORKDAY(P412,-(Setup!$C$13+Setup!$G$34),Setup!$C$39:$C$50))&lt;=Setup!$C$16),OR(MONTH(WORKDAY(P412,-(Setup!$C$13+Setup!$G$34),Setup!$C$39:$C$50))&gt;=Setup!$C$15,MONTH(WORKDAY(P412,-(Setup!$C$13+Setup!$G$34),Setup!$C$39:$C$50))&lt;=Setup!$C$16))),WORKDAY(P412,-(Setup!$C$13+Setup!$G$34+Setup!$C$14),Setup!$C$39:$C$50),WORKDAY(P412,-(Setup!$C$13+Setup!$G$34),Setup!$C$39:$C$50))+(407*100+15)/10000000)))</f>
        <v/>
      </c>
      <c r="AH412" t="str">
        <f t="shared" si="46"/>
        <v/>
      </c>
      <c r="AI412" t="str">
        <f t="shared" si="47"/>
        <v/>
      </c>
      <c r="AP412" t="str">
        <f>IF(ISNUMBER(Roster!$B412),MAX(1,YEAR(Setup!$C$5)-YEAR(Roster!$B412)+IF(EDATE(Roster!$B412,12*(YEAR(Setup!$C$5)-YEAR(Roster!$B412)))&lt;Setup!$C$5,1,0)),"")</f>
        <v/>
      </c>
      <c r="AQ412" s="32" t="str">
        <f>IF(AP412="","",EDATE(Roster!$B412,12*AP412))</f>
        <v/>
      </c>
      <c r="AR412" t="str">
        <f>IF(AQ412="","",IF(AQ412&lt;DATE(YEAR(Setup!$C$5)+1,MONTH(Setup!$C$5),DAY(Setup!$C$5)),AQ412+407/1000,""))</f>
        <v/>
      </c>
      <c r="AS412" t="str">
        <f t="shared" si="48"/>
        <v/>
      </c>
      <c r="AT412" t="str">
        <f>IF(AS412="","",IF(ISNUMBER(Roster!$D412),Roster!$D412&gt;=AP412,FALSE))</f>
        <v/>
      </c>
      <c r="AU412" t="str">
        <f t="shared" si="49"/>
        <v/>
      </c>
      <c r="AV412" t="str">
        <f ca="1">IF(407&gt;$AV$2,"",SMALL($AR$6:$AR$505,407))</f>
        <v/>
      </c>
      <c r="AW412" t="str">
        <f t="shared" ca="1" si="50"/>
        <v/>
      </c>
    </row>
    <row r="413" spans="2:49" x14ac:dyDescent="0.2">
      <c r="B413" s="32" t="str">
        <f>IF(AND(ISNUMBER(Roster!$B413),Setup!$B$20="Yes",ISNUMBER(Setup!$C$20)),EDATE(Roster!$B413,12*Setup!$C$20),"")</f>
        <v/>
      </c>
      <c r="C413" s="32" t="str">
        <f>IF(AND(ISNUMBER(Roster!$B413),Setup!$B$21="Yes",ISNUMBER(Setup!$C$21)),EDATE(Roster!$B413,12*Setup!$C$21),"")</f>
        <v/>
      </c>
      <c r="D413" s="32" t="str">
        <f>IF(AND(ISNUMBER(Roster!$B413),Setup!$B$22="Yes",ISNUMBER(Setup!$C$22)),EDATE(Roster!$B413,12*Setup!$C$22),"")</f>
        <v/>
      </c>
      <c r="E413" s="32" t="str">
        <f>IF(AND(ISNUMBER(Roster!$B413),Setup!$B$23="Yes",ISNUMBER(Setup!$C$23)),EDATE(Roster!$B413,12*Setup!$C$23),"")</f>
        <v/>
      </c>
      <c r="F413" s="32" t="str">
        <f>IF(AND(ISNUMBER(Roster!$B413),Setup!$B$24="Yes",ISNUMBER(Setup!$C$24)),EDATE(Roster!$B413,12*Setup!$C$24),"")</f>
        <v/>
      </c>
      <c r="G413" s="32" t="str">
        <f>IF(AND(ISNUMBER(Roster!$B413),Setup!$B$25="Yes",ISNUMBER(Setup!$C$25)),EDATE(Roster!$B413,12*Setup!$C$25),"")</f>
        <v/>
      </c>
      <c r="H413" s="32" t="str">
        <f>IF(AND(ISNUMBER(Roster!$B413),Setup!$B$26="Yes",ISNUMBER(Setup!$C$26)),EDATE(Roster!$B413,12*Setup!$C$26),"")</f>
        <v/>
      </c>
      <c r="I413" s="32" t="str">
        <f>IF(AND(ISNUMBER(Roster!$B413),Setup!$B$27="Yes",ISNUMBER(Setup!$C$27)),EDATE(Roster!$B413,12*Setup!$C$27),"")</f>
        <v/>
      </c>
      <c r="J413" s="32" t="str">
        <f>IF(AND(ISNUMBER(Roster!$B413),Setup!$B$28="Yes",ISNUMBER(Setup!$C$28)),EDATE(Roster!$B413,12*Setup!$C$28),"")</f>
        <v/>
      </c>
      <c r="K413" s="32" t="str">
        <f>IF(AND(ISNUMBER(Roster!$B413),Setup!$B$29="Yes",ISNUMBER(Setup!$C$29)),EDATE(Roster!$B413,12*Setup!$C$29),"")</f>
        <v/>
      </c>
      <c r="L413" s="32" t="str">
        <f>IF(AND(ISNUMBER(Roster!$B413),Setup!$B$30="Yes",ISNUMBER(Setup!$C$30)),EDATE(Roster!$B413,12*Setup!$C$30),"")</f>
        <v/>
      </c>
      <c r="M413" s="32" t="str">
        <f>IF(AND(ISNUMBER(Roster!$B413),Setup!$B$31="Yes",ISNUMBER(Setup!$C$31)),EDATE(Roster!$B413,12*Setup!$C$31),"")</f>
        <v/>
      </c>
      <c r="N413" s="32" t="str">
        <f>IF(AND(ISNUMBER(Roster!$B413),Setup!$B$32="Yes",ISNUMBER(Setup!$C$32)),EDATE(Roster!$B413,12*Setup!$C$32),"")</f>
        <v/>
      </c>
      <c r="O413" s="32" t="str">
        <f>IF(AND(ISNUMBER(Roster!$B413),Setup!$B$33="Yes",ISNUMBER(Setup!$C$33)),EDATE(Roster!$B413,12*Setup!$C$33),"")</f>
        <v/>
      </c>
      <c r="P413" s="32" t="str">
        <f>IF(AND(ISNUMBER(Roster!$B413),Setup!$B$34="Yes",ISNUMBER(Setup!$C$34)),EDATE(Roster!$B413,12*Setup!$C$34),"")</f>
        <v/>
      </c>
      <c r="R413" t="str">
        <f>IF(B413="","",IF(B413&lt;Setup!$C$5-Setup!$C$6,"",IF(IF(ISNUMBER(Roster!$D413),Setup!$C$20&lt;=Roster!$D413,FALSE),"",IF(OR(IF(Setup!$C$15&lt;=Setup!$C$16,AND(MONTH(B413)&gt;=Setup!$C$15,MONTH(B413)&lt;=Setup!$C$16),OR(MONTH(B413)&gt;=Setup!$C$15,MONTH(B413)&lt;=Setup!$C$16)),IF(Setup!$C$15&lt;=Setup!$C$16,AND(MONTH(WORKDAY(B413,-(Setup!$C$13+Setup!$G$20),Setup!$C$39:$C$50))&gt;=Setup!$C$15,MONTH(WORKDAY(B413,-(Setup!$C$13+Setup!$G$20),Setup!$C$39:$C$50))&lt;=Setup!$C$16),OR(MONTH(WORKDAY(B413,-(Setup!$C$13+Setup!$G$20),Setup!$C$39:$C$50))&gt;=Setup!$C$15,MONTH(WORKDAY(B413,-(Setup!$C$13+Setup!$G$20),Setup!$C$39:$C$50))&lt;=Setup!$C$16))),WORKDAY(B413,-(Setup!$C$13+Setup!$G$20+Setup!$C$14),Setup!$C$39:$C$50),WORKDAY(B413,-(Setup!$C$13+Setup!$G$20),Setup!$C$39:$C$50))+(408*100+1)/10000000)))</f>
        <v/>
      </c>
      <c r="S413" t="str">
        <f>IF(C413="","",IF(C413&lt;Setup!$C$5-Setup!$C$6,"",IF(IF(ISNUMBER(Roster!$D413),Setup!$C$21&lt;=Roster!$D413,FALSE),"",IF(OR(IF(Setup!$C$15&lt;=Setup!$C$16,AND(MONTH(C413)&gt;=Setup!$C$15,MONTH(C413)&lt;=Setup!$C$16),OR(MONTH(C413)&gt;=Setup!$C$15,MONTH(C413)&lt;=Setup!$C$16)),IF(Setup!$C$15&lt;=Setup!$C$16,AND(MONTH(WORKDAY(C413,-(Setup!$C$13+Setup!$G$21),Setup!$C$39:$C$50))&gt;=Setup!$C$15,MONTH(WORKDAY(C413,-(Setup!$C$13+Setup!$G$21),Setup!$C$39:$C$50))&lt;=Setup!$C$16),OR(MONTH(WORKDAY(C413,-(Setup!$C$13+Setup!$G$21),Setup!$C$39:$C$50))&gt;=Setup!$C$15,MONTH(WORKDAY(C413,-(Setup!$C$13+Setup!$G$21),Setup!$C$39:$C$50))&lt;=Setup!$C$16))),WORKDAY(C413,-(Setup!$C$13+Setup!$G$21+Setup!$C$14),Setup!$C$39:$C$50),WORKDAY(C413,-(Setup!$C$13+Setup!$G$21),Setup!$C$39:$C$50))+(408*100+2)/10000000)))</f>
        <v/>
      </c>
      <c r="T413" t="str">
        <f>IF(D413="","",IF(D413&lt;Setup!$C$5-Setup!$C$6,"",IF(IF(ISNUMBER(Roster!$D413),Setup!$C$22&lt;=Roster!$D413,FALSE),"",IF(OR(IF(Setup!$C$15&lt;=Setup!$C$16,AND(MONTH(D413)&gt;=Setup!$C$15,MONTH(D413)&lt;=Setup!$C$16),OR(MONTH(D413)&gt;=Setup!$C$15,MONTH(D413)&lt;=Setup!$C$16)),IF(Setup!$C$15&lt;=Setup!$C$16,AND(MONTH(WORKDAY(D413,-(Setup!$C$13+Setup!$G$22),Setup!$C$39:$C$50))&gt;=Setup!$C$15,MONTH(WORKDAY(D413,-(Setup!$C$13+Setup!$G$22),Setup!$C$39:$C$50))&lt;=Setup!$C$16),OR(MONTH(WORKDAY(D413,-(Setup!$C$13+Setup!$G$22),Setup!$C$39:$C$50))&gt;=Setup!$C$15,MONTH(WORKDAY(D413,-(Setup!$C$13+Setup!$G$22),Setup!$C$39:$C$50))&lt;=Setup!$C$16))),WORKDAY(D413,-(Setup!$C$13+Setup!$G$22+Setup!$C$14),Setup!$C$39:$C$50),WORKDAY(D413,-(Setup!$C$13+Setup!$G$22),Setup!$C$39:$C$50))+(408*100+3)/10000000)))</f>
        <v/>
      </c>
      <c r="U413" t="str">
        <f>IF(E413="","",IF(E413&lt;Setup!$C$5-Setup!$C$6,"",IF(IF(ISNUMBER(Roster!$D413),Setup!$C$23&lt;=Roster!$D413,FALSE),"",IF(OR(IF(Setup!$C$15&lt;=Setup!$C$16,AND(MONTH(E413)&gt;=Setup!$C$15,MONTH(E413)&lt;=Setup!$C$16),OR(MONTH(E413)&gt;=Setup!$C$15,MONTH(E413)&lt;=Setup!$C$16)),IF(Setup!$C$15&lt;=Setup!$C$16,AND(MONTH(WORKDAY(E413,-(Setup!$C$13+Setup!$G$23),Setup!$C$39:$C$50))&gt;=Setup!$C$15,MONTH(WORKDAY(E413,-(Setup!$C$13+Setup!$G$23),Setup!$C$39:$C$50))&lt;=Setup!$C$16),OR(MONTH(WORKDAY(E413,-(Setup!$C$13+Setup!$G$23),Setup!$C$39:$C$50))&gt;=Setup!$C$15,MONTH(WORKDAY(E413,-(Setup!$C$13+Setup!$G$23),Setup!$C$39:$C$50))&lt;=Setup!$C$16))),WORKDAY(E413,-(Setup!$C$13+Setup!$G$23+Setup!$C$14),Setup!$C$39:$C$50),WORKDAY(E413,-(Setup!$C$13+Setup!$G$23),Setup!$C$39:$C$50))+(408*100+4)/10000000)))</f>
        <v/>
      </c>
      <c r="V413" t="str">
        <f>IF(F413="","",IF(F413&lt;Setup!$C$5-Setup!$C$6,"",IF(IF(ISNUMBER(Roster!$D413),Setup!$C$24&lt;=Roster!$D413,FALSE),"",IF(OR(IF(Setup!$C$15&lt;=Setup!$C$16,AND(MONTH(F413)&gt;=Setup!$C$15,MONTH(F413)&lt;=Setup!$C$16),OR(MONTH(F413)&gt;=Setup!$C$15,MONTH(F413)&lt;=Setup!$C$16)),IF(Setup!$C$15&lt;=Setup!$C$16,AND(MONTH(WORKDAY(F413,-(Setup!$C$13+Setup!$G$24),Setup!$C$39:$C$50))&gt;=Setup!$C$15,MONTH(WORKDAY(F413,-(Setup!$C$13+Setup!$G$24),Setup!$C$39:$C$50))&lt;=Setup!$C$16),OR(MONTH(WORKDAY(F413,-(Setup!$C$13+Setup!$G$24),Setup!$C$39:$C$50))&gt;=Setup!$C$15,MONTH(WORKDAY(F413,-(Setup!$C$13+Setup!$G$24),Setup!$C$39:$C$50))&lt;=Setup!$C$16))),WORKDAY(F413,-(Setup!$C$13+Setup!$G$24+Setup!$C$14),Setup!$C$39:$C$50),WORKDAY(F413,-(Setup!$C$13+Setup!$G$24),Setup!$C$39:$C$50))+(408*100+5)/10000000)))</f>
        <v/>
      </c>
      <c r="W413" t="str">
        <f>IF(G413="","",IF(G413&lt;Setup!$C$5-Setup!$C$6,"",IF(IF(ISNUMBER(Roster!$D413),Setup!$C$25&lt;=Roster!$D413,FALSE),"",IF(OR(IF(Setup!$C$15&lt;=Setup!$C$16,AND(MONTH(G413)&gt;=Setup!$C$15,MONTH(G413)&lt;=Setup!$C$16),OR(MONTH(G413)&gt;=Setup!$C$15,MONTH(G413)&lt;=Setup!$C$16)),IF(Setup!$C$15&lt;=Setup!$C$16,AND(MONTH(WORKDAY(G413,-(Setup!$C$13+Setup!$G$25),Setup!$C$39:$C$50))&gt;=Setup!$C$15,MONTH(WORKDAY(G413,-(Setup!$C$13+Setup!$G$25),Setup!$C$39:$C$50))&lt;=Setup!$C$16),OR(MONTH(WORKDAY(G413,-(Setup!$C$13+Setup!$G$25),Setup!$C$39:$C$50))&gt;=Setup!$C$15,MONTH(WORKDAY(G413,-(Setup!$C$13+Setup!$G$25),Setup!$C$39:$C$50))&lt;=Setup!$C$16))),WORKDAY(G413,-(Setup!$C$13+Setup!$G$25+Setup!$C$14),Setup!$C$39:$C$50),WORKDAY(G413,-(Setup!$C$13+Setup!$G$25),Setup!$C$39:$C$50))+(408*100+6)/10000000)))</f>
        <v/>
      </c>
      <c r="X413" t="str">
        <f>IF(H413="","",IF(H413&lt;Setup!$C$5-Setup!$C$6,"",IF(IF(ISNUMBER(Roster!$D413),Setup!$C$26&lt;=Roster!$D413,FALSE),"",IF(OR(IF(Setup!$C$15&lt;=Setup!$C$16,AND(MONTH(H413)&gt;=Setup!$C$15,MONTH(H413)&lt;=Setup!$C$16),OR(MONTH(H413)&gt;=Setup!$C$15,MONTH(H413)&lt;=Setup!$C$16)),IF(Setup!$C$15&lt;=Setup!$C$16,AND(MONTH(WORKDAY(H413,-(Setup!$C$13+Setup!$G$26),Setup!$C$39:$C$50))&gt;=Setup!$C$15,MONTH(WORKDAY(H413,-(Setup!$C$13+Setup!$G$26),Setup!$C$39:$C$50))&lt;=Setup!$C$16),OR(MONTH(WORKDAY(H413,-(Setup!$C$13+Setup!$G$26),Setup!$C$39:$C$50))&gt;=Setup!$C$15,MONTH(WORKDAY(H413,-(Setup!$C$13+Setup!$G$26),Setup!$C$39:$C$50))&lt;=Setup!$C$16))),WORKDAY(H413,-(Setup!$C$13+Setup!$G$26+Setup!$C$14),Setup!$C$39:$C$50),WORKDAY(H413,-(Setup!$C$13+Setup!$G$26),Setup!$C$39:$C$50))+(408*100+7)/10000000)))</f>
        <v/>
      </c>
      <c r="Y413" t="str">
        <f>IF(I413="","",IF(I413&lt;Setup!$C$5-Setup!$C$6,"",IF(IF(ISNUMBER(Roster!$D413),Setup!$C$27&lt;=Roster!$D413,FALSE),"",IF(OR(IF(Setup!$C$15&lt;=Setup!$C$16,AND(MONTH(I413)&gt;=Setup!$C$15,MONTH(I413)&lt;=Setup!$C$16),OR(MONTH(I413)&gt;=Setup!$C$15,MONTH(I413)&lt;=Setup!$C$16)),IF(Setup!$C$15&lt;=Setup!$C$16,AND(MONTH(WORKDAY(I413,-(Setup!$C$13+Setup!$G$27),Setup!$C$39:$C$50))&gt;=Setup!$C$15,MONTH(WORKDAY(I413,-(Setup!$C$13+Setup!$G$27),Setup!$C$39:$C$50))&lt;=Setup!$C$16),OR(MONTH(WORKDAY(I413,-(Setup!$C$13+Setup!$G$27),Setup!$C$39:$C$50))&gt;=Setup!$C$15,MONTH(WORKDAY(I413,-(Setup!$C$13+Setup!$G$27),Setup!$C$39:$C$50))&lt;=Setup!$C$16))),WORKDAY(I413,-(Setup!$C$13+Setup!$G$27+Setup!$C$14),Setup!$C$39:$C$50),WORKDAY(I413,-(Setup!$C$13+Setup!$G$27),Setup!$C$39:$C$50))+(408*100+8)/10000000)))</f>
        <v/>
      </c>
      <c r="Z413" t="str">
        <f>IF(J413="","",IF(J413&lt;Setup!$C$5-Setup!$C$6,"",IF(IF(ISNUMBER(Roster!$D413),Setup!$C$28&lt;=Roster!$D413,FALSE),"",IF(OR(IF(Setup!$C$15&lt;=Setup!$C$16,AND(MONTH(J413)&gt;=Setup!$C$15,MONTH(J413)&lt;=Setup!$C$16),OR(MONTH(J413)&gt;=Setup!$C$15,MONTH(J413)&lt;=Setup!$C$16)),IF(Setup!$C$15&lt;=Setup!$C$16,AND(MONTH(WORKDAY(J413,-(Setup!$C$13+Setup!$G$28),Setup!$C$39:$C$50))&gt;=Setup!$C$15,MONTH(WORKDAY(J413,-(Setup!$C$13+Setup!$G$28),Setup!$C$39:$C$50))&lt;=Setup!$C$16),OR(MONTH(WORKDAY(J413,-(Setup!$C$13+Setup!$G$28),Setup!$C$39:$C$50))&gt;=Setup!$C$15,MONTH(WORKDAY(J413,-(Setup!$C$13+Setup!$G$28),Setup!$C$39:$C$50))&lt;=Setup!$C$16))),WORKDAY(J413,-(Setup!$C$13+Setup!$G$28+Setup!$C$14),Setup!$C$39:$C$50),WORKDAY(J413,-(Setup!$C$13+Setup!$G$28),Setup!$C$39:$C$50))+(408*100+9)/10000000)))</f>
        <v/>
      </c>
      <c r="AA413" t="str">
        <f>IF(K413="","",IF(K413&lt;Setup!$C$5-Setup!$C$6,"",IF(IF(ISNUMBER(Roster!$D413),Setup!$C$29&lt;=Roster!$D413,FALSE),"",IF(OR(IF(Setup!$C$15&lt;=Setup!$C$16,AND(MONTH(K413)&gt;=Setup!$C$15,MONTH(K413)&lt;=Setup!$C$16),OR(MONTH(K413)&gt;=Setup!$C$15,MONTH(K413)&lt;=Setup!$C$16)),IF(Setup!$C$15&lt;=Setup!$C$16,AND(MONTH(WORKDAY(K413,-(Setup!$C$13+Setup!$G$29),Setup!$C$39:$C$50))&gt;=Setup!$C$15,MONTH(WORKDAY(K413,-(Setup!$C$13+Setup!$G$29),Setup!$C$39:$C$50))&lt;=Setup!$C$16),OR(MONTH(WORKDAY(K413,-(Setup!$C$13+Setup!$G$29),Setup!$C$39:$C$50))&gt;=Setup!$C$15,MONTH(WORKDAY(K413,-(Setup!$C$13+Setup!$G$29),Setup!$C$39:$C$50))&lt;=Setup!$C$16))),WORKDAY(K413,-(Setup!$C$13+Setup!$G$29+Setup!$C$14),Setup!$C$39:$C$50),WORKDAY(K413,-(Setup!$C$13+Setup!$G$29),Setup!$C$39:$C$50))+(408*100+10)/10000000)))</f>
        <v/>
      </c>
      <c r="AB413" t="str">
        <f>IF(L413="","",IF(L413&lt;Setup!$C$5-Setup!$C$6,"",IF(IF(ISNUMBER(Roster!$D413),Setup!$C$30&lt;=Roster!$D413,FALSE),"",IF(OR(IF(Setup!$C$15&lt;=Setup!$C$16,AND(MONTH(L413)&gt;=Setup!$C$15,MONTH(L413)&lt;=Setup!$C$16),OR(MONTH(L413)&gt;=Setup!$C$15,MONTH(L413)&lt;=Setup!$C$16)),IF(Setup!$C$15&lt;=Setup!$C$16,AND(MONTH(WORKDAY(L413,-(Setup!$C$13+Setup!$G$30),Setup!$C$39:$C$50))&gt;=Setup!$C$15,MONTH(WORKDAY(L413,-(Setup!$C$13+Setup!$G$30),Setup!$C$39:$C$50))&lt;=Setup!$C$16),OR(MONTH(WORKDAY(L413,-(Setup!$C$13+Setup!$G$30),Setup!$C$39:$C$50))&gt;=Setup!$C$15,MONTH(WORKDAY(L413,-(Setup!$C$13+Setup!$G$30),Setup!$C$39:$C$50))&lt;=Setup!$C$16))),WORKDAY(L413,-(Setup!$C$13+Setup!$G$30+Setup!$C$14),Setup!$C$39:$C$50),WORKDAY(L413,-(Setup!$C$13+Setup!$G$30),Setup!$C$39:$C$50))+(408*100+11)/10000000)))</f>
        <v/>
      </c>
      <c r="AC413" t="str">
        <f>IF(M413="","",IF(M413&lt;Setup!$C$5-Setup!$C$6,"",IF(IF(ISNUMBER(Roster!$D413),Setup!$C$31&lt;=Roster!$D413,FALSE),"",IF(OR(IF(Setup!$C$15&lt;=Setup!$C$16,AND(MONTH(M413)&gt;=Setup!$C$15,MONTH(M413)&lt;=Setup!$C$16),OR(MONTH(M413)&gt;=Setup!$C$15,MONTH(M413)&lt;=Setup!$C$16)),IF(Setup!$C$15&lt;=Setup!$C$16,AND(MONTH(WORKDAY(M413,-(Setup!$C$13+Setup!$G$31),Setup!$C$39:$C$50))&gt;=Setup!$C$15,MONTH(WORKDAY(M413,-(Setup!$C$13+Setup!$G$31),Setup!$C$39:$C$50))&lt;=Setup!$C$16),OR(MONTH(WORKDAY(M413,-(Setup!$C$13+Setup!$G$31),Setup!$C$39:$C$50))&gt;=Setup!$C$15,MONTH(WORKDAY(M413,-(Setup!$C$13+Setup!$G$31),Setup!$C$39:$C$50))&lt;=Setup!$C$16))),WORKDAY(M413,-(Setup!$C$13+Setup!$G$31+Setup!$C$14),Setup!$C$39:$C$50),WORKDAY(M413,-(Setup!$C$13+Setup!$G$31),Setup!$C$39:$C$50))+(408*100+12)/10000000)))</f>
        <v/>
      </c>
      <c r="AD413" t="str">
        <f>IF(N413="","",IF(N413&lt;Setup!$C$5-Setup!$C$6,"",IF(IF(ISNUMBER(Roster!$D413),Setup!$C$32&lt;=Roster!$D413,FALSE),"",IF(OR(IF(Setup!$C$15&lt;=Setup!$C$16,AND(MONTH(N413)&gt;=Setup!$C$15,MONTH(N413)&lt;=Setup!$C$16),OR(MONTH(N413)&gt;=Setup!$C$15,MONTH(N413)&lt;=Setup!$C$16)),IF(Setup!$C$15&lt;=Setup!$C$16,AND(MONTH(WORKDAY(N413,-(Setup!$C$13+Setup!$G$32),Setup!$C$39:$C$50))&gt;=Setup!$C$15,MONTH(WORKDAY(N413,-(Setup!$C$13+Setup!$G$32),Setup!$C$39:$C$50))&lt;=Setup!$C$16),OR(MONTH(WORKDAY(N413,-(Setup!$C$13+Setup!$G$32),Setup!$C$39:$C$50))&gt;=Setup!$C$15,MONTH(WORKDAY(N413,-(Setup!$C$13+Setup!$G$32),Setup!$C$39:$C$50))&lt;=Setup!$C$16))),WORKDAY(N413,-(Setup!$C$13+Setup!$G$32+Setup!$C$14),Setup!$C$39:$C$50),WORKDAY(N413,-(Setup!$C$13+Setup!$G$32),Setup!$C$39:$C$50))+(408*100+13)/10000000)))</f>
        <v/>
      </c>
      <c r="AE413" t="str">
        <f>IF(O413="","",IF(O413&lt;Setup!$C$5-Setup!$C$6,"",IF(IF(ISNUMBER(Roster!$D413),Setup!$C$33&lt;=Roster!$D413,FALSE),"",IF(OR(IF(Setup!$C$15&lt;=Setup!$C$16,AND(MONTH(O413)&gt;=Setup!$C$15,MONTH(O413)&lt;=Setup!$C$16),OR(MONTH(O413)&gt;=Setup!$C$15,MONTH(O413)&lt;=Setup!$C$16)),IF(Setup!$C$15&lt;=Setup!$C$16,AND(MONTH(WORKDAY(O413,-(Setup!$C$13+Setup!$G$33),Setup!$C$39:$C$50))&gt;=Setup!$C$15,MONTH(WORKDAY(O413,-(Setup!$C$13+Setup!$G$33),Setup!$C$39:$C$50))&lt;=Setup!$C$16),OR(MONTH(WORKDAY(O413,-(Setup!$C$13+Setup!$G$33),Setup!$C$39:$C$50))&gt;=Setup!$C$15,MONTH(WORKDAY(O413,-(Setup!$C$13+Setup!$G$33),Setup!$C$39:$C$50))&lt;=Setup!$C$16))),WORKDAY(O413,-(Setup!$C$13+Setup!$G$33+Setup!$C$14),Setup!$C$39:$C$50),WORKDAY(O413,-(Setup!$C$13+Setup!$G$33),Setup!$C$39:$C$50))+(408*100+14)/10000000)))</f>
        <v/>
      </c>
      <c r="AF413" t="str">
        <f>IF(P413="","",IF(P413&lt;Setup!$C$5-Setup!$C$6,"",IF(IF(ISNUMBER(Roster!$D413),Setup!$C$34&lt;=Roster!$D413,FALSE),"",IF(OR(IF(Setup!$C$15&lt;=Setup!$C$16,AND(MONTH(P413)&gt;=Setup!$C$15,MONTH(P413)&lt;=Setup!$C$16),OR(MONTH(P413)&gt;=Setup!$C$15,MONTH(P413)&lt;=Setup!$C$16)),IF(Setup!$C$15&lt;=Setup!$C$16,AND(MONTH(WORKDAY(P413,-(Setup!$C$13+Setup!$G$34),Setup!$C$39:$C$50))&gt;=Setup!$C$15,MONTH(WORKDAY(P413,-(Setup!$C$13+Setup!$G$34),Setup!$C$39:$C$50))&lt;=Setup!$C$16),OR(MONTH(WORKDAY(P413,-(Setup!$C$13+Setup!$G$34),Setup!$C$39:$C$50))&gt;=Setup!$C$15,MONTH(WORKDAY(P413,-(Setup!$C$13+Setup!$G$34),Setup!$C$39:$C$50))&lt;=Setup!$C$16))),WORKDAY(P413,-(Setup!$C$13+Setup!$G$34+Setup!$C$14),Setup!$C$39:$C$50),WORKDAY(P413,-(Setup!$C$13+Setup!$G$34),Setup!$C$39:$C$50))+(408*100+15)/10000000)))</f>
        <v/>
      </c>
      <c r="AH413" t="str">
        <f t="shared" si="46"/>
        <v/>
      </c>
      <c r="AI413" t="str">
        <f t="shared" si="47"/>
        <v/>
      </c>
      <c r="AP413" t="str">
        <f>IF(ISNUMBER(Roster!$B413),MAX(1,YEAR(Setup!$C$5)-YEAR(Roster!$B413)+IF(EDATE(Roster!$B413,12*(YEAR(Setup!$C$5)-YEAR(Roster!$B413)))&lt;Setup!$C$5,1,0)),"")</f>
        <v/>
      </c>
      <c r="AQ413" s="32" t="str">
        <f>IF(AP413="","",EDATE(Roster!$B413,12*AP413))</f>
        <v/>
      </c>
      <c r="AR413" t="str">
        <f>IF(AQ413="","",IF(AQ413&lt;DATE(YEAR(Setup!$C$5)+1,MONTH(Setup!$C$5),DAY(Setup!$C$5)),AQ413+408/1000,""))</f>
        <v/>
      </c>
      <c r="AS413" t="str">
        <f t="shared" si="48"/>
        <v/>
      </c>
      <c r="AT413" t="str">
        <f>IF(AS413="","",IF(ISNUMBER(Roster!$D413),Roster!$D413&gt;=AP413,FALSE))</f>
        <v/>
      </c>
      <c r="AU413" t="str">
        <f t="shared" si="49"/>
        <v/>
      </c>
      <c r="AV413" t="str">
        <f ca="1">IF(408&gt;$AV$2,"",SMALL($AR$6:$AR$505,408))</f>
        <v/>
      </c>
      <c r="AW413" t="str">
        <f t="shared" ca="1" si="50"/>
        <v/>
      </c>
    </row>
    <row r="414" spans="2:49" x14ac:dyDescent="0.2">
      <c r="B414" s="32" t="str">
        <f>IF(AND(ISNUMBER(Roster!$B414),Setup!$B$20="Yes",ISNUMBER(Setup!$C$20)),EDATE(Roster!$B414,12*Setup!$C$20),"")</f>
        <v/>
      </c>
      <c r="C414" s="32" t="str">
        <f>IF(AND(ISNUMBER(Roster!$B414),Setup!$B$21="Yes",ISNUMBER(Setup!$C$21)),EDATE(Roster!$B414,12*Setup!$C$21),"")</f>
        <v/>
      </c>
      <c r="D414" s="32" t="str">
        <f>IF(AND(ISNUMBER(Roster!$B414),Setup!$B$22="Yes",ISNUMBER(Setup!$C$22)),EDATE(Roster!$B414,12*Setup!$C$22),"")</f>
        <v/>
      </c>
      <c r="E414" s="32" t="str">
        <f>IF(AND(ISNUMBER(Roster!$B414),Setup!$B$23="Yes",ISNUMBER(Setup!$C$23)),EDATE(Roster!$B414,12*Setup!$C$23),"")</f>
        <v/>
      </c>
      <c r="F414" s="32" t="str">
        <f>IF(AND(ISNUMBER(Roster!$B414),Setup!$B$24="Yes",ISNUMBER(Setup!$C$24)),EDATE(Roster!$B414,12*Setup!$C$24),"")</f>
        <v/>
      </c>
      <c r="G414" s="32" t="str">
        <f>IF(AND(ISNUMBER(Roster!$B414),Setup!$B$25="Yes",ISNUMBER(Setup!$C$25)),EDATE(Roster!$B414,12*Setup!$C$25),"")</f>
        <v/>
      </c>
      <c r="H414" s="32" t="str">
        <f>IF(AND(ISNUMBER(Roster!$B414),Setup!$B$26="Yes",ISNUMBER(Setup!$C$26)),EDATE(Roster!$B414,12*Setup!$C$26),"")</f>
        <v/>
      </c>
      <c r="I414" s="32" t="str">
        <f>IF(AND(ISNUMBER(Roster!$B414),Setup!$B$27="Yes",ISNUMBER(Setup!$C$27)),EDATE(Roster!$B414,12*Setup!$C$27),"")</f>
        <v/>
      </c>
      <c r="J414" s="32" t="str">
        <f>IF(AND(ISNUMBER(Roster!$B414),Setup!$B$28="Yes",ISNUMBER(Setup!$C$28)),EDATE(Roster!$B414,12*Setup!$C$28),"")</f>
        <v/>
      </c>
      <c r="K414" s="32" t="str">
        <f>IF(AND(ISNUMBER(Roster!$B414),Setup!$B$29="Yes",ISNUMBER(Setup!$C$29)),EDATE(Roster!$B414,12*Setup!$C$29),"")</f>
        <v/>
      </c>
      <c r="L414" s="32" t="str">
        <f>IF(AND(ISNUMBER(Roster!$B414),Setup!$B$30="Yes",ISNUMBER(Setup!$C$30)),EDATE(Roster!$B414,12*Setup!$C$30),"")</f>
        <v/>
      </c>
      <c r="M414" s="32" t="str">
        <f>IF(AND(ISNUMBER(Roster!$B414),Setup!$B$31="Yes",ISNUMBER(Setup!$C$31)),EDATE(Roster!$B414,12*Setup!$C$31),"")</f>
        <v/>
      </c>
      <c r="N414" s="32" t="str">
        <f>IF(AND(ISNUMBER(Roster!$B414),Setup!$B$32="Yes",ISNUMBER(Setup!$C$32)),EDATE(Roster!$B414,12*Setup!$C$32),"")</f>
        <v/>
      </c>
      <c r="O414" s="32" t="str">
        <f>IF(AND(ISNUMBER(Roster!$B414),Setup!$B$33="Yes",ISNUMBER(Setup!$C$33)),EDATE(Roster!$B414,12*Setup!$C$33),"")</f>
        <v/>
      </c>
      <c r="P414" s="32" t="str">
        <f>IF(AND(ISNUMBER(Roster!$B414),Setup!$B$34="Yes",ISNUMBER(Setup!$C$34)),EDATE(Roster!$B414,12*Setup!$C$34),"")</f>
        <v/>
      </c>
      <c r="R414" t="str">
        <f>IF(B414="","",IF(B414&lt;Setup!$C$5-Setup!$C$6,"",IF(IF(ISNUMBER(Roster!$D414),Setup!$C$20&lt;=Roster!$D414,FALSE),"",IF(OR(IF(Setup!$C$15&lt;=Setup!$C$16,AND(MONTH(B414)&gt;=Setup!$C$15,MONTH(B414)&lt;=Setup!$C$16),OR(MONTH(B414)&gt;=Setup!$C$15,MONTH(B414)&lt;=Setup!$C$16)),IF(Setup!$C$15&lt;=Setup!$C$16,AND(MONTH(WORKDAY(B414,-(Setup!$C$13+Setup!$G$20),Setup!$C$39:$C$50))&gt;=Setup!$C$15,MONTH(WORKDAY(B414,-(Setup!$C$13+Setup!$G$20),Setup!$C$39:$C$50))&lt;=Setup!$C$16),OR(MONTH(WORKDAY(B414,-(Setup!$C$13+Setup!$G$20),Setup!$C$39:$C$50))&gt;=Setup!$C$15,MONTH(WORKDAY(B414,-(Setup!$C$13+Setup!$G$20),Setup!$C$39:$C$50))&lt;=Setup!$C$16))),WORKDAY(B414,-(Setup!$C$13+Setup!$G$20+Setup!$C$14),Setup!$C$39:$C$50),WORKDAY(B414,-(Setup!$C$13+Setup!$G$20),Setup!$C$39:$C$50))+(409*100+1)/10000000)))</f>
        <v/>
      </c>
      <c r="S414" t="str">
        <f>IF(C414="","",IF(C414&lt;Setup!$C$5-Setup!$C$6,"",IF(IF(ISNUMBER(Roster!$D414),Setup!$C$21&lt;=Roster!$D414,FALSE),"",IF(OR(IF(Setup!$C$15&lt;=Setup!$C$16,AND(MONTH(C414)&gt;=Setup!$C$15,MONTH(C414)&lt;=Setup!$C$16),OR(MONTH(C414)&gt;=Setup!$C$15,MONTH(C414)&lt;=Setup!$C$16)),IF(Setup!$C$15&lt;=Setup!$C$16,AND(MONTH(WORKDAY(C414,-(Setup!$C$13+Setup!$G$21),Setup!$C$39:$C$50))&gt;=Setup!$C$15,MONTH(WORKDAY(C414,-(Setup!$C$13+Setup!$G$21),Setup!$C$39:$C$50))&lt;=Setup!$C$16),OR(MONTH(WORKDAY(C414,-(Setup!$C$13+Setup!$G$21),Setup!$C$39:$C$50))&gt;=Setup!$C$15,MONTH(WORKDAY(C414,-(Setup!$C$13+Setup!$G$21),Setup!$C$39:$C$50))&lt;=Setup!$C$16))),WORKDAY(C414,-(Setup!$C$13+Setup!$G$21+Setup!$C$14),Setup!$C$39:$C$50),WORKDAY(C414,-(Setup!$C$13+Setup!$G$21),Setup!$C$39:$C$50))+(409*100+2)/10000000)))</f>
        <v/>
      </c>
      <c r="T414" t="str">
        <f>IF(D414="","",IF(D414&lt;Setup!$C$5-Setup!$C$6,"",IF(IF(ISNUMBER(Roster!$D414),Setup!$C$22&lt;=Roster!$D414,FALSE),"",IF(OR(IF(Setup!$C$15&lt;=Setup!$C$16,AND(MONTH(D414)&gt;=Setup!$C$15,MONTH(D414)&lt;=Setup!$C$16),OR(MONTH(D414)&gt;=Setup!$C$15,MONTH(D414)&lt;=Setup!$C$16)),IF(Setup!$C$15&lt;=Setup!$C$16,AND(MONTH(WORKDAY(D414,-(Setup!$C$13+Setup!$G$22),Setup!$C$39:$C$50))&gt;=Setup!$C$15,MONTH(WORKDAY(D414,-(Setup!$C$13+Setup!$G$22),Setup!$C$39:$C$50))&lt;=Setup!$C$16),OR(MONTH(WORKDAY(D414,-(Setup!$C$13+Setup!$G$22),Setup!$C$39:$C$50))&gt;=Setup!$C$15,MONTH(WORKDAY(D414,-(Setup!$C$13+Setup!$G$22),Setup!$C$39:$C$50))&lt;=Setup!$C$16))),WORKDAY(D414,-(Setup!$C$13+Setup!$G$22+Setup!$C$14),Setup!$C$39:$C$50),WORKDAY(D414,-(Setup!$C$13+Setup!$G$22),Setup!$C$39:$C$50))+(409*100+3)/10000000)))</f>
        <v/>
      </c>
      <c r="U414" t="str">
        <f>IF(E414="","",IF(E414&lt;Setup!$C$5-Setup!$C$6,"",IF(IF(ISNUMBER(Roster!$D414),Setup!$C$23&lt;=Roster!$D414,FALSE),"",IF(OR(IF(Setup!$C$15&lt;=Setup!$C$16,AND(MONTH(E414)&gt;=Setup!$C$15,MONTH(E414)&lt;=Setup!$C$16),OR(MONTH(E414)&gt;=Setup!$C$15,MONTH(E414)&lt;=Setup!$C$16)),IF(Setup!$C$15&lt;=Setup!$C$16,AND(MONTH(WORKDAY(E414,-(Setup!$C$13+Setup!$G$23),Setup!$C$39:$C$50))&gt;=Setup!$C$15,MONTH(WORKDAY(E414,-(Setup!$C$13+Setup!$G$23),Setup!$C$39:$C$50))&lt;=Setup!$C$16),OR(MONTH(WORKDAY(E414,-(Setup!$C$13+Setup!$G$23),Setup!$C$39:$C$50))&gt;=Setup!$C$15,MONTH(WORKDAY(E414,-(Setup!$C$13+Setup!$G$23),Setup!$C$39:$C$50))&lt;=Setup!$C$16))),WORKDAY(E414,-(Setup!$C$13+Setup!$G$23+Setup!$C$14),Setup!$C$39:$C$50),WORKDAY(E414,-(Setup!$C$13+Setup!$G$23),Setup!$C$39:$C$50))+(409*100+4)/10000000)))</f>
        <v/>
      </c>
      <c r="V414" t="str">
        <f>IF(F414="","",IF(F414&lt;Setup!$C$5-Setup!$C$6,"",IF(IF(ISNUMBER(Roster!$D414),Setup!$C$24&lt;=Roster!$D414,FALSE),"",IF(OR(IF(Setup!$C$15&lt;=Setup!$C$16,AND(MONTH(F414)&gt;=Setup!$C$15,MONTH(F414)&lt;=Setup!$C$16),OR(MONTH(F414)&gt;=Setup!$C$15,MONTH(F414)&lt;=Setup!$C$16)),IF(Setup!$C$15&lt;=Setup!$C$16,AND(MONTH(WORKDAY(F414,-(Setup!$C$13+Setup!$G$24),Setup!$C$39:$C$50))&gt;=Setup!$C$15,MONTH(WORKDAY(F414,-(Setup!$C$13+Setup!$G$24),Setup!$C$39:$C$50))&lt;=Setup!$C$16),OR(MONTH(WORKDAY(F414,-(Setup!$C$13+Setup!$G$24),Setup!$C$39:$C$50))&gt;=Setup!$C$15,MONTH(WORKDAY(F414,-(Setup!$C$13+Setup!$G$24),Setup!$C$39:$C$50))&lt;=Setup!$C$16))),WORKDAY(F414,-(Setup!$C$13+Setup!$G$24+Setup!$C$14),Setup!$C$39:$C$50),WORKDAY(F414,-(Setup!$C$13+Setup!$G$24),Setup!$C$39:$C$50))+(409*100+5)/10000000)))</f>
        <v/>
      </c>
      <c r="W414" t="str">
        <f>IF(G414="","",IF(G414&lt;Setup!$C$5-Setup!$C$6,"",IF(IF(ISNUMBER(Roster!$D414),Setup!$C$25&lt;=Roster!$D414,FALSE),"",IF(OR(IF(Setup!$C$15&lt;=Setup!$C$16,AND(MONTH(G414)&gt;=Setup!$C$15,MONTH(G414)&lt;=Setup!$C$16),OR(MONTH(G414)&gt;=Setup!$C$15,MONTH(G414)&lt;=Setup!$C$16)),IF(Setup!$C$15&lt;=Setup!$C$16,AND(MONTH(WORKDAY(G414,-(Setup!$C$13+Setup!$G$25),Setup!$C$39:$C$50))&gt;=Setup!$C$15,MONTH(WORKDAY(G414,-(Setup!$C$13+Setup!$G$25),Setup!$C$39:$C$50))&lt;=Setup!$C$16),OR(MONTH(WORKDAY(G414,-(Setup!$C$13+Setup!$G$25),Setup!$C$39:$C$50))&gt;=Setup!$C$15,MONTH(WORKDAY(G414,-(Setup!$C$13+Setup!$G$25),Setup!$C$39:$C$50))&lt;=Setup!$C$16))),WORKDAY(G414,-(Setup!$C$13+Setup!$G$25+Setup!$C$14),Setup!$C$39:$C$50),WORKDAY(G414,-(Setup!$C$13+Setup!$G$25),Setup!$C$39:$C$50))+(409*100+6)/10000000)))</f>
        <v/>
      </c>
      <c r="X414" t="str">
        <f>IF(H414="","",IF(H414&lt;Setup!$C$5-Setup!$C$6,"",IF(IF(ISNUMBER(Roster!$D414),Setup!$C$26&lt;=Roster!$D414,FALSE),"",IF(OR(IF(Setup!$C$15&lt;=Setup!$C$16,AND(MONTH(H414)&gt;=Setup!$C$15,MONTH(H414)&lt;=Setup!$C$16),OR(MONTH(H414)&gt;=Setup!$C$15,MONTH(H414)&lt;=Setup!$C$16)),IF(Setup!$C$15&lt;=Setup!$C$16,AND(MONTH(WORKDAY(H414,-(Setup!$C$13+Setup!$G$26),Setup!$C$39:$C$50))&gt;=Setup!$C$15,MONTH(WORKDAY(H414,-(Setup!$C$13+Setup!$G$26),Setup!$C$39:$C$50))&lt;=Setup!$C$16),OR(MONTH(WORKDAY(H414,-(Setup!$C$13+Setup!$G$26),Setup!$C$39:$C$50))&gt;=Setup!$C$15,MONTH(WORKDAY(H414,-(Setup!$C$13+Setup!$G$26),Setup!$C$39:$C$50))&lt;=Setup!$C$16))),WORKDAY(H414,-(Setup!$C$13+Setup!$G$26+Setup!$C$14),Setup!$C$39:$C$50),WORKDAY(H414,-(Setup!$C$13+Setup!$G$26),Setup!$C$39:$C$50))+(409*100+7)/10000000)))</f>
        <v/>
      </c>
      <c r="Y414" t="str">
        <f>IF(I414="","",IF(I414&lt;Setup!$C$5-Setup!$C$6,"",IF(IF(ISNUMBER(Roster!$D414),Setup!$C$27&lt;=Roster!$D414,FALSE),"",IF(OR(IF(Setup!$C$15&lt;=Setup!$C$16,AND(MONTH(I414)&gt;=Setup!$C$15,MONTH(I414)&lt;=Setup!$C$16),OR(MONTH(I414)&gt;=Setup!$C$15,MONTH(I414)&lt;=Setup!$C$16)),IF(Setup!$C$15&lt;=Setup!$C$16,AND(MONTH(WORKDAY(I414,-(Setup!$C$13+Setup!$G$27),Setup!$C$39:$C$50))&gt;=Setup!$C$15,MONTH(WORKDAY(I414,-(Setup!$C$13+Setup!$G$27),Setup!$C$39:$C$50))&lt;=Setup!$C$16),OR(MONTH(WORKDAY(I414,-(Setup!$C$13+Setup!$G$27),Setup!$C$39:$C$50))&gt;=Setup!$C$15,MONTH(WORKDAY(I414,-(Setup!$C$13+Setup!$G$27),Setup!$C$39:$C$50))&lt;=Setup!$C$16))),WORKDAY(I414,-(Setup!$C$13+Setup!$G$27+Setup!$C$14),Setup!$C$39:$C$50),WORKDAY(I414,-(Setup!$C$13+Setup!$G$27),Setup!$C$39:$C$50))+(409*100+8)/10000000)))</f>
        <v/>
      </c>
      <c r="Z414" t="str">
        <f>IF(J414="","",IF(J414&lt;Setup!$C$5-Setup!$C$6,"",IF(IF(ISNUMBER(Roster!$D414),Setup!$C$28&lt;=Roster!$D414,FALSE),"",IF(OR(IF(Setup!$C$15&lt;=Setup!$C$16,AND(MONTH(J414)&gt;=Setup!$C$15,MONTH(J414)&lt;=Setup!$C$16),OR(MONTH(J414)&gt;=Setup!$C$15,MONTH(J414)&lt;=Setup!$C$16)),IF(Setup!$C$15&lt;=Setup!$C$16,AND(MONTH(WORKDAY(J414,-(Setup!$C$13+Setup!$G$28),Setup!$C$39:$C$50))&gt;=Setup!$C$15,MONTH(WORKDAY(J414,-(Setup!$C$13+Setup!$G$28),Setup!$C$39:$C$50))&lt;=Setup!$C$16),OR(MONTH(WORKDAY(J414,-(Setup!$C$13+Setup!$G$28),Setup!$C$39:$C$50))&gt;=Setup!$C$15,MONTH(WORKDAY(J414,-(Setup!$C$13+Setup!$G$28),Setup!$C$39:$C$50))&lt;=Setup!$C$16))),WORKDAY(J414,-(Setup!$C$13+Setup!$G$28+Setup!$C$14),Setup!$C$39:$C$50),WORKDAY(J414,-(Setup!$C$13+Setup!$G$28),Setup!$C$39:$C$50))+(409*100+9)/10000000)))</f>
        <v/>
      </c>
      <c r="AA414" t="str">
        <f>IF(K414="","",IF(K414&lt;Setup!$C$5-Setup!$C$6,"",IF(IF(ISNUMBER(Roster!$D414),Setup!$C$29&lt;=Roster!$D414,FALSE),"",IF(OR(IF(Setup!$C$15&lt;=Setup!$C$16,AND(MONTH(K414)&gt;=Setup!$C$15,MONTH(K414)&lt;=Setup!$C$16),OR(MONTH(K414)&gt;=Setup!$C$15,MONTH(K414)&lt;=Setup!$C$16)),IF(Setup!$C$15&lt;=Setup!$C$16,AND(MONTH(WORKDAY(K414,-(Setup!$C$13+Setup!$G$29),Setup!$C$39:$C$50))&gt;=Setup!$C$15,MONTH(WORKDAY(K414,-(Setup!$C$13+Setup!$G$29),Setup!$C$39:$C$50))&lt;=Setup!$C$16),OR(MONTH(WORKDAY(K414,-(Setup!$C$13+Setup!$G$29),Setup!$C$39:$C$50))&gt;=Setup!$C$15,MONTH(WORKDAY(K414,-(Setup!$C$13+Setup!$G$29),Setup!$C$39:$C$50))&lt;=Setup!$C$16))),WORKDAY(K414,-(Setup!$C$13+Setup!$G$29+Setup!$C$14),Setup!$C$39:$C$50),WORKDAY(K414,-(Setup!$C$13+Setup!$G$29),Setup!$C$39:$C$50))+(409*100+10)/10000000)))</f>
        <v/>
      </c>
      <c r="AB414" t="str">
        <f>IF(L414="","",IF(L414&lt;Setup!$C$5-Setup!$C$6,"",IF(IF(ISNUMBER(Roster!$D414),Setup!$C$30&lt;=Roster!$D414,FALSE),"",IF(OR(IF(Setup!$C$15&lt;=Setup!$C$16,AND(MONTH(L414)&gt;=Setup!$C$15,MONTH(L414)&lt;=Setup!$C$16),OR(MONTH(L414)&gt;=Setup!$C$15,MONTH(L414)&lt;=Setup!$C$16)),IF(Setup!$C$15&lt;=Setup!$C$16,AND(MONTH(WORKDAY(L414,-(Setup!$C$13+Setup!$G$30),Setup!$C$39:$C$50))&gt;=Setup!$C$15,MONTH(WORKDAY(L414,-(Setup!$C$13+Setup!$G$30),Setup!$C$39:$C$50))&lt;=Setup!$C$16),OR(MONTH(WORKDAY(L414,-(Setup!$C$13+Setup!$G$30),Setup!$C$39:$C$50))&gt;=Setup!$C$15,MONTH(WORKDAY(L414,-(Setup!$C$13+Setup!$G$30),Setup!$C$39:$C$50))&lt;=Setup!$C$16))),WORKDAY(L414,-(Setup!$C$13+Setup!$G$30+Setup!$C$14),Setup!$C$39:$C$50),WORKDAY(L414,-(Setup!$C$13+Setup!$G$30),Setup!$C$39:$C$50))+(409*100+11)/10000000)))</f>
        <v/>
      </c>
      <c r="AC414" t="str">
        <f>IF(M414="","",IF(M414&lt;Setup!$C$5-Setup!$C$6,"",IF(IF(ISNUMBER(Roster!$D414),Setup!$C$31&lt;=Roster!$D414,FALSE),"",IF(OR(IF(Setup!$C$15&lt;=Setup!$C$16,AND(MONTH(M414)&gt;=Setup!$C$15,MONTH(M414)&lt;=Setup!$C$16),OR(MONTH(M414)&gt;=Setup!$C$15,MONTH(M414)&lt;=Setup!$C$16)),IF(Setup!$C$15&lt;=Setup!$C$16,AND(MONTH(WORKDAY(M414,-(Setup!$C$13+Setup!$G$31),Setup!$C$39:$C$50))&gt;=Setup!$C$15,MONTH(WORKDAY(M414,-(Setup!$C$13+Setup!$G$31),Setup!$C$39:$C$50))&lt;=Setup!$C$16),OR(MONTH(WORKDAY(M414,-(Setup!$C$13+Setup!$G$31),Setup!$C$39:$C$50))&gt;=Setup!$C$15,MONTH(WORKDAY(M414,-(Setup!$C$13+Setup!$G$31),Setup!$C$39:$C$50))&lt;=Setup!$C$16))),WORKDAY(M414,-(Setup!$C$13+Setup!$G$31+Setup!$C$14),Setup!$C$39:$C$50),WORKDAY(M414,-(Setup!$C$13+Setup!$G$31),Setup!$C$39:$C$50))+(409*100+12)/10000000)))</f>
        <v/>
      </c>
      <c r="AD414" t="str">
        <f>IF(N414="","",IF(N414&lt;Setup!$C$5-Setup!$C$6,"",IF(IF(ISNUMBER(Roster!$D414),Setup!$C$32&lt;=Roster!$D414,FALSE),"",IF(OR(IF(Setup!$C$15&lt;=Setup!$C$16,AND(MONTH(N414)&gt;=Setup!$C$15,MONTH(N414)&lt;=Setup!$C$16),OR(MONTH(N414)&gt;=Setup!$C$15,MONTH(N414)&lt;=Setup!$C$16)),IF(Setup!$C$15&lt;=Setup!$C$16,AND(MONTH(WORKDAY(N414,-(Setup!$C$13+Setup!$G$32),Setup!$C$39:$C$50))&gt;=Setup!$C$15,MONTH(WORKDAY(N414,-(Setup!$C$13+Setup!$G$32),Setup!$C$39:$C$50))&lt;=Setup!$C$16),OR(MONTH(WORKDAY(N414,-(Setup!$C$13+Setup!$G$32),Setup!$C$39:$C$50))&gt;=Setup!$C$15,MONTH(WORKDAY(N414,-(Setup!$C$13+Setup!$G$32),Setup!$C$39:$C$50))&lt;=Setup!$C$16))),WORKDAY(N414,-(Setup!$C$13+Setup!$G$32+Setup!$C$14),Setup!$C$39:$C$50),WORKDAY(N414,-(Setup!$C$13+Setup!$G$32),Setup!$C$39:$C$50))+(409*100+13)/10000000)))</f>
        <v/>
      </c>
      <c r="AE414" t="str">
        <f>IF(O414="","",IF(O414&lt;Setup!$C$5-Setup!$C$6,"",IF(IF(ISNUMBER(Roster!$D414),Setup!$C$33&lt;=Roster!$D414,FALSE),"",IF(OR(IF(Setup!$C$15&lt;=Setup!$C$16,AND(MONTH(O414)&gt;=Setup!$C$15,MONTH(O414)&lt;=Setup!$C$16),OR(MONTH(O414)&gt;=Setup!$C$15,MONTH(O414)&lt;=Setup!$C$16)),IF(Setup!$C$15&lt;=Setup!$C$16,AND(MONTH(WORKDAY(O414,-(Setup!$C$13+Setup!$G$33),Setup!$C$39:$C$50))&gt;=Setup!$C$15,MONTH(WORKDAY(O414,-(Setup!$C$13+Setup!$G$33),Setup!$C$39:$C$50))&lt;=Setup!$C$16),OR(MONTH(WORKDAY(O414,-(Setup!$C$13+Setup!$G$33),Setup!$C$39:$C$50))&gt;=Setup!$C$15,MONTH(WORKDAY(O414,-(Setup!$C$13+Setup!$G$33),Setup!$C$39:$C$50))&lt;=Setup!$C$16))),WORKDAY(O414,-(Setup!$C$13+Setup!$G$33+Setup!$C$14),Setup!$C$39:$C$50),WORKDAY(O414,-(Setup!$C$13+Setup!$G$33),Setup!$C$39:$C$50))+(409*100+14)/10000000)))</f>
        <v/>
      </c>
      <c r="AF414" t="str">
        <f>IF(P414="","",IF(P414&lt;Setup!$C$5-Setup!$C$6,"",IF(IF(ISNUMBER(Roster!$D414),Setup!$C$34&lt;=Roster!$D414,FALSE),"",IF(OR(IF(Setup!$C$15&lt;=Setup!$C$16,AND(MONTH(P414)&gt;=Setup!$C$15,MONTH(P414)&lt;=Setup!$C$16),OR(MONTH(P414)&gt;=Setup!$C$15,MONTH(P414)&lt;=Setup!$C$16)),IF(Setup!$C$15&lt;=Setup!$C$16,AND(MONTH(WORKDAY(P414,-(Setup!$C$13+Setup!$G$34),Setup!$C$39:$C$50))&gt;=Setup!$C$15,MONTH(WORKDAY(P414,-(Setup!$C$13+Setup!$G$34),Setup!$C$39:$C$50))&lt;=Setup!$C$16),OR(MONTH(WORKDAY(P414,-(Setup!$C$13+Setup!$G$34),Setup!$C$39:$C$50))&gt;=Setup!$C$15,MONTH(WORKDAY(P414,-(Setup!$C$13+Setup!$G$34),Setup!$C$39:$C$50))&lt;=Setup!$C$16))),WORKDAY(P414,-(Setup!$C$13+Setup!$G$34+Setup!$C$14),Setup!$C$39:$C$50),WORKDAY(P414,-(Setup!$C$13+Setup!$G$34),Setup!$C$39:$C$50))+(409*100+15)/10000000)))</f>
        <v/>
      </c>
      <c r="AH414" t="str">
        <f t="shared" si="46"/>
        <v/>
      </c>
      <c r="AI414" t="str">
        <f t="shared" si="47"/>
        <v/>
      </c>
      <c r="AP414" t="str">
        <f>IF(ISNUMBER(Roster!$B414),MAX(1,YEAR(Setup!$C$5)-YEAR(Roster!$B414)+IF(EDATE(Roster!$B414,12*(YEAR(Setup!$C$5)-YEAR(Roster!$B414)))&lt;Setup!$C$5,1,0)),"")</f>
        <v/>
      </c>
      <c r="AQ414" s="32" t="str">
        <f>IF(AP414="","",EDATE(Roster!$B414,12*AP414))</f>
        <v/>
      </c>
      <c r="AR414" t="str">
        <f>IF(AQ414="","",IF(AQ414&lt;DATE(YEAR(Setup!$C$5)+1,MONTH(Setup!$C$5),DAY(Setup!$C$5)),AQ414+409/1000,""))</f>
        <v/>
      </c>
      <c r="AS414" t="str">
        <f t="shared" si="48"/>
        <v/>
      </c>
      <c r="AT414" t="str">
        <f>IF(AS414="","",IF(ISNUMBER(Roster!$D414),Roster!$D414&gt;=AP414,FALSE))</f>
        <v/>
      </c>
      <c r="AU414" t="str">
        <f t="shared" si="49"/>
        <v/>
      </c>
      <c r="AV414" t="str">
        <f ca="1">IF(409&gt;$AV$2,"",SMALL($AR$6:$AR$505,409))</f>
        <v/>
      </c>
      <c r="AW414" t="str">
        <f t="shared" ca="1" si="50"/>
        <v/>
      </c>
    </row>
    <row r="415" spans="2:49" x14ac:dyDescent="0.2">
      <c r="B415" s="32" t="str">
        <f>IF(AND(ISNUMBER(Roster!$B415),Setup!$B$20="Yes",ISNUMBER(Setup!$C$20)),EDATE(Roster!$B415,12*Setup!$C$20),"")</f>
        <v/>
      </c>
      <c r="C415" s="32" t="str">
        <f>IF(AND(ISNUMBER(Roster!$B415),Setup!$B$21="Yes",ISNUMBER(Setup!$C$21)),EDATE(Roster!$B415,12*Setup!$C$21),"")</f>
        <v/>
      </c>
      <c r="D415" s="32" t="str">
        <f>IF(AND(ISNUMBER(Roster!$B415),Setup!$B$22="Yes",ISNUMBER(Setup!$C$22)),EDATE(Roster!$B415,12*Setup!$C$22),"")</f>
        <v/>
      </c>
      <c r="E415" s="32" t="str">
        <f>IF(AND(ISNUMBER(Roster!$B415),Setup!$B$23="Yes",ISNUMBER(Setup!$C$23)),EDATE(Roster!$B415,12*Setup!$C$23),"")</f>
        <v/>
      </c>
      <c r="F415" s="32" t="str">
        <f>IF(AND(ISNUMBER(Roster!$B415),Setup!$B$24="Yes",ISNUMBER(Setup!$C$24)),EDATE(Roster!$B415,12*Setup!$C$24),"")</f>
        <v/>
      </c>
      <c r="G415" s="32" t="str">
        <f>IF(AND(ISNUMBER(Roster!$B415),Setup!$B$25="Yes",ISNUMBER(Setup!$C$25)),EDATE(Roster!$B415,12*Setup!$C$25),"")</f>
        <v/>
      </c>
      <c r="H415" s="32" t="str">
        <f>IF(AND(ISNUMBER(Roster!$B415),Setup!$B$26="Yes",ISNUMBER(Setup!$C$26)),EDATE(Roster!$B415,12*Setup!$C$26),"")</f>
        <v/>
      </c>
      <c r="I415" s="32" t="str">
        <f>IF(AND(ISNUMBER(Roster!$B415),Setup!$B$27="Yes",ISNUMBER(Setup!$C$27)),EDATE(Roster!$B415,12*Setup!$C$27),"")</f>
        <v/>
      </c>
      <c r="J415" s="32" t="str">
        <f>IF(AND(ISNUMBER(Roster!$B415),Setup!$B$28="Yes",ISNUMBER(Setup!$C$28)),EDATE(Roster!$B415,12*Setup!$C$28),"")</f>
        <v/>
      </c>
      <c r="K415" s="32" t="str">
        <f>IF(AND(ISNUMBER(Roster!$B415),Setup!$B$29="Yes",ISNUMBER(Setup!$C$29)),EDATE(Roster!$B415,12*Setup!$C$29),"")</f>
        <v/>
      </c>
      <c r="L415" s="32" t="str">
        <f>IF(AND(ISNUMBER(Roster!$B415),Setup!$B$30="Yes",ISNUMBER(Setup!$C$30)),EDATE(Roster!$B415,12*Setup!$C$30),"")</f>
        <v/>
      </c>
      <c r="M415" s="32" t="str">
        <f>IF(AND(ISNUMBER(Roster!$B415),Setup!$B$31="Yes",ISNUMBER(Setup!$C$31)),EDATE(Roster!$B415,12*Setup!$C$31),"")</f>
        <v/>
      </c>
      <c r="N415" s="32" t="str">
        <f>IF(AND(ISNUMBER(Roster!$B415),Setup!$B$32="Yes",ISNUMBER(Setup!$C$32)),EDATE(Roster!$B415,12*Setup!$C$32),"")</f>
        <v/>
      </c>
      <c r="O415" s="32" t="str">
        <f>IF(AND(ISNUMBER(Roster!$B415),Setup!$B$33="Yes",ISNUMBER(Setup!$C$33)),EDATE(Roster!$B415,12*Setup!$C$33),"")</f>
        <v/>
      </c>
      <c r="P415" s="32" t="str">
        <f>IF(AND(ISNUMBER(Roster!$B415),Setup!$B$34="Yes",ISNUMBER(Setup!$C$34)),EDATE(Roster!$B415,12*Setup!$C$34),"")</f>
        <v/>
      </c>
      <c r="R415" t="str">
        <f>IF(B415="","",IF(B415&lt;Setup!$C$5-Setup!$C$6,"",IF(IF(ISNUMBER(Roster!$D415),Setup!$C$20&lt;=Roster!$D415,FALSE),"",IF(OR(IF(Setup!$C$15&lt;=Setup!$C$16,AND(MONTH(B415)&gt;=Setup!$C$15,MONTH(B415)&lt;=Setup!$C$16),OR(MONTH(B415)&gt;=Setup!$C$15,MONTH(B415)&lt;=Setup!$C$16)),IF(Setup!$C$15&lt;=Setup!$C$16,AND(MONTH(WORKDAY(B415,-(Setup!$C$13+Setup!$G$20),Setup!$C$39:$C$50))&gt;=Setup!$C$15,MONTH(WORKDAY(B415,-(Setup!$C$13+Setup!$G$20),Setup!$C$39:$C$50))&lt;=Setup!$C$16),OR(MONTH(WORKDAY(B415,-(Setup!$C$13+Setup!$G$20),Setup!$C$39:$C$50))&gt;=Setup!$C$15,MONTH(WORKDAY(B415,-(Setup!$C$13+Setup!$G$20),Setup!$C$39:$C$50))&lt;=Setup!$C$16))),WORKDAY(B415,-(Setup!$C$13+Setup!$G$20+Setup!$C$14),Setup!$C$39:$C$50),WORKDAY(B415,-(Setup!$C$13+Setup!$G$20),Setup!$C$39:$C$50))+(410*100+1)/10000000)))</f>
        <v/>
      </c>
      <c r="S415" t="str">
        <f>IF(C415="","",IF(C415&lt;Setup!$C$5-Setup!$C$6,"",IF(IF(ISNUMBER(Roster!$D415),Setup!$C$21&lt;=Roster!$D415,FALSE),"",IF(OR(IF(Setup!$C$15&lt;=Setup!$C$16,AND(MONTH(C415)&gt;=Setup!$C$15,MONTH(C415)&lt;=Setup!$C$16),OR(MONTH(C415)&gt;=Setup!$C$15,MONTH(C415)&lt;=Setup!$C$16)),IF(Setup!$C$15&lt;=Setup!$C$16,AND(MONTH(WORKDAY(C415,-(Setup!$C$13+Setup!$G$21),Setup!$C$39:$C$50))&gt;=Setup!$C$15,MONTH(WORKDAY(C415,-(Setup!$C$13+Setup!$G$21),Setup!$C$39:$C$50))&lt;=Setup!$C$16),OR(MONTH(WORKDAY(C415,-(Setup!$C$13+Setup!$G$21),Setup!$C$39:$C$50))&gt;=Setup!$C$15,MONTH(WORKDAY(C415,-(Setup!$C$13+Setup!$G$21),Setup!$C$39:$C$50))&lt;=Setup!$C$16))),WORKDAY(C415,-(Setup!$C$13+Setup!$G$21+Setup!$C$14),Setup!$C$39:$C$50),WORKDAY(C415,-(Setup!$C$13+Setup!$G$21),Setup!$C$39:$C$50))+(410*100+2)/10000000)))</f>
        <v/>
      </c>
      <c r="T415" t="str">
        <f>IF(D415="","",IF(D415&lt;Setup!$C$5-Setup!$C$6,"",IF(IF(ISNUMBER(Roster!$D415),Setup!$C$22&lt;=Roster!$D415,FALSE),"",IF(OR(IF(Setup!$C$15&lt;=Setup!$C$16,AND(MONTH(D415)&gt;=Setup!$C$15,MONTH(D415)&lt;=Setup!$C$16),OR(MONTH(D415)&gt;=Setup!$C$15,MONTH(D415)&lt;=Setup!$C$16)),IF(Setup!$C$15&lt;=Setup!$C$16,AND(MONTH(WORKDAY(D415,-(Setup!$C$13+Setup!$G$22),Setup!$C$39:$C$50))&gt;=Setup!$C$15,MONTH(WORKDAY(D415,-(Setup!$C$13+Setup!$G$22),Setup!$C$39:$C$50))&lt;=Setup!$C$16),OR(MONTH(WORKDAY(D415,-(Setup!$C$13+Setup!$G$22),Setup!$C$39:$C$50))&gt;=Setup!$C$15,MONTH(WORKDAY(D415,-(Setup!$C$13+Setup!$G$22),Setup!$C$39:$C$50))&lt;=Setup!$C$16))),WORKDAY(D415,-(Setup!$C$13+Setup!$G$22+Setup!$C$14),Setup!$C$39:$C$50),WORKDAY(D415,-(Setup!$C$13+Setup!$G$22),Setup!$C$39:$C$50))+(410*100+3)/10000000)))</f>
        <v/>
      </c>
      <c r="U415" t="str">
        <f>IF(E415="","",IF(E415&lt;Setup!$C$5-Setup!$C$6,"",IF(IF(ISNUMBER(Roster!$D415),Setup!$C$23&lt;=Roster!$D415,FALSE),"",IF(OR(IF(Setup!$C$15&lt;=Setup!$C$16,AND(MONTH(E415)&gt;=Setup!$C$15,MONTH(E415)&lt;=Setup!$C$16),OR(MONTH(E415)&gt;=Setup!$C$15,MONTH(E415)&lt;=Setup!$C$16)),IF(Setup!$C$15&lt;=Setup!$C$16,AND(MONTH(WORKDAY(E415,-(Setup!$C$13+Setup!$G$23),Setup!$C$39:$C$50))&gt;=Setup!$C$15,MONTH(WORKDAY(E415,-(Setup!$C$13+Setup!$G$23),Setup!$C$39:$C$50))&lt;=Setup!$C$16),OR(MONTH(WORKDAY(E415,-(Setup!$C$13+Setup!$G$23),Setup!$C$39:$C$50))&gt;=Setup!$C$15,MONTH(WORKDAY(E415,-(Setup!$C$13+Setup!$G$23),Setup!$C$39:$C$50))&lt;=Setup!$C$16))),WORKDAY(E415,-(Setup!$C$13+Setup!$G$23+Setup!$C$14),Setup!$C$39:$C$50),WORKDAY(E415,-(Setup!$C$13+Setup!$G$23),Setup!$C$39:$C$50))+(410*100+4)/10000000)))</f>
        <v/>
      </c>
      <c r="V415" t="str">
        <f>IF(F415="","",IF(F415&lt;Setup!$C$5-Setup!$C$6,"",IF(IF(ISNUMBER(Roster!$D415),Setup!$C$24&lt;=Roster!$D415,FALSE),"",IF(OR(IF(Setup!$C$15&lt;=Setup!$C$16,AND(MONTH(F415)&gt;=Setup!$C$15,MONTH(F415)&lt;=Setup!$C$16),OR(MONTH(F415)&gt;=Setup!$C$15,MONTH(F415)&lt;=Setup!$C$16)),IF(Setup!$C$15&lt;=Setup!$C$16,AND(MONTH(WORKDAY(F415,-(Setup!$C$13+Setup!$G$24),Setup!$C$39:$C$50))&gt;=Setup!$C$15,MONTH(WORKDAY(F415,-(Setup!$C$13+Setup!$G$24),Setup!$C$39:$C$50))&lt;=Setup!$C$16),OR(MONTH(WORKDAY(F415,-(Setup!$C$13+Setup!$G$24),Setup!$C$39:$C$50))&gt;=Setup!$C$15,MONTH(WORKDAY(F415,-(Setup!$C$13+Setup!$G$24),Setup!$C$39:$C$50))&lt;=Setup!$C$16))),WORKDAY(F415,-(Setup!$C$13+Setup!$G$24+Setup!$C$14),Setup!$C$39:$C$50),WORKDAY(F415,-(Setup!$C$13+Setup!$G$24),Setup!$C$39:$C$50))+(410*100+5)/10000000)))</f>
        <v/>
      </c>
      <c r="W415" t="str">
        <f>IF(G415="","",IF(G415&lt;Setup!$C$5-Setup!$C$6,"",IF(IF(ISNUMBER(Roster!$D415),Setup!$C$25&lt;=Roster!$D415,FALSE),"",IF(OR(IF(Setup!$C$15&lt;=Setup!$C$16,AND(MONTH(G415)&gt;=Setup!$C$15,MONTH(G415)&lt;=Setup!$C$16),OR(MONTH(G415)&gt;=Setup!$C$15,MONTH(G415)&lt;=Setup!$C$16)),IF(Setup!$C$15&lt;=Setup!$C$16,AND(MONTH(WORKDAY(G415,-(Setup!$C$13+Setup!$G$25),Setup!$C$39:$C$50))&gt;=Setup!$C$15,MONTH(WORKDAY(G415,-(Setup!$C$13+Setup!$G$25),Setup!$C$39:$C$50))&lt;=Setup!$C$16),OR(MONTH(WORKDAY(G415,-(Setup!$C$13+Setup!$G$25),Setup!$C$39:$C$50))&gt;=Setup!$C$15,MONTH(WORKDAY(G415,-(Setup!$C$13+Setup!$G$25),Setup!$C$39:$C$50))&lt;=Setup!$C$16))),WORKDAY(G415,-(Setup!$C$13+Setup!$G$25+Setup!$C$14),Setup!$C$39:$C$50),WORKDAY(G415,-(Setup!$C$13+Setup!$G$25),Setup!$C$39:$C$50))+(410*100+6)/10000000)))</f>
        <v/>
      </c>
      <c r="X415" t="str">
        <f>IF(H415="","",IF(H415&lt;Setup!$C$5-Setup!$C$6,"",IF(IF(ISNUMBER(Roster!$D415),Setup!$C$26&lt;=Roster!$D415,FALSE),"",IF(OR(IF(Setup!$C$15&lt;=Setup!$C$16,AND(MONTH(H415)&gt;=Setup!$C$15,MONTH(H415)&lt;=Setup!$C$16),OR(MONTH(H415)&gt;=Setup!$C$15,MONTH(H415)&lt;=Setup!$C$16)),IF(Setup!$C$15&lt;=Setup!$C$16,AND(MONTH(WORKDAY(H415,-(Setup!$C$13+Setup!$G$26),Setup!$C$39:$C$50))&gt;=Setup!$C$15,MONTH(WORKDAY(H415,-(Setup!$C$13+Setup!$G$26),Setup!$C$39:$C$50))&lt;=Setup!$C$16),OR(MONTH(WORKDAY(H415,-(Setup!$C$13+Setup!$G$26),Setup!$C$39:$C$50))&gt;=Setup!$C$15,MONTH(WORKDAY(H415,-(Setup!$C$13+Setup!$G$26),Setup!$C$39:$C$50))&lt;=Setup!$C$16))),WORKDAY(H415,-(Setup!$C$13+Setup!$G$26+Setup!$C$14),Setup!$C$39:$C$50),WORKDAY(H415,-(Setup!$C$13+Setup!$G$26),Setup!$C$39:$C$50))+(410*100+7)/10000000)))</f>
        <v/>
      </c>
      <c r="Y415" t="str">
        <f>IF(I415="","",IF(I415&lt;Setup!$C$5-Setup!$C$6,"",IF(IF(ISNUMBER(Roster!$D415),Setup!$C$27&lt;=Roster!$D415,FALSE),"",IF(OR(IF(Setup!$C$15&lt;=Setup!$C$16,AND(MONTH(I415)&gt;=Setup!$C$15,MONTH(I415)&lt;=Setup!$C$16),OR(MONTH(I415)&gt;=Setup!$C$15,MONTH(I415)&lt;=Setup!$C$16)),IF(Setup!$C$15&lt;=Setup!$C$16,AND(MONTH(WORKDAY(I415,-(Setup!$C$13+Setup!$G$27),Setup!$C$39:$C$50))&gt;=Setup!$C$15,MONTH(WORKDAY(I415,-(Setup!$C$13+Setup!$G$27),Setup!$C$39:$C$50))&lt;=Setup!$C$16),OR(MONTH(WORKDAY(I415,-(Setup!$C$13+Setup!$G$27),Setup!$C$39:$C$50))&gt;=Setup!$C$15,MONTH(WORKDAY(I415,-(Setup!$C$13+Setup!$G$27),Setup!$C$39:$C$50))&lt;=Setup!$C$16))),WORKDAY(I415,-(Setup!$C$13+Setup!$G$27+Setup!$C$14),Setup!$C$39:$C$50),WORKDAY(I415,-(Setup!$C$13+Setup!$G$27),Setup!$C$39:$C$50))+(410*100+8)/10000000)))</f>
        <v/>
      </c>
      <c r="Z415" t="str">
        <f>IF(J415="","",IF(J415&lt;Setup!$C$5-Setup!$C$6,"",IF(IF(ISNUMBER(Roster!$D415),Setup!$C$28&lt;=Roster!$D415,FALSE),"",IF(OR(IF(Setup!$C$15&lt;=Setup!$C$16,AND(MONTH(J415)&gt;=Setup!$C$15,MONTH(J415)&lt;=Setup!$C$16),OR(MONTH(J415)&gt;=Setup!$C$15,MONTH(J415)&lt;=Setup!$C$16)),IF(Setup!$C$15&lt;=Setup!$C$16,AND(MONTH(WORKDAY(J415,-(Setup!$C$13+Setup!$G$28),Setup!$C$39:$C$50))&gt;=Setup!$C$15,MONTH(WORKDAY(J415,-(Setup!$C$13+Setup!$G$28),Setup!$C$39:$C$50))&lt;=Setup!$C$16),OR(MONTH(WORKDAY(J415,-(Setup!$C$13+Setup!$G$28),Setup!$C$39:$C$50))&gt;=Setup!$C$15,MONTH(WORKDAY(J415,-(Setup!$C$13+Setup!$G$28),Setup!$C$39:$C$50))&lt;=Setup!$C$16))),WORKDAY(J415,-(Setup!$C$13+Setup!$G$28+Setup!$C$14),Setup!$C$39:$C$50),WORKDAY(J415,-(Setup!$C$13+Setup!$G$28),Setup!$C$39:$C$50))+(410*100+9)/10000000)))</f>
        <v/>
      </c>
      <c r="AA415" t="str">
        <f>IF(K415="","",IF(K415&lt;Setup!$C$5-Setup!$C$6,"",IF(IF(ISNUMBER(Roster!$D415),Setup!$C$29&lt;=Roster!$D415,FALSE),"",IF(OR(IF(Setup!$C$15&lt;=Setup!$C$16,AND(MONTH(K415)&gt;=Setup!$C$15,MONTH(K415)&lt;=Setup!$C$16),OR(MONTH(K415)&gt;=Setup!$C$15,MONTH(K415)&lt;=Setup!$C$16)),IF(Setup!$C$15&lt;=Setup!$C$16,AND(MONTH(WORKDAY(K415,-(Setup!$C$13+Setup!$G$29),Setup!$C$39:$C$50))&gt;=Setup!$C$15,MONTH(WORKDAY(K415,-(Setup!$C$13+Setup!$G$29),Setup!$C$39:$C$50))&lt;=Setup!$C$16),OR(MONTH(WORKDAY(K415,-(Setup!$C$13+Setup!$G$29),Setup!$C$39:$C$50))&gt;=Setup!$C$15,MONTH(WORKDAY(K415,-(Setup!$C$13+Setup!$G$29),Setup!$C$39:$C$50))&lt;=Setup!$C$16))),WORKDAY(K415,-(Setup!$C$13+Setup!$G$29+Setup!$C$14),Setup!$C$39:$C$50),WORKDAY(K415,-(Setup!$C$13+Setup!$G$29),Setup!$C$39:$C$50))+(410*100+10)/10000000)))</f>
        <v/>
      </c>
      <c r="AB415" t="str">
        <f>IF(L415="","",IF(L415&lt;Setup!$C$5-Setup!$C$6,"",IF(IF(ISNUMBER(Roster!$D415),Setup!$C$30&lt;=Roster!$D415,FALSE),"",IF(OR(IF(Setup!$C$15&lt;=Setup!$C$16,AND(MONTH(L415)&gt;=Setup!$C$15,MONTH(L415)&lt;=Setup!$C$16),OR(MONTH(L415)&gt;=Setup!$C$15,MONTH(L415)&lt;=Setup!$C$16)),IF(Setup!$C$15&lt;=Setup!$C$16,AND(MONTH(WORKDAY(L415,-(Setup!$C$13+Setup!$G$30),Setup!$C$39:$C$50))&gt;=Setup!$C$15,MONTH(WORKDAY(L415,-(Setup!$C$13+Setup!$G$30),Setup!$C$39:$C$50))&lt;=Setup!$C$16),OR(MONTH(WORKDAY(L415,-(Setup!$C$13+Setup!$G$30),Setup!$C$39:$C$50))&gt;=Setup!$C$15,MONTH(WORKDAY(L415,-(Setup!$C$13+Setup!$G$30),Setup!$C$39:$C$50))&lt;=Setup!$C$16))),WORKDAY(L415,-(Setup!$C$13+Setup!$G$30+Setup!$C$14),Setup!$C$39:$C$50),WORKDAY(L415,-(Setup!$C$13+Setup!$G$30),Setup!$C$39:$C$50))+(410*100+11)/10000000)))</f>
        <v/>
      </c>
      <c r="AC415" t="str">
        <f>IF(M415="","",IF(M415&lt;Setup!$C$5-Setup!$C$6,"",IF(IF(ISNUMBER(Roster!$D415),Setup!$C$31&lt;=Roster!$D415,FALSE),"",IF(OR(IF(Setup!$C$15&lt;=Setup!$C$16,AND(MONTH(M415)&gt;=Setup!$C$15,MONTH(M415)&lt;=Setup!$C$16),OR(MONTH(M415)&gt;=Setup!$C$15,MONTH(M415)&lt;=Setup!$C$16)),IF(Setup!$C$15&lt;=Setup!$C$16,AND(MONTH(WORKDAY(M415,-(Setup!$C$13+Setup!$G$31),Setup!$C$39:$C$50))&gt;=Setup!$C$15,MONTH(WORKDAY(M415,-(Setup!$C$13+Setup!$G$31),Setup!$C$39:$C$50))&lt;=Setup!$C$16),OR(MONTH(WORKDAY(M415,-(Setup!$C$13+Setup!$G$31),Setup!$C$39:$C$50))&gt;=Setup!$C$15,MONTH(WORKDAY(M415,-(Setup!$C$13+Setup!$G$31),Setup!$C$39:$C$50))&lt;=Setup!$C$16))),WORKDAY(M415,-(Setup!$C$13+Setup!$G$31+Setup!$C$14),Setup!$C$39:$C$50),WORKDAY(M415,-(Setup!$C$13+Setup!$G$31),Setup!$C$39:$C$50))+(410*100+12)/10000000)))</f>
        <v/>
      </c>
      <c r="AD415" t="str">
        <f>IF(N415="","",IF(N415&lt;Setup!$C$5-Setup!$C$6,"",IF(IF(ISNUMBER(Roster!$D415),Setup!$C$32&lt;=Roster!$D415,FALSE),"",IF(OR(IF(Setup!$C$15&lt;=Setup!$C$16,AND(MONTH(N415)&gt;=Setup!$C$15,MONTH(N415)&lt;=Setup!$C$16),OR(MONTH(N415)&gt;=Setup!$C$15,MONTH(N415)&lt;=Setup!$C$16)),IF(Setup!$C$15&lt;=Setup!$C$16,AND(MONTH(WORKDAY(N415,-(Setup!$C$13+Setup!$G$32),Setup!$C$39:$C$50))&gt;=Setup!$C$15,MONTH(WORKDAY(N415,-(Setup!$C$13+Setup!$G$32),Setup!$C$39:$C$50))&lt;=Setup!$C$16),OR(MONTH(WORKDAY(N415,-(Setup!$C$13+Setup!$G$32),Setup!$C$39:$C$50))&gt;=Setup!$C$15,MONTH(WORKDAY(N415,-(Setup!$C$13+Setup!$G$32),Setup!$C$39:$C$50))&lt;=Setup!$C$16))),WORKDAY(N415,-(Setup!$C$13+Setup!$G$32+Setup!$C$14),Setup!$C$39:$C$50),WORKDAY(N415,-(Setup!$C$13+Setup!$G$32),Setup!$C$39:$C$50))+(410*100+13)/10000000)))</f>
        <v/>
      </c>
      <c r="AE415" t="str">
        <f>IF(O415="","",IF(O415&lt;Setup!$C$5-Setup!$C$6,"",IF(IF(ISNUMBER(Roster!$D415),Setup!$C$33&lt;=Roster!$D415,FALSE),"",IF(OR(IF(Setup!$C$15&lt;=Setup!$C$16,AND(MONTH(O415)&gt;=Setup!$C$15,MONTH(O415)&lt;=Setup!$C$16),OR(MONTH(O415)&gt;=Setup!$C$15,MONTH(O415)&lt;=Setup!$C$16)),IF(Setup!$C$15&lt;=Setup!$C$16,AND(MONTH(WORKDAY(O415,-(Setup!$C$13+Setup!$G$33),Setup!$C$39:$C$50))&gt;=Setup!$C$15,MONTH(WORKDAY(O415,-(Setup!$C$13+Setup!$G$33),Setup!$C$39:$C$50))&lt;=Setup!$C$16),OR(MONTH(WORKDAY(O415,-(Setup!$C$13+Setup!$G$33),Setup!$C$39:$C$50))&gt;=Setup!$C$15,MONTH(WORKDAY(O415,-(Setup!$C$13+Setup!$G$33),Setup!$C$39:$C$50))&lt;=Setup!$C$16))),WORKDAY(O415,-(Setup!$C$13+Setup!$G$33+Setup!$C$14),Setup!$C$39:$C$50),WORKDAY(O415,-(Setup!$C$13+Setup!$G$33),Setup!$C$39:$C$50))+(410*100+14)/10000000)))</f>
        <v/>
      </c>
      <c r="AF415" t="str">
        <f>IF(P415="","",IF(P415&lt;Setup!$C$5-Setup!$C$6,"",IF(IF(ISNUMBER(Roster!$D415),Setup!$C$34&lt;=Roster!$D415,FALSE),"",IF(OR(IF(Setup!$C$15&lt;=Setup!$C$16,AND(MONTH(P415)&gt;=Setup!$C$15,MONTH(P415)&lt;=Setup!$C$16),OR(MONTH(P415)&gt;=Setup!$C$15,MONTH(P415)&lt;=Setup!$C$16)),IF(Setup!$C$15&lt;=Setup!$C$16,AND(MONTH(WORKDAY(P415,-(Setup!$C$13+Setup!$G$34),Setup!$C$39:$C$50))&gt;=Setup!$C$15,MONTH(WORKDAY(P415,-(Setup!$C$13+Setup!$G$34),Setup!$C$39:$C$50))&lt;=Setup!$C$16),OR(MONTH(WORKDAY(P415,-(Setup!$C$13+Setup!$G$34),Setup!$C$39:$C$50))&gt;=Setup!$C$15,MONTH(WORKDAY(P415,-(Setup!$C$13+Setup!$G$34),Setup!$C$39:$C$50))&lt;=Setup!$C$16))),WORKDAY(P415,-(Setup!$C$13+Setup!$G$34+Setup!$C$14),Setup!$C$39:$C$50),WORKDAY(P415,-(Setup!$C$13+Setup!$G$34),Setup!$C$39:$C$50))+(410*100+15)/10000000)))</f>
        <v/>
      </c>
      <c r="AH415" t="str">
        <f t="shared" si="46"/>
        <v/>
      </c>
      <c r="AI415" t="str">
        <f t="shared" si="47"/>
        <v/>
      </c>
      <c r="AP415" t="str">
        <f>IF(ISNUMBER(Roster!$B415),MAX(1,YEAR(Setup!$C$5)-YEAR(Roster!$B415)+IF(EDATE(Roster!$B415,12*(YEAR(Setup!$C$5)-YEAR(Roster!$B415)))&lt;Setup!$C$5,1,0)),"")</f>
        <v/>
      </c>
      <c r="AQ415" s="32" t="str">
        <f>IF(AP415="","",EDATE(Roster!$B415,12*AP415))</f>
        <v/>
      </c>
      <c r="AR415" t="str">
        <f>IF(AQ415="","",IF(AQ415&lt;DATE(YEAR(Setup!$C$5)+1,MONTH(Setup!$C$5),DAY(Setup!$C$5)),AQ415+410/1000,""))</f>
        <v/>
      </c>
      <c r="AS415" t="str">
        <f t="shared" si="48"/>
        <v/>
      </c>
      <c r="AT415" t="str">
        <f>IF(AS415="","",IF(ISNUMBER(Roster!$D415),Roster!$D415&gt;=AP415,FALSE))</f>
        <v/>
      </c>
      <c r="AU415" t="str">
        <f t="shared" si="49"/>
        <v/>
      </c>
      <c r="AV415" t="str">
        <f ca="1">IF(410&gt;$AV$2,"",SMALL($AR$6:$AR$505,410))</f>
        <v/>
      </c>
      <c r="AW415" t="str">
        <f t="shared" ca="1" si="50"/>
        <v/>
      </c>
    </row>
    <row r="416" spans="2:49" x14ac:dyDescent="0.2">
      <c r="B416" s="32" t="str">
        <f>IF(AND(ISNUMBER(Roster!$B416),Setup!$B$20="Yes",ISNUMBER(Setup!$C$20)),EDATE(Roster!$B416,12*Setup!$C$20),"")</f>
        <v/>
      </c>
      <c r="C416" s="32" t="str">
        <f>IF(AND(ISNUMBER(Roster!$B416),Setup!$B$21="Yes",ISNUMBER(Setup!$C$21)),EDATE(Roster!$B416,12*Setup!$C$21),"")</f>
        <v/>
      </c>
      <c r="D416" s="32" t="str">
        <f>IF(AND(ISNUMBER(Roster!$B416),Setup!$B$22="Yes",ISNUMBER(Setup!$C$22)),EDATE(Roster!$B416,12*Setup!$C$22),"")</f>
        <v/>
      </c>
      <c r="E416" s="32" t="str">
        <f>IF(AND(ISNUMBER(Roster!$B416),Setup!$B$23="Yes",ISNUMBER(Setup!$C$23)),EDATE(Roster!$B416,12*Setup!$C$23),"")</f>
        <v/>
      </c>
      <c r="F416" s="32" t="str">
        <f>IF(AND(ISNUMBER(Roster!$B416),Setup!$B$24="Yes",ISNUMBER(Setup!$C$24)),EDATE(Roster!$B416,12*Setup!$C$24),"")</f>
        <v/>
      </c>
      <c r="G416" s="32" t="str">
        <f>IF(AND(ISNUMBER(Roster!$B416),Setup!$B$25="Yes",ISNUMBER(Setup!$C$25)),EDATE(Roster!$B416,12*Setup!$C$25),"")</f>
        <v/>
      </c>
      <c r="H416" s="32" t="str">
        <f>IF(AND(ISNUMBER(Roster!$B416),Setup!$B$26="Yes",ISNUMBER(Setup!$C$26)),EDATE(Roster!$B416,12*Setup!$C$26),"")</f>
        <v/>
      </c>
      <c r="I416" s="32" t="str">
        <f>IF(AND(ISNUMBER(Roster!$B416),Setup!$B$27="Yes",ISNUMBER(Setup!$C$27)),EDATE(Roster!$B416,12*Setup!$C$27),"")</f>
        <v/>
      </c>
      <c r="J416" s="32" t="str">
        <f>IF(AND(ISNUMBER(Roster!$B416),Setup!$B$28="Yes",ISNUMBER(Setup!$C$28)),EDATE(Roster!$B416,12*Setup!$C$28),"")</f>
        <v/>
      </c>
      <c r="K416" s="32" t="str">
        <f>IF(AND(ISNUMBER(Roster!$B416),Setup!$B$29="Yes",ISNUMBER(Setup!$C$29)),EDATE(Roster!$B416,12*Setup!$C$29),"")</f>
        <v/>
      </c>
      <c r="L416" s="32" t="str">
        <f>IF(AND(ISNUMBER(Roster!$B416),Setup!$B$30="Yes",ISNUMBER(Setup!$C$30)),EDATE(Roster!$B416,12*Setup!$C$30),"")</f>
        <v/>
      </c>
      <c r="M416" s="32" t="str">
        <f>IF(AND(ISNUMBER(Roster!$B416),Setup!$B$31="Yes",ISNUMBER(Setup!$C$31)),EDATE(Roster!$B416,12*Setup!$C$31),"")</f>
        <v/>
      </c>
      <c r="N416" s="32" t="str">
        <f>IF(AND(ISNUMBER(Roster!$B416),Setup!$B$32="Yes",ISNUMBER(Setup!$C$32)),EDATE(Roster!$B416,12*Setup!$C$32),"")</f>
        <v/>
      </c>
      <c r="O416" s="32" t="str">
        <f>IF(AND(ISNUMBER(Roster!$B416),Setup!$B$33="Yes",ISNUMBER(Setup!$C$33)),EDATE(Roster!$B416,12*Setup!$C$33),"")</f>
        <v/>
      </c>
      <c r="P416" s="32" t="str">
        <f>IF(AND(ISNUMBER(Roster!$B416),Setup!$B$34="Yes",ISNUMBER(Setup!$C$34)),EDATE(Roster!$B416,12*Setup!$C$34),"")</f>
        <v/>
      </c>
      <c r="R416" t="str">
        <f>IF(B416="","",IF(B416&lt;Setup!$C$5-Setup!$C$6,"",IF(IF(ISNUMBER(Roster!$D416),Setup!$C$20&lt;=Roster!$D416,FALSE),"",IF(OR(IF(Setup!$C$15&lt;=Setup!$C$16,AND(MONTH(B416)&gt;=Setup!$C$15,MONTH(B416)&lt;=Setup!$C$16),OR(MONTH(B416)&gt;=Setup!$C$15,MONTH(B416)&lt;=Setup!$C$16)),IF(Setup!$C$15&lt;=Setup!$C$16,AND(MONTH(WORKDAY(B416,-(Setup!$C$13+Setup!$G$20),Setup!$C$39:$C$50))&gt;=Setup!$C$15,MONTH(WORKDAY(B416,-(Setup!$C$13+Setup!$G$20),Setup!$C$39:$C$50))&lt;=Setup!$C$16),OR(MONTH(WORKDAY(B416,-(Setup!$C$13+Setup!$G$20),Setup!$C$39:$C$50))&gt;=Setup!$C$15,MONTH(WORKDAY(B416,-(Setup!$C$13+Setup!$G$20),Setup!$C$39:$C$50))&lt;=Setup!$C$16))),WORKDAY(B416,-(Setup!$C$13+Setup!$G$20+Setup!$C$14),Setup!$C$39:$C$50),WORKDAY(B416,-(Setup!$C$13+Setup!$G$20),Setup!$C$39:$C$50))+(411*100+1)/10000000)))</f>
        <v/>
      </c>
      <c r="S416" t="str">
        <f>IF(C416="","",IF(C416&lt;Setup!$C$5-Setup!$C$6,"",IF(IF(ISNUMBER(Roster!$D416),Setup!$C$21&lt;=Roster!$D416,FALSE),"",IF(OR(IF(Setup!$C$15&lt;=Setup!$C$16,AND(MONTH(C416)&gt;=Setup!$C$15,MONTH(C416)&lt;=Setup!$C$16),OR(MONTH(C416)&gt;=Setup!$C$15,MONTH(C416)&lt;=Setup!$C$16)),IF(Setup!$C$15&lt;=Setup!$C$16,AND(MONTH(WORKDAY(C416,-(Setup!$C$13+Setup!$G$21),Setup!$C$39:$C$50))&gt;=Setup!$C$15,MONTH(WORKDAY(C416,-(Setup!$C$13+Setup!$G$21),Setup!$C$39:$C$50))&lt;=Setup!$C$16),OR(MONTH(WORKDAY(C416,-(Setup!$C$13+Setup!$G$21),Setup!$C$39:$C$50))&gt;=Setup!$C$15,MONTH(WORKDAY(C416,-(Setup!$C$13+Setup!$G$21),Setup!$C$39:$C$50))&lt;=Setup!$C$16))),WORKDAY(C416,-(Setup!$C$13+Setup!$G$21+Setup!$C$14),Setup!$C$39:$C$50),WORKDAY(C416,-(Setup!$C$13+Setup!$G$21),Setup!$C$39:$C$50))+(411*100+2)/10000000)))</f>
        <v/>
      </c>
      <c r="T416" t="str">
        <f>IF(D416="","",IF(D416&lt;Setup!$C$5-Setup!$C$6,"",IF(IF(ISNUMBER(Roster!$D416),Setup!$C$22&lt;=Roster!$D416,FALSE),"",IF(OR(IF(Setup!$C$15&lt;=Setup!$C$16,AND(MONTH(D416)&gt;=Setup!$C$15,MONTH(D416)&lt;=Setup!$C$16),OR(MONTH(D416)&gt;=Setup!$C$15,MONTH(D416)&lt;=Setup!$C$16)),IF(Setup!$C$15&lt;=Setup!$C$16,AND(MONTH(WORKDAY(D416,-(Setup!$C$13+Setup!$G$22),Setup!$C$39:$C$50))&gt;=Setup!$C$15,MONTH(WORKDAY(D416,-(Setup!$C$13+Setup!$G$22),Setup!$C$39:$C$50))&lt;=Setup!$C$16),OR(MONTH(WORKDAY(D416,-(Setup!$C$13+Setup!$G$22),Setup!$C$39:$C$50))&gt;=Setup!$C$15,MONTH(WORKDAY(D416,-(Setup!$C$13+Setup!$G$22),Setup!$C$39:$C$50))&lt;=Setup!$C$16))),WORKDAY(D416,-(Setup!$C$13+Setup!$G$22+Setup!$C$14),Setup!$C$39:$C$50),WORKDAY(D416,-(Setup!$C$13+Setup!$G$22),Setup!$C$39:$C$50))+(411*100+3)/10000000)))</f>
        <v/>
      </c>
      <c r="U416" t="str">
        <f>IF(E416="","",IF(E416&lt;Setup!$C$5-Setup!$C$6,"",IF(IF(ISNUMBER(Roster!$D416),Setup!$C$23&lt;=Roster!$D416,FALSE),"",IF(OR(IF(Setup!$C$15&lt;=Setup!$C$16,AND(MONTH(E416)&gt;=Setup!$C$15,MONTH(E416)&lt;=Setup!$C$16),OR(MONTH(E416)&gt;=Setup!$C$15,MONTH(E416)&lt;=Setup!$C$16)),IF(Setup!$C$15&lt;=Setup!$C$16,AND(MONTH(WORKDAY(E416,-(Setup!$C$13+Setup!$G$23),Setup!$C$39:$C$50))&gt;=Setup!$C$15,MONTH(WORKDAY(E416,-(Setup!$C$13+Setup!$G$23),Setup!$C$39:$C$50))&lt;=Setup!$C$16),OR(MONTH(WORKDAY(E416,-(Setup!$C$13+Setup!$G$23),Setup!$C$39:$C$50))&gt;=Setup!$C$15,MONTH(WORKDAY(E416,-(Setup!$C$13+Setup!$G$23),Setup!$C$39:$C$50))&lt;=Setup!$C$16))),WORKDAY(E416,-(Setup!$C$13+Setup!$G$23+Setup!$C$14),Setup!$C$39:$C$50),WORKDAY(E416,-(Setup!$C$13+Setup!$G$23),Setup!$C$39:$C$50))+(411*100+4)/10000000)))</f>
        <v/>
      </c>
      <c r="V416" t="str">
        <f>IF(F416="","",IF(F416&lt;Setup!$C$5-Setup!$C$6,"",IF(IF(ISNUMBER(Roster!$D416),Setup!$C$24&lt;=Roster!$D416,FALSE),"",IF(OR(IF(Setup!$C$15&lt;=Setup!$C$16,AND(MONTH(F416)&gt;=Setup!$C$15,MONTH(F416)&lt;=Setup!$C$16),OR(MONTH(F416)&gt;=Setup!$C$15,MONTH(F416)&lt;=Setup!$C$16)),IF(Setup!$C$15&lt;=Setup!$C$16,AND(MONTH(WORKDAY(F416,-(Setup!$C$13+Setup!$G$24),Setup!$C$39:$C$50))&gt;=Setup!$C$15,MONTH(WORKDAY(F416,-(Setup!$C$13+Setup!$G$24),Setup!$C$39:$C$50))&lt;=Setup!$C$16),OR(MONTH(WORKDAY(F416,-(Setup!$C$13+Setup!$G$24),Setup!$C$39:$C$50))&gt;=Setup!$C$15,MONTH(WORKDAY(F416,-(Setup!$C$13+Setup!$G$24),Setup!$C$39:$C$50))&lt;=Setup!$C$16))),WORKDAY(F416,-(Setup!$C$13+Setup!$G$24+Setup!$C$14),Setup!$C$39:$C$50),WORKDAY(F416,-(Setup!$C$13+Setup!$G$24),Setup!$C$39:$C$50))+(411*100+5)/10000000)))</f>
        <v/>
      </c>
      <c r="W416" t="str">
        <f>IF(G416="","",IF(G416&lt;Setup!$C$5-Setup!$C$6,"",IF(IF(ISNUMBER(Roster!$D416),Setup!$C$25&lt;=Roster!$D416,FALSE),"",IF(OR(IF(Setup!$C$15&lt;=Setup!$C$16,AND(MONTH(G416)&gt;=Setup!$C$15,MONTH(G416)&lt;=Setup!$C$16),OR(MONTH(G416)&gt;=Setup!$C$15,MONTH(G416)&lt;=Setup!$C$16)),IF(Setup!$C$15&lt;=Setup!$C$16,AND(MONTH(WORKDAY(G416,-(Setup!$C$13+Setup!$G$25),Setup!$C$39:$C$50))&gt;=Setup!$C$15,MONTH(WORKDAY(G416,-(Setup!$C$13+Setup!$G$25),Setup!$C$39:$C$50))&lt;=Setup!$C$16),OR(MONTH(WORKDAY(G416,-(Setup!$C$13+Setup!$G$25),Setup!$C$39:$C$50))&gt;=Setup!$C$15,MONTH(WORKDAY(G416,-(Setup!$C$13+Setup!$G$25),Setup!$C$39:$C$50))&lt;=Setup!$C$16))),WORKDAY(G416,-(Setup!$C$13+Setup!$G$25+Setup!$C$14),Setup!$C$39:$C$50),WORKDAY(G416,-(Setup!$C$13+Setup!$G$25),Setup!$C$39:$C$50))+(411*100+6)/10000000)))</f>
        <v/>
      </c>
      <c r="X416" t="str">
        <f>IF(H416="","",IF(H416&lt;Setup!$C$5-Setup!$C$6,"",IF(IF(ISNUMBER(Roster!$D416),Setup!$C$26&lt;=Roster!$D416,FALSE),"",IF(OR(IF(Setup!$C$15&lt;=Setup!$C$16,AND(MONTH(H416)&gt;=Setup!$C$15,MONTH(H416)&lt;=Setup!$C$16),OR(MONTH(H416)&gt;=Setup!$C$15,MONTH(H416)&lt;=Setup!$C$16)),IF(Setup!$C$15&lt;=Setup!$C$16,AND(MONTH(WORKDAY(H416,-(Setup!$C$13+Setup!$G$26),Setup!$C$39:$C$50))&gt;=Setup!$C$15,MONTH(WORKDAY(H416,-(Setup!$C$13+Setup!$G$26),Setup!$C$39:$C$50))&lt;=Setup!$C$16),OR(MONTH(WORKDAY(H416,-(Setup!$C$13+Setup!$G$26),Setup!$C$39:$C$50))&gt;=Setup!$C$15,MONTH(WORKDAY(H416,-(Setup!$C$13+Setup!$G$26),Setup!$C$39:$C$50))&lt;=Setup!$C$16))),WORKDAY(H416,-(Setup!$C$13+Setup!$G$26+Setup!$C$14),Setup!$C$39:$C$50),WORKDAY(H416,-(Setup!$C$13+Setup!$G$26),Setup!$C$39:$C$50))+(411*100+7)/10000000)))</f>
        <v/>
      </c>
      <c r="Y416" t="str">
        <f>IF(I416="","",IF(I416&lt;Setup!$C$5-Setup!$C$6,"",IF(IF(ISNUMBER(Roster!$D416),Setup!$C$27&lt;=Roster!$D416,FALSE),"",IF(OR(IF(Setup!$C$15&lt;=Setup!$C$16,AND(MONTH(I416)&gt;=Setup!$C$15,MONTH(I416)&lt;=Setup!$C$16),OR(MONTH(I416)&gt;=Setup!$C$15,MONTH(I416)&lt;=Setup!$C$16)),IF(Setup!$C$15&lt;=Setup!$C$16,AND(MONTH(WORKDAY(I416,-(Setup!$C$13+Setup!$G$27),Setup!$C$39:$C$50))&gt;=Setup!$C$15,MONTH(WORKDAY(I416,-(Setup!$C$13+Setup!$G$27),Setup!$C$39:$C$50))&lt;=Setup!$C$16),OR(MONTH(WORKDAY(I416,-(Setup!$C$13+Setup!$G$27),Setup!$C$39:$C$50))&gt;=Setup!$C$15,MONTH(WORKDAY(I416,-(Setup!$C$13+Setup!$G$27),Setup!$C$39:$C$50))&lt;=Setup!$C$16))),WORKDAY(I416,-(Setup!$C$13+Setup!$G$27+Setup!$C$14),Setup!$C$39:$C$50),WORKDAY(I416,-(Setup!$C$13+Setup!$G$27),Setup!$C$39:$C$50))+(411*100+8)/10000000)))</f>
        <v/>
      </c>
      <c r="Z416" t="str">
        <f>IF(J416="","",IF(J416&lt;Setup!$C$5-Setup!$C$6,"",IF(IF(ISNUMBER(Roster!$D416),Setup!$C$28&lt;=Roster!$D416,FALSE),"",IF(OR(IF(Setup!$C$15&lt;=Setup!$C$16,AND(MONTH(J416)&gt;=Setup!$C$15,MONTH(J416)&lt;=Setup!$C$16),OR(MONTH(J416)&gt;=Setup!$C$15,MONTH(J416)&lt;=Setup!$C$16)),IF(Setup!$C$15&lt;=Setup!$C$16,AND(MONTH(WORKDAY(J416,-(Setup!$C$13+Setup!$G$28),Setup!$C$39:$C$50))&gt;=Setup!$C$15,MONTH(WORKDAY(J416,-(Setup!$C$13+Setup!$G$28),Setup!$C$39:$C$50))&lt;=Setup!$C$16),OR(MONTH(WORKDAY(J416,-(Setup!$C$13+Setup!$G$28),Setup!$C$39:$C$50))&gt;=Setup!$C$15,MONTH(WORKDAY(J416,-(Setup!$C$13+Setup!$G$28),Setup!$C$39:$C$50))&lt;=Setup!$C$16))),WORKDAY(J416,-(Setup!$C$13+Setup!$G$28+Setup!$C$14),Setup!$C$39:$C$50),WORKDAY(J416,-(Setup!$C$13+Setup!$G$28),Setup!$C$39:$C$50))+(411*100+9)/10000000)))</f>
        <v/>
      </c>
      <c r="AA416" t="str">
        <f>IF(K416="","",IF(K416&lt;Setup!$C$5-Setup!$C$6,"",IF(IF(ISNUMBER(Roster!$D416),Setup!$C$29&lt;=Roster!$D416,FALSE),"",IF(OR(IF(Setup!$C$15&lt;=Setup!$C$16,AND(MONTH(K416)&gt;=Setup!$C$15,MONTH(K416)&lt;=Setup!$C$16),OR(MONTH(K416)&gt;=Setup!$C$15,MONTH(K416)&lt;=Setup!$C$16)),IF(Setup!$C$15&lt;=Setup!$C$16,AND(MONTH(WORKDAY(K416,-(Setup!$C$13+Setup!$G$29),Setup!$C$39:$C$50))&gt;=Setup!$C$15,MONTH(WORKDAY(K416,-(Setup!$C$13+Setup!$G$29),Setup!$C$39:$C$50))&lt;=Setup!$C$16),OR(MONTH(WORKDAY(K416,-(Setup!$C$13+Setup!$G$29),Setup!$C$39:$C$50))&gt;=Setup!$C$15,MONTH(WORKDAY(K416,-(Setup!$C$13+Setup!$G$29),Setup!$C$39:$C$50))&lt;=Setup!$C$16))),WORKDAY(K416,-(Setup!$C$13+Setup!$G$29+Setup!$C$14),Setup!$C$39:$C$50),WORKDAY(K416,-(Setup!$C$13+Setup!$G$29),Setup!$C$39:$C$50))+(411*100+10)/10000000)))</f>
        <v/>
      </c>
      <c r="AB416" t="str">
        <f>IF(L416="","",IF(L416&lt;Setup!$C$5-Setup!$C$6,"",IF(IF(ISNUMBER(Roster!$D416),Setup!$C$30&lt;=Roster!$D416,FALSE),"",IF(OR(IF(Setup!$C$15&lt;=Setup!$C$16,AND(MONTH(L416)&gt;=Setup!$C$15,MONTH(L416)&lt;=Setup!$C$16),OR(MONTH(L416)&gt;=Setup!$C$15,MONTH(L416)&lt;=Setup!$C$16)),IF(Setup!$C$15&lt;=Setup!$C$16,AND(MONTH(WORKDAY(L416,-(Setup!$C$13+Setup!$G$30),Setup!$C$39:$C$50))&gt;=Setup!$C$15,MONTH(WORKDAY(L416,-(Setup!$C$13+Setup!$G$30),Setup!$C$39:$C$50))&lt;=Setup!$C$16),OR(MONTH(WORKDAY(L416,-(Setup!$C$13+Setup!$G$30),Setup!$C$39:$C$50))&gt;=Setup!$C$15,MONTH(WORKDAY(L416,-(Setup!$C$13+Setup!$G$30),Setup!$C$39:$C$50))&lt;=Setup!$C$16))),WORKDAY(L416,-(Setup!$C$13+Setup!$G$30+Setup!$C$14),Setup!$C$39:$C$50),WORKDAY(L416,-(Setup!$C$13+Setup!$G$30),Setup!$C$39:$C$50))+(411*100+11)/10000000)))</f>
        <v/>
      </c>
      <c r="AC416" t="str">
        <f>IF(M416="","",IF(M416&lt;Setup!$C$5-Setup!$C$6,"",IF(IF(ISNUMBER(Roster!$D416),Setup!$C$31&lt;=Roster!$D416,FALSE),"",IF(OR(IF(Setup!$C$15&lt;=Setup!$C$16,AND(MONTH(M416)&gt;=Setup!$C$15,MONTH(M416)&lt;=Setup!$C$16),OR(MONTH(M416)&gt;=Setup!$C$15,MONTH(M416)&lt;=Setup!$C$16)),IF(Setup!$C$15&lt;=Setup!$C$16,AND(MONTH(WORKDAY(M416,-(Setup!$C$13+Setup!$G$31),Setup!$C$39:$C$50))&gt;=Setup!$C$15,MONTH(WORKDAY(M416,-(Setup!$C$13+Setup!$G$31),Setup!$C$39:$C$50))&lt;=Setup!$C$16),OR(MONTH(WORKDAY(M416,-(Setup!$C$13+Setup!$G$31),Setup!$C$39:$C$50))&gt;=Setup!$C$15,MONTH(WORKDAY(M416,-(Setup!$C$13+Setup!$G$31),Setup!$C$39:$C$50))&lt;=Setup!$C$16))),WORKDAY(M416,-(Setup!$C$13+Setup!$G$31+Setup!$C$14),Setup!$C$39:$C$50),WORKDAY(M416,-(Setup!$C$13+Setup!$G$31),Setup!$C$39:$C$50))+(411*100+12)/10000000)))</f>
        <v/>
      </c>
      <c r="AD416" t="str">
        <f>IF(N416="","",IF(N416&lt;Setup!$C$5-Setup!$C$6,"",IF(IF(ISNUMBER(Roster!$D416),Setup!$C$32&lt;=Roster!$D416,FALSE),"",IF(OR(IF(Setup!$C$15&lt;=Setup!$C$16,AND(MONTH(N416)&gt;=Setup!$C$15,MONTH(N416)&lt;=Setup!$C$16),OR(MONTH(N416)&gt;=Setup!$C$15,MONTH(N416)&lt;=Setup!$C$16)),IF(Setup!$C$15&lt;=Setup!$C$16,AND(MONTH(WORKDAY(N416,-(Setup!$C$13+Setup!$G$32),Setup!$C$39:$C$50))&gt;=Setup!$C$15,MONTH(WORKDAY(N416,-(Setup!$C$13+Setup!$G$32),Setup!$C$39:$C$50))&lt;=Setup!$C$16),OR(MONTH(WORKDAY(N416,-(Setup!$C$13+Setup!$G$32),Setup!$C$39:$C$50))&gt;=Setup!$C$15,MONTH(WORKDAY(N416,-(Setup!$C$13+Setup!$G$32),Setup!$C$39:$C$50))&lt;=Setup!$C$16))),WORKDAY(N416,-(Setup!$C$13+Setup!$G$32+Setup!$C$14),Setup!$C$39:$C$50),WORKDAY(N416,-(Setup!$C$13+Setup!$G$32),Setup!$C$39:$C$50))+(411*100+13)/10000000)))</f>
        <v/>
      </c>
      <c r="AE416" t="str">
        <f>IF(O416="","",IF(O416&lt;Setup!$C$5-Setup!$C$6,"",IF(IF(ISNUMBER(Roster!$D416),Setup!$C$33&lt;=Roster!$D416,FALSE),"",IF(OR(IF(Setup!$C$15&lt;=Setup!$C$16,AND(MONTH(O416)&gt;=Setup!$C$15,MONTH(O416)&lt;=Setup!$C$16),OR(MONTH(O416)&gt;=Setup!$C$15,MONTH(O416)&lt;=Setup!$C$16)),IF(Setup!$C$15&lt;=Setup!$C$16,AND(MONTH(WORKDAY(O416,-(Setup!$C$13+Setup!$G$33),Setup!$C$39:$C$50))&gt;=Setup!$C$15,MONTH(WORKDAY(O416,-(Setup!$C$13+Setup!$G$33),Setup!$C$39:$C$50))&lt;=Setup!$C$16),OR(MONTH(WORKDAY(O416,-(Setup!$C$13+Setup!$G$33),Setup!$C$39:$C$50))&gt;=Setup!$C$15,MONTH(WORKDAY(O416,-(Setup!$C$13+Setup!$G$33),Setup!$C$39:$C$50))&lt;=Setup!$C$16))),WORKDAY(O416,-(Setup!$C$13+Setup!$G$33+Setup!$C$14),Setup!$C$39:$C$50),WORKDAY(O416,-(Setup!$C$13+Setup!$G$33),Setup!$C$39:$C$50))+(411*100+14)/10000000)))</f>
        <v/>
      </c>
      <c r="AF416" t="str">
        <f>IF(P416="","",IF(P416&lt;Setup!$C$5-Setup!$C$6,"",IF(IF(ISNUMBER(Roster!$D416),Setup!$C$34&lt;=Roster!$D416,FALSE),"",IF(OR(IF(Setup!$C$15&lt;=Setup!$C$16,AND(MONTH(P416)&gt;=Setup!$C$15,MONTH(P416)&lt;=Setup!$C$16),OR(MONTH(P416)&gt;=Setup!$C$15,MONTH(P416)&lt;=Setup!$C$16)),IF(Setup!$C$15&lt;=Setup!$C$16,AND(MONTH(WORKDAY(P416,-(Setup!$C$13+Setup!$G$34),Setup!$C$39:$C$50))&gt;=Setup!$C$15,MONTH(WORKDAY(P416,-(Setup!$C$13+Setup!$G$34),Setup!$C$39:$C$50))&lt;=Setup!$C$16),OR(MONTH(WORKDAY(P416,-(Setup!$C$13+Setup!$G$34),Setup!$C$39:$C$50))&gt;=Setup!$C$15,MONTH(WORKDAY(P416,-(Setup!$C$13+Setup!$G$34),Setup!$C$39:$C$50))&lt;=Setup!$C$16))),WORKDAY(P416,-(Setup!$C$13+Setup!$G$34+Setup!$C$14),Setup!$C$39:$C$50),WORKDAY(P416,-(Setup!$C$13+Setup!$G$34),Setup!$C$39:$C$50))+(411*100+15)/10000000)))</f>
        <v/>
      </c>
      <c r="AH416" t="str">
        <f t="shared" si="46"/>
        <v/>
      </c>
      <c r="AI416" t="str">
        <f t="shared" si="47"/>
        <v/>
      </c>
      <c r="AP416" t="str">
        <f>IF(ISNUMBER(Roster!$B416),MAX(1,YEAR(Setup!$C$5)-YEAR(Roster!$B416)+IF(EDATE(Roster!$B416,12*(YEAR(Setup!$C$5)-YEAR(Roster!$B416)))&lt;Setup!$C$5,1,0)),"")</f>
        <v/>
      </c>
      <c r="AQ416" s="32" t="str">
        <f>IF(AP416="","",EDATE(Roster!$B416,12*AP416))</f>
        <v/>
      </c>
      <c r="AR416" t="str">
        <f>IF(AQ416="","",IF(AQ416&lt;DATE(YEAR(Setup!$C$5)+1,MONTH(Setup!$C$5),DAY(Setup!$C$5)),AQ416+411/1000,""))</f>
        <v/>
      </c>
      <c r="AS416" t="str">
        <f t="shared" si="48"/>
        <v/>
      </c>
      <c r="AT416" t="str">
        <f>IF(AS416="","",IF(ISNUMBER(Roster!$D416),Roster!$D416&gt;=AP416,FALSE))</f>
        <v/>
      </c>
      <c r="AU416" t="str">
        <f t="shared" si="49"/>
        <v/>
      </c>
      <c r="AV416" t="str">
        <f ca="1">IF(411&gt;$AV$2,"",SMALL($AR$6:$AR$505,411))</f>
        <v/>
      </c>
      <c r="AW416" t="str">
        <f t="shared" ca="1" si="50"/>
        <v/>
      </c>
    </row>
    <row r="417" spans="2:49" x14ac:dyDescent="0.2">
      <c r="B417" s="32" t="str">
        <f>IF(AND(ISNUMBER(Roster!$B417),Setup!$B$20="Yes",ISNUMBER(Setup!$C$20)),EDATE(Roster!$B417,12*Setup!$C$20),"")</f>
        <v/>
      </c>
      <c r="C417" s="32" t="str">
        <f>IF(AND(ISNUMBER(Roster!$B417),Setup!$B$21="Yes",ISNUMBER(Setup!$C$21)),EDATE(Roster!$B417,12*Setup!$C$21),"")</f>
        <v/>
      </c>
      <c r="D417" s="32" t="str">
        <f>IF(AND(ISNUMBER(Roster!$B417),Setup!$B$22="Yes",ISNUMBER(Setup!$C$22)),EDATE(Roster!$B417,12*Setup!$C$22),"")</f>
        <v/>
      </c>
      <c r="E417" s="32" t="str">
        <f>IF(AND(ISNUMBER(Roster!$B417),Setup!$B$23="Yes",ISNUMBER(Setup!$C$23)),EDATE(Roster!$B417,12*Setup!$C$23),"")</f>
        <v/>
      </c>
      <c r="F417" s="32" t="str">
        <f>IF(AND(ISNUMBER(Roster!$B417),Setup!$B$24="Yes",ISNUMBER(Setup!$C$24)),EDATE(Roster!$B417,12*Setup!$C$24),"")</f>
        <v/>
      </c>
      <c r="G417" s="32" t="str">
        <f>IF(AND(ISNUMBER(Roster!$B417),Setup!$B$25="Yes",ISNUMBER(Setup!$C$25)),EDATE(Roster!$B417,12*Setup!$C$25),"")</f>
        <v/>
      </c>
      <c r="H417" s="32" t="str">
        <f>IF(AND(ISNUMBER(Roster!$B417),Setup!$B$26="Yes",ISNUMBER(Setup!$C$26)),EDATE(Roster!$B417,12*Setup!$C$26),"")</f>
        <v/>
      </c>
      <c r="I417" s="32" t="str">
        <f>IF(AND(ISNUMBER(Roster!$B417),Setup!$B$27="Yes",ISNUMBER(Setup!$C$27)),EDATE(Roster!$B417,12*Setup!$C$27),"")</f>
        <v/>
      </c>
      <c r="J417" s="32" t="str">
        <f>IF(AND(ISNUMBER(Roster!$B417),Setup!$B$28="Yes",ISNUMBER(Setup!$C$28)),EDATE(Roster!$B417,12*Setup!$C$28),"")</f>
        <v/>
      </c>
      <c r="K417" s="32" t="str">
        <f>IF(AND(ISNUMBER(Roster!$B417),Setup!$B$29="Yes",ISNUMBER(Setup!$C$29)),EDATE(Roster!$B417,12*Setup!$C$29),"")</f>
        <v/>
      </c>
      <c r="L417" s="32" t="str">
        <f>IF(AND(ISNUMBER(Roster!$B417),Setup!$B$30="Yes",ISNUMBER(Setup!$C$30)),EDATE(Roster!$B417,12*Setup!$C$30),"")</f>
        <v/>
      </c>
      <c r="M417" s="32" t="str">
        <f>IF(AND(ISNUMBER(Roster!$B417),Setup!$B$31="Yes",ISNUMBER(Setup!$C$31)),EDATE(Roster!$B417,12*Setup!$C$31),"")</f>
        <v/>
      </c>
      <c r="N417" s="32" t="str">
        <f>IF(AND(ISNUMBER(Roster!$B417),Setup!$B$32="Yes",ISNUMBER(Setup!$C$32)),EDATE(Roster!$B417,12*Setup!$C$32),"")</f>
        <v/>
      </c>
      <c r="O417" s="32" t="str">
        <f>IF(AND(ISNUMBER(Roster!$B417),Setup!$B$33="Yes",ISNUMBER(Setup!$C$33)),EDATE(Roster!$B417,12*Setup!$C$33),"")</f>
        <v/>
      </c>
      <c r="P417" s="32" t="str">
        <f>IF(AND(ISNUMBER(Roster!$B417),Setup!$B$34="Yes",ISNUMBER(Setup!$C$34)),EDATE(Roster!$B417,12*Setup!$C$34),"")</f>
        <v/>
      </c>
      <c r="R417" t="str">
        <f>IF(B417="","",IF(B417&lt;Setup!$C$5-Setup!$C$6,"",IF(IF(ISNUMBER(Roster!$D417),Setup!$C$20&lt;=Roster!$D417,FALSE),"",IF(OR(IF(Setup!$C$15&lt;=Setup!$C$16,AND(MONTH(B417)&gt;=Setup!$C$15,MONTH(B417)&lt;=Setup!$C$16),OR(MONTH(B417)&gt;=Setup!$C$15,MONTH(B417)&lt;=Setup!$C$16)),IF(Setup!$C$15&lt;=Setup!$C$16,AND(MONTH(WORKDAY(B417,-(Setup!$C$13+Setup!$G$20),Setup!$C$39:$C$50))&gt;=Setup!$C$15,MONTH(WORKDAY(B417,-(Setup!$C$13+Setup!$G$20),Setup!$C$39:$C$50))&lt;=Setup!$C$16),OR(MONTH(WORKDAY(B417,-(Setup!$C$13+Setup!$G$20),Setup!$C$39:$C$50))&gt;=Setup!$C$15,MONTH(WORKDAY(B417,-(Setup!$C$13+Setup!$G$20),Setup!$C$39:$C$50))&lt;=Setup!$C$16))),WORKDAY(B417,-(Setup!$C$13+Setup!$G$20+Setup!$C$14),Setup!$C$39:$C$50),WORKDAY(B417,-(Setup!$C$13+Setup!$G$20),Setup!$C$39:$C$50))+(412*100+1)/10000000)))</f>
        <v/>
      </c>
      <c r="S417" t="str">
        <f>IF(C417="","",IF(C417&lt;Setup!$C$5-Setup!$C$6,"",IF(IF(ISNUMBER(Roster!$D417),Setup!$C$21&lt;=Roster!$D417,FALSE),"",IF(OR(IF(Setup!$C$15&lt;=Setup!$C$16,AND(MONTH(C417)&gt;=Setup!$C$15,MONTH(C417)&lt;=Setup!$C$16),OR(MONTH(C417)&gt;=Setup!$C$15,MONTH(C417)&lt;=Setup!$C$16)),IF(Setup!$C$15&lt;=Setup!$C$16,AND(MONTH(WORKDAY(C417,-(Setup!$C$13+Setup!$G$21),Setup!$C$39:$C$50))&gt;=Setup!$C$15,MONTH(WORKDAY(C417,-(Setup!$C$13+Setup!$G$21),Setup!$C$39:$C$50))&lt;=Setup!$C$16),OR(MONTH(WORKDAY(C417,-(Setup!$C$13+Setup!$G$21),Setup!$C$39:$C$50))&gt;=Setup!$C$15,MONTH(WORKDAY(C417,-(Setup!$C$13+Setup!$G$21),Setup!$C$39:$C$50))&lt;=Setup!$C$16))),WORKDAY(C417,-(Setup!$C$13+Setup!$G$21+Setup!$C$14),Setup!$C$39:$C$50),WORKDAY(C417,-(Setup!$C$13+Setup!$G$21),Setup!$C$39:$C$50))+(412*100+2)/10000000)))</f>
        <v/>
      </c>
      <c r="T417" t="str">
        <f>IF(D417="","",IF(D417&lt;Setup!$C$5-Setup!$C$6,"",IF(IF(ISNUMBER(Roster!$D417),Setup!$C$22&lt;=Roster!$D417,FALSE),"",IF(OR(IF(Setup!$C$15&lt;=Setup!$C$16,AND(MONTH(D417)&gt;=Setup!$C$15,MONTH(D417)&lt;=Setup!$C$16),OR(MONTH(D417)&gt;=Setup!$C$15,MONTH(D417)&lt;=Setup!$C$16)),IF(Setup!$C$15&lt;=Setup!$C$16,AND(MONTH(WORKDAY(D417,-(Setup!$C$13+Setup!$G$22),Setup!$C$39:$C$50))&gt;=Setup!$C$15,MONTH(WORKDAY(D417,-(Setup!$C$13+Setup!$G$22),Setup!$C$39:$C$50))&lt;=Setup!$C$16),OR(MONTH(WORKDAY(D417,-(Setup!$C$13+Setup!$G$22),Setup!$C$39:$C$50))&gt;=Setup!$C$15,MONTH(WORKDAY(D417,-(Setup!$C$13+Setup!$G$22),Setup!$C$39:$C$50))&lt;=Setup!$C$16))),WORKDAY(D417,-(Setup!$C$13+Setup!$G$22+Setup!$C$14),Setup!$C$39:$C$50),WORKDAY(D417,-(Setup!$C$13+Setup!$G$22),Setup!$C$39:$C$50))+(412*100+3)/10000000)))</f>
        <v/>
      </c>
      <c r="U417" t="str">
        <f>IF(E417="","",IF(E417&lt;Setup!$C$5-Setup!$C$6,"",IF(IF(ISNUMBER(Roster!$D417),Setup!$C$23&lt;=Roster!$D417,FALSE),"",IF(OR(IF(Setup!$C$15&lt;=Setup!$C$16,AND(MONTH(E417)&gt;=Setup!$C$15,MONTH(E417)&lt;=Setup!$C$16),OR(MONTH(E417)&gt;=Setup!$C$15,MONTH(E417)&lt;=Setup!$C$16)),IF(Setup!$C$15&lt;=Setup!$C$16,AND(MONTH(WORKDAY(E417,-(Setup!$C$13+Setup!$G$23),Setup!$C$39:$C$50))&gt;=Setup!$C$15,MONTH(WORKDAY(E417,-(Setup!$C$13+Setup!$G$23),Setup!$C$39:$C$50))&lt;=Setup!$C$16),OR(MONTH(WORKDAY(E417,-(Setup!$C$13+Setup!$G$23),Setup!$C$39:$C$50))&gt;=Setup!$C$15,MONTH(WORKDAY(E417,-(Setup!$C$13+Setup!$G$23),Setup!$C$39:$C$50))&lt;=Setup!$C$16))),WORKDAY(E417,-(Setup!$C$13+Setup!$G$23+Setup!$C$14),Setup!$C$39:$C$50),WORKDAY(E417,-(Setup!$C$13+Setup!$G$23),Setup!$C$39:$C$50))+(412*100+4)/10000000)))</f>
        <v/>
      </c>
      <c r="V417" t="str">
        <f>IF(F417="","",IF(F417&lt;Setup!$C$5-Setup!$C$6,"",IF(IF(ISNUMBER(Roster!$D417),Setup!$C$24&lt;=Roster!$D417,FALSE),"",IF(OR(IF(Setup!$C$15&lt;=Setup!$C$16,AND(MONTH(F417)&gt;=Setup!$C$15,MONTH(F417)&lt;=Setup!$C$16),OR(MONTH(F417)&gt;=Setup!$C$15,MONTH(F417)&lt;=Setup!$C$16)),IF(Setup!$C$15&lt;=Setup!$C$16,AND(MONTH(WORKDAY(F417,-(Setup!$C$13+Setup!$G$24),Setup!$C$39:$C$50))&gt;=Setup!$C$15,MONTH(WORKDAY(F417,-(Setup!$C$13+Setup!$G$24),Setup!$C$39:$C$50))&lt;=Setup!$C$16),OR(MONTH(WORKDAY(F417,-(Setup!$C$13+Setup!$G$24),Setup!$C$39:$C$50))&gt;=Setup!$C$15,MONTH(WORKDAY(F417,-(Setup!$C$13+Setup!$G$24),Setup!$C$39:$C$50))&lt;=Setup!$C$16))),WORKDAY(F417,-(Setup!$C$13+Setup!$G$24+Setup!$C$14),Setup!$C$39:$C$50),WORKDAY(F417,-(Setup!$C$13+Setup!$G$24),Setup!$C$39:$C$50))+(412*100+5)/10000000)))</f>
        <v/>
      </c>
      <c r="W417" t="str">
        <f>IF(G417="","",IF(G417&lt;Setup!$C$5-Setup!$C$6,"",IF(IF(ISNUMBER(Roster!$D417),Setup!$C$25&lt;=Roster!$D417,FALSE),"",IF(OR(IF(Setup!$C$15&lt;=Setup!$C$16,AND(MONTH(G417)&gt;=Setup!$C$15,MONTH(G417)&lt;=Setup!$C$16),OR(MONTH(G417)&gt;=Setup!$C$15,MONTH(G417)&lt;=Setup!$C$16)),IF(Setup!$C$15&lt;=Setup!$C$16,AND(MONTH(WORKDAY(G417,-(Setup!$C$13+Setup!$G$25),Setup!$C$39:$C$50))&gt;=Setup!$C$15,MONTH(WORKDAY(G417,-(Setup!$C$13+Setup!$G$25),Setup!$C$39:$C$50))&lt;=Setup!$C$16),OR(MONTH(WORKDAY(G417,-(Setup!$C$13+Setup!$G$25),Setup!$C$39:$C$50))&gt;=Setup!$C$15,MONTH(WORKDAY(G417,-(Setup!$C$13+Setup!$G$25),Setup!$C$39:$C$50))&lt;=Setup!$C$16))),WORKDAY(G417,-(Setup!$C$13+Setup!$G$25+Setup!$C$14),Setup!$C$39:$C$50),WORKDAY(G417,-(Setup!$C$13+Setup!$G$25),Setup!$C$39:$C$50))+(412*100+6)/10000000)))</f>
        <v/>
      </c>
      <c r="X417" t="str">
        <f>IF(H417="","",IF(H417&lt;Setup!$C$5-Setup!$C$6,"",IF(IF(ISNUMBER(Roster!$D417),Setup!$C$26&lt;=Roster!$D417,FALSE),"",IF(OR(IF(Setup!$C$15&lt;=Setup!$C$16,AND(MONTH(H417)&gt;=Setup!$C$15,MONTH(H417)&lt;=Setup!$C$16),OR(MONTH(H417)&gt;=Setup!$C$15,MONTH(H417)&lt;=Setup!$C$16)),IF(Setup!$C$15&lt;=Setup!$C$16,AND(MONTH(WORKDAY(H417,-(Setup!$C$13+Setup!$G$26),Setup!$C$39:$C$50))&gt;=Setup!$C$15,MONTH(WORKDAY(H417,-(Setup!$C$13+Setup!$G$26),Setup!$C$39:$C$50))&lt;=Setup!$C$16),OR(MONTH(WORKDAY(H417,-(Setup!$C$13+Setup!$G$26),Setup!$C$39:$C$50))&gt;=Setup!$C$15,MONTH(WORKDAY(H417,-(Setup!$C$13+Setup!$G$26),Setup!$C$39:$C$50))&lt;=Setup!$C$16))),WORKDAY(H417,-(Setup!$C$13+Setup!$G$26+Setup!$C$14),Setup!$C$39:$C$50),WORKDAY(H417,-(Setup!$C$13+Setup!$G$26),Setup!$C$39:$C$50))+(412*100+7)/10000000)))</f>
        <v/>
      </c>
      <c r="Y417" t="str">
        <f>IF(I417="","",IF(I417&lt;Setup!$C$5-Setup!$C$6,"",IF(IF(ISNUMBER(Roster!$D417),Setup!$C$27&lt;=Roster!$D417,FALSE),"",IF(OR(IF(Setup!$C$15&lt;=Setup!$C$16,AND(MONTH(I417)&gt;=Setup!$C$15,MONTH(I417)&lt;=Setup!$C$16),OR(MONTH(I417)&gt;=Setup!$C$15,MONTH(I417)&lt;=Setup!$C$16)),IF(Setup!$C$15&lt;=Setup!$C$16,AND(MONTH(WORKDAY(I417,-(Setup!$C$13+Setup!$G$27),Setup!$C$39:$C$50))&gt;=Setup!$C$15,MONTH(WORKDAY(I417,-(Setup!$C$13+Setup!$G$27),Setup!$C$39:$C$50))&lt;=Setup!$C$16),OR(MONTH(WORKDAY(I417,-(Setup!$C$13+Setup!$G$27),Setup!$C$39:$C$50))&gt;=Setup!$C$15,MONTH(WORKDAY(I417,-(Setup!$C$13+Setup!$G$27),Setup!$C$39:$C$50))&lt;=Setup!$C$16))),WORKDAY(I417,-(Setup!$C$13+Setup!$G$27+Setup!$C$14),Setup!$C$39:$C$50),WORKDAY(I417,-(Setup!$C$13+Setup!$G$27),Setup!$C$39:$C$50))+(412*100+8)/10000000)))</f>
        <v/>
      </c>
      <c r="Z417" t="str">
        <f>IF(J417="","",IF(J417&lt;Setup!$C$5-Setup!$C$6,"",IF(IF(ISNUMBER(Roster!$D417),Setup!$C$28&lt;=Roster!$D417,FALSE),"",IF(OR(IF(Setup!$C$15&lt;=Setup!$C$16,AND(MONTH(J417)&gt;=Setup!$C$15,MONTH(J417)&lt;=Setup!$C$16),OR(MONTH(J417)&gt;=Setup!$C$15,MONTH(J417)&lt;=Setup!$C$16)),IF(Setup!$C$15&lt;=Setup!$C$16,AND(MONTH(WORKDAY(J417,-(Setup!$C$13+Setup!$G$28),Setup!$C$39:$C$50))&gt;=Setup!$C$15,MONTH(WORKDAY(J417,-(Setup!$C$13+Setup!$G$28),Setup!$C$39:$C$50))&lt;=Setup!$C$16),OR(MONTH(WORKDAY(J417,-(Setup!$C$13+Setup!$G$28),Setup!$C$39:$C$50))&gt;=Setup!$C$15,MONTH(WORKDAY(J417,-(Setup!$C$13+Setup!$G$28),Setup!$C$39:$C$50))&lt;=Setup!$C$16))),WORKDAY(J417,-(Setup!$C$13+Setup!$G$28+Setup!$C$14),Setup!$C$39:$C$50),WORKDAY(J417,-(Setup!$C$13+Setup!$G$28),Setup!$C$39:$C$50))+(412*100+9)/10000000)))</f>
        <v/>
      </c>
      <c r="AA417" t="str">
        <f>IF(K417="","",IF(K417&lt;Setup!$C$5-Setup!$C$6,"",IF(IF(ISNUMBER(Roster!$D417),Setup!$C$29&lt;=Roster!$D417,FALSE),"",IF(OR(IF(Setup!$C$15&lt;=Setup!$C$16,AND(MONTH(K417)&gt;=Setup!$C$15,MONTH(K417)&lt;=Setup!$C$16),OR(MONTH(K417)&gt;=Setup!$C$15,MONTH(K417)&lt;=Setup!$C$16)),IF(Setup!$C$15&lt;=Setup!$C$16,AND(MONTH(WORKDAY(K417,-(Setup!$C$13+Setup!$G$29),Setup!$C$39:$C$50))&gt;=Setup!$C$15,MONTH(WORKDAY(K417,-(Setup!$C$13+Setup!$G$29),Setup!$C$39:$C$50))&lt;=Setup!$C$16),OR(MONTH(WORKDAY(K417,-(Setup!$C$13+Setup!$G$29),Setup!$C$39:$C$50))&gt;=Setup!$C$15,MONTH(WORKDAY(K417,-(Setup!$C$13+Setup!$G$29),Setup!$C$39:$C$50))&lt;=Setup!$C$16))),WORKDAY(K417,-(Setup!$C$13+Setup!$G$29+Setup!$C$14),Setup!$C$39:$C$50),WORKDAY(K417,-(Setup!$C$13+Setup!$G$29),Setup!$C$39:$C$50))+(412*100+10)/10000000)))</f>
        <v/>
      </c>
      <c r="AB417" t="str">
        <f>IF(L417="","",IF(L417&lt;Setup!$C$5-Setup!$C$6,"",IF(IF(ISNUMBER(Roster!$D417),Setup!$C$30&lt;=Roster!$D417,FALSE),"",IF(OR(IF(Setup!$C$15&lt;=Setup!$C$16,AND(MONTH(L417)&gt;=Setup!$C$15,MONTH(L417)&lt;=Setup!$C$16),OR(MONTH(L417)&gt;=Setup!$C$15,MONTH(L417)&lt;=Setup!$C$16)),IF(Setup!$C$15&lt;=Setup!$C$16,AND(MONTH(WORKDAY(L417,-(Setup!$C$13+Setup!$G$30),Setup!$C$39:$C$50))&gt;=Setup!$C$15,MONTH(WORKDAY(L417,-(Setup!$C$13+Setup!$G$30),Setup!$C$39:$C$50))&lt;=Setup!$C$16),OR(MONTH(WORKDAY(L417,-(Setup!$C$13+Setup!$G$30),Setup!$C$39:$C$50))&gt;=Setup!$C$15,MONTH(WORKDAY(L417,-(Setup!$C$13+Setup!$G$30),Setup!$C$39:$C$50))&lt;=Setup!$C$16))),WORKDAY(L417,-(Setup!$C$13+Setup!$G$30+Setup!$C$14),Setup!$C$39:$C$50),WORKDAY(L417,-(Setup!$C$13+Setup!$G$30),Setup!$C$39:$C$50))+(412*100+11)/10000000)))</f>
        <v/>
      </c>
      <c r="AC417" t="str">
        <f>IF(M417="","",IF(M417&lt;Setup!$C$5-Setup!$C$6,"",IF(IF(ISNUMBER(Roster!$D417),Setup!$C$31&lt;=Roster!$D417,FALSE),"",IF(OR(IF(Setup!$C$15&lt;=Setup!$C$16,AND(MONTH(M417)&gt;=Setup!$C$15,MONTH(M417)&lt;=Setup!$C$16),OR(MONTH(M417)&gt;=Setup!$C$15,MONTH(M417)&lt;=Setup!$C$16)),IF(Setup!$C$15&lt;=Setup!$C$16,AND(MONTH(WORKDAY(M417,-(Setup!$C$13+Setup!$G$31),Setup!$C$39:$C$50))&gt;=Setup!$C$15,MONTH(WORKDAY(M417,-(Setup!$C$13+Setup!$G$31),Setup!$C$39:$C$50))&lt;=Setup!$C$16),OR(MONTH(WORKDAY(M417,-(Setup!$C$13+Setup!$G$31),Setup!$C$39:$C$50))&gt;=Setup!$C$15,MONTH(WORKDAY(M417,-(Setup!$C$13+Setup!$G$31),Setup!$C$39:$C$50))&lt;=Setup!$C$16))),WORKDAY(M417,-(Setup!$C$13+Setup!$G$31+Setup!$C$14),Setup!$C$39:$C$50),WORKDAY(M417,-(Setup!$C$13+Setup!$G$31),Setup!$C$39:$C$50))+(412*100+12)/10000000)))</f>
        <v/>
      </c>
      <c r="AD417" t="str">
        <f>IF(N417="","",IF(N417&lt;Setup!$C$5-Setup!$C$6,"",IF(IF(ISNUMBER(Roster!$D417),Setup!$C$32&lt;=Roster!$D417,FALSE),"",IF(OR(IF(Setup!$C$15&lt;=Setup!$C$16,AND(MONTH(N417)&gt;=Setup!$C$15,MONTH(N417)&lt;=Setup!$C$16),OR(MONTH(N417)&gt;=Setup!$C$15,MONTH(N417)&lt;=Setup!$C$16)),IF(Setup!$C$15&lt;=Setup!$C$16,AND(MONTH(WORKDAY(N417,-(Setup!$C$13+Setup!$G$32),Setup!$C$39:$C$50))&gt;=Setup!$C$15,MONTH(WORKDAY(N417,-(Setup!$C$13+Setup!$G$32),Setup!$C$39:$C$50))&lt;=Setup!$C$16),OR(MONTH(WORKDAY(N417,-(Setup!$C$13+Setup!$G$32),Setup!$C$39:$C$50))&gt;=Setup!$C$15,MONTH(WORKDAY(N417,-(Setup!$C$13+Setup!$G$32),Setup!$C$39:$C$50))&lt;=Setup!$C$16))),WORKDAY(N417,-(Setup!$C$13+Setup!$G$32+Setup!$C$14),Setup!$C$39:$C$50),WORKDAY(N417,-(Setup!$C$13+Setup!$G$32),Setup!$C$39:$C$50))+(412*100+13)/10000000)))</f>
        <v/>
      </c>
      <c r="AE417" t="str">
        <f>IF(O417="","",IF(O417&lt;Setup!$C$5-Setup!$C$6,"",IF(IF(ISNUMBER(Roster!$D417),Setup!$C$33&lt;=Roster!$D417,FALSE),"",IF(OR(IF(Setup!$C$15&lt;=Setup!$C$16,AND(MONTH(O417)&gt;=Setup!$C$15,MONTH(O417)&lt;=Setup!$C$16),OR(MONTH(O417)&gt;=Setup!$C$15,MONTH(O417)&lt;=Setup!$C$16)),IF(Setup!$C$15&lt;=Setup!$C$16,AND(MONTH(WORKDAY(O417,-(Setup!$C$13+Setup!$G$33),Setup!$C$39:$C$50))&gt;=Setup!$C$15,MONTH(WORKDAY(O417,-(Setup!$C$13+Setup!$G$33),Setup!$C$39:$C$50))&lt;=Setup!$C$16),OR(MONTH(WORKDAY(O417,-(Setup!$C$13+Setup!$G$33),Setup!$C$39:$C$50))&gt;=Setup!$C$15,MONTH(WORKDAY(O417,-(Setup!$C$13+Setup!$G$33),Setup!$C$39:$C$50))&lt;=Setup!$C$16))),WORKDAY(O417,-(Setup!$C$13+Setup!$G$33+Setup!$C$14),Setup!$C$39:$C$50),WORKDAY(O417,-(Setup!$C$13+Setup!$G$33),Setup!$C$39:$C$50))+(412*100+14)/10000000)))</f>
        <v/>
      </c>
      <c r="AF417" t="str">
        <f>IF(P417="","",IF(P417&lt;Setup!$C$5-Setup!$C$6,"",IF(IF(ISNUMBER(Roster!$D417),Setup!$C$34&lt;=Roster!$D417,FALSE),"",IF(OR(IF(Setup!$C$15&lt;=Setup!$C$16,AND(MONTH(P417)&gt;=Setup!$C$15,MONTH(P417)&lt;=Setup!$C$16),OR(MONTH(P417)&gt;=Setup!$C$15,MONTH(P417)&lt;=Setup!$C$16)),IF(Setup!$C$15&lt;=Setup!$C$16,AND(MONTH(WORKDAY(P417,-(Setup!$C$13+Setup!$G$34),Setup!$C$39:$C$50))&gt;=Setup!$C$15,MONTH(WORKDAY(P417,-(Setup!$C$13+Setup!$G$34),Setup!$C$39:$C$50))&lt;=Setup!$C$16),OR(MONTH(WORKDAY(P417,-(Setup!$C$13+Setup!$G$34),Setup!$C$39:$C$50))&gt;=Setup!$C$15,MONTH(WORKDAY(P417,-(Setup!$C$13+Setup!$G$34),Setup!$C$39:$C$50))&lt;=Setup!$C$16))),WORKDAY(P417,-(Setup!$C$13+Setup!$G$34+Setup!$C$14),Setup!$C$39:$C$50),WORKDAY(P417,-(Setup!$C$13+Setup!$G$34),Setup!$C$39:$C$50))+(412*100+15)/10000000)))</f>
        <v/>
      </c>
      <c r="AH417" t="str">
        <f t="shared" si="46"/>
        <v/>
      </c>
      <c r="AI417" t="str">
        <f t="shared" si="47"/>
        <v/>
      </c>
      <c r="AP417" t="str">
        <f>IF(ISNUMBER(Roster!$B417),MAX(1,YEAR(Setup!$C$5)-YEAR(Roster!$B417)+IF(EDATE(Roster!$B417,12*(YEAR(Setup!$C$5)-YEAR(Roster!$B417)))&lt;Setup!$C$5,1,0)),"")</f>
        <v/>
      </c>
      <c r="AQ417" s="32" t="str">
        <f>IF(AP417="","",EDATE(Roster!$B417,12*AP417))</f>
        <v/>
      </c>
      <c r="AR417" t="str">
        <f>IF(AQ417="","",IF(AQ417&lt;DATE(YEAR(Setup!$C$5)+1,MONTH(Setup!$C$5),DAY(Setup!$C$5)),AQ417+412/1000,""))</f>
        <v/>
      </c>
      <c r="AS417" t="str">
        <f t="shared" si="48"/>
        <v/>
      </c>
      <c r="AT417" t="str">
        <f>IF(AS417="","",IF(ISNUMBER(Roster!$D417),Roster!$D417&gt;=AP417,FALSE))</f>
        <v/>
      </c>
      <c r="AU417" t="str">
        <f t="shared" si="49"/>
        <v/>
      </c>
      <c r="AV417" t="str">
        <f ca="1">IF(412&gt;$AV$2,"",SMALL($AR$6:$AR$505,412))</f>
        <v/>
      </c>
      <c r="AW417" t="str">
        <f t="shared" ca="1" si="50"/>
        <v/>
      </c>
    </row>
    <row r="418" spans="2:49" x14ac:dyDescent="0.2">
      <c r="B418" s="32" t="str">
        <f>IF(AND(ISNUMBER(Roster!$B418),Setup!$B$20="Yes",ISNUMBER(Setup!$C$20)),EDATE(Roster!$B418,12*Setup!$C$20),"")</f>
        <v/>
      </c>
      <c r="C418" s="32" t="str">
        <f>IF(AND(ISNUMBER(Roster!$B418),Setup!$B$21="Yes",ISNUMBER(Setup!$C$21)),EDATE(Roster!$B418,12*Setup!$C$21),"")</f>
        <v/>
      </c>
      <c r="D418" s="32" t="str">
        <f>IF(AND(ISNUMBER(Roster!$B418),Setup!$B$22="Yes",ISNUMBER(Setup!$C$22)),EDATE(Roster!$B418,12*Setup!$C$22),"")</f>
        <v/>
      </c>
      <c r="E418" s="32" t="str">
        <f>IF(AND(ISNUMBER(Roster!$B418),Setup!$B$23="Yes",ISNUMBER(Setup!$C$23)),EDATE(Roster!$B418,12*Setup!$C$23),"")</f>
        <v/>
      </c>
      <c r="F418" s="32" t="str">
        <f>IF(AND(ISNUMBER(Roster!$B418),Setup!$B$24="Yes",ISNUMBER(Setup!$C$24)),EDATE(Roster!$B418,12*Setup!$C$24),"")</f>
        <v/>
      </c>
      <c r="G418" s="32" t="str">
        <f>IF(AND(ISNUMBER(Roster!$B418),Setup!$B$25="Yes",ISNUMBER(Setup!$C$25)),EDATE(Roster!$B418,12*Setup!$C$25),"")</f>
        <v/>
      </c>
      <c r="H418" s="32" t="str">
        <f>IF(AND(ISNUMBER(Roster!$B418),Setup!$B$26="Yes",ISNUMBER(Setup!$C$26)),EDATE(Roster!$B418,12*Setup!$C$26),"")</f>
        <v/>
      </c>
      <c r="I418" s="32" t="str">
        <f>IF(AND(ISNUMBER(Roster!$B418),Setup!$B$27="Yes",ISNUMBER(Setup!$C$27)),EDATE(Roster!$B418,12*Setup!$C$27),"")</f>
        <v/>
      </c>
      <c r="J418" s="32" t="str">
        <f>IF(AND(ISNUMBER(Roster!$B418),Setup!$B$28="Yes",ISNUMBER(Setup!$C$28)),EDATE(Roster!$B418,12*Setup!$C$28),"")</f>
        <v/>
      </c>
      <c r="K418" s="32" t="str">
        <f>IF(AND(ISNUMBER(Roster!$B418),Setup!$B$29="Yes",ISNUMBER(Setup!$C$29)),EDATE(Roster!$B418,12*Setup!$C$29),"")</f>
        <v/>
      </c>
      <c r="L418" s="32" t="str">
        <f>IF(AND(ISNUMBER(Roster!$B418),Setup!$B$30="Yes",ISNUMBER(Setup!$C$30)),EDATE(Roster!$B418,12*Setup!$C$30),"")</f>
        <v/>
      </c>
      <c r="M418" s="32" t="str">
        <f>IF(AND(ISNUMBER(Roster!$B418),Setup!$B$31="Yes",ISNUMBER(Setup!$C$31)),EDATE(Roster!$B418,12*Setup!$C$31),"")</f>
        <v/>
      </c>
      <c r="N418" s="32" t="str">
        <f>IF(AND(ISNUMBER(Roster!$B418),Setup!$B$32="Yes",ISNUMBER(Setup!$C$32)),EDATE(Roster!$B418,12*Setup!$C$32),"")</f>
        <v/>
      </c>
      <c r="O418" s="32" t="str">
        <f>IF(AND(ISNUMBER(Roster!$B418),Setup!$B$33="Yes",ISNUMBER(Setup!$C$33)),EDATE(Roster!$B418,12*Setup!$C$33),"")</f>
        <v/>
      </c>
      <c r="P418" s="32" t="str">
        <f>IF(AND(ISNUMBER(Roster!$B418),Setup!$B$34="Yes",ISNUMBER(Setup!$C$34)),EDATE(Roster!$B418,12*Setup!$C$34),"")</f>
        <v/>
      </c>
      <c r="R418" t="str">
        <f>IF(B418="","",IF(B418&lt;Setup!$C$5-Setup!$C$6,"",IF(IF(ISNUMBER(Roster!$D418),Setup!$C$20&lt;=Roster!$D418,FALSE),"",IF(OR(IF(Setup!$C$15&lt;=Setup!$C$16,AND(MONTH(B418)&gt;=Setup!$C$15,MONTH(B418)&lt;=Setup!$C$16),OR(MONTH(B418)&gt;=Setup!$C$15,MONTH(B418)&lt;=Setup!$C$16)),IF(Setup!$C$15&lt;=Setup!$C$16,AND(MONTH(WORKDAY(B418,-(Setup!$C$13+Setup!$G$20),Setup!$C$39:$C$50))&gt;=Setup!$C$15,MONTH(WORKDAY(B418,-(Setup!$C$13+Setup!$G$20),Setup!$C$39:$C$50))&lt;=Setup!$C$16),OR(MONTH(WORKDAY(B418,-(Setup!$C$13+Setup!$G$20),Setup!$C$39:$C$50))&gt;=Setup!$C$15,MONTH(WORKDAY(B418,-(Setup!$C$13+Setup!$G$20),Setup!$C$39:$C$50))&lt;=Setup!$C$16))),WORKDAY(B418,-(Setup!$C$13+Setup!$G$20+Setup!$C$14),Setup!$C$39:$C$50),WORKDAY(B418,-(Setup!$C$13+Setup!$G$20),Setup!$C$39:$C$50))+(413*100+1)/10000000)))</f>
        <v/>
      </c>
      <c r="S418" t="str">
        <f>IF(C418="","",IF(C418&lt;Setup!$C$5-Setup!$C$6,"",IF(IF(ISNUMBER(Roster!$D418),Setup!$C$21&lt;=Roster!$D418,FALSE),"",IF(OR(IF(Setup!$C$15&lt;=Setup!$C$16,AND(MONTH(C418)&gt;=Setup!$C$15,MONTH(C418)&lt;=Setup!$C$16),OR(MONTH(C418)&gt;=Setup!$C$15,MONTH(C418)&lt;=Setup!$C$16)),IF(Setup!$C$15&lt;=Setup!$C$16,AND(MONTH(WORKDAY(C418,-(Setup!$C$13+Setup!$G$21),Setup!$C$39:$C$50))&gt;=Setup!$C$15,MONTH(WORKDAY(C418,-(Setup!$C$13+Setup!$G$21),Setup!$C$39:$C$50))&lt;=Setup!$C$16),OR(MONTH(WORKDAY(C418,-(Setup!$C$13+Setup!$G$21),Setup!$C$39:$C$50))&gt;=Setup!$C$15,MONTH(WORKDAY(C418,-(Setup!$C$13+Setup!$G$21),Setup!$C$39:$C$50))&lt;=Setup!$C$16))),WORKDAY(C418,-(Setup!$C$13+Setup!$G$21+Setup!$C$14),Setup!$C$39:$C$50),WORKDAY(C418,-(Setup!$C$13+Setup!$G$21),Setup!$C$39:$C$50))+(413*100+2)/10000000)))</f>
        <v/>
      </c>
      <c r="T418" t="str">
        <f>IF(D418="","",IF(D418&lt;Setup!$C$5-Setup!$C$6,"",IF(IF(ISNUMBER(Roster!$D418),Setup!$C$22&lt;=Roster!$D418,FALSE),"",IF(OR(IF(Setup!$C$15&lt;=Setup!$C$16,AND(MONTH(D418)&gt;=Setup!$C$15,MONTH(D418)&lt;=Setup!$C$16),OR(MONTH(D418)&gt;=Setup!$C$15,MONTH(D418)&lt;=Setup!$C$16)),IF(Setup!$C$15&lt;=Setup!$C$16,AND(MONTH(WORKDAY(D418,-(Setup!$C$13+Setup!$G$22),Setup!$C$39:$C$50))&gt;=Setup!$C$15,MONTH(WORKDAY(D418,-(Setup!$C$13+Setup!$G$22),Setup!$C$39:$C$50))&lt;=Setup!$C$16),OR(MONTH(WORKDAY(D418,-(Setup!$C$13+Setup!$G$22),Setup!$C$39:$C$50))&gt;=Setup!$C$15,MONTH(WORKDAY(D418,-(Setup!$C$13+Setup!$G$22),Setup!$C$39:$C$50))&lt;=Setup!$C$16))),WORKDAY(D418,-(Setup!$C$13+Setup!$G$22+Setup!$C$14),Setup!$C$39:$C$50),WORKDAY(D418,-(Setup!$C$13+Setup!$G$22),Setup!$C$39:$C$50))+(413*100+3)/10000000)))</f>
        <v/>
      </c>
      <c r="U418" t="str">
        <f>IF(E418="","",IF(E418&lt;Setup!$C$5-Setup!$C$6,"",IF(IF(ISNUMBER(Roster!$D418),Setup!$C$23&lt;=Roster!$D418,FALSE),"",IF(OR(IF(Setup!$C$15&lt;=Setup!$C$16,AND(MONTH(E418)&gt;=Setup!$C$15,MONTH(E418)&lt;=Setup!$C$16),OR(MONTH(E418)&gt;=Setup!$C$15,MONTH(E418)&lt;=Setup!$C$16)),IF(Setup!$C$15&lt;=Setup!$C$16,AND(MONTH(WORKDAY(E418,-(Setup!$C$13+Setup!$G$23),Setup!$C$39:$C$50))&gt;=Setup!$C$15,MONTH(WORKDAY(E418,-(Setup!$C$13+Setup!$G$23),Setup!$C$39:$C$50))&lt;=Setup!$C$16),OR(MONTH(WORKDAY(E418,-(Setup!$C$13+Setup!$G$23),Setup!$C$39:$C$50))&gt;=Setup!$C$15,MONTH(WORKDAY(E418,-(Setup!$C$13+Setup!$G$23),Setup!$C$39:$C$50))&lt;=Setup!$C$16))),WORKDAY(E418,-(Setup!$C$13+Setup!$G$23+Setup!$C$14),Setup!$C$39:$C$50),WORKDAY(E418,-(Setup!$C$13+Setup!$G$23),Setup!$C$39:$C$50))+(413*100+4)/10000000)))</f>
        <v/>
      </c>
      <c r="V418" t="str">
        <f>IF(F418="","",IF(F418&lt;Setup!$C$5-Setup!$C$6,"",IF(IF(ISNUMBER(Roster!$D418),Setup!$C$24&lt;=Roster!$D418,FALSE),"",IF(OR(IF(Setup!$C$15&lt;=Setup!$C$16,AND(MONTH(F418)&gt;=Setup!$C$15,MONTH(F418)&lt;=Setup!$C$16),OR(MONTH(F418)&gt;=Setup!$C$15,MONTH(F418)&lt;=Setup!$C$16)),IF(Setup!$C$15&lt;=Setup!$C$16,AND(MONTH(WORKDAY(F418,-(Setup!$C$13+Setup!$G$24),Setup!$C$39:$C$50))&gt;=Setup!$C$15,MONTH(WORKDAY(F418,-(Setup!$C$13+Setup!$G$24),Setup!$C$39:$C$50))&lt;=Setup!$C$16),OR(MONTH(WORKDAY(F418,-(Setup!$C$13+Setup!$G$24),Setup!$C$39:$C$50))&gt;=Setup!$C$15,MONTH(WORKDAY(F418,-(Setup!$C$13+Setup!$G$24),Setup!$C$39:$C$50))&lt;=Setup!$C$16))),WORKDAY(F418,-(Setup!$C$13+Setup!$G$24+Setup!$C$14),Setup!$C$39:$C$50),WORKDAY(F418,-(Setup!$C$13+Setup!$G$24),Setup!$C$39:$C$50))+(413*100+5)/10000000)))</f>
        <v/>
      </c>
      <c r="W418" t="str">
        <f>IF(G418="","",IF(G418&lt;Setup!$C$5-Setup!$C$6,"",IF(IF(ISNUMBER(Roster!$D418),Setup!$C$25&lt;=Roster!$D418,FALSE),"",IF(OR(IF(Setup!$C$15&lt;=Setup!$C$16,AND(MONTH(G418)&gt;=Setup!$C$15,MONTH(G418)&lt;=Setup!$C$16),OR(MONTH(G418)&gt;=Setup!$C$15,MONTH(G418)&lt;=Setup!$C$16)),IF(Setup!$C$15&lt;=Setup!$C$16,AND(MONTH(WORKDAY(G418,-(Setup!$C$13+Setup!$G$25),Setup!$C$39:$C$50))&gt;=Setup!$C$15,MONTH(WORKDAY(G418,-(Setup!$C$13+Setup!$G$25),Setup!$C$39:$C$50))&lt;=Setup!$C$16),OR(MONTH(WORKDAY(G418,-(Setup!$C$13+Setup!$G$25),Setup!$C$39:$C$50))&gt;=Setup!$C$15,MONTH(WORKDAY(G418,-(Setup!$C$13+Setup!$G$25),Setup!$C$39:$C$50))&lt;=Setup!$C$16))),WORKDAY(G418,-(Setup!$C$13+Setup!$G$25+Setup!$C$14),Setup!$C$39:$C$50),WORKDAY(G418,-(Setup!$C$13+Setup!$G$25),Setup!$C$39:$C$50))+(413*100+6)/10000000)))</f>
        <v/>
      </c>
      <c r="X418" t="str">
        <f>IF(H418="","",IF(H418&lt;Setup!$C$5-Setup!$C$6,"",IF(IF(ISNUMBER(Roster!$D418),Setup!$C$26&lt;=Roster!$D418,FALSE),"",IF(OR(IF(Setup!$C$15&lt;=Setup!$C$16,AND(MONTH(H418)&gt;=Setup!$C$15,MONTH(H418)&lt;=Setup!$C$16),OR(MONTH(H418)&gt;=Setup!$C$15,MONTH(H418)&lt;=Setup!$C$16)),IF(Setup!$C$15&lt;=Setup!$C$16,AND(MONTH(WORKDAY(H418,-(Setup!$C$13+Setup!$G$26),Setup!$C$39:$C$50))&gt;=Setup!$C$15,MONTH(WORKDAY(H418,-(Setup!$C$13+Setup!$G$26),Setup!$C$39:$C$50))&lt;=Setup!$C$16),OR(MONTH(WORKDAY(H418,-(Setup!$C$13+Setup!$G$26),Setup!$C$39:$C$50))&gt;=Setup!$C$15,MONTH(WORKDAY(H418,-(Setup!$C$13+Setup!$G$26),Setup!$C$39:$C$50))&lt;=Setup!$C$16))),WORKDAY(H418,-(Setup!$C$13+Setup!$G$26+Setup!$C$14),Setup!$C$39:$C$50),WORKDAY(H418,-(Setup!$C$13+Setup!$G$26),Setup!$C$39:$C$50))+(413*100+7)/10000000)))</f>
        <v/>
      </c>
      <c r="Y418" t="str">
        <f>IF(I418="","",IF(I418&lt;Setup!$C$5-Setup!$C$6,"",IF(IF(ISNUMBER(Roster!$D418),Setup!$C$27&lt;=Roster!$D418,FALSE),"",IF(OR(IF(Setup!$C$15&lt;=Setup!$C$16,AND(MONTH(I418)&gt;=Setup!$C$15,MONTH(I418)&lt;=Setup!$C$16),OR(MONTH(I418)&gt;=Setup!$C$15,MONTH(I418)&lt;=Setup!$C$16)),IF(Setup!$C$15&lt;=Setup!$C$16,AND(MONTH(WORKDAY(I418,-(Setup!$C$13+Setup!$G$27),Setup!$C$39:$C$50))&gt;=Setup!$C$15,MONTH(WORKDAY(I418,-(Setup!$C$13+Setup!$G$27),Setup!$C$39:$C$50))&lt;=Setup!$C$16),OR(MONTH(WORKDAY(I418,-(Setup!$C$13+Setup!$G$27),Setup!$C$39:$C$50))&gt;=Setup!$C$15,MONTH(WORKDAY(I418,-(Setup!$C$13+Setup!$G$27),Setup!$C$39:$C$50))&lt;=Setup!$C$16))),WORKDAY(I418,-(Setup!$C$13+Setup!$G$27+Setup!$C$14),Setup!$C$39:$C$50),WORKDAY(I418,-(Setup!$C$13+Setup!$G$27),Setup!$C$39:$C$50))+(413*100+8)/10000000)))</f>
        <v/>
      </c>
      <c r="Z418" t="str">
        <f>IF(J418="","",IF(J418&lt;Setup!$C$5-Setup!$C$6,"",IF(IF(ISNUMBER(Roster!$D418),Setup!$C$28&lt;=Roster!$D418,FALSE),"",IF(OR(IF(Setup!$C$15&lt;=Setup!$C$16,AND(MONTH(J418)&gt;=Setup!$C$15,MONTH(J418)&lt;=Setup!$C$16),OR(MONTH(J418)&gt;=Setup!$C$15,MONTH(J418)&lt;=Setup!$C$16)),IF(Setup!$C$15&lt;=Setup!$C$16,AND(MONTH(WORKDAY(J418,-(Setup!$C$13+Setup!$G$28),Setup!$C$39:$C$50))&gt;=Setup!$C$15,MONTH(WORKDAY(J418,-(Setup!$C$13+Setup!$G$28),Setup!$C$39:$C$50))&lt;=Setup!$C$16),OR(MONTH(WORKDAY(J418,-(Setup!$C$13+Setup!$G$28),Setup!$C$39:$C$50))&gt;=Setup!$C$15,MONTH(WORKDAY(J418,-(Setup!$C$13+Setup!$G$28),Setup!$C$39:$C$50))&lt;=Setup!$C$16))),WORKDAY(J418,-(Setup!$C$13+Setup!$G$28+Setup!$C$14),Setup!$C$39:$C$50),WORKDAY(J418,-(Setup!$C$13+Setup!$G$28),Setup!$C$39:$C$50))+(413*100+9)/10000000)))</f>
        <v/>
      </c>
      <c r="AA418" t="str">
        <f>IF(K418="","",IF(K418&lt;Setup!$C$5-Setup!$C$6,"",IF(IF(ISNUMBER(Roster!$D418),Setup!$C$29&lt;=Roster!$D418,FALSE),"",IF(OR(IF(Setup!$C$15&lt;=Setup!$C$16,AND(MONTH(K418)&gt;=Setup!$C$15,MONTH(K418)&lt;=Setup!$C$16),OR(MONTH(K418)&gt;=Setup!$C$15,MONTH(K418)&lt;=Setup!$C$16)),IF(Setup!$C$15&lt;=Setup!$C$16,AND(MONTH(WORKDAY(K418,-(Setup!$C$13+Setup!$G$29),Setup!$C$39:$C$50))&gt;=Setup!$C$15,MONTH(WORKDAY(K418,-(Setup!$C$13+Setup!$G$29),Setup!$C$39:$C$50))&lt;=Setup!$C$16),OR(MONTH(WORKDAY(K418,-(Setup!$C$13+Setup!$G$29),Setup!$C$39:$C$50))&gt;=Setup!$C$15,MONTH(WORKDAY(K418,-(Setup!$C$13+Setup!$G$29),Setup!$C$39:$C$50))&lt;=Setup!$C$16))),WORKDAY(K418,-(Setup!$C$13+Setup!$G$29+Setup!$C$14),Setup!$C$39:$C$50),WORKDAY(K418,-(Setup!$C$13+Setup!$G$29),Setup!$C$39:$C$50))+(413*100+10)/10000000)))</f>
        <v/>
      </c>
      <c r="AB418" t="str">
        <f>IF(L418="","",IF(L418&lt;Setup!$C$5-Setup!$C$6,"",IF(IF(ISNUMBER(Roster!$D418),Setup!$C$30&lt;=Roster!$D418,FALSE),"",IF(OR(IF(Setup!$C$15&lt;=Setup!$C$16,AND(MONTH(L418)&gt;=Setup!$C$15,MONTH(L418)&lt;=Setup!$C$16),OR(MONTH(L418)&gt;=Setup!$C$15,MONTH(L418)&lt;=Setup!$C$16)),IF(Setup!$C$15&lt;=Setup!$C$16,AND(MONTH(WORKDAY(L418,-(Setup!$C$13+Setup!$G$30),Setup!$C$39:$C$50))&gt;=Setup!$C$15,MONTH(WORKDAY(L418,-(Setup!$C$13+Setup!$G$30),Setup!$C$39:$C$50))&lt;=Setup!$C$16),OR(MONTH(WORKDAY(L418,-(Setup!$C$13+Setup!$G$30),Setup!$C$39:$C$50))&gt;=Setup!$C$15,MONTH(WORKDAY(L418,-(Setup!$C$13+Setup!$G$30),Setup!$C$39:$C$50))&lt;=Setup!$C$16))),WORKDAY(L418,-(Setup!$C$13+Setup!$G$30+Setup!$C$14),Setup!$C$39:$C$50),WORKDAY(L418,-(Setup!$C$13+Setup!$G$30),Setup!$C$39:$C$50))+(413*100+11)/10000000)))</f>
        <v/>
      </c>
      <c r="AC418" t="str">
        <f>IF(M418="","",IF(M418&lt;Setup!$C$5-Setup!$C$6,"",IF(IF(ISNUMBER(Roster!$D418),Setup!$C$31&lt;=Roster!$D418,FALSE),"",IF(OR(IF(Setup!$C$15&lt;=Setup!$C$16,AND(MONTH(M418)&gt;=Setup!$C$15,MONTH(M418)&lt;=Setup!$C$16),OR(MONTH(M418)&gt;=Setup!$C$15,MONTH(M418)&lt;=Setup!$C$16)),IF(Setup!$C$15&lt;=Setup!$C$16,AND(MONTH(WORKDAY(M418,-(Setup!$C$13+Setup!$G$31),Setup!$C$39:$C$50))&gt;=Setup!$C$15,MONTH(WORKDAY(M418,-(Setup!$C$13+Setup!$G$31),Setup!$C$39:$C$50))&lt;=Setup!$C$16),OR(MONTH(WORKDAY(M418,-(Setup!$C$13+Setup!$G$31),Setup!$C$39:$C$50))&gt;=Setup!$C$15,MONTH(WORKDAY(M418,-(Setup!$C$13+Setup!$G$31),Setup!$C$39:$C$50))&lt;=Setup!$C$16))),WORKDAY(M418,-(Setup!$C$13+Setup!$G$31+Setup!$C$14),Setup!$C$39:$C$50),WORKDAY(M418,-(Setup!$C$13+Setup!$G$31),Setup!$C$39:$C$50))+(413*100+12)/10000000)))</f>
        <v/>
      </c>
      <c r="AD418" t="str">
        <f>IF(N418="","",IF(N418&lt;Setup!$C$5-Setup!$C$6,"",IF(IF(ISNUMBER(Roster!$D418),Setup!$C$32&lt;=Roster!$D418,FALSE),"",IF(OR(IF(Setup!$C$15&lt;=Setup!$C$16,AND(MONTH(N418)&gt;=Setup!$C$15,MONTH(N418)&lt;=Setup!$C$16),OR(MONTH(N418)&gt;=Setup!$C$15,MONTH(N418)&lt;=Setup!$C$16)),IF(Setup!$C$15&lt;=Setup!$C$16,AND(MONTH(WORKDAY(N418,-(Setup!$C$13+Setup!$G$32),Setup!$C$39:$C$50))&gt;=Setup!$C$15,MONTH(WORKDAY(N418,-(Setup!$C$13+Setup!$G$32),Setup!$C$39:$C$50))&lt;=Setup!$C$16),OR(MONTH(WORKDAY(N418,-(Setup!$C$13+Setup!$G$32),Setup!$C$39:$C$50))&gt;=Setup!$C$15,MONTH(WORKDAY(N418,-(Setup!$C$13+Setup!$G$32),Setup!$C$39:$C$50))&lt;=Setup!$C$16))),WORKDAY(N418,-(Setup!$C$13+Setup!$G$32+Setup!$C$14),Setup!$C$39:$C$50),WORKDAY(N418,-(Setup!$C$13+Setup!$G$32),Setup!$C$39:$C$50))+(413*100+13)/10000000)))</f>
        <v/>
      </c>
      <c r="AE418" t="str">
        <f>IF(O418="","",IF(O418&lt;Setup!$C$5-Setup!$C$6,"",IF(IF(ISNUMBER(Roster!$D418),Setup!$C$33&lt;=Roster!$D418,FALSE),"",IF(OR(IF(Setup!$C$15&lt;=Setup!$C$16,AND(MONTH(O418)&gt;=Setup!$C$15,MONTH(O418)&lt;=Setup!$C$16),OR(MONTH(O418)&gt;=Setup!$C$15,MONTH(O418)&lt;=Setup!$C$16)),IF(Setup!$C$15&lt;=Setup!$C$16,AND(MONTH(WORKDAY(O418,-(Setup!$C$13+Setup!$G$33),Setup!$C$39:$C$50))&gt;=Setup!$C$15,MONTH(WORKDAY(O418,-(Setup!$C$13+Setup!$G$33),Setup!$C$39:$C$50))&lt;=Setup!$C$16),OR(MONTH(WORKDAY(O418,-(Setup!$C$13+Setup!$G$33),Setup!$C$39:$C$50))&gt;=Setup!$C$15,MONTH(WORKDAY(O418,-(Setup!$C$13+Setup!$G$33),Setup!$C$39:$C$50))&lt;=Setup!$C$16))),WORKDAY(O418,-(Setup!$C$13+Setup!$G$33+Setup!$C$14),Setup!$C$39:$C$50),WORKDAY(O418,-(Setup!$C$13+Setup!$G$33),Setup!$C$39:$C$50))+(413*100+14)/10000000)))</f>
        <v/>
      </c>
      <c r="AF418" t="str">
        <f>IF(P418="","",IF(P418&lt;Setup!$C$5-Setup!$C$6,"",IF(IF(ISNUMBER(Roster!$D418),Setup!$C$34&lt;=Roster!$D418,FALSE),"",IF(OR(IF(Setup!$C$15&lt;=Setup!$C$16,AND(MONTH(P418)&gt;=Setup!$C$15,MONTH(P418)&lt;=Setup!$C$16),OR(MONTH(P418)&gt;=Setup!$C$15,MONTH(P418)&lt;=Setup!$C$16)),IF(Setup!$C$15&lt;=Setup!$C$16,AND(MONTH(WORKDAY(P418,-(Setup!$C$13+Setup!$G$34),Setup!$C$39:$C$50))&gt;=Setup!$C$15,MONTH(WORKDAY(P418,-(Setup!$C$13+Setup!$G$34),Setup!$C$39:$C$50))&lt;=Setup!$C$16),OR(MONTH(WORKDAY(P418,-(Setup!$C$13+Setup!$G$34),Setup!$C$39:$C$50))&gt;=Setup!$C$15,MONTH(WORKDAY(P418,-(Setup!$C$13+Setup!$G$34),Setup!$C$39:$C$50))&lt;=Setup!$C$16))),WORKDAY(P418,-(Setup!$C$13+Setup!$G$34+Setup!$C$14),Setup!$C$39:$C$50),WORKDAY(P418,-(Setup!$C$13+Setup!$G$34),Setup!$C$39:$C$50))+(413*100+15)/10000000)))</f>
        <v/>
      </c>
      <c r="AH418" t="str">
        <f t="shared" si="46"/>
        <v/>
      </c>
      <c r="AI418" t="str">
        <f t="shared" si="47"/>
        <v/>
      </c>
      <c r="AP418" t="str">
        <f>IF(ISNUMBER(Roster!$B418),MAX(1,YEAR(Setup!$C$5)-YEAR(Roster!$B418)+IF(EDATE(Roster!$B418,12*(YEAR(Setup!$C$5)-YEAR(Roster!$B418)))&lt;Setup!$C$5,1,0)),"")</f>
        <v/>
      </c>
      <c r="AQ418" s="32" t="str">
        <f>IF(AP418="","",EDATE(Roster!$B418,12*AP418))</f>
        <v/>
      </c>
      <c r="AR418" t="str">
        <f>IF(AQ418="","",IF(AQ418&lt;DATE(YEAR(Setup!$C$5)+1,MONTH(Setup!$C$5),DAY(Setup!$C$5)),AQ418+413/1000,""))</f>
        <v/>
      </c>
      <c r="AS418" t="str">
        <f t="shared" si="48"/>
        <v/>
      </c>
      <c r="AT418" t="str">
        <f>IF(AS418="","",IF(ISNUMBER(Roster!$D418),Roster!$D418&gt;=AP418,FALSE))</f>
        <v/>
      </c>
      <c r="AU418" t="str">
        <f t="shared" si="49"/>
        <v/>
      </c>
      <c r="AV418" t="str">
        <f ca="1">IF(413&gt;$AV$2,"",SMALL($AR$6:$AR$505,413))</f>
        <v/>
      </c>
      <c r="AW418" t="str">
        <f t="shared" ca="1" si="50"/>
        <v/>
      </c>
    </row>
    <row r="419" spans="2:49" x14ac:dyDescent="0.2">
      <c r="B419" s="32" t="str">
        <f>IF(AND(ISNUMBER(Roster!$B419),Setup!$B$20="Yes",ISNUMBER(Setup!$C$20)),EDATE(Roster!$B419,12*Setup!$C$20),"")</f>
        <v/>
      </c>
      <c r="C419" s="32" t="str">
        <f>IF(AND(ISNUMBER(Roster!$B419),Setup!$B$21="Yes",ISNUMBER(Setup!$C$21)),EDATE(Roster!$B419,12*Setup!$C$21),"")</f>
        <v/>
      </c>
      <c r="D419" s="32" t="str">
        <f>IF(AND(ISNUMBER(Roster!$B419),Setup!$B$22="Yes",ISNUMBER(Setup!$C$22)),EDATE(Roster!$B419,12*Setup!$C$22),"")</f>
        <v/>
      </c>
      <c r="E419" s="32" t="str">
        <f>IF(AND(ISNUMBER(Roster!$B419),Setup!$B$23="Yes",ISNUMBER(Setup!$C$23)),EDATE(Roster!$B419,12*Setup!$C$23),"")</f>
        <v/>
      </c>
      <c r="F419" s="32" t="str">
        <f>IF(AND(ISNUMBER(Roster!$B419),Setup!$B$24="Yes",ISNUMBER(Setup!$C$24)),EDATE(Roster!$B419,12*Setup!$C$24),"")</f>
        <v/>
      </c>
      <c r="G419" s="32" t="str">
        <f>IF(AND(ISNUMBER(Roster!$B419),Setup!$B$25="Yes",ISNUMBER(Setup!$C$25)),EDATE(Roster!$B419,12*Setup!$C$25),"")</f>
        <v/>
      </c>
      <c r="H419" s="32" t="str">
        <f>IF(AND(ISNUMBER(Roster!$B419),Setup!$B$26="Yes",ISNUMBER(Setup!$C$26)),EDATE(Roster!$B419,12*Setup!$C$26),"")</f>
        <v/>
      </c>
      <c r="I419" s="32" t="str">
        <f>IF(AND(ISNUMBER(Roster!$B419),Setup!$B$27="Yes",ISNUMBER(Setup!$C$27)),EDATE(Roster!$B419,12*Setup!$C$27),"")</f>
        <v/>
      </c>
      <c r="J419" s="32" t="str">
        <f>IF(AND(ISNUMBER(Roster!$B419),Setup!$B$28="Yes",ISNUMBER(Setup!$C$28)),EDATE(Roster!$B419,12*Setup!$C$28),"")</f>
        <v/>
      </c>
      <c r="K419" s="32" t="str">
        <f>IF(AND(ISNUMBER(Roster!$B419),Setup!$B$29="Yes",ISNUMBER(Setup!$C$29)),EDATE(Roster!$B419,12*Setup!$C$29),"")</f>
        <v/>
      </c>
      <c r="L419" s="32" t="str">
        <f>IF(AND(ISNUMBER(Roster!$B419),Setup!$B$30="Yes",ISNUMBER(Setup!$C$30)),EDATE(Roster!$B419,12*Setup!$C$30),"")</f>
        <v/>
      </c>
      <c r="M419" s="32" t="str">
        <f>IF(AND(ISNUMBER(Roster!$B419),Setup!$B$31="Yes",ISNUMBER(Setup!$C$31)),EDATE(Roster!$B419,12*Setup!$C$31),"")</f>
        <v/>
      </c>
      <c r="N419" s="32" t="str">
        <f>IF(AND(ISNUMBER(Roster!$B419),Setup!$B$32="Yes",ISNUMBER(Setup!$C$32)),EDATE(Roster!$B419,12*Setup!$C$32),"")</f>
        <v/>
      </c>
      <c r="O419" s="32" t="str">
        <f>IF(AND(ISNUMBER(Roster!$B419),Setup!$B$33="Yes",ISNUMBER(Setup!$C$33)),EDATE(Roster!$B419,12*Setup!$C$33),"")</f>
        <v/>
      </c>
      <c r="P419" s="32" t="str">
        <f>IF(AND(ISNUMBER(Roster!$B419),Setup!$B$34="Yes",ISNUMBER(Setup!$C$34)),EDATE(Roster!$B419,12*Setup!$C$34),"")</f>
        <v/>
      </c>
      <c r="R419" t="str">
        <f>IF(B419="","",IF(B419&lt;Setup!$C$5-Setup!$C$6,"",IF(IF(ISNUMBER(Roster!$D419),Setup!$C$20&lt;=Roster!$D419,FALSE),"",IF(OR(IF(Setup!$C$15&lt;=Setup!$C$16,AND(MONTH(B419)&gt;=Setup!$C$15,MONTH(B419)&lt;=Setup!$C$16),OR(MONTH(B419)&gt;=Setup!$C$15,MONTH(B419)&lt;=Setup!$C$16)),IF(Setup!$C$15&lt;=Setup!$C$16,AND(MONTH(WORKDAY(B419,-(Setup!$C$13+Setup!$G$20),Setup!$C$39:$C$50))&gt;=Setup!$C$15,MONTH(WORKDAY(B419,-(Setup!$C$13+Setup!$G$20),Setup!$C$39:$C$50))&lt;=Setup!$C$16),OR(MONTH(WORKDAY(B419,-(Setup!$C$13+Setup!$G$20),Setup!$C$39:$C$50))&gt;=Setup!$C$15,MONTH(WORKDAY(B419,-(Setup!$C$13+Setup!$G$20),Setup!$C$39:$C$50))&lt;=Setup!$C$16))),WORKDAY(B419,-(Setup!$C$13+Setup!$G$20+Setup!$C$14),Setup!$C$39:$C$50),WORKDAY(B419,-(Setup!$C$13+Setup!$G$20),Setup!$C$39:$C$50))+(414*100+1)/10000000)))</f>
        <v/>
      </c>
      <c r="S419" t="str">
        <f>IF(C419="","",IF(C419&lt;Setup!$C$5-Setup!$C$6,"",IF(IF(ISNUMBER(Roster!$D419),Setup!$C$21&lt;=Roster!$D419,FALSE),"",IF(OR(IF(Setup!$C$15&lt;=Setup!$C$16,AND(MONTH(C419)&gt;=Setup!$C$15,MONTH(C419)&lt;=Setup!$C$16),OR(MONTH(C419)&gt;=Setup!$C$15,MONTH(C419)&lt;=Setup!$C$16)),IF(Setup!$C$15&lt;=Setup!$C$16,AND(MONTH(WORKDAY(C419,-(Setup!$C$13+Setup!$G$21),Setup!$C$39:$C$50))&gt;=Setup!$C$15,MONTH(WORKDAY(C419,-(Setup!$C$13+Setup!$G$21),Setup!$C$39:$C$50))&lt;=Setup!$C$16),OR(MONTH(WORKDAY(C419,-(Setup!$C$13+Setup!$G$21),Setup!$C$39:$C$50))&gt;=Setup!$C$15,MONTH(WORKDAY(C419,-(Setup!$C$13+Setup!$G$21),Setup!$C$39:$C$50))&lt;=Setup!$C$16))),WORKDAY(C419,-(Setup!$C$13+Setup!$G$21+Setup!$C$14),Setup!$C$39:$C$50),WORKDAY(C419,-(Setup!$C$13+Setup!$G$21),Setup!$C$39:$C$50))+(414*100+2)/10000000)))</f>
        <v/>
      </c>
      <c r="T419" t="str">
        <f>IF(D419="","",IF(D419&lt;Setup!$C$5-Setup!$C$6,"",IF(IF(ISNUMBER(Roster!$D419),Setup!$C$22&lt;=Roster!$D419,FALSE),"",IF(OR(IF(Setup!$C$15&lt;=Setup!$C$16,AND(MONTH(D419)&gt;=Setup!$C$15,MONTH(D419)&lt;=Setup!$C$16),OR(MONTH(D419)&gt;=Setup!$C$15,MONTH(D419)&lt;=Setup!$C$16)),IF(Setup!$C$15&lt;=Setup!$C$16,AND(MONTH(WORKDAY(D419,-(Setup!$C$13+Setup!$G$22),Setup!$C$39:$C$50))&gt;=Setup!$C$15,MONTH(WORKDAY(D419,-(Setup!$C$13+Setup!$G$22),Setup!$C$39:$C$50))&lt;=Setup!$C$16),OR(MONTH(WORKDAY(D419,-(Setup!$C$13+Setup!$G$22),Setup!$C$39:$C$50))&gt;=Setup!$C$15,MONTH(WORKDAY(D419,-(Setup!$C$13+Setup!$G$22),Setup!$C$39:$C$50))&lt;=Setup!$C$16))),WORKDAY(D419,-(Setup!$C$13+Setup!$G$22+Setup!$C$14),Setup!$C$39:$C$50),WORKDAY(D419,-(Setup!$C$13+Setup!$G$22),Setup!$C$39:$C$50))+(414*100+3)/10000000)))</f>
        <v/>
      </c>
      <c r="U419" t="str">
        <f>IF(E419="","",IF(E419&lt;Setup!$C$5-Setup!$C$6,"",IF(IF(ISNUMBER(Roster!$D419),Setup!$C$23&lt;=Roster!$D419,FALSE),"",IF(OR(IF(Setup!$C$15&lt;=Setup!$C$16,AND(MONTH(E419)&gt;=Setup!$C$15,MONTH(E419)&lt;=Setup!$C$16),OR(MONTH(E419)&gt;=Setup!$C$15,MONTH(E419)&lt;=Setup!$C$16)),IF(Setup!$C$15&lt;=Setup!$C$16,AND(MONTH(WORKDAY(E419,-(Setup!$C$13+Setup!$G$23),Setup!$C$39:$C$50))&gt;=Setup!$C$15,MONTH(WORKDAY(E419,-(Setup!$C$13+Setup!$G$23),Setup!$C$39:$C$50))&lt;=Setup!$C$16),OR(MONTH(WORKDAY(E419,-(Setup!$C$13+Setup!$G$23),Setup!$C$39:$C$50))&gt;=Setup!$C$15,MONTH(WORKDAY(E419,-(Setup!$C$13+Setup!$G$23),Setup!$C$39:$C$50))&lt;=Setup!$C$16))),WORKDAY(E419,-(Setup!$C$13+Setup!$G$23+Setup!$C$14),Setup!$C$39:$C$50),WORKDAY(E419,-(Setup!$C$13+Setup!$G$23),Setup!$C$39:$C$50))+(414*100+4)/10000000)))</f>
        <v/>
      </c>
      <c r="V419" t="str">
        <f>IF(F419="","",IF(F419&lt;Setup!$C$5-Setup!$C$6,"",IF(IF(ISNUMBER(Roster!$D419),Setup!$C$24&lt;=Roster!$D419,FALSE),"",IF(OR(IF(Setup!$C$15&lt;=Setup!$C$16,AND(MONTH(F419)&gt;=Setup!$C$15,MONTH(F419)&lt;=Setup!$C$16),OR(MONTH(F419)&gt;=Setup!$C$15,MONTH(F419)&lt;=Setup!$C$16)),IF(Setup!$C$15&lt;=Setup!$C$16,AND(MONTH(WORKDAY(F419,-(Setup!$C$13+Setup!$G$24),Setup!$C$39:$C$50))&gt;=Setup!$C$15,MONTH(WORKDAY(F419,-(Setup!$C$13+Setup!$G$24),Setup!$C$39:$C$50))&lt;=Setup!$C$16),OR(MONTH(WORKDAY(F419,-(Setup!$C$13+Setup!$G$24),Setup!$C$39:$C$50))&gt;=Setup!$C$15,MONTH(WORKDAY(F419,-(Setup!$C$13+Setup!$G$24),Setup!$C$39:$C$50))&lt;=Setup!$C$16))),WORKDAY(F419,-(Setup!$C$13+Setup!$G$24+Setup!$C$14),Setup!$C$39:$C$50),WORKDAY(F419,-(Setup!$C$13+Setup!$G$24),Setup!$C$39:$C$50))+(414*100+5)/10000000)))</f>
        <v/>
      </c>
      <c r="W419" t="str">
        <f>IF(G419="","",IF(G419&lt;Setup!$C$5-Setup!$C$6,"",IF(IF(ISNUMBER(Roster!$D419),Setup!$C$25&lt;=Roster!$D419,FALSE),"",IF(OR(IF(Setup!$C$15&lt;=Setup!$C$16,AND(MONTH(G419)&gt;=Setup!$C$15,MONTH(G419)&lt;=Setup!$C$16),OR(MONTH(G419)&gt;=Setup!$C$15,MONTH(G419)&lt;=Setup!$C$16)),IF(Setup!$C$15&lt;=Setup!$C$16,AND(MONTH(WORKDAY(G419,-(Setup!$C$13+Setup!$G$25),Setup!$C$39:$C$50))&gt;=Setup!$C$15,MONTH(WORKDAY(G419,-(Setup!$C$13+Setup!$G$25),Setup!$C$39:$C$50))&lt;=Setup!$C$16),OR(MONTH(WORKDAY(G419,-(Setup!$C$13+Setup!$G$25),Setup!$C$39:$C$50))&gt;=Setup!$C$15,MONTH(WORKDAY(G419,-(Setup!$C$13+Setup!$G$25),Setup!$C$39:$C$50))&lt;=Setup!$C$16))),WORKDAY(G419,-(Setup!$C$13+Setup!$G$25+Setup!$C$14),Setup!$C$39:$C$50),WORKDAY(G419,-(Setup!$C$13+Setup!$G$25),Setup!$C$39:$C$50))+(414*100+6)/10000000)))</f>
        <v/>
      </c>
      <c r="X419" t="str">
        <f>IF(H419="","",IF(H419&lt;Setup!$C$5-Setup!$C$6,"",IF(IF(ISNUMBER(Roster!$D419),Setup!$C$26&lt;=Roster!$D419,FALSE),"",IF(OR(IF(Setup!$C$15&lt;=Setup!$C$16,AND(MONTH(H419)&gt;=Setup!$C$15,MONTH(H419)&lt;=Setup!$C$16),OR(MONTH(H419)&gt;=Setup!$C$15,MONTH(H419)&lt;=Setup!$C$16)),IF(Setup!$C$15&lt;=Setup!$C$16,AND(MONTH(WORKDAY(H419,-(Setup!$C$13+Setup!$G$26),Setup!$C$39:$C$50))&gt;=Setup!$C$15,MONTH(WORKDAY(H419,-(Setup!$C$13+Setup!$G$26),Setup!$C$39:$C$50))&lt;=Setup!$C$16),OR(MONTH(WORKDAY(H419,-(Setup!$C$13+Setup!$G$26),Setup!$C$39:$C$50))&gt;=Setup!$C$15,MONTH(WORKDAY(H419,-(Setup!$C$13+Setup!$G$26),Setup!$C$39:$C$50))&lt;=Setup!$C$16))),WORKDAY(H419,-(Setup!$C$13+Setup!$G$26+Setup!$C$14),Setup!$C$39:$C$50),WORKDAY(H419,-(Setup!$C$13+Setup!$G$26),Setup!$C$39:$C$50))+(414*100+7)/10000000)))</f>
        <v/>
      </c>
      <c r="Y419" t="str">
        <f>IF(I419="","",IF(I419&lt;Setup!$C$5-Setup!$C$6,"",IF(IF(ISNUMBER(Roster!$D419),Setup!$C$27&lt;=Roster!$D419,FALSE),"",IF(OR(IF(Setup!$C$15&lt;=Setup!$C$16,AND(MONTH(I419)&gt;=Setup!$C$15,MONTH(I419)&lt;=Setup!$C$16),OR(MONTH(I419)&gt;=Setup!$C$15,MONTH(I419)&lt;=Setup!$C$16)),IF(Setup!$C$15&lt;=Setup!$C$16,AND(MONTH(WORKDAY(I419,-(Setup!$C$13+Setup!$G$27),Setup!$C$39:$C$50))&gt;=Setup!$C$15,MONTH(WORKDAY(I419,-(Setup!$C$13+Setup!$G$27),Setup!$C$39:$C$50))&lt;=Setup!$C$16),OR(MONTH(WORKDAY(I419,-(Setup!$C$13+Setup!$G$27),Setup!$C$39:$C$50))&gt;=Setup!$C$15,MONTH(WORKDAY(I419,-(Setup!$C$13+Setup!$G$27),Setup!$C$39:$C$50))&lt;=Setup!$C$16))),WORKDAY(I419,-(Setup!$C$13+Setup!$G$27+Setup!$C$14),Setup!$C$39:$C$50),WORKDAY(I419,-(Setup!$C$13+Setup!$G$27),Setup!$C$39:$C$50))+(414*100+8)/10000000)))</f>
        <v/>
      </c>
      <c r="Z419" t="str">
        <f>IF(J419="","",IF(J419&lt;Setup!$C$5-Setup!$C$6,"",IF(IF(ISNUMBER(Roster!$D419),Setup!$C$28&lt;=Roster!$D419,FALSE),"",IF(OR(IF(Setup!$C$15&lt;=Setup!$C$16,AND(MONTH(J419)&gt;=Setup!$C$15,MONTH(J419)&lt;=Setup!$C$16),OR(MONTH(J419)&gt;=Setup!$C$15,MONTH(J419)&lt;=Setup!$C$16)),IF(Setup!$C$15&lt;=Setup!$C$16,AND(MONTH(WORKDAY(J419,-(Setup!$C$13+Setup!$G$28),Setup!$C$39:$C$50))&gt;=Setup!$C$15,MONTH(WORKDAY(J419,-(Setup!$C$13+Setup!$G$28),Setup!$C$39:$C$50))&lt;=Setup!$C$16),OR(MONTH(WORKDAY(J419,-(Setup!$C$13+Setup!$G$28),Setup!$C$39:$C$50))&gt;=Setup!$C$15,MONTH(WORKDAY(J419,-(Setup!$C$13+Setup!$G$28),Setup!$C$39:$C$50))&lt;=Setup!$C$16))),WORKDAY(J419,-(Setup!$C$13+Setup!$G$28+Setup!$C$14),Setup!$C$39:$C$50),WORKDAY(J419,-(Setup!$C$13+Setup!$G$28),Setup!$C$39:$C$50))+(414*100+9)/10000000)))</f>
        <v/>
      </c>
      <c r="AA419" t="str">
        <f>IF(K419="","",IF(K419&lt;Setup!$C$5-Setup!$C$6,"",IF(IF(ISNUMBER(Roster!$D419),Setup!$C$29&lt;=Roster!$D419,FALSE),"",IF(OR(IF(Setup!$C$15&lt;=Setup!$C$16,AND(MONTH(K419)&gt;=Setup!$C$15,MONTH(K419)&lt;=Setup!$C$16),OR(MONTH(K419)&gt;=Setup!$C$15,MONTH(K419)&lt;=Setup!$C$16)),IF(Setup!$C$15&lt;=Setup!$C$16,AND(MONTH(WORKDAY(K419,-(Setup!$C$13+Setup!$G$29),Setup!$C$39:$C$50))&gt;=Setup!$C$15,MONTH(WORKDAY(K419,-(Setup!$C$13+Setup!$G$29),Setup!$C$39:$C$50))&lt;=Setup!$C$16),OR(MONTH(WORKDAY(K419,-(Setup!$C$13+Setup!$G$29),Setup!$C$39:$C$50))&gt;=Setup!$C$15,MONTH(WORKDAY(K419,-(Setup!$C$13+Setup!$G$29),Setup!$C$39:$C$50))&lt;=Setup!$C$16))),WORKDAY(K419,-(Setup!$C$13+Setup!$G$29+Setup!$C$14),Setup!$C$39:$C$50),WORKDAY(K419,-(Setup!$C$13+Setup!$G$29),Setup!$C$39:$C$50))+(414*100+10)/10000000)))</f>
        <v/>
      </c>
      <c r="AB419" t="str">
        <f>IF(L419="","",IF(L419&lt;Setup!$C$5-Setup!$C$6,"",IF(IF(ISNUMBER(Roster!$D419),Setup!$C$30&lt;=Roster!$D419,FALSE),"",IF(OR(IF(Setup!$C$15&lt;=Setup!$C$16,AND(MONTH(L419)&gt;=Setup!$C$15,MONTH(L419)&lt;=Setup!$C$16),OR(MONTH(L419)&gt;=Setup!$C$15,MONTH(L419)&lt;=Setup!$C$16)),IF(Setup!$C$15&lt;=Setup!$C$16,AND(MONTH(WORKDAY(L419,-(Setup!$C$13+Setup!$G$30),Setup!$C$39:$C$50))&gt;=Setup!$C$15,MONTH(WORKDAY(L419,-(Setup!$C$13+Setup!$G$30),Setup!$C$39:$C$50))&lt;=Setup!$C$16),OR(MONTH(WORKDAY(L419,-(Setup!$C$13+Setup!$G$30),Setup!$C$39:$C$50))&gt;=Setup!$C$15,MONTH(WORKDAY(L419,-(Setup!$C$13+Setup!$G$30),Setup!$C$39:$C$50))&lt;=Setup!$C$16))),WORKDAY(L419,-(Setup!$C$13+Setup!$G$30+Setup!$C$14),Setup!$C$39:$C$50),WORKDAY(L419,-(Setup!$C$13+Setup!$G$30),Setup!$C$39:$C$50))+(414*100+11)/10000000)))</f>
        <v/>
      </c>
      <c r="AC419" t="str">
        <f>IF(M419="","",IF(M419&lt;Setup!$C$5-Setup!$C$6,"",IF(IF(ISNUMBER(Roster!$D419),Setup!$C$31&lt;=Roster!$D419,FALSE),"",IF(OR(IF(Setup!$C$15&lt;=Setup!$C$16,AND(MONTH(M419)&gt;=Setup!$C$15,MONTH(M419)&lt;=Setup!$C$16),OR(MONTH(M419)&gt;=Setup!$C$15,MONTH(M419)&lt;=Setup!$C$16)),IF(Setup!$C$15&lt;=Setup!$C$16,AND(MONTH(WORKDAY(M419,-(Setup!$C$13+Setup!$G$31),Setup!$C$39:$C$50))&gt;=Setup!$C$15,MONTH(WORKDAY(M419,-(Setup!$C$13+Setup!$G$31),Setup!$C$39:$C$50))&lt;=Setup!$C$16),OR(MONTH(WORKDAY(M419,-(Setup!$C$13+Setup!$G$31),Setup!$C$39:$C$50))&gt;=Setup!$C$15,MONTH(WORKDAY(M419,-(Setup!$C$13+Setup!$G$31),Setup!$C$39:$C$50))&lt;=Setup!$C$16))),WORKDAY(M419,-(Setup!$C$13+Setup!$G$31+Setup!$C$14),Setup!$C$39:$C$50),WORKDAY(M419,-(Setup!$C$13+Setup!$G$31),Setup!$C$39:$C$50))+(414*100+12)/10000000)))</f>
        <v/>
      </c>
      <c r="AD419" t="str">
        <f>IF(N419="","",IF(N419&lt;Setup!$C$5-Setup!$C$6,"",IF(IF(ISNUMBER(Roster!$D419),Setup!$C$32&lt;=Roster!$D419,FALSE),"",IF(OR(IF(Setup!$C$15&lt;=Setup!$C$16,AND(MONTH(N419)&gt;=Setup!$C$15,MONTH(N419)&lt;=Setup!$C$16),OR(MONTH(N419)&gt;=Setup!$C$15,MONTH(N419)&lt;=Setup!$C$16)),IF(Setup!$C$15&lt;=Setup!$C$16,AND(MONTH(WORKDAY(N419,-(Setup!$C$13+Setup!$G$32),Setup!$C$39:$C$50))&gt;=Setup!$C$15,MONTH(WORKDAY(N419,-(Setup!$C$13+Setup!$G$32),Setup!$C$39:$C$50))&lt;=Setup!$C$16),OR(MONTH(WORKDAY(N419,-(Setup!$C$13+Setup!$G$32),Setup!$C$39:$C$50))&gt;=Setup!$C$15,MONTH(WORKDAY(N419,-(Setup!$C$13+Setup!$G$32),Setup!$C$39:$C$50))&lt;=Setup!$C$16))),WORKDAY(N419,-(Setup!$C$13+Setup!$G$32+Setup!$C$14),Setup!$C$39:$C$50),WORKDAY(N419,-(Setup!$C$13+Setup!$G$32),Setup!$C$39:$C$50))+(414*100+13)/10000000)))</f>
        <v/>
      </c>
      <c r="AE419" t="str">
        <f>IF(O419="","",IF(O419&lt;Setup!$C$5-Setup!$C$6,"",IF(IF(ISNUMBER(Roster!$D419),Setup!$C$33&lt;=Roster!$D419,FALSE),"",IF(OR(IF(Setup!$C$15&lt;=Setup!$C$16,AND(MONTH(O419)&gt;=Setup!$C$15,MONTH(O419)&lt;=Setup!$C$16),OR(MONTH(O419)&gt;=Setup!$C$15,MONTH(O419)&lt;=Setup!$C$16)),IF(Setup!$C$15&lt;=Setup!$C$16,AND(MONTH(WORKDAY(O419,-(Setup!$C$13+Setup!$G$33),Setup!$C$39:$C$50))&gt;=Setup!$C$15,MONTH(WORKDAY(O419,-(Setup!$C$13+Setup!$G$33),Setup!$C$39:$C$50))&lt;=Setup!$C$16),OR(MONTH(WORKDAY(O419,-(Setup!$C$13+Setup!$G$33),Setup!$C$39:$C$50))&gt;=Setup!$C$15,MONTH(WORKDAY(O419,-(Setup!$C$13+Setup!$G$33),Setup!$C$39:$C$50))&lt;=Setup!$C$16))),WORKDAY(O419,-(Setup!$C$13+Setup!$G$33+Setup!$C$14),Setup!$C$39:$C$50),WORKDAY(O419,-(Setup!$C$13+Setup!$G$33),Setup!$C$39:$C$50))+(414*100+14)/10000000)))</f>
        <v/>
      </c>
      <c r="AF419" t="str">
        <f>IF(P419="","",IF(P419&lt;Setup!$C$5-Setup!$C$6,"",IF(IF(ISNUMBER(Roster!$D419),Setup!$C$34&lt;=Roster!$D419,FALSE),"",IF(OR(IF(Setup!$C$15&lt;=Setup!$C$16,AND(MONTH(P419)&gt;=Setup!$C$15,MONTH(P419)&lt;=Setup!$C$16),OR(MONTH(P419)&gt;=Setup!$C$15,MONTH(P419)&lt;=Setup!$C$16)),IF(Setup!$C$15&lt;=Setup!$C$16,AND(MONTH(WORKDAY(P419,-(Setup!$C$13+Setup!$G$34),Setup!$C$39:$C$50))&gt;=Setup!$C$15,MONTH(WORKDAY(P419,-(Setup!$C$13+Setup!$G$34),Setup!$C$39:$C$50))&lt;=Setup!$C$16),OR(MONTH(WORKDAY(P419,-(Setup!$C$13+Setup!$G$34),Setup!$C$39:$C$50))&gt;=Setup!$C$15,MONTH(WORKDAY(P419,-(Setup!$C$13+Setup!$G$34),Setup!$C$39:$C$50))&lt;=Setup!$C$16))),WORKDAY(P419,-(Setup!$C$13+Setup!$G$34+Setup!$C$14),Setup!$C$39:$C$50),WORKDAY(P419,-(Setup!$C$13+Setup!$G$34),Setup!$C$39:$C$50))+(414*100+15)/10000000)))</f>
        <v/>
      </c>
      <c r="AH419" t="str">
        <f t="shared" si="46"/>
        <v/>
      </c>
      <c r="AI419" t="str">
        <f t="shared" si="47"/>
        <v/>
      </c>
      <c r="AP419" t="str">
        <f>IF(ISNUMBER(Roster!$B419),MAX(1,YEAR(Setup!$C$5)-YEAR(Roster!$B419)+IF(EDATE(Roster!$B419,12*(YEAR(Setup!$C$5)-YEAR(Roster!$B419)))&lt;Setup!$C$5,1,0)),"")</f>
        <v/>
      </c>
      <c r="AQ419" s="32" t="str">
        <f>IF(AP419="","",EDATE(Roster!$B419,12*AP419))</f>
        <v/>
      </c>
      <c r="AR419" t="str">
        <f>IF(AQ419="","",IF(AQ419&lt;DATE(YEAR(Setup!$C$5)+1,MONTH(Setup!$C$5),DAY(Setup!$C$5)),AQ419+414/1000,""))</f>
        <v/>
      </c>
      <c r="AS419" t="str">
        <f t="shared" si="48"/>
        <v/>
      </c>
      <c r="AT419" t="str">
        <f>IF(AS419="","",IF(ISNUMBER(Roster!$D419),Roster!$D419&gt;=AP419,FALSE))</f>
        <v/>
      </c>
      <c r="AU419" t="str">
        <f t="shared" si="49"/>
        <v/>
      </c>
      <c r="AV419" t="str">
        <f ca="1">IF(414&gt;$AV$2,"",SMALL($AR$6:$AR$505,414))</f>
        <v/>
      </c>
      <c r="AW419" t="str">
        <f t="shared" ca="1" si="50"/>
        <v/>
      </c>
    </row>
    <row r="420" spans="2:49" x14ac:dyDescent="0.2">
      <c r="B420" s="32" t="str">
        <f>IF(AND(ISNUMBER(Roster!$B420),Setup!$B$20="Yes",ISNUMBER(Setup!$C$20)),EDATE(Roster!$B420,12*Setup!$C$20),"")</f>
        <v/>
      </c>
      <c r="C420" s="32" t="str">
        <f>IF(AND(ISNUMBER(Roster!$B420),Setup!$B$21="Yes",ISNUMBER(Setup!$C$21)),EDATE(Roster!$B420,12*Setup!$C$21),"")</f>
        <v/>
      </c>
      <c r="D420" s="32" t="str">
        <f>IF(AND(ISNUMBER(Roster!$B420),Setup!$B$22="Yes",ISNUMBER(Setup!$C$22)),EDATE(Roster!$B420,12*Setup!$C$22),"")</f>
        <v/>
      </c>
      <c r="E420" s="32" t="str">
        <f>IF(AND(ISNUMBER(Roster!$B420),Setup!$B$23="Yes",ISNUMBER(Setup!$C$23)),EDATE(Roster!$B420,12*Setup!$C$23),"")</f>
        <v/>
      </c>
      <c r="F420" s="32" t="str">
        <f>IF(AND(ISNUMBER(Roster!$B420),Setup!$B$24="Yes",ISNUMBER(Setup!$C$24)),EDATE(Roster!$B420,12*Setup!$C$24),"")</f>
        <v/>
      </c>
      <c r="G420" s="32" t="str">
        <f>IF(AND(ISNUMBER(Roster!$B420),Setup!$B$25="Yes",ISNUMBER(Setup!$C$25)),EDATE(Roster!$B420,12*Setup!$C$25),"")</f>
        <v/>
      </c>
      <c r="H420" s="32" t="str">
        <f>IF(AND(ISNUMBER(Roster!$B420),Setup!$B$26="Yes",ISNUMBER(Setup!$C$26)),EDATE(Roster!$B420,12*Setup!$C$26),"")</f>
        <v/>
      </c>
      <c r="I420" s="32" t="str">
        <f>IF(AND(ISNUMBER(Roster!$B420),Setup!$B$27="Yes",ISNUMBER(Setup!$C$27)),EDATE(Roster!$B420,12*Setup!$C$27),"")</f>
        <v/>
      </c>
      <c r="J420" s="32" t="str">
        <f>IF(AND(ISNUMBER(Roster!$B420),Setup!$B$28="Yes",ISNUMBER(Setup!$C$28)),EDATE(Roster!$B420,12*Setup!$C$28),"")</f>
        <v/>
      </c>
      <c r="K420" s="32" t="str">
        <f>IF(AND(ISNUMBER(Roster!$B420),Setup!$B$29="Yes",ISNUMBER(Setup!$C$29)),EDATE(Roster!$B420,12*Setup!$C$29),"")</f>
        <v/>
      </c>
      <c r="L420" s="32" t="str">
        <f>IF(AND(ISNUMBER(Roster!$B420),Setup!$B$30="Yes",ISNUMBER(Setup!$C$30)),EDATE(Roster!$B420,12*Setup!$C$30),"")</f>
        <v/>
      </c>
      <c r="M420" s="32" t="str">
        <f>IF(AND(ISNUMBER(Roster!$B420),Setup!$B$31="Yes",ISNUMBER(Setup!$C$31)),EDATE(Roster!$B420,12*Setup!$C$31),"")</f>
        <v/>
      </c>
      <c r="N420" s="32" t="str">
        <f>IF(AND(ISNUMBER(Roster!$B420),Setup!$B$32="Yes",ISNUMBER(Setup!$C$32)),EDATE(Roster!$B420,12*Setup!$C$32),"")</f>
        <v/>
      </c>
      <c r="O420" s="32" t="str">
        <f>IF(AND(ISNUMBER(Roster!$B420),Setup!$B$33="Yes",ISNUMBER(Setup!$C$33)),EDATE(Roster!$B420,12*Setup!$C$33),"")</f>
        <v/>
      </c>
      <c r="P420" s="32" t="str">
        <f>IF(AND(ISNUMBER(Roster!$B420),Setup!$B$34="Yes",ISNUMBER(Setup!$C$34)),EDATE(Roster!$B420,12*Setup!$C$34),"")</f>
        <v/>
      </c>
      <c r="R420" t="str">
        <f>IF(B420="","",IF(B420&lt;Setup!$C$5-Setup!$C$6,"",IF(IF(ISNUMBER(Roster!$D420),Setup!$C$20&lt;=Roster!$D420,FALSE),"",IF(OR(IF(Setup!$C$15&lt;=Setup!$C$16,AND(MONTH(B420)&gt;=Setup!$C$15,MONTH(B420)&lt;=Setup!$C$16),OR(MONTH(B420)&gt;=Setup!$C$15,MONTH(B420)&lt;=Setup!$C$16)),IF(Setup!$C$15&lt;=Setup!$C$16,AND(MONTH(WORKDAY(B420,-(Setup!$C$13+Setup!$G$20),Setup!$C$39:$C$50))&gt;=Setup!$C$15,MONTH(WORKDAY(B420,-(Setup!$C$13+Setup!$G$20),Setup!$C$39:$C$50))&lt;=Setup!$C$16),OR(MONTH(WORKDAY(B420,-(Setup!$C$13+Setup!$G$20),Setup!$C$39:$C$50))&gt;=Setup!$C$15,MONTH(WORKDAY(B420,-(Setup!$C$13+Setup!$G$20),Setup!$C$39:$C$50))&lt;=Setup!$C$16))),WORKDAY(B420,-(Setup!$C$13+Setup!$G$20+Setup!$C$14),Setup!$C$39:$C$50),WORKDAY(B420,-(Setup!$C$13+Setup!$G$20),Setup!$C$39:$C$50))+(415*100+1)/10000000)))</f>
        <v/>
      </c>
      <c r="S420" t="str">
        <f>IF(C420="","",IF(C420&lt;Setup!$C$5-Setup!$C$6,"",IF(IF(ISNUMBER(Roster!$D420),Setup!$C$21&lt;=Roster!$D420,FALSE),"",IF(OR(IF(Setup!$C$15&lt;=Setup!$C$16,AND(MONTH(C420)&gt;=Setup!$C$15,MONTH(C420)&lt;=Setup!$C$16),OR(MONTH(C420)&gt;=Setup!$C$15,MONTH(C420)&lt;=Setup!$C$16)),IF(Setup!$C$15&lt;=Setup!$C$16,AND(MONTH(WORKDAY(C420,-(Setup!$C$13+Setup!$G$21),Setup!$C$39:$C$50))&gt;=Setup!$C$15,MONTH(WORKDAY(C420,-(Setup!$C$13+Setup!$G$21),Setup!$C$39:$C$50))&lt;=Setup!$C$16),OR(MONTH(WORKDAY(C420,-(Setup!$C$13+Setup!$G$21),Setup!$C$39:$C$50))&gt;=Setup!$C$15,MONTH(WORKDAY(C420,-(Setup!$C$13+Setup!$G$21),Setup!$C$39:$C$50))&lt;=Setup!$C$16))),WORKDAY(C420,-(Setup!$C$13+Setup!$G$21+Setup!$C$14),Setup!$C$39:$C$50),WORKDAY(C420,-(Setup!$C$13+Setup!$G$21),Setup!$C$39:$C$50))+(415*100+2)/10000000)))</f>
        <v/>
      </c>
      <c r="T420" t="str">
        <f>IF(D420="","",IF(D420&lt;Setup!$C$5-Setup!$C$6,"",IF(IF(ISNUMBER(Roster!$D420),Setup!$C$22&lt;=Roster!$D420,FALSE),"",IF(OR(IF(Setup!$C$15&lt;=Setup!$C$16,AND(MONTH(D420)&gt;=Setup!$C$15,MONTH(D420)&lt;=Setup!$C$16),OR(MONTH(D420)&gt;=Setup!$C$15,MONTH(D420)&lt;=Setup!$C$16)),IF(Setup!$C$15&lt;=Setup!$C$16,AND(MONTH(WORKDAY(D420,-(Setup!$C$13+Setup!$G$22),Setup!$C$39:$C$50))&gt;=Setup!$C$15,MONTH(WORKDAY(D420,-(Setup!$C$13+Setup!$G$22),Setup!$C$39:$C$50))&lt;=Setup!$C$16),OR(MONTH(WORKDAY(D420,-(Setup!$C$13+Setup!$G$22),Setup!$C$39:$C$50))&gt;=Setup!$C$15,MONTH(WORKDAY(D420,-(Setup!$C$13+Setup!$G$22),Setup!$C$39:$C$50))&lt;=Setup!$C$16))),WORKDAY(D420,-(Setup!$C$13+Setup!$G$22+Setup!$C$14),Setup!$C$39:$C$50),WORKDAY(D420,-(Setup!$C$13+Setup!$G$22),Setup!$C$39:$C$50))+(415*100+3)/10000000)))</f>
        <v/>
      </c>
      <c r="U420" t="str">
        <f>IF(E420="","",IF(E420&lt;Setup!$C$5-Setup!$C$6,"",IF(IF(ISNUMBER(Roster!$D420),Setup!$C$23&lt;=Roster!$D420,FALSE),"",IF(OR(IF(Setup!$C$15&lt;=Setup!$C$16,AND(MONTH(E420)&gt;=Setup!$C$15,MONTH(E420)&lt;=Setup!$C$16),OR(MONTH(E420)&gt;=Setup!$C$15,MONTH(E420)&lt;=Setup!$C$16)),IF(Setup!$C$15&lt;=Setup!$C$16,AND(MONTH(WORKDAY(E420,-(Setup!$C$13+Setup!$G$23),Setup!$C$39:$C$50))&gt;=Setup!$C$15,MONTH(WORKDAY(E420,-(Setup!$C$13+Setup!$G$23),Setup!$C$39:$C$50))&lt;=Setup!$C$16),OR(MONTH(WORKDAY(E420,-(Setup!$C$13+Setup!$G$23),Setup!$C$39:$C$50))&gt;=Setup!$C$15,MONTH(WORKDAY(E420,-(Setup!$C$13+Setup!$G$23),Setup!$C$39:$C$50))&lt;=Setup!$C$16))),WORKDAY(E420,-(Setup!$C$13+Setup!$G$23+Setup!$C$14),Setup!$C$39:$C$50),WORKDAY(E420,-(Setup!$C$13+Setup!$G$23),Setup!$C$39:$C$50))+(415*100+4)/10000000)))</f>
        <v/>
      </c>
      <c r="V420" t="str">
        <f>IF(F420="","",IF(F420&lt;Setup!$C$5-Setup!$C$6,"",IF(IF(ISNUMBER(Roster!$D420),Setup!$C$24&lt;=Roster!$D420,FALSE),"",IF(OR(IF(Setup!$C$15&lt;=Setup!$C$16,AND(MONTH(F420)&gt;=Setup!$C$15,MONTH(F420)&lt;=Setup!$C$16),OR(MONTH(F420)&gt;=Setup!$C$15,MONTH(F420)&lt;=Setup!$C$16)),IF(Setup!$C$15&lt;=Setup!$C$16,AND(MONTH(WORKDAY(F420,-(Setup!$C$13+Setup!$G$24),Setup!$C$39:$C$50))&gt;=Setup!$C$15,MONTH(WORKDAY(F420,-(Setup!$C$13+Setup!$G$24),Setup!$C$39:$C$50))&lt;=Setup!$C$16),OR(MONTH(WORKDAY(F420,-(Setup!$C$13+Setup!$G$24),Setup!$C$39:$C$50))&gt;=Setup!$C$15,MONTH(WORKDAY(F420,-(Setup!$C$13+Setup!$G$24),Setup!$C$39:$C$50))&lt;=Setup!$C$16))),WORKDAY(F420,-(Setup!$C$13+Setup!$G$24+Setup!$C$14),Setup!$C$39:$C$50),WORKDAY(F420,-(Setup!$C$13+Setup!$G$24),Setup!$C$39:$C$50))+(415*100+5)/10000000)))</f>
        <v/>
      </c>
      <c r="W420" t="str">
        <f>IF(G420="","",IF(G420&lt;Setup!$C$5-Setup!$C$6,"",IF(IF(ISNUMBER(Roster!$D420),Setup!$C$25&lt;=Roster!$D420,FALSE),"",IF(OR(IF(Setup!$C$15&lt;=Setup!$C$16,AND(MONTH(G420)&gt;=Setup!$C$15,MONTH(G420)&lt;=Setup!$C$16),OR(MONTH(G420)&gt;=Setup!$C$15,MONTH(G420)&lt;=Setup!$C$16)),IF(Setup!$C$15&lt;=Setup!$C$16,AND(MONTH(WORKDAY(G420,-(Setup!$C$13+Setup!$G$25),Setup!$C$39:$C$50))&gt;=Setup!$C$15,MONTH(WORKDAY(G420,-(Setup!$C$13+Setup!$G$25),Setup!$C$39:$C$50))&lt;=Setup!$C$16),OR(MONTH(WORKDAY(G420,-(Setup!$C$13+Setup!$G$25),Setup!$C$39:$C$50))&gt;=Setup!$C$15,MONTH(WORKDAY(G420,-(Setup!$C$13+Setup!$G$25),Setup!$C$39:$C$50))&lt;=Setup!$C$16))),WORKDAY(G420,-(Setup!$C$13+Setup!$G$25+Setup!$C$14),Setup!$C$39:$C$50),WORKDAY(G420,-(Setup!$C$13+Setup!$G$25),Setup!$C$39:$C$50))+(415*100+6)/10000000)))</f>
        <v/>
      </c>
      <c r="X420" t="str">
        <f>IF(H420="","",IF(H420&lt;Setup!$C$5-Setup!$C$6,"",IF(IF(ISNUMBER(Roster!$D420),Setup!$C$26&lt;=Roster!$D420,FALSE),"",IF(OR(IF(Setup!$C$15&lt;=Setup!$C$16,AND(MONTH(H420)&gt;=Setup!$C$15,MONTH(H420)&lt;=Setup!$C$16),OR(MONTH(H420)&gt;=Setup!$C$15,MONTH(H420)&lt;=Setup!$C$16)),IF(Setup!$C$15&lt;=Setup!$C$16,AND(MONTH(WORKDAY(H420,-(Setup!$C$13+Setup!$G$26),Setup!$C$39:$C$50))&gt;=Setup!$C$15,MONTH(WORKDAY(H420,-(Setup!$C$13+Setup!$G$26),Setup!$C$39:$C$50))&lt;=Setup!$C$16),OR(MONTH(WORKDAY(H420,-(Setup!$C$13+Setup!$G$26),Setup!$C$39:$C$50))&gt;=Setup!$C$15,MONTH(WORKDAY(H420,-(Setup!$C$13+Setup!$G$26),Setup!$C$39:$C$50))&lt;=Setup!$C$16))),WORKDAY(H420,-(Setup!$C$13+Setup!$G$26+Setup!$C$14),Setup!$C$39:$C$50),WORKDAY(H420,-(Setup!$C$13+Setup!$G$26),Setup!$C$39:$C$50))+(415*100+7)/10000000)))</f>
        <v/>
      </c>
      <c r="Y420" t="str">
        <f>IF(I420="","",IF(I420&lt;Setup!$C$5-Setup!$C$6,"",IF(IF(ISNUMBER(Roster!$D420),Setup!$C$27&lt;=Roster!$D420,FALSE),"",IF(OR(IF(Setup!$C$15&lt;=Setup!$C$16,AND(MONTH(I420)&gt;=Setup!$C$15,MONTH(I420)&lt;=Setup!$C$16),OR(MONTH(I420)&gt;=Setup!$C$15,MONTH(I420)&lt;=Setup!$C$16)),IF(Setup!$C$15&lt;=Setup!$C$16,AND(MONTH(WORKDAY(I420,-(Setup!$C$13+Setup!$G$27),Setup!$C$39:$C$50))&gt;=Setup!$C$15,MONTH(WORKDAY(I420,-(Setup!$C$13+Setup!$G$27),Setup!$C$39:$C$50))&lt;=Setup!$C$16),OR(MONTH(WORKDAY(I420,-(Setup!$C$13+Setup!$G$27),Setup!$C$39:$C$50))&gt;=Setup!$C$15,MONTH(WORKDAY(I420,-(Setup!$C$13+Setup!$G$27),Setup!$C$39:$C$50))&lt;=Setup!$C$16))),WORKDAY(I420,-(Setup!$C$13+Setup!$G$27+Setup!$C$14),Setup!$C$39:$C$50),WORKDAY(I420,-(Setup!$C$13+Setup!$G$27),Setup!$C$39:$C$50))+(415*100+8)/10000000)))</f>
        <v/>
      </c>
      <c r="Z420" t="str">
        <f>IF(J420="","",IF(J420&lt;Setup!$C$5-Setup!$C$6,"",IF(IF(ISNUMBER(Roster!$D420),Setup!$C$28&lt;=Roster!$D420,FALSE),"",IF(OR(IF(Setup!$C$15&lt;=Setup!$C$16,AND(MONTH(J420)&gt;=Setup!$C$15,MONTH(J420)&lt;=Setup!$C$16),OR(MONTH(J420)&gt;=Setup!$C$15,MONTH(J420)&lt;=Setup!$C$16)),IF(Setup!$C$15&lt;=Setup!$C$16,AND(MONTH(WORKDAY(J420,-(Setup!$C$13+Setup!$G$28),Setup!$C$39:$C$50))&gt;=Setup!$C$15,MONTH(WORKDAY(J420,-(Setup!$C$13+Setup!$G$28),Setup!$C$39:$C$50))&lt;=Setup!$C$16),OR(MONTH(WORKDAY(J420,-(Setup!$C$13+Setup!$G$28),Setup!$C$39:$C$50))&gt;=Setup!$C$15,MONTH(WORKDAY(J420,-(Setup!$C$13+Setup!$G$28),Setup!$C$39:$C$50))&lt;=Setup!$C$16))),WORKDAY(J420,-(Setup!$C$13+Setup!$G$28+Setup!$C$14),Setup!$C$39:$C$50),WORKDAY(J420,-(Setup!$C$13+Setup!$G$28),Setup!$C$39:$C$50))+(415*100+9)/10000000)))</f>
        <v/>
      </c>
      <c r="AA420" t="str">
        <f>IF(K420="","",IF(K420&lt;Setup!$C$5-Setup!$C$6,"",IF(IF(ISNUMBER(Roster!$D420),Setup!$C$29&lt;=Roster!$D420,FALSE),"",IF(OR(IF(Setup!$C$15&lt;=Setup!$C$16,AND(MONTH(K420)&gt;=Setup!$C$15,MONTH(K420)&lt;=Setup!$C$16),OR(MONTH(K420)&gt;=Setup!$C$15,MONTH(K420)&lt;=Setup!$C$16)),IF(Setup!$C$15&lt;=Setup!$C$16,AND(MONTH(WORKDAY(K420,-(Setup!$C$13+Setup!$G$29),Setup!$C$39:$C$50))&gt;=Setup!$C$15,MONTH(WORKDAY(K420,-(Setup!$C$13+Setup!$G$29),Setup!$C$39:$C$50))&lt;=Setup!$C$16),OR(MONTH(WORKDAY(K420,-(Setup!$C$13+Setup!$G$29),Setup!$C$39:$C$50))&gt;=Setup!$C$15,MONTH(WORKDAY(K420,-(Setup!$C$13+Setup!$G$29),Setup!$C$39:$C$50))&lt;=Setup!$C$16))),WORKDAY(K420,-(Setup!$C$13+Setup!$G$29+Setup!$C$14),Setup!$C$39:$C$50),WORKDAY(K420,-(Setup!$C$13+Setup!$G$29),Setup!$C$39:$C$50))+(415*100+10)/10000000)))</f>
        <v/>
      </c>
      <c r="AB420" t="str">
        <f>IF(L420="","",IF(L420&lt;Setup!$C$5-Setup!$C$6,"",IF(IF(ISNUMBER(Roster!$D420),Setup!$C$30&lt;=Roster!$D420,FALSE),"",IF(OR(IF(Setup!$C$15&lt;=Setup!$C$16,AND(MONTH(L420)&gt;=Setup!$C$15,MONTH(L420)&lt;=Setup!$C$16),OR(MONTH(L420)&gt;=Setup!$C$15,MONTH(L420)&lt;=Setup!$C$16)),IF(Setup!$C$15&lt;=Setup!$C$16,AND(MONTH(WORKDAY(L420,-(Setup!$C$13+Setup!$G$30),Setup!$C$39:$C$50))&gt;=Setup!$C$15,MONTH(WORKDAY(L420,-(Setup!$C$13+Setup!$G$30),Setup!$C$39:$C$50))&lt;=Setup!$C$16),OR(MONTH(WORKDAY(L420,-(Setup!$C$13+Setup!$G$30),Setup!$C$39:$C$50))&gt;=Setup!$C$15,MONTH(WORKDAY(L420,-(Setup!$C$13+Setup!$G$30),Setup!$C$39:$C$50))&lt;=Setup!$C$16))),WORKDAY(L420,-(Setup!$C$13+Setup!$G$30+Setup!$C$14),Setup!$C$39:$C$50),WORKDAY(L420,-(Setup!$C$13+Setup!$G$30),Setup!$C$39:$C$50))+(415*100+11)/10000000)))</f>
        <v/>
      </c>
      <c r="AC420" t="str">
        <f>IF(M420="","",IF(M420&lt;Setup!$C$5-Setup!$C$6,"",IF(IF(ISNUMBER(Roster!$D420),Setup!$C$31&lt;=Roster!$D420,FALSE),"",IF(OR(IF(Setup!$C$15&lt;=Setup!$C$16,AND(MONTH(M420)&gt;=Setup!$C$15,MONTH(M420)&lt;=Setup!$C$16),OR(MONTH(M420)&gt;=Setup!$C$15,MONTH(M420)&lt;=Setup!$C$16)),IF(Setup!$C$15&lt;=Setup!$C$16,AND(MONTH(WORKDAY(M420,-(Setup!$C$13+Setup!$G$31),Setup!$C$39:$C$50))&gt;=Setup!$C$15,MONTH(WORKDAY(M420,-(Setup!$C$13+Setup!$G$31),Setup!$C$39:$C$50))&lt;=Setup!$C$16),OR(MONTH(WORKDAY(M420,-(Setup!$C$13+Setup!$G$31),Setup!$C$39:$C$50))&gt;=Setup!$C$15,MONTH(WORKDAY(M420,-(Setup!$C$13+Setup!$G$31),Setup!$C$39:$C$50))&lt;=Setup!$C$16))),WORKDAY(M420,-(Setup!$C$13+Setup!$G$31+Setup!$C$14),Setup!$C$39:$C$50),WORKDAY(M420,-(Setup!$C$13+Setup!$G$31),Setup!$C$39:$C$50))+(415*100+12)/10000000)))</f>
        <v/>
      </c>
      <c r="AD420" t="str">
        <f>IF(N420="","",IF(N420&lt;Setup!$C$5-Setup!$C$6,"",IF(IF(ISNUMBER(Roster!$D420),Setup!$C$32&lt;=Roster!$D420,FALSE),"",IF(OR(IF(Setup!$C$15&lt;=Setup!$C$16,AND(MONTH(N420)&gt;=Setup!$C$15,MONTH(N420)&lt;=Setup!$C$16),OR(MONTH(N420)&gt;=Setup!$C$15,MONTH(N420)&lt;=Setup!$C$16)),IF(Setup!$C$15&lt;=Setup!$C$16,AND(MONTH(WORKDAY(N420,-(Setup!$C$13+Setup!$G$32),Setup!$C$39:$C$50))&gt;=Setup!$C$15,MONTH(WORKDAY(N420,-(Setup!$C$13+Setup!$G$32),Setup!$C$39:$C$50))&lt;=Setup!$C$16),OR(MONTH(WORKDAY(N420,-(Setup!$C$13+Setup!$G$32),Setup!$C$39:$C$50))&gt;=Setup!$C$15,MONTH(WORKDAY(N420,-(Setup!$C$13+Setup!$G$32),Setup!$C$39:$C$50))&lt;=Setup!$C$16))),WORKDAY(N420,-(Setup!$C$13+Setup!$G$32+Setup!$C$14),Setup!$C$39:$C$50),WORKDAY(N420,-(Setup!$C$13+Setup!$G$32),Setup!$C$39:$C$50))+(415*100+13)/10000000)))</f>
        <v/>
      </c>
      <c r="AE420" t="str">
        <f>IF(O420="","",IF(O420&lt;Setup!$C$5-Setup!$C$6,"",IF(IF(ISNUMBER(Roster!$D420),Setup!$C$33&lt;=Roster!$D420,FALSE),"",IF(OR(IF(Setup!$C$15&lt;=Setup!$C$16,AND(MONTH(O420)&gt;=Setup!$C$15,MONTH(O420)&lt;=Setup!$C$16),OR(MONTH(O420)&gt;=Setup!$C$15,MONTH(O420)&lt;=Setup!$C$16)),IF(Setup!$C$15&lt;=Setup!$C$16,AND(MONTH(WORKDAY(O420,-(Setup!$C$13+Setup!$G$33),Setup!$C$39:$C$50))&gt;=Setup!$C$15,MONTH(WORKDAY(O420,-(Setup!$C$13+Setup!$G$33),Setup!$C$39:$C$50))&lt;=Setup!$C$16),OR(MONTH(WORKDAY(O420,-(Setup!$C$13+Setup!$G$33),Setup!$C$39:$C$50))&gt;=Setup!$C$15,MONTH(WORKDAY(O420,-(Setup!$C$13+Setup!$G$33),Setup!$C$39:$C$50))&lt;=Setup!$C$16))),WORKDAY(O420,-(Setup!$C$13+Setup!$G$33+Setup!$C$14),Setup!$C$39:$C$50),WORKDAY(O420,-(Setup!$C$13+Setup!$G$33),Setup!$C$39:$C$50))+(415*100+14)/10000000)))</f>
        <v/>
      </c>
      <c r="AF420" t="str">
        <f>IF(P420="","",IF(P420&lt;Setup!$C$5-Setup!$C$6,"",IF(IF(ISNUMBER(Roster!$D420),Setup!$C$34&lt;=Roster!$D420,FALSE),"",IF(OR(IF(Setup!$C$15&lt;=Setup!$C$16,AND(MONTH(P420)&gt;=Setup!$C$15,MONTH(P420)&lt;=Setup!$C$16),OR(MONTH(P420)&gt;=Setup!$C$15,MONTH(P420)&lt;=Setup!$C$16)),IF(Setup!$C$15&lt;=Setup!$C$16,AND(MONTH(WORKDAY(P420,-(Setup!$C$13+Setup!$G$34),Setup!$C$39:$C$50))&gt;=Setup!$C$15,MONTH(WORKDAY(P420,-(Setup!$C$13+Setup!$G$34),Setup!$C$39:$C$50))&lt;=Setup!$C$16),OR(MONTH(WORKDAY(P420,-(Setup!$C$13+Setup!$G$34),Setup!$C$39:$C$50))&gt;=Setup!$C$15,MONTH(WORKDAY(P420,-(Setup!$C$13+Setup!$G$34),Setup!$C$39:$C$50))&lt;=Setup!$C$16))),WORKDAY(P420,-(Setup!$C$13+Setup!$G$34+Setup!$C$14),Setup!$C$39:$C$50),WORKDAY(P420,-(Setup!$C$13+Setup!$G$34),Setup!$C$39:$C$50))+(415*100+15)/10000000)))</f>
        <v/>
      </c>
      <c r="AH420" t="str">
        <f t="shared" si="46"/>
        <v/>
      </c>
      <c r="AI420" t="str">
        <f t="shared" si="47"/>
        <v/>
      </c>
      <c r="AP420" t="str">
        <f>IF(ISNUMBER(Roster!$B420),MAX(1,YEAR(Setup!$C$5)-YEAR(Roster!$B420)+IF(EDATE(Roster!$B420,12*(YEAR(Setup!$C$5)-YEAR(Roster!$B420)))&lt;Setup!$C$5,1,0)),"")</f>
        <v/>
      </c>
      <c r="AQ420" s="32" t="str">
        <f>IF(AP420="","",EDATE(Roster!$B420,12*AP420))</f>
        <v/>
      </c>
      <c r="AR420" t="str">
        <f>IF(AQ420="","",IF(AQ420&lt;DATE(YEAR(Setup!$C$5)+1,MONTH(Setup!$C$5),DAY(Setup!$C$5)),AQ420+415/1000,""))</f>
        <v/>
      </c>
      <c r="AS420" t="str">
        <f t="shared" si="48"/>
        <v/>
      </c>
      <c r="AT420" t="str">
        <f>IF(AS420="","",IF(ISNUMBER(Roster!$D420),Roster!$D420&gt;=AP420,FALSE))</f>
        <v/>
      </c>
      <c r="AU420" t="str">
        <f t="shared" si="49"/>
        <v/>
      </c>
      <c r="AV420" t="str">
        <f ca="1">IF(415&gt;$AV$2,"",SMALL($AR$6:$AR$505,415))</f>
        <v/>
      </c>
      <c r="AW420" t="str">
        <f t="shared" ca="1" si="50"/>
        <v/>
      </c>
    </row>
    <row r="421" spans="2:49" x14ac:dyDescent="0.2">
      <c r="B421" s="32" t="str">
        <f>IF(AND(ISNUMBER(Roster!$B421),Setup!$B$20="Yes",ISNUMBER(Setup!$C$20)),EDATE(Roster!$B421,12*Setup!$C$20),"")</f>
        <v/>
      </c>
      <c r="C421" s="32" t="str">
        <f>IF(AND(ISNUMBER(Roster!$B421),Setup!$B$21="Yes",ISNUMBER(Setup!$C$21)),EDATE(Roster!$B421,12*Setup!$C$21),"")</f>
        <v/>
      </c>
      <c r="D421" s="32" t="str">
        <f>IF(AND(ISNUMBER(Roster!$B421),Setup!$B$22="Yes",ISNUMBER(Setup!$C$22)),EDATE(Roster!$B421,12*Setup!$C$22),"")</f>
        <v/>
      </c>
      <c r="E421" s="32" t="str">
        <f>IF(AND(ISNUMBER(Roster!$B421),Setup!$B$23="Yes",ISNUMBER(Setup!$C$23)),EDATE(Roster!$B421,12*Setup!$C$23),"")</f>
        <v/>
      </c>
      <c r="F421" s="32" t="str">
        <f>IF(AND(ISNUMBER(Roster!$B421),Setup!$B$24="Yes",ISNUMBER(Setup!$C$24)),EDATE(Roster!$B421,12*Setup!$C$24),"")</f>
        <v/>
      </c>
      <c r="G421" s="32" t="str">
        <f>IF(AND(ISNUMBER(Roster!$B421),Setup!$B$25="Yes",ISNUMBER(Setup!$C$25)),EDATE(Roster!$B421,12*Setup!$C$25),"")</f>
        <v/>
      </c>
      <c r="H421" s="32" t="str">
        <f>IF(AND(ISNUMBER(Roster!$B421),Setup!$B$26="Yes",ISNUMBER(Setup!$C$26)),EDATE(Roster!$B421,12*Setup!$C$26),"")</f>
        <v/>
      </c>
      <c r="I421" s="32" t="str">
        <f>IF(AND(ISNUMBER(Roster!$B421),Setup!$B$27="Yes",ISNUMBER(Setup!$C$27)),EDATE(Roster!$B421,12*Setup!$C$27),"")</f>
        <v/>
      </c>
      <c r="J421" s="32" t="str">
        <f>IF(AND(ISNUMBER(Roster!$B421),Setup!$B$28="Yes",ISNUMBER(Setup!$C$28)),EDATE(Roster!$B421,12*Setup!$C$28),"")</f>
        <v/>
      </c>
      <c r="K421" s="32" t="str">
        <f>IF(AND(ISNUMBER(Roster!$B421),Setup!$B$29="Yes",ISNUMBER(Setup!$C$29)),EDATE(Roster!$B421,12*Setup!$C$29),"")</f>
        <v/>
      </c>
      <c r="L421" s="32" t="str">
        <f>IF(AND(ISNUMBER(Roster!$B421),Setup!$B$30="Yes",ISNUMBER(Setup!$C$30)),EDATE(Roster!$B421,12*Setup!$C$30),"")</f>
        <v/>
      </c>
      <c r="M421" s="32" t="str">
        <f>IF(AND(ISNUMBER(Roster!$B421),Setup!$B$31="Yes",ISNUMBER(Setup!$C$31)),EDATE(Roster!$B421,12*Setup!$C$31),"")</f>
        <v/>
      </c>
      <c r="N421" s="32" t="str">
        <f>IF(AND(ISNUMBER(Roster!$B421),Setup!$B$32="Yes",ISNUMBER(Setup!$C$32)),EDATE(Roster!$B421,12*Setup!$C$32),"")</f>
        <v/>
      </c>
      <c r="O421" s="32" t="str">
        <f>IF(AND(ISNUMBER(Roster!$B421),Setup!$B$33="Yes",ISNUMBER(Setup!$C$33)),EDATE(Roster!$B421,12*Setup!$C$33),"")</f>
        <v/>
      </c>
      <c r="P421" s="32" t="str">
        <f>IF(AND(ISNUMBER(Roster!$B421),Setup!$B$34="Yes",ISNUMBER(Setup!$C$34)),EDATE(Roster!$B421,12*Setup!$C$34),"")</f>
        <v/>
      </c>
      <c r="R421" t="str">
        <f>IF(B421="","",IF(B421&lt;Setup!$C$5-Setup!$C$6,"",IF(IF(ISNUMBER(Roster!$D421),Setup!$C$20&lt;=Roster!$D421,FALSE),"",IF(OR(IF(Setup!$C$15&lt;=Setup!$C$16,AND(MONTH(B421)&gt;=Setup!$C$15,MONTH(B421)&lt;=Setup!$C$16),OR(MONTH(B421)&gt;=Setup!$C$15,MONTH(B421)&lt;=Setup!$C$16)),IF(Setup!$C$15&lt;=Setup!$C$16,AND(MONTH(WORKDAY(B421,-(Setup!$C$13+Setup!$G$20),Setup!$C$39:$C$50))&gt;=Setup!$C$15,MONTH(WORKDAY(B421,-(Setup!$C$13+Setup!$G$20),Setup!$C$39:$C$50))&lt;=Setup!$C$16),OR(MONTH(WORKDAY(B421,-(Setup!$C$13+Setup!$G$20),Setup!$C$39:$C$50))&gt;=Setup!$C$15,MONTH(WORKDAY(B421,-(Setup!$C$13+Setup!$G$20),Setup!$C$39:$C$50))&lt;=Setup!$C$16))),WORKDAY(B421,-(Setup!$C$13+Setup!$G$20+Setup!$C$14),Setup!$C$39:$C$50),WORKDAY(B421,-(Setup!$C$13+Setup!$G$20),Setup!$C$39:$C$50))+(416*100+1)/10000000)))</f>
        <v/>
      </c>
      <c r="S421" t="str">
        <f>IF(C421="","",IF(C421&lt;Setup!$C$5-Setup!$C$6,"",IF(IF(ISNUMBER(Roster!$D421),Setup!$C$21&lt;=Roster!$D421,FALSE),"",IF(OR(IF(Setup!$C$15&lt;=Setup!$C$16,AND(MONTH(C421)&gt;=Setup!$C$15,MONTH(C421)&lt;=Setup!$C$16),OR(MONTH(C421)&gt;=Setup!$C$15,MONTH(C421)&lt;=Setup!$C$16)),IF(Setup!$C$15&lt;=Setup!$C$16,AND(MONTH(WORKDAY(C421,-(Setup!$C$13+Setup!$G$21),Setup!$C$39:$C$50))&gt;=Setup!$C$15,MONTH(WORKDAY(C421,-(Setup!$C$13+Setup!$G$21),Setup!$C$39:$C$50))&lt;=Setup!$C$16),OR(MONTH(WORKDAY(C421,-(Setup!$C$13+Setup!$G$21),Setup!$C$39:$C$50))&gt;=Setup!$C$15,MONTH(WORKDAY(C421,-(Setup!$C$13+Setup!$G$21),Setup!$C$39:$C$50))&lt;=Setup!$C$16))),WORKDAY(C421,-(Setup!$C$13+Setup!$G$21+Setup!$C$14),Setup!$C$39:$C$50),WORKDAY(C421,-(Setup!$C$13+Setup!$G$21),Setup!$C$39:$C$50))+(416*100+2)/10000000)))</f>
        <v/>
      </c>
      <c r="T421" t="str">
        <f>IF(D421="","",IF(D421&lt;Setup!$C$5-Setup!$C$6,"",IF(IF(ISNUMBER(Roster!$D421),Setup!$C$22&lt;=Roster!$D421,FALSE),"",IF(OR(IF(Setup!$C$15&lt;=Setup!$C$16,AND(MONTH(D421)&gt;=Setup!$C$15,MONTH(D421)&lt;=Setup!$C$16),OR(MONTH(D421)&gt;=Setup!$C$15,MONTH(D421)&lt;=Setup!$C$16)),IF(Setup!$C$15&lt;=Setup!$C$16,AND(MONTH(WORKDAY(D421,-(Setup!$C$13+Setup!$G$22),Setup!$C$39:$C$50))&gt;=Setup!$C$15,MONTH(WORKDAY(D421,-(Setup!$C$13+Setup!$G$22),Setup!$C$39:$C$50))&lt;=Setup!$C$16),OR(MONTH(WORKDAY(D421,-(Setup!$C$13+Setup!$G$22),Setup!$C$39:$C$50))&gt;=Setup!$C$15,MONTH(WORKDAY(D421,-(Setup!$C$13+Setup!$G$22),Setup!$C$39:$C$50))&lt;=Setup!$C$16))),WORKDAY(D421,-(Setup!$C$13+Setup!$G$22+Setup!$C$14),Setup!$C$39:$C$50),WORKDAY(D421,-(Setup!$C$13+Setup!$G$22),Setup!$C$39:$C$50))+(416*100+3)/10000000)))</f>
        <v/>
      </c>
      <c r="U421" t="str">
        <f>IF(E421="","",IF(E421&lt;Setup!$C$5-Setup!$C$6,"",IF(IF(ISNUMBER(Roster!$D421),Setup!$C$23&lt;=Roster!$D421,FALSE),"",IF(OR(IF(Setup!$C$15&lt;=Setup!$C$16,AND(MONTH(E421)&gt;=Setup!$C$15,MONTH(E421)&lt;=Setup!$C$16),OR(MONTH(E421)&gt;=Setup!$C$15,MONTH(E421)&lt;=Setup!$C$16)),IF(Setup!$C$15&lt;=Setup!$C$16,AND(MONTH(WORKDAY(E421,-(Setup!$C$13+Setup!$G$23),Setup!$C$39:$C$50))&gt;=Setup!$C$15,MONTH(WORKDAY(E421,-(Setup!$C$13+Setup!$G$23),Setup!$C$39:$C$50))&lt;=Setup!$C$16),OR(MONTH(WORKDAY(E421,-(Setup!$C$13+Setup!$G$23),Setup!$C$39:$C$50))&gt;=Setup!$C$15,MONTH(WORKDAY(E421,-(Setup!$C$13+Setup!$G$23),Setup!$C$39:$C$50))&lt;=Setup!$C$16))),WORKDAY(E421,-(Setup!$C$13+Setup!$G$23+Setup!$C$14),Setup!$C$39:$C$50),WORKDAY(E421,-(Setup!$C$13+Setup!$G$23),Setup!$C$39:$C$50))+(416*100+4)/10000000)))</f>
        <v/>
      </c>
      <c r="V421" t="str">
        <f>IF(F421="","",IF(F421&lt;Setup!$C$5-Setup!$C$6,"",IF(IF(ISNUMBER(Roster!$D421),Setup!$C$24&lt;=Roster!$D421,FALSE),"",IF(OR(IF(Setup!$C$15&lt;=Setup!$C$16,AND(MONTH(F421)&gt;=Setup!$C$15,MONTH(F421)&lt;=Setup!$C$16),OR(MONTH(F421)&gt;=Setup!$C$15,MONTH(F421)&lt;=Setup!$C$16)),IF(Setup!$C$15&lt;=Setup!$C$16,AND(MONTH(WORKDAY(F421,-(Setup!$C$13+Setup!$G$24),Setup!$C$39:$C$50))&gt;=Setup!$C$15,MONTH(WORKDAY(F421,-(Setup!$C$13+Setup!$G$24),Setup!$C$39:$C$50))&lt;=Setup!$C$16),OR(MONTH(WORKDAY(F421,-(Setup!$C$13+Setup!$G$24),Setup!$C$39:$C$50))&gt;=Setup!$C$15,MONTH(WORKDAY(F421,-(Setup!$C$13+Setup!$G$24),Setup!$C$39:$C$50))&lt;=Setup!$C$16))),WORKDAY(F421,-(Setup!$C$13+Setup!$G$24+Setup!$C$14),Setup!$C$39:$C$50),WORKDAY(F421,-(Setup!$C$13+Setup!$G$24),Setup!$C$39:$C$50))+(416*100+5)/10000000)))</f>
        <v/>
      </c>
      <c r="W421" t="str">
        <f>IF(G421="","",IF(G421&lt;Setup!$C$5-Setup!$C$6,"",IF(IF(ISNUMBER(Roster!$D421),Setup!$C$25&lt;=Roster!$D421,FALSE),"",IF(OR(IF(Setup!$C$15&lt;=Setup!$C$16,AND(MONTH(G421)&gt;=Setup!$C$15,MONTH(G421)&lt;=Setup!$C$16),OR(MONTH(G421)&gt;=Setup!$C$15,MONTH(G421)&lt;=Setup!$C$16)),IF(Setup!$C$15&lt;=Setup!$C$16,AND(MONTH(WORKDAY(G421,-(Setup!$C$13+Setup!$G$25),Setup!$C$39:$C$50))&gt;=Setup!$C$15,MONTH(WORKDAY(G421,-(Setup!$C$13+Setup!$G$25),Setup!$C$39:$C$50))&lt;=Setup!$C$16),OR(MONTH(WORKDAY(G421,-(Setup!$C$13+Setup!$G$25),Setup!$C$39:$C$50))&gt;=Setup!$C$15,MONTH(WORKDAY(G421,-(Setup!$C$13+Setup!$G$25),Setup!$C$39:$C$50))&lt;=Setup!$C$16))),WORKDAY(G421,-(Setup!$C$13+Setup!$G$25+Setup!$C$14),Setup!$C$39:$C$50),WORKDAY(G421,-(Setup!$C$13+Setup!$G$25),Setup!$C$39:$C$50))+(416*100+6)/10000000)))</f>
        <v/>
      </c>
      <c r="X421" t="str">
        <f>IF(H421="","",IF(H421&lt;Setup!$C$5-Setup!$C$6,"",IF(IF(ISNUMBER(Roster!$D421),Setup!$C$26&lt;=Roster!$D421,FALSE),"",IF(OR(IF(Setup!$C$15&lt;=Setup!$C$16,AND(MONTH(H421)&gt;=Setup!$C$15,MONTH(H421)&lt;=Setup!$C$16),OR(MONTH(H421)&gt;=Setup!$C$15,MONTH(H421)&lt;=Setup!$C$16)),IF(Setup!$C$15&lt;=Setup!$C$16,AND(MONTH(WORKDAY(H421,-(Setup!$C$13+Setup!$G$26),Setup!$C$39:$C$50))&gt;=Setup!$C$15,MONTH(WORKDAY(H421,-(Setup!$C$13+Setup!$G$26),Setup!$C$39:$C$50))&lt;=Setup!$C$16),OR(MONTH(WORKDAY(H421,-(Setup!$C$13+Setup!$G$26),Setup!$C$39:$C$50))&gt;=Setup!$C$15,MONTH(WORKDAY(H421,-(Setup!$C$13+Setup!$G$26),Setup!$C$39:$C$50))&lt;=Setup!$C$16))),WORKDAY(H421,-(Setup!$C$13+Setup!$G$26+Setup!$C$14),Setup!$C$39:$C$50),WORKDAY(H421,-(Setup!$C$13+Setup!$G$26),Setup!$C$39:$C$50))+(416*100+7)/10000000)))</f>
        <v/>
      </c>
      <c r="Y421" t="str">
        <f>IF(I421="","",IF(I421&lt;Setup!$C$5-Setup!$C$6,"",IF(IF(ISNUMBER(Roster!$D421),Setup!$C$27&lt;=Roster!$D421,FALSE),"",IF(OR(IF(Setup!$C$15&lt;=Setup!$C$16,AND(MONTH(I421)&gt;=Setup!$C$15,MONTH(I421)&lt;=Setup!$C$16),OR(MONTH(I421)&gt;=Setup!$C$15,MONTH(I421)&lt;=Setup!$C$16)),IF(Setup!$C$15&lt;=Setup!$C$16,AND(MONTH(WORKDAY(I421,-(Setup!$C$13+Setup!$G$27),Setup!$C$39:$C$50))&gt;=Setup!$C$15,MONTH(WORKDAY(I421,-(Setup!$C$13+Setup!$G$27),Setup!$C$39:$C$50))&lt;=Setup!$C$16),OR(MONTH(WORKDAY(I421,-(Setup!$C$13+Setup!$G$27),Setup!$C$39:$C$50))&gt;=Setup!$C$15,MONTH(WORKDAY(I421,-(Setup!$C$13+Setup!$G$27),Setup!$C$39:$C$50))&lt;=Setup!$C$16))),WORKDAY(I421,-(Setup!$C$13+Setup!$G$27+Setup!$C$14),Setup!$C$39:$C$50),WORKDAY(I421,-(Setup!$C$13+Setup!$G$27),Setup!$C$39:$C$50))+(416*100+8)/10000000)))</f>
        <v/>
      </c>
      <c r="Z421" t="str">
        <f>IF(J421="","",IF(J421&lt;Setup!$C$5-Setup!$C$6,"",IF(IF(ISNUMBER(Roster!$D421),Setup!$C$28&lt;=Roster!$D421,FALSE),"",IF(OR(IF(Setup!$C$15&lt;=Setup!$C$16,AND(MONTH(J421)&gt;=Setup!$C$15,MONTH(J421)&lt;=Setup!$C$16),OR(MONTH(J421)&gt;=Setup!$C$15,MONTH(J421)&lt;=Setup!$C$16)),IF(Setup!$C$15&lt;=Setup!$C$16,AND(MONTH(WORKDAY(J421,-(Setup!$C$13+Setup!$G$28),Setup!$C$39:$C$50))&gt;=Setup!$C$15,MONTH(WORKDAY(J421,-(Setup!$C$13+Setup!$G$28),Setup!$C$39:$C$50))&lt;=Setup!$C$16),OR(MONTH(WORKDAY(J421,-(Setup!$C$13+Setup!$G$28),Setup!$C$39:$C$50))&gt;=Setup!$C$15,MONTH(WORKDAY(J421,-(Setup!$C$13+Setup!$G$28),Setup!$C$39:$C$50))&lt;=Setup!$C$16))),WORKDAY(J421,-(Setup!$C$13+Setup!$G$28+Setup!$C$14),Setup!$C$39:$C$50),WORKDAY(J421,-(Setup!$C$13+Setup!$G$28),Setup!$C$39:$C$50))+(416*100+9)/10000000)))</f>
        <v/>
      </c>
      <c r="AA421" t="str">
        <f>IF(K421="","",IF(K421&lt;Setup!$C$5-Setup!$C$6,"",IF(IF(ISNUMBER(Roster!$D421),Setup!$C$29&lt;=Roster!$D421,FALSE),"",IF(OR(IF(Setup!$C$15&lt;=Setup!$C$16,AND(MONTH(K421)&gt;=Setup!$C$15,MONTH(K421)&lt;=Setup!$C$16),OR(MONTH(K421)&gt;=Setup!$C$15,MONTH(K421)&lt;=Setup!$C$16)),IF(Setup!$C$15&lt;=Setup!$C$16,AND(MONTH(WORKDAY(K421,-(Setup!$C$13+Setup!$G$29),Setup!$C$39:$C$50))&gt;=Setup!$C$15,MONTH(WORKDAY(K421,-(Setup!$C$13+Setup!$G$29),Setup!$C$39:$C$50))&lt;=Setup!$C$16),OR(MONTH(WORKDAY(K421,-(Setup!$C$13+Setup!$G$29),Setup!$C$39:$C$50))&gt;=Setup!$C$15,MONTH(WORKDAY(K421,-(Setup!$C$13+Setup!$G$29),Setup!$C$39:$C$50))&lt;=Setup!$C$16))),WORKDAY(K421,-(Setup!$C$13+Setup!$G$29+Setup!$C$14),Setup!$C$39:$C$50),WORKDAY(K421,-(Setup!$C$13+Setup!$G$29),Setup!$C$39:$C$50))+(416*100+10)/10000000)))</f>
        <v/>
      </c>
      <c r="AB421" t="str">
        <f>IF(L421="","",IF(L421&lt;Setup!$C$5-Setup!$C$6,"",IF(IF(ISNUMBER(Roster!$D421),Setup!$C$30&lt;=Roster!$D421,FALSE),"",IF(OR(IF(Setup!$C$15&lt;=Setup!$C$16,AND(MONTH(L421)&gt;=Setup!$C$15,MONTH(L421)&lt;=Setup!$C$16),OR(MONTH(L421)&gt;=Setup!$C$15,MONTH(L421)&lt;=Setup!$C$16)),IF(Setup!$C$15&lt;=Setup!$C$16,AND(MONTH(WORKDAY(L421,-(Setup!$C$13+Setup!$G$30),Setup!$C$39:$C$50))&gt;=Setup!$C$15,MONTH(WORKDAY(L421,-(Setup!$C$13+Setup!$G$30),Setup!$C$39:$C$50))&lt;=Setup!$C$16),OR(MONTH(WORKDAY(L421,-(Setup!$C$13+Setup!$G$30),Setup!$C$39:$C$50))&gt;=Setup!$C$15,MONTH(WORKDAY(L421,-(Setup!$C$13+Setup!$G$30),Setup!$C$39:$C$50))&lt;=Setup!$C$16))),WORKDAY(L421,-(Setup!$C$13+Setup!$G$30+Setup!$C$14),Setup!$C$39:$C$50),WORKDAY(L421,-(Setup!$C$13+Setup!$G$30),Setup!$C$39:$C$50))+(416*100+11)/10000000)))</f>
        <v/>
      </c>
      <c r="AC421" t="str">
        <f>IF(M421="","",IF(M421&lt;Setup!$C$5-Setup!$C$6,"",IF(IF(ISNUMBER(Roster!$D421),Setup!$C$31&lt;=Roster!$D421,FALSE),"",IF(OR(IF(Setup!$C$15&lt;=Setup!$C$16,AND(MONTH(M421)&gt;=Setup!$C$15,MONTH(M421)&lt;=Setup!$C$16),OR(MONTH(M421)&gt;=Setup!$C$15,MONTH(M421)&lt;=Setup!$C$16)),IF(Setup!$C$15&lt;=Setup!$C$16,AND(MONTH(WORKDAY(M421,-(Setup!$C$13+Setup!$G$31),Setup!$C$39:$C$50))&gt;=Setup!$C$15,MONTH(WORKDAY(M421,-(Setup!$C$13+Setup!$G$31),Setup!$C$39:$C$50))&lt;=Setup!$C$16),OR(MONTH(WORKDAY(M421,-(Setup!$C$13+Setup!$G$31),Setup!$C$39:$C$50))&gt;=Setup!$C$15,MONTH(WORKDAY(M421,-(Setup!$C$13+Setup!$G$31),Setup!$C$39:$C$50))&lt;=Setup!$C$16))),WORKDAY(M421,-(Setup!$C$13+Setup!$G$31+Setup!$C$14),Setup!$C$39:$C$50),WORKDAY(M421,-(Setup!$C$13+Setup!$G$31),Setup!$C$39:$C$50))+(416*100+12)/10000000)))</f>
        <v/>
      </c>
      <c r="AD421" t="str">
        <f>IF(N421="","",IF(N421&lt;Setup!$C$5-Setup!$C$6,"",IF(IF(ISNUMBER(Roster!$D421),Setup!$C$32&lt;=Roster!$D421,FALSE),"",IF(OR(IF(Setup!$C$15&lt;=Setup!$C$16,AND(MONTH(N421)&gt;=Setup!$C$15,MONTH(N421)&lt;=Setup!$C$16),OR(MONTH(N421)&gt;=Setup!$C$15,MONTH(N421)&lt;=Setup!$C$16)),IF(Setup!$C$15&lt;=Setup!$C$16,AND(MONTH(WORKDAY(N421,-(Setup!$C$13+Setup!$G$32),Setup!$C$39:$C$50))&gt;=Setup!$C$15,MONTH(WORKDAY(N421,-(Setup!$C$13+Setup!$G$32),Setup!$C$39:$C$50))&lt;=Setup!$C$16),OR(MONTH(WORKDAY(N421,-(Setup!$C$13+Setup!$G$32),Setup!$C$39:$C$50))&gt;=Setup!$C$15,MONTH(WORKDAY(N421,-(Setup!$C$13+Setup!$G$32),Setup!$C$39:$C$50))&lt;=Setup!$C$16))),WORKDAY(N421,-(Setup!$C$13+Setup!$G$32+Setup!$C$14),Setup!$C$39:$C$50),WORKDAY(N421,-(Setup!$C$13+Setup!$G$32),Setup!$C$39:$C$50))+(416*100+13)/10000000)))</f>
        <v/>
      </c>
      <c r="AE421" t="str">
        <f>IF(O421="","",IF(O421&lt;Setup!$C$5-Setup!$C$6,"",IF(IF(ISNUMBER(Roster!$D421),Setup!$C$33&lt;=Roster!$D421,FALSE),"",IF(OR(IF(Setup!$C$15&lt;=Setup!$C$16,AND(MONTH(O421)&gt;=Setup!$C$15,MONTH(O421)&lt;=Setup!$C$16),OR(MONTH(O421)&gt;=Setup!$C$15,MONTH(O421)&lt;=Setup!$C$16)),IF(Setup!$C$15&lt;=Setup!$C$16,AND(MONTH(WORKDAY(O421,-(Setup!$C$13+Setup!$G$33),Setup!$C$39:$C$50))&gt;=Setup!$C$15,MONTH(WORKDAY(O421,-(Setup!$C$13+Setup!$G$33),Setup!$C$39:$C$50))&lt;=Setup!$C$16),OR(MONTH(WORKDAY(O421,-(Setup!$C$13+Setup!$G$33),Setup!$C$39:$C$50))&gt;=Setup!$C$15,MONTH(WORKDAY(O421,-(Setup!$C$13+Setup!$G$33),Setup!$C$39:$C$50))&lt;=Setup!$C$16))),WORKDAY(O421,-(Setup!$C$13+Setup!$G$33+Setup!$C$14),Setup!$C$39:$C$50),WORKDAY(O421,-(Setup!$C$13+Setup!$G$33),Setup!$C$39:$C$50))+(416*100+14)/10000000)))</f>
        <v/>
      </c>
      <c r="AF421" t="str">
        <f>IF(P421="","",IF(P421&lt;Setup!$C$5-Setup!$C$6,"",IF(IF(ISNUMBER(Roster!$D421),Setup!$C$34&lt;=Roster!$D421,FALSE),"",IF(OR(IF(Setup!$C$15&lt;=Setup!$C$16,AND(MONTH(P421)&gt;=Setup!$C$15,MONTH(P421)&lt;=Setup!$C$16),OR(MONTH(P421)&gt;=Setup!$C$15,MONTH(P421)&lt;=Setup!$C$16)),IF(Setup!$C$15&lt;=Setup!$C$16,AND(MONTH(WORKDAY(P421,-(Setup!$C$13+Setup!$G$34),Setup!$C$39:$C$50))&gt;=Setup!$C$15,MONTH(WORKDAY(P421,-(Setup!$C$13+Setup!$G$34),Setup!$C$39:$C$50))&lt;=Setup!$C$16),OR(MONTH(WORKDAY(P421,-(Setup!$C$13+Setup!$G$34),Setup!$C$39:$C$50))&gt;=Setup!$C$15,MONTH(WORKDAY(P421,-(Setup!$C$13+Setup!$G$34),Setup!$C$39:$C$50))&lt;=Setup!$C$16))),WORKDAY(P421,-(Setup!$C$13+Setup!$G$34+Setup!$C$14),Setup!$C$39:$C$50),WORKDAY(P421,-(Setup!$C$13+Setup!$G$34),Setup!$C$39:$C$50))+(416*100+15)/10000000)))</f>
        <v/>
      </c>
      <c r="AH421" t="str">
        <f t="shared" si="46"/>
        <v/>
      </c>
      <c r="AI421" t="str">
        <f t="shared" si="47"/>
        <v/>
      </c>
      <c r="AP421" t="str">
        <f>IF(ISNUMBER(Roster!$B421),MAX(1,YEAR(Setup!$C$5)-YEAR(Roster!$B421)+IF(EDATE(Roster!$B421,12*(YEAR(Setup!$C$5)-YEAR(Roster!$B421)))&lt;Setup!$C$5,1,0)),"")</f>
        <v/>
      </c>
      <c r="AQ421" s="32" t="str">
        <f>IF(AP421="","",EDATE(Roster!$B421,12*AP421))</f>
        <v/>
      </c>
      <c r="AR421" t="str">
        <f>IF(AQ421="","",IF(AQ421&lt;DATE(YEAR(Setup!$C$5)+1,MONTH(Setup!$C$5),DAY(Setup!$C$5)),AQ421+416/1000,""))</f>
        <v/>
      </c>
      <c r="AS421" t="str">
        <f t="shared" si="48"/>
        <v/>
      </c>
      <c r="AT421" t="str">
        <f>IF(AS421="","",IF(ISNUMBER(Roster!$D421),Roster!$D421&gt;=AP421,FALSE))</f>
        <v/>
      </c>
      <c r="AU421" t="str">
        <f t="shared" si="49"/>
        <v/>
      </c>
      <c r="AV421" t="str">
        <f ca="1">IF(416&gt;$AV$2,"",SMALL($AR$6:$AR$505,416))</f>
        <v/>
      </c>
      <c r="AW421" t="str">
        <f t="shared" ca="1" si="50"/>
        <v/>
      </c>
    </row>
    <row r="422" spans="2:49" x14ac:dyDescent="0.2">
      <c r="B422" s="32" t="str">
        <f>IF(AND(ISNUMBER(Roster!$B422),Setup!$B$20="Yes",ISNUMBER(Setup!$C$20)),EDATE(Roster!$B422,12*Setup!$C$20),"")</f>
        <v/>
      </c>
      <c r="C422" s="32" t="str">
        <f>IF(AND(ISNUMBER(Roster!$B422),Setup!$B$21="Yes",ISNUMBER(Setup!$C$21)),EDATE(Roster!$B422,12*Setup!$C$21),"")</f>
        <v/>
      </c>
      <c r="D422" s="32" t="str">
        <f>IF(AND(ISNUMBER(Roster!$B422),Setup!$B$22="Yes",ISNUMBER(Setup!$C$22)),EDATE(Roster!$B422,12*Setup!$C$22),"")</f>
        <v/>
      </c>
      <c r="E422" s="32" t="str">
        <f>IF(AND(ISNUMBER(Roster!$B422),Setup!$B$23="Yes",ISNUMBER(Setup!$C$23)),EDATE(Roster!$B422,12*Setup!$C$23),"")</f>
        <v/>
      </c>
      <c r="F422" s="32" t="str">
        <f>IF(AND(ISNUMBER(Roster!$B422),Setup!$B$24="Yes",ISNUMBER(Setup!$C$24)),EDATE(Roster!$B422,12*Setup!$C$24),"")</f>
        <v/>
      </c>
      <c r="G422" s="32" t="str">
        <f>IF(AND(ISNUMBER(Roster!$B422),Setup!$B$25="Yes",ISNUMBER(Setup!$C$25)),EDATE(Roster!$B422,12*Setup!$C$25),"")</f>
        <v/>
      </c>
      <c r="H422" s="32" t="str">
        <f>IF(AND(ISNUMBER(Roster!$B422),Setup!$B$26="Yes",ISNUMBER(Setup!$C$26)),EDATE(Roster!$B422,12*Setup!$C$26),"")</f>
        <v/>
      </c>
      <c r="I422" s="32" t="str">
        <f>IF(AND(ISNUMBER(Roster!$B422),Setup!$B$27="Yes",ISNUMBER(Setup!$C$27)),EDATE(Roster!$B422,12*Setup!$C$27),"")</f>
        <v/>
      </c>
      <c r="J422" s="32" t="str">
        <f>IF(AND(ISNUMBER(Roster!$B422),Setup!$B$28="Yes",ISNUMBER(Setup!$C$28)),EDATE(Roster!$B422,12*Setup!$C$28),"")</f>
        <v/>
      </c>
      <c r="K422" s="32" t="str">
        <f>IF(AND(ISNUMBER(Roster!$B422),Setup!$B$29="Yes",ISNUMBER(Setup!$C$29)),EDATE(Roster!$B422,12*Setup!$C$29),"")</f>
        <v/>
      </c>
      <c r="L422" s="32" t="str">
        <f>IF(AND(ISNUMBER(Roster!$B422),Setup!$B$30="Yes",ISNUMBER(Setup!$C$30)),EDATE(Roster!$B422,12*Setup!$C$30),"")</f>
        <v/>
      </c>
      <c r="M422" s="32" t="str">
        <f>IF(AND(ISNUMBER(Roster!$B422),Setup!$B$31="Yes",ISNUMBER(Setup!$C$31)),EDATE(Roster!$B422,12*Setup!$C$31),"")</f>
        <v/>
      </c>
      <c r="N422" s="32" t="str">
        <f>IF(AND(ISNUMBER(Roster!$B422),Setup!$B$32="Yes",ISNUMBER(Setup!$C$32)),EDATE(Roster!$B422,12*Setup!$C$32),"")</f>
        <v/>
      </c>
      <c r="O422" s="32" t="str">
        <f>IF(AND(ISNUMBER(Roster!$B422),Setup!$B$33="Yes",ISNUMBER(Setup!$C$33)),EDATE(Roster!$B422,12*Setup!$C$33),"")</f>
        <v/>
      </c>
      <c r="P422" s="32" t="str">
        <f>IF(AND(ISNUMBER(Roster!$B422),Setup!$B$34="Yes",ISNUMBER(Setup!$C$34)),EDATE(Roster!$B422,12*Setup!$C$34),"")</f>
        <v/>
      </c>
      <c r="R422" t="str">
        <f>IF(B422="","",IF(B422&lt;Setup!$C$5-Setup!$C$6,"",IF(IF(ISNUMBER(Roster!$D422),Setup!$C$20&lt;=Roster!$D422,FALSE),"",IF(OR(IF(Setup!$C$15&lt;=Setup!$C$16,AND(MONTH(B422)&gt;=Setup!$C$15,MONTH(B422)&lt;=Setup!$C$16),OR(MONTH(B422)&gt;=Setup!$C$15,MONTH(B422)&lt;=Setup!$C$16)),IF(Setup!$C$15&lt;=Setup!$C$16,AND(MONTH(WORKDAY(B422,-(Setup!$C$13+Setup!$G$20),Setup!$C$39:$C$50))&gt;=Setup!$C$15,MONTH(WORKDAY(B422,-(Setup!$C$13+Setup!$G$20),Setup!$C$39:$C$50))&lt;=Setup!$C$16),OR(MONTH(WORKDAY(B422,-(Setup!$C$13+Setup!$G$20),Setup!$C$39:$C$50))&gt;=Setup!$C$15,MONTH(WORKDAY(B422,-(Setup!$C$13+Setup!$G$20),Setup!$C$39:$C$50))&lt;=Setup!$C$16))),WORKDAY(B422,-(Setup!$C$13+Setup!$G$20+Setup!$C$14),Setup!$C$39:$C$50),WORKDAY(B422,-(Setup!$C$13+Setup!$G$20),Setup!$C$39:$C$50))+(417*100+1)/10000000)))</f>
        <v/>
      </c>
      <c r="S422" t="str">
        <f>IF(C422="","",IF(C422&lt;Setup!$C$5-Setup!$C$6,"",IF(IF(ISNUMBER(Roster!$D422),Setup!$C$21&lt;=Roster!$D422,FALSE),"",IF(OR(IF(Setup!$C$15&lt;=Setup!$C$16,AND(MONTH(C422)&gt;=Setup!$C$15,MONTH(C422)&lt;=Setup!$C$16),OR(MONTH(C422)&gt;=Setup!$C$15,MONTH(C422)&lt;=Setup!$C$16)),IF(Setup!$C$15&lt;=Setup!$C$16,AND(MONTH(WORKDAY(C422,-(Setup!$C$13+Setup!$G$21),Setup!$C$39:$C$50))&gt;=Setup!$C$15,MONTH(WORKDAY(C422,-(Setup!$C$13+Setup!$G$21),Setup!$C$39:$C$50))&lt;=Setup!$C$16),OR(MONTH(WORKDAY(C422,-(Setup!$C$13+Setup!$G$21),Setup!$C$39:$C$50))&gt;=Setup!$C$15,MONTH(WORKDAY(C422,-(Setup!$C$13+Setup!$G$21),Setup!$C$39:$C$50))&lt;=Setup!$C$16))),WORKDAY(C422,-(Setup!$C$13+Setup!$G$21+Setup!$C$14),Setup!$C$39:$C$50),WORKDAY(C422,-(Setup!$C$13+Setup!$G$21),Setup!$C$39:$C$50))+(417*100+2)/10000000)))</f>
        <v/>
      </c>
      <c r="T422" t="str">
        <f>IF(D422="","",IF(D422&lt;Setup!$C$5-Setup!$C$6,"",IF(IF(ISNUMBER(Roster!$D422),Setup!$C$22&lt;=Roster!$D422,FALSE),"",IF(OR(IF(Setup!$C$15&lt;=Setup!$C$16,AND(MONTH(D422)&gt;=Setup!$C$15,MONTH(D422)&lt;=Setup!$C$16),OR(MONTH(D422)&gt;=Setup!$C$15,MONTH(D422)&lt;=Setup!$C$16)),IF(Setup!$C$15&lt;=Setup!$C$16,AND(MONTH(WORKDAY(D422,-(Setup!$C$13+Setup!$G$22),Setup!$C$39:$C$50))&gt;=Setup!$C$15,MONTH(WORKDAY(D422,-(Setup!$C$13+Setup!$G$22),Setup!$C$39:$C$50))&lt;=Setup!$C$16),OR(MONTH(WORKDAY(D422,-(Setup!$C$13+Setup!$G$22),Setup!$C$39:$C$50))&gt;=Setup!$C$15,MONTH(WORKDAY(D422,-(Setup!$C$13+Setup!$G$22),Setup!$C$39:$C$50))&lt;=Setup!$C$16))),WORKDAY(D422,-(Setup!$C$13+Setup!$G$22+Setup!$C$14),Setup!$C$39:$C$50),WORKDAY(D422,-(Setup!$C$13+Setup!$G$22),Setup!$C$39:$C$50))+(417*100+3)/10000000)))</f>
        <v/>
      </c>
      <c r="U422" t="str">
        <f>IF(E422="","",IF(E422&lt;Setup!$C$5-Setup!$C$6,"",IF(IF(ISNUMBER(Roster!$D422),Setup!$C$23&lt;=Roster!$D422,FALSE),"",IF(OR(IF(Setup!$C$15&lt;=Setup!$C$16,AND(MONTH(E422)&gt;=Setup!$C$15,MONTH(E422)&lt;=Setup!$C$16),OR(MONTH(E422)&gt;=Setup!$C$15,MONTH(E422)&lt;=Setup!$C$16)),IF(Setup!$C$15&lt;=Setup!$C$16,AND(MONTH(WORKDAY(E422,-(Setup!$C$13+Setup!$G$23),Setup!$C$39:$C$50))&gt;=Setup!$C$15,MONTH(WORKDAY(E422,-(Setup!$C$13+Setup!$G$23),Setup!$C$39:$C$50))&lt;=Setup!$C$16),OR(MONTH(WORKDAY(E422,-(Setup!$C$13+Setup!$G$23),Setup!$C$39:$C$50))&gt;=Setup!$C$15,MONTH(WORKDAY(E422,-(Setup!$C$13+Setup!$G$23),Setup!$C$39:$C$50))&lt;=Setup!$C$16))),WORKDAY(E422,-(Setup!$C$13+Setup!$G$23+Setup!$C$14),Setup!$C$39:$C$50),WORKDAY(E422,-(Setup!$C$13+Setup!$G$23),Setup!$C$39:$C$50))+(417*100+4)/10000000)))</f>
        <v/>
      </c>
      <c r="V422" t="str">
        <f>IF(F422="","",IF(F422&lt;Setup!$C$5-Setup!$C$6,"",IF(IF(ISNUMBER(Roster!$D422),Setup!$C$24&lt;=Roster!$D422,FALSE),"",IF(OR(IF(Setup!$C$15&lt;=Setup!$C$16,AND(MONTH(F422)&gt;=Setup!$C$15,MONTH(F422)&lt;=Setup!$C$16),OR(MONTH(F422)&gt;=Setup!$C$15,MONTH(F422)&lt;=Setup!$C$16)),IF(Setup!$C$15&lt;=Setup!$C$16,AND(MONTH(WORKDAY(F422,-(Setup!$C$13+Setup!$G$24),Setup!$C$39:$C$50))&gt;=Setup!$C$15,MONTH(WORKDAY(F422,-(Setup!$C$13+Setup!$G$24),Setup!$C$39:$C$50))&lt;=Setup!$C$16),OR(MONTH(WORKDAY(F422,-(Setup!$C$13+Setup!$G$24),Setup!$C$39:$C$50))&gt;=Setup!$C$15,MONTH(WORKDAY(F422,-(Setup!$C$13+Setup!$G$24),Setup!$C$39:$C$50))&lt;=Setup!$C$16))),WORKDAY(F422,-(Setup!$C$13+Setup!$G$24+Setup!$C$14),Setup!$C$39:$C$50),WORKDAY(F422,-(Setup!$C$13+Setup!$G$24),Setup!$C$39:$C$50))+(417*100+5)/10000000)))</f>
        <v/>
      </c>
      <c r="W422" t="str">
        <f>IF(G422="","",IF(G422&lt;Setup!$C$5-Setup!$C$6,"",IF(IF(ISNUMBER(Roster!$D422),Setup!$C$25&lt;=Roster!$D422,FALSE),"",IF(OR(IF(Setup!$C$15&lt;=Setup!$C$16,AND(MONTH(G422)&gt;=Setup!$C$15,MONTH(G422)&lt;=Setup!$C$16),OR(MONTH(G422)&gt;=Setup!$C$15,MONTH(G422)&lt;=Setup!$C$16)),IF(Setup!$C$15&lt;=Setup!$C$16,AND(MONTH(WORKDAY(G422,-(Setup!$C$13+Setup!$G$25),Setup!$C$39:$C$50))&gt;=Setup!$C$15,MONTH(WORKDAY(G422,-(Setup!$C$13+Setup!$G$25),Setup!$C$39:$C$50))&lt;=Setup!$C$16),OR(MONTH(WORKDAY(G422,-(Setup!$C$13+Setup!$G$25),Setup!$C$39:$C$50))&gt;=Setup!$C$15,MONTH(WORKDAY(G422,-(Setup!$C$13+Setup!$G$25),Setup!$C$39:$C$50))&lt;=Setup!$C$16))),WORKDAY(G422,-(Setup!$C$13+Setup!$G$25+Setup!$C$14),Setup!$C$39:$C$50),WORKDAY(G422,-(Setup!$C$13+Setup!$G$25),Setup!$C$39:$C$50))+(417*100+6)/10000000)))</f>
        <v/>
      </c>
      <c r="X422" t="str">
        <f>IF(H422="","",IF(H422&lt;Setup!$C$5-Setup!$C$6,"",IF(IF(ISNUMBER(Roster!$D422),Setup!$C$26&lt;=Roster!$D422,FALSE),"",IF(OR(IF(Setup!$C$15&lt;=Setup!$C$16,AND(MONTH(H422)&gt;=Setup!$C$15,MONTH(H422)&lt;=Setup!$C$16),OR(MONTH(H422)&gt;=Setup!$C$15,MONTH(H422)&lt;=Setup!$C$16)),IF(Setup!$C$15&lt;=Setup!$C$16,AND(MONTH(WORKDAY(H422,-(Setup!$C$13+Setup!$G$26),Setup!$C$39:$C$50))&gt;=Setup!$C$15,MONTH(WORKDAY(H422,-(Setup!$C$13+Setup!$G$26),Setup!$C$39:$C$50))&lt;=Setup!$C$16),OR(MONTH(WORKDAY(H422,-(Setup!$C$13+Setup!$G$26),Setup!$C$39:$C$50))&gt;=Setup!$C$15,MONTH(WORKDAY(H422,-(Setup!$C$13+Setup!$G$26),Setup!$C$39:$C$50))&lt;=Setup!$C$16))),WORKDAY(H422,-(Setup!$C$13+Setup!$G$26+Setup!$C$14),Setup!$C$39:$C$50),WORKDAY(H422,-(Setup!$C$13+Setup!$G$26),Setup!$C$39:$C$50))+(417*100+7)/10000000)))</f>
        <v/>
      </c>
      <c r="Y422" t="str">
        <f>IF(I422="","",IF(I422&lt;Setup!$C$5-Setup!$C$6,"",IF(IF(ISNUMBER(Roster!$D422),Setup!$C$27&lt;=Roster!$D422,FALSE),"",IF(OR(IF(Setup!$C$15&lt;=Setup!$C$16,AND(MONTH(I422)&gt;=Setup!$C$15,MONTH(I422)&lt;=Setup!$C$16),OR(MONTH(I422)&gt;=Setup!$C$15,MONTH(I422)&lt;=Setup!$C$16)),IF(Setup!$C$15&lt;=Setup!$C$16,AND(MONTH(WORKDAY(I422,-(Setup!$C$13+Setup!$G$27),Setup!$C$39:$C$50))&gt;=Setup!$C$15,MONTH(WORKDAY(I422,-(Setup!$C$13+Setup!$G$27),Setup!$C$39:$C$50))&lt;=Setup!$C$16),OR(MONTH(WORKDAY(I422,-(Setup!$C$13+Setup!$G$27),Setup!$C$39:$C$50))&gt;=Setup!$C$15,MONTH(WORKDAY(I422,-(Setup!$C$13+Setup!$G$27),Setup!$C$39:$C$50))&lt;=Setup!$C$16))),WORKDAY(I422,-(Setup!$C$13+Setup!$G$27+Setup!$C$14),Setup!$C$39:$C$50),WORKDAY(I422,-(Setup!$C$13+Setup!$G$27),Setup!$C$39:$C$50))+(417*100+8)/10000000)))</f>
        <v/>
      </c>
      <c r="Z422" t="str">
        <f>IF(J422="","",IF(J422&lt;Setup!$C$5-Setup!$C$6,"",IF(IF(ISNUMBER(Roster!$D422),Setup!$C$28&lt;=Roster!$D422,FALSE),"",IF(OR(IF(Setup!$C$15&lt;=Setup!$C$16,AND(MONTH(J422)&gt;=Setup!$C$15,MONTH(J422)&lt;=Setup!$C$16),OR(MONTH(J422)&gt;=Setup!$C$15,MONTH(J422)&lt;=Setup!$C$16)),IF(Setup!$C$15&lt;=Setup!$C$16,AND(MONTH(WORKDAY(J422,-(Setup!$C$13+Setup!$G$28),Setup!$C$39:$C$50))&gt;=Setup!$C$15,MONTH(WORKDAY(J422,-(Setup!$C$13+Setup!$G$28),Setup!$C$39:$C$50))&lt;=Setup!$C$16),OR(MONTH(WORKDAY(J422,-(Setup!$C$13+Setup!$G$28),Setup!$C$39:$C$50))&gt;=Setup!$C$15,MONTH(WORKDAY(J422,-(Setup!$C$13+Setup!$G$28),Setup!$C$39:$C$50))&lt;=Setup!$C$16))),WORKDAY(J422,-(Setup!$C$13+Setup!$G$28+Setup!$C$14),Setup!$C$39:$C$50),WORKDAY(J422,-(Setup!$C$13+Setup!$G$28),Setup!$C$39:$C$50))+(417*100+9)/10000000)))</f>
        <v/>
      </c>
      <c r="AA422" t="str">
        <f>IF(K422="","",IF(K422&lt;Setup!$C$5-Setup!$C$6,"",IF(IF(ISNUMBER(Roster!$D422),Setup!$C$29&lt;=Roster!$D422,FALSE),"",IF(OR(IF(Setup!$C$15&lt;=Setup!$C$16,AND(MONTH(K422)&gt;=Setup!$C$15,MONTH(K422)&lt;=Setup!$C$16),OR(MONTH(K422)&gt;=Setup!$C$15,MONTH(K422)&lt;=Setup!$C$16)),IF(Setup!$C$15&lt;=Setup!$C$16,AND(MONTH(WORKDAY(K422,-(Setup!$C$13+Setup!$G$29),Setup!$C$39:$C$50))&gt;=Setup!$C$15,MONTH(WORKDAY(K422,-(Setup!$C$13+Setup!$G$29),Setup!$C$39:$C$50))&lt;=Setup!$C$16),OR(MONTH(WORKDAY(K422,-(Setup!$C$13+Setup!$G$29),Setup!$C$39:$C$50))&gt;=Setup!$C$15,MONTH(WORKDAY(K422,-(Setup!$C$13+Setup!$G$29),Setup!$C$39:$C$50))&lt;=Setup!$C$16))),WORKDAY(K422,-(Setup!$C$13+Setup!$G$29+Setup!$C$14),Setup!$C$39:$C$50),WORKDAY(K422,-(Setup!$C$13+Setup!$G$29),Setup!$C$39:$C$50))+(417*100+10)/10000000)))</f>
        <v/>
      </c>
      <c r="AB422" t="str">
        <f>IF(L422="","",IF(L422&lt;Setup!$C$5-Setup!$C$6,"",IF(IF(ISNUMBER(Roster!$D422),Setup!$C$30&lt;=Roster!$D422,FALSE),"",IF(OR(IF(Setup!$C$15&lt;=Setup!$C$16,AND(MONTH(L422)&gt;=Setup!$C$15,MONTH(L422)&lt;=Setup!$C$16),OR(MONTH(L422)&gt;=Setup!$C$15,MONTH(L422)&lt;=Setup!$C$16)),IF(Setup!$C$15&lt;=Setup!$C$16,AND(MONTH(WORKDAY(L422,-(Setup!$C$13+Setup!$G$30),Setup!$C$39:$C$50))&gt;=Setup!$C$15,MONTH(WORKDAY(L422,-(Setup!$C$13+Setup!$G$30),Setup!$C$39:$C$50))&lt;=Setup!$C$16),OR(MONTH(WORKDAY(L422,-(Setup!$C$13+Setup!$G$30),Setup!$C$39:$C$50))&gt;=Setup!$C$15,MONTH(WORKDAY(L422,-(Setup!$C$13+Setup!$G$30),Setup!$C$39:$C$50))&lt;=Setup!$C$16))),WORKDAY(L422,-(Setup!$C$13+Setup!$G$30+Setup!$C$14),Setup!$C$39:$C$50),WORKDAY(L422,-(Setup!$C$13+Setup!$G$30),Setup!$C$39:$C$50))+(417*100+11)/10000000)))</f>
        <v/>
      </c>
      <c r="AC422" t="str">
        <f>IF(M422="","",IF(M422&lt;Setup!$C$5-Setup!$C$6,"",IF(IF(ISNUMBER(Roster!$D422),Setup!$C$31&lt;=Roster!$D422,FALSE),"",IF(OR(IF(Setup!$C$15&lt;=Setup!$C$16,AND(MONTH(M422)&gt;=Setup!$C$15,MONTH(M422)&lt;=Setup!$C$16),OR(MONTH(M422)&gt;=Setup!$C$15,MONTH(M422)&lt;=Setup!$C$16)),IF(Setup!$C$15&lt;=Setup!$C$16,AND(MONTH(WORKDAY(M422,-(Setup!$C$13+Setup!$G$31),Setup!$C$39:$C$50))&gt;=Setup!$C$15,MONTH(WORKDAY(M422,-(Setup!$C$13+Setup!$G$31),Setup!$C$39:$C$50))&lt;=Setup!$C$16),OR(MONTH(WORKDAY(M422,-(Setup!$C$13+Setup!$G$31),Setup!$C$39:$C$50))&gt;=Setup!$C$15,MONTH(WORKDAY(M422,-(Setup!$C$13+Setup!$G$31),Setup!$C$39:$C$50))&lt;=Setup!$C$16))),WORKDAY(M422,-(Setup!$C$13+Setup!$G$31+Setup!$C$14),Setup!$C$39:$C$50),WORKDAY(M422,-(Setup!$C$13+Setup!$G$31),Setup!$C$39:$C$50))+(417*100+12)/10000000)))</f>
        <v/>
      </c>
      <c r="AD422" t="str">
        <f>IF(N422="","",IF(N422&lt;Setup!$C$5-Setup!$C$6,"",IF(IF(ISNUMBER(Roster!$D422),Setup!$C$32&lt;=Roster!$D422,FALSE),"",IF(OR(IF(Setup!$C$15&lt;=Setup!$C$16,AND(MONTH(N422)&gt;=Setup!$C$15,MONTH(N422)&lt;=Setup!$C$16),OR(MONTH(N422)&gt;=Setup!$C$15,MONTH(N422)&lt;=Setup!$C$16)),IF(Setup!$C$15&lt;=Setup!$C$16,AND(MONTH(WORKDAY(N422,-(Setup!$C$13+Setup!$G$32),Setup!$C$39:$C$50))&gt;=Setup!$C$15,MONTH(WORKDAY(N422,-(Setup!$C$13+Setup!$G$32),Setup!$C$39:$C$50))&lt;=Setup!$C$16),OR(MONTH(WORKDAY(N422,-(Setup!$C$13+Setup!$G$32),Setup!$C$39:$C$50))&gt;=Setup!$C$15,MONTH(WORKDAY(N422,-(Setup!$C$13+Setup!$G$32),Setup!$C$39:$C$50))&lt;=Setup!$C$16))),WORKDAY(N422,-(Setup!$C$13+Setup!$G$32+Setup!$C$14),Setup!$C$39:$C$50),WORKDAY(N422,-(Setup!$C$13+Setup!$G$32),Setup!$C$39:$C$50))+(417*100+13)/10000000)))</f>
        <v/>
      </c>
      <c r="AE422" t="str">
        <f>IF(O422="","",IF(O422&lt;Setup!$C$5-Setup!$C$6,"",IF(IF(ISNUMBER(Roster!$D422),Setup!$C$33&lt;=Roster!$D422,FALSE),"",IF(OR(IF(Setup!$C$15&lt;=Setup!$C$16,AND(MONTH(O422)&gt;=Setup!$C$15,MONTH(O422)&lt;=Setup!$C$16),OR(MONTH(O422)&gt;=Setup!$C$15,MONTH(O422)&lt;=Setup!$C$16)),IF(Setup!$C$15&lt;=Setup!$C$16,AND(MONTH(WORKDAY(O422,-(Setup!$C$13+Setup!$G$33),Setup!$C$39:$C$50))&gt;=Setup!$C$15,MONTH(WORKDAY(O422,-(Setup!$C$13+Setup!$G$33),Setup!$C$39:$C$50))&lt;=Setup!$C$16),OR(MONTH(WORKDAY(O422,-(Setup!$C$13+Setup!$G$33),Setup!$C$39:$C$50))&gt;=Setup!$C$15,MONTH(WORKDAY(O422,-(Setup!$C$13+Setup!$G$33),Setup!$C$39:$C$50))&lt;=Setup!$C$16))),WORKDAY(O422,-(Setup!$C$13+Setup!$G$33+Setup!$C$14),Setup!$C$39:$C$50),WORKDAY(O422,-(Setup!$C$13+Setup!$G$33),Setup!$C$39:$C$50))+(417*100+14)/10000000)))</f>
        <v/>
      </c>
      <c r="AF422" t="str">
        <f>IF(P422="","",IF(P422&lt;Setup!$C$5-Setup!$C$6,"",IF(IF(ISNUMBER(Roster!$D422),Setup!$C$34&lt;=Roster!$D422,FALSE),"",IF(OR(IF(Setup!$C$15&lt;=Setup!$C$16,AND(MONTH(P422)&gt;=Setup!$C$15,MONTH(P422)&lt;=Setup!$C$16),OR(MONTH(P422)&gt;=Setup!$C$15,MONTH(P422)&lt;=Setup!$C$16)),IF(Setup!$C$15&lt;=Setup!$C$16,AND(MONTH(WORKDAY(P422,-(Setup!$C$13+Setup!$G$34),Setup!$C$39:$C$50))&gt;=Setup!$C$15,MONTH(WORKDAY(P422,-(Setup!$C$13+Setup!$G$34),Setup!$C$39:$C$50))&lt;=Setup!$C$16),OR(MONTH(WORKDAY(P422,-(Setup!$C$13+Setup!$G$34),Setup!$C$39:$C$50))&gt;=Setup!$C$15,MONTH(WORKDAY(P422,-(Setup!$C$13+Setup!$G$34),Setup!$C$39:$C$50))&lt;=Setup!$C$16))),WORKDAY(P422,-(Setup!$C$13+Setup!$G$34+Setup!$C$14),Setup!$C$39:$C$50),WORKDAY(P422,-(Setup!$C$13+Setup!$G$34),Setup!$C$39:$C$50))+(417*100+15)/10000000)))</f>
        <v/>
      </c>
      <c r="AH422" t="str">
        <f t="shared" si="46"/>
        <v/>
      </c>
      <c r="AI422" t="str">
        <f t="shared" si="47"/>
        <v/>
      </c>
      <c r="AP422" t="str">
        <f>IF(ISNUMBER(Roster!$B422),MAX(1,YEAR(Setup!$C$5)-YEAR(Roster!$B422)+IF(EDATE(Roster!$B422,12*(YEAR(Setup!$C$5)-YEAR(Roster!$B422)))&lt;Setup!$C$5,1,0)),"")</f>
        <v/>
      </c>
      <c r="AQ422" s="32" t="str">
        <f>IF(AP422="","",EDATE(Roster!$B422,12*AP422))</f>
        <v/>
      </c>
      <c r="AR422" t="str">
        <f>IF(AQ422="","",IF(AQ422&lt;DATE(YEAR(Setup!$C$5)+1,MONTH(Setup!$C$5),DAY(Setup!$C$5)),AQ422+417/1000,""))</f>
        <v/>
      </c>
      <c r="AS422" t="str">
        <f t="shared" si="48"/>
        <v/>
      </c>
      <c r="AT422" t="str">
        <f>IF(AS422="","",IF(ISNUMBER(Roster!$D422),Roster!$D422&gt;=AP422,FALSE))</f>
        <v/>
      </c>
      <c r="AU422" t="str">
        <f t="shared" si="49"/>
        <v/>
      </c>
      <c r="AV422" t="str">
        <f ca="1">IF(417&gt;$AV$2,"",SMALL($AR$6:$AR$505,417))</f>
        <v/>
      </c>
      <c r="AW422" t="str">
        <f t="shared" ca="1" si="50"/>
        <v/>
      </c>
    </row>
    <row r="423" spans="2:49" x14ac:dyDescent="0.2">
      <c r="B423" s="32" t="str">
        <f>IF(AND(ISNUMBER(Roster!$B423),Setup!$B$20="Yes",ISNUMBER(Setup!$C$20)),EDATE(Roster!$B423,12*Setup!$C$20),"")</f>
        <v/>
      </c>
      <c r="C423" s="32" t="str">
        <f>IF(AND(ISNUMBER(Roster!$B423),Setup!$B$21="Yes",ISNUMBER(Setup!$C$21)),EDATE(Roster!$B423,12*Setup!$C$21),"")</f>
        <v/>
      </c>
      <c r="D423" s="32" t="str">
        <f>IF(AND(ISNUMBER(Roster!$B423),Setup!$B$22="Yes",ISNUMBER(Setup!$C$22)),EDATE(Roster!$B423,12*Setup!$C$22),"")</f>
        <v/>
      </c>
      <c r="E423" s="32" t="str">
        <f>IF(AND(ISNUMBER(Roster!$B423),Setup!$B$23="Yes",ISNUMBER(Setup!$C$23)),EDATE(Roster!$B423,12*Setup!$C$23),"")</f>
        <v/>
      </c>
      <c r="F423" s="32" t="str">
        <f>IF(AND(ISNUMBER(Roster!$B423),Setup!$B$24="Yes",ISNUMBER(Setup!$C$24)),EDATE(Roster!$B423,12*Setup!$C$24),"")</f>
        <v/>
      </c>
      <c r="G423" s="32" t="str">
        <f>IF(AND(ISNUMBER(Roster!$B423),Setup!$B$25="Yes",ISNUMBER(Setup!$C$25)),EDATE(Roster!$B423,12*Setup!$C$25),"")</f>
        <v/>
      </c>
      <c r="H423" s="32" t="str">
        <f>IF(AND(ISNUMBER(Roster!$B423),Setup!$B$26="Yes",ISNUMBER(Setup!$C$26)),EDATE(Roster!$B423,12*Setup!$C$26),"")</f>
        <v/>
      </c>
      <c r="I423" s="32" t="str">
        <f>IF(AND(ISNUMBER(Roster!$B423),Setup!$B$27="Yes",ISNUMBER(Setup!$C$27)),EDATE(Roster!$B423,12*Setup!$C$27),"")</f>
        <v/>
      </c>
      <c r="J423" s="32" t="str">
        <f>IF(AND(ISNUMBER(Roster!$B423),Setup!$B$28="Yes",ISNUMBER(Setup!$C$28)),EDATE(Roster!$B423,12*Setup!$C$28),"")</f>
        <v/>
      </c>
      <c r="K423" s="32" t="str">
        <f>IF(AND(ISNUMBER(Roster!$B423),Setup!$B$29="Yes",ISNUMBER(Setup!$C$29)),EDATE(Roster!$B423,12*Setup!$C$29),"")</f>
        <v/>
      </c>
      <c r="L423" s="32" t="str">
        <f>IF(AND(ISNUMBER(Roster!$B423),Setup!$B$30="Yes",ISNUMBER(Setup!$C$30)),EDATE(Roster!$B423,12*Setup!$C$30),"")</f>
        <v/>
      </c>
      <c r="M423" s="32" t="str">
        <f>IF(AND(ISNUMBER(Roster!$B423),Setup!$B$31="Yes",ISNUMBER(Setup!$C$31)),EDATE(Roster!$B423,12*Setup!$C$31),"")</f>
        <v/>
      </c>
      <c r="N423" s="32" t="str">
        <f>IF(AND(ISNUMBER(Roster!$B423),Setup!$B$32="Yes",ISNUMBER(Setup!$C$32)),EDATE(Roster!$B423,12*Setup!$C$32),"")</f>
        <v/>
      </c>
      <c r="O423" s="32" t="str">
        <f>IF(AND(ISNUMBER(Roster!$B423),Setup!$B$33="Yes",ISNUMBER(Setup!$C$33)),EDATE(Roster!$B423,12*Setup!$C$33),"")</f>
        <v/>
      </c>
      <c r="P423" s="32" t="str">
        <f>IF(AND(ISNUMBER(Roster!$B423),Setup!$B$34="Yes",ISNUMBER(Setup!$C$34)),EDATE(Roster!$B423,12*Setup!$C$34),"")</f>
        <v/>
      </c>
      <c r="R423" t="str">
        <f>IF(B423="","",IF(B423&lt;Setup!$C$5-Setup!$C$6,"",IF(IF(ISNUMBER(Roster!$D423),Setup!$C$20&lt;=Roster!$D423,FALSE),"",IF(OR(IF(Setup!$C$15&lt;=Setup!$C$16,AND(MONTH(B423)&gt;=Setup!$C$15,MONTH(B423)&lt;=Setup!$C$16),OR(MONTH(B423)&gt;=Setup!$C$15,MONTH(B423)&lt;=Setup!$C$16)),IF(Setup!$C$15&lt;=Setup!$C$16,AND(MONTH(WORKDAY(B423,-(Setup!$C$13+Setup!$G$20),Setup!$C$39:$C$50))&gt;=Setup!$C$15,MONTH(WORKDAY(B423,-(Setup!$C$13+Setup!$G$20),Setup!$C$39:$C$50))&lt;=Setup!$C$16),OR(MONTH(WORKDAY(B423,-(Setup!$C$13+Setup!$G$20),Setup!$C$39:$C$50))&gt;=Setup!$C$15,MONTH(WORKDAY(B423,-(Setup!$C$13+Setup!$G$20),Setup!$C$39:$C$50))&lt;=Setup!$C$16))),WORKDAY(B423,-(Setup!$C$13+Setup!$G$20+Setup!$C$14),Setup!$C$39:$C$50),WORKDAY(B423,-(Setup!$C$13+Setup!$G$20),Setup!$C$39:$C$50))+(418*100+1)/10000000)))</f>
        <v/>
      </c>
      <c r="S423" t="str">
        <f>IF(C423="","",IF(C423&lt;Setup!$C$5-Setup!$C$6,"",IF(IF(ISNUMBER(Roster!$D423),Setup!$C$21&lt;=Roster!$D423,FALSE),"",IF(OR(IF(Setup!$C$15&lt;=Setup!$C$16,AND(MONTH(C423)&gt;=Setup!$C$15,MONTH(C423)&lt;=Setup!$C$16),OR(MONTH(C423)&gt;=Setup!$C$15,MONTH(C423)&lt;=Setup!$C$16)),IF(Setup!$C$15&lt;=Setup!$C$16,AND(MONTH(WORKDAY(C423,-(Setup!$C$13+Setup!$G$21),Setup!$C$39:$C$50))&gt;=Setup!$C$15,MONTH(WORKDAY(C423,-(Setup!$C$13+Setup!$G$21),Setup!$C$39:$C$50))&lt;=Setup!$C$16),OR(MONTH(WORKDAY(C423,-(Setup!$C$13+Setup!$G$21),Setup!$C$39:$C$50))&gt;=Setup!$C$15,MONTH(WORKDAY(C423,-(Setup!$C$13+Setup!$G$21),Setup!$C$39:$C$50))&lt;=Setup!$C$16))),WORKDAY(C423,-(Setup!$C$13+Setup!$G$21+Setup!$C$14),Setup!$C$39:$C$50),WORKDAY(C423,-(Setup!$C$13+Setup!$G$21),Setup!$C$39:$C$50))+(418*100+2)/10000000)))</f>
        <v/>
      </c>
      <c r="T423" t="str">
        <f>IF(D423="","",IF(D423&lt;Setup!$C$5-Setup!$C$6,"",IF(IF(ISNUMBER(Roster!$D423),Setup!$C$22&lt;=Roster!$D423,FALSE),"",IF(OR(IF(Setup!$C$15&lt;=Setup!$C$16,AND(MONTH(D423)&gt;=Setup!$C$15,MONTH(D423)&lt;=Setup!$C$16),OR(MONTH(D423)&gt;=Setup!$C$15,MONTH(D423)&lt;=Setup!$C$16)),IF(Setup!$C$15&lt;=Setup!$C$16,AND(MONTH(WORKDAY(D423,-(Setup!$C$13+Setup!$G$22),Setup!$C$39:$C$50))&gt;=Setup!$C$15,MONTH(WORKDAY(D423,-(Setup!$C$13+Setup!$G$22),Setup!$C$39:$C$50))&lt;=Setup!$C$16),OR(MONTH(WORKDAY(D423,-(Setup!$C$13+Setup!$G$22),Setup!$C$39:$C$50))&gt;=Setup!$C$15,MONTH(WORKDAY(D423,-(Setup!$C$13+Setup!$G$22),Setup!$C$39:$C$50))&lt;=Setup!$C$16))),WORKDAY(D423,-(Setup!$C$13+Setup!$G$22+Setup!$C$14),Setup!$C$39:$C$50),WORKDAY(D423,-(Setup!$C$13+Setup!$G$22),Setup!$C$39:$C$50))+(418*100+3)/10000000)))</f>
        <v/>
      </c>
      <c r="U423" t="str">
        <f>IF(E423="","",IF(E423&lt;Setup!$C$5-Setup!$C$6,"",IF(IF(ISNUMBER(Roster!$D423),Setup!$C$23&lt;=Roster!$D423,FALSE),"",IF(OR(IF(Setup!$C$15&lt;=Setup!$C$16,AND(MONTH(E423)&gt;=Setup!$C$15,MONTH(E423)&lt;=Setup!$C$16),OR(MONTH(E423)&gt;=Setup!$C$15,MONTH(E423)&lt;=Setup!$C$16)),IF(Setup!$C$15&lt;=Setup!$C$16,AND(MONTH(WORKDAY(E423,-(Setup!$C$13+Setup!$G$23),Setup!$C$39:$C$50))&gt;=Setup!$C$15,MONTH(WORKDAY(E423,-(Setup!$C$13+Setup!$G$23),Setup!$C$39:$C$50))&lt;=Setup!$C$16),OR(MONTH(WORKDAY(E423,-(Setup!$C$13+Setup!$G$23),Setup!$C$39:$C$50))&gt;=Setup!$C$15,MONTH(WORKDAY(E423,-(Setup!$C$13+Setup!$G$23),Setup!$C$39:$C$50))&lt;=Setup!$C$16))),WORKDAY(E423,-(Setup!$C$13+Setup!$G$23+Setup!$C$14),Setup!$C$39:$C$50),WORKDAY(E423,-(Setup!$C$13+Setup!$G$23),Setup!$C$39:$C$50))+(418*100+4)/10000000)))</f>
        <v/>
      </c>
      <c r="V423" t="str">
        <f>IF(F423="","",IF(F423&lt;Setup!$C$5-Setup!$C$6,"",IF(IF(ISNUMBER(Roster!$D423),Setup!$C$24&lt;=Roster!$D423,FALSE),"",IF(OR(IF(Setup!$C$15&lt;=Setup!$C$16,AND(MONTH(F423)&gt;=Setup!$C$15,MONTH(F423)&lt;=Setup!$C$16),OR(MONTH(F423)&gt;=Setup!$C$15,MONTH(F423)&lt;=Setup!$C$16)),IF(Setup!$C$15&lt;=Setup!$C$16,AND(MONTH(WORKDAY(F423,-(Setup!$C$13+Setup!$G$24),Setup!$C$39:$C$50))&gt;=Setup!$C$15,MONTH(WORKDAY(F423,-(Setup!$C$13+Setup!$G$24),Setup!$C$39:$C$50))&lt;=Setup!$C$16),OR(MONTH(WORKDAY(F423,-(Setup!$C$13+Setup!$G$24),Setup!$C$39:$C$50))&gt;=Setup!$C$15,MONTH(WORKDAY(F423,-(Setup!$C$13+Setup!$G$24),Setup!$C$39:$C$50))&lt;=Setup!$C$16))),WORKDAY(F423,-(Setup!$C$13+Setup!$G$24+Setup!$C$14),Setup!$C$39:$C$50),WORKDAY(F423,-(Setup!$C$13+Setup!$G$24),Setup!$C$39:$C$50))+(418*100+5)/10000000)))</f>
        <v/>
      </c>
      <c r="W423" t="str">
        <f>IF(G423="","",IF(G423&lt;Setup!$C$5-Setup!$C$6,"",IF(IF(ISNUMBER(Roster!$D423),Setup!$C$25&lt;=Roster!$D423,FALSE),"",IF(OR(IF(Setup!$C$15&lt;=Setup!$C$16,AND(MONTH(G423)&gt;=Setup!$C$15,MONTH(G423)&lt;=Setup!$C$16),OR(MONTH(G423)&gt;=Setup!$C$15,MONTH(G423)&lt;=Setup!$C$16)),IF(Setup!$C$15&lt;=Setup!$C$16,AND(MONTH(WORKDAY(G423,-(Setup!$C$13+Setup!$G$25),Setup!$C$39:$C$50))&gt;=Setup!$C$15,MONTH(WORKDAY(G423,-(Setup!$C$13+Setup!$G$25),Setup!$C$39:$C$50))&lt;=Setup!$C$16),OR(MONTH(WORKDAY(G423,-(Setup!$C$13+Setup!$G$25),Setup!$C$39:$C$50))&gt;=Setup!$C$15,MONTH(WORKDAY(G423,-(Setup!$C$13+Setup!$G$25),Setup!$C$39:$C$50))&lt;=Setup!$C$16))),WORKDAY(G423,-(Setup!$C$13+Setup!$G$25+Setup!$C$14),Setup!$C$39:$C$50),WORKDAY(G423,-(Setup!$C$13+Setup!$G$25),Setup!$C$39:$C$50))+(418*100+6)/10000000)))</f>
        <v/>
      </c>
      <c r="X423" t="str">
        <f>IF(H423="","",IF(H423&lt;Setup!$C$5-Setup!$C$6,"",IF(IF(ISNUMBER(Roster!$D423),Setup!$C$26&lt;=Roster!$D423,FALSE),"",IF(OR(IF(Setup!$C$15&lt;=Setup!$C$16,AND(MONTH(H423)&gt;=Setup!$C$15,MONTH(H423)&lt;=Setup!$C$16),OR(MONTH(H423)&gt;=Setup!$C$15,MONTH(H423)&lt;=Setup!$C$16)),IF(Setup!$C$15&lt;=Setup!$C$16,AND(MONTH(WORKDAY(H423,-(Setup!$C$13+Setup!$G$26),Setup!$C$39:$C$50))&gt;=Setup!$C$15,MONTH(WORKDAY(H423,-(Setup!$C$13+Setup!$G$26),Setup!$C$39:$C$50))&lt;=Setup!$C$16),OR(MONTH(WORKDAY(H423,-(Setup!$C$13+Setup!$G$26),Setup!$C$39:$C$50))&gt;=Setup!$C$15,MONTH(WORKDAY(H423,-(Setup!$C$13+Setup!$G$26),Setup!$C$39:$C$50))&lt;=Setup!$C$16))),WORKDAY(H423,-(Setup!$C$13+Setup!$G$26+Setup!$C$14),Setup!$C$39:$C$50),WORKDAY(H423,-(Setup!$C$13+Setup!$G$26),Setup!$C$39:$C$50))+(418*100+7)/10000000)))</f>
        <v/>
      </c>
      <c r="Y423" t="str">
        <f>IF(I423="","",IF(I423&lt;Setup!$C$5-Setup!$C$6,"",IF(IF(ISNUMBER(Roster!$D423),Setup!$C$27&lt;=Roster!$D423,FALSE),"",IF(OR(IF(Setup!$C$15&lt;=Setup!$C$16,AND(MONTH(I423)&gt;=Setup!$C$15,MONTH(I423)&lt;=Setup!$C$16),OR(MONTH(I423)&gt;=Setup!$C$15,MONTH(I423)&lt;=Setup!$C$16)),IF(Setup!$C$15&lt;=Setup!$C$16,AND(MONTH(WORKDAY(I423,-(Setup!$C$13+Setup!$G$27),Setup!$C$39:$C$50))&gt;=Setup!$C$15,MONTH(WORKDAY(I423,-(Setup!$C$13+Setup!$G$27),Setup!$C$39:$C$50))&lt;=Setup!$C$16),OR(MONTH(WORKDAY(I423,-(Setup!$C$13+Setup!$G$27),Setup!$C$39:$C$50))&gt;=Setup!$C$15,MONTH(WORKDAY(I423,-(Setup!$C$13+Setup!$G$27),Setup!$C$39:$C$50))&lt;=Setup!$C$16))),WORKDAY(I423,-(Setup!$C$13+Setup!$G$27+Setup!$C$14),Setup!$C$39:$C$50),WORKDAY(I423,-(Setup!$C$13+Setup!$G$27),Setup!$C$39:$C$50))+(418*100+8)/10000000)))</f>
        <v/>
      </c>
      <c r="Z423" t="str">
        <f>IF(J423="","",IF(J423&lt;Setup!$C$5-Setup!$C$6,"",IF(IF(ISNUMBER(Roster!$D423),Setup!$C$28&lt;=Roster!$D423,FALSE),"",IF(OR(IF(Setup!$C$15&lt;=Setup!$C$16,AND(MONTH(J423)&gt;=Setup!$C$15,MONTH(J423)&lt;=Setup!$C$16),OR(MONTH(J423)&gt;=Setup!$C$15,MONTH(J423)&lt;=Setup!$C$16)),IF(Setup!$C$15&lt;=Setup!$C$16,AND(MONTH(WORKDAY(J423,-(Setup!$C$13+Setup!$G$28),Setup!$C$39:$C$50))&gt;=Setup!$C$15,MONTH(WORKDAY(J423,-(Setup!$C$13+Setup!$G$28),Setup!$C$39:$C$50))&lt;=Setup!$C$16),OR(MONTH(WORKDAY(J423,-(Setup!$C$13+Setup!$G$28),Setup!$C$39:$C$50))&gt;=Setup!$C$15,MONTH(WORKDAY(J423,-(Setup!$C$13+Setup!$G$28),Setup!$C$39:$C$50))&lt;=Setup!$C$16))),WORKDAY(J423,-(Setup!$C$13+Setup!$G$28+Setup!$C$14),Setup!$C$39:$C$50),WORKDAY(J423,-(Setup!$C$13+Setup!$G$28),Setup!$C$39:$C$50))+(418*100+9)/10000000)))</f>
        <v/>
      </c>
      <c r="AA423" t="str">
        <f>IF(K423="","",IF(K423&lt;Setup!$C$5-Setup!$C$6,"",IF(IF(ISNUMBER(Roster!$D423),Setup!$C$29&lt;=Roster!$D423,FALSE),"",IF(OR(IF(Setup!$C$15&lt;=Setup!$C$16,AND(MONTH(K423)&gt;=Setup!$C$15,MONTH(K423)&lt;=Setup!$C$16),OR(MONTH(K423)&gt;=Setup!$C$15,MONTH(K423)&lt;=Setup!$C$16)),IF(Setup!$C$15&lt;=Setup!$C$16,AND(MONTH(WORKDAY(K423,-(Setup!$C$13+Setup!$G$29),Setup!$C$39:$C$50))&gt;=Setup!$C$15,MONTH(WORKDAY(K423,-(Setup!$C$13+Setup!$G$29),Setup!$C$39:$C$50))&lt;=Setup!$C$16),OR(MONTH(WORKDAY(K423,-(Setup!$C$13+Setup!$G$29),Setup!$C$39:$C$50))&gt;=Setup!$C$15,MONTH(WORKDAY(K423,-(Setup!$C$13+Setup!$G$29),Setup!$C$39:$C$50))&lt;=Setup!$C$16))),WORKDAY(K423,-(Setup!$C$13+Setup!$G$29+Setup!$C$14),Setup!$C$39:$C$50),WORKDAY(K423,-(Setup!$C$13+Setup!$G$29),Setup!$C$39:$C$50))+(418*100+10)/10000000)))</f>
        <v/>
      </c>
      <c r="AB423" t="str">
        <f>IF(L423="","",IF(L423&lt;Setup!$C$5-Setup!$C$6,"",IF(IF(ISNUMBER(Roster!$D423),Setup!$C$30&lt;=Roster!$D423,FALSE),"",IF(OR(IF(Setup!$C$15&lt;=Setup!$C$16,AND(MONTH(L423)&gt;=Setup!$C$15,MONTH(L423)&lt;=Setup!$C$16),OR(MONTH(L423)&gt;=Setup!$C$15,MONTH(L423)&lt;=Setup!$C$16)),IF(Setup!$C$15&lt;=Setup!$C$16,AND(MONTH(WORKDAY(L423,-(Setup!$C$13+Setup!$G$30),Setup!$C$39:$C$50))&gt;=Setup!$C$15,MONTH(WORKDAY(L423,-(Setup!$C$13+Setup!$G$30),Setup!$C$39:$C$50))&lt;=Setup!$C$16),OR(MONTH(WORKDAY(L423,-(Setup!$C$13+Setup!$G$30),Setup!$C$39:$C$50))&gt;=Setup!$C$15,MONTH(WORKDAY(L423,-(Setup!$C$13+Setup!$G$30),Setup!$C$39:$C$50))&lt;=Setup!$C$16))),WORKDAY(L423,-(Setup!$C$13+Setup!$G$30+Setup!$C$14),Setup!$C$39:$C$50),WORKDAY(L423,-(Setup!$C$13+Setup!$G$30),Setup!$C$39:$C$50))+(418*100+11)/10000000)))</f>
        <v/>
      </c>
      <c r="AC423" t="str">
        <f>IF(M423="","",IF(M423&lt;Setup!$C$5-Setup!$C$6,"",IF(IF(ISNUMBER(Roster!$D423),Setup!$C$31&lt;=Roster!$D423,FALSE),"",IF(OR(IF(Setup!$C$15&lt;=Setup!$C$16,AND(MONTH(M423)&gt;=Setup!$C$15,MONTH(M423)&lt;=Setup!$C$16),OR(MONTH(M423)&gt;=Setup!$C$15,MONTH(M423)&lt;=Setup!$C$16)),IF(Setup!$C$15&lt;=Setup!$C$16,AND(MONTH(WORKDAY(M423,-(Setup!$C$13+Setup!$G$31),Setup!$C$39:$C$50))&gt;=Setup!$C$15,MONTH(WORKDAY(M423,-(Setup!$C$13+Setup!$G$31),Setup!$C$39:$C$50))&lt;=Setup!$C$16),OR(MONTH(WORKDAY(M423,-(Setup!$C$13+Setup!$G$31),Setup!$C$39:$C$50))&gt;=Setup!$C$15,MONTH(WORKDAY(M423,-(Setup!$C$13+Setup!$G$31),Setup!$C$39:$C$50))&lt;=Setup!$C$16))),WORKDAY(M423,-(Setup!$C$13+Setup!$G$31+Setup!$C$14),Setup!$C$39:$C$50),WORKDAY(M423,-(Setup!$C$13+Setup!$G$31),Setup!$C$39:$C$50))+(418*100+12)/10000000)))</f>
        <v/>
      </c>
      <c r="AD423" t="str">
        <f>IF(N423="","",IF(N423&lt;Setup!$C$5-Setup!$C$6,"",IF(IF(ISNUMBER(Roster!$D423),Setup!$C$32&lt;=Roster!$D423,FALSE),"",IF(OR(IF(Setup!$C$15&lt;=Setup!$C$16,AND(MONTH(N423)&gt;=Setup!$C$15,MONTH(N423)&lt;=Setup!$C$16),OR(MONTH(N423)&gt;=Setup!$C$15,MONTH(N423)&lt;=Setup!$C$16)),IF(Setup!$C$15&lt;=Setup!$C$16,AND(MONTH(WORKDAY(N423,-(Setup!$C$13+Setup!$G$32),Setup!$C$39:$C$50))&gt;=Setup!$C$15,MONTH(WORKDAY(N423,-(Setup!$C$13+Setup!$G$32),Setup!$C$39:$C$50))&lt;=Setup!$C$16),OR(MONTH(WORKDAY(N423,-(Setup!$C$13+Setup!$G$32),Setup!$C$39:$C$50))&gt;=Setup!$C$15,MONTH(WORKDAY(N423,-(Setup!$C$13+Setup!$G$32),Setup!$C$39:$C$50))&lt;=Setup!$C$16))),WORKDAY(N423,-(Setup!$C$13+Setup!$G$32+Setup!$C$14),Setup!$C$39:$C$50),WORKDAY(N423,-(Setup!$C$13+Setup!$G$32),Setup!$C$39:$C$50))+(418*100+13)/10000000)))</f>
        <v/>
      </c>
      <c r="AE423" t="str">
        <f>IF(O423="","",IF(O423&lt;Setup!$C$5-Setup!$C$6,"",IF(IF(ISNUMBER(Roster!$D423),Setup!$C$33&lt;=Roster!$D423,FALSE),"",IF(OR(IF(Setup!$C$15&lt;=Setup!$C$16,AND(MONTH(O423)&gt;=Setup!$C$15,MONTH(O423)&lt;=Setup!$C$16),OR(MONTH(O423)&gt;=Setup!$C$15,MONTH(O423)&lt;=Setup!$C$16)),IF(Setup!$C$15&lt;=Setup!$C$16,AND(MONTH(WORKDAY(O423,-(Setup!$C$13+Setup!$G$33),Setup!$C$39:$C$50))&gt;=Setup!$C$15,MONTH(WORKDAY(O423,-(Setup!$C$13+Setup!$G$33),Setup!$C$39:$C$50))&lt;=Setup!$C$16),OR(MONTH(WORKDAY(O423,-(Setup!$C$13+Setup!$G$33),Setup!$C$39:$C$50))&gt;=Setup!$C$15,MONTH(WORKDAY(O423,-(Setup!$C$13+Setup!$G$33),Setup!$C$39:$C$50))&lt;=Setup!$C$16))),WORKDAY(O423,-(Setup!$C$13+Setup!$G$33+Setup!$C$14),Setup!$C$39:$C$50),WORKDAY(O423,-(Setup!$C$13+Setup!$G$33),Setup!$C$39:$C$50))+(418*100+14)/10000000)))</f>
        <v/>
      </c>
      <c r="AF423" t="str">
        <f>IF(P423="","",IF(P423&lt;Setup!$C$5-Setup!$C$6,"",IF(IF(ISNUMBER(Roster!$D423),Setup!$C$34&lt;=Roster!$D423,FALSE),"",IF(OR(IF(Setup!$C$15&lt;=Setup!$C$16,AND(MONTH(P423)&gt;=Setup!$C$15,MONTH(P423)&lt;=Setup!$C$16),OR(MONTH(P423)&gt;=Setup!$C$15,MONTH(P423)&lt;=Setup!$C$16)),IF(Setup!$C$15&lt;=Setup!$C$16,AND(MONTH(WORKDAY(P423,-(Setup!$C$13+Setup!$G$34),Setup!$C$39:$C$50))&gt;=Setup!$C$15,MONTH(WORKDAY(P423,-(Setup!$C$13+Setup!$G$34),Setup!$C$39:$C$50))&lt;=Setup!$C$16),OR(MONTH(WORKDAY(P423,-(Setup!$C$13+Setup!$G$34),Setup!$C$39:$C$50))&gt;=Setup!$C$15,MONTH(WORKDAY(P423,-(Setup!$C$13+Setup!$G$34),Setup!$C$39:$C$50))&lt;=Setup!$C$16))),WORKDAY(P423,-(Setup!$C$13+Setup!$G$34+Setup!$C$14),Setup!$C$39:$C$50),WORKDAY(P423,-(Setup!$C$13+Setup!$G$34),Setup!$C$39:$C$50))+(418*100+15)/10000000)))</f>
        <v/>
      </c>
      <c r="AH423" t="str">
        <f t="shared" si="46"/>
        <v/>
      </c>
      <c r="AI423" t="str">
        <f t="shared" si="47"/>
        <v/>
      </c>
      <c r="AP423" t="str">
        <f>IF(ISNUMBER(Roster!$B423),MAX(1,YEAR(Setup!$C$5)-YEAR(Roster!$B423)+IF(EDATE(Roster!$B423,12*(YEAR(Setup!$C$5)-YEAR(Roster!$B423)))&lt;Setup!$C$5,1,0)),"")</f>
        <v/>
      </c>
      <c r="AQ423" s="32" t="str">
        <f>IF(AP423="","",EDATE(Roster!$B423,12*AP423))</f>
        <v/>
      </c>
      <c r="AR423" t="str">
        <f>IF(AQ423="","",IF(AQ423&lt;DATE(YEAR(Setup!$C$5)+1,MONTH(Setup!$C$5),DAY(Setup!$C$5)),AQ423+418/1000,""))</f>
        <v/>
      </c>
      <c r="AS423" t="str">
        <f t="shared" si="48"/>
        <v/>
      </c>
      <c r="AT423" t="str">
        <f>IF(AS423="","",IF(ISNUMBER(Roster!$D423),Roster!$D423&gt;=AP423,FALSE))</f>
        <v/>
      </c>
      <c r="AU423" t="str">
        <f t="shared" si="49"/>
        <v/>
      </c>
      <c r="AV423" t="str">
        <f ca="1">IF(418&gt;$AV$2,"",SMALL($AR$6:$AR$505,418))</f>
        <v/>
      </c>
      <c r="AW423" t="str">
        <f t="shared" ca="1" si="50"/>
        <v/>
      </c>
    </row>
    <row r="424" spans="2:49" x14ac:dyDescent="0.2">
      <c r="B424" s="32" t="str">
        <f>IF(AND(ISNUMBER(Roster!$B424),Setup!$B$20="Yes",ISNUMBER(Setup!$C$20)),EDATE(Roster!$B424,12*Setup!$C$20),"")</f>
        <v/>
      </c>
      <c r="C424" s="32" t="str">
        <f>IF(AND(ISNUMBER(Roster!$B424),Setup!$B$21="Yes",ISNUMBER(Setup!$C$21)),EDATE(Roster!$B424,12*Setup!$C$21),"")</f>
        <v/>
      </c>
      <c r="D424" s="32" t="str">
        <f>IF(AND(ISNUMBER(Roster!$B424),Setup!$B$22="Yes",ISNUMBER(Setup!$C$22)),EDATE(Roster!$B424,12*Setup!$C$22),"")</f>
        <v/>
      </c>
      <c r="E424" s="32" t="str">
        <f>IF(AND(ISNUMBER(Roster!$B424),Setup!$B$23="Yes",ISNUMBER(Setup!$C$23)),EDATE(Roster!$B424,12*Setup!$C$23),"")</f>
        <v/>
      </c>
      <c r="F424" s="32" t="str">
        <f>IF(AND(ISNUMBER(Roster!$B424),Setup!$B$24="Yes",ISNUMBER(Setup!$C$24)),EDATE(Roster!$B424,12*Setup!$C$24),"")</f>
        <v/>
      </c>
      <c r="G424" s="32" t="str">
        <f>IF(AND(ISNUMBER(Roster!$B424),Setup!$B$25="Yes",ISNUMBER(Setup!$C$25)),EDATE(Roster!$B424,12*Setup!$C$25),"")</f>
        <v/>
      </c>
      <c r="H424" s="32" t="str">
        <f>IF(AND(ISNUMBER(Roster!$B424),Setup!$B$26="Yes",ISNUMBER(Setup!$C$26)),EDATE(Roster!$B424,12*Setup!$C$26),"")</f>
        <v/>
      </c>
      <c r="I424" s="32" t="str">
        <f>IF(AND(ISNUMBER(Roster!$B424),Setup!$B$27="Yes",ISNUMBER(Setup!$C$27)),EDATE(Roster!$B424,12*Setup!$C$27),"")</f>
        <v/>
      </c>
      <c r="J424" s="32" t="str">
        <f>IF(AND(ISNUMBER(Roster!$B424),Setup!$B$28="Yes",ISNUMBER(Setup!$C$28)),EDATE(Roster!$B424,12*Setup!$C$28),"")</f>
        <v/>
      </c>
      <c r="K424" s="32" t="str">
        <f>IF(AND(ISNUMBER(Roster!$B424),Setup!$B$29="Yes",ISNUMBER(Setup!$C$29)),EDATE(Roster!$B424,12*Setup!$C$29),"")</f>
        <v/>
      </c>
      <c r="L424" s="32" t="str">
        <f>IF(AND(ISNUMBER(Roster!$B424),Setup!$B$30="Yes",ISNUMBER(Setup!$C$30)),EDATE(Roster!$B424,12*Setup!$C$30),"")</f>
        <v/>
      </c>
      <c r="M424" s="32" t="str">
        <f>IF(AND(ISNUMBER(Roster!$B424),Setup!$B$31="Yes",ISNUMBER(Setup!$C$31)),EDATE(Roster!$B424,12*Setup!$C$31),"")</f>
        <v/>
      </c>
      <c r="N424" s="32" t="str">
        <f>IF(AND(ISNUMBER(Roster!$B424),Setup!$B$32="Yes",ISNUMBER(Setup!$C$32)),EDATE(Roster!$B424,12*Setup!$C$32),"")</f>
        <v/>
      </c>
      <c r="O424" s="32" t="str">
        <f>IF(AND(ISNUMBER(Roster!$B424),Setup!$B$33="Yes",ISNUMBER(Setup!$C$33)),EDATE(Roster!$B424,12*Setup!$C$33),"")</f>
        <v/>
      </c>
      <c r="P424" s="32" t="str">
        <f>IF(AND(ISNUMBER(Roster!$B424),Setup!$B$34="Yes",ISNUMBER(Setup!$C$34)),EDATE(Roster!$B424,12*Setup!$C$34),"")</f>
        <v/>
      </c>
      <c r="R424" t="str">
        <f>IF(B424="","",IF(B424&lt;Setup!$C$5-Setup!$C$6,"",IF(IF(ISNUMBER(Roster!$D424),Setup!$C$20&lt;=Roster!$D424,FALSE),"",IF(OR(IF(Setup!$C$15&lt;=Setup!$C$16,AND(MONTH(B424)&gt;=Setup!$C$15,MONTH(B424)&lt;=Setup!$C$16),OR(MONTH(B424)&gt;=Setup!$C$15,MONTH(B424)&lt;=Setup!$C$16)),IF(Setup!$C$15&lt;=Setup!$C$16,AND(MONTH(WORKDAY(B424,-(Setup!$C$13+Setup!$G$20),Setup!$C$39:$C$50))&gt;=Setup!$C$15,MONTH(WORKDAY(B424,-(Setup!$C$13+Setup!$G$20),Setup!$C$39:$C$50))&lt;=Setup!$C$16),OR(MONTH(WORKDAY(B424,-(Setup!$C$13+Setup!$G$20),Setup!$C$39:$C$50))&gt;=Setup!$C$15,MONTH(WORKDAY(B424,-(Setup!$C$13+Setup!$G$20),Setup!$C$39:$C$50))&lt;=Setup!$C$16))),WORKDAY(B424,-(Setup!$C$13+Setup!$G$20+Setup!$C$14),Setup!$C$39:$C$50),WORKDAY(B424,-(Setup!$C$13+Setup!$G$20),Setup!$C$39:$C$50))+(419*100+1)/10000000)))</f>
        <v/>
      </c>
      <c r="S424" t="str">
        <f>IF(C424="","",IF(C424&lt;Setup!$C$5-Setup!$C$6,"",IF(IF(ISNUMBER(Roster!$D424),Setup!$C$21&lt;=Roster!$D424,FALSE),"",IF(OR(IF(Setup!$C$15&lt;=Setup!$C$16,AND(MONTH(C424)&gt;=Setup!$C$15,MONTH(C424)&lt;=Setup!$C$16),OR(MONTH(C424)&gt;=Setup!$C$15,MONTH(C424)&lt;=Setup!$C$16)),IF(Setup!$C$15&lt;=Setup!$C$16,AND(MONTH(WORKDAY(C424,-(Setup!$C$13+Setup!$G$21),Setup!$C$39:$C$50))&gt;=Setup!$C$15,MONTH(WORKDAY(C424,-(Setup!$C$13+Setup!$G$21),Setup!$C$39:$C$50))&lt;=Setup!$C$16),OR(MONTH(WORKDAY(C424,-(Setup!$C$13+Setup!$G$21),Setup!$C$39:$C$50))&gt;=Setup!$C$15,MONTH(WORKDAY(C424,-(Setup!$C$13+Setup!$G$21),Setup!$C$39:$C$50))&lt;=Setup!$C$16))),WORKDAY(C424,-(Setup!$C$13+Setup!$G$21+Setup!$C$14),Setup!$C$39:$C$50),WORKDAY(C424,-(Setup!$C$13+Setup!$G$21),Setup!$C$39:$C$50))+(419*100+2)/10000000)))</f>
        <v/>
      </c>
      <c r="T424" t="str">
        <f>IF(D424="","",IF(D424&lt;Setup!$C$5-Setup!$C$6,"",IF(IF(ISNUMBER(Roster!$D424),Setup!$C$22&lt;=Roster!$D424,FALSE),"",IF(OR(IF(Setup!$C$15&lt;=Setup!$C$16,AND(MONTH(D424)&gt;=Setup!$C$15,MONTH(D424)&lt;=Setup!$C$16),OR(MONTH(D424)&gt;=Setup!$C$15,MONTH(D424)&lt;=Setup!$C$16)),IF(Setup!$C$15&lt;=Setup!$C$16,AND(MONTH(WORKDAY(D424,-(Setup!$C$13+Setup!$G$22),Setup!$C$39:$C$50))&gt;=Setup!$C$15,MONTH(WORKDAY(D424,-(Setup!$C$13+Setup!$G$22),Setup!$C$39:$C$50))&lt;=Setup!$C$16),OR(MONTH(WORKDAY(D424,-(Setup!$C$13+Setup!$G$22),Setup!$C$39:$C$50))&gt;=Setup!$C$15,MONTH(WORKDAY(D424,-(Setup!$C$13+Setup!$G$22),Setup!$C$39:$C$50))&lt;=Setup!$C$16))),WORKDAY(D424,-(Setup!$C$13+Setup!$G$22+Setup!$C$14),Setup!$C$39:$C$50),WORKDAY(D424,-(Setup!$C$13+Setup!$G$22),Setup!$C$39:$C$50))+(419*100+3)/10000000)))</f>
        <v/>
      </c>
      <c r="U424" t="str">
        <f>IF(E424="","",IF(E424&lt;Setup!$C$5-Setup!$C$6,"",IF(IF(ISNUMBER(Roster!$D424),Setup!$C$23&lt;=Roster!$D424,FALSE),"",IF(OR(IF(Setup!$C$15&lt;=Setup!$C$16,AND(MONTH(E424)&gt;=Setup!$C$15,MONTH(E424)&lt;=Setup!$C$16),OR(MONTH(E424)&gt;=Setup!$C$15,MONTH(E424)&lt;=Setup!$C$16)),IF(Setup!$C$15&lt;=Setup!$C$16,AND(MONTH(WORKDAY(E424,-(Setup!$C$13+Setup!$G$23),Setup!$C$39:$C$50))&gt;=Setup!$C$15,MONTH(WORKDAY(E424,-(Setup!$C$13+Setup!$G$23),Setup!$C$39:$C$50))&lt;=Setup!$C$16),OR(MONTH(WORKDAY(E424,-(Setup!$C$13+Setup!$G$23),Setup!$C$39:$C$50))&gt;=Setup!$C$15,MONTH(WORKDAY(E424,-(Setup!$C$13+Setup!$G$23),Setup!$C$39:$C$50))&lt;=Setup!$C$16))),WORKDAY(E424,-(Setup!$C$13+Setup!$G$23+Setup!$C$14),Setup!$C$39:$C$50),WORKDAY(E424,-(Setup!$C$13+Setup!$G$23),Setup!$C$39:$C$50))+(419*100+4)/10000000)))</f>
        <v/>
      </c>
      <c r="V424" t="str">
        <f>IF(F424="","",IF(F424&lt;Setup!$C$5-Setup!$C$6,"",IF(IF(ISNUMBER(Roster!$D424),Setup!$C$24&lt;=Roster!$D424,FALSE),"",IF(OR(IF(Setup!$C$15&lt;=Setup!$C$16,AND(MONTH(F424)&gt;=Setup!$C$15,MONTH(F424)&lt;=Setup!$C$16),OR(MONTH(F424)&gt;=Setup!$C$15,MONTH(F424)&lt;=Setup!$C$16)),IF(Setup!$C$15&lt;=Setup!$C$16,AND(MONTH(WORKDAY(F424,-(Setup!$C$13+Setup!$G$24),Setup!$C$39:$C$50))&gt;=Setup!$C$15,MONTH(WORKDAY(F424,-(Setup!$C$13+Setup!$G$24),Setup!$C$39:$C$50))&lt;=Setup!$C$16),OR(MONTH(WORKDAY(F424,-(Setup!$C$13+Setup!$G$24),Setup!$C$39:$C$50))&gt;=Setup!$C$15,MONTH(WORKDAY(F424,-(Setup!$C$13+Setup!$G$24),Setup!$C$39:$C$50))&lt;=Setup!$C$16))),WORKDAY(F424,-(Setup!$C$13+Setup!$G$24+Setup!$C$14),Setup!$C$39:$C$50),WORKDAY(F424,-(Setup!$C$13+Setup!$G$24),Setup!$C$39:$C$50))+(419*100+5)/10000000)))</f>
        <v/>
      </c>
      <c r="W424" t="str">
        <f>IF(G424="","",IF(G424&lt;Setup!$C$5-Setup!$C$6,"",IF(IF(ISNUMBER(Roster!$D424),Setup!$C$25&lt;=Roster!$D424,FALSE),"",IF(OR(IF(Setup!$C$15&lt;=Setup!$C$16,AND(MONTH(G424)&gt;=Setup!$C$15,MONTH(G424)&lt;=Setup!$C$16),OR(MONTH(G424)&gt;=Setup!$C$15,MONTH(G424)&lt;=Setup!$C$16)),IF(Setup!$C$15&lt;=Setup!$C$16,AND(MONTH(WORKDAY(G424,-(Setup!$C$13+Setup!$G$25),Setup!$C$39:$C$50))&gt;=Setup!$C$15,MONTH(WORKDAY(G424,-(Setup!$C$13+Setup!$G$25),Setup!$C$39:$C$50))&lt;=Setup!$C$16),OR(MONTH(WORKDAY(G424,-(Setup!$C$13+Setup!$G$25),Setup!$C$39:$C$50))&gt;=Setup!$C$15,MONTH(WORKDAY(G424,-(Setup!$C$13+Setup!$G$25),Setup!$C$39:$C$50))&lt;=Setup!$C$16))),WORKDAY(G424,-(Setup!$C$13+Setup!$G$25+Setup!$C$14),Setup!$C$39:$C$50),WORKDAY(G424,-(Setup!$C$13+Setup!$G$25),Setup!$C$39:$C$50))+(419*100+6)/10000000)))</f>
        <v/>
      </c>
      <c r="X424" t="str">
        <f>IF(H424="","",IF(H424&lt;Setup!$C$5-Setup!$C$6,"",IF(IF(ISNUMBER(Roster!$D424),Setup!$C$26&lt;=Roster!$D424,FALSE),"",IF(OR(IF(Setup!$C$15&lt;=Setup!$C$16,AND(MONTH(H424)&gt;=Setup!$C$15,MONTH(H424)&lt;=Setup!$C$16),OR(MONTH(H424)&gt;=Setup!$C$15,MONTH(H424)&lt;=Setup!$C$16)),IF(Setup!$C$15&lt;=Setup!$C$16,AND(MONTH(WORKDAY(H424,-(Setup!$C$13+Setup!$G$26),Setup!$C$39:$C$50))&gt;=Setup!$C$15,MONTH(WORKDAY(H424,-(Setup!$C$13+Setup!$G$26),Setup!$C$39:$C$50))&lt;=Setup!$C$16),OR(MONTH(WORKDAY(H424,-(Setup!$C$13+Setup!$G$26),Setup!$C$39:$C$50))&gt;=Setup!$C$15,MONTH(WORKDAY(H424,-(Setup!$C$13+Setup!$G$26),Setup!$C$39:$C$50))&lt;=Setup!$C$16))),WORKDAY(H424,-(Setup!$C$13+Setup!$G$26+Setup!$C$14),Setup!$C$39:$C$50),WORKDAY(H424,-(Setup!$C$13+Setup!$G$26),Setup!$C$39:$C$50))+(419*100+7)/10000000)))</f>
        <v/>
      </c>
      <c r="Y424" t="str">
        <f>IF(I424="","",IF(I424&lt;Setup!$C$5-Setup!$C$6,"",IF(IF(ISNUMBER(Roster!$D424),Setup!$C$27&lt;=Roster!$D424,FALSE),"",IF(OR(IF(Setup!$C$15&lt;=Setup!$C$16,AND(MONTH(I424)&gt;=Setup!$C$15,MONTH(I424)&lt;=Setup!$C$16),OR(MONTH(I424)&gt;=Setup!$C$15,MONTH(I424)&lt;=Setup!$C$16)),IF(Setup!$C$15&lt;=Setup!$C$16,AND(MONTH(WORKDAY(I424,-(Setup!$C$13+Setup!$G$27),Setup!$C$39:$C$50))&gt;=Setup!$C$15,MONTH(WORKDAY(I424,-(Setup!$C$13+Setup!$G$27),Setup!$C$39:$C$50))&lt;=Setup!$C$16),OR(MONTH(WORKDAY(I424,-(Setup!$C$13+Setup!$G$27),Setup!$C$39:$C$50))&gt;=Setup!$C$15,MONTH(WORKDAY(I424,-(Setup!$C$13+Setup!$G$27),Setup!$C$39:$C$50))&lt;=Setup!$C$16))),WORKDAY(I424,-(Setup!$C$13+Setup!$G$27+Setup!$C$14),Setup!$C$39:$C$50),WORKDAY(I424,-(Setup!$C$13+Setup!$G$27),Setup!$C$39:$C$50))+(419*100+8)/10000000)))</f>
        <v/>
      </c>
      <c r="Z424" t="str">
        <f>IF(J424="","",IF(J424&lt;Setup!$C$5-Setup!$C$6,"",IF(IF(ISNUMBER(Roster!$D424),Setup!$C$28&lt;=Roster!$D424,FALSE),"",IF(OR(IF(Setup!$C$15&lt;=Setup!$C$16,AND(MONTH(J424)&gt;=Setup!$C$15,MONTH(J424)&lt;=Setup!$C$16),OR(MONTH(J424)&gt;=Setup!$C$15,MONTH(J424)&lt;=Setup!$C$16)),IF(Setup!$C$15&lt;=Setup!$C$16,AND(MONTH(WORKDAY(J424,-(Setup!$C$13+Setup!$G$28),Setup!$C$39:$C$50))&gt;=Setup!$C$15,MONTH(WORKDAY(J424,-(Setup!$C$13+Setup!$G$28),Setup!$C$39:$C$50))&lt;=Setup!$C$16),OR(MONTH(WORKDAY(J424,-(Setup!$C$13+Setup!$G$28),Setup!$C$39:$C$50))&gt;=Setup!$C$15,MONTH(WORKDAY(J424,-(Setup!$C$13+Setup!$G$28),Setup!$C$39:$C$50))&lt;=Setup!$C$16))),WORKDAY(J424,-(Setup!$C$13+Setup!$G$28+Setup!$C$14),Setup!$C$39:$C$50),WORKDAY(J424,-(Setup!$C$13+Setup!$G$28),Setup!$C$39:$C$50))+(419*100+9)/10000000)))</f>
        <v/>
      </c>
      <c r="AA424" t="str">
        <f>IF(K424="","",IF(K424&lt;Setup!$C$5-Setup!$C$6,"",IF(IF(ISNUMBER(Roster!$D424),Setup!$C$29&lt;=Roster!$D424,FALSE),"",IF(OR(IF(Setup!$C$15&lt;=Setup!$C$16,AND(MONTH(K424)&gt;=Setup!$C$15,MONTH(K424)&lt;=Setup!$C$16),OR(MONTH(K424)&gt;=Setup!$C$15,MONTH(K424)&lt;=Setup!$C$16)),IF(Setup!$C$15&lt;=Setup!$C$16,AND(MONTH(WORKDAY(K424,-(Setup!$C$13+Setup!$G$29),Setup!$C$39:$C$50))&gt;=Setup!$C$15,MONTH(WORKDAY(K424,-(Setup!$C$13+Setup!$G$29),Setup!$C$39:$C$50))&lt;=Setup!$C$16),OR(MONTH(WORKDAY(K424,-(Setup!$C$13+Setup!$G$29),Setup!$C$39:$C$50))&gt;=Setup!$C$15,MONTH(WORKDAY(K424,-(Setup!$C$13+Setup!$G$29),Setup!$C$39:$C$50))&lt;=Setup!$C$16))),WORKDAY(K424,-(Setup!$C$13+Setup!$G$29+Setup!$C$14),Setup!$C$39:$C$50),WORKDAY(K424,-(Setup!$C$13+Setup!$G$29),Setup!$C$39:$C$50))+(419*100+10)/10000000)))</f>
        <v/>
      </c>
      <c r="AB424" t="str">
        <f>IF(L424="","",IF(L424&lt;Setup!$C$5-Setup!$C$6,"",IF(IF(ISNUMBER(Roster!$D424),Setup!$C$30&lt;=Roster!$D424,FALSE),"",IF(OR(IF(Setup!$C$15&lt;=Setup!$C$16,AND(MONTH(L424)&gt;=Setup!$C$15,MONTH(L424)&lt;=Setup!$C$16),OR(MONTH(L424)&gt;=Setup!$C$15,MONTH(L424)&lt;=Setup!$C$16)),IF(Setup!$C$15&lt;=Setup!$C$16,AND(MONTH(WORKDAY(L424,-(Setup!$C$13+Setup!$G$30),Setup!$C$39:$C$50))&gt;=Setup!$C$15,MONTH(WORKDAY(L424,-(Setup!$C$13+Setup!$G$30),Setup!$C$39:$C$50))&lt;=Setup!$C$16),OR(MONTH(WORKDAY(L424,-(Setup!$C$13+Setup!$G$30),Setup!$C$39:$C$50))&gt;=Setup!$C$15,MONTH(WORKDAY(L424,-(Setup!$C$13+Setup!$G$30),Setup!$C$39:$C$50))&lt;=Setup!$C$16))),WORKDAY(L424,-(Setup!$C$13+Setup!$G$30+Setup!$C$14),Setup!$C$39:$C$50),WORKDAY(L424,-(Setup!$C$13+Setup!$G$30),Setup!$C$39:$C$50))+(419*100+11)/10000000)))</f>
        <v/>
      </c>
      <c r="AC424" t="str">
        <f>IF(M424="","",IF(M424&lt;Setup!$C$5-Setup!$C$6,"",IF(IF(ISNUMBER(Roster!$D424),Setup!$C$31&lt;=Roster!$D424,FALSE),"",IF(OR(IF(Setup!$C$15&lt;=Setup!$C$16,AND(MONTH(M424)&gt;=Setup!$C$15,MONTH(M424)&lt;=Setup!$C$16),OR(MONTH(M424)&gt;=Setup!$C$15,MONTH(M424)&lt;=Setup!$C$16)),IF(Setup!$C$15&lt;=Setup!$C$16,AND(MONTH(WORKDAY(M424,-(Setup!$C$13+Setup!$G$31),Setup!$C$39:$C$50))&gt;=Setup!$C$15,MONTH(WORKDAY(M424,-(Setup!$C$13+Setup!$G$31),Setup!$C$39:$C$50))&lt;=Setup!$C$16),OR(MONTH(WORKDAY(M424,-(Setup!$C$13+Setup!$G$31),Setup!$C$39:$C$50))&gt;=Setup!$C$15,MONTH(WORKDAY(M424,-(Setup!$C$13+Setup!$G$31),Setup!$C$39:$C$50))&lt;=Setup!$C$16))),WORKDAY(M424,-(Setup!$C$13+Setup!$G$31+Setup!$C$14),Setup!$C$39:$C$50),WORKDAY(M424,-(Setup!$C$13+Setup!$G$31),Setup!$C$39:$C$50))+(419*100+12)/10000000)))</f>
        <v/>
      </c>
      <c r="AD424" t="str">
        <f>IF(N424="","",IF(N424&lt;Setup!$C$5-Setup!$C$6,"",IF(IF(ISNUMBER(Roster!$D424),Setup!$C$32&lt;=Roster!$D424,FALSE),"",IF(OR(IF(Setup!$C$15&lt;=Setup!$C$16,AND(MONTH(N424)&gt;=Setup!$C$15,MONTH(N424)&lt;=Setup!$C$16),OR(MONTH(N424)&gt;=Setup!$C$15,MONTH(N424)&lt;=Setup!$C$16)),IF(Setup!$C$15&lt;=Setup!$C$16,AND(MONTH(WORKDAY(N424,-(Setup!$C$13+Setup!$G$32),Setup!$C$39:$C$50))&gt;=Setup!$C$15,MONTH(WORKDAY(N424,-(Setup!$C$13+Setup!$G$32),Setup!$C$39:$C$50))&lt;=Setup!$C$16),OR(MONTH(WORKDAY(N424,-(Setup!$C$13+Setup!$G$32),Setup!$C$39:$C$50))&gt;=Setup!$C$15,MONTH(WORKDAY(N424,-(Setup!$C$13+Setup!$G$32),Setup!$C$39:$C$50))&lt;=Setup!$C$16))),WORKDAY(N424,-(Setup!$C$13+Setup!$G$32+Setup!$C$14),Setup!$C$39:$C$50),WORKDAY(N424,-(Setup!$C$13+Setup!$G$32),Setup!$C$39:$C$50))+(419*100+13)/10000000)))</f>
        <v/>
      </c>
      <c r="AE424" t="str">
        <f>IF(O424="","",IF(O424&lt;Setup!$C$5-Setup!$C$6,"",IF(IF(ISNUMBER(Roster!$D424),Setup!$C$33&lt;=Roster!$D424,FALSE),"",IF(OR(IF(Setup!$C$15&lt;=Setup!$C$16,AND(MONTH(O424)&gt;=Setup!$C$15,MONTH(O424)&lt;=Setup!$C$16),OR(MONTH(O424)&gt;=Setup!$C$15,MONTH(O424)&lt;=Setup!$C$16)),IF(Setup!$C$15&lt;=Setup!$C$16,AND(MONTH(WORKDAY(O424,-(Setup!$C$13+Setup!$G$33),Setup!$C$39:$C$50))&gt;=Setup!$C$15,MONTH(WORKDAY(O424,-(Setup!$C$13+Setup!$G$33),Setup!$C$39:$C$50))&lt;=Setup!$C$16),OR(MONTH(WORKDAY(O424,-(Setup!$C$13+Setup!$G$33),Setup!$C$39:$C$50))&gt;=Setup!$C$15,MONTH(WORKDAY(O424,-(Setup!$C$13+Setup!$G$33),Setup!$C$39:$C$50))&lt;=Setup!$C$16))),WORKDAY(O424,-(Setup!$C$13+Setup!$G$33+Setup!$C$14),Setup!$C$39:$C$50),WORKDAY(O424,-(Setup!$C$13+Setup!$G$33),Setup!$C$39:$C$50))+(419*100+14)/10000000)))</f>
        <v/>
      </c>
      <c r="AF424" t="str">
        <f>IF(P424="","",IF(P424&lt;Setup!$C$5-Setup!$C$6,"",IF(IF(ISNUMBER(Roster!$D424),Setup!$C$34&lt;=Roster!$D424,FALSE),"",IF(OR(IF(Setup!$C$15&lt;=Setup!$C$16,AND(MONTH(P424)&gt;=Setup!$C$15,MONTH(P424)&lt;=Setup!$C$16),OR(MONTH(P424)&gt;=Setup!$C$15,MONTH(P424)&lt;=Setup!$C$16)),IF(Setup!$C$15&lt;=Setup!$C$16,AND(MONTH(WORKDAY(P424,-(Setup!$C$13+Setup!$G$34),Setup!$C$39:$C$50))&gt;=Setup!$C$15,MONTH(WORKDAY(P424,-(Setup!$C$13+Setup!$G$34),Setup!$C$39:$C$50))&lt;=Setup!$C$16),OR(MONTH(WORKDAY(P424,-(Setup!$C$13+Setup!$G$34),Setup!$C$39:$C$50))&gt;=Setup!$C$15,MONTH(WORKDAY(P424,-(Setup!$C$13+Setup!$G$34),Setup!$C$39:$C$50))&lt;=Setup!$C$16))),WORKDAY(P424,-(Setup!$C$13+Setup!$G$34+Setup!$C$14),Setup!$C$39:$C$50),WORKDAY(P424,-(Setup!$C$13+Setup!$G$34),Setup!$C$39:$C$50))+(419*100+15)/10000000)))</f>
        <v/>
      </c>
      <c r="AH424" t="str">
        <f t="shared" si="46"/>
        <v/>
      </c>
      <c r="AI424" t="str">
        <f t="shared" si="47"/>
        <v/>
      </c>
      <c r="AP424" t="str">
        <f>IF(ISNUMBER(Roster!$B424),MAX(1,YEAR(Setup!$C$5)-YEAR(Roster!$B424)+IF(EDATE(Roster!$B424,12*(YEAR(Setup!$C$5)-YEAR(Roster!$B424)))&lt;Setup!$C$5,1,0)),"")</f>
        <v/>
      </c>
      <c r="AQ424" s="32" t="str">
        <f>IF(AP424="","",EDATE(Roster!$B424,12*AP424))</f>
        <v/>
      </c>
      <c r="AR424" t="str">
        <f>IF(AQ424="","",IF(AQ424&lt;DATE(YEAR(Setup!$C$5)+1,MONTH(Setup!$C$5),DAY(Setup!$C$5)),AQ424+419/1000,""))</f>
        <v/>
      </c>
      <c r="AS424" t="str">
        <f t="shared" si="48"/>
        <v/>
      </c>
      <c r="AT424" t="str">
        <f>IF(AS424="","",IF(ISNUMBER(Roster!$D424),Roster!$D424&gt;=AP424,FALSE))</f>
        <v/>
      </c>
      <c r="AU424" t="str">
        <f t="shared" si="49"/>
        <v/>
      </c>
      <c r="AV424" t="str">
        <f ca="1">IF(419&gt;$AV$2,"",SMALL($AR$6:$AR$505,419))</f>
        <v/>
      </c>
      <c r="AW424" t="str">
        <f t="shared" ca="1" si="50"/>
        <v/>
      </c>
    </row>
    <row r="425" spans="2:49" x14ac:dyDescent="0.2">
      <c r="B425" s="32" t="str">
        <f>IF(AND(ISNUMBER(Roster!$B425),Setup!$B$20="Yes",ISNUMBER(Setup!$C$20)),EDATE(Roster!$B425,12*Setup!$C$20),"")</f>
        <v/>
      </c>
      <c r="C425" s="32" t="str">
        <f>IF(AND(ISNUMBER(Roster!$B425),Setup!$B$21="Yes",ISNUMBER(Setup!$C$21)),EDATE(Roster!$B425,12*Setup!$C$21),"")</f>
        <v/>
      </c>
      <c r="D425" s="32" t="str">
        <f>IF(AND(ISNUMBER(Roster!$B425),Setup!$B$22="Yes",ISNUMBER(Setup!$C$22)),EDATE(Roster!$B425,12*Setup!$C$22),"")</f>
        <v/>
      </c>
      <c r="E425" s="32" t="str">
        <f>IF(AND(ISNUMBER(Roster!$B425),Setup!$B$23="Yes",ISNUMBER(Setup!$C$23)),EDATE(Roster!$B425,12*Setup!$C$23),"")</f>
        <v/>
      </c>
      <c r="F425" s="32" t="str">
        <f>IF(AND(ISNUMBER(Roster!$B425),Setup!$B$24="Yes",ISNUMBER(Setup!$C$24)),EDATE(Roster!$B425,12*Setup!$C$24),"")</f>
        <v/>
      </c>
      <c r="G425" s="32" t="str">
        <f>IF(AND(ISNUMBER(Roster!$B425),Setup!$B$25="Yes",ISNUMBER(Setup!$C$25)),EDATE(Roster!$B425,12*Setup!$C$25),"")</f>
        <v/>
      </c>
      <c r="H425" s="32" t="str">
        <f>IF(AND(ISNUMBER(Roster!$B425),Setup!$B$26="Yes",ISNUMBER(Setup!$C$26)),EDATE(Roster!$B425,12*Setup!$C$26),"")</f>
        <v/>
      </c>
      <c r="I425" s="32" t="str">
        <f>IF(AND(ISNUMBER(Roster!$B425),Setup!$B$27="Yes",ISNUMBER(Setup!$C$27)),EDATE(Roster!$B425,12*Setup!$C$27),"")</f>
        <v/>
      </c>
      <c r="J425" s="32" t="str">
        <f>IF(AND(ISNUMBER(Roster!$B425),Setup!$B$28="Yes",ISNUMBER(Setup!$C$28)),EDATE(Roster!$B425,12*Setup!$C$28),"")</f>
        <v/>
      </c>
      <c r="K425" s="32" t="str">
        <f>IF(AND(ISNUMBER(Roster!$B425),Setup!$B$29="Yes",ISNUMBER(Setup!$C$29)),EDATE(Roster!$B425,12*Setup!$C$29),"")</f>
        <v/>
      </c>
      <c r="L425" s="32" t="str">
        <f>IF(AND(ISNUMBER(Roster!$B425),Setup!$B$30="Yes",ISNUMBER(Setup!$C$30)),EDATE(Roster!$B425,12*Setup!$C$30),"")</f>
        <v/>
      </c>
      <c r="M425" s="32" t="str">
        <f>IF(AND(ISNUMBER(Roster!$B425),Setup!$B$31="Yes",ISNUMBER(Setup!$C$31)),EDATE(Roster!$B425,12*Setup!$C$31),"")</f>
        <v/>
      </c>
      <c r="N425" s="32" t="str">
        <f>IF(AND(ISNUMBER(Roster!$B425),Setup!$B$32="Yes",ISNUMBER(Setup!$C$32)),EDATE(Roster!$B425,12*Setup!$C$32),"")</f>
        <v/>
      </c>
      <c r="O425" s="32" t="str">
        <f>IF(AND(ISNUMBER(Roster!$B425),Setup!$B$33="Yes",ISNUMBER(Setup!$C$33)),EDATE(Roster!$B425,12*Setup!$C$33),"")</f>
        <v/>
      </c>
      <c r="P425" s="32" t="str">
        <f>IF(AND(ISNUMBER(Roster!$B425),Setup!$B$34="Yes",ISNUMBER(Setup!$C$34)),EDATE(Roster!$B425,12*Setup!$C$34),"")</f>
        <v/>
      </c>
      <c r="R425" t="str">
        <f>IF(B425="","",IF(B425&lt;Setup!$C$5-Setup!$C$6,"",IF(IF(ISNUMBER(Roster!$D425),Setup!$C$20&lt;=Roster!$D425,FALSE),"",IF(OR(IF(Setup!$C$15&lt;=Setup!$C$16,AND(MONTH(B425)&gt;=Setup!$C$15,MONTH(B425)&lt;=Setup!$C$16),OR(MONTH(B425)&gt;=Setup!$C$15,MONTH(B425)&lt;=Setup!$C$16)),IF(Setup!$C$15&lt;=Setup!$C$16,AND(MONTH(WORKDAY(B425,-(Setup!$C$13+Setup!$G$20),Setup!$C$39:$C$50))&gt;=Setup!$C$15,MONTH(WORKDAY(B425,-(Setup!$C$13+Setup!$G$20),Setup!$C$39:$C$50))&lt;=Setup!$C$16),OR(MONTH(WORKDAY(B425,-(Setup!$C$13+Setup!$G$20),Setup!$C$39:$C$50))&gt;=Setup!$C$15,MONTH(WORKDAY(B425,-(Setup!$C$13+Setup!$G$20),Setup!$C$39:$C$50))&lt;=Setup!$C$16))),WORKDAY(B425,-(Setup!$C$13+Setup!$G$20+Setup!$C$14),Setup!$C$39:$C$50),WORKDAY(B425,-(Setup!$C$13+Setup!$G$20),Setup!$C$39:$C$50))+(420*100+1)/10000000)))</f>
        <v/>
      </c>
      <c r="S425" t="str">
        <f>IF(C425="","",IF(C425&lt;Setup!$C$5-Setup!$C$6,"",IF(IF(ISNUMBER(Roster!$D425),Setup!$C$21&lt;=Roster!$D425,FALSE),"",IF(OR(IF(Setup!$C$15&lt;=Setup!$C$16,AND(MONTH(C425)&gt;=Setup!$C$15,MONTH(C425)&lt;=Setup!$C$16),OR(MONTH(C425)&gt;=Setup!$C$15,MONTH(C425)&lt;=Setup!$C$16)),IF(Setup!$C$15&lt;=Setup!$C$16,AND(MONTH(WORKDAY(C425,-(Setup!$C$13+Setup!$G$21),Setup!$C$39:$C$50))&gt;=Setup!$C$15,MONTH(WORKDAY(C425,-(Setup!$C$13+Setup!$G$21),Setup!$C$39:$C$50))&lt;=Setup!$C$16),OR(MONTH(WORKDAY(C425,-(Setup!$C$13+Setup!$G$21),Setup!$C$39:$C$50))&gt;=Setup!$C$15,MONTH(WORKDAY(C425,-(Setup!$C$13+Setup!$G$21),Setup!$C$39:$C$50))&lt;=Setup!$C$16))),WORKDAY(C425,-(Setup!$C$13+Setup!$G$21+Setup!$C$14),Setup!$C$39:$C$50),WORKDAY(C425,-(Setup!$C$13+Setup!$G$21),Setup!$C$39:$C$50))+(420*100+2)/10000000)))</f>
        <v/>
      </c>
      <c r="T425" t="str">
        <f>IF(D425="","",IF(D425&lt;Setup!$C$5-Setup!$C$6,"",IF(IF(ISNUMBER(Roster!$D425),Setup!$C$22&lt;=Roster!$D425,FALSE),"",IF(OR(IF(Setup!$C$15&lt;=Setup!$C$16,AND(MONTH(D425)&gt;=Setup!$C$15,MONTH(D425)&lt;=Setup!$C$16),OR(MONTH(D425)&gt;=Setup!$C$15,MONTH(D425)&lt;=Setup!$C$16)),IF(Setup!$C$15&lt;=Setup!$C$16,AND(MONTH(WORKDAY(D425,-(Setup!$C$13+Setup!$G$22),Setup!$C$39:$C$50))&gt;=Setup!$C$15,MONTH(WORKDAY(D425,-(Setup!$C$13+Setup!$G$22),Setup!$C$39:$C$50))&lt;=Setup!$C$16),OR(MONTH(WORKDAY(D425,-(Setup!$C$13+Setup!$G$22),Setup!$C$39:$C$50))&gt;=Setup!$C$15,MONTH(WORKDAY(D425,-(Setup!$C$13+Setup!$G$22),Setup!$C$39:$C$50))&lt;=Setup!$C$16))),WORKDAY(D425,-(Setup!$C$13+Setup!$G$22+Setup!$C$14),Setup!$C$39:$C$50),WORKDAY(D425,-(Setup!$C$13+Setup!$G$22),Setup!$C$39:$C$50))+(420*100+3)/10000000)))</f>
        <v/>
      </c>
      <c r="U425" t="str">
        <f>IF(E425="","",IF(E425&lt;Setup!$C$5-Setup!$C$6,"",IF(IF(ISNUMBER(Roster!$D425),Setup!$C$23&lt;=Roster!$D425,FALSE),"",IF(OR(IF(Setup!$C$15&lt;=Setup!$C$16,AND(MONTH(E425)&gt;=Setup!$C$15,MONTH(E425)&lt;=Setup!$C$16),OR(MONTH(E425)&gt;=Setup!$C$15,MONTH(E425)&lt;=Setup!$C$16)),IF(Setup!$C$15&lt;=Setup!$C$16,AND(MONTH(WORKDAY(E425,-(Setup!$C$13+Setup!$G$23),Setup!$C$39:$C$50))&gt;=Setup!$C$15,MONTH(WORKDAY(E425,-(Setup!$C$13+Setup!$G$23),Setup!$C$39:$C$50))&lt;=Setup!$C$16),OR(MONTH(WORKDAY(E425,-(Setup!$C$13+Setup!$G$23),Setup!$C$39:$C$50))&gt;=Setup!$C$15,MONTH(WORKDAY(E425,-(Setup!$C$13+Setup!$G$23),Setup!$C$39:$C$50))&lt;=Setup!$C$16))),WORKDAY(E425,-(Setup!$C$13+Setup!$G$23+Setup!$C$14),Setup!$C$39:$C$50),WORKDAY(E425,-(Setup!$C$13+Setup!$G$23),Setup!$C$39:$C$50))+(420*100+4)/10000000)))</f>
        <v/>
      </c>
      <c r="V425" t="str">
        <f>IF(F425="","",IF(F425&lt;Setup!$C$5-Setup!$C$6,"",IF(IF(ISNUMBER(Roster!$D425),Setup!$C$24&lt;=Roster!$D425,FALSE),"",IF(OR(IF(Setup!$C$15&lt;=Setup!$C$16,AND(MONTH(F425)&gt;=Setup!$C$15,MONTH(F425)&lt;=Setup!$C$16),OR(MONTH(F425)&gt;=Setup!$C$15,MONTH(F425)&lt;=Setup!$C$16)),IF(Setup!$C$15&lt;=Setup!$C$16,AND(MONTH(WORKDAY(F425,-(Setup!$C$13+Setup!$G$24),Setup!$C$39:$C$50))&gt;=Setup!$C$15,MONTH(WORKDAY(F425,-(Setup!$C$13+Setup!$G$24),Setup!$C$39:$C$50))&lt;=Setup!$C$16),OR(MONTH(WORKDAY(F425,-(Setup!$C$13+Setup!$G$24),Setup!$C$39:$C$50))&gt;=Setup!$C$15,MONTH(WORKDAY(F425,-(Setup!$C$13+Setup!$G$24),Setup!$C$39:$C$50))&lt;=Setup!$C$16))),WORKDAY(F425,-(Setup!$C$13+Setup!$G$24+Setup!$C$14),Setup!$C$39:$C$50),WORKDAY(F425,-(Setup!$C$13+Setup!$G$24),Setup!$C$39:$C$50))+(420*100+5)/10000000)))</f>
        <v/>
      </c>
      <c r="W425" t="str">
        <f>IF(G425="","",IF(G425&lt;Setup!$C$5-Setup!$C$6,"",IF(IF(ISNUMBER(Roster!$D425),Setup!$C$25&lt;=Roster!$D425,FALSE),"",IF(OR(IF(Setup!$C$15&lt;=Setup!$C$16,AND(MONTH(G425)&gt;=Setup!$C$15,MONTH(G425)&lt;=Setup!$C$16),OR(MONTH(G425)&gt;=Setup!$C$15,MONTH(G425)&lt;=Setup!$C$16)),IF(Setup!$C$15&lt;=Setup!$C$16,AND(MONTH(WORKDAY(G425,-(Setup!$C$13+Setup!$G$25),Setup!$C$39:$C$50))&gt;=Setup!$C$15,MONTH(WORKDAY(G425,-(Setup!$C$13+Setup!$G$25),Setup!$C$39:$C$50))&lt;=Setup!$C$16),OR(MONTH(WORKDAY(G425,-(Setup!$C$13+Setup!$G$25),Setup!$C$39:$C$50))&gt;=Setup!$C$15,MONTH(WORKDAY(G425,-(Setup!$C$13+Setup!$G$25),Setup!$C$39:$C$50))&lt;=Setup!$C$16))),WORKDAY(G425,-(Setup!$C$13+Setup!$G$25+Setup!$C$14),Setup!$C$39:$C$50),WORKDAY(G425,-(Setup!$C$13+Setup!$G$25),Setup!$C$39:$C$50))+(420*100+6)/10000000)))</f>
        <v/>
      </c>
      <c r="X425" t="str">
        <f>IF(H425="","",IF(H425&lt;Setup!$C$5-Setup!$C$6,"",IF(IF(ISNUMBER(Roster!$D425),Setup!$C$26&lt;=Roster!$D425,FALSE),"",IF(OR(IF(Setup!$C$15&lt;=Setup!$C$16,AND(MONTH(H425)&gt;=Setup!$C$15,MONTH(H425)&lt;=Setup!$C$16),OR(MONTH(H425)&gt;=Setup!$C$15,MONTH(H425)&lt;=Setup!$C$16)),IF(Setup!$C$15&lt;=Setup!$C$16,AND(MONTH(WORKDAY(H425,-(Setup!$C$13+Setup!$G$26),Setup!$C$39:$C$50))&gt;=Setup!$C$15,MONTH(WORKDAY(H425,-(Setup!$C$13+Setup!$G$26),Setup!$C$39:$C$50))&lt;=Setup!$C$16),OR(MONTH(WORKDAY(H425,-(Setup!$C$13+Setup!$G$26),Setup!$C$39:$C$50))&gt;=Setup!$C$15,MONTH(WORKDAY(H425,-(Setup!$C$13+Setup!$G$26),Setup!$C$39:$C$50))&lt;=Setup!$C$16))),WORKDAY(H425,-(Setup!$C$13+Setup!$G$26+Setup!$C$14),Setup!$C$39:$C$50),WORKDAY(H425,-(Setup!$C$13+Setup!$G$26),Setup!$C$39:$C$50))+(420*100+7)/10000000)))</f>
        <v/>
      </c>
      <c r="Y425" t="str">
        <f>IF(I425="","",IF(I425&lt;Setup!$C$5-Setup!$C$6,"",IF(IF(ISNUMBER(Roster!$D425),Setup!$C$27&lt;=Roster!$D425,FALSE),"",IF(OR(IF(Setup!$C$15&lt;=Setup!$C$16,AND(MONTH(I425)&gt;=Setup!$C$15,MONTH(I425)&lt;=Setup!$C$16),OR(MONTH(I425)&gt;=Setup!$C$15,MONTH(I425)&lt;=Setup!$C$16)),IF(Setup!$C$15&lt;=Setup!$C$16,AND(MONTH(WORKDAY(I425,-(Setup!$C$13+Setup!$G$27),Setup!$C$39:$C$50))&gt;=Setup!$C$15,MONTH(WORKDAY(I425,-(Setup!$C$13+Setup!$G$27),Setup!$C$39:$C$50))&lt;=Setup!$C$16),OR(MONTH(WORKDAY(I425,-(Setup!$C$13+Setup!$G$27),Setup!$C$39:$C$50))&gt;=Setup!$C$15,MONTH(WORKDAY(I425,-(Setup!$C$13+Setup!$G$27),Setup!$C$39:$C$50))&lt;=Setup!$C$16))),WORKDAY(I425,-(Setup!$C$13+Setup!$G$27+Setup!$C$14),Setup!$C$39:$C$50),WORKDAY(I425,-(Setup!$C$13+Setup!$G$27),Setup!$C$39:$C$50))+(420*100+8)/10000000)))</f>
        <v/>
      </c>
      <c r="Z425" t="str">
        <f>IF(J425="","",IF(J425&lt;Setup!$C$5-Setup!$C$6,"",IF(IF(ISNUMBER(Roster!$D425),Setup!$C$28&lt;=Roster!$D425,FALSE),"",IF(OR(IF(Setup!$C$15&lt;=Setup!$C$16,AND(MONTH(J425)&gt;=Setup!$C$15,MONTH(J425)&lt;=Setup!$C$16),OR(MONTH(J425)&gt;=Setup!$C$15,MONTH(J425)&lt;=Setup!$C$16)),IF(Setup!$C$15&lt;=Setup!$C$16,AND(MONTH(WORKDAY(J425,-(Setup!$C$13+Setup!$G$28),Setup!$C$39:$C$50))&gt;=Setup!$C$15,MONTH(WORKDAY(J425,-(Setup!$C$13+Setup!$G$28),Setup!$C$39:$C$50))&lt;=Setup!$C$16),OR(MONTH(WORKDAY(J425,-(Setup!$C$13+Setup!$G$28),Setup!$C$39:$C$50))&gt;=Setup!$C$15,MONTH(WORKDAY(J425,-(Setup!$C$13+Setup!$G$28),Setup!$C$39:$C$50))&lt;=Setup!$C$16))),WORKDAY(J425,-(Setup!$C$13+Setup!$G$28+Setup!$C$14),Setup!$C$39:$C$50),WORKDAY(J425,-(Setup!$C$13+Setup!$G$28),Setup!$C$39:$C$50))+(420*100+9)/10000000)))</f>
        <v/>
      </c>
      <c r="AA425" t="str">
        <f>IF(K425="","",IF(K425&lt;Setup!$C$5-Setup!$C$6,"",IF(IF(ISNUMBER(Roster!$D425),Setup!$C$29&lt;=Roster!$D425,FALSE),"",IF(OR(IF(Setup!$C$15&lt;=Setup!$C$16,AND(MONTH(K425)&gt;=Setup!$C$15,MONTH(K425)&lt;=Setup!$C$16),OR(MONTH(K425)&gt;=Setup!$C$15,MONTH(K425)&lt;=Setup!$C$16)),IF(Setup!$C$15&lt;=Setup!$C$16,AND(MONTH(WORKDAY(K425,-(Setup!$C$13+Setup!$G$29),Setup!$C$39:$C$50))&gt;=Setup!$C$15,MONTH(WORKDAY(K425,-(Setup!$C$13+Setup!$G$29),Setup!$C$39:$C$50))&lt;=Setup!$C$16),OR(MONTH(WORKDAY(K425,-(Setup!$C$13+Setup!$G$29),Setup!$C$39:$C$50))&gt;=Setup!$C$15,MONTH(WORKDAY(K425,-(Setup!$C$13+Setup!$G$29),Setup!$C$39:$C$50))&lt;=Setup!$C$16))),WORKDAY(K425,-(Setup!$C$13+Setup!$G$29+Setup!$C$14),Setup!$C$39:$C$50),WORKDAY(K425,-(Setup!$C$13+Setup!$G$29),Setup!$C$39:$C$50))+(420*100+10)/10000000)))</f>
        <v/>
      </c>
      <c r="AB425" t="str">
        <f>IF(L425="","",IF(L425&lt;Setup!$C$5-Setup!$C$6,"",IF(IF(ISNUMBER(Roster!$D425),Setup!$C$30&lt;=Roster!$D425,FALSE),"",IF(OR(IF(Setup!$C$15&lt;=Setup!$C$16,AND(MONTH(L425)&gt;=Setup!$C$15,MONTH(L425)&lt;=Setup!$C$16),OR(MONTH(L425)&gt;=Setup!$C$15,MONTH(L425)&lt;=Setup!$C$16)),IF(Setup!$C$15&lt;=Setup!$C$16,AND(MONTH(WORKDAY(L425,-(Setup!$C$13+Setup!$G$30),Setup!$C$39:$C$50))&gt;=Setup!$C$15,MONTH(WORKDAY(L425,-(Setup!$C$13+Setup!$G$30),Setup!$C$39:$C$50))&lt;=Setup!$C$16),OR(MONTH(WORKDAY(L425,-(Setup!$C$13+Setup!$G$30),Setup!$C$39:$C$50))&gt;=Setup!$C$15,MONTH(WORKDAY(L425,-(Setup!$C$13+Setup!$G$30),Setup!$C$39:$C$50))&lt;=Setup!$C$16))),WORKDAY(L425,-(Setup!$C$13+Setup!$G$30+Setup!$C$14),Setup!$C$39:$C$50),WORKDAY(L425,-(Setup!$C$13+Setup!$G$30),Setup!$C$39:$C$50))+(420*100+11)/10000000)))</f>
        <v/>
      </c>
      <c r="AC425" t="str">
        <f>IF(M425="","",IF(M425&lt;Setup!$C$5-Setup!$C$6,"",IF(IF(ISNUMBER(Roster!$D425),Setup!$C$31&lt;=Roster!$D425,FALSE),"",IF(OR(IF(Setup!$C$15&lt;=Setup!$C$16,AND(MONTH(M425)&gt;=Setup!$C$15,MONTH(M425)&lt;=Setup!$C$16),OR(MONTH(M425)&gt;=Setup!$C$15,MONTH(M425)&lt;=Setup!$C$16)),IF(Setup!$C$15&lt;=Setup!$C$16,AND(MONTH(WORKDAY(M425,-(Setup!$C$13+Setup!$G$31),Setup!$C$39:$C$50))&gt;=Setup!$C$15,MONTH(WORKDAY(M425,-(Setup!$C$13+Setup!$G$31),Setup!$C$39:$C$50))&lt;=Setup!$C$16),OR(MONTH(WORKDAY(M425,-(Setup!$C$13+Setup!$G$31),Setup!$C$39:$C$50))&gt;=Setup!$C$15,MONTH(WORKDAY(M425,-(Setup!$C$13+Setup!$G$31),Setup!$C$39:$C$50))&lt;=Setup!$C$16))),WORKDAY(M425,-(Setup!$C$13+Setup!$G$31+Setup!$C$14),Setup!$C$39:$C$50),WORKDAY(M425,-(Setup!$C$13+Setup!$G$31),Setup!$C$39:$C$50))+(420*100+12)/10000000)))</f>
        <v/>
      </c>
      <c r="AD425" t="str">
        <f>IF(N425="","",IF(N425&lt;Setup!$C$5-Setup!$C$6,"",IF(IF(ISNUMBER(Roster!$D425),Setup!$C$32&lt;=Roster!$D425,FALSE),"",IF(OR(IF(Setup!$C$15&lt;=Setup!$C$16,AND(MONTH(N425)&gt;=Setup!$C$15,MONTH(N425)&lt;=Setup!$C$16),OR(MONTH(N425)&gt;=Setup!$C$15,MONTH(N425)&lt;=Setup!$C$16)),IF(Setup!$C$15&lt;=Setup!$C$16,AND(MONTH(WORKDAY(N425,-(Setup!$C$13+Setup!$G$32),Setup!$C$39:$C$50))&gt;=Setup!$C$15,MONTH(WORKDAY(N425,-(Setup!$C$13+Setup!$G$32),Setup!$C$39:$C$50))&lt;=Setup!$C$16),OR(MONTH(WORKDAY(N425,-(Setup!$C$13+Setup!$G$32),Setup!$C$39:$C$50))&gt;=Setup!$C$15,MONTH(WORKDAY(N425,-(Setup!$C$13+Setup!$G$32),Setup!$C$39:$C$50))&lt;=Setup!$C$16))),WORKDAY(N425,-(Setup!$C$13+Setup!$G$32+Setup!$C$14),Setup!$C$39:$C$50),WORKDAY(N425,-(Setup!$C$13+Setup!$G$32),Setup!$C$39:$C$50))+(420*100+13)/10000000)))</f>
        <v/>
      </c>
      <c r="AE425" t="str">
        <f>IF(O425="","",IF(O425&lt;Setup!$C$5-Setup!$C$6,"",IF(IF(ISNUMBER(Roster!$D425),Setup!$C$33&lt;=Roster!$D425,FALSE),"",IF(OR(IF(Setup!$C$15&lt;=Setup!$C$16,AND(MONTH(O425)&gt;=Setup!$C$15,MONTH(O425)&lt;=Setup!$C$16),OR(MONTH(O425)&gt;=Setup!$C$15,MONTH(O425)&lt;=Setup!$C$16)),IF(Setup!$C$15&lt;=Setup!$C$16,AND(MONTH(WORKDAY(O425,-(Setup!$C$13+Setup!$G$33),Setup!$C$39:$C$50))&gt;=Setup!$C$15,MONTH(WORKDAY(O425,-(Setup!$C$13+Setup!$G$33),Setup!$C$39:$C$50))&lt;=Setup!$C$16),OR(MONTH(WORKDAY(O425,-(Setup!$C$13+Setup!$G$33),Setup!$C$39:$C$50))&gt;=Setup!$C$15,MONTH(WORKDAY(O425,-(Setup!$C$13+Setup!$G$33),Setup!$C$39:$C$50))&lt;=Setup!$C$16))),WORKDAY(O425,-(Setup!$C$13+Setup!$G$33+Setup!$C$14),Setup!$C$39:$C$50),WORKDAY(O425,-(Setup!$C$13+Setup!$G$33),Setup!$C$39:$C$50))+(420*100+14)/10000000)))</f>
        <v/>
      </c>
      <c r="AF425" t="str">
        <f>IF(P425="","",IF(P425&lt;Setup!$C$5-Setup!$C$6,"",IF(IF(ISNUMBER(Roster!$D425),Setup!$C$34&lt;=Roster!$D425,FALSE),"",IF(OR(IF(Setup!$C$15&lt;=Setup!$C$16,AND(MONTH(P425)&gt;=Setup!$C$15,MONTH(P425)&lt;=Setup!$C$16),OR(MONTH(P425)&gt;=Setup!$C$15,MONTH(P425)&lt;=Setup!$C$16)),IF(Setup!$C$15&lt;=Setup!$C$16,AND(MONTH(WORKDAY(P425,-(Setup!$C$13+Setup!$G$34),Setup!$C$39:$C$50))&gt;=Setup!$C$15,MONTH(WORKDAY(P425,-(Setup!$C$13+Setup!$G$34),Setup!$C$39:$C$50))&lt;=Setup!$C$16),OR(MONTH(WORKDAY(P425,-(Setup!$C$13+Setup!$G$34),Setup!$C$39:$C$50))&gt;=Setup!$C$15,MONTH(WORKDAY(P425,-(Setup!$C$13+Setup!$G$34),Setup!$C$39:$C$50))&lt;=Setup!$C$16))),WORKDAY(P425,-(Setup!$C$13+Setup!$G$34+Setup!$C$14),Setup!$C$39:$C$50),WORKDAY(P425,-(Setup!$C$13+Setup!$G$34),Setup!$C$39:$C$50))+(420*100+15)/10000000)))</f>
        <v/>
      </c>
      <c r="AH425" t="str">
        <f t="shared" si="46"/>
        <v/>
      </c>
      <c r="AI425" t="str">
        <f t="shared" si="47"/>
        <v/>
      </c>
      <c r="AP425" t="str">
        <f>IF(ISNUMBER(Roster!$B425),MAX(1,YEAR(Setup!$C$5)-YEAR(Roster!$B425)+IF(EDATE(Roster!$B425,12*(YEAR(Setup!$C$5)-YEAR(Roster!$B425)))&lt;Setup!$C$5,1,0)),"")</f>
        <v/>
      </c>
      <c r="AQ425" s="32" t="str">
        <f>IF(AP425="","",EDATE(Roster!$B425,12*AP425))</f>
        <v/>
      </c>
      <c r="AR425" t="str">
        <f>IF(AQ425="","",IF(AQ425&lt;DATE(YEAR(Setup!$C$5)+1,MONTH(Setup!$C$5),DAY(Setup!$C$5)),AQ425+420/1000,""))</f>
        <v/>
      </c>
      <c r="AS425" t="str">
        <f t="shared" si="48"/>
        <v/>
      </c>
      <c r="AT425" t="str">
        <f>IF(AS425="","",IF(ISNUMBER(Roster!$D425),Roster!$D425&gt;=AP425,FALSE))</f>
        <v/>
      </c>
      <c r="AU425" t="str">
        <f t="shared" si="49"/>
        <v/>
      </c>
      <c r="AV425" t="str">
        <f ca="1">IF(420&gt;$AV$2,"",SMALL($AR$6:$AR$505,420))</f>
        <v/>
      </c>
      <c r="AW425" t="str">
        <f t="shared" ca="1" si="50"/>
        <v/>
      </c>
    </row>
    <row r="426" spans="2:49" x14ac:dyDescent="0.2">
      <c r="B426" s="32" t="str">
        <f>IF(AND(ISNUMBER(Roster!$B426),Setup!$B$20="Yes",ISNUMBER(Setup!$C$20)),EDATE(Roster!$B426,12*Setup!$C$20),"")</f>
        <v/>
      </c>
      <c r="C426" s="32" t="str">
        <f>IF(AND(ISNUMBER(Roster!$B426),Setup!$B$21="Yes",ISNUMBER(Setup!$C$21)),EDATE(Roster!$B426,12*Setup!$C$21),"")</f>
        <v/>
      </c>
      <c r="D426" s="32" t="str">
        <f>IF(AND(ISNUMBER(Roster!$B426),Setup!$B$22="Yes",ISNUMBER(Setup!$C$22)),EDATE(Roster!$B426,12*Setup!$C$22),"")</f>
        <v/>
      </c>
      <c r="E426" s="32" t="str">
        <f>IF(AND(ISNUMBER(Roster!$B426),Setup!$B$23="Yes",ISNUMBER(Setup!$C$23)),EDATE(Roster!$B426,12*Setup!$C$23),"")</f>
        <v/>
      </c>
      <c r="F426" s="32" t="str">
        <f>IF(AND(ISNUMBER(Roster!$B426),Setup!$B$24="Yes",ISNUMBER(Setup!$C$24)),EDATE(Roster!$B426,12*Setup!$C$24),"")</f>
        <v/>
      </c>
      <c r="G426" s="32" t="str">
        <f>IF(AND(ISNUMBER(Roster!$B426),Setup!$B$25="Yes",ISNUMBER(Setup!$C$25)),EDATE(Roster!$B426,12*Setup!$C$25),"")</f>
        <v/>
      </c>
      <c r="H426" s="32" t="str">
        <f>IF(AND(ISNUMBER(Roster!$B426),Setup!$B$26="Yes",ISNUMBER(Setup!$C$26)),EDATE(Roster!$B426,12*Setup!$C$26),"")</f>
        <v/>
      </c>
      <c r="I426" s="32" t="str">
        <f>IF(AND(ISNUMBER(Roster!$B426),Setup!$B$27="Yes",ISNUMBER(Setup!$C$27)),EDATE(Roster!$B426,12*Setup!$C$27),"")</f>
        <v/>
      </c>
      <c r="J426" s="32" t="str">
        <f>IF(AND(ISNUMBER(Roster!$B426),Setup!$B$28="Yes",ISNUMBER(Setup!$C$28)),EDATE(Roster!$B426,12*Setup!$C$28),"")</f>
        <v/>
      </c>
      <c r="K426" s="32" t="str">
        <f>IF(AND(ISNUMBER(Roster!$B426),Setup!$B$29="Yes",ISNUMBER(Setup!$C$29)),EDATE(Roster!$B426,12*Setup!$C$29),"")</f>
        <v/>
      </c>
      <c r="L426" s="32" t="str">
        <f>IF(AND(ISNUMBER(Roster!$B426),Setup!$B$30="Yes",ISNUMBER(Setup!$C$30)),EDATE(Roster!$B426,12*Setup!$C$30),"")</f>
        <v/>
      </c>
      <c r="M426" s="32" t="str">
        <f>IF(AND(ISNUMBER(Roster!$B426),Setup!$B$31="Yes",ISNUMBER(Setup!$C$31)),EDATE(Roster!$B426,12*Setup!$C$31),"")</f>
        <v/>
      </c>
      <c r="N426" s="32" t="str">
        <f>IF(AND(ISNUMBER(Roster!$B426),Setup!$B$32="Yes",ISNUMBER(Setup!$C$32)),EDATE(Roster!$B426,12*Setup!$C$32),"")</f>
        <v/>
      </c>
      <c r="O426" s="32" t="str">
        <f>IF(AND(ISNUMBER(Roster!$B426),Setup!$B$33="Yes",ISNUMBER(Setup!$C$33)),EDATE(Roster!$B426,12*Setup!$C$33),"")</f>
        <v/>
      </c>
      <c r="P426" s="32" t="str">
        <f>IF(AND(ISNUMBER(Roster!$B426),Setup!$B$34="Yes",ISNUMBER(Setup!$C$34)),EDATE(Roster!$B426,12*Setup!$C$34),"")</f>
        <v/>
      </c>
      <c r="R426" t="str">
        <f>IF(B426="","",IF(B426&lt;Setup!$C$5-Setup!$C$6,"",IF(IF(ISNUMBER(Roster!$D426),Setup!$C$20&lt;=Roster!$D426,FALSE),"",IF(OR(IF(Setup!$C$15&lt;=Setup!$C$16,AND(MONTH(B426)&gt;=Setup!$C$15,MONTH(B426)&lt;=Setup!$C$16),OR(MONTH(B426)&gt;=Setup!$C$15,MONTH(B426)&lt;=Setup!$C$16)),IF(Setup!$C$15&lt;=Setup!$C$16,AND(MONTH(WORKDAY(B426,-(Setup!$C$13+Setup!$G$20),Setup!$C$39:$C$50))&gt;=Setup!$C$15,MONTH(WORKDAY(B426,-(Setup!$C$13+Setup!$G$20),Setup!$C$39:$C$50))&lt;=Setup!$C$16),OR(MONTH(WORKDAY(B426,-(Setup!$C$13+Setup!$G$20),Setup!$C$39:$C$50))&gt;=Setup!$C$15,MONTH(WORKDAY(B426,-(Setup!$C$13+Setup!$G$20),Setup!$C$39:$C$50))&lt;=Setup!$C$16))),WORKDAY(B426,-(Setup!$C$13+Setup!$G$20+Setup!$C$14),Setup!$C$39:$C$50),WORKDAY(B426,-(Setup!$C$13+Setup!$G$20),Setup!$C$39:$C$50))+(421*100+1)/10000000)))</f>
        <v/>
      </c>
      <c r="S426" t="str">
        <f>IF(C426="","",IF(C426&lt;Setup!$C$5-Setup!$C$6,"",IF(IF(ISNUMBER(Roster!$D426),Setup!$C$21&lt;=Roster!$D426,FALSE),"",IF(OR(IF(Setup!$C$15&lt;=Setup!$C$16,AND(MONTH(C426)&gt;=Setup!$C$15,MONTH(C426)&lt;=Setup!$C$16),OR(MONTH(C426)&gt;=Setup!$C$15,MONTH(C426)&lt;=Setup!$C$16)),IF(Setup!$C$15&lt;=Setup!$C$16,AND(MONTH(WORKDAY(C426,-(Setup!$C$13+Setup!$G$21),Setup!$C$39:$C$50))&gt;=Setup!$C$15,MONTH(WORKDAY(C426,-(Setup!$C$13+Setup!$G$21),Setup!$C$39:$C$50))&lt;=Setup!$C$16),OR(MONTH(WORKDAY(C426,-(Setup!$C$13+Setup!$G$21),Setup!$C$39:$C$50))&gt;=Setup!$C$15,MONTH(WORKDAY(C426,-(Setup!$C$13+Setup!$G$21),Setup!$C$39:$C$50))&lt;=Setup!$C$16))),WORKDAY(C426,-(Setup!$C$13+Setup!$G$21+Setup!$C$14),Setup!$C$39:$C$50),WORKDAY(C426,-(Setup!$C$13+Setup!$G$21),Setup!$C$39:$C$50))+(421*100+2)/10000000)))</f>
        <v/>
      </c>
      <c r="T426" t="str">
        <f>IF(D426="","",IF(D426&lt;Setup!$C$5-Setup!$C$6,"",IF(IF(ISNUMBER(Roster!$D426),Setup!$C$22&lt;=Roster!$D426,FALSE),"",IF(OR(IF(Setup!$C$15&lt;=Setup!$C$16,AND(MONTH(D426)&gt;=Setup!$C$15,MONTH(D426)&lt;=Setup!$C$16),OR(MONTH(D426)&gt;=Setup!$C$15,MONTH(D426)&lt;=Setup!$C$16)),IF(Setup!$C$15&lt;=Setup!$C$16,AND(MONTH(WORKDAY(D426,-(Setup!$C$13+Setup!$G$22),Setup!$C$39:$C$50))&gt;=Setup!$C$15,MONTH(WORKDAY(D426,-(Setup!$C$13+Setup!$G$22),Setup!$C$39:$C$50))&lt;=Setup!$C$16),OR(MONTH(WORKDAY(D426,-(Setup!$C$13+Setup!$G$22),Setup!$C$39:$C$50))&gt;=Setup!$C$15,MONTH(WORKDAY(D426,-(Setup!$C$13+Setup!$G$22),Setup!$C$39:$C$50))&lt;=Setup!$C$16))),WORKDAY(D426,-(Setup!$C$13+Setup!$G$22+Setup!$C$14),Setup!$C$39:$C$50),WORKDAY(D426,-(Setup!$C$13+Setup!$G$22),Setup!$C$39:$C$50))+(421*100+3)/10000000)))</f>
        <v/>
      </c>
      <c r="U426" t="str">
        <f>IF(E426="","",IF(E426&lt;Setup!$C$5-Setup!$C$6,"",IF(IF(ISNUMBER(Roster!$D426),Setup!$C$23&lt;=Roster!$D426,FALSE),"",IF(OR(IF(Setup!$C$15&lt;=Setup!$C$16,AND(MONTH(E426)&gt;=Setup!$C$15,MONTH(E426)&lt;=Setup!$C$16),OR(MONTH(E426)&gt;=Setup!$C$15,MONTH(E426)&lt;=Setup!$C$16)),IF(Setup!$C$15&lt;=Setup!$C$16,AND(MONTH(WORKDAY(E426,-(Setup!$C$13+Setup!$G$23),Setup!$C$39:$C$50))&gt;=Setup!$C$15,MONTH(WORKDAY(E426,-(Setup!$C$13+Setup!$G$23),Setup!$C$39:$C$50))&lt;=Setup!$C$16),OR(MONTH(WORKDAY(E426,-(Setup!$C$13+Setup!$G$23),Setup!$C$39:$C$50))&gt;=Setup!$C$15,MONTH(WORKDAY(E426,-(Setup!$C$13+Setup!$G$23),Setup!$C$39:$C$50))&lt;=Setup!$C$16))),WORKDAY(E426,-(Setup!$C$13+Setup!$G$23+Setup!$C$14),Setup!$C$39:$C$50),WORKDAY(E426,-(Setup!$C$13+Setup!$G$23),Setup!$C$39:$C$50))+(421*100+4)/10000000)))</f>
        <v/>
      </c>
      <c r="V426" t="str">
        <f>IF(F426="","",IF(F426&lt;Setup!$C$5-Setup!$C$6,"",IF(IF(ISNUMBER(Roster!$D426),Setup!$C$24&lt;=Roster!$D426,FALSE),"",IF(OR(IF(Setup!$C$15&lt;=Setup!$C$16,AND(MONTH(F426)&gt;=Setup!$C$15,MONTH(F426)&lt;=Setup!$C$16),OR(MONTH(F426)&gt;=Setup!$C$15,MONTH(F426)&lt;=Setup!$C$16)),IF(Setup!$C$15&lt;=Setup!$C$16,AND(MONTH(WORKDAY(F426,-(Setup!$C$13+Setup!$G$24),Setup!$C$39:$C$50))&gt;=Setup!$C$15,MONTH(WORKDAY(F426,-(Setup!$C$13+Setup!$G$24),Setup!$C$39:$C$50))&lt;=Setup!$C$16),OR(MONTH(WORKDAY(F426,-(Setup!$C$13+Setup!$G$24),Setup!$C$39:$C$50))&gt;=Setup!$C$15,MONTH(WORKDAY(F426,-(Setup!$C$13+Setup!$G$24),Setup!$C$39:$C$50))&lt;=Setup!$C$16))),WORKDAY(F426,-(Setup!$C$13+Setup!$G$24+Setup!$C$14),Setup!$C$39:$C$50),WORKDAY(F426,-(Setup!$C$13+Setup!$G$24),Setup!$C$39:$C$50))+(421*100+5)/10000000)))</f>
        <v/>
      </c>
      <c r="W426" t="str">
        <f>IF(G426="","",IF(G426&lt;Setup!$C$5-Setup!$C$6,"",IF(IF(ISNUMBER(Roster!$D426),Setup!$C$25&lt;=Roster!$D426,FALSE),"",IF(OR(IF(Setup!$C$15&lt;=Setup!$C$16,AND(MONTH(G426)&gt;=Setup!$C$15,MONTH(G426)&lt;=Setup!$C$16),OR(MONTH(G426)&gt;=Setup!$C$15,MONTH(G426)&lt;=Setup!$C$16)),IF(Setup!$C$15&lt;=Setup!$C$16,AND(MONTH(WORKDAY(G426,-(Setup!$C$13+Setup!$G$25),Setup!$C$39:$C$50))&gt;=Setup!$C$15,MONTH(WORKDAY(G426,-(Setup!$C$13+Setup!$G$25),Setup!$C$39:$C$50))&lt;=Setup!$C$16),OR(MONTH(WORKDAY(G426,-(Setup!$C$13+Setup!$G$25),Setup!$C$39:$C$50))&gt;=Setup!$C$15,MONTH(WORKDAY(G426,-(Setup!$C$13+Setup!$G$25),Setup!$C$39:$C$50))&lt;=Setup!$C$16))),WORKDAY(G426,-(Setup!$C$13+Setup!$G$25+Setup!$C$14),Setup!$C$39:$C$50),WORKDAY(G426,-(Setup!$C$13+Setup!$G$25),Setup!$C$39:$C$50))+(421*100+6)/10000000)))</f>
        <v/>
      </c>
      <c r="X426" t="str">
        <f>IF(H426="","",IF(H426&lt;Setup!$C$5-Setup!$C$6,"",IF(IF(ISNUMBER(Roster!$D426),Setup!$C$26&lt;=Roster!$D426,FALSE),"",IF(OR(IF(Setup!$C$15&lt;=Setup!$C$16,AND(MONTH(H426)&gt;=Setup!$C$15,MONTH(H426)&lt;=Setup!$C$16),OR(MONTH(H426)&gt;=Setup!$C$15,MONTH(H426)&lt;=Setup!$C$16)),IF(Setup!$C$15&lt;=Setup!$C$16,AND(MONTH(WORKDAY(H426,-(Setup!$C$13+Setup!$G$26),Setup!$C$39:$C$50))&gt;=Setup!$C$15,MONTH(WORKDAY(H426,-(Setup!$C$13+Setup!$G$26),Setup!$C$39:$C$50))&lt;=Setup!$C$16),OR(MONTH(WORKDAY(H426,-(Setup!$C$13+Setup!$G$26),Setup!$C$39:$C$50))&gt;=Setup!$C$15,MONTH(WORKDAY(H426,-(Setup!$C$13+Setup!$G$26),Setup!$C$39:$C$50))&lt;=Setup!$C$16))),WORKDAY(H426,-(Setup!$C$13+Setup!$G$26+Setup!$C$14),Setup!$C$39:$C$50),WORKDAY(H426,-(Setup!$C$13+Setup!$G$26),Setup!$C$39:$C$50))+(421*100+7)/10000000)))</f>
        <v/>
      </c>
      <c r="Y426" t="str">
        <f>IF(I426="","",IF(I426&lt;Setup!$C$5-Setup!$C$6,"",IF(IF(ISNUMBER(Roster!$D426),Setup!$C$27&lt;=Roster!$D426,FALSE),"",IF(OR(IF(Setup!$C$15&lt;=Setup!$C$16,AND(MONTH(I426)&gt;=Setup!$C$15,MONTH(I426)&lt;=Setup!$C$16),OR(MONTH(I426)&gt;=Setup!$C$15,MONTH(I426)&lt;=Setup!$C$16)),IF(Setup!$C$15&lt;=Setup!$C$16,AND(MONTH(WORKDAY(I426,-(Setup!$C$13+Setup!$G$27),Setup!$C$39:$C$50))&gt;=Setup!$C$15,MONTH(WORKDAY(I426,-(Setup!$C$13+Setup!$G$27),Setup!$C$39:$C$50))&lt;=Setup!$C$16),OR(MONTH(WORKDAY(I426,-(Setup!$C$13+Setup!$G$27),Setup!$C$39:$C$50))&gt;=Setup!$C$15,MONTH(WORKDAY(I426,-(Setup!$C$13+Setup!$G$27),Setup!$C$39:$C$50))&lt;=Setup!$C$16))),WORKDAY(I426,-(Setup!$C$13+Setup!$G$27+Setup!$C$14),Setup!$C$39:$C$50),WORKDAY(I426,-(Setup!$C$13+Setup!$G$27),Setup!$C$39:$C$50))+(421*100+8)/10000000)))</f>
        <v/>
      </c>
      <c r="Z426" t="str">
        <f>IF(J426="","",IF(J426&lt;Setup!$C$5-Setup!$C$6,"",IF(IF(ISNUMBER(Roster!$D426),Setup!$C$28&lt;=Roster!$D426,FALSE),"",IF(OR(IF(Setup!$C$15&lt;=Setup!$C$16,AND(MONTH(J426)&gt;=Setup!$C$15,MONTH(J426)&lt;=Setup!$C$16),OR(MONTH(J426)&gt;=Setup!$C$15,MONTH(J426)&lt;=Setup!$C$16)),IF(Setup!$C$15&lt;=Setup!$C$16,AND(MONTH(WORKDAY(J426,-(Setup!$C$13+Setup!$G$28),Setup!$C$39:$C$50))&gt;=Setup!$C$15,MONTH(WORKDAY(J426,-(Setup!$C$13+Setup!$G$28),Setup!$C$39:$C$50))&lt;=Setup!$C$16),OR(MONTH(WORKDAY(J426,-(Setup!$C$13+Setup!$G$28),Setup!$C$39:$C$50))&gt;=Setup!$C$15,MONTH(WORKDAY(J426,-(Setup!$C$13+Setup!$G$28),Setup!$C$39:$C$50))&lt;=Setup!$C$16))),WORKDAY(J426,-(Setup!$C$13+Setup!$G$28+Setup!$C$14),Setup!$C$39:$C$50),WORKDAY(J426,-(Setup!$C$13+Setup!$G$28),Setup!$C$39:$C$50))+(421*100+9)/10000000)))</f>
        <v/>
      </c>
      <c r="AA426" t="str">
        <f>IF(K426="","",IF(K426&lt;Setup!$C$5-Setup!$C$6,"",IF(IF(ISNUMBER(Roster!$D426),Setup!$C$29&lt;=Roster!$D426,FALSE),"",IF(OR(IF(Setup!$C$15&lt;=Setup!$C$16,AND(MONTH(K426)&gt;=Setup!$C$15,MONTH(K426)&lt;=Setup!$C$16),OR(MONTH(K426)&gt;=Setup!$C$15,MONTH(K426)&lt;=Setup!$C$16)),IF(Setup!$C$15&lt;=Setup!$C$16,AND(MONTH(WORKDAY(K426,-(Setup!$C$13+Setup!$G$29),Setup!$C$39:$C$50))&gt;=Setup!$C$15,MONTH(WORKDAY(K426,-(Setup!$C$13+Setup!$G$29),Setup!$C$39:$C$50))&lt;=Setup!$C$16),OR(MONTH(WORKDAY(K426,-(Setup!$C$13+Setup!$G$29),Setup!$C$39:$C$50))&gt;=Setup!$C$15,MONTH(WORKDAY(K426,-(Setup!$C$13+Setup!$G$29),Setup!$C$39:$C$50))&lt;=Setup!$C$16))),WORKDAY(K426,-(Setup!$C$13+Setup!$G$29+Setup!$C$14),Setup!$C$39:$C$50),WORKDAY(K426,-(Setup!$C$13+Setup!$G$29),Setup!$C$39:$C$50))+(421*100+10)/10000000)))</f>
        <v/>
      </c>
      <c r="AB426" t="str">
        <f>IF(L426="","",IF(L426&lt;Setup!$C$5-Setup!$C$6,"",IF(IF(ISNUMBER(Roster!$D426),Setup!$C$30&lt;=Roster!$D426,FALSE),"",IF(OR(IF(Setup!$C$15&lt;=Setup!$C$16,AND(MONTH(L426)&gt;=Setup!$C$15,MONTH(L426)&lt;=Setup!$C$16),OR(MONTH(L426)&gt;=Setup!$C$15,MONTH(L426)&lt;=Setup!$C$16)),IF(Setup!$C$15&lt;=Setup!$C$16,AND(MONTH(WORKDAY(L426,-(Setup!$C$13+Setup!$G$30),Setup!$C$39:$C$50))&gt;=Setup!$C$15,MONTH(WORKDAY(L426,-(Setup!$C$13+Setup!$G$30),Setup!$C$39:$C$50))&lt;=Setup!$C$16),OR(MONTH(WORKDAY(L426,-(Setup!$C$13+Setup!$G$30),Setup!$C$39:$C$50))&gt;=Setup!$C$15,MONTH(WORKDAY(L426,-(Setup!$C$13+Setup!$G$30),Setup!$C$39:$C$50))&lt;=Setup!$C$16))),WORKDAY(L426,-(Setup!$C$13+Setup!$G$30+Setup!$C$14),Setup!$C$39:$C$50),WORKDAY(L426,-(Setup!$C$13+Setup!$G$30),Setup!$C$39:$C$50))+(421*100+11)/10000000)))</f>
        <v/>
      </c>
      <c r="AC426" t="str">
        <f>IF(M426="","",IF(M426&lt;Setup!$C$5-Setup!$C$6,"",IF(IF(ISNUMBER(Roster!$D426),Setup!$C$31&lt;=Roster!$D426,FALSE),"",IF(OR(IF(Setup!$C$15&lt;=Setup!$C$16,AND(MONTH(M426)&gt;=Setup!$C$15,MONTH(M426)&lt;=Setup!$C$16),OR(MONTH(M426)&gt;=Setup!$C$15,MONTH(M426)&lt;=Setup!$C$16)),IF(Setup!$C$15&lt;=Setup!$C$16,AND(MONTH(WORKDAY(M426,-(Setup!$C$13+Setup!$G$31),Setup!$C$39:$C$50))&gt;=Setup!$C$15,MONTH(WORKDAY(M426,-(Setup!$C$13+Setup!$G$31),Setup!$C$39:$C$50))&lt;=Setup!$C$16),OR(MONTH(WORKDAY(M426,-(Setup!$C$13+Setup!$G$31),Setup!$C$39:$C$50))&gt;=Setup!$C$15,MONTH(WORKDAY(M426,-(Setup!$C$13+Setup!$G$31),Setup!$C$39:$C$50))&lt;=Setup!$C$16))),WORKDAY(M426,-(Setup!$C$13+Setup!$G$31+Setup!$C$14),Setup!$C$39:$C$50),WORKDAY(M426,-(Setup!$C$13+Setup!$G$31),Setup!$C$39:$C$50))+(421*100+12)/10000000)))</f>
        <v/>
      </c>
      <c r="AD426" t="str">
        <f>IF(N426="","",IF(N426&lt;Setup!$C$5-Setup!$C$6,"",IF(IF(ISNUMBER(Roster!$D426),Setup!$C$32&lt;=Roster!$D426,FALSE),"",IF(OR(IF(Setup!$C$15&lt;=Setup!$C$16,AND(MONTH(N426)&gt;=Setup!$C$15,MONTH(N426)&lt;=Setup!$C$16),OR(MONTH(N426)&gt;=Setup!$C$15,MONTH(N426)&lt;=Setup!$C$16)),IF(Setup!$C$15&lt;=Setup!$C$16,AND(MONTH(WORKDAY(N426,-(Setup!$C$13+Setup!$G$32),Setup!$C$39:$C$50))&gt;=Setup!$C$15,MONTH(WORKDAY(N426,-(Setup!$C$13+Setup!$G$32),Setup!$C$39:$C$50))&lt;=Setup!$C$16),OR(MONTH(WORKDAY(N426,-(Setup!$C$13+Setup!$G$32),Setup!$C$39:$C$50))&gt;=Setup!$C$15,MONTH(WORKDAY(N426,-(Setup!$C$13+Setup!$G$32),Setup!$C$39:$C$50))&lt;=Setup!$C$16))),WORKDAY(N426,-(Setup!$C$13+Setup!$G$32+Setup!$C$14),Setup!$C$39:$C$50),WORKDAY(N426,-(Setup!$C$13+Setup!$G$32),Setup!$C$39:$C$50))+(421*100+13)/10000000)))</f>
        <v/>
      </c>
      <c r="AE426" t="str">
        <f>IF(O426="","",IF(O426&lt;Setup!$C$5-Setup!$C$6,"",IF(IF(ISNUMBER(Roster!$D426),Setup!$C$33&lt;=Roster!$D426,FALSE),"",IF(OR(IF(Setup!$C$15&lt;=Setup!$C$16,AND(MONTH(O426)&gt;=Setup!$C$15,MONTH(O426)&lt;=Setup!$C$16),OR(MONTH(O426)&gt;=Setup!$C$15,MONTH(O426)&lt;=Setup!$C$16)),IF(Setup!$C$15&lt;=Setup!$C$16,AND(MONTH(WORKDAY(O426,-(Setup!$C$13+Setup!$G$33),Setup!$C$39:$C$50))&gt;=Setup!$C$15,MONTH(WORKDAY(O426,-(Setup!$C$13+Setup!$G$33),Setup!$C$39:$C$50))&lt;=Setup!$C$16),OR(MONTH(WORKDAY(O426,-(Setup!$C$13+Setup!$G$33),Setup!$C$39:$C$50))&gt;=Setup!$C$15,MONTH(WORKDAY(O426,-(Setup!$C$13+Setup!$G$33),Setup!$C$39:$C$50))&lt;=Setup!$C$16))),WORKDAY(O426,-(Setup!$C$13+Setup!$G$33+Setup!$C$14),Setup!$C$39:$C$50),WORKDAY(O426,-(Setup!$C$13+Setup!$G$33),Setup!$C$39:$C$50))+(421*100+14)/10000000)))</f>
        <v/>
      </c>
      <c r="AF426" t="str">
        <f>IF(P426="","",IF(P426&lt;Setup!$C$5-Setup!$C$6,"",IF(IF(ISNUMBER(Roster!$D426),Setup!$C$34&lt;=Roster!$D426,FALSE),"",IF(OR(IF(Setup!$C$15&lt;=Setup!$C$16,AND(MONTH(P426)&gt;=Setup!$C$15,MONTH(P426)&lt;=Setup!$C$16),OR(MONTH(P426)&gt;=Setup!$C$15,MONTH(P426)&lt;=Setup!$C$16)),IF(Setup!$C$15&lt;=Setup!$C$16,AND(MONTH(WORKDAY(P426,-(Setup!$C$13+Setup!$G$34),Setup!$C$39:$C$50))&gt;=Setup!$C$15,MONTH(WORKDAY(P426,-(Setup!$C$13+Setup!$G$34),Setup!$C$39:$C$50))&lt;=Setup!$C$16),OR(MONTH(WORKDAY(P426,-(Setup!$C$13+Setup!$G$34),Setup!$C$39:$C$50))&gt;=Setup!$C$15,MONTH(WORKDAY(P426,-(Setup!$C$13+Setup!$G$34),Setup!$C$39:$C$50))&lt;=Setup!$C$16))),WORKDAY(P426,-(Setup!$C$13+Setup!$G$34+Setup!$C$14),Setup!$C$39:$C$50),WORKDAY(P426,-(Setup!$C$13+Setup!$G$34),Setup!$C$39:$C$50))+(421*100+15)/10000000)))</f>
        <v/>
      </c>
      <c r="AH426" t="str">
        <f t="shared" si="46"/>
        <v/>
      </c>
      <c r="AI426" t="str">
        <f t="shared" si="47"/>
        <v/>
      </c>
      <c r="AP426" t="str">
        <f>IF(ISNUMBER(Roster!$B426),MAX(1,YEAR(Setup!$C$5)-YEAR(Roster!$B426)+IF(EDATE(Roster!$B426,12*(YEAR(Setup!$C$5)-YEAR(Roster!$B426)))&lt;Setup!$C$5,1,0)),"")</f>
        <v/>
      </c>
      <c r="AQ426" s="32" t="str">
        <f>IF(AP426="","",EDATE(Roster!$B426,12*AP426))</f>
        <v/>
      </c>
      <c r="AR426" t="str">
        <f>IF(AQ426="","",IF(AQ426&lt;DATE(YEAR(Setup!$C$5)+1,MONTH(Setup!$C$5),DAY(Setup!$C$5)),AQ426+421/1000,""))</f>
        <v/>
      </c>
      <c r="AS426" t="str">
        <f t="shared" si="48"/>
        <v/>
      </c>
      <c r="AT426" t="str">
        <f>IF(AS426="","",IF(ISNUMBER(Roster!$D426),Roster!$D426&gt;=AP426,FALSE))</f>
        <v/>
      </c>
      <c r="AU426" t="str">
        <f t="shared" si="49"/>
        <v/>
      </c>
      <c r="AV426" t="str">
        <f ca="1">IF(421&gt;$AV$2,"",SMALL($AR$6:$AR$505,421))</f>
        <v/>
      </c>
      <c r="AW426" t="str">
        <f t="shared" ca="1" si="50"/>
        <v/>
      </c>
    </row>
    <row r="427" spans="2:49" x14ac:dyDescent="0.2">
      <c r="B427" s="32" t="str">
        <f>IF(AND(ISNUMBER(Roster!$B427),Setup!$B$20="Yes",ISNUMBER(Setup!$C$20)),EDATE(Roster!$B427,12*Setup!$C$20),"")</f>
        <v/>
      </c>
      <c r="C427" s="32" t="str">
        <f>IF(AND(ISNUMBER(Roster!$B427),Setup!$B$21="Yes",ISNUMBER(Setup!$C$21)),EDATE(Roster!$B427,12*Setup!$C$21),"")</f>
        <v/>
      </c>
      <c r="D427" s="32" t="str">
        <f>IF(AND(ISNUMBER(Roster!$B427),Setup!$B$22="Yes",ISNUMBER(Setup!$C$22)),EDATE(Roster!$B427,12*Setup!$C$22),"")</f>
        <v/>
      </c>
      <c r="E427" s="32" t="str">
        <f>IF(AND(ISNUMBER(Roster!$B427),Setup!$B$23="Yes",ISNUMBER(Setup!$C$23)),EDATE(Roster!$B427,12*Setup!$C$23),"")</f>
        <v/>
      </c>
      <c r="F427" s="32" t="str">
        <f>IF(AND(ISNUMBER(Roster!$B427),Setup!$B$24="Yes",ISNUMBER(Setup!$C$24)),EDATE(Roster!$B427,12*Setup!$C$24),"")</f>
        <v/>
      </c>
      <c r="G427" s="32" t="str">
        <f>IF(AND(ISNUMBER(Roster!$B427),Setup!$B$25="Yes",ISNUMBER(Setup!$C$25)),EDATE(Roster!$B427,12*Setup!$C$25),"")</f>
        <v/>
      </c>
      <c r="H427" s="32" t="str">
        <f>IF(AND(ISNUMBER(Roster!$B427),Setup!$B$26="Yes",ISNUMBER(Setup!$C$26)),EDATE(Roster!$B427,12*Setup!$C$26),"")</f>
        <v/>
      </c>
      <c r="I427" s="32" t="str">
        <f>IF(AND(ISNUMBER(Roster!$B427),Setup!$B$27="Yes",ISNUMBER(Setup!$C$27)),EDATE(Roster!$B427,12*Setup!$C$27),"")</f>
        <v/>
      </c>
      <c r="J427" s="32" t="str">
        <f>IF(AND(ISNUMBER(Roster!$B427),Setup!$B$28="Yes",ISNUMBER(Setup!$C$28)),EDATE(Roster!$B427,12*Setup!$C$28),"")</f>
        <v/>
      </c>
      <c r="K427" s="32" t="str">
        <f>IF(AND(ISNUMBER(Roster!$B427),Setup!$B$29="Yes",ISNUMBER(Setup!$C$29)),EDATE(Roster!$B427,12*Setup!$C$29),"")</f>
        <v/>
      </c>
      <c r="L427" s="32" t="str">
        <f>IF(AND(ISNUMBER(Roster!$B427),Setup!$B$30="Yes",ISNUMBER(Setup!$C$30)),EDATE(Roster!$B427,12*Setup!$C$30),"")</f>
        <v/>
      </c>
      <c r="M427" s="32" t="str">
        <f>IF(AND(ISNUMBER(Roster!$B427),Setup!$B$31="Yes",ISNUMBER(Setup!$C$31)),EDATE(Roster!$B427,12*Setup!$C$31),"")</f>
        <v/>
      </c>
      <c r="N427" s="32" t="str">
        <f>IF(AND(ISNUMBER(Roster!$B427),Setup!$B$32="Yes",ISNUMBER(Setup!$C$32)),EDATE(Roster!$B427,12*Setup!$C$32),"")</f>
        <v/>
      </c>
      <c r="O427" s="32" t="str">
        <f>IF(AND(ISNUMBER(Roster!$B427),Setup!$B$33="Yes",ISNUMBER(Setup!$C$33)),EDATE(Roster!$B427,12*Setup!$C$33),"")</f>
        <v/>
      </c>
      <c r="P427" s="32" t="str">
        <f>IF(AND(ISNUMBER(Roster!$B427),Setup!$B$34="Yes",ISNUMBER(Setup!$C$34)),EDATE(Roster!$B427,12*Setup!$C$34),"")</f>
        <v/>
      </c>
      <c r="R427" t="str">
        <f>IF(B427="","",IF(B427&lt;Setup!$C$5-Setup!$C$6,"",IF(IF(ISNUMBER(Roster!$D427),Setup!$C$20&lt;=Roster!$D427,FALSE),"",IF(OR(IF(Setup!$C$15&lt;=Setup!$C$16,AND(MONTH(B427)&gt;=Setup!$C$15,MONTH(B427)&lt;=Setup!$C$16),OR(MONTH(B427)&gt;=Setup!$C$15,MONTH(B427)&lt;=Setup!$C$16)),IF(Setup!$C$15&lt;=Setup!$C$16,AND(MONTH(WORKDAY(B427,-(Setup!$C$13+Setup!$G$20),Setup!$C$39:$C$50))&gt;=Setup!$C$15,MONTH(WORKDAY(B427,-(Setup!$C$13+Setup!$G$20),Setup!$C$39:$C$50))&lt;=Setup!$C$16),OR(MONTH(WORKDAY(B427,-(Setup!$C$13+Setup!$G$20),Setup!$C$39:$C$50))&gt;=Setup!$C$15,MONTH(WORKDAY(B427,-(Setup!$C$13+Setup!$G$20),Setup!$C$39:$C$50))&lt;=Setup!$C$16))),WORKDAY(B427,-(Setup!$C$13+Setup!$G$20+Setup!$C$14),Setup!$C$39:$C$50),WORKDAY(B427,-(Setup!$C$13+Setup!$G$20),Setup!$C$39:$C$50))+(422*100+1)/10000000)))</f>
        <v/>
      </c>
      <c r="S427" t="str">
        <f>IF(C427="","",IF(C427&lt;Setup!$C$5-Setup!$C$6,"",IF(IF(ISNUMBER(Roster!$D427),Setup!$C$21&lt;=Roster!$D427,FALSE),"",IF(OR(IF(Setup!$C$15&lt;=Setup!$C$16,AND(MONTH(C427)&gt;=Setup!$C$15,MONTH(C427)&lt;=Setup!$C$16),OR(MONTH(C427)&gt;=Setup!$C$15,MONTH(C427)&lt;=Setup!$C$16)),IF(Setup!$C$15&lt;=Setup!$C$16,AND(MONTH(WORKDAY(C427,-(Setup!$C$13+Setup!$G$21),Setup!$C$39:$C$50))&gt;=Setup!$C$15,MONTH(WORKDAY(C427,-(Setup!$C$13+Setup!$G$21),Setup!$C$39:$C$50))&lt;=Setup!$C$16),OR(MONTH(WORKDAY(C427,-(Setup!$C$13+Setup!$G$21),Setup!$C$39:$C$50))&gt;=Setup!$C$15,MONTH(WORKDAY(C427,-(Setup!$C$13+Setup!$G$21),Setup!$C$39:$C$50))&lt;=Setup!$C$16))),WORKDAY(C427,-(Setup!$C$13+Setup!$G$21+Setup!$C$14),Setup!$C$39:$C$50),WORKDAY(C427,-(Setup!$C$13+Setup!$G$21),Setup!$C$39:$C$50))+(422*100+2)/10000000)))</f>
        <v/>
      </c>
      <c r="T427" t="str">
        <f>IF(D427="","",IF(D427&lt;Setup!$C$5-Setup!$C$6,"",IF(IF(ISNUMBER(Roster!$D427),Setup!$C$22&lt;=Roster!$D427,FALSE),"",IF(OR(IF(Setup!$C$15&lt;=Setup!$C$16,AND(MONTH(D427)&gt;=Setup!$C$15,MONTH(D427)&lt;=Setup!$C$16),OR(MONTH(D427)&gt;=Setup!$C$15,MONTH(D427)&lt;=Setup!$C$16)),IF(Setup!$C$15&lt;=Setup!$C$16,AND(MONTH(WORKDAY(D427,-(Setup!$C$13+Setup!$G$22),Setup!$C$39:$C$50))&gt;=Setup!$C$15,MONTH(WORKDAY(D427,-(Setup!$C$13+Setup!$G$22),Setup!$C$39:$C$50))&lt;=Setup!$C$16),OR(MONTH(WORKDAY(D427,-(Setup!$C$13+Setup!$G$22),Setup!$C$39:$C$50))&gt;=Setup!$C$15,MONTH(WORKDAY(D427,-(Setup!$C$13+Setup!$G$22),Setup!$C$39:$C$50))&lt;=Setup!$C$16))),WORKDAY(D427,-(Setup!$C$13+Setup!$G$22+Setup!$C$14),Setup!$C$39:$C$50),WORKDAY(D427,-(Setup!$C$13+Setup!$G$22),Setup!$C$39:$C$50))+(422*100+3)/10000000)))</f>
        <v/>
      </c>
      <c r="U427" t="str">
        <f>IF(E427="","",IF(E427&lt;Setup!$C$5-Setup!$C$6,"",IF(IF(ISNUMBER(Roster!$D427),Setup!$C$23&lt;=Roster!$D427,FALSE),"",IF(OR(IF(Setup!$C$15&lt;=Setup!$C$16,AND(MONTH(E427)&gt;=Setup!$C$15,MONTH(E427)&lt;=Setup!$C$16),OR(MONTH(E427)&gt;=Setup!$C$15,MONTH(E427)&lt;=Setup!$C$16)),IF(Setup!$C$15&lt;=Setup!$C$16,AND(MONTH(WORKDAY(E427,-(Setup!$C$13+Setup!$G$23),Setup!$C$39:$C$50))&gt;=Setup!$C$15,MONTH(WORKDAY(E427,-(Setup!$C$13+Setup!$G$23),Setup!$C$39:$C$50))&lt;=Setup!$C$16),OR(MONTH(WORKDAY(E427,-(Setup!$C$13+Setup!$G$23),Setup!$C$39:$C$50))&gt;=Setup!$C$15,MONTH(WORKDAY(E427,-(Setup!$C$13+Setup!$G$23),Setup!$C$39:$C$50))&lt;=Setup!$C$16))),WORKDAY(E427,-(Setup!$C$13+Setup!$G$23+Setup!$C$14),Setup!$C$39:$C$50),WORKDAY(E427,-(Setup!$C$13+Setup!$G$23),Setup!$C$39:$C$50))+(422*100+4)/10000000)))</f>
        <v/>
      </c>
      <c r="V427" t="str">
        <f>IF(F427="","",IF(F427&lt;Setup!$C$5-Setup!$C$6,"",IF(IF(ISNUMBER(Roster!$D427),Setup!$C$24&lt;=Roster!$D427,FALSE),"",IF(OR(IF(Setup!$C$15&lt;=Setup!$C$16,AND(MONTH(F427)&gt;=Setup!$C$15,MONTH(F427)&lt;=Setup!$C$16),OR(MONTH(F427)&gt;=Setup!$C$15,MONTH(F427)&lt;=Setup!$C$16)),IF(Setup!$C$15&lt;=Setup!$C$16,AND(MONTH(WORKDAY(F427,-(Setup!$C$13+Setup!$G$24),Setup!$C$39:$C$50))&gt;=Setup!$C$15,MONTH(WORKDAY(F427,-(Setup!$C$13+Setup!$G$24),Setup!$C$39:$C$50))&lt;=Setup!$C$16),OR(MONTH(WORKDAY(F427,-(Setup!$C$13+Setup!$G$24),Setup!$C$39:$C$50))&gt;=Setup!$C$15,MONTH(WORKDAY(F427,-(Setup!$C$13+Setup!$G$24),Setup!$C$39:$C$50))&lt;=Setup!$C$16))),WORKDAY(F427,-(Setup!$C$13+Setup!$G$24+Setup!$C$14),Setup!$C$39:$C$50),WORKDAY(F427,-(Setup!$C$13+Setup!$G$24),Setup!$C$39:$C$50))+(422*100+5)/10000000)))</f>
        <v/>
      </c>
      <c r="W427" t="str">
        <f>IF(G427="","",IF(G427&lt;Setup!$C$5-Setup!$C$6,"",IF(IF(ISNUMBER(Roster!$D427),Setup!$C$25&lt;=Roster!$D427,FALSE),"",IF(OR(IF(Setup!$C$15&lt;=Setup!$C$16,AND(MONTH(G427)&gt;=Setup!$C$15,MONTH(G427)&lt;=Setup!$C$16),OR(MONTH(G427)&gt;=Setup!$C$15,MONTH(G427)&lt;=Setup!$C$16)),IF(Setup!$C$15&lt;=Setup!$C$16,AND(MONTH(WORKDAY(G427,-(Setup!$C$13+Setup!$G$25),Setup!$C$39:$C$50))&gt;=Setup!$C$15,MONTH(WORKDAY(G427,-(Setup!$C$13+Setup!$G$25),Setup!$C$39:$C$50))&lt;=Setup!$C$16),OR(MONTH(WORKDAY(G427,-(Setup!$C$13+Setup!$G$25),Setup!$C$39:$C$50))&gt;=Setup!$C$15,MONTH(WORKDAY(G427,-(Setup!$C$13+Setup!$G$25),Setup!$C$39:$C$50))&lt;=Setup!$C$16))),WORKDAY(G427,-(Setup!$C$13+Setup!$G$25+Setup!$C$14),Setup!$C$39:$C$50),WORKDAY(G427,-(Setup!$C$13+Setup!$G$25),Setup!$C$39:$C$50))+(422*100+6)/10000000)))</f>
        <v/>
      </c>
      <c r="X427" t="str">
        <f>IF(H427="","",IF(H427&lt;Setup!$C$5-Setup!$C$6,"",IF(IF(ISNUMBER(Roster!$D427),Setup!$C$26&lt;=Roster!$D427,FALSE),"",IF(OR(IF(Setup!$C$15&lt;=Setup!$C$16,AND(MONTH(H427)&gt;=Setup!$C$15,MONTH(H427)&lt;=Setup!$C$16),OR(MONTH(H427)&gt;=Setup!$C$15,MONTH(H427)&lt;=Setup!$C$16)),IF(Setup!$C$15&lt;=Setup!$C$16,AND(MONTH(WORKDAY(H427,-(Setup!$C$13+Setup!$G$26),Setup!$C$39:$C$50))&gt;=Setup!$C$15,MONTH(WORKDAY(H427,-(Setup!$C$13+Setup!$G$26),Setup!$C$39:$C$50))&lt;=Setup!$C$16),OR(MONTH(WORKDAY(H427,-(Setup!$C$13+Setup!$G$26),Setup!$C$39:$C$50))&gt;=Setup!$C$15,MONTH(WORKDAY(H427,-(Setup!$C$13+Setup!$G$26),Setup!$C$39:$C$50))&lt;=Setup!$C$16))),WORKDAY(H427,-(Setup!$C$13+Setup!$G$26+Setup!$C$14),Setup!$C$39:$C$50),WORKDAY(H427,-(Setup!$C$13+Setup!$G$26),Setup!$C$39:$C$50))+(422*100+7)/10000000)))</f>
        <v/>
      </c>
      <c r="Y427" t="str">
        <f>IF(I427="","",IF(I427&lt;Setup!$C$5-Setup!$C$6,"",IF(IF(ISNUMBER(Roster!$D427),Setup!$C$27&lt;=Roster!$D427,FALSE),"",IF(OR(IF(Setup!$C$15&lt;=Setup!$C$16,AND(MONTH(I427)&gt;=Setup!$C$15,MONTH(I427)&lt;=Setup!$C$16),OR(MONTH(I427)&gt;=Setup!$C$15,MONTH(I427)&lt;=Setup!$C$16)),IF(Setup!$C$15&lt;=Setup!$C$16,AND(MONTH(WORKDAY(I427,-(Setup!$C$13+Setup!$G$27),Setup!$C$39:$C$50))&gt;=Setup!$C$15,MONTH(WORKDAY(I427,-(Setup!$C$13+Setup!$G$27),Setup!$C$39:$C$50))&lt;=Setup!$C$16),OR(MONTH(WORKDAY(I427,-(Setup!$C$13+Setup!$G$27),Setup!$C$39:$C$50))&gt;=Setup!$C$15,MONTH(WORKDAY(I427,-(Setup!$C$13+Setup!$G$27),Setup!$C$39:$C$50))&lt;=Setup!$C$16))),WORKDAY(I427,-(Setup!$C$13+Setup!$G$27+Setup!$C$14),Setup!$C$39:$C$50),WORKDAY(I427,-(Setup!$C$13+Setup!$G$27),Setup!$C$39:$C$50))+(422*100+8)/10000000)))</f>
        <v/>
      </c>
      <c r="Z427" t="str">
        <f>IF(J427="","",IF(J427&lt;Setup!$C$5-Setup!$C$6,"",IF(IF(ISNUMBER(Roster!$D427),Setup!$C$28&lt;=Roster!$D427,FALSE),"",IF(OR(IF(Setup!$C$15&lt;=Setup!$C$16,AND(MONTH(J427)&gt;=Setup!$C$15,MONTH(J427)&lt;=Setup!$C$16),OR(MONTH(J427)&gt;=Setup!$C$15,MONTH(J427)&lt;=Setup!$C$16)),IF(Setup!$C$15&lt;=Setup!$C$16,AND(MONTH(WORKDAY(J427,-(Setup!$C$13+Setup!$G$28),Setup!$C$39:$C$50))&gt;=Setup!$C$15,MONTH(WORKDAY(J427,-(Setup!$C$13+Setup!$G$28),Setup!$C$39:$C$50))&lt;=Setup!$C$16),OR(MONTH(WORKDAY(J427,-(Setup!$C$13+Setup!$G$28),Setup!$C$39:$C$50))&gt;=Setup!$C$15,MONTH(WORKDAY(J427,-(Setup!$C$13+Setup!$G$28),Setup!$C$39:$C$50))&lt;=Setup!$C$16))),WORKDAY(J427,-(Setup!$C$13+Setup!$G$28+Setup!$C$14),Setup!$C$39:$C$50),WORKDAY(J427,-(Setup!$C$13+Setup!$G$28),Setup!$C$39:$C$50))+(422*100+9)/10000000)))</f>
        <v/>
      </c>
      <c r="AA427" t="str">
        <f>IF(K427="","",IF(K427&lt;Setup!$C$5-Setup!$C$6,"",IF(IF(ISNUMBER(Roster!$D427),Setup!$C$29&lt;=Roster!$D427,FALSE),"",IF(OR(IF(Setup!$C$15&lt;=Setup!$C$16,AND(MONTH(K427)&gt;=Setup!$C$15,MONTH(K427)&lt;=Setup!$C$16),OR(MONTH(K427)&gt;=Setup!$C$15,MONTH(K427)&lt;=Setup!$C$16)),IF(Setup!$C$15&lt;=Setup!$C$16,AND(MONTH(WORKDAY(K427,-(Setup!$C$13+Setup!$G$29),Setup!$C$39:$C$50))&gt;=Setup!$C$15,MONTH(WORKDAY(K427,-(Setup!$C$13+Setup!$G$29),Setup!$C$39:$C$50))&lt;=Setup!$C$16),OR(MONTH(WORKDAY(K427,-(Setup!$C$13+Setup!$G$29),Setup!$C$39:$C$50))&gt;=Setup!$C$15,MONTH(WORKDAY(K427,-(Setup!$C$13+Setup!$G$29),Setup!$C$39:$C$50))&lt;=Setup!$C$16))),WORKDAY(K427,-(Setup!$C$13+Setup!$G$29+Setup!$C$14),Setup!$C$39:$C$50),WORKDAY(K427,-(Setup!$C$13+Setup!$G$29),Setup!$C$39:$C$50))+(422*100+10)/10000000)))</f>
        <v/>
      </c>
      <c r="AB427" t="str">
        <f>IF(L427="","",IF(L427&lt;Setup!$C$5-Setup!$C$6,"",IF(IF(ISNUMBER(Roster!$D427),Setup!$C$30&lt;=Roster!$D427,FALSE),"",IF(OR(IF(Setup!$C$15&lt;=Setup!$C$16,AND(MONTH(L427)&gt;=Setup!$C$15,MONTH(L427)&lt;=Setup!$C$16),OR(MONTH(L427)&gt;=Setup!$C$15,MONTH(L427)&lt;=Setup!$C$16)),IF(Setup!$C$15&lt;=Setup!$C$16,AND(MONTH(WORKDAY(L427,-(Setup!$C$13+Setup!$G$30),Setup!$C$39:$C$50))&gt;=Setup!$C$15,MONTH(WORKDAY(L427,-(Setup!$C$13+Setup!$G$30),Setup!$C$39:$C$50))&lt;=Setup!$C$16),OR(MONTH(WORKDAY(L427,-(Setup!$C$13+Setup!$G$30),Setup!$C$39:$C$50))&gt;=Setup!$C$15,MONTH(WORKDAY(L427,-(Setup!$C$13+Setup!$G$30),Setup!$C$39:$C$50))&lt;=Setup!$C$16))),WORKDAY(L427,-(Setup!$C$13+Setup!$G$30+Setup!$C$14),Setup!$C$39:$C$50),WORKDAY(L427,-(Setup!$C$13+Setup!$G$30),Setup!$C$39:$C$50))+(422*100+11)/10000000)))</f>
        <v/>
      </c>
      <c r="AC427" t="str">
        <f>IF(M427="","",IF(M427&lt;Setup!$C$5-Setup!$C$6,"",IF(IF(ISNUMBER(Roster!$D427),Setup!$C$31&lt;=Roster!$D427,FALSE),"",IF(OR(IF(Setup!$C$15&lt;=Setup!$C$16,AND(MONTH(M427)&gt;=Setup!$C$15,MONTH(M427)&lt;=Setup!$C$16),OR(MONTH(M427)&gt;=Setup!$C$15,MONTH(M427)&lt;=Setup!$C$16)),IF(Setup!$C$15&lt;=Setup!$C$16,AND(MONTH(WORKDAY(M427,-(Setup!$C$13+Setup!$G$31),Setup!$C$39:$C$50))&gt;=Setup!$C$15,MONTH(WORKDAY(M427,-(Setup!$C$13+Setup!$G$31),Setup!$C$39:$C$50))&lt;=Setup!$C$16),OR(MONTH(WORKDAY(M427,-(Setup!$C$13+Setup!$G$31),Setup!$C$39:$C$50))&gt;=Setup!$C$15,MONTH(WORKDAY(M427,-(Setup!$C$13+Setup!$G$31),Setup!$C$39:$C$50))&lt;=Setup!$C$16))),WORKDAY(M427,-(Setup!$C$13+Setup!$G$31+Setup!$C$14),Setup!$C$39:$C$50),WORKDAY(M427,-(Setup!$C$13+Setup!$G$31),Setup!$C$39:$C$50))+(422*100+12)/10000000)))</f>
        <v/>
      </c>
      <c r="AD427" t="str">
        <f>IF(N427="","",IF(N427&lt;Setup!$C$5-Setup!$C$6,"",IF(IF(ISNUMBER(Roster!$D427),Setup!$C$32&lt;=Roster!$D427,FALSE),"",IF(OR(IF(Setup!$C$15&lt;=Setup!$C$16,AND(MONTH(N427)&gt;=Setup!$C$15,MONTH(N427)&lt;=Setup!$C$16),OR(MONTH(N427)&gt;=Setup!$C$15,MONTH(N427)&lt;=Setup!$C$16)),IF(Setup!$C$15&lt;=Setup!$C$16,AND(MONTH(WORKDAY(N427,-(Setup!$C$13+Setup!$G$32),Setup!$C$39:$C$50))&gt;=Setup!$C$15,MONTH(WORKDAY(N427,-(Setup!$C$13+Setup!$G$32),Setup!$C$39:$C$50))&lt;=Setup!$C$16),OR(MONTH(WORKDAY(N427,-(Setup!$C$13+Setup!$G$32),Setup!$C$39:$C$50))&gt;=Setup!$C$15,MONTH(WORKDAY(N427,-(Setup!$C$13+Setup!$G$32),Setup!$C$39:$C$50))&lt;=Setup!$C$16))),WORKDAY(N427,-(Setup!$C$13+Setup!$G$32+Setup!$C$14),Setup!$C$39:$C$50),WORKDAY(N427,-(Setup!$C$13+Setup!$G$32),Setup!$C$39:$C$50))+(422*100+13)/10000000)))</f>
        <v/>
      </c>
      <c r="AE427" t="str">
        <f>IF(O427="","",IF(O427&lt;Setup!$C$5-Setup!$C$6,"",IF(IF(ISNUMBER(Roster!$D427),Setup!$C$33&lt;=Roster!$D427,FALSE),"",IF(OR(IF(Setup!$C$15&lt;=Setup!$C$16,AND(MONTH(O427)&gt;=Setup!$C$15,MONTH(O427)&lt;=Setup!$C$16),OR(MONTH(O427)&gt;=Setup!$C$15,MONTH(O427)&lt;=Setup!$C$16)),IF(Setup!$C$15&lt;=Setup!$C$16,AND(MONTH(WORKDAY(O427,-(Setup!$C$13+Setup!$G$33),Setup!$C$39:$C$50))&gt;=Setup!$C$15,MONTH(WORKDAY(O427,-(Setup!$C$13+Setup!$G$33),Setup!$C$39:$C$50))&lt;=Setup!$C$16),OR(MONTH(WORKDAY(O427,-(Setup!$C$13+Setup!$G$33),Setup!$C$39:$C$50))&gt;=Setup!$C$15,MONTH(WORKDAY(O427,-(Setup!$C$13+Setup!$G$33),Setup!$C$39:$C$50))&lt;=Setup!$C$16))),WORKDAY(O427,-(Setup!$C$13+Setup!$G$33+Setup!$C$14),Setup!$C$39:$C$50),WORKDAY(O427,-(Setup!$C$13+Setup!$G$33),Setup!$C$39:$C$50))+(422*100+14)/10000000)))</f>
        <v/>
      </c>
      <c r="AF427" t="str">
        <f>IF(P427="","",IF(P427&lt;Setup!$C$5-Setup!$C$6,"",IF(IF(ISNUMBER(Roster!$D427),Setup!$C$34&lt;=Roster!$D427,FALSE),"",IF(OR(IF(Setup!$C$15&lt;=Setup!$C$16,AND(MONTH(P427)&gt;=Setup!$C$15,MONTH(P427)&lt;=Setup!$C$16),OR(MONTH(P427)&gt;=Setup!$C$15,MONTH(P427)&lt;=Setup!$C$16)),IF(Setup!$C$15&lt;=Setup!$C$16,AND(MONTH(WORKDAY(P427,-(Setup!$C$13+Setup!$G$34),Setup!$C$39:$C$50))&gt;=Setup!$C$15,MONTH(WORKDAY(P427,-(Setup!$C$13+Setup!$G$34),Setup!$C$39:$C$50))&lt;=Setup!$C$16),OR(MONTH(WORKDAY(P427,-(Setup!$C$13+Setup!$G$34),Setup!$C$39:$C$50))&gt;=Setup!$C$15,MONTH(WORKDAY(P427,-(Setup!$C$13+Setup!$G$34),Setup!$C$39:$C$50))&lt;=Setup!$C$16))),WORKDAY(P427,-(Setup!$C$13+Setup!$G$34+Setup!$C$14),Setup!$C$39:$C$50),WORKDAY(P427,-(Setup!$C$13+Setup!$G$34),Setup!$C$39:$C$50))+(422*100+15)/10000000)))</f>
        <v/>
      </c>
      <c r="AH427" t="str">
        <f t="shared" si="46"/>
        <v/>
      </c>
      <c r="AI427" t="str">
        <f t="shared" si="47"/>
        <v/>
      </c>
      <c r="AP427" t="str">
        <f>IF(ISNUMBER(Roster!$B427),MAX(1,YEAR(Setup!$C$5)-YEAR(Roster!$B427)+IF(EDATE(Roster!$B427,12*(YEAR(Setup!$C$5)-YEAR(Roster!$B427)))&lt;Setup!$C$5,1,0)),"")</f>
        <v/>
      </c>
      <c r="AQ427" s="32" t="str">
        <f>IF(AP427="","",EDATE(Roster!$B427,12*AP427))</f>
        <v/>
      </c>
      <c r="AR427" t="str">
        <f>IF(AQ427="","",IF(AQ427&lt;DATE(YEAR(Setup!$C$5)+1,MONTH(Setup!$C$5),DAY(Setup!$C$5)),AQ427+422/1000,""))</f>
        <v/>
      </c>
      <c r="AS427" t="str">
        <f t="shared" si="48"/>
        <v/>
      </c>
      <c r="AT427" t="str">
        <f>IF(AS427="","",IF(ISNUMBER(Roster!$D427),Roster!$D427&gt;=AP427,FALSE))</f>
        <v/>
      </c>
      <c r="AU427" t="str">
        <f t="shared" si="49"/>
        <v/>
      </c>
      <c r="AV427" t="str">
        <f ca="1">IF(422&gt;$AV$2,"",SMALL($AR$6:$AR$505,422))</f>
        <v/>
      </c>
      <c r="AW427" t="str">
        <f t="shared" ca="1" si="50"/>
        <v/>
      </c>
    </row>
    <row r="428" spans="2:49" x14ac:dyDescent="0.2">
      <c r="B428" s="32" t="str">
        <f>IF(AND(ISNUMBER(Roster!$B428),Setup!$B$20="Yes",ISNUMBER(Setup!$C$20)),EDATE(Roster!$B428,12*Setup!$C$20),"")</f>
        <v/>
      </c>
      <c r="C428" s="32" t="str">
        <f>IF(AND(ISNUMBER(Roster!$B428),Setup!$B$21="Yes",ISNUMBER(Setup!$C$21)),EDATE(Roster!$B428,12*Setup!$C$21),"")</f>
        <v/>
      </c>
      <c r="D428" s="32" t="str">
        <f>IF(AND(ISNUMBER(Roster!$B428),Setup!$B$22="Yes",ISNUMBER(Setup!$C$22)),EDATE(Roster!$B428,12*Setup!$C$22),"")</f>
        <v/>
      </c>
      <c r="E428" s="32" t="str">
        <f>IF(AND(ISNUMBER(Roster!$B428),Setup!$B$23="Yes",ISNUMBER(Setup!$C$23)),EDATE(Roster!$B428,12*Setup!$C$23),"")</f>
        <v/>
      </c>
      <c r="F428" s="32" t="str">
        <f>IF(AND(ISNUMBER(Roster!$B428),Setup!$B$24="Yes",ISNUMBER(Setup!$C$24)),EDATE(Roster!$B428,12*Setup!$C$24),"")</f>
        <v/>
      </c>
      <c r="G428" s="32" t="str">
        <f>IF(AND(ISNUMBER(Roster!$B428),Setup!$B$25="Yes",ISNUMBER(Setup!$C$25)),EDATE(Roster!$B428,12*Setup!$C$25),"")</f>
        <v/>
      </c>
      <c r="H428" s="32" t="str">
        <f>IF(AND(ISNUMBER(Roster!$B428),Setup!$B$26="Yes",ISNUMBER(Setup!$C$26)),EDATE(Roster!$B428,12*Setup!$C$26),"")</f>
        <v/>
      </c>
      <c r="I428" s="32" t="str">
        <f>IF(AND(ISNUMBER(Roster!$B428),Setup!$B$27="Yes",ISNUMBER(Setup!$C$27)),EDATE(Roster!$B428,12*Setup!$C$27),"")</f>
        <v/>
      </c>
      <c r="J428" s="32" t="str">
        <f>IF(AND(ISNUMBER(Roster!$B428),Setup!$B$28="Yes",ISNUMBER(Setup!$C$28)),EDATE(Roster!$B428,12*Setup!$C$28),"")</f>
        <v/>
      </c>
      <c r="K428" s="32" t="str">
        <f>IF(AND(ISNUMBER(Roster!$B428),Setup!$B$29="Yes",ISNUMBER(Setup!$C$29)),EDATE(Roster!$B428,12*Setup!$C$29),"")</f>
        <v/>
      </c>
      <c r="L428" s="32" t="str">
        <f>IF(AND(ISNUMBER(Roster!$B428),Setup!$B$30="Yes",ISNUMBER(Setup!$C$30)),EDATE(Roster!$B428,12*Setup!$C$30),"")</f>
        <v/>
      </c>
      <c r="M428" s="32" t="str">
        <f>IF(AND(ISNUMBER(Roster!$B428),Setup!$B$31="Yes",ISNUMBER(Setup!$C$31)),EDATE(Roster!$B428,12*Setup!$C$31),"")</f>
        <v/>
      </c>
      <c r="N428" s="32" t="str">
        <f>IF(AND(ISNUMBER(Roster!$B428),Setup!$B$32="Yes",ISNUMBER(Setup!$C$32)),EDATE(Roster!$B428,12*Setup!$C$32),"")</f>
        <v/>
      </c>
      <c r="O428" s="32" t="str">
        <f>IF(AND(ISNUMBER(Roster!$B428),Setup!$B$33="Yes",ISNUMBER(Setup!$C$33)),EDATE(Roster!$B428,12*Setup!$C$33),"")</f>
        <v/>
      </c>
      <c r="P428" s="32" t="str">
        <f>IF(AND(ISNUMBER(Roster!$B428),Setup!$B$34="Yes",ISNUMBER(Setup!$C$34)),EDATE(Roster!$B428,12*Setup!$C$34),"")</f>
        <v/>
      </c>
      <c r="R428" t="str">
        <f>IF(B428="","",IF(B428&lt;Setup!$C$5-Setup!$C$6,"",IF(IF(ISNUMBER(Roster!$D428),Setup!$C$20&lt;=Roster!$D428,FALSE),"",IF(OR(IF(Setup!$C$15&lt;=Setup!$C$16,AND(MONTH(B428)&gt;=Setup!$C$15,MONTH(B428)&lt;=Setup!$C$16),OR(MONTH(B428)&gt;=Setup!$C$15,MONTH(B428)&lt;=Setup!$C$16)),IF(Setup!$C$15&lt;=Setup!$C$16,AND(MONTH(WORKDAY(B428,-(Setup!$C$13+Setup!$G$20),Setup!$C$39:$C$50))&gt;=Setup!$C$15,MONTH(WORKDAY(B428,-(Setup!$C$13+Setup!$G$20),Setup!$C$39:$C$50))&lt;=Setup!$C$16),OR(MONTH(WORKDAY(B428,-(Setup!$C$13+Setup!$G$20),Setup!$C$39:$C$50))&gt;=Setup!$C$15,MONTH(WORKDAY(B428,-(Setup!$C$13+Setup!$G$20),Setup!$C$39:$C$50))&lt;=Setup!$C$16))),WORKDAY(B428,-(Setup!$C$13+Setup!$G$20+Setup!$C$14),Setup!$C$39:$C$50),WORKDAY(B428,-(Setup!$C$13+Setup!$G$20),Setup!$C$39:$C$50))+(423*100+1)/10000000)))</f>
        <v/>
      </c>
      <c r="S428" t="str">
        <f>IF(C428="","",IF(C428&lt;Setup!$C$5-Setup!$C$6,"",IF(IF(ISNUMBER(Roster!$D428),Setup!$C$21&lt;=Roster!$D428,FALSE),"",IF(OR(IF(Setup!$C$15&lt;=Setup!$C$16,AND(MONTH(C428)&gt;=Setup!$C$15,MONTH(C428)&lt;=Setup!$C$16),OR(MONTH(C428)&gt;=Setup!$C$15,MONTH(C428)&lt;=Setup!$C$16)),IF(Setup!$C$15&lt;=Setup!$C$16,AND(MONTH(WORKDAY(C428,-(Setup!$C$13+Setup!$G$21),Setup!$C$39:$C$50))&gt;=Setup!$C$15,MONTH(WORKDAY(C428,-(Setup!$C$13+Setup!$G$21),Setup!$C$39:$C$50))&lt;=Setup!$C$16),OR(MONTH(WORKDAY(C428,-(Setup!$C$13+Setup!$G$21),Setup!$C$39:$C$50))&gt;=Setup!$C$15,MONTH(WORKDAY(C428,-(Setup!$C$13+Setup!$G$21),Setup!$C$39:$C$50))&lt;=Setup!$C$16))),WORKDAY(C428,-(Setup!$C$13+Setup!$G$21+Setup!$C$14),Setup!$C$39:$C$50),WORKDAY(C428,-(Setup!$C$13+Setup!$G$21),Setup!$C$39:$C$50))+(423*100+2)/10000000)))</f>
        <v/>
      </c>
      <c r="T428" t="str">
        <f>IF(D428="","",IF(D428&lt;Setup!$C$5-Setup!$C$6,"",IF(IF(ISNUMBER(Roster!$D428),Setup!$C$22&lt;=Roster!$D428,FALSE),"",IF(OR(IF(Setup!$C$15&lt;=Setup!$C$16,AND(MONTH(D428)&gt;=Setup!$C$15,MONTH(D428)&lt;=Setup!$C$16),OR(MONTH(D428)&gt;=Setup!$C$15,MONTH(D428)&lt;=Setup!$C$16)),IF(Setup!$C$15&lt;=Setup!$C$16,AND(MONTH(WORKDAY(D428,-(Setup!$C$13+Setup!$G$22),Setup!$C$39:$C$50))&gt;=Setup!$C$15,MONTH(WORKDAY(D428,-(Setup!$C$13+Setup!$G$22),Setup!$C$39:$C$50))&lt;=Setup!$C$16),OR(MONTH(WORKDAY(D428,-(Setup!$C$13+Setup!$G$22),Setup!$C$39:$C$50))&gt;=Setup!$C$15,MONTH(WORKDAY(D428,-(Setup!$C$13+Setup!$G$22),Setup!$C$39:$C$50))&lt;=Setup!$C$16))),WORKDAY(D428,-(Setup!$C$13+Setup!$G$22+Setup!$C$14),Setup!$C$39:$C$50),WORKDAY(D428,-(Setup!$C$13+Setup!$G$22),Setup!$C$39:$C$50))+(423*100+3)/10000000)))</f>
        <v/>
      </c>
      <c r="U428" t="str">
        <f>IF(E428="","",IF(E428&lt;Setup!$C$5-Setup!$C$6,"",IF(IF(ISNUMBER(Roster!$D428),Setup!$C$23&lt;=Roster!$D428,FALSE),"",IF(OR(IF(Setup!$C$15&lt;=Setup!$C$16,AND(MONTH(E428)&gt;=Setup!$C$15,MONTH(E428)&lt;=Setup!$C$16),OR(MONTH(E428)&gt;=Setup!$C$15,MONTH(E428)&lt;=Setup!$C$16)),IF(Setup!$C$15&lt;=Setup!$C$16,AND(MONTH(WORKDAY(E428,-(Setup!$C$13+Setup!$G$23),Setup!$C$39:$C$50))&gt;=Setup!$C$15,MONTH(WORKDAY(E428,-(Setup!$C$13+Setup!$G$23),Setup!$C$39:$C$50))&lt;=Setup!$C$16),OR(MONTH(WORKDAY(E428,-(Setup!$C$13+Setup!$G$23),Setup!$C$39:$C$50))&gt;=Setup!$C$15,MONTH(WORKDAY(E428,-(Setup!$C$13+Setup!$G$23),Setup!$C$39:$C$50))&lt;=Setup!$C$16))),WORKDAY(E428,-(Setup!$C$13+Setup!$G$23+Setup!$C$14),Setup!$C$39:$C$50),WORKDAY(E428,-(Setup!$C$13+Setup!$G$23),Setup!$C$39:$C$50))+(423*100+4)/10000000)))</f>
        <v/>
      </c>
      <c r="V428" t="str">
        <f>IF(F428="","",IF(F428&lt;Setup!$C$5-Setup!$C$6,"",IF(IF(ISNUMBER(Roster!$D428),Setup!$C$24&lt;=Roster!$D428,FALSE),"",IF(OR(IF(Setup!$C$15&lt;=Setup!$C$16,AND(MONTH(F428)&gt;=Setup!$C$15,MONTH(F428)&lt;=Setup!$C$16),OR(MONTH(F428)&gt;=Setup!$C$15,MONTH(F428)&lt;=Setup!$C$16)),IF(Setup!$C$15&lt;=Setup!$C$16,AND(MONTH(WORKDAY(F428,-(Setup!$C$13+Setup!$G$24),Setup!$C$39:$C$50))&gt;=Setup!$C$15,MONTH(WORKDAY(F428,-(Setup!$C$13+Setup!$G$24),Setup!$C$39:$C$50))&lt;=Setup!$C$16),OR(MONTH(WORKDAY(F428,-(Setup!$C$13+Setup!$G$24),Setup!$C$39:$C$50))&gt;=Setup!$C$15,MONTH(WORKDAY(F428,-(Setup!$C$13+Setup!$G$24),Setup!$C$39:$C$50))&lt;=Setup!$C$16))),WORKDAY(F428,-(Setup!$C$13+Setup!$G$24+Setup!$C$14),Setup!$C$39:$C$50),WORKDAY(F428,-(Setup!$C$13+Setup!$G$24),Setup!$C$39:$C$50))+(423*100+5)/10000000)))</f>
        <v/>
      </c>
      <c r="W428" t="str">
        <f>IF(G428="","",IF(G428&lt;Setup!$C$5-Setup!$C$6,"",IF(IF(ISNUMBER(Roster!$D428),Setup!$C$25&lt;=Roster!$D428,FALSE),"",IF(OR(IF(Setup!$C$15&lt;=Setup!$C$16,AND(MONTH(G428)&gt;=Setup!$C$15,MONTH(G428)&lt;=Setup!$C$16),OR(MONTH(G428)&gt;=Setup!$C$15,MONTH(G428)&lt;=Setup!$C$16)),IF(Setup!$C$15&lt;=Setup!$C$16,AND(MONTH(WORKDAY(G428,-(Setup!$C$13+Setup!$G$25),Setup!$C$39:$C$50))&gt;=Setup!$C$15,MONTH(WORKDAY(G428,-(Setup!$C$13+Setup!$G$25),Setup!$C$39:$C$50))&lt;=Setup!$C$16),OR(MONTH(WORKDAY(G428,-(Setup!$C$13+Setup!$G$25),Setup!$C$39:$C$50))&gt;=Setup!$C$15,MONTH(WORKDAY(G428,-(Setup!$C$13+Setup!$G$25),Setup!$C$39:$C$50))&lt;=Setup!$C$16))),WORKDAY(G428,-(Setup!$C$13+Setup!$G$25+Setup!$C$14),Setup!$C$39:$C$50),WORKDAY(G428,-(Setup!$C$13+Setup!$G$25),Setup!$C$39:$C$50))+(423*100+6)/10000000)))</f>
        <v/>
      </c>
      <c r="X428" t="str">
        <f>IF(H428="","",IF(H428&lt;Setup!$C$5-Setup!$C$6,"",IF(IF(ISNUMBER(Roster!$D428),Setup!$C$26&lt;=Roster!$D428,FALSE),"",IF(OR(IF(Setup!$C$15&lt;=Setup!$C$16,AND(MONTH(H428)&gt;=Setup!$C$15,MONTH(H428)&lt;=Setup!$C$16),OR(MONTH(H428)&gt;=Setup!$C$15,MONTH(H428)&lt;=Setup!$C$16)),IF(Setup!$C$15&lt;=Setup!$C$16,AND(MONTH(WORKDAY(H428,-(Setup!$C$13+Setup!$G$26),Setup!$C$39:$C$50))&gt;=Setup!$C$15,MONTH(WORKDAY(H428,-(Setup!$C$13+Setup!$G$26),Setup!$C$39:$C$50))&lt;=Setup!$C$16),OR(MONTH(WORKDAY(H428,-(Setup!$C$13+Setup!$G$26),Setup!$C$39:$C$50))&gt;=Setup!$C$15,MONTH(WORKDAY(H428,-(Setup!$C$13+Setup!$G$26),Setup!$C$39:$C$50))&lt;=Setup!$C$16))),WORKDAY(H428,-(Setup!$C$13+Setup!$G$26+Setup!$C$14),Setup!$C$39:$C$50),WORKDAY(H428,-(Setup!$C$13+Setup!$G$26),Setup!$C$39:$C$50))+(423*100+7)/10000000)))</f>
        <v/>
      </c>
      <c r="Y428" t="str">
        <f>IF(I428="","",IF(I428&lt;Setup!$C$5-Setup!$C$6,"",IF(IF(ISNUMBER(Roster!$D428),Setup!$C$27&lt;=Roster!$D428,FALSE),"",IF(OR(IF(Setup!$C$15&lt;=Setup!$C$16,AND(MONTH(I428)&gt;=Setup!$C$15,MONTH(I428)&lt;=Setup!$C$16),OR(MONTH(I428)&gt;=Setup!$C$15,MONTH(I428)&lt;=Setup!$C$16)),IF(Setup!$C$15&lt;=Setup!$C$16,AND(MONTH(WORKDAY(I428,-(Setup!$C$13+Setup!$G$27),Setup!$C$39:$C$50))&gt;=Setup!$C$15,MONTH(WORKDAY(I428,-(Setup!$C$13+Setup!$G$27),Setup!$C$39:$C$50))&lt;=Setup!$C$16),OR(MONTH(WORKDAY(I428,-(Setup!$C$13+Setup!$G$27),Setup!$C$39:$C$50))&gt;=Setup!$C$15,MONTH(WORKDAY(I428,-(Setup!$C$13+Setup!$G$27),Setup!$C$39:$C$50))&lt;=Setup!$C$16))),WORKDAY(I428,-(Setup!$C$13+Setup!$G$27+Setup!$C$14),Setup!$C$39:$C$50),WORKDAY(I428,-(Setup!$C$13+Setup!$G$27),Setup!$C$39:$C$50))+(423*100+8)/10000000)))</f>
        <v/>
      </c>
      <c r="Z428" t="str">
        <f>IF(J428="","",IF(J428&lt;Setup!$C$5-Setup!$C$6,"",IF(IF(ISNUMBER(Roster!$D428),Setup!$C$28&lt;=Roster!$D428,FALSE),"",IF(OR(IF(Setup!$C$15&lt;=Setup!$C$16,AND(MONTH(J428)&gt;=Setup!$C$15,MONTH(J428)&lt;=Setup!$C$16),OR(MONTH(J428)&gt;=Setup!$C$15,MONTH(J428)&lt;=Setup!$C$16)),IF(Setup!$C$15&lt;=Setup!$C$16,AND(MONTH(WORKDAY(J428,-(Setup!$C$13+Setup!$G$28),Setup!$C$39:$C$50))&gt;=Setup!$C$15,MONTH(WORKDAY(J428,-(Setup!$C$13+Setup!$G$28),Setup!$C$39:$C$50))&lt;=Setup!$C$16),OR(MONTH(WORKDAY(J428,-(Setup!$C$13+Setup!$G$28),Setup!$C$39:$C$50))&gt;=Setup!$C$15,MONTH(WORKDAY(J428,-(Setup!$C$13+Setup!$G$28),Setup!$C$39:$C$50))&lt;=Setup!$C$16))),WORKDAY(J428,-(Setup!$C$13+Setup!$G$28+Setup!$C$14),Setup!$C$39:$C$50),WORKDAY(J428,-(Setup!$C$13+Setup!$G$28),Setup!$C$39:$C$50))+(423*100+9)/10000000)))</f>
        <v/>
      </c>
      <c r="AA428" t="str">
        <f>IF(K428="","",IF(K428&lt;Setup!$C$5-Setup!$C$6,"",IF(IF(ISNUMBER(Roster!$D428),Setup!$C$29&lt;=Roster!$D428,FALSE),"",IF(OR(IF(Setup!$C$15&lt;=Setup!$C$16,AND(MONTH(K428)&gt;=Setup!$C$15,MONTH(K428)&lt;=Setup!$C$16),OR(MONTH(K428)&gt;=Setup!$C$15,MONTH(K428)&lt;=Setup!$C$16)),IF(Setup!$C$15&lt;=Setup!$C$16,AND(MONTH(WORKDAY(K428,-(Setup!$C$13+Setup!$G$29),Setup!$C$39:$C$50))&gt;=Setup!$C$15,MONTH(WORKDAY(K428,-(Setup!$C$13+Setup!$G$29),Setup!$C$39:$C$50))&lt;=Setup!$C$16),OR(MONTH(WORKDAY(K428,-(Setup!$C$13+Setup!$G$29),Setup!$C$39:$C$50))&gt;=Setup!$C$15,MONTH(WORKDAY(K428,-(Setup!$C$13+Setup!$G$29),Setup!$C$39:$C$50))&lt;=Setup!$C$16))),WORKDAY(K428,-(Setup!$C$13+Setup!$G$29+Setup!$C$14),Setup!$C$39:$C$50),WORKDAY(K428,-(Setup!$C$13+Setup!$G$29),Setup!$C$39:$C$50))+(423*100+10)/10000000)))</f>
        <v/>
      </c>
      <c r="AB428" t="str">
        <f>IF(L428="","",IF(L428&lt;Setup!$C$5-Setup!$C$6,"",IF(IF(ISNUMBER(Roster!$D428),Setup!$C$30&lt;=Roster!$D428,FALSE),"",IF(OR(IF(Setup!$C$15&lt;=Setup!$C$16,AND(MONTH(L428)&gt;=Setup!$C$15,MONTH(L428)&lt;=Setup!$C$16),OR(MONTH(L428)&gt;=Setup!$C$15,MONTH(L428)&lt;=Setup!$C$16)),IF(Setup!$C$15&lt;=Setup!$C$16,AND(MONTH(WORKDAY(L428,-(Setup!$C$13+Setup!$G$30),Setup!$C$39:$C$50))&gt;=Setup!$C$15,MONTH(WORKDAY(L428,-(Setup!$C$13+Setup!$G$30),Setup!$C$39:$C$50))&lt;=Setup!$C$16),OR(MONTH(WORKDAY(L428,-(Setup!$C$13+Setup!$G$30),Setup!$C$39:$C$50))&gt;=Setup!$C$15,MONTH(WORKDAY(L428,-(Setup!$C$13+Setup!$G$30),Setup!$C$39:$C$50))&lt;=Setup!$C$16))),WORKDAY(L428,-(Setup!$C$13+Setup!$G$30+Setup!$C$14),Setup!$C$39:$C$50),WORKDAY(L428,-(Setup!$C$13+Setup!$G$30),Setup!$C$39:$C$50))+(423*100+11)/10000000)))</f>
        <v/>
      </c>
      <c r="AC428" t="str">
        <f>IF(M428="","",IF(M428&lt;Setup!$C$5-Setup!$C$6,"",IF(IF(ISNUMBER(Roster!$D428),Setup!$C$31&lt;=Roster!$D428,FALSE),"",IF(OR(IF(Setup!$C$15&lt;=Setup!$C$16,AND(MONTH(M428)&gt;=Setup!$C$15,MONTH(M428)&lt;=Setup!$C$16),OR(MONTH(M428)&gt;=Setup!$C$15,MONTH(M428)&lt;=Setup!$C$16)),IF(Setup!$C$15&lt;=Setup!$C$16,AND(MONTH(WORKDAY(M428,-(Setup!$C$13+Setup!$G$31),Setup!$C$39:$C$50))&gt;=Setup!$C$15,MONTH(WORKDAY(M428,-(Setup!$C$13+Setup!$G$31),Setup!$C$39:$C$50))&lt;=Setup!$C$16),OR(MONTH(WORKDAY(M428,-(Setup!$C$13+Setup!$G$31),Setup!$C$39:$C$50))&gt;=Setup!$C$15,MONTH(WORKDAY(M428,-(Setup!$C$13+Setup!$G$31),Setup!$C$39:$C$50))&lt;=Setup!$C$16))),WORKDAY(M428,-(Setup!$C$13+Setup!$G$31+Setup!$C$14),Setup!$C$39:$C$50),WORKDAY(M428,-(Setup!$C$13+Setup!$G$31),Setup!$C$39:$C$50))+(423*100+12)/10000000)))</f>
        <v/>
      </c>
      <c r="AD428" t="str">
        <f>IF(N428="","",IF(N428&lt;Setup!$C$5-Setup!$C$6,"",IF(IF(ISNUMBER(Roster!$D428),Setup!$C$32&lt;=Roster!$D428,FALSE),"",IF(OR(IF(Setup!$C$15&lt;=Setup!$C$16,AND(MONTH(N428)&gt;=Setup!$C$15,MONTH(N428)&lt;=Setup!$C$16),OR(MONTH(N428)&gt;=Setup!$C$15,MONTH(N428)&lt;=Setup!$C$16)),IF(Setup!$C$15&lt;=Setup!$C$16,AND(MONTH(WORKDAY(N428,-(Setup!$C$13+Setup!$G$32),Setup!$C$39:$C$50))&gt;=Setup!$C$15,MONTH(WORKDAY(N428,-(Setup!$C$13+Setup!$G$32),Setup!$C$39:$C$50))&lt;=Setup!$C$16),OR(MONTH(WORKDAY(N428,-(Setup!$C$13+Setup!$G$32),Setup!$C$39:$C$50))&gt;=Setup!$C$15,MONTH(WORKDAY(N428,-(Setup!$C$13+Setup!$G$32),Setup!$C$39:$C$50))&lt;=Setup!$C$16))),WORKDAY(N428,-(Setup!$C$13+Setup!$G$32+Setup!$C$14),Setup!$C$39:$C$50),WORKDAY(N428,-(Setup!$C$13+Setup!$G$32),Setup!$C$39:$C$50))+(423*100+13)/10000000)))</f>
        <v/>
      </c>
      <c r="AE428" t="str">
        <f>IF(O428="","",IF(O428&lt;Setup!$C$5-Setup!$C$6,"",IF(IF(ISNUMBER(Roster!$D428),Setup!$C$33&lt;=Roster!$D428,FALSE),"",IF(OR(IF(Setup!$C$15&lt;=Setup!$C$16,AND(MONTH(O428)&gt;=Setup!$C$15,MONTH(O428)&lt;=Setup!$C$16),OR(MONTH(O428)&gt;=Setup!$C$15,MONTH(O428)&lt;=Setup!$C$16)),IF(Setup!$C$15&lt;=Setup!$C$16,AND(MONTH(WORKDAY(O428,-(Setup!$C$13+Setup!$G$33),Setup!$C$39:$C$50))&gt;=Setup!$C$15,MONTH(WORKDAY(O428,-(Setup!$C$13+Setup!$G$33),Setup!$C$39:$C$50))&lt;=Setup!$C$16),OR(MONTH(WORKDAY(O428,-(Setup!$C$13+Setup!$G$33),Setup!$C$39:$C$50))&gt;=Setup!$C$15,MONTH(WORKDAY(O428,-(Setup!$C$13+Setup!$G$33),Setup!$C$39:$C$50))&lt;=Setup!$C$16))),WORKDAY(O428,-(Setup!$C$13+Setup!$G$33+Setup!$C$14),Setup!$C$39:$C$50),WORKDAY(O428,-(Setup!$C$13+Setup!$G$33),Setup!$C$39:$C$50))+(423*100+14)/10000000)))</f>
        <v/>
      </c>
      <c r="AF428" t="str">
        <f>IF(P428="","",IF(P428&lt;Setup!$C$5-Setup!$C$6,"",IF(IF(ISNUMBER(Roster!$D428),Setup!$C$34&lt;=Roster!$D428,FALSE),"",IF(OR(IF(Setup!$C$15&lt;=Setup!$C$16,AND(MONTH(P428)&gt;=Setup!$C$15,MONTH(P428)&lt;=Setup!$C$16),OR(MONTH(P428)&gt;=Setup!$C$15,MONTH(P428)&lt;=Setup!$C$16)),IF(Setup!$C$15&lt;=Setup!$C$16,AND(MONTH(WORKDAY(P428,-(Setup!$C$13+Setup!$G$34),Setup!$C$39:$C$50))&gt;=Setup!$C$15,MONTH(WORKDAY(P428,-(Setup!$C$13+Setup!$G$34),Setup!$C$39:$C$50))&lt;=Setup!$C$16),OR(MONTH(WORKDAY(P428,-(Setup!$C$13+Setup!$G$34),Setup!$C$39:$C$50))&gt;=Setup!$C$15,MONTH(WORKDAY(P428,-(Setup!$C$13+Setup!$G$34),Setup!$C$39:$C$50))&lt;=Setup!$C$16))),WORKDAY(P428,-(Setup!$C$13+Setup!$G$34+Setup!$C$14),Setup!$C$39:$C$50),WORKDAY(P428,-(Setup!$C$13+Setup!$G$34),Setup!$C$39:$C$50))+(423*100+15)/10000000)))</f>
        <v/>
      </c>
      <c r="AH428" t="str">
        <f t="shared" si="46"/>
        <v/>
      </c>
      <c r="AI428" t="str">
        <f t="shared" si="47"/>
        <v/>
      </c>
      <c r="AP428" t="str">
        <f>IF(ISNUMBER(Roster!$B428),MAX(1,YEAR(Setup!$C$5)-YEAR(Roster!$B428)+IF(EDATE(Roster!$B428,12*(YEAR(Setup!$C$5)-YEAR(Roster!$B428)))&lt;Setup!$C$5,1,0)),"")</f>
        <v/>
      </c>
      <c r="AQ428" s="32" t="str">
        <f>IF(AP428="","",EDATE(Roster!$B428,12*AP428))</f>
        <v/>
      </c>
      <c r="AR428" t="str">
        <f>IF(AQ428="","",IF(AQ428&lt;DATE(YEAR(Setup!$C$5)+1,MONTH(Setup!$C$5),DAY(Setup!$C$5)),AQ428+423/1000,""))</f>
        <v/>
      </c>
      <c r="AS428" t="str">
        <f t="shared" si="48"/>
        <v/>
      </c>
      <c r="AT428" t="str">
        <f>IF(AS428="","",IF(ISNUMBER(Roster!$D428),Roster!$D428&gt;=AP428,FALSE))</f>
        <v/>
      </c>
      <c r="AU428" t="str">
        <f t="shared" si="49"/>
        <v/>
      </c>
      <c r="AV428" t="str">
        <f ca="1">IF(423&gt;$AV$2,"",SMALL($AR$6:$AR$505,423))</f>
        <v/>
      </c>
      <c r="AW428" t="str">
        <f t="shared" ca="1" si="50"/>
        <v/>
      </c>
    </row>
    <row r="429" spans="2:49" x14ac:dyDescent="0.2">
      <c r="B429" s="32" t="str">
        <f>IF(AND(ISNUMBER(Roster!$B429),Setup!$B$20="Yes",ISNUMBER(Setup!$C$20)),EDATE(Roster!$B429,12*Setup!$C$20),"")</f>
        <v/>
      </c>
      <c r="C429" s="32" t="str">
        <f>IF(AND(ISNUMBER(Roster!$B429),Setup!$B$21="Yes",ISNUMBER(Setup!$C$21)),EDATE(Roster!$B429,12*Setup!$C$21),"")</f>
        <v/>
      </c>
      <c r="D429" s="32" t="str">
        <f>IF(AND(ISNUMBER(Roster!$B429),Setup!$B$22="Yes",ISNUMBER(Setup!$C$22)),EDATE(Roster!$B429,12*Setup!$C$22),"")</f>
        <v/>
      </c>
      <c r="E429" s="32" t="str">
        <f>IF(AND(ISNUMBER(Roster!$B429),Setup!$B$23="Yes",ISNUMBER(Setup!$C$23)),EDATE(Roster!$B429,12*Setup!$C$23),"")</f>
        <v/>
      </c>
      <c r="F429" s="32" t="str">
        <f>IF(AND(ISNUMBER(Roster!$B429),Setup!$B$24="Yes",ISNUMBER(Setup!$C$24)),EDATE(Roster!$B429,12*Setup!$C$24),"")</f>
        <v/>
      </c>
      <c r="G429" s="32" t="str">
        <f>IF(AND(ISNUMBER(Roster!$B429),Setup!$B$25="Yes",ISNUMBER(Setup!$C$25)),EDATE(Roster!$B429,12*Setup!$C$25),"")</f>
        <v/>
      </c>
      <c r="H429" s="32" t="str">
        <f>IF(AND(ISNUMBER(Roster!$B429),Setup!$B$26="Yes",ISNUMBER(Setup!$C$26)),EDATE(Roster!$B429,12*Setup!$C$26),"")</f>
        <v/>
      </c>
      <c r="I429" s="32" t="str">
        <f>IF(AND(ISNUMBER(Roster!$B429),Setup!$B$27="Yes",ISNUMBER(Setup!$C$27)),EDATE(Roster!$B429,12*Setup!$C$27),"")</f>
        <v/>
      </c>
      <c r="J429" s="32" t="str">
        <f>IF(AND(ISNUMBER(Roster!$B429),Setup!$B$28="Yes",ISNUMBER(Setup!$C$28)),EDATE(Roster!$B429,12*Setup!$C$28),"")</f>
        <v/>
      </c>
      <c r="K429" s="32" t="str">
        <f>IF(AND(ISNUMBER(Roster!$B429),Setup!$B$29="Yes",ISNUMBER(Setup!$C$29)),EDATE(Roster!$B429,12*Setup!$C$29),"")</f>
        <v/>
      </c>
      <c r="L429" s="32" t="str">
        <f>IF(AND(ISNUMBER(Roster!$B429),Setup!$B$30="Yes",ISNUMBER(Setup!$C$30)),EDATE(Roster!$B429,12*Setup!$C$30),"")</f>
        <v/>
      </c>
      <c r="M429" s="32" t="str">
        <f>IF(AND(ISNUMBER(Roster!$B429),Setup!$B$31="Yes",ISNUMBER(Setup!$C$31)),EDATE(Roster!$B429,12*Setup!$C$31),"")</f>
        <v/>
      </c>
      <c r="N429" s="32" t="str">
        <f>IF(AND(ISNUMBER(Roster!$B429),Setup!$B$32="Yes",ISNUMBER(Setup!$C$32)),EDATE(Roster!$B429,12*Setup!$C$32),"")</f>
        <v/>
      </c>
      <c r="O429" s="32" t="str">
        <f>IF(AND(ISNUMBER(Roster!$B429),Setup!$B$33="Yes",ISNUMBER(Setup!$C$33)),EDATE(Roster!$B429,12*Setup!$C$33),"")</f>
        <v/>
      </c>
      <c r="P429" s="32" t="str">
        <f>IF(AND(ISNUMBER(Roster!$B429),Setup!$B$34="Yes",ISNUMBER(Setup!$C$34)),EDATE(Roster!$B429,12*Setup!$C$34),"")</f>
        <v/>
      </c>
      <c r="R429" t="str">
        <f>IF(B429="","",IF(B429&lt;Setup!$C$5-Setup!$C$6,"",IF(IF(ISNUMBER(Roster!$D429),Setup!$C$20&lt;=Roster!$D429,FALSE),"",IF(OR(IF(Setup!$C$15&lt;=Setup!$C$16,AND(MONTH(B429)&gt;=Setup!$C$15,MONTH(B429)&lt;=Setup!$C$16),OR(MONTH(B429)&gt;=Setup!$C$15,MONTH(B429)&lt;=Setup!$C$16)),IF(Setup!$C$15&lt;=Setup!$C$16,AND(MONTH(WORKDAY(B429,-(Setup!$C$13+Setup!$G$20),Setup!$C$39:$C$50))&gt;=Setup!$C$15,MONTH(WORKDAY(B429,-(Setup!$C$13+Setup!$G$20),Setup!$C$39:$C$50))&lt;=Setup!$C$16),OR(MONTH(WORKDAY(B429,-(Setup!$C$13+Setup!$G$20),Setup!$C$39:$C$50))&gt;=Setup!$C$15,MONTH(WORKDAY(B429,-(Setup!$C$13+Setup!$G$20),Setup!$C$39:$C$50))&lt;=Setup!$C$16))),WORKDAY(B429,-(Setup!$C$13+Setup!$G$20+Setup!$C$14),Setup!$C$39:$C$50),WORKDAY(B429,-(Setup!$C$13+Setup!$G$20),Setup!$C$39:$C$50))+(424*100+1)/10000000)))</f>
        <v/>
      </c>
      <c r="S429" t="str">
        <f>IF(C429="","",IF(C429&lt;Setup!$C$5-Setup!$C$6,"",IF(IF(ISNUMBER(Roster!$D429),Setup!$C$21&lt;=Roster!$D429,FALSE),"",IF(OR(IF(Setup!$C$15&lt;=Setup!$C$16,AND(MONTH(C429)&gt;=Setup!$C$15,MONTH(C429)&lt;=Setup!$C$16),OR(MONTH(C429)&gt;=Setup!$C$15,MONTH(C429)&lt;=Setup!$C$16)),IF(Setup!$C$15&lt;=Setup!$C$16,AND(MONTH(WORKDAY(C429,-(Setup!$C$13+Setup!$G$21),Setup!$C$39:$C$50))&gt;=Setup!$C$15,MONTH(WORKDAY(C429,-(Setup!$C$13+Setup!$G$21),Setup!$C$39:$C$50))&lt;=Setup!$C$16),OR(MONTH(WORKDAY(C429,-(Setup!$C$13+Setup!$G$21),Setup!$C$39:$C$50))&gt;=Setup!$C$15,MONTH(WORKDAY(C429,-(Setup!$C$13+Setup!$G$21),Setup!$C$39:$C$50))&lt;=Setup!$C$16))),WORKDAY(C429,-(Setup!$C$13+Setup!$G$21+Setup!$C$14),Setup!$C$39:$C$50),WORKDAY(C429,-(Setup!$C$13+Setup!$G$21),Setup!$C$39:$C$50))+(424*100+2)/10000000)))</f>
        <v/>
      </c>
      <c r="T429" t="str">
        <f>IF(D429="","",IF(D429&lt;Setup!$C$5-Setup!$C$6,"",IF(IF(ISNUMBER(Roster!$D429),Setup!$C$22&lt;=Roster!$D429,FALSE),"",IF(OR(IF(Setup!$C$15&lt;=Setup!$C$16,AND(MONTH(D429)&gt;=Setup!$C$15,MONTH(D429)&lt;=Setup!$C$16),OR(MONTH(D429)&gt;=Setup!$C$15,MONTH(D429)&lt;=Setup!$C$16)),IF(Setup!$C$15&lt;=Setup!$C$16,AND(MONTH(WORKDAY(D429,-(Setup!$C$13+Setup!$G$22),Setup!$C$39:$C$50))&gt;=Setup!$C$15,MONTH(WORKDAY(D429,-(Setup!$C$13+Setup!$G$22),Setup!$C$39:$C$50))&lt;=Setup!$C$16),OR(MONTH(WORKDAY(D429,-(Setup!$C$13+Setup!$G$22),Setup!$C$39:$C$50))&gt;=Setup!$C$15,MONTH(WORKDAY(D429,-(Setup!$C$13+Setup!$G$22),Setup!$C$39:$C$50))&lt;=Setup!$C$16))),WORKDAY(D429,-(Setup!$C$13+Setup!$G$22+Setup!$C$14),Setup!$C$39:$C$50),WORKDAY(D429,-(Setup!$C$13+Setup!$G$22),Setup!$C$39:$C$50))+(424*100+3)/10000000)))</f>
        <v/>
      </c>
      <c r="U429" t="str">
        <f>IF(E429="","",IF(E429&lt;Setup!$C$5-Setup!$C$6,"",IF(IF(ISNUMBER(Roster!$D429),Setup!$C$23&lt;=Roster!$D429,FALSE),"",IF(OR(IF(Setup!$C$15&lt;=Setup!$C$16,AND(MONTH(E429)&gt;=Setup!$C$15,MONTH(E429)&lt;=Setup!$C$16),OR(MONTH(E429)&gt;=Setup!$C$15,MONTH(E429)&lt;=Setup!$C$16)),IF(Setup!$C$15&lt;=Setup!$C$16,AND(MONTH(WORKDAY(E429,-(Setup!$C$13+Setup!$G$23),Setup!$C$39:$C$50))&gt;=Setup!$C$15,MONTH(WORKDAY(E429,-(Setup!$C$13+Setup!$G$23),Setup!$C$39:$C$50))&lt;=Setup!$C$16),OR(MONTH(WORKDAY(E429,-(Setup!$C$13+Setup!$G$23),Setup!$C$39:$C$50))&gt;=Setup!$C$15,MONTH(WORKDAY(E429,-(Setup!$C$13+Setup!$G$23),Setup!$C$39:$C$50))&lt;=Setup!$C$16))),WORKDAY(E429,-(Setup!$C$13+Setup!$G$23+Setup!$C$14),Setup!$C$39:$C$50),WORKDAY(E429,-(Setup!$C$13+Setup!$G$23),Setup!$C$39:$C$50))+(424*100+4)/10000000)))</f>
        <v/>
      </c>
      <c r="V429" t="str">
        <f>IF(F429="","",IF(F429&lt;Setup!$C$5-Setup!$C$6,"",IF(IF(ISNUMBER(Roster!$D429),Setup!$C$24&lt;=Roster!$D429,FALSE),"",IF(OR(IF(Setup!$C$15&lt;=Setup!$C$16,AND(MONTH(F429)&gt;=Setup!$C$15,MONTH(F429)&lt;=Setup!$C$16),OR(MONTH(F429)&gt;=Setup!$C$15,MONTH(F429)&lt;=Setup!$C$16)),IF(Setup!$C$15&lt;=Setup!$C$16,AND(MONTH(WORKDAY(F429,-(Setup!$C$13+Setup!$G$24),Setup!$C$39:$C$50))&gt;=Setup!$C$15,MONTH(WORKDAY(F429,-(Setup!$C$13+Setup!$G$24),Setup!$C$39:$C$50))&lt;=Setup!$C$16),OR(MONTH(WORKDAY(F429,-(Setup!$C$13+Setup!$G$24),Setup!$C$39:$C$50))&gt;=Setup!$C$15,MONTH(WORKDAY(F429,-(Setup!$C$13+Setup!$G$24),Setup!$C$39:$C$50))&lt;=Setup!$C$16))),WORKDAY(F429,-(Setup!$C$13+Setup!$G$24+Setup!$C$14),Setup!$C$39:$C$50),WORKDAY(F429,-(Setup!$C$13+Setup!$G$24),Setup!$C$39:$C$50))+(424*100+5)/10000000)))</f>
        <v/>
      </c>
      <c r="W429" t="str">
        <f>IF(G429="","",IF(G429&lt;Setup!$C$5-Setup!$C$6,"",IF(IF(ISNUMBER(Roster!$D429),Setup!$C$25&lt;=Roster!$D429,FALSE),"",IF(OR(IF(Setup!$C$15&lt;=Setup!$C$16,AND(MONTH(G429)&gt;=Setup!$C$15,MONTH(G429)&lt;=Setup!$C$16),OR(MONTH(G429)&gt;=Setup!$C$15,MONTH(G429)&lt;=Setup!$C$16)),IF(Setup!$C$15&lt;=Setup!$C$16,AND(MONTH(WORKDAY(G429,-(Setup!$C$13+Setup!$G$25),Setup!$C$39:$C$50))&gt;=Setup!$C$15,MONTH(WORKDAY(G429,-(Setup!$C$13+Setup!$G$25),Setup!$C$39:$C$50))&lt;=Setup!$C$16),OR(MONTH(WORKDAY(G429,-(Setup!$C$13+Setup!$G$25),Setup!$C$39:$C$50))&gt;=Setup!$C$15,MONTH(WORKDAY(G429,-(Setup!$C$13+Setup!$G$25),Setup!$C$39:$C$50))&lt;=Setup!$C$16))),WORKDAY(G429,-(Setup!$C$13+Setup!$G$25+Setup!$C$14),Setup!$C$39:$C$50),WORKDAY(G429,-(Setup!$C$13+Setup!$G$25),Setup!$C$39:$C$50))+(424*100+6)/10000000)))</f>
        <v/>
      </c>
      <c r="X429" t="str">
        <f>IF(H429="","",IF(H429&lt;Setup!$C$5-Setup!$C$6,"",IF(IF(ISNUMBER(Roster!$D429),Setup!$C$26&lt;=Roster!$D429,FALSE),"",IF(OR(IF(Setup!$C$15&lt;=Setup!$C$16,AND(MONTH(H429)&gt;=Setup!$C$15,MONTH(H429)&lt;=Setup!$C$16),OR(MONTH(H429)&gt;=Setup!$C$15,MONTH(H429)&lt;=Setup!$C$16)),IF(Setup!$C$15&lt;=Setup!$C$16,AND(MONTH(WORKDAY(H429,-(Setup!$C$13+Setup!$G$26),Setup!$C$39:$C$50))&gt;=Setup!$C$15,MONTH(WORKDAY(H429,-(Setup!$C$13+Setup!$G$26),Setup!$C$39:$C$50))&lt;=Setup!$C$16),OR(MONTH(WORKDAY(H429,-(Setup!$C$13+Setup!$G$26),Setup!$C$39:$C$50))&gt;=Setup!$C$15,MONTH(WORKDAY(H429,-(Setup!$C$13+Setup!$G$26),Setup!$C$39:$C$50))&lt;=Setup!$C$16))),WORKDAY(H429,-(Setup!$C$13+Setup!$G$26+Setup!$C$14),Setup!$C$39:$C$50),WORKDAY(H429,-(Setup!$C$13+Setup!$G$26),Setup!$C$39:$C$50))+(424*100+7)/10000000)))</f>
        <v/>
      </c>
      <c r="Y429" t="str">
        <f>IF(I429="","",IF(I429&lt;Setup!$C$5-Setup!$C$6,"",IF(IF(ISNUMBER(Roster!$D429),Setup!$C$27&lt;=Roster!$D429,FALSE),"",IF(OR(IF(Setup!$C$15&lt;=Setup!$C$16,AND(MONTH(I429)&gt;=Setup!$C$15,MONTH(I429)&lt;=Setup!$C$16),OR(MONTH(I429)&gt;=Setup!$C$15,MONTH(I429)&lt;=Setup!$C$16)),IF(Setup!$C$15&lt;=Setup!$C$16,AND(MONTH(WORKDAY(I429,-(Setup!$C$13+Setup!$G$27),Setup!$C$39:$C$50))&gt;=Setup!$C$15,MONTH(WORKDAY(I429,-(Setup!$C$13+Setup!$G$27),Setup!$C$39:$C$50))&lt;=Setup!$C$16),OR(MONTH(WORKDAY(I429,-(Setup!$C$13+Setup!$G$27),Setup!$C$39:$C$50))&gt;=Setup!$C$15,MONTH(WORKDAY(I429,-(Setup!$C$13+Setup!$G$27),Setup!$C$39:$C$50))&lt;=Setup!$C$16))),WORKDAY(I429,-(Setup!$C$13+Setup!$G$27+Setup!$C$14),Setup!$C$39:$C$50),WORKDAY(I429,-(Setup!$C$13+Setup!$G$27),Setup!$C$39:$C$50))+(424*100+8)/10000000)))</f>
        <v/>
      </c>
      <c r="Z429" t="str">
        <f>IF(J429="","",IF(J429&lt;Setup!$C$5-Setup!$C$6,"",IF(IF(ISNUMBER(Roster!$D429),Setup!$C$28&lt;=Roster!$D429,FALSE),"",IF(OR(IF(Setup!$C$15&lt;=Setup!$C$16,AND(MONTH(J429)&gt;=Setup!$C$15,MONTH(J429)&lt;=Setup!$C$16),OR(MONTH(J429)&gt;=Setup!$C$15,MONTH(J429)&lt;=Setup!$C$16)),IF(Setup!$C$15&lt;=Setup!$C$16,AND(MONTH(WORKDAY(J429,-(Setup!$C$13+Setup!$G$28),Setup!$C$39:$C$50))&gt;=Setup!$C$15,MONTH(WORKDAY(J429,-(Setup!$C$13+Setup!$G$28),Setup!$C$39:$C$50))&lt;=Setup!$C$16),OR(MONTH(WORKDAY(J429,-(Setup!$C$13+Setup!$G$28),Setup!$C$39:$C$50))&gt;=Setup!$C$15,MONTH(WORKDAY(J429,-(Setup!$C$13+Setup!$G$28),Setup!$C$39:$C$50))&lt;=Setup!$C$16))),WORKDAY(J429,-(Setup!$C$13+Setup!$G$28+Setup!$C$14),Setup!$C$39:$C$50),WORKDAY(J429,-(Setup!$C$13+Setup!$G$28),Setup!$C$39:$C$50))+(424*100+9)/10000000)))</f>
        <v/>
      </c>
      <c r="AA429" t="str">
        <f>IF(K429="","",IF(K429&lt;Setup!$C$5-Setup!$C$6,"",IF(IF(ISNUMBER(Roster!$D429),Setup!$C$29&lt;=Roster!$D429,FALSE),"",IF(OR(IF(Setup!$C$15&lt;=Setup!$C$16,AND(MONTH(K429)&gt;=Setup!$C$15,MONTH(K429)&lt;=Setup!$C$16),OR(MONTH(K429)&gt;=Setup!$C$15,MONTH(K429)&lt;=Setup!$C$16)),IF(Setup!$C$15&lt;=Setup!$C$16,AND(MONTH(WORKDAY(K429,-(Setup!$C$13+Setup!$G$29),Setup!$C$39:$C$50))&gt;=Setup!$C$15,MONTH(WORKDAY(K429,-(Setup!$C$13+Setup!$G$29),Setup!$C$39:$C$50))&lt;=Setup!$C$16),OR(MONTH(WORKDAY(K429,-(Setup!$C$13+Setup!$G$29),Setup!$C$39:$C$50))&gt;=Setup!$C$15,MONTH(WORKDAY(K429,-(Setup!$C$13+Setup!$G$29),Setup!$C$39:$C$50))&lt;=Setup!$C$16))),WORKDAY(K429,-(Setup!$C$13+Setup!$G$29+Setup!$C$14),Setup!$C$39:$C$50),WORKDAY(K429,-(Setup!$C$13+Setup!$G$29),Setup!$C$39:$C$50))+(424*100+10)/10000000)))</f>
        <v/>
      </c>
      <c r="AB429" t="str">
        <f>IF(L429="","",IF(L429&lt;Setup!$C$5-Setup!$C$6,"",IF(IF(ISNUMBER(Roster!$D429),Setup!$C$30&lt;=Roster!$D429,FALSE),"",IF(OR(IF(Setup!$C$15&lt;=Setup!$C$16,AND(MONTH(L429)&gt;=Setup!$C$15,MONTH(L429)&lt;=Setup!$C$16),OR(MONTH(L429)&gt;=Setup!$C$15,MONTH(L429)&lt;=Setup!$C$16)),IF(Setup!$C$15&lt;=Setup!$C$16,AND(MONTH(WORKDAY(L429,-(Setup!$C$13+Setup!$G$30),Setup!$C$39:$C$50))&gt;=Setup!$C$15,MONTH(WORKDAY(L429,-(Setup!$C$13+Setup!$G$30),Setup!$C$39:$C$50))&lt;=Setup!$C$16),OR(MONTH(WORKDAY(L429,-(Setup!$C$13+Setup!$G$30),Setup!$C$39:$C$50))&gt;=Setup!$C$15,MONTH(WORKDAY(L429,-(Setup!$C$13+Setup!$G$30),Setup!$C$39:$C$50))&lt;=Setup!$C$16))),WORKDAY(L429,-(Setup!$C$13+Setup!$G$30+Setup!$C$14),Setup!$C$39:$C$50),WORKDAY(L429,-(Setup!$C$13+Setup!$G$30),Setup!$C$39:$C$50))+(424*100+11)/10000000)))</f>
        <v/>
      </c>
      <c r="AC429" t="str">
        <f>IF(M429="","",IF(M429&lt;Setup!$C$5-Setup!$C$6,"",IF(IF(ISNUMBER(Roster!$D429),Setup!$C$31&lt;=Roster!$D429,FALSE),"",IF(OR(IF(Setup!$C$15&lt;=Setup!$C$16,AND(MONTH(M429)&gt;=Setup!$C$15,MONTH(M429)&lt;=Setup!$C$16),OR(MONTH(M429)&gt;=Setup!$C$15,MONTH(M429)&lt;=Setup!$C$16)),IF(Setup!$C$15&lt;=Setup!$C$16,AND(MONTH(WORKDAY(M429,-(Setup!$C$13+Setup!$G$31),Setup!$C$39:$C$50))&gt;=Setup!$C$15,MONTH(WORKDAY(M429,-(Setup!$C$13+Setup!$G$31),Setup!$C$39:$C$50))&lt;=Setup!$C$16),OR(MONTH(WORKDAY(M429,-(Setup!$C$13+Setup!$G$31),Setup!$C$39:$C$50))&gt;=Setup!$C$15,MONTH(WORKDAY(M429,-(Setup!$C$13+Setup!$G$31),Setup!$C$39:$C$50))&lt;=Setup!$C$16))),WORKDAY(M429,-(Setup!$C$13+Setup!$G$31+Setup!$C$14),Setup!$C$39:$C$50),WORKDAY(M429,-(Setup!$C$13+Setup!$G$31),Setup!$C$39:$C$50))+(424*100+12)/10000000)))</f>
        <v/>
      </c>
      <c r="AD429" t="str">
        <f>IF(N429="","",IF(N429&lt;Setup!$C$5-Setup!$C$6,"",IF(IF(ISNUMBER(Roster!$D429),Setup!$C$32&lt;=Roster!$D429,FALSE),"",IF(OR(IF(Setup!$C$15&lt;=Setup!$C$16,AND(MONTH(N429)&gt;=Setup!$C$15,MONTH(N429)&lt;=Setup!$C$16),OR(MONTH(N429)&gt;=Setup!$C$15,MONTH(N429)&lt;=Setup!$C$16)),IF(Setup!$C$15&lt;=Setup!$C$16,AND(MONTH(WORKDAY(N429,-(Setup!$C$13+Setup!$G$32),Setup!$C$39:$C$50))&gt;=Setup!$C$15,MONTH(WORKDAY(N429,-(Setup!$C$13+Setup!$G$32),Setup!$C$39:$C$50))&lt;=Setup!$C$16),OR(MONTH(WORKDAY(N429,-(Setup!$C$13+Setup!$G$32),Setup!$C$39:$C$50))&gt;=Setup!$C$15,MONTH(WORKDAY(N429,-(Setup!$C$13+Setup!$G$32),Setup!$C$39:$C$50))&lt;=Setup!$C$16))),WORKDAY(N429,-(Setup!$C$13+Setup!$G$32+Setup!$C$14),Setup!$C$39:$C$50),WORKDAY(N429,-(Setup!$C$13+Setup!$G$32),Setup!$C$39:$C$50))+(424*100+13)/10000000)))</f>
        <v/>
      </c>
      <c r="AE429" t="str">
        <f>IF(O429="","",IF(O429&lt;Setup!$C$5-Setup!$C$6,"",IF(IF(ISNUMBER(Roster!$D429),Setup!$C$33&lt;=Roster!$D429,FALSE),"",IF(OR(IF(Setup!$C$15&lt;=Setup!$C$16,AND(MONTH(O429)&gt;=Setup!$C$15,MONTH(O429)&lt;=Setup!$C$16),OR(MONTH(O429)&gt;=Setup!$C$15,MONTH(O429)&lt;=Setup!$C$16)),IF(Setup!$C$15&lt;=Setup!$C$16,AND(MONTH(WORKDAY(O429,-(Setup!$C$13+Setup!$G$33),Setup!$C$39:$C$50))&gt;=Setup!$C$15,MONTH(WORKDAY(O429,-(Setup!$C$13+Setup!$G$33),Setup!$C$39:$C$50))&lt;=Setup!$C$16),OR(MONTH(WORKDAY(O429,-(Setup!$C$13+Setup!$G$33),Setup!$C$39:$C$50))&gt;=Setup!$C$15,MONTH(WORKDAY(O429,-(Setup!$C$13+Setup!$G$33),Setup!$C$39:$C$50))&lt;=Setup!$C$16))),WORKDAY(O429,-(Setup!$C$13+Setup!$G$33+Setup!$C$14),Setup!$C$39:$C$50),WORKDAY(O429,-(Setup!$C$13+Setup!$G$33),Setup!$C$39:$C$50))+(424*100+14)/10000000)))</f>
        <v/>
      </c>
      <c r="AF429" t="str">
        <f>IF(P429="","",IF(P429&lt;Setup!$C$5-Setup!$C$6,"",IF(IF(ISNUMBER(Roster!$D429),Setup!$C$34&lt;=Roster!$D429,FALSE),"",IF(OR(IF(Setup!$C$15&lt;=Setup!$C$16,AND(MONTH(P429)&gt;=Setup!$C$15,MONTH(P429)&lt;=Setup!$C$16),OR(MONTH(P429)&gt;=Setup!$C$15,MONTH(P429)&lt;=Setup!$C$16)),IF(Setup!$C$15&lt;=Setup!$C$16,AND(MONTH(WORKDAY(P429,-(Setup!$C$13+Setup!$G$34),Setup!$C$39:$C$50))&gt;=Setup!$C$15,MONTH(WORKDAY(P429,-(Setup!$C$13+Setup!$G$34),Setup!$C$39:$C$50))&lt;=Setup!$C$16),OR(MONTH(WORKDAY(P429,-(Setup!$C$13+Setup!$G$34),Setup!$C$39:$C$50))&gt;=Setup!$C$15,MONTH(WORKDAY(P429,-(Setup!$C$13+Setup!$G$34),Setup!$C$39:$C$50))&lt;=Setup!$C$16))),WORKDAY(P429,-(Setup!$C$13+Setup!$G$34+Setup!$C$14),Setup!$C$39:$C$50),WORKDAY(P429,-(Setup!$C$13+Setup!$G$34),Setup!$C$39:$C$50))+(424*100+15)/10000000)))</f>
        <v/>
      </c>
      <c r="AH429" t="str">
        <f t="shared" si="46"/>
        <v/>
      </c>
      <c r="AI429" t="str">
        <f t="shared" si="47"/>
        <v/>
      </c>
      <c r="AP429" t="str">
        <f>IF(ISNUMBER(Roster!$B429),MAX(1,YEAR(Setup!$C$5)-YEAR(Roster!$B429)+IF(EDATE(Roster!$B429,12*(YEAR(Setup!$C$5)-YEAR(Roster!$B429)))&lt;Setup!$C$5,1,0)),"")</f>
        <v/>
      </c>
      <c r="AQ429" s="32" t="str">
        <f>IF(AP429="","",EDATE(Roster!$B429,12*AP429))</f>
        <v/>
      </c>
      <c r="AR429" t="str">
        <f>IF(AQ429="","",IF(AQ429&lt;DATE(YEAR(Setup!$C$5)+1,MONTH(Setup!$C$5),DAY(Setup!$C$5)),AQ429+424/1000,""))</f>
        <v/>
      </c>
      <c r="AS429" t="str">
        <f t="shared" si="48"/>
        <v/>
      </c>
      <c r="AT429" t="str">
        <f>IF(AS429="","",IF(ISNUMBER(Roster!$D429),Roster!$D429&gt;=AP429,FALSE))</f>
        <v/>
      </c>
      <c r="AU429" t="str">
        <f t="shared" si="49"/>
        <v/>
      </c>
      <c r="AV429" t="str">
        <f ca="1">IF(424&gt;$AV$2,"",SMALL($AR$6:$AR$505,424))</f>
        <v/>
      </c>
      <c r="AW429" t="str">
        <f t="shared" ca="1" si="50"/>
        <v/>
      </c>
    </row>
    <row r="430" spans="2:49" x14ac:dyDescent="0.2">
      <c r="B430" s="32" t="str">
        <f>IF(AND(ISNUMBER(Roster!$B430),Setup!$B$20="Yes",ISNUMBER(Setup!$C$20)),EDATE(Roster!$B430,12*Setup!$C$20),"")</f>
        <v/>
      </c>
      <c r="C430" s="32" t="str">
        <f>IF(AND(ISNUMBER(Roster!$B430),Setup!$B$21="Yes",ISNUMBER(Setup!$C$21)),EDATE(Roster!$B430,12*Setup!$C$21),"")</f>
        <v/>
      </c>
      <c r="D430" s="32" t="str">
        <f>IF(AND(ISNUMBER(Roster!$B430),Setup!$B$22="Yes",ISNUMBER(Setup!$C$22)),EDATE(Roster!$B430,12*Setup!$C$22),"")</f>
        <v/>
      </c>
      <c r="E430" s="32" t="str">
        <f>IF(AND(ISNUMBER(Roster!$B430),Setup!$B$23="Yes",ISNUMBER(Setup!$C$23)),EDATE(Roster!$B430,12*Setup!$C$23),"")</f>
        <v/>
      </c>
      <c r="F430" s="32" t="str">
        <f>IF(AND(ISNUMBER(Roster!$B430),Setup!$B$24="Yes",ISNUMBER(Setup!$C$24)),EDATE(Roster!$B430,12*Setup!$C$24),"")</f>
        <v/>
      </c>
      <c r="G430" s="32" t="str">
        <f>IF(AND(ISNUMBER(Roster!$B430),Setup!$B$25="Yes",ISNUMBER(Setup!$C$25)),EDATE(Roster!$B430,12*Setup!$C$25),"")</f>
        <v/>
      </c>
      <c r="H430" s="32" t="str">
        <f>IF(AND(ISNUMBER(Roster!$B430),Setup!$B$26="Yes",ISNUMBER(Setup!$C$26)),EDATE(Roster!$B430,12*Setup!$C$26),"")</f>
        <v/>
      </c>
      <c r="I430" s="32" t="str">
        <f>IF(AND(ISNUMBER(Roster!$B430),Setup!$B$27="Yes",ISNUMBER(Setup!$C$27)),EDATE(Roster!$B430,12*Setup!$C$27),"")</f>
        <v/>
      </c>
      <c r="J430" s="32" t="str">
        <f>IF(AND(ISNUMBER(Roster!$B430),Setup!$B$28="Yes",ISNUMBER(Setup!$C$28)),EDATE(Roster!$B430,12*Setup!$C$28),"")</f>
        <v/>
      </c>
      <c r="K430" s="32" t="str">
        <f>IF(AND(ISNUMBER(Roster!$B430),Setup!$B$29="Yes",ISNUMBER(Setup!$C$29)),EDATE(Roster!$B430,12*Setup!$C$29),"")</f>
        <v/>
      </c>
      <c r="L430" s="32" t="str">
        <f>IF(AND(ISNUMBER(Roster!$B430),Setup!$B$30="Yes",ISNUMBER(Setup!$C$30)),EDATE(Roster!$B430,12*Setup!$C$30),"")</f>
        <v/>
      </c>
      <c r="M430" s="32" t="str">
        <f>IF(AND(ISNUMBER(Roster!$B430),Setup!$B$31="Yes",ISNUMBER(Setup!$C$31)),EDATE(Roster!$B430,12*Setup!$C$31),"")</f>
        <v/>
      </c>
      <c r="N430" s="32" t="str">
        <f>IF(AND(ISNUMBER(Roster!$B430),Setup!$B$32="Yes",ISNUMBER(Setup!$C$32)),EDATE(Roster!$B430,12*Setup!$C$32),"")</f>
        <v/>
      </c>
      <c r="O430" s="32" t="str">
        <f>IF(AND(ISNUMBER(Roster!$B430),Setup!$B$33="Yes",ISNUMBER(Setup!$C$33)),EDATE(Roster!$B430,12*Setup!$C$33),"")</f>
        <v/>
      </c>
      <c r="P430" s="32" t="str">
        <f>IF(AND(ISNUMBER(Roster!$B430),Setup!$B$34="Yes",ISNUMBER(Setup!$C$34)),EDATE(Roster!$B430,12*Setup!$C$34),"")</f>
        <v/>
      </c>
      <c r="R430" t="str">
        <f>IF(B430="","",IF(B430&lt;Setup!$C$5-Setup!$C$6,"",IF(IF(ISNUMBER(Roster!$D430),Setup!$C$20&lt;=Roster!$D430,FALSE),"",IF(OR(IF(Setup!$C$15&lt;=Setup!$C$16,AND(MONTH(B430)&gt;=Setup!$C$15,MONTH(B430)&lt;=Setup!$C$16),OR(MONTH(B430)&gt;=Setup!$C$15,MONTH(B430)&lt;=Setup!$C$16)),IF(Setup!$C$15&lt;=Setup!$C$16,AND(MONTH(WORKDAY(B430,-(Setup!$C$13+Setup!$G$20),Setup!$C$39:$C$50))&gt;=Setup!$C$15,MONTH(WORKDAY(B430,-(Setup!$C$13+Setup!$G$20),Setup!$C$39:$C$50))&lt;=Setup!$C$16),OR(MONTH(WORKDAY(B430,-(Setup!$C$13+Setup!$G$20),Setup!$C$39:$C$50))&gt;=Setup!$C$15,MONTH(WORKDAY(B430,-(Setup!$C$13+Setup!$G$20),Setup!$C$39:$C$50))&lt;=Setup!$C$16))),WORKDAY(B430,-(Setup!$C$13+Setup!$G$20+Setup!$C$14),Setup!$C$39:$C$50),WORKDAY(B430,-(Setup!$C$13+Setup!$G$20),Setup!$C$39:$C$50))+(425*100+1)/10000000)))</f>
        <v/>
      </c>
      <c r="S430" t="str">
        <f>IF(C430="","",IF(C430&lt;Setup!$C$5-Setup!$C$6,"",IF(IF(ISNUMBER(Roster!$D430),Setup!$C$21&lt;=Roster!$D430,FALSE),"",IF(OR(IF(Setup!$C$15&lt;=Setup!$C$16,AND(MONTH(C430)&gt;=Setup!$C$15,MONTH(C430)&lt;=Setup!$C$16),OR(MONTH(C430)&gt;=Setup!$C$15,MONTH(C430)&lt;=Setup!$C$16)),IF(Setup!$C$15&lt;=Setup!$C$16,AND(MONTH(WORKDAY(C430,-(Setup!$C$13+Setup!$G$21),Setup!$C$39:$C$50))&gt;=Setup!$C$15,MONTH(WORKDAY(C430,-(Setup!$C$13+Setup!$G$21),Setup!$C$39:$C$50))&lt;=Setup!$C$16),OR(MONTH(WORKDAY(C430,-(Setup!$C$13+Setup!$G$21),Setup!$C$39:$C$50))&gt;=Setup!$C$15,MONTH(WORKDAY(C430,-(Setup!$C$13+Setup!$G$21),Setup!$C$39:$C$50))&lt;=Setup!$C$16))),WORKDAY(C430,-(Setup!$C$13+Setup!$G$21+Setup!$C$14),Setup!$C$39:$C$50),WORKDAY(C430,-(Setup!$C$13+Setup!$G$21),Setup!$C$39:$C$50))+(425*100+2)/10000000)))</f>
        <v/>
      </c>
      <c r="T430" t="str">
        <f>IF(D430="","",IF(D430&lt;Setup!$C$5-Setup!$C$6,"",IF(IF(ISNUMBER(Roster!$D430),Setup!$C$22&lt;=Roster!$D430,FALSE),"",IF(OR(IF(Setup!$C$15&lt;=Setup!$C$16,AND(MONTH(D430)&gt;=Setup!$C$15,MONTH(D430)&lt;=Setup!$C$16),OR(MONTH(D430)&gt;=Setup!$C$15,MONTH(D430)&lt;=Setup!$C$16)),IF(Setup!$C$15&lt;=Setup!$C$16,AND(MONTH(WORKDAY(D430,-(Setup!$C$13+Setup!$G$22),Setup!$C$39:$C$50))&gt;=Setup!$C$15,MONTH(WORKDAY(D430,-(Setup!$C$13+Setup!$G$22),Setup!$C$39:$C$50))&lt;=Setup!$C$16),OR(MONTH(WORKDAY(D430,-(Setup!$C$13+Setup!$G$22),Setup!$C$39:$C$50))&gt;=Setup!$C$15,MONTH(WORKDAY(D430,-(Setup!$C$13+Setup!$G$22),Setup!$C$39:$C$50))&lt;=Setup!$C$16))),WORKDAY(D430,-(Setup!$C$13+Setup!$G$22+Setup!$C$14),Setup!$C$39:$C$50),WORKDAY(D430,-(Setup!$C$13+Setup!$G$22),Setup!$C$39:$C$50))+(425*100+3)/10000000)))</f>
        <v/>
      </c>
      <c r="U430" t="str">
        <f>IF(E430="","",IF(E430&lt;Setup!$C$5-Setup!$C$6,"",IF(IF(ISNUMBER(Roster!$D430),Setup!$C$23&lt;=Roster!$D430,FALSE),"",IF(OR(IF(Setup!$C$15&lt;=Setup!$C$16,AND(MONTH(E430)&gt;=Setup!$C$15,MONTH(E430)&lt;=Setup!$C$16),OR(MONTH(E430)&gt;=Setup!$C$15,MONTH(E430)&lt;=Setup!$C$16)),IF(Setup!$C$15&lt;=Setup!$C$16,AND(MONTH(WORKDAY(E430,-(Setup!$C$13+Setup!$G$23),Setup!$C$39:$C$50))&gt;=Setup!$C$15,MONTH(WORKDAY(E430,-(Setup!$C$13+Setup!$G$23),Setup!$C$39:$C$50))&lt;=Setup!$C$16),OR(MONTH(WORKDAY(E430,-(Setup!$C$13+Setup!$G$23),Setup!$C$39:$C$50))&gt;=Setup!$C$15,MONTH(WORKDAY(E430,-(Setup!$C$13+Setup!$G$23),Setup!$C$39:$C$50))&lt;=Setup!$C$16))),WORKDAY(E430,-(Setup!$C$13+Setup!$G$23+Setup!$C$14),Setup!$C$39:$C$50),WORKDAY(E430,-(Setup!$C$13+Setup!$G$23),Setup!$C$39:$C$50))+(425*100+4)/10000000)))</f>
        <v/>
      </c>
      <c r="V430" t="str">
        <f>IF(F430="","",IF(F430&lt;Setup!$C$5-Setup!$C$6,"",IF(IF(ISNUMBER(Roster!$D430),Setup!$C$24&lt;=Roster!$D430,FALSE),"",IF(OR(IF(Setup!$C$15&lt;=Setup!$C$16,AND(MONTH(F430)&gt;=Setup!$C$15,MONTH(F430)&lt;=Setup!$C$16),OR(MONTH(F430)&gt;=Setup!$C$15,MONTH(F430)&lt;=Setup!$C$16)),IF(Setup!$C$15&lt;=Setup!$C$16,AND(MONTH(WORKDAY(F430,-(Setup!$C$13+Setup!$G$24),Setup!$C$39:$C$50))&gt;=Setup!$C$15,MONTH(WORKDAY(F430,-(Setup!$C$13+Setup!$G$24),Setup!$C$39:$C$50))&lt;=Setup!$C$16),OR(MONTH(WORKDAY(F430,-(Setup!$C$13+Setup!$G$24),Setup!$C$39:$C$50))&gt;=Setup!$C$15,MONTH(WORKDAY(F430,-(Setup!$C$13+Setup!$G$24),Setup!$C$39:$C$50))&lt;=Setup!$C$16))),WORKDAY(F430,-(Setup!$C$13+Setup!$G$24+Setup!$C$14),Setup!$C$39:$C$50),WORKDAY(F430,-(Setup!$C$13+Setup!$G$24),Setup!$C$39:$C$50))+(425*100+5)/10000000)))</f>
        <v/>
      </c>
      <c r="W430" t="str">
        <f>IF(G430="","",IF(G430&lt;Setup!$C$5-Setup!$C$6,"",IF(IF(ISNUMBER(Roster!$D430),Setup!$C$25&lt;=Roster!$D430,FALSE),"",IF(OR(IF(Setup!$C$15&lt;=Setup!$C$16,AND(MONTH(G430)&gt;=Setup!$C$15,MONTH(G430)&lt;=Setup!$C$16),OR(MONTH(G430)&gt;=Setup!$C$15,MONTH(G430)&lt;=Setup!$C$16)),IF(Setup!$C$15&lt;=Setup!$C$16,AND(MONTH(WORKDAY(G430,-(Setup!$C$13+Setup!$G$25),Setup!$C$39:$C$50))&gt;=Setup!$C$15,MONTH(WORKDAY(G430,-(Setup!$C$13+Setup!$G$25),Setup!$C$39:$C$50))&lt;=Setup!$C$16),OR(MONTH(WORKDAY(G430,-(Setup!$C$13+Setup!$G$25),Setup!$C$39:$C$50))&gt;=Setup!$C$15,MONTH(WORKDAY(G430,-(Setup!$C$13+Setup!$G$25),Setup!$C$39:$C$50))&lt;=Setup!$C$16))),WORKDAY(G430,-(Setup!$C$13+Setup!$G$25+Setup!$C$14),Setup!$C$39:$C$50),WORKDAY(G430,-(Setup!$C$13+Setup!$G$25),Setup!$C$39:$C$50))+(425*100+6)/10000000)))</f>
        <v/>
      </c>
      <c r="X430" t="str">
        <f>IF(H430="","",IF(H430&lt;Setup!$C$5-Setup!$C$6,"",IF(IF(ISNUMBER(Roster!$D430),Setup!$C$26&lt;=Roster!$D430,FALSE),"",IF(OR(IF(Setup!$C$15&lt;=Setup!$C$16,AND(MONTH(H430)&gt;=Setup!$C$15,MONTH(H430)&lt;=Setup!$C$16),OR(MONTH(H430)&gt;=Setup!$C$15,MONTH(H430)&lt;=Setup!$C$16)),IF(Setup!$C$15&lt;=Setup!$C$16,AND(MONTH(WORKDAY(H430,-(Setup!$C$13+Setup!$G$26),Setup!$C$39:$C$50))&gt;=Setup!$C$15,MONTH(WORKDAY(H430,-(Setup!$C$13+Setup!$G$26),Setup!$C$39:$C$50))&lt;=Setup!$C$16),OR(MONTH(WORKDAY(H430,-(Setup!$C$13+Setup!$G$26),Setup!$C$39:$C$50))&gt;=Setup!$C$15,MONTH(WORKDAY(H430,-(Setup!$C$13+Setup!$G$26),Setup!$C$39:$C$50))&lt;=Setup!$C$16))),WORKDAY(H430,-(Setup!$C$13+Setup!$G$26+Setup!$C$14),Setup!$C$39:$C$50),WORKDAY(H430,-(Setup!$C$13+Setup!$G$26),Setup!$C$39:$C$50))+(425*100+7)/10000000)))</f>
        <v/>
      </c>
      <c r="Y430" t="str">
        <f>IF(I430="","",IF(I430&lt;Setup!$C$5-Setup!$C$6,"",IF(IF(ISNUMBER(Roster!$D430),Setup!$C$27&lt;=Roster!$D430,FALSE),"",IF(OR(IF(Setup!$C$15&lt;=Setup!$C$16,AND(MONTH(I430)&gt;=Setup!$C$15,MONTH(I430)&lt;=Setup!$C$16),OR(MONTH(I430)&gt;=Setup!$C$15,MONTH(I430)&lt;=Setup!$C$16)),IF(Setup!$C$15&lt;=Setup!$C$16,AND(MONTH(WORKDAY(I430,-(Setup!$C$13+Setup!$G$27),Setup!$C$39:$C$50))&gt;=Setup!$C$15,MONTH(WORKDAY(I430,-(Setup!$C$13+Setup!$G$27),Setup!$C$39:$C$50))&lt;=Setup!$C$16),OR(MONTH(WORKDAY(I430,-(Setup!$C$13+Setup!$G$27),Setup!$C$39:$C$50))&gt;=Setup!$C$15,MONTH(WORKDAY(I430,-(Setup!$C$13+Setup!$G$27),Setup!$C$39:$C$50))&lt;=Setup!$C$16))),WORKDAY(I430,-(Setup!$C$13+Setup!$G$27+Setup!$C$14),Setup!$C$39:$C$50),WORKDAY(I430,-(Setup!$C$13+Setup!$G$27),Setup!$C$39:$C$50))+(425*100+8)/10000000)))</f>
        <v/>
      </c>
      <c r="Z430" t="str">
        <f>IF(J430="","",IF(J430&lt;Setup!$C$5-Setup!$C$6,"",IF(IF(ISNUMBER(Roster!$D430),Setup!$C$28&lt;=Roster!$D430,FALSE),"",IF(OR(IF(Setup!$C$15&lt;=Setup!$C$16,AND(MONTH(J430)&gt;=Setup!$C$15,MONTH(J430)&lt;=Setup!$C$16),OR(MONTH(J430)&gt;=Setup!$C$15,MONTH(J430)&lt;=Setup!$C$16)),IF(Setup!$C$15&lt;=Setup!$C$16,AND(MONTH(WORKDAY(J430,-(Setup!$C$13+Setup!$G$28),Setup!$C$39:$C$50))&gt;=Setup!$C$15,MONTH(WORKDAY(J430,-(Setup!$C$13+Setup!$G$28),Setup!$C$39:$C$50))&lt;=Setup!$C$16),OR(MONTH(WORKDAY(J430,-(Setup!$C$13+Setup!$G$28),Setup!$C$39:$C$50))&gt;=Setup!$C$15,MONTH(WORKDAY(J430,-(Setup!$C$13+Setup!$G$28),Setup!$C$39:$C$50))&lt;=Setup!$C$16))),WORKDAY(J430,-(Setup!$C$13+Setup!$G$28+Setup!$C$14),Setup!$C$39:$C$50),WORKDAY(J430,-(Setup!$C$13+Setup!$G$28),Setup!$C$39:$C$50))+(425*100+9)/10000000)))</f>
        <v/>
      </c>
      <c r="AA430" t="str">
        <f>IF(K430="","",IF(K430&lt;Setup!$C$5-Setup!$C$6,"",IF(IF(ISNUMBER(Roster!$D430),Setup!$C$29&lt;=Roster!$D430,FALSE),"",IF(OR(IF(Setup!$C$15&lt;=Setup!$C$16,AND(MONTH(K430)&gt;=Setup!$C$15,MONTH(K430)&lt;=Setup!$C$16),OR(MONTH(K430)&gt;=Setup!$C$15,MONTH(K430)&lt;=Setup!$C$16)),IF(Setup!$C$15&lt;=Setup!$C$16,AND(MONTH(WORKDAY(K430,-(Setup!$C$13+Setup!$G$29),Setup!$C$39:$C$50))&gt;=Setup!$C$15,MONTH(WORKDAY(K430,-(Setup!$C$13+Setup!$G$29),Setup!$C$39:$C$50))&lt;=Setup!$C$16),OR(MONTH(WORKDAY(K430,-(Setup!$C$13+Setup!$G$29),Setup!$C$39:$C$50))&gt;=Setup!$C$15,MONTH(WORKDAY(K430,-(Setup!$C$13+Setup!$G$29),Setup!$C$39:$C$50))&lt;=Setup!$C$16))),WORKDAY(K430,-(Setup!$C$13+Setup!$G$29+Setup!$C$14),Setup!$C$39:$C$50),WORKDAY(K430,-(Setup!$C$13+Setup!$G$29),Setup!$C$39:$C$50))+(425*100+10)/10000000)))</f>
        <v/>
      </c>
      <c r="AB430" t="str">
        <f>IF(L430="","",IF(L430&lt;Setup!$C$5-Setup!$C$6,"",IF(IF(ISNUMBER(Roster!$D430),Setup!$C$30&lt;=Roster!$D430,FALSE),"",IF(OR(IF(Setup!$C$15&lt;=Setup!$C$16,AND(MONTH(L430)&gt;=Setup!$C$15,MONTH(L430)&lt;=Setup!$C$16),OR(MONTH(L430)&gt;=Setup!$C$15,MONTH(L430)&lt;=Setup!$C$16)),IF(Setup!$C$15&lt;=Setup!$C$16,AND(MONTH(WORKDAY(L430,-(Setup!$C$13+Setup!$G$30),Setup!$C$39:$C$50))&gt;=Setup!$C$15,MONTH(WORKDAY(L430,-(Setup!$C$13+Setup!$G$30),Setup!$C$39:$C$50))&lt;=Setup!$C$16),OR(MONTH(WORKDAY(L430,-(Setup!$C$13+Setup!$G$30),Setup!$C$39:$C$50))&gt;=Setup!$C$15,MONTH(WORKDAY(L430,-(Setup!$C$13+Setup!$G$30),Setup!$C$39:$C$50))&lt;=Setup!$C$16))),WORKDAY(L430,-(Setup!$C$13+Setup!$G$30+Setup!$C$14),Setup!$C$39:$C$50),WORKDAY(L430,-(Setup!$C$13+Setup!$G$30),Setup!$C$39:$C$50))+(425*100+11)/10000000)))</f>
        <v/>
      </c>
      <c r="AC430" t="str">
        <f>IF(M430="","",IF(M430&lt;Setup!$C$5-Setup!$C$6,"",IF(IF(ISNUMBER(Roster!$D430),Setup!$C$31&lt;=Roster!$D430,FALSE),"",IF(OR(IF(Setup!$C$15&lt;=Setup!$C$16,AND(MONTH(M430)&gt;=Setup!$C$15,MONTH(M430)&lt;=Setup!$C$16),OR(MONTH(M430)&gt;=Setup!$C$15,MONTH(M430)&lt;=Setup!$C$16)),IF(Setup!$C$15&lt;=Setup!$C$16,AND(MONTH(WORKDAY(M430,-(Setup!$C$13+Setup!$G$31),Setup!$C$39:$C$50))&gt;=Setup!$C$15,MONTH(WORKDAY(M430,-(Setup!$C$13+Setup!$G$31),Setup!$C$39:$C$50))&lt;=Setup!$C$16),OR(MONTH(WORKDAY(M430,-(Setup!$C$13+Setup!$G$31),Setup!$C$39:$C$50))&gt;=Setup!$C$15,MONTH(WORKDAY(M430,-(Setup!$C$13+Setup!$G$31),Setup!$C$39:$C$50))&lt;=Setup!$C$16))),WORKDAY(M430,-(Setup!$C$13+Setup!$G$31+Setup!$C$14),Setup!$C$39:$C$50),WORKDAY(M430,-(Setup!$C$13+Setup!$G$31),Setup!$C$39:$C$50))+(425*100+12)/10000000)))</f>
        <v/>
      </c>
      <c r="AD430" t="str">
        <f>IF(N430="","",IF(N430&lt;Setup!$C$5-Setup!$C$6,"",IF(IF(ISNUMBER(Roster!$D430),Setup!$C$32&lt;=Roster!$D430,FALSE),"",IF(OR(IF(Setup!$C$15&lt;=Setup!$C$16,AND(MONTH(N430)&gt;=Setup!$C$15,MONTH(N430)&lt;=Setup!$C$16),OR(MONTH(N430)&gt;=Setup!$C$15,MONTH(N430)&lt;=Setup!$C$16)),IF(Setup!$C$15&lt;=Setup!$C$16,AND(MONTH(WORKDAY(N430,-(Setup!$C$13+Setup!$G$32),Setup!$C$39:$C$50))&gt;=Setup!$C$15,MONTH(WORKDAY(N430,-(Setup!$C$13+Setup!$G$32),Setup!$C$39:$C$50))&lt;=Setup!$C$16),OR(MONTH(WORKDAY(N430,-(Setup!$C$13+Setup!$G$32),Setup!$C$39:$C$50))&gt;=Setup!$C$15,MONTH(WORKDAY(N430,-(Setup!$C$13+Setup!$G$32),Setup!$C$39:$C$50))&lt;=Setup!$C$16))),WORKDAY(N430,-(Setup!$C$13+Setup!$G$32+Setup!$C$14),Setup!$C$39:$C$50),WORKDAY(N430,-(Setup!$C$13+Setup!$G$32),Setup!$C$39:$C$50))+(425*100+13)/10000000)))</f>
        <v/>
      </c>
      <c r="AE430" t="str">
        <f>IF(O430="","",IF(O430&lt;Setup!$C$5-Setup!$C$6,"",IF(IF(ISNUMBER(Roster!$D430),Setup!$C$33&lt;=Roster!$D430,FALSE),"",IF(OR(IF(Setup!$C$15&lt;=Setup!$C$16,AND(MONTH(O430)&gt;=Setup!$C$15,MONTH(O430)&lt;=Setup!$C$16),OR(MONTH(O430)&gt;=Setup!$C$15,MONTH(O430)&lt;=Setup!$C$16)),IF(Setup!$C$15&lt;=Setup!$C$16,AND(MONTH(WORKDAY(O430,-(Setup!$C$13+Setup!$G$33),Setup!$C$39:$C$50))&gt;=Setup!$C$15,MONTH(WORKDAY(O430,-(Setup!$C$13+Setup!$G$33),Setup!$C$39:$C$50))&lt;=Setup!$C$16),OR(MONTH(WORKDAY(O430,-(Setup!$C$13+Setup!$G$33),Setup!$C$39:$C$50))&gt;=Setup!$C$15,MONTH(WORKDAY(O430,-(Setup!$C$13+Setup!$G$33),Setup!$C$39:$C$50))&lt;=Setup!$C$16))),WORKDAY(O430,-(Setup!$C$13+Setup!$G$33+Setup!$C$14),Setup!$C$39:$C$50),WORKDAY(O430,-(Setup!$C$13+Setup!$G$33),Setup!$C$39:$C$50))+(425*100+14)/10000000)))</f>
        <v/>
      </c>
      <c r="AF430" t="str">
        <f>IF(P430="","",IF(P430&lt;Setup!$C$5-Setup!$C$6,"",IF(IF(ISNUMBER(Roster!$D430),Setup!$C$34&lt;=Roster!$D430,FALSE),"",IF(OR(IF(Setup!$C$15&lt;=Setup!$C$16,AND(MONTH(P430)&gt;=Setup!$C$15,MONTH(P430)&lt;=Setup!$C$16),OR(MONTH(P430)&gt;=Setup!$C$15,MONTH(P430)&lt;=Setup!$C$16)),IF(Setup!$C$15&lt;=Setup!$C$16,AND(MONTH(WORKDAY(P430,-(Setup!$C$13+Setup!$G$34),Setup!$C$39:$C$50))&gt;=Setup!$C$15,MONTH(WORKDAY(P430,-(Setup!$C$13+Setup!$G$34),Setup!$C$39:$C$50))&lt;=Setup!$C$16),OR(MONTH(WORKDAY(P430,-(Setup!$C$13+Setup!$G$34),Setup!$C$39:$C$50))&gt;=Setup!$C$15,MONTH(WORKDAY(P430,-(Setup!$C$13+Setup!$G$34),Setup!$C$39:$C$50))&lt;=Setup!$C$16))),WORKDAY(P430,-(Setup!$C$13+Setup!$G$34+Setup!$C$14),Setup!$C$39:$C$50),WORKDAY(P430,-(Setup!$C$13+Setup!$G$34),Setup!$C$39:$C$50))+(425*100+15)/10000000)))</f>
        <v/>
      </c>
      <c r="AH430" t="str">
        <f t="shared" si="46"/>
        <v/>
      </c>
      <c r="AI430" t="str">
        <f t="shared" si="47"/>
        <v/>
      </c>
      <c r="AP430" t="str">
        <f>IF(ISNUMBER(Roster!$B430),MAX(1,YEAR(Setup!$C$5)-YEAR(Roster!$B430)+IF(EDATE(Roster!$B430,12*(YEAR(Setup!$C$5)-YEAR(Roster!$B430)))&lt;Setup!$C$5,1,0)),"")</f>
        <v/>
      </c>
      <c r="AQ430" s="32" t="str">
        <f>IF(AP430="","",EDATE(Roster!$B430,12*AP430))</f>
        <v/>
      </c>
      <c r="AR430" t="str">
        <f>IF(AQ430="","",IF(AQ430&lt;DATE(YEAR(Setup!$C$5)+1,MONTH(Setup!$C$5),DAY(Setup!$C$5)),AQ430+425/1000,""))</f>
        <v/>
      </c>
      <c r="AS430" t="str">
        <f t="shared" si="48"/>
        <v/>
      </c>
      <c r="AT430" t="str">
        <f>IF(AS430="","",IF(ISNUMBER(Roster!$D430),Roster!$D430&gt;=AP430,FALSE))</f>
        <v/>
      </c>
      <c r="AU430" t="str">
        <f t="shared" si="49"/>
        <v/>
      </c>
      <c r="AV430" t="str">
        <f ca="1">IF(425&gt;$AV$2,"",SMALL($AR$6:$AR$505,425))</f>
        <v/>
      </c>
      <c r="AW430" t="str">
        <f t="shared" ca="1" si="50"/>
        <v/>
      </c>
    </row>
    <row r="431" spans="2:49" x14ac:dyDescent="0.2">
      <c r="B431" s="32" t="str">
        <f>IF(AND(ISNUMBER(Roster!$B431),Setup!$B$20="Yes",ISNUMBER(Setup!$C$20)),EDATE(Roster!$B431,12*Setup!$C$20),"")</f>
        <v/>
      </c>
      <c r="C431" s="32" t="str">
        <f>IF(AND(ISNUMBER(Roster!$B431),Setup!$B$21="Yes",ISNUMBER(Setup!$C$21)),EDATE(Roster!$B431,12*Setup!$C$21),"")</f>
        <v/>
      </c>
      <c r="D431" s="32" t="str">
        <f>IF(AND(ISNUMBER(Roster!$B431),Setup!$B$22="Yes",ISNUMBER(Setup!$C$22)),EDATE(Roster!$B431,12*Setup!$C$22),"")</f>
        <v/>
      </c>
      <c r="E431" s="32" t="str">
        <f>IF(AND(ISNUMBER(Roster!$B431),Setup!$B$23="Yes",ISNUMBER(Setup!$C$23)),EDATE(Roster!$B431,12*Setup!$C$23),"")</f>
        <v/>
      </c>
      <c r="F431" s="32" t="str">
        <f>IF(AND(ISNUMBER(Roster!$B431),Setup!$B$24="Yes",ISNUMBER(Setup!$C$24)),EDATE(Roster!$B431,12*Setup!$C$24),"")</f>
        <v/>
      </c>
      <c r="G431" s="32" t="str">
        <f>IF(AND(ISNUMBER(Roster!$B431),Setup!$B$25="Yes",ISNUMBER(Setup!$C$25)),EDATE(Roster!$B431,12*Setup!$C$25),"")</f>
        <v/>
      </c>
      <c r="H431" s="32" t="str">
        <f>IF(AND(ISNUMBER(Roster!$B431),Setup!$B$26="Yes",ISNUMBER(Setup!$C$26)),EDATE(Roster!$B431,12*Setup!$C$26),"")</f>
        <v/>
      </c>
      <c r="I431" s="32" t="str">
        <f>IF(AND(ISNUMBER(Roster!$B431),Setup!$B$27="Yes",ISNUMBER(Setup!$C$27)),EDATE(Roster!$B431,12*Setup!$C$27),"")</f>
        <v/>
      </c>
      <c r="J431" s="32" t="str">
        <f>IF(AND(ISNUMBER(Roster!$B431),Setup!$B$28="Yes",ISNUMBER(Setup!$C$28)),EDATE(Roster!$B431,12*Setup!$C$28),"")</f>
        <v/>
      </c>
      <c r="K431" s="32" t="str">
        <f>IF(AND(ISNUMBER(Roster!$B431),Setup!$B$29="Yes",ISNUMBER(Setup!$C$29)),EDATE(Roster!$B431,12*Setup!$C$29),"")</f>
        <v/>
      </c>
      <c r="L431" s="32" t="str">
        <f>IF(AND(ISNUMBER(Roster!$B431),Setup!$B$30="Yes",ISNUMBER(Setup!$C$30)),EDATE(Roster!$B431,12*Setup!$C$30),"")</f>
        <v/>
      </c>
      <c r="M431" s="32" t="str">
        <f>IF(AND(ISNUMBER(Roster!$B431),Setup!$B$31="Yes",ISNUMBER(Setup!$C$31)),EDATE(Roster!$B431,12*Setup!$C$31),"")</f>
        <v/>
      </c>
      <c r="N431" s="32" t="str">
        <f>IF(AND(ISNUMBER(Roster!$B431),Setup!$B$32="Yes",ISNUMBER(Setup!$C$32)),EDATE(Roster!$B431,12*Setup!$C$32),"")</f>
        <v/>
      </c>
      <c r="O431" s="32" t="str">
        <f>IF(AND(ISNUMBER(Roster!$B431),Setup!$B$33="Yes",ISNUMBER(Setup!$C$33)),EDATE(Roster!$B431,12*Setup!$C$33),"")</f>
        <v/>
      </c>
      <c r="P431" s="32" t="str">
        <f>IF(AND(ISNUMBER(Roster!$B431),Setup!$B$34="Yes",ISNUMBER(Setup!$C$34)),EDATE(Roster!$B431,12*Setup!$C$34),"")</f>
        <v/>
      </c>
      <c r="R431" t="str">
        <f>IF(B431="","",IF(B431&lt;Setup!$C$5-Setup!$C$6,"",IF(IF(ISNUMBER(Roster!$D431),Setup!$C$20&lt;=Roster!$D431,FALSE),"",IF(OR(IF(Setup!$C$15&lt;=Setup!$C$16,AND(MONTH(B431)&gt;=Setup!$C$15,MONTH(B431)&lt;=Setup!$C$16),OR(MONTH(B431)&gt;=Setup!$C$15,MONTH(B431)&lt;=Setup!$C$16)),IF(Setup!$C$15&lt;=Setup!$C$16,AND(MONTH(WORKDAY(B431,-(Setup!$C$13+Setup!$G$20),Setup!$C$39:$C$50))&gt;=Setup!$C$15,MONTH(WORKDAY(B431,-(Setup!$C$13+Setup!$G$20),Setup!$C$39:$C$50))&lt;=Setup!$C$16),OR(MONTH(WORKDAY(B431,-(Setup!$C$13+Setup!$G$20),Setup!$C$39:$C$50))&gt;=Setup!$C$15,MONTH(WORKDAY(B431,-(Setup!$C$13+Setup!$G$20),Setup!$C$39:$C$50))&lt;=Setup!$C$16))),WORKDAY(B431,-(Setup!$C$13+Setup!$G$20+Setup!$C$14),Setup!$C$39:$C$50),WORKDAY(B431,-(Setup!$C$13+Setup!$G$20),Setup!$C$39:$C$50))+(426*100+1)/10000000)))</f>
        <v/>
      </c>
      <c r="S431" t="str">
        <f>IF(C431="","",IF(C431&lt;Setup!$C$5-Setup!$C$6,"",IF(IF(ISNUMBER(Roster!$D431),Setup!$C$21&lt;=Roster!$D431,FALSE),"",IF(OR(IF(Setup!$C$15&lt;=Setup!$C$16,AND(MONTH(C431)&gt;=Setup!$C$15,MONTH(C431)&lt;=Setup!$C$16),OR(MONTH(C431)&gt;=Setup!$C$15,MONTH(C431)&lt;=Setup!$C$16)),IF(Setup!$C$15&lt;=Setup!$C$16,AND(MONTH(WORKDAY(C431,-(Setup!$C$13+Setup!$G$21),Setup!$C$39:$C$50))&gt;=Setup!$C$15,MONTH(WORKDAY(C431,-(Setup!$C$13+Setup!$G$21),Setup!$C$39:$C$50))&lt;=Setup!$C$16),OR(MONTH(WORKDAY(C431,-(Setup!$C$13+Setup!$G$21),Setup!$C$39:$C$50))&gt;=Setup!$C$15,MONTH(WORKDAY(C431,-(Setup!$C$13+Setup!$G$21),Setup!$C$39:$C$50))&lt;=Setup!$C$16))),WORKDAY(C431,-(Setup!$C$13+Setup!$G$21+Setup!$C$14),Setup!$C$39:$C$50),WORKDAY(C431,-(Setup!$C$13+Setup!$G$21),Setup!$C$39:$C$50))+(426*100+2)/10000000)))</f>
        <v/>
      </c>
      <c r="T431" t="str">
        <f>IF(D431="","",IF(D431&lt;Setup!$C$5-Setup!$C$6,"",IF(IF(ISNUMBER(Roster!$D431),Setup!$C$22&lt;=Roster!$D431,FALSE),"",IF(OR(IF(Setup!$C$15&lt;=Setup!$C$16,AND(MONTH(D431)&gt;=Setup!$C$15,MONTH(D431)&lt;=Setup!$C$16),OR(MONTH(D431)&gt;=Setup!$C$15,MONTH(D431)&lt;=Setup!$C$16)),IF(Setup!$C$15&lt;=Setup!$C$16,AND(MONTH(WORKDAY(D431,-(Setup!$C$13+Setup!$G$22),Setup!$C$39:$C$50))&gt;=Setup!$C$15,MONTH(WORKDAY(D431,-(Setup!$C$13+Setup!$G$22),Setup!$C$39:$C$50))&lt;=Setup!$C$16),OR(MONTH(WORKDAY(D431,-(Setup!$C$13+Setup!$G$22),Setup!$C$39:$C$50))&gt;=Setup!$C$15,MONTH(WORKDAY(D431,-(Setup!$C$13+Setup!$G$22),Setup!$C$39:$C$50))&lt;=Setup!$C$16))),WORKDAY(D431,-(Setup!$C$13+Setup!$G$22+Setup!$C$14),Setup!$C$39:$C$50),WORKDAY(D431,-(Setup!$C$13+Setup!$G$22),Setup!$C$39:$C$50))+(426*100+3)/10000000)))</f>
        <v/>
      </c>
      <c r="U431" t="str">
        <f>IF(E431="","",IF(E431&lt;Setup!$C$5-Setup!$C$6,"",IF(IF(ISNUMBER(Roster!$D431),Setup!$C$23&lt;=Roster!$D431,FALSE),"",IF(OR(IF(Setup!$C$15&lt;=Setup!$C$16,AND(MONTH(E431)&gt;=Setup!$C$15,MONTH(E431)&lt;=Setup!$C$16),OR(MONTH(E431)&gt;=Setup!$C$15,MONTH(E431)&lt;=Setup!$C$16)),IF(Setup!$C$15&lt;=Setup!$C$16,AND(MONTH(WORKDAY(E431,-(Setup!$C$13+Setup!$G$23),Setup!$C$39:$C$50))&gt;=Setup!$C$15,MONTH(WORKDAY(E431,-(Setup!$C$13+Setup!$G$23),Setup!$C$39:$C$50))&lt;=Setup!$C$16),OR(MONTH(WORKDAY(E431,-(Setup!$C$13+Setup!$G$23),Setup!$C$39:$C$50))&gt;=Setup!$C$15,MONTH(WORKDAY(E431,-(Setup!$C$13+Setup!$G$23),Setup!$C$39:$C$50))&lt;=Setup!$C$16))),WORKDAY(E431,-(Setup!$C$13+Setup!$G$23+Setup!$C$14),Setup!$C$39:$C$50),WORKDAY(E431,-(Setup!$C$13+Setup!$G$23),Setup!$C$39:$C$50))+(426*100+4)/10000000)))</f>
        <v/>
      </c>
      <c r="V431" t="str">
        <f>IF(F431="","",IF(F431&lt;Setup!$C$5-Setup!$C$6,"",IF(IF(ISNUMBER(Roster!$D431),Setup!$C$24&lt;=Roster!$D431,FALSE),"",IF(OR(IF(Setup!$C$15&lt;=Setup!$C$16,AND(MONTH(F431)&gt;=Setup!$C$15,MONTH(F431)&lt;=Setup!$C$16),OR(MONTH(F431)&gt;=Setup!$C$15,MONTH(F431)&lt;=Setup!$C$16)),IF(Setup!$C$15&lt;=Setup!$C$16,AND(MONTH(WORKDAY(F431,-(Setup!$C$13+Setup!$G$24),Setup!$C$39:$C$50))&gt;=Setup!$C$15,MONTH(WORKDAY(F431,-(Setup!$C$13+Setup!$G$24),Setup!$C$39:$C$50))&lt;=Setup!$C$16),OR(MONTH(WORKDAY(F431,-(Setup!$C$13+Setup!$G$24),Setup!$C$39:$C$50))&gt;=Setup!$C$15,MONTH(WORKDAY(F431,-(Setup!$C$13+Setup!$G$24),Setup!$C$39:$C$50))&lt;=Setup!$C$16))),WORKDAY(F431,-(Setup!$C$13+Setup!$G$24+Setup!$C$14),Setup!$C$39:$C$50),WORKDAY(F431,-(Setup!$C$13+Setup!$G$24),Setup!$C$39:$C$50))+(426*100+5)/10000000)))</f>
        <v/>
      </c>
      <c r="W431" t="str">
        <f>IF(G431="","",IF(G431&lt;Setup!$C$5-Setup!$C$6,"",IF(IF(ISNUMBER(Roster!$D431),Setup!$C$25&lt;=Roster!$D431,FALSE),"",IF(OR(IF(Setup!$C$15&lt;=Setup!$C$16,AND(MONTH(G431)&gt;=Setup!$C$15,MONTH(G431)&lt;=Setup!$C$16),OR(MONTH(G431)&gt;=Setup!$C$15,MONTH(G431)&lt;=Setup!$C$16)),IF(Setup!$C$15&lt;=Setup!$C$16,AND(MONTH(WORKDAY(G431,-(Setup!$C$13+Setup!$G$25),Setup!$C$39:$C$50))&gt;=Setup!$C$15,MONTH(WORKDAY(G431,-(Setup!$C$13+Setup!$G$25),Setup!$C$39:$C$50))&lt;=Setup!$C$16),OR(MONTH(WORKDAY(G431,-(Setup!$C$13+Setup!$G$25),Setup!$C$39:$C$50))&gt;=Setup!$C$15,MONTH(WORKDAY(G431,-(Setup!$C$13+Setup!$G$25),Setup!$C$39:$C$50))&lt;=Setup!$C$16))),WORKDAY(G431,-(Setup!$C$13+Setup!$G$25+Setup!$C$14),Setup!$C$39:$C$50),WORKDAY(G431,-(Setup!$C$13+Setup!$G$25),Setup!$C$39:$C$50))+(426*100+6)/10000000)))</f>
        <v/>
      </c>
      <c r="X431" t="str">
        <f>IF(H431="","",IF(H431&lt;Setup!$C$5-Setup!$C$6,"",IF(IF(ISNUMBER(Roster!$D431),Setup!$C$26&lt;=Roster!$D431,FALSE),"",IF(OR(IF(Setup!$C$15&lt;=Setup!$C$16,AND(MONTH(H431)&gt;=Setup!$C$15,MONTH(H431)&lt;=Setup!$C$16),OR(MONTH(H431)&gt;=Setup!$C$15,MONTH(H431)&lt;=Setup!$C$16)),IF(Setup!$C$15&lt;=Setup!$C$16,AND(MONTH(WORKDAY(H431,-(Setup!$C$13+Setup!$G$26),Setup!$C$39:$C$50))&gt;=Setup!$C$15,MONTH(WORKDAY(H431,-(Setup!$C$13+Setup!$G$26),Setup!$C$39:$C$50))&lt;=Setup!$C$16),OR(MONTH(WORKDAY(H431,-(Setup!$C$13+Setup!$G$26),Setup!$C$39:$C$50))&gt;=Setup!$C$15,MONTH(WORKDAY(H431,-(Setup!$C$13+Setup!$G$26),Setup!$C$39:$C$50))&lt;=Setup!$C$16))),WORKDAY(H431,-(Setup!$C$13+Setup!$G$26+Setup!$C$14),Setup!$C$39:$C$50),WORKDAY(H431,-(Setup!$C$13+Setup!$G$26),Setup!$C$39:$C$50))+(426*100+7)/10000000)))</f>
        <v/>
      </c>
      <c r="Y431" t="str">
        <f>IF(I431="","",IF(I431&lt;Setup!$C$5-Setup!$C$6,"",IF(IF(ISNUMBER(Roster!$D431),Setup!$C$27&lt;=Roster!$D431,FALSE),"",IF(OR(IF(Setup!$C$15&lt;=Setup!$C$16,AND(MONTH(I431)&gt;=Setup!$C$15,MONTH(I431)&lt;=Setup!$C$16),OR(MONTH(I431)&gt;=Setup!$C$15,MONTH(I431)&lt;=Setup!$C$16)),IF(Setup!$C$15&lt;=Setup!$C$16,AND(MONTH(WORKDAY(I431,-(Setup!$C$13+Setup!$G$27),Setup!$C$39:$C$50))&gt;=Setup!$C$15,MONTH(WORKDAY(I431,-(Setup!$C$13+Setup!$G$27),Setup!$C$39:$C$50))&lt;=Setup!$C$16),OR(MONTH(WORKDAY(I431,-(Setup!$C$13+Setup!$G$27),Setup!$C$39:$C$50))&gt;=Setup!$C$15,MONTH(WORKDAY(I431,-(Setup!$C$13+Setup!$G$27),Setup!$C$39:$C$50))&lt;=Setup!$C$16))),WORKDAY(I431,-(Setup!$C$13+Setup!$G$27+Setup!$C$14),Setup!$C$39:$C$50),WORKDAY(I431,-(Setup!$C$13+Setup!$G$27),Setup!$C$39:$C$50))+(426*100+8)/10000000)))</f>
        <v/>
      </c>
      <c r="Z431" t="str">
        <f>IF(J431="","",IF(J431&lt;Setup!$C$5-Setup!$C$6,"",IF(IF(ISNUMBER(Roster!$D431),Setup!$C$28&lt;=Roster!$D431,FALSE),"",IF(OR(IF(Setup!$C$15&lt;=Setup!$C$16,AND(MONTH(J431)&gt;=Setup!$C$15,MONTH(J431)&lt;=Setup!$C$16),OR(MONTH(J431)&gt;=Setup!$C$15,MONTH(J431)&lt;=Setup!$C$16)),IF(Setup!$C$15&lt;=Setup!$C$16,AND(MONTH(WORKDAY(J431,-(Setup!$C$13+Setup!$G$28),Setup!$C$39:$C$50))&gt;=Setup!$C$15,MONTH(WORKDAY(J431,-(Setup!$C$13+Setup!$G$28),Setup!$C$39:$C$50))&lt;=Setup!$C$16),OR(MONTH(WORKDAY(J431,-(Setup!$C$13+Setup!$G$28),Setup!$C$39:$C$50))&gt;=Setup!$C$15,MONTH(WORKDAY(J431,-(Setup!$C$13+Setup!$G$28),Setup!$C$39:$C$50))&lt;=Setup!$C$16))),WORKDAY(J431,-(Setup!$C$13+Setup!$G$28+Setup!$C$14),Setup!$C$39:$C$50),WORKDAY(J431,-(Setup!$C$13+Setup!$G$28),Setup!$C$39:$C$50))+(426*100+9)/10000000)))</f>
        <v/>
      </c>
      <c r="AA431" t="str">
        <f>IF(K431="","",IF(K431&lt;Setup!$C$5-Setup!$C$6,"",IF(IF(ISNUMBER(Roster!$D431),Setup!$C$29&lt;=Roster!$D431,FALSE),"",IF(OR(IF(Setup!$C$15&lt;=Setup!$C$16,AND(MONTH(K431)&gt;=Setup!$C$15,MONTH(K431)&lt;=Setup!$C$16),OR(MONTH(K431)&gt;=Setup!$C$15,MONTH(K431)&lt;=Setup!$C$16)),IF(Setup!$C$15&lt;=Setup!$C$16,AND(MONTH(WORKDAY(K431,-(Setup!$C$13+Setup!$G$29),Setup!$C$39:$C$50))&gt;=Setup!$C$15,MONTH(WORKDAY(K431,-(Setup!$C$13+Setup!$G$29),Setup!$C$39:$C$50))&lt;=Setup!$C$16),OR(MONTH(WORKDAY(K431,-(Setup!$C$13+Setup!$G$29),Setup!$C$39:$C$50))&gt;=Setup!$C$15,MONTH(WORKDAY(K431,-(Setup!$C$13+Setup!$G$29),Setup!$C$39:$C$50))&lt;=Setup!$C$16))),WORKDAY(K431,-(Setup!$C$13+Setup!$G$29+Setup!$C$14),Setup!$C$39:$C$50),WORKDAY(K431,-(Setup!$C$13+Setup!$G$29),Setup!$C$39:$C$50))+(426*100+10)/10000000)))</f>
        <v/>
      </c>
      <c r="AB431" t="str">
        <f>IF(L431="","",IF(L431&lt;Setup!$C$5-Setup!$C$6,"",IF(IF(ISNUMBER(Roster!$D431),Setup!$C$30&lt;=Roster!$D431,FALSE),"",IF(OR(IF(Setup!$C$15&lt;=Setup!$C$16,AND(MONTH(L431)&gt;=Setup!$C$15,MONTH(L431)&lt;=Setup!$C$16),OR(MONTH(L431)&gt;=Setup!$C$15,MONTH(L431)&lt;=Setup!$C$16)),IF(Setup!$C$15&lt;=Setup!$C$16,AND(MONTH(WORKDAY(L431,-(Setup!$C$13+Setup!$G$30),Setup!$C$39:$C$50))&gt;=Setup!$C$15,MONTH(WORKDAY(L431,-(Setup!$C$13+Setup!$G$30),Setup!$C$39:$C$50))&lt;=Setup!$C$16),OR(MONTH(WORKDAY(L431,-(Setup!$C$13+Setup!$G$30),Setup!$C$39:$C$50))&gt;=Setup!$C$15,MONTH(WORKDAY(L431,-(Setup!$C$13+Setup!$G$30),Setup!$C$39:$C$50))&lt;=Setup!$C$16))),WORKDAY(L431,-(Setup!$C$13+Setup!$G$30+Setup!$C$14),Setup!$C$39:$C$50),WORKDAY(L431,-(Setup!$C$13+Setup!$G$30),Setup!$C$39:$C$50))+(426*100+11)/10000000)))</f>
        <v/>
      </c>
      <c r="AC431" t="str">
        <f>IF(M431="","",IF(M431&lt;Setup!$C$5-Setup!$C$6,"",IF(IF(ISNUMBER(Roster!$D431),Setup!$C$31&lt;=Roster!$D431,FALSE),"",IF(OR(IF(Setup!$C$15&lt;=Setup!$C$16,AND(MONTH(M431)&gt;=Setup!$C$15,MONTH(M431)&lt;=Setup!$C$16),OR(MONTH(M431)&gt;=Setup!$C$15,MONTH(M431)&lt;=Setup!$C$16)),IF(Setup!$C$15&lt;=Setup!$C$16,AND(MONTH(WORKDAY(M431,-(Setup!$C$13+Setup!$G$31),Setup!$C$39:$C$50))&gt;=Setup!$C$15,MONTH(WORKDAY(M431,-(Setup!$C$13+Setup!$G$31),Setup!$C$39:$C$50))&lt;=Setup!$C$16),OR(MONTH(WORKDAY(M431,-(Setup!$C$13+Setup!$G$31),Setup!$C$39:$C$50))&gt;=Setup!$C$15,MONTH(WORKDAY(M431,-(Setup!$C$13+Setup!$G$31),Setup!$C$39:$C$50))&lt;=Setup!$C$16))),WORKDAY(M431,-(Setup!$C$13+Setup!$G$31+Setup!$C$14),Setup!$C$39:$C$50),WORKDAY(M431,-(Setup!$C$13+Setup!$G$31),Setup!$C$39:$C$50))+(426*100+12)/10000000)))</f>
        <v/>
      </c>
      <c r="AD431" t="str">
        <f>IF(N431="","",IF(N431&lt;Setup!$C$5-Setup!$C$6,"",IF(IF(ISNUMBER(Roster!$D431),Setup!$C$32&lt;=Roster!$D431,FALSE),"",IF(OR(IF(Setup!$C$15&lt;=Setup!$C$16,AND(MONTH(N431)&gt;=Setup!$C$15,MONTH(N431)&lt;=Setup!$C$16),OR(MONTH(N431)&gt;=Setup!$C$15,MONTH(N431)&lt;=Setup!$C$16)),IF(Setup!$C$15&lt;=Setup!$C$16,AND(MONTH(WORKDAY(N431,-(Setup!$C$13+Setup!$G$32),Setup!$C$39:$C$50))&gt;=Setup!$C$15,MONTH(WORKDAY(N431,-(Setup!$C$13+Setup!$G$32),Setup!$C$39:$C$50))&lt;=Setup!$C$16),OR(MONTH(WORKDAY(N431,-(Setup!$C$13+Setup!$G$32),Setup!$C$39:$C$50))&gt;=Setup!$C$15,MONTH(WORKDAY(N431,-(Setup!$C$13+Setup!$G$32),Setup!$C$39:$C$50))&lt;=Setup!$C$16))),WORKDAY(N431,-(Setup!$C$13+Setup!$G$32+Setup!$C$14),Setup!$C$39:$C$50),WORKDAY(N431,-(Setup!$C$13+Setup!$G$32),Setup!$C$39:$C$50))+(426*100+13)/10000000)))</f>
        <v/>
      </c>
      <c r="AE431" t="str">
        <f>IF(O431="","",IF(O431&lt;Setup!$C$5-Setup!$C$6,"",IF(IF(ISNUMBER(Roster!$D431),Setup!$C$33&lt;=Roster!$D431,FALSE),"",IF(OR(IF(Setup!$C$15&lt;=Setup!$C$16,AND(MONTH(O431)&gt;=Setup!$C$15,MONTH(O431)&lt;=Setup!$C$16),OR(MONTH(O431)&gt;=Setup!$C$15,MONTH(O431)&lt;=Setup!$C$16)),IF(Setup!$C$15&lt;=Setup!$C$16,AND(MONTH(WORKDAY(O431,-(Setup!$C$13+Setup!$G$33),Setup!$C$39:$C$50))&gt;=Setup!$C$15,MONTH(WORKDAY(O431,-(Setup!$C$13+Setup!$G$33),Setup!$C$39:$C$50))&lt;=Setup!$C$16),OR(MONTH(WORKDAY(O431,-(Setup!$C$13+Setup!$G$33),Setup!$C$39:$C$50))&gt;=Setup!$C$15,MONTH(WORKDAY(O431,-(Setup!$C$13+Setup!$G$33),Setup!$C$39:$C$50))&lt;=Setup!$C$16))),WORKDAY(O431,-(Setup!$C$13+Setup!$G$33+Setup!$C$14),Setup!$C$39:$C$50),WORKDAY(O431,-(Setup!$C$13+Setup!$G$33),Setup!$C$39:$C$50))+(426*100+14)/10000000)))</f>
        <v/>
      </c>
      <c r="AF431" t="str">
        <f>IF(P431="","",IF(P431&lt;Setup!$C$5-Setup!$C$6,"",IF(IF(ISNUMBER(Roster!$D431),Setup!$C$34&lt;=Roster!$D431,FALSE),"",IF(OR(IF(Setup!$C$15&lt;=Setup!$C$16,AND(MONTH(P431)&gt;=Setup!$C$15,MONTH(P431)&lt;=Setup!$C$16),OR(MONTH(P431)&gt;=Setup!$C$15,MONTH(P431)&lt;=Setup!$C$16)),IF(Setup!$C$15&lt;=Setup!$C$16,AND(MONTH(WORKDAY(P431,-(Setup!$C$13+Setup!$G$34),Setup!$C$39:$C$50))&gt;=Setup!$C$15,MONTH(WORKDAY(P431,-(Setup!$C$13+Setup!$G$34),Setup!$C$39:$C$50))&lt;=Setup!$C$16),OR(MONTH(WORKDAY(P431,-(Setup!$C$13+Setup!$G$34),Setup!$C$39:$C$50))&gt;=Setup!$C$15,MONTH(WORKDAY(P431,-(Setup!$C$13+Setup!$G$34),Setup!$C$39:$C$50))&lt;=Setup!$C$16))),WORKDAY(P431,-(Setup!$C$13+Setup!$G$34+Setup!$C$14),Setup!$C$39:$C$50),WORKDAY(P431,-(Setup!$C$13+Setup!$G$34),Setup!$C$39:$C$50))+(426*100+15)/10000000)))</f>
        <v/>
      </c>
      <c r="AH431" t="str">
        <f t="shared" si="46"/>
        <v/>
      </c>
      <c r="AI431" t="str">
        <f t="shared" si="47"/>
        <v/>
      </c>
      <c r="AP431" t="str">
        <f>IF(ISNUMBER(Roster!$B431),MAX(1,YEAR(Setup!$C$5)-YEAR(Roster!$B431)+IF(EDATE(Roster!$B431,12*(YEAR(Setup!$C$5)-YEAR(Roster!$B431)))&lt;Setup!$C$5,1,0)),"")</f>
        <v/>
      </c>
      <c r="AQ431" s="32" t="str">
        <f>IF(AP431="","",EDATE(Roster!$B431,12*AP431))</f>
        <v/>
      </c>
      <c r="AR431" t="str">
        <f>IF(AQ431="","",IF(AQ431&lt;DATE(YEAR(Setup!$C$5)+1,MONTH(Setup!$C$5),DAY(Setup!$C$5)),AQ431+426/1000,""))</f>
        <v/>
      </c>
      <c r="AS431" t="str">
        <f t="shared" si="48"/>
        <v/>
      </c>
      <c r="AT431" t="str">
        <f>IF(AS431="","",IF(ISNUMBER(Roster!$D431),Roster!$D431&gt;=AP431,FALSE))</f>
        <v/>
      </c>
      <c r="AU431" t="str">
        <f t="shared" si="49"/>
        <v/>
      </c>
      <c r="AV431" t="str">
        <f ca="1">IF(426&gt;$AV$2,"",SMALL($AR$6:$AR$505,426))</f>
        <v/>
      </c>
      <c r="AW431" t="str">
        <f t="shared" ca="1" si="50"/>
        <v/>
      </c>
    </row>
    <row r="432" spans="2:49" x14ac:dyDescent="0.2">
      <c r="B432" s="32" t="str">
        <f>IF(AND(ISNUMBER(Roster!$B432),Setup!$B$20="Yes",ISNUMBER(Setup!$C$20)),EDATE(Roster!$B432,12*Setup!$C$20),"")</f>
        <v/>
      </c>
      <c r="C432" s="32" t="str">
        <f>IF(AND(ISNUMBER(Roster!$B432),Setup!$B$21="Yes",ISNUMBER(Setup!$C$21)),EDATE(Roster!$B432,12*Setup!$C$21),"")</f>
        <v/>
      </c>
      <c r="D432" s="32" t="str">
        <f>IF(AND(ISNUMBER(Roster!$B432),Setup!$B$22="Yes",ISNUMBER(Setup!$C$22)),EDATE(Roster!$B432,12*Setup!$C$22),"")</f>
        <v/>
      </c>
      <c r="E432" s="32" t="str">
        <f>IF(AND(ISNUMBER(Roster!$B432),Setup!$B$23="Yes",ISNUMBER(Setup!$C$23)),EDATE(Roster!$B432,12*Setup!$C$23),"")</f>
        <v/>
      </c>
      <c r="F432" s="32" t="str">
        <f>IF(AND(ISNUMBER(Roster!$B432),Setup!$B$24="Yes",ISNUMBER(Setup!$C$24)),EDATE(Roster!$B432,12*Setup!$C$24),"")</f>
        <v/>
      </c>
      <c r="G432" s="32" t="str">
        <f>IF(AND(ISNUMBER(Roster!$B432),Setup!$B$25="Yes",ISNUMBER(Setup!$C$25)),EDATE(Roster!$B432,12*Setup!$C$25),"")</f>
        <v/>
      </c>
      <c r="H432" s="32" t="str">
        <f>IF(AND(ISNUMBER(Roster!$B432),Setup!$B$26="Yes",ISNUMBER(Setup!$C$26)),EDATE(Roster!$B432,12*Setup!$C$26),"")</f>
        <v/>
      </c>
      <c r="I432" s="32" t="str">
        <f>IF(AND(ISNUMBER(Roster!$B432),Setup!$B$27="Yes",ISNUMBER(Setup!$C$27)),EDATE(Roster!$B432,12*Setup!$C$27),"")</f>
        <v/>
      </c>
      <c r="J432" s="32" t="str">
        <f>IF(AND(ISNUMBER(Roster!$B432),Setup!$B$28="Yes",ISNUMBER(Setup!$C$28)),EDATE(Roster!$B432,12*Setup!$C$28),"")</f>
        <v/>
      </c>
      <c r="K432" s="32" t="str">
        <f>IF(AND(ISNUMBER(Roster!$B432),Setup!$B$29="Yes",ISNUMBER(Setup!$C$29)),EDATE(Roster!$B432,12*Setup!$C$29),"")</f>
        <v/>
      </c>
      <c r="L432" s="32" t="str">
        <f>IF(AND(ISNUMBER(Roster!$B432),Setup!$B$30="Yes",ISNUMBER(Setup!$C$30)),EDATE(Roster!$B432,12*Setup!$C$30),"")</f>
        <v/>
      </c>
      <c r="M432" s="32" t="str">
        <f>IF(AND(ISNUMBER(Roster!$B432),Setup!$B$31="Yes",ISNUMBER(Setup!$C$31)),EDATE(Roster!$B432,12*Setup!$C$31),"")</f>
        <v/>
      </c>
      <c r="N432" s="32" t="str">
        <f>IF(AND(ISNUMBER(Roster!$B432),Setup!$B$32="Yes",ISNUMBER(Setup!$C$32)),EDATE(Roster!$B432,12*Setup!$C$32),"")</f>
        <v/>
      </c>
      <c r="O432" s="32" t="str">
        <f>IF(AND(ISNUMBER(Roster!$B432),Setup!$B$33="Yes",ISNUMBER(Setup!$C$33)),EDATE(Roster!$B432,12*Setup!$C$33),"")</f>
        <v/>
      </c>
      <c r="P432" s="32" t="str">
        <f>IF(AND(ISNUMBER(Roster!$B432),Setup!$B$34="Yes",ISNUMBER(Setup!$C$34)),EDATE(Roster!$B432,12*Setup!$C$34),"")</f>
        <v/>
      </c>
      <c r="R432" t="str">
        <f>IF(B432="","",IF(B432&lt;Setup!$C$5-Setup!$C$6,"",IF(IF(ISNUMBER(Roster!$D432),Setup!$C$20&lt;=Roster!$D432,FALSE),"",IF(OR(IF(Setup!$C$15&lt;=Setup!$C$16,AND(MONTH(B432)&gt;=Setup!$C$15,MONTH(B432)&lt;=Setup!$C$16),OR(MONTH(B432)&gt;=Setup!$C$15,MONTH(B432)&lt;=Setup!$C$16)),IF(Setup!$C$15&lt;=Setup!$C$16,AND(MONTH(WORKDAY(B432,-(Setup!$C$13+Setup!$G$20),Setup!$C$39:$C$50))&gt;=Setup!$C$15,MONTH(WORKDAY(B432,-(Setup!$C$13+Setup!$G$20),Setup!$C$39:$C$50))&lt;=Setup!$C$16),OR(MONTH(WORKDAY(B432,-(Setup!$C$13+Setup!$G$20),Setup!$C$39:$C$50))&gt;=Setup!$C$15,MONTH(WORKDAY(B432,-(Setup!$C$13+Setup!$G$20),Setup!$C$39:$C$50))&lt;=Setup!$C$16))),WORKDAY(B432,-(Setup!$C$13+Setup!$G$20+Setup!$C$14),Setup!$C$39:$C$50),WORKDAY(B432,-(Setup!$C$13+Setup!$G$20),Setup!$C$39:$C$50))+(427*100+1)/10000000)))</f>
        <v/>
      </c>
      <c r="S432" t="str">
        <f>IF(C432="","",IF(C432&lt;Setup!$C$5-Setup!$C$6,"",IF(IF(ISNUMBER(Roster!$D432),Setup!$C$21&lt;=Roster!$D432,FALSE),"",IF(OR(IF(Setup!$C$15&lt;=Setup!$C$16,AND(MONTH(C432)&gt;=Setup!$C$15,MONTH(C432)&lt;=Setup!$C$16),OR(MONTH(C432)&gt;=Setup!$C$15,MONTH(C432)&lt;=Setup!$C$16)),IF(Setup!$C$15&lt;=Setup!$C$16,AND(MONTH(WORKDAY(C432,-(Setup!$C$13+Setup!$G$21),Setup!$C$39:$C$50))&gt;=Setup!$C$15,MONTH(WORKDAY(C432,-(Setup!$C$13+Setup!$G$21),Setup!$C$39:$C$50))&lt;=Setup!$C$16),OR(MONTH(WORKDAY(C432,-(Setup!$C$13+Setup!$G$21),Setup!$C$39:$C$50))&gt;=Setup!$C$15,MONTH(WORKDAY(C432,-(Setup!$C$13+Setup!$G$21),Setup!$C$39:$C$50))&lt;=Setup!$C$16))),WORKDAY(C432,-(Setup!$C$13+Setup!$G$21+Setup!$C$14),Setup!$C$39:$C$50),WORKDAY(C432,-(Setup!$C$13+Setup!$G$21),Setup!$C$39:$C$50))+(427*100+2)/10000000)))</f>
        <v/>
      </c>
      <c r="T432" t="str">
        <f>IF(D432="","",IF(D432&lt;Setup!$C$5-Setup!$C$6,"",IF(IF(ISNUMBER(Roster!$D432),Setup!$C$22&lt;=Roster!$D432,FALSE),"",IF(OR(IF(Setup!$C$15&lt;=Setup!$C$16,AND(MONTH(D432)&gt;=Setup!$C$15,MONTH(D432)&lt;=Setup!$C$16),OR(MONTH(D432)&gt;=Setup!$C$15,MONTH(D432)&lt;=Setup!$C$16)),IF(Setup!$C$15&lt;=Setup!$C$16,AND(MONTH(WORKDAY(D432,-(Setup!$C$13+Setup!$G$22),Setup!$C$39:$C$50))&gt;=Setup!$C$15,MONTH(WORKDAY(D432,-(Setup!$C$13+Setup!$G$22),Setup!$C$39:$C$50))&lt;=Setup!$C$16),OR(MONTH(WORKDAY(D432,-(Setup!$C$13+Setup!$G$22),Setup!$C$39:$C$50))&gt;=Setup!$C$15,MONTH(WORKDAY(D432,-(Setup!$C$13+Setup!$G$22),Setup!$C$39:$C$50))&lt;=Setup!$C$16))),WORKDAY(D432,-(Setup!$C$13+Setup!$G$22+Setup!$C$14),Setup!$C$39:$C$50),WORKDAY(D432,-(Setup!$C$13+Setup!$G$22),Setup!$C$39:$C$50))+(427*100+3)/10000000)))</f>
        <v/>
      </c>
      <c r="U432" t="str">
        <f>IF(E432="","",IF(E432&lt;Setup!$C$5-Setup!$C$6,"",IF(IF(ISNUMBER(Roster!$D432),Setup!$C$23&lt;=Roster!$D432,FALSE),"",IF(OR(IF(Setup!$C$15&lt;=Setup!$C$16,AND(MONTH(E432)&gt;=Setup!$C$15,MONTH(E432)&lt;=Setup!$C$16),OR(MONTH(E432)&gt;=Setup!$C$15,MONTH(E432)&lt;=Setup!$C$16)),IF(Setup!$C$15&lt;=Setup!$C$16,AND(MONTH(WORKDAY(E432,-(Setup!$C$13+Setup!$G$23),Setup!$C$39:$C$50))&gt;=Setup!$C$15,MONTH(WORKDAY(E432,-(Setup!$C$13+Setup!$G$23),Setup!$C$39:$C$50))&lt;=Setup!$C$16),OR(MONTH(WORKDAY(E432,-(Setup!$C$13+Setup!$G$23),Setup!$C$39:$C$50))&gt;=Setup!$C$15,MONTH(WORKDAY(E432,-(Setup!$C$13+Setup!$G$23),Setup!$C$39:$C$50))&lt;=Setup!$C$16))),WORKDAY(E432,-(Setup!$C$13+Setup!$G$23+Setup!$C$14),Setup!$C$39:$C$50),WORKDAY(E432,-(Setup!$C$13+Setup!$G$23),Setup!$C$39:$C$50))+(427*100+4)/10000000)))</f>
        <v/>
      </c>
      <c r="V432" t="str">
        <f>IF(F432="","",IF(F432&lt;Setup!$C$5-Setup!$C$6,"",IF(IF(ISNUMBER(Roster!$D432),Setup!$C$24&lt;=Roster!$D432,FALSE),"",IF(OR(IF(Setup!$C$15&lt;=Setup!$C$16,AND(MONTH(F432)&gt;=Setup!$C$15,MONTH(F432)&lt;=Setup!$C$16),OR(MONTH(F432)&gt;=Setup!$C$15,MONTH(F432)&lt;=Setup!$C$16)),IF(Setup!$C$15&lt;=Setup!$C$16,AND(MONTH(WORKDAY(F432,-(Setup!$C$13+Setup!$G$24),Setup!$C$39:$C$50))&gt;=Setup!$C$15,MONTH(WORKDAY(F432,-(Setup!$C$13+Setup!$G$24),Setup!$C$39:$C$50))&lt;=Setup!$C$16),OR(MONTH(WORKDAY(F432,-(Setup!$C$13+Setup!$G$24),Setup!$C$39:$C$50))&gt;=Setup!$C$15,MONTH(WORKDAY(F432,-(Setup!$C$13+Setup!$G$24),Setup!$C$39:$C$50))&lt;=Setup!$C$16))),WORKDAY(F432,-(Setup!$C$13+Setup!$G$24+Setup!$C$14),Setup!$C$39:$C$50),WORKDAY(F432,-(Setup!$C$13+Setup!$G$24),Setup!$C$39:$C$50))+(427*100+5)/10000000)))</f>
        <v/>
      </c>
      <c r="W432" t="str">
        <f>IF(G432="","",IF(G432&lt;Setup!$C$5-Setup!$C$6,"",IF(IF(ISNUMBER(Roster!$D432),Setup!$C$25&lt;=Roster!$D432,FALSE),"",IF(OR(IF(Setup!$C$15&lt;=Setup!$C$16,AND(MONTH(G432)&gt;=Setup!$C$15,MONTH(G432)&lt;=Setup!$C$16),OR(MONTH(G432)&gt;=Setup!$C$15,MONTH(G432)&lt;=Setup!$C$16)),IF(Setup!$C$15&lt;=Setup!$C$16,AND(MONTH(WORKDAY(G432,-(Setup!$C$13+Setup!$G$25),Setup!$C$39:$C$50))&gt;=Setup!$C$15,MONTH(WORKDAY(G432,-(Setup!$C$13+Setup!$G$25),Setup!$C$39:$C$50))&lt;=Setup!$C$16),OR(MONTH(WORKDAY(G432,-(Setup!$C$13+Setup!$G$25),Setup!$C$39:$C$50))&gt;=Setup!$C$15,MONTH(WORKDAY(G432,-(Setup!$C$13+Setup!$G$25),Setup!$C$39:$C$50))&lt;=Setup!$C$16))),WORKDAY(G432,-(Setup!$C$13+Setup!$G$25+Setup!$C$14),Setup!$C$39:$C$50),WORKDAY(G432,-(Setup!$C$13+Setup!$G$25),Setup!$C$39:$C$50))+(427*100+6)/10000000)))</f>
        <v/>
      </c>
      <c r="X432" t="str">
        <f>IF(H432="","",IF(H432&lt;Setup!$C$5-Setup!$C$6,"",IF(IF(ISNUMBER(Roster!$D432),Setup!$C$26&lt;=Roster!$D432,FALSE),"",IF(OR(IF(Setup!$C$15&lt;=Setup!$C$16,AND(MONTH(H432)&gt;=Setup!$C$15,MONTH(H432)&lt;=Setup!$C$16),OR(MONTH(H432)&gt;=Setup!$C$15,MONTH(H432)&lt;=Setup!$C$16)),IF(Setup!$C$15&lt;=Setup!$C$16,AND(MONTH(WORKDAY(H432,-(Setup!$C$13+Setup!$G$26),Setup!$C$39:$C$50))&gt;=Setup!$C$15,MONTH(WORKDAY(H432,-(Setup!$C$13+Setup!$G$26),Setup!$C$39:$C$50))&lt;=Setup!$C$16),OR(MONTH(WORKDAY(H432,-(Setup!$C$13+Setup!$G$26),Setup!$C$39:$C$50))&gt;=Setup!$C$15,MONTH(WORKDAY(H432,-(Setup!$C$13+Setup!$G$26),Setup!$C$39:$C$50))&lt;=Setup!$C$16))),WORKDAY(H432,-(Setup!$C$13+Setup!$G$26+Setup!$C$14),Setup!$C$39:$C$50),WORKDAY(H432,-(Setup!$C$13+Setup!$G$26),Setup!$C$39:$C$50))+(427*100+7)/10000000)))</f>
        <v/>
      </c>
      <c r="Y432" t="str">
        <f>IF(I432="","",IF(I432&lt;Setup!$C$5-Setup!$C$6,"",IF(IF(ISNUMBER(Roster!$D432),Setup!$C$27&lt;=Roster!$D432,FALSE),"",IF(OR(IF(Setup!$C$15&lt;=Setup!$C$16,AND(MONTH(I432)&gt;=Setup!$C$15,MONTH(I432)&lt;=Setup!$C$16),OR(MONTH(I432)&gt;=Setup!$C$15,MONTH(I432)&lt;=Setup!$C$16)),IF(Setup!$C$15&lt;=Setup!$C$16,AND(MONTH(WORKDAY(I432,-(Setup!$C$13+Setup!$G$27),Setup!$C$39:$C$50))&gt;=Setup!$C$15,MONTH(WORKDAY(I432,-(Setup!$C$13+Setup!$G$27),Setup!$C$39:$C$50))&lt;=Setup!$C$16),OR(MONTH(WORKDAY(I432,-(Setup!$C$13+Setup!$G$27),Setup!$C$39:$C$50))&gt;=Setup!$C$15,MONTH(WORKDAY(I432,-(Setup!$C$13+Setup!$G$27),Setup!$C$39:$C$50))&lt;=Setup!$C$16))),WORKDAY(I432,-(Setup!$C$13+Setup!$G$27+Setup!$C$14),Setup!$C$39:$C$50),WORKDAY(I432,-(Setup!$C$13+Setup!$G$27),Setup!$C$39:$C$50))+(427*100+8)/10000000)))</f>
        <v/>
      </c>
      <c r="Z432" t="str">
        <f>IF(J432="","",IF(J432&lt;Setup!$C$5-Setup!$C$6,"",IF(IF(ISNUMBER(Roster!$D432),Setup!$C$28&lt;=Roster!$D432,FALSE),"",IF(OR(IF(Setup!$C$15&lt;=Setup!$C$16,AND(MONTH(J432)&gt;=Setup!$C$15,MONTH(J432)&lt;=Setup!$C$16),OR(MONTH(J432)&gt;=Setup!$C$15,MONTH(J432)&lt;=Setup!$C$16)),IF(Setup!$C$15&lt;=Setup!$C$16,AND(MONTH(WORKDAY(J432,-(Setup!$C$13+Setup!$G$28),Setup!$C$39:$C$50))&gt;=Setup!$C$15,MONTH(WORKDAY(J432,-(Setup!$C$13+Setup!$G$28),Setup!$C$39:$C$50))&lt;=Setup!$C$16),OR(MONTH(WORKDAY(J432,-(Setup!$C$13+Setup!$G$28),Setup!$C$39:$C$50))&gt;=Setup!$C$15,MONTH(WORKDAY(J432,-(Setup!$C$13+Setup!$G$28),Setup!$C$39:$C$50))&lt;=Setup!$C$16))),WORKDAY(J432,-(Setup!$C$13+Setup!$G$28+Setup!$C$14),Setup!$C$39:$C$50),WORKDAY(J432,-(Setup!$C$13+Setup!$G$28),Setup!$C$39:$C$50))+(427*100+9)/10000000)))</f>
        <v/>
      </c>
      <c r="AA432" t="str">
        <f>IF(K432="","",IF(K432&lt;Setup!$C$5-Setup!$C$6,"",IF(IF(ISNUMBER(Roster!$D432),Setup!$C$29&lt;=Roster!$D432,FALSE),"",IF(OR(IF(Setup!$C$15&lt;=Setup!$C$16,AND(MONTH(K432)&gt;=Setup!$C$15,MONTH(K432)&lt;=Setup!$C$16),OR(MONTH(K432)&gt;=Setup!$C$15,MONTH(K432)&lt;=Setup!$C$16)),IF(Setup!$C$15&lt;=Setup!$C$16,AND(MONTH(WORKDAY(K432,-(Setup!$C$13+Setup!$G$29),Setup!$C$39:$C$50))&gt;=Setup!$C$15,MONTH(WORKDAY(K432,-(Setup!$C$13+Setup!$G$29),Setup!$C$39:$C$50))&lt;=Setup!$C$16),OR(MONTH(WORKDAY(K432,-(Setup!$C$13+Setup!$G$29),Setup!$C$39:$C$50))&gt;=Setup!$C$15,MONTH(WORKDAY(K432,-(Setup!$C$13+Setup!$G$29),Setup!$C$39:$C$50))&lt;=Setup!$C$16))),WORKDAY(K432,-(Setup!$C$13+Setup!$G$29+Setup!$C$14),Setup!$C$39:$C$50),WORKDAY(K432,-(Setup!$C$13+Setup!$G$29),Setup!$C$39:$C$50))+(427*100+10)/10000000)))</f>
        <v/>
      </c>
      <c r="AB432" t="str">
        <f>IF(L432="","",IF(L432&lt;Setup!$C$5-Setup!$C$6,"",IF(IF(ISNUMBER(Roster!$D432),Setup!$C$30&lt;=Roster!$D432,FALSE),"",IF(OR(IF(Setup!$C$15&lt;=Setup!$C$16,AND(MONTH(L432)&gt;=Setup!$C$15,MONTH(L432)&lt;=Setup!$C$16),OR(MONTH(L432)&gt;=Setup!$C$15,MONTH(L432)&lt;=Setup!$C$16)),IF(Setup!$C$15&lt;=Setup!$C$16,AND(MONTH(WORKDAY(L432,-(Setup!$C$13+Setup!$G$30),Setup!$C$39:$C$50))&gt;=Setup!$C$15,MONTH(WORKDAY(L432,-(Setup!$C$13+Setup!$G$30),Setup!$C$39:$C$50))&lt;=Setup!$C$16),OR(MONTH(WORKDAY(L432,-(Setup!$C$13+Setup!$G$30),Setup!$C$39:$C$50))&gt;=Setup!$C$15,MONTH(WORKDAY(L432,-(Setup!$C$13+Setup!$G$30),Setup!$C$39:$C$50))&lt;=Setup!$C$16))),WORKDAY(L432,-(Setup!$C$13+Setup!$G$30+Setup!$C$14),Setup!$C$39:$C$50),WORKDAY(L432,-(Setup!$C$13+Setup!$G$30),Setup!$C$39:$C$50))+(427*100+11)/10000000)))</f>
        <v/>
      </c>
      <c r="AC432" t="str">
        <f>IF(M432="","",IF(M432&lt;Setup!$C$5-Setup!$C$6,"",IF(IF(ISNUMBER(Roster!$D432),Setup!$C$31&lt;=Roster!$D432,FALSE),"",IF(OR(IF(Setup!$C$15&lt;=Setup!$C$16,AND(MONTH(M432)&gt;=Setup!$C$15,MONTH(M432)&lt;=Setup!$C$16),OR(MONTH(M432)&gt;=Setup!$C$15,MONTH(M432)&lt;=Setup!$C$16)),IF(Setup!$C$15&lt;=Setup!$C$16,AND(MONTH(WORKDAY(M432,-(Setup!$C$13+Setup!$G$31),Setup!$C$39:$C$50))&gt;=Setup!$C$15,MONTH(WORKDAY(M432,-(Setup!$C$13+Setup!$G$31),Setup!$C$39:$C$50))&lt;=Setup!$C$16),OR(MONTH(WORKDAY(M432,-(Setup!$C$13+Setup!$G$31),Setup!$C$39:$C$50))&gt;=Setup!$C$15,MONTH(WORKDAY(M432,-(Setup!$C$13+Setup!$G$31),Setup!$C$39:$C$50))&lt;=Setup!$C$16))),WORKDAY(M432,-(Setup!$C$13+Setup!$G$31+Setup!$C$14),Setup!$C$39:$C$50),WORKDAY(M432,-(Setup!$C$13+Setup!$G$31),Setup!$C$39:$C$50))+(427*100+12)/10000000)))</f>
        <v/>
      </c>
      <c r="AD432" t="str">
        <f>IF(N432="","",IF(N432&lt;Setup!$C$5-Setup!$C$6,"",IF(IF(ISNUMBER(Roster!$D432),Setup!$C$32&lt;=Roster!$D432,FALSE),"",IF(OR(IF(Setup!$C$15&lt;=Setup!$C$16,AND(MONTH(N432)&gt;=Setup!$C$15,MONTH(N432)&lt;=Setup!$C$16),OR(MONTH(N432)&gt;=Setup!$C$15,MONTH(N432)&lt;=Setup!$C$16)),IF(Setup!$C$15&lt;=Setup!$C$16,AND(MONTH(WORKDAY(N432,-(Setup!$C$13+Setup!$G$32),Setup!$C$39:$C$50))&gt;=Setup!$C$15,MONTH(WORKDAY(N432,-(Setup!$C$13+Setup!$G$32),Setup!$C$39:$C$50))&lt;=Setup!$C$16),OR(MONTH(WORKDAY(N432,-(Setup!$C$13+Setup!$G$32),Setup!$C$39:$C$50))&gt;=Setup!$C$15,MONTH(WORKDAY(N432,-(Setup!$C$13+Setup!$G$32),Setup!$C$39:$C$50))&lt;=Setup!$C$16))),WORKDAY(N432,-(Setup!$C$13+Setup!$G$32+Setup!$C$14),Setup!$C$39:$C$50),WORKDAY(N432,-(Setup!$C$13+Setup!$G$32),Setup!$C$39:$C$50))+(427*100+13)/10000000)))</f>
        <v/>
      </c>
      <c r="AE432" t="str">
        <f>IF(O432="","",IF(O432&lt;Setup!$C$5-Setup!$C$6,"",IF(IF(ISNUMBER(Roster!$D432),Setup!$C$33&lt;=Roster!$D432,FALSE),"",IF(OR(IF(Setup!$C$15&lt;=Setup!$C$16,AND(MONTH(O432)&gt;=Setup!$C$15,MONTH(O432)&lt;=Setup!$C$16),OR(MONTH(O432)&gt;=Setup!$C$15,MONTH(O432)&lt;=Setup!$C$16)),IF(Setup!$C$15&lt;=Setup!$C$16,AND(MONTH(WORKDAY(O432,-(Setup!$C$13+Setup!$G$33),Setup!$C$39:$C$50))&gt;=Setup!$C$15,MONTH(WORKDAY(O432,-(Setup!$C$13+Setup!$G$33),Setup!$C$39:$C$50))&lt;=Setup!$C$16),OR(MONTH(WORKDAY(O432,-(Setup!$C$13+Setup!$G$33),Setup!$C$39:$C$50))&gt;=Setup!$C$15,MONTH(WORKDAY(O432,-(Setup!$C$13+Setup!$G$33),Setup!$C$39:$C$50))&lt;=Setup!$C$16))),WORKDAY(O432,-(Setup!$C$13+Setup!$G$33+Setup!$C$14),Setup!$C$39:$C$50),WORKDAY(O432,-(Setup!$C$13+Setup!$G$33),Setup!$C$39:$C$50))+(427*100+14)/10000000)))</f>
        <v/>
      </c>
      <c r="AF432" t="str">
        <f>IF(P432="","",IF(P432&lt;Setup!$C$5-Setup!$C$6,"",IF(IF(ISNUMBER(Roster!$D432),Setup!$C$34&lt;=Roster!$D432,FALSE),"",IF(OR(IF(Setup!$C$15&lt;=Setup!$C$16,AND(MONTH(P432)&gt;=Setup!$C$15,MONTH(P432)&lt;=Setup!$C$16),OR(MONTH(P432)&gt;=Setup!$C$15,MONTH(P432)&lt;=Setup!$C$16)),IF(Setup!$C$15&lt;=Setup!$C$16,AND(MONTH(WORKDAY(P432,-(Setup!$C$13+Setup!$G$34),Setup!$C$39:$C$50))&gt;=Setup!$C$15,MONTH(WORKDAY(P432,-(Setup!$C$13+Setup!$G$34),Setup!$C$39:$C$50))&lt;=Setup!$C$16),OR(MONTH(WORKDAY(P432,-(Setup!$C$13+Setup!$G$34),Setup!$C$39:$C$50))&gt;=Setup!$C$15,MONTH(WORKDAY(P432,-(Setup!$C$13+Setup!$G$34),Setup!$C$39:$C$50))&lt;=Setup!$C$16))),WORKDAY(P432,-(Setup!$C$13+Setup!$G$34+Setup!$C$14),Setup!$C$39:$C$50),WORKDAY(P432,-(Setup!$C$13+Setup!$G$34),Setup!$C$39:$C$50))+(427*100+15)/10000000)))</f>
        <v/>
      </c>
      <c r="AH432" t="str">
        <f t="shared" si="46"/>
        <v/>
      </c>
      <c r="AI432" t="str">
        <f t="shared" si="47"/>
        <v/>
      </c>
      <c r="AP432" t="str">
        <f>IF(ISNUMBER(Roster!$B432),MAX(1,YEAR(Setup!$C$5)-YEAR(Roster!$B432)+IF(EDATE(Roster!$B432,12*(YEAR(Setup!$C$5)-YEAR(Roster!$B432)))&lt;Setup!$C$5,1,0)),"")</f>
        <v/>
      </c>
      <c r="AQ432" s="32" t="str">
        <f>IF(AP432="","",EDATE(Roster!$B432,12*AP432))</f>
        <v/>
      </c>
      <c r="AR432" t="str">
        <f>IF(AQ432="","",IF(AQ432&lt;DATE(YEAR(Setup!$C$5)+1,MONTH(Setup!$C$5),DAY(Setup!$C$5)),AQ432+427/1000,""))</f>
        <v/>
      </c>
      <c r="AS432" t="str">
        <f t="shared" si="48"/>
        <v/>
      </c>
      <c r="AT432" t="str">
        <f>IF(AS432="","",IF(ISNUMBER(Roster!$D432),Roster!$D432&gt;=AP432,FALSE))</f>
        <v/>
      </c>
      <c r="AU432" t="str">
        <f t="shared" si="49"/>
        <v/>
      </c>
      <c r="AV432" t="str">
        <f ca="1">IF(427&gt;$AV$2,"",SMALL($AR$6:$AR$505,427))</f>
        <v/>
      </c>
      <c r="AW432" t="str">
        <f t="shared" ca="1" si="50"/>
        <v/>
      </c>
    </row>
    <row r="433" spans="2:49" x14ac:dyDescent="0.2">
      <c r="B433" s="32" t="str">
        <f>IF(AND(ISNUMBER(Roster!$B433),Setup!$B$20="Yes",ISNUMBER(Setup!$C$20)),EDATE(Roster!$B433,12*Setup!$C$20),"")</f>
        <v/>
      </c>
      <c r="C433" s="32" t="str">
        <f>IF(AND(ISNUMBER(Roster!$B433),Setup!$B$21="Yes",ISNUMBER(Setup!$C$21)),EDATE(Roster!$B433,12*Setup!$C$21),"")</f>
        <v/>
      </c>
      <c r="D433" s="32" t="str">
        <f>IF(AND(ISNUMBER(Roster!$B433),Setup!$B$22="Yes",ISNUMBER(Setup!$C$22)),EDATE(Roster!$B433,12*Setup!$C$22),"")</f>
        <v/>
      </c>
      <c r="E433" s="32" t="str">
        <f>IF(AND(ISNUMBER(Roster!$B433),Setup!$B$23="Yes",ISNUMBER(Setup!$C$23)),EDATE(Roster!$B433,12*Setup!$C$23),"")</f>
        <v/>
      </c>
      <c r="F433" s="32" t="str">
        <f>IF(AND(ISNUMBER(Roster!$B433),Setup!$B$24="Yes",ISNUMBER(Setup!$C$24)),EDATE(Roster!$B433,12*Setup!$C$24),"")</f>
        <v/>
      </c>
      <c r="G433" s="32" t="str">
        <f>IF(AND(ISNUMBER(Roster!$B433),Setup!$B$25="Yes",ISNUMBER(Setup!$C$25)),EDATE(Roster!$B433,12*Setup!$C$25),"")</f>
        <v/>
      </c>
      <c r="H433" s="32" t="str">
        <f>IF(AND(ISNUMBER(Roster!$B433),Setup!$B$26="Yes",ISNUMBER(Setup!$C$26)),EDATE(Roster!$B433,12*Setup!$C$26),"")</f>
        <v/>
      </c>
      <c r="I433" s="32" t="str">
        <f>IF(AND(ISNUMBER(Roster!$B433),Setup!$B$27="Yes",ISNUMBER(Setup!$C$27)),EDATE(Roster!$B433,12*Setup!$C$27),"")</f>
        <v/>
      </c>
      <c r="J433" s="32" t="str">
        <f>IF(AND(ISNUMBER(Roster!$B433),Setup!$B$28="Yes",ISNUMBER(Setup!$C$28)),EDATE(Roster!$B433,12*Setup!$C$28),"")</f>
        <v/>
      </c>
      <c r="K433" s="32" t="str">
        <f>IF(AND(ISNUMBER(Roster!$B433),Setup!$B$29="Yes",ISNUMBER(Setup!$C$29)),EDATE(Roster!$B433,12*Setup!$C$29),"")</f>
        <v/>
      </c>
      <c r="L433" s="32" t="str">
        <f>IF(AND(ISNUMBER(Roster!$B433),Setup!$B$30="Yes",ISNUMBER(Setup!$C$30)),EDATE(Roster!$B433,12*Setup!$C$30),"")</f>
        <v/>
      </c>
      <c r="M433" s="32" t="str">
        <f>IF(AND(ISNUMBER(Roster!$B433),Setup!$B$31="Yes",ISNUMBER(Setup!$C$31)),EDATE(Roster!$B433,12*Setup!$C$31),"")</f>
        <v/>
      </c>
      <c r="N433" s="32" t="str">
        <f>IF(AND(ISNUMBER(Roster!$B433),Setup!$B$32="Yes",ISNUMBER(Setup!$C$32)),EDATE(Roster!$B433,12*Setup!$C$32),"")</f>
        <v/>
      </c>
      <c r="O433" s="32" t="str">
        <f>IF(AND(ISNUMBER(Roster!$B433),Setup!$B$33="Yes",ISNUMBER(Setup!$C$33)),EDATE(Roster!$B433,12*Setup!$C$33),"")</f>
        <v/>
      </c>
      <c r="P433" s="32" t="str">
        <f>IF(AND(ISNUMBER(Roster!$B433),Setup!$B$34="Yes",ISNUMBER(Setup!$C$34)),EDATE(Roster!$B433,12*Setup!$C$34),"")</f>
        <v/>
      </c>
      <c r="R433" t="str">
        <f>IF(B433="","",IF(B433&lt;Setup!$C$5-Setup!$C$6,"",IF(IF(ISNUMBER(Roster!$D433),Setup!$C$20&lt;=Roster!$D433,FALSE),"",IF(OR(IF(Setup!$C$15&lt;=Setup!$C$16,AND(MONTH(B433)&gt;=Setup!$C$15,MONTH(B433)&lt;=Setup!$C$16),OR(MONTH(B433)&gt;=Setup!$C$15,MONTH(B433)&lt;=Setup!$C$16)),IF(Setup!$C$15&lt;=Setup!$C$16,AND(MONTH(WORKDAY(B433,-(Setup!$C$13+Setup!$G$20),Setup!$C$39:$C$50))&gt;=Setup!$C$15,MONTH(WORKDAY(B433,-(Setup!$C$13+Setup!$G$20),Setup!$C$39:$C$50))&lt;=Setup!$C$16),OR(MONTH(WORKDAY(B433,-(Setup!$C$13+Setup!$G$20),Setup!$C$39:$C$50))&gt;=Setup!$C$15,MONTH(WORKDAY(B433,-(Setup!$C$13+Setup!$G$20),Setup!$C$39:$C$50))&lt;=Setup!$C$16))),WORKDAY(B433,-(Setup!$C$13+Setup!$G$20+Setup!$C$14),Setup!$C$39:$C$50),WORKDAY(B433,-(Setup!$C$13+Setup!$G$20),Setup!$C$39:$C$50))+(428*100+1)/10000000)))</f>
        <v/>
      </c>
      <c r="S433" t="str">
        <f>IF(C433="","",IF(C433&lt;Setup!$C$5-Setup!$C$6,"",IF(IF(ISNUMBER(Roster!$D433),Setup!$C$21&lt;=Roster!$D433,FALSE),"",IF(OR(IF(Setup!$C$15&lt;=Setup!$C$16,AND(MONTH(C433)&gt;=Setup!$C$15,MONTH(C433)&lt;=Setup!$C$16),OR(MONTH(C433)&gt;=Setup!$C$15,MONTH(C433)&lt;=Setup!$C$16)),IF(Setup!$C$15&lt;=Setup!$C$16,AND(MONTH(WORKDAY(C433,-(Setup!$C$13+Setup!$G$21),Setup!$C$39:$C$50))&gt;=Setup!$C$15,MONTH(WORKDAY(C433,-(Setup!$C$13+Setup!$G$21),Setup!$C$39:$C$50))&lt;=Setup!$C$16),OR(MONTH(WORKDAY(C433,-(Setup!$C$13+Setup!$G$21),Setup!$C$39:$C$50))&gt;=Setup!$C$15,MONTH(WORKDAY(C433,-(Setup!$C$13+Setup!$G$21),Setup!$C$39:$C$50))&lt;=Setup!$C$16))),WORKDAY(C433,-(Setup!$C$13+Setup!$G$21+Setup!$C$14),Setup!$C$39:$C$50),WORKDAY(C433,-(Setup!$C$13+Setup!$G$21),Setup!$C$39:$C$50))+(428*100+2)/10000000)))</f>
        <v/>
      </c>
      <c r="T433" t="str">
        <f>IF(D433="","",IF(D433&lt;Setup!$C$5-Setup!$C$6,"",IF(IF(ISNUMBER(Roster!$D433),Setup!$C$22&lt;=Roster!$D433,FALSE),"",IF(OR(IF(Setup!$C$15&lt;=Setup!$C$16,AND(MONTH(D433)&gt;=Setup!$C$15,MONTH(D433)&lt;=Setup!$C$16),OR(MONTH(D433)&gt;=Setup!$C$15,MONTH(D433)&lt;=Setup!$C$16)),IF(Setup!$C$15&lt;=Setup!$C$16,AND(MONTH(WORKDAY(D433,-(Setup!$C$13+Setup!$G$22),Setup!$C$39:$C$50))&gt;=Setup!$C$15,MONTH(WORKDAY(D433,-(Setup!$C$13+Setup!$G$22),Setup!$C$39:$C$50))&lt;=Setup!$C$16),OR(MONTH(WORKDAY(D433,-(Setup!$C$13+Setup!$G$22),Setup!$C$39:$C$50))&gt;=Setup!$C$15,MONTH(WORKDAY(D433,-(Setup!$C$13+Setup!$G$22),Setup!$C$39:$C$50))&lt;=Setup!$C$16))),WORKDAY(D433,-(Setup!$C$13+Setup!$G$22+Setup!$C$14),Setup!$C$39:$C$50),WORKDAY(D433,-(Setup!$C$13+Setup!$G$22),Setup!$C$39:$C$50))+(428*100+3)/10000000)))</f>
        <v/>
      </c>
      <c r="U433" t="str">
        <f>IF(E433="","",IF(E433&lt;Setup!$C$5-Setup!$C$6,"",IF(IF(ISNUMBER(Roster!$D433),Setup!$C$23&lt;=Roster!$D433,FALSE),"",IF(OR(IF(Setup!$C$15&lt;=Setup!$C$16,AND(MONTH(E433)&gt;=Setup!$C$15,MONTH(E433)&lt;=Setup!$C$16),OR(MONTH(E433)&gt;=Setup!$C$15,MONTH(E433)&lt;=Setup!$C$16)),IF(Setup!$C$15&lt;=Setup!$C$16,AND(MONTH(WORKDAY(E433,-(Setup!$C$13+Setup!$G$23),Setup!$C$39:$C$50))&gt;=Setup!$C$15,MONTH(WORKDAY(E433,-(Setup!$C$13+Setup!$G$23),Setup!$C$39:$C$50))&lt;=Setup!$C$16),OR(MONTH(WORKDAY(E433,-(Setup!$C$13+Setup!$G$23),Setup!$C$39:$C$50))&gt;=Setup!$C$15,MONTH(WORKDAY(E433,-(Setup!$C$13+Setup!$G$23),Setup!$C$39:$C$50))&lt;=Setup!$C$16))),WORKDAY(E433,-(Setup!$C$13+Setup!$G$23+Setup!$C$14),Setup!$C$39:$C$50),WORKDAY(E433,-(Setup!$C$13+Setup!$G$23),Setup!$C$39:$C$50))+(428*100+4)/10000000)))</f>
        <v/>
      </c>
      <c r="V433" t="str">
        <f>IF(F433="","",IF(F433&lt;Setup!$C$5-Setup!$C$6,"",IF(IF(ISNUMBER(Roster!$D433),Setup!$C$24&lt;=Roster!$D433,FALSE),"",IF(OR(IF(Setup!$C$15&lt;=Setup!$C$16,AND(MONTH(F433)&gt;=Setup!$C$15,MONTH(F433)&lt;=Setup!$C$16),OR(MONTH(F433)&gt;=Setup!$C$15,MONTH(F433)&lt;=Setup!$C$16)),IF(Setup!$C$15&lt;=Setup!$C$16,AND(MONTH(WORKDAY(F433,-(Setup!$C$13+Setup!$G$24),Setup!$C$39:$C$50))&gt;=Setup!$C$15,MONTH(WORKDAY(F433,-(Setup!$C$13+Setup!$G$24),Setup!$C$39:$C$50))&lt;=Setup!$C$16),OR(MONTH(WORKDAY(F433,-(Setup!$C$13+Setup!$G$24),Setup!$C$39:$C$50))&gt;=Setup!$C$15,MONTH(WORKDAY(F433,-(Setup!$C$13+Setup!$G$24),Setup!$C$39:$C$50))&lt;=Setup!$C$16))),WORKDAY(F433,-(Setup!$C$13+Setup!$G$24+Setup!$C$14),Setup!$C$39:$C$50),WORKDAY(F433,-(Setup!$C$13+Setup!$G$24),Setup!$C$39:$C$50))+(428*100+5)/10000000)))</f>
        <v/>
      </c>
      <c r="W433" t="str">
        <f>IF(G433="","",IF(G433&lt;Setup!$C$5-Setup!$C$6,"",IF(IF(ISNUMBER(Roster!$D433),Setup!$C$25&lt;=Roster!$D433,FALSE),"",IF(OR(IF(Setup!$C$15&lt;=Setup!$C$16,AND(MONTH(G433)&gt;=Setup!$C$15,MONTH(G433)&lt;=Setup!$C$16),OR(MONTH(G433)&gt;=Setup!$C$15,MONTH(G433)&lt;=Setup!$C$16)),IF(Setup!$C$15&lt;=Setup!$C$16,AND(MONTH(WORKDAY(G433,-(Setup!$C$13+Setup!$G$25),Setup!$C$39:$C$50))&gt;=Setup!$C$15,MONTH(WORKDAY(G433,-(Setup!$C$13+Setup!$G$25),Setup!$C$39:$C$50))&lt;=Setup!$C$16),OR(MONTH(WORKDAY(G433,-(Setup!$C$13+Setup!$G$25),Setup!$C$39:$C$50))&gt;=Setup!$C$15,MONTH(WORKDAY(G433,-(Setup!$C$13+Setup!$G$25),Setup!$C$39:$C$50))&lt;=Setup!$C$16))),WORKDAY(G433,-(Setup!$C$13+Setup!$G$25+Setup!$C$14),Setup!$C$39:$C$50),WORKDAY(G433,-(Setup!$C$13+Setup!$G$25),Setup!$C$39:$C$50))+(428*100+6)/10000000)))</f>
        <v/>
      </c>
      <c r="X433" t="str">
        <f>IF(H433="","",IF(H433&lt;Setup!$C$5-Setup!$C$6,"",IF(IF(ISNUMBER(Roster!$D433),Setup!$C$26&lt;=Roster!$D433,FALSE),"",IF(OR(IF(Setup!$C$15&lt;=Setup!$C$16,AND(MONTH(H433)&gt;=Setup!$C$15,MONTH(H433)&lt;=Setup!$C$16),OR(MONTH(H433)&gt;=Setup!$C$15,MONTH(H433)&lt;=Setup!$C$16)),IF(Setup!$C$15&lt;=Setup!$C$16,AND(MONTH(WORKDAY(H433,-(Setup!$C$13+Setup!$G$26),Setup!$C$39:$C$50))&gt;=Setup!$C$15,MONTH(WORKDAY(H433,-(Setup!$C$13+Setup!$G$26),Setup!$C$39:$C$50))&lt;=Setup!$C$16),OR(MONTH(WORKDAY(H433,-(Setup!$C$13+Setup!$G$26),Setup!$C$39:$C$50))&gt;=Setup!$C$15,MONTH(WORKDAY(H433,-(Setup!$C$13+Setup!$G$26),Setup!$C$39:$C$50))&lt;=Setup!$C$16))),WORKDAY(H433,-(Setup!$C$13+Setup!$G$26+Setup!$C$14),Setup!$C$39:$C$50),WORKDAY(H433,-(Setup!$C$13+Setup!$G$26),Setup!$C$39:$C$50))+(428*100+7)/10000000)))</f>
        <v/>
      </c>
      <c r="Y433" t="str">
        <f>IF(I433="","",IF(I433&lt;Setup!$C$5-Setup!$C$6,"",IF(IF(ISNUMBER(Roster!$D433),Setup!$C$27&lt;=Roster!$D433,FALSE),"",IF(OR(IF(Setup!$C$15&lt;=Setup!$C$16,AND(MONTH(I433)&gt;=Setup!$C$15,MONTH(I433)&lt;=Setup!$C$16),OR(MONTH(I433)&gt;=Setup!$C$15,MONTH(I433)&lt;=Setup!$C$16)),IF(Setup!$C$15&lt;=Setup!$C$16,AND(MONTH(WORKDAY(I433,-(Setup!$C$13+Setup!$G$27),Setup!$C$39:$C$50))&gt;=Setup!$C$15,MONTH(WORKDAY(I433,-(Setup!$C$13+Setup!$G$27),Setup!$C$39:$C$50))&lt;=Setup!$C$16),OR(MONTH(WORKDAY(I433,-(Setup!$C$13+Setup!$G$27),Setup!$C$39:$C$50))&gt;=Setup!$C$15,MONTH(WORKDAY(I433,-(Setup!$C$13+Setup!$G$27),Setup!$C$39:$C$50))&lt;=Setup!$C$16))),WORKDAY(I433,-(Setup!$C$13+Setup!$G$27+Setup!$C$14),Setup!$C$39:$C$50),WORKDAY(I433,-(Setup!$C$13+Setup!$G$27),Setup!$C$39:$C$50))+(428*100+8)/10000000)))</f>
        <v/>
      </c>
      <c r="Z433" t="str">
        <f>IF(J433="","",IF(J433&lt;Setup!$C$5-Setup!$C$6,"",IF(IF(ISNUMBER(Roster!$D433),Setup!$C$28&lt;=Roster!$D433,FALSE),"",IF(OR(IF(Setup!$C$15&lt;=Setup!$C$16,AND(MONTH(J433)&gt;=Setup!$C$15,MONTH(J433)&lt;=Setup!$C$16),OR(MONTH(J433)&gt;=Setup!$C$15,MONTH(J433)&lt;=Setup!$C$16)),IF(Setup!$C$15&lt;=Setup!$C$16,AND(MONTH(WORKDAY(J433,-(Setup!$C$13+Setup!$G$28),Setup!$C$39:$C$50))&gt;=Setup!$C$15,MONTH(WORKDAY(J433,-(Setup!$C$13+Setup!$G$28),Setup!$C$39:$C$50))&lt;=Setup!$C$16),OR(MONTH(WORKDAY(J433,-(Setup!$C$13+Setup!$G$28),Setup!$C$39:$C$50))&gt;=Setup!$C$15,MONTH(WORKDAY(J433,-(Setup!$C$13+Setup!$G$28),Setup!$C$39:$C$50))&lt;=Setup!$C$16))),WORKDAY(J433,-(Setup!$C$13+Setup!$G$28+Setup!$C$14),Setup!$C$39:$C$50),WORKDAY(J433,-(Setup!$C$13+Setup!$G$28),Setup!$C$39:$C$50))+(428*100+9)/10000000)))</f>
        <v/>
      </c>
      <c r="AA433" t="str">
        <f>IF(K433="","",IF(K433&lt;Setup!$C$5-Setup!$C$6,"",IF(IF(ISNUMBER(Roster!$D433),Setup!$C$29&lt;=Roster!$D433,FALSE),"",IF(OR(IF(Setup!$C$15&lt;=Setup!$C$16,AND(MONTH(K433)&gt;=Setup!$C$15,MONTH(K433)&lt;=Setup!$C$16),OR(MONTH(K433)&gt;=Setup!$C$15,MONTH(K433)&lt;=Setup!$C$16)),IF(Setup!$C$15&lt;=Setup!$C$16,AND(MONTH(WORKDAY(K433,-(Setup!$C$13+Setup!$G$29),Setup!$C$39:$C$50))&gt;=Setup!$C$15,MONTH(WORKDAY(K433,-(Setup!$C$13+Setup!$G$29),Setup!$C$39:$C$50))&lt;=Setup!$C$16),OR(MONTH(WORKDAY(K433,-(Setup!$C$13+Setup!$G$29),Setup!$C$39:$C$50))&gt;=Setup!$C$15,MONTH(WORKDAY(K433,-(Setup!$C$13+Setup!$G$29),Setup!$C$39:$C$50))&lt;=Setup!$C$16))),WORKDAY(K433,-(Setup!$C$13+Setup!$G$29+Setup!$C$14),Setup!$C$39:$C$50),WORKDAY(K433,-(Setup!$C$13+Setup!$G$29),Setup!$C$39:$C$50))+(428*100+10)/10000000)))</f>
        <v/>
      </c>
      <c r="AB433" t="str">
        <f>IF(L433="","",IF(L433&lt;Setup!$C$5-Setup!$C$6,"",IF(IF(ISNUMBER(Roster!$D433),Setup!$C$30&lt;=Roster!$D433,FALSE),"",IF(OR(IF(Setup!$C$15&lt;=Setup!$C$16,AND(MONTH(L433)&gt;=Setup!$C$15,MONTH(L433)&lt;=Setup!$C$16),OR(MONTH(L433)&gt;=Setup!$C$15,MONTH(L433)&lt;=Setup!$C$16)),IF(Setup!$C$15&lt;=Setup!$C$16,AND(MONTH(WORKDAY(L433,-(Setup!$C$13+Setup!$G$30),Setup!$C$39:$C$50))&gt;=Setup!$C$15,MONTH(WORKDAY(L433,-(Setup!$C$13+Setup!$G$30),Setup!$C$39:$C$50))&lt;=Setup!$C$16),OR(MONTH(WORKDAY(L433,-(Setup!$C$13+Setup!$G$30),Setup!$C$39:$C$50))&gt;=Setup!$C$15,MONTH(WORKDAY(L433,-(Setup!$C$13+Setup!$G$30),Setup!$C$39:$C$50))&lt;=Setup!$C$16))),WORKDAY(L433,-(Setup!$C$13+Setup!$G$30+Setup!$C$14),Setup!$C$39:$C$50),WORKDAY(L433,-(Setup!$C$13+Setup!$G$30),Setup!$C$39:$C$50))+(428*100+11)/10000000)))</f>
        <v/>
      </c>
      <c r="AC433" t="str">
        <f>IF(M433="","",IF(M433&lt;Setup!$C$5-Setup!$C$6,"",IF(IF(ISNUMBER(Roster!$D433),Setup!$C$31&lt;=Roster!$D433,FALSE),"",IF(OR(IF(Setup!$C$15&lt;=Setup!$C$16,AND(MONTH(M433)&gt;=Setup!$C$15,MONTH(M433)&lt;=Setup!$C$16),OR(MONTH(M433)&gt;=Setup!$C$15,MONTH(M433)&lt;=Setup!$C$16)),IF(Setup!$C$15&lt;=Setup!$C$16,AND(MONTH(WORKDAY(M433,-(Setup!$C$13+Setup!$G$31),Setup!$C$39:$C$50))&gt;=Setup!$C$15,MONTH(WORKDAY(M433,-(Setup!$C$13+Setup!$G$31),Setup!$C$39:$C$50))&lt;=Setup!$C$16),OR(MONTH(WORKDAY(M433,-(Setup!$C$13+Setup!$G$31),Setup!$C$39:$C$50))&gt;=Setup!$C$15,MONTH(WORKDAY(M433,-(Setup!$C$13+Setup!$G$31),Setup!$C$39:$C$50))&lt;=Setup!$C$16))),WORKDAY(M433,-(Setup!$C$13+Setup!$G$31+Setup!$C$14),Setup!$C$39:$C$50),WORKDAY(M433,-(Setup!$C$13+Setup!$G$31),Setup!$C$39:$C$50))+(428*100+12)/10000000)))</f>
        <v/>
      </c>
      <c r="AD433" t="str">
        <f>IF(N433="","",IF(N433&lt;Setup!$C$5-Setup!$C$6,"",IF(IF(ISNUMBER(Roster!$D433),Setup!$C$32&lt;=Roster!$D433,FALSE),"",IF(OR(IF(Setup!$C$15&lt;=Setup!$C$16,AND(MONTH(N433)&gt;=Setup!$C$15,MONTH(N433)&lt;=Setup!$C$16),OR(MONTH(N433)&gt;=Setup!$C$15,MONTH(N433)&lt;=Setup!$C$16)),IF(Setup!$C$15&lt;=Setup!$C$16,AND(MONTH(WORKDAY(N433,-(Setup!$C$13+Setup!$G$32),Setup!$C$39:$C$50))&gt;=Setup!$C$15,MONTH(WORKDAY(N433,-(Setup!$C$13+Setup!$G$32),Setup!$C$39:$C$50))&lt;=Setup!$C$16),OR(MONTH(WORKDAY(N433,-(Setup!$C$13+Setup!$G$32),Setup!$C$39:$C$50))&gt;=Setup!$C$15,MONTH(WORKDAY(N433,-(Setup!$C$13+Setup!$G$32),Setup!$C$39:$C$50))&lt;=Setup!$C$16))),WORKDAY(N433,-(Setup!$C$13+Setup!$G$32+Setup!$C$14),Setup!$C$39:$C$50),WORKDAY(N433,-(Setup!$C$13+Setup!$G$32),Setup!$C$39:$C$50))+(428*100+13)/10000000)))</f>
        <v/>
      </c>
      <c r="AE433" t="str">
        <f>IF(O433="","",IF(O433&lt;Setup!$C$5-Setup!$C$6,"",IF(IF(ISNUMBER(Roster!$D433),Setup!$C$33&lt;=Roster!$D433,FALSE),"",IF(OR(IF(Setup!$C$15&lt;=Setup!$C$16,AND(MONTH(O433)&gt;=Setup!$C$15,MONTH(O433)&lt;=Setup!$C$16),OR(MONTH(O433)&gt;=Setup!$C$15,MONTH(O433)&lt;=Setup!$C$16)),IF(Setup!$C$15&lt;=Setup!$C$16,AND(MONTH(WORKDAY(O433,-(Setup!$C$13+Setup!$G$33),Setup!$C$39:$C$50))&gt;=Setup!$C$15,MONTH(WORKDAY(O433,-(Setup!$C$13+Setup!$G$33),Setup!$C$39:$C$50))&lt;=Setup!$C$16),OR(MONTH(WORKDAY(O433,-(Setup!$C$13+Setup!$G$33),Setup!$C$39:$C$50))&gt;=Setup!$C$15,MONTH(WORKDAY(O433,-(Setup!$C$13+Setup!$G$33),Setup!$C$39:$C$50))&lt;=Setup!$C$16))),WORKDAY(O433,-(Setup!$C$13+Setup!$G$33+Setup!$C$14),Setup!$C$39:$C$50),WORKDAY(O433,-(Setup!$C$13+Setup!$G$33),Setup!$C$39:$C$50))+(428*100+14)/10000000)))</f>
        <v/>
      </c>
      <c r="AF433" t="str">
        <f>IF(P433="","",IF(P433&lt;Setup!$C$5-Setup!$C$6,"",IF(IF(ISNUMBER(Roster!$D433),Setup!$C$34&lt;=Roster!$D433,FALSE),"",IF(OR(IF(Setup!$C$15&lt;=Setup!$C$16,AND(MONTH(P433)&gt;=Setup!$C$15,MONTH(P433)&lt;=Setup!$C$16),OR(MONTH(P433)&gt;=Setup!$C$15,MONTH(P433)&lt;=Setup!$C$16)),IF(Setup!$C$15&lt;=Setup!$C$16,AND(MONTH(WORKDAY(P433,-(Setup!$C$13+Setup!$G$34),Setup!$C$39:$C$50))&gt;=Setup!$C$15,MONTH(WORKDAY(P433,-(Setup!$C$13+Setup!$G$34),Setup!$C$39:$C$50))&lt;=Setup!$C$16),OR(MONTH(WORKDAY(P433,-(Setup!$C$13+Setup!$G$34),Setup!$C$39:$C$50))&gt;=Setup!$C$15,MONTH(WORKDAY(P433,-(Setup!$C$13+Setup!$G$34),Setup!$C$39:$C$50))&lt;=Setup!$C$16))),WORKDAY(P433,-(Setup!$C$13+Setup!$G$34+Setup!$C$14),Setup!$C$39:$C$50),WORKDAY(P433,-(Setup!$C$13+Setup!$G$34),Setup!$C$39:$C$50))+(428*100+15)/10000000)))</f>
        <v/>
      </c>
      <c r="AH433" t="str">
        <f t="shared" si="46"/>
        <v/>
      </c>
      <c r="AI433" t="str">
        <f t="shared" si="47"/>
        <v/>
      </c>
      <c r="AP433" t="str">
        <f>IF(ISNUMBER(Roster!$B433),MAX(1,YEAR(Setup!$C$5)-YEAR(Roster!$B433)+IF(EDATE(Roster!$B433,12*(YEAR(Setup!$C$5)-YEAR(Roster!$B433)))&lt;Setup!$C$5,1,0)),"")</f>
        <v/>
      </c>
      <c r="AQ433" s="32" t="str">
        <f>IF(AP433="","",EDATE(Roster!$B433,12*AP433))</f>
        <v/>
      </c>
      <c r="AR433" t="str">
        <f>IF(AQ433="","",IF(AQ433&lt;DATE(YEAR(Setup!$C$5)+1,MONTH(Setup!$C$5),DAY(Setup!$C$5)),AQ433+428/1000,""))</f>
        <v/>
      </c>
      <c r="AS433" t="str">
        <f t="shared" si="48"/>
        <v/>
      </c>
      <c r="AT433" t="str">
        <f>IF(AS433="","",IF(ISNUMBER(Roster!$D433),Roster!$D433&gt;=AP433,FALSE))</f>
        <v/>
      </c>
      <c r="AU433" t="str">
        <f t="shared" si="49"/>
        <v/>
      </c>
      <c r="AV433" t="str">
        <f ca="1">IF(428&gt;$AV$2,"",SMALL($AR$6:$AR$505,428))</f>
        <v/>
      </c>
      <c r="AW433" t="str">
        <f t="shared" ca="1" si="50"/>
        <v/>
      </c>
    </row>
    <row r="434" spans="2:49" x14ac:dyDescent="0.2">
      <c r="B434" s="32" t="str">
        <f>IF(AND(ISNUMBER(Roster!$B434),Setup!$B$20="Yes",ISNUMBER(Setup!$C$20)),EDATE(Roster!$B434,12*Setup!$C$20),"")</f>
        <v/>
      </c>
      <c r="C434" s="32" t="str">
        <f>IF(AND(ISNUMBER(Roster!$B434),Setup!$B$21="Yes",ISNUMBER(Setup!$C$21)),EDATE(Roster!$B434,12*Setup!$C$21),"")</f>
        <v/>
      </c>
      <c r="D434" s="32" t="str">
        <f>IF(AND(ISNUMBER(Roster!$B434),Setup!$B$22="Yes",ISNUMBER(Setup!$C$22)),EDATE(Roster!$B434,12*Setup!$C$22),"")</f>
        <v/>
      </c>
      <c r="E434" s="32" t="str">
        <f>IF(AND(ISNUMBER(Roster!$B434),Setup!$B$23="Yes",ISNUMBER(Setup!$C$23)),EDATE(Roster!$B434,12*Setup!$C$23),"")</f>
        <v/>
      </c>
      <c r="F434" s="32" t="str">
        <f>IF(AND(ISNUMBER(Roster!$B434),Setup!$B$24="Yes",ISNUMBER(Setup!$C$24)),EDATE(Roster!$B434,12*Setup!$C$24),"")</f>
        <v/>
      </c>
      <c r="G434" s="32" t="str">
        <f>IF(AND(ISNUMBER(Roster!$B434),Setup!$B$25="Yes",ISNUMBER(Setup!$C$25)),EDATE(Roster!$B434,12*Setup!$C$25),"")</f>
        <v/>
      </c>
      <c r="H434" s="32" t="str">
        <f>IF(AND(ISNUMBER(Roster!$B434),Setup!$B$26="Yes",ISNUMBER(Setup!$C$26)),EDATE(Roster!$B434,12*Setup!$C$26),"")</f>
        <v/>
      </c>
      <c r="I434" s="32" t="str">
        <f>IF(AND(ISNUMBER(Roster!$B434),Setup!$B$27="Yes",ISNUMBER(Setup!$C$27)),EDATE(Roster!$B434,12*Setup!$C$27),"")</f>
        <v/>
      </c>
      <c r="J434" s="32" t="str">
        <f>IF(AND(ISNUMBER(Roster!$B434),Setup!$B$28="Yes",ISNUMBER(Setup!$C$28)),EDATE(Roster!$B434,12*Setup!$C$28),"")</f>
        <v/>
      </c>
      <c r="K434" s="32" t="str">
        <f>IF(AND(ISNUMBER(Roster!$B434),Setup!$B$29="Yes",ISNUMBER(Setup!$C$29)),EDATE(Roster!$B434,12*Setup!$C$29),"")</f>
        <v/>
      </c>
      <c r="L434" s="32" t="str">
        <f>IF(AND(ISNUMBER(Roster!$B434),Setup!$B$30="Yes",ISNUMBER(Setup!$C$30)),EDATE(Roster!$B434,12*Setup!$C$30),"")</f>
        <v/>
      </c>
      <c r="M434" s="32" t="str">
        <f>IF(AND(ISNUMBER(Roster!$B434),Setup!$B$31="Yes",ISNUMBER(Setup!$C$31)),EDATE(Roster!$B434,12*Setup!$C$31),"")</f>
        <v/>
      </c>
      <c r="N434" s="32" t="str">
        <f>IF(AND(ISNUMBER(Roster!$B434),Setup!$B$32="Yes",ISNUMBER(Setup!$C$32)),EDATE(Roster!$B434,12*Setup!$C$32),"")</f>
        <v/>
      </c>
      <c r="O434" s="32" t="str">
        <f>IF(AND(ISNUMBER(Roster!$B434),Setup!$B$33="Yes",ISNUMBER(Setup!$C$33)),EDATE(Roster!$B434,12*Setup!$C$33),"")</f>
        <v/>
      </c>
      <c r="P434" s="32" t="str">
        <f>IF(AND(ISNUMBER(Roster!$B434),Setup!$B$34="Yes",ISNUMBER(Setup!$C$34)),EDATE(Roster!$B434,12*Setup!$C$34),"")</f>
        <v/>
      </c>
      <c r="R434" t="str">
        <f>IF(B434="","",IF(B434&lt;Setup!$C$5-Setup!$C$6,"",IF(IF(ISNUMBER(Roster!$D434),Setup!$C$20&lt;=Roster!$D434,FALSE),"",IF(OR(IF(Setup!$C$15&lt;=Setup!$C$16,AND(MONTH(B434)&gt;=Setup!$C$15,MONTH(B434)&lt;=Setup!$C$16),OR(MONTH(B434)&gt;=Setup!$C$15,MONTH(B434)&lt;=Setup!$C$16)),IF(Setup!$C$15&lt;=Setup!$C$16,AND(MONTH(WORKDAY(B434,-(Setup!$C$13+Setup!$G$20),Setup!$C$39:$C$50))&gt;=Setup!$C$15,MONTH(WORKDAY(B434,-(Setup!$C$13+Setup!$G$20),Setup!$C$39:$C$50))&lt;=Setup!$C$16),OR(MONTH(WORKDAY(B434,-(Setup!$C$13+Setup!$G$20),Setup!$C$39:$C$50))&gt;=Setup!$C$15,MONTH(WORKDAY(B434,-(Setup!$C$13+Setup!$G$20),Setup!$C$39:$C$50))&lt;=Setup!$C$16))),WORKDAY(B434,-(Setup!$C$13+Setup!$G$20+Setup!$C$14),Setup!$C$39:$C$50),WORKDAY(B434,-(Setup!$C$13+Setup!$G$20),Setup!$C$39:$C$50))+(429*100+1)/10000000)))</f>
        <v/>
      </c>
      <c r="S434" t="str">
        <f>IF(C434="","",IF(C434&lt;Setup!$C$5-Setup!$C$6,"",IF(IF(ISNUMBER(Roster!$D434),Setup!$C$21&lt;=Roster!$D434,FALSE),"",IF(OR(IF(Setup!$C$15&lt;=Setup!$C$16,AND(MONTH(C434)&gt;=Setup!$C$15,MONTH(C434)&lt;=Setup!$C$16),OR(MONTH(C434)&gt;=Setup!$C$15,MONTH(C434)&lt;=Setup!$C$16)),IF(Setup!$C$15&lt;=Setup!$C$16,AND(MONTH(WORKDAY(C434,-(Setup!$C$13+Setup!$G$21),Setup!$C$39:$C$50))&gt;=Setup!$C$15,MONTH(WORKDAY(C434,-(Setup!$C$13+Setup!$G$21),Setup!$C$39:$C$50))&lt;=Setup!$C$16),OR(MONTH(WORKDAY(C434,-(Setup!$C$13+Setup!$G$21),Setup!$C$39:$C$50))&gt;=Setup!$C$15,MONTH(WORKDAY(C434,-(Setup!$C$13+Setup!$G$21),Setup!$C$39:$C$50))&lt;=Setup!$C$16))),WORKDAY(C434,-(Setup!$C$13+Setup!$G$21+Setup!$C$14),Setup!$C$39:$C$50),WORKDAY(C434,-(Setup!$C$13+Setup!$G$21),Setup!$C$39:$C$50))+(429*100+2)/10000000)))</f>
        <v/>
      </c>
      <c r="T434" t="str">
        <f>IF(D434="","",IF(D434&lt;Setup!$C$5-Setup!$C$6,"",IF(IF(ISNUMBER(Roster!$D434),Setup!$C$22&lt;=Roster!$D434,FALSE),"",IF(OR(IF(Setup!$C$15&lt;=Setup!$C$16,AND(MONTH(D434)&gt;=Setup!$C$15,MONTH(D434)&lt;=Setup!$C$16),OR(MONTH(D434)&gt;=Setup!$C$15,MONTH(D434)&lt;=Setup!$C$16)),IF(Setup!$C$15&lt;=Setup!$C$16,AND(MONTH(WORKDAY(D434,-(Setup!$C$13+Setup!$G$22),Setup!$C$39:$C$50))&gt;=Setup!$C$15,MONTH(WORKDAY(D434,-(Setup!$C$13+Setup!$G$22),Setup!$C$39:$C$50))&lt;=Setup!$C$16),OR(MONTH(WORKDAY(D434,-(Setup!$C$13+Setup!$G$22),Setup!$C$39:$C$50))&gt;=Setup!$C$15,MONTH(WORKDAY(D434,-(Setup!$C$13+Setup!$G$22),Setup!$C$39:$C$50))&lt;=Setup!$C$16))),WORKDAY(D434,-(Setup!$C$13+Setup!$G$22+Setup!$C$14),Setup!$C$39:$C$50),WORKDAY(D434,-(Setup!$C$13+Setup!$G$22),Setup!$C$39:$C$50))+(429*100+3)/10000000)))</f>
        <v/>
      </c>
      <c r="U434" t="str">
        <f>IF(E434="","",IF(E434&lt;Setup!$C$5-Setup!$C$6,"",IF(IF(ISNUMBER(Roster!$D434),Setup!$C$23&lt;=Roster!$D434,FALSE),"",IF(OR(IF(Setup!$C$15&lt;=Setup!$C$16,AND(MONTH(E434)&gt;=Setup!$C$15,MONTH(E434)&lt;=Setup!$C$16),OR(MONTH(E434)&gt;=Setup!$C$15,MONTH(E434)&lt;=Setup!$C$16)),IF(Setup!$C$15&lt;=Setup!$C$16,AND(MONTH(WORKDAY(E434,-(Setup!$C$13+Setup!$G$23),Setup!$C$39:$C$50))&gt;=Setup!$C$15,MONTH(WORKDAY(E434,-(Setup!$C$13+Setup!$G$23),Setup!$C$39:$C$50))&lt;=Setup!$C$16),OR(MONTH(WORKDAY(E434,-(Setup!$C$13+Setup!$G$23),Setup!$C$39:$C$50))&gt;=Setup!$C$15,MONTH(WORKDAY(E434,-(Setup!$C$13+Setup!$G$23),Setup!$C$39:$C$50))&lt;=Setup!$C$16))),WORKDAY(E434,-(Setup!$C$13+Setup!$G$23+Setup!$C$14),Setup!$C$39:$C$50),WORKDAY(E434,-(Setup!$C$13+Setup!$G$23),Setup!$C$39:$C$50))+(429*100+4)/10000000)))</f>
        <v/>
      </c>
      <c r="V434" t="str">
        <f>IF(F434="","",IF(F434&lt;Setup!$C$5-Setup!$C$6,"",IF(IF(ISNUMBER(Roster!$D434),Setup!$C$24&lt;=Roster!$D434,FALSE),"",IF(OR(IF(Setup!$C$15&lt;=Setup!$C$16,AND(MONTH(F434)&gt;=Setup!$C$15,MONTH(F434)&lt;=Setup!$C$16),OR(MONTH(F434)&gt;=Setup!$C$15,MONTH(F434)&lt;=Setup!$C$16)),IF(Setup!$C$15&lt;=Setup!$C$16,AND(MONTH(WORKDAY(F434,-(Setup!$C$13+Setup!$G$24),Setup!$C$39:$C$50))&gt;=Setup!$C$15,MONTH(WORKDAY(F434,-(Setup!$C$13+Setup!$G$24),Setup!$C$39:$C$50))&lt;=Setup!$C$16),OR(MONTH(WORKDAY(F434,-(Setup!$C$13+Setup!$G$24),Setup!$C$39:$C$50))&gt;=Setup!$C$15,MONTH(WORKDAY(F434,-(Setup!$C$13+Setup!$G$24),Setup!$C$39:$C$50))&lt;=Setup!$C$16))),WORKDAY(F434,-(Setup!$C$13+Setup!$G$24+Setup!$C$14),Setup!$C$39:$C$50),WORKDAY(F434,-(Setup!$C$13+Setup!$G$24),Setup!$C$39:$C$50))+(429*100+5)/10000000)))</f>
        <v/>
      </c>
      <c r="W434" t="str">
        <f>IF(G434="","",IF(G434&lt;Setup!$C$5-Setup!$C$6,"",IF(IF(ISNUMBER(Roster!$D434),Setup!$C$25&lt;=Roster!$D434,FALSE),"",IF(OR(IF(Setup!$C$15&lt;=Setup!$C$16,AND(MONTH(G434)&gt;=Setup!$C$15,MONTH(G434)&lt;=Setup!$C$16),OR(MONTH(G434)&gt;=Setup!$C$15,MONTH(G434)&lt;=Setup!$C$16)),IF(Setup!$C$15&lt;=Setup!$C$16,AND(MONTH(WORKDAY(G434,-(Setup!$C$13+Setup!$G$25),Setup!$C$39:$C$50))&gt;=Setup!$C$15,MONTH(WORKDAY(G434,-(Setup!$C$13+Setup!$G$25),Setup!$C$39:$C$50))&lt;=Setup!$C$16),OR(MONTH(WORKDAY(G434,-(Setup!$C$13+Setup!$G$25),Setup!$C$39:$C$50))&gt;=Setup!$C$15,MONTH(WORKDAY(G434,-(Setup!$C$13+Setup!$G$25),Setup!$C$39:$C$50))&lt;=Setup!$C$16))),WORKDAY(G434,-(Setup!$C$13+Setup!$G$25+Setup!$C$14),Setup!$C$39:$C$50),WORKDAY(G434,-(Setup!$C$13+Setup!$G$25),Setup!$C$39:$C$50))+(429*100+6)/10000000)))</f>
        <v/>
      </c>
      <c r="X434" t="str">
        <f>IF(H434="","",IF(H434&lt;Setup!$C$5-Setup!$C$6,"",IF(IF(ISNUMBER(Roster!$D434),Setup!$C$26&lt;=Roster!$D434,FALSE),"",IF(OR(IF(Setup!$C$15&lt;=Setup!$C$16,AND(MONTH(H434)&gt;=Setup!$C$15,MONTH(H434)&lt;=Setup!$C$16),OR(MONTH(H434)&gt;=Setup!$C$15,MONTH(H434)&lt;=Setup!$C$16)),IF(Setup!$C$15&lt;=Setup!$C$16,AND(MONTH(WORKDAY(H434,-(Setup!$C$13+Setup!$G$26),Setup!$C$39:$C$50))&gt;=Setup!$C$15,MONTH(WORKDAY(H434,-(Setup!$C$13+Setup!$G$26),Setup!$C$39:$C$50))&lt;=Setup!$C$16),OR(MONTH(WORKDAY(H434,-(Setup!$C$13+Setup!$G$26),Setup!$C$39:$C$50))&gt;=Setup!$C$15,MONTH(WORKDAY(H434,-(Setup!$C$13+Setup!$G$26),Setup!$C$39:$C$50))&lt;=Setup!$C$16))),WORKDAY(H434,-(Setup!$C$13+Setup!$G$26+Setup!$C$14),Setup!$C$39:$C$50),WORKDAY(H434,-(Setup!$C$13+Setup!$G$26),Setup!$C$39:$C$50))+(429*100+7)/10000000)))</f>
        <v/>
      </c>
      <c r="Y434" t="str">
        <f>IF(I434="","",IF(I434&lt;Setup!$C$5-Setup!$C$6,"",IF(IF(ISNUMBER(Roster!$D434),Setup!$C$27&lt;=Roster!$D434,FALSE),"",IF(OR(IF(Setup!$C$15&lt;=Setup!$C$16,AND(MONTH(I434)&gt;=Setup!$C$15,MONTH(I434)&lt;=Setup!$C$16),OR(MONTH(I434)&gt;=Setup!$C$15,MONTH(I434)&lt;=Setup!$C$16)),IF(Setup!$C$15&lt;=Setup!$C$16,AND(MONTH(WORKDAY(I434,-(Setup!$C$13+Setup!$G$27),Setup!$C$39:$C$50))&gt;=Setup!$C$15,MONTH(WORKDAY(I434,-(Setup!$C$13+Setup!$G$27),Setup!$C$39:$C$50))&lt;=Setup!$C$16),OR(MONTH(WORKDAY(I434,-(Setup!$C$13+Setup!$G$27),Setup!$C$39:$C$50))&gt;=Setup!$C$15,MONTH(WORKDAY(I434,-(Setup!$C$13+Setup!$G$27),Setup!$C$39:$C$50))&lt;=Setup!$C$16))),WORKDAY(I434,-(Setup!$C$13+Setup!$G$27+Setup!$C$14),Setup!$C$39:$C$50),WORKDAY(I434,-(Setup!$C$13+Setup!$G$27),Setup!$C$39:$C$50))+(429*100+8)/10000000)))</f>
        <v/>
      </c>
      <c r="Z434" t="str">
        <f>IF(J434="","",IF(J434&lt;Setup!$C$5-Setup!$C$6,"",IF(IF(ISNUMBER(Roster!$D434),Setup!$C$28&lt;=Roster!$D434,FALSE),"",IF(OR(IF(Setup!$C$15&lt;=Setup!$C$16,AND(MONTH(J434)&gt;=Setup!$C$15,MONTH(J434)&lt;=Setup!$C$16),OR(MONTH(J434)&gt;=Setup!$C$15,MONTH(J434)&lt;=Setup!$C$16)),IF(Setup!$C$15&lt;=Setup!$C$16,AND(MONTH(WORKDAY(J434,-(Setup!$C$13+Setup!$G$28),Setup!$C$39:$C$50))&gt;=Setup!$C$15,MONTH(WORKDAY(J434,-(Setup!$C$13+Setup!$G$28),Setup!$C$39:$C$50))&lt;=Setup!$C$16),OR(MONTH(WORKDAY(J434,-(Setup!$C$13+Setup!$G$28),Setup!$C$39:$C$50))&gt;=Setup!$C$15,MONTH(WORKDAY(J434,-(Setup!$C$13+Setup!$G$28),Setup!$C$39:$C$50))&lt;=Setup!$C$16))),WORKDAY(J434,-(Setup!$C$13+Setup!$G$28+Setup!$C$14),Setup!$C$39:$C$50),WORKDAY(J434,-(Setup!$C$13+Setup!$G$28),Setup!$C$39:$C$50))+(429*100+9)/10000000)))</f>
        <v/>
      </c>
      <c r="AA434" t="str">
        <f>IF(K434="","",IF(K434&lt;Setup!$C$5-Setup!$C$6,"",IF(IF(ISNUMBER(Roster!$D434),Setup!$C$29&lt;=Roster!$D434,FALSE),"",IF(OR(IF(Setup!$C$15&lt;=Setup!$C$16,AND(MONTH(K434)&gt;=Setup!$C$15,MONTH(K434)&lt;=Setup!$C$16),OR(MONTH(K434)&gt;=Setup!$C$15,MONTH(K434)&lt;=Setup!$C$16)),IF(Setup!$C$15&lt;=Setup!$C$16,AND(MONTH(WORKDAY(K434,-(Setup!$C$13+Setup!$G$29),Setup!$C$39:$C$50))&gt;=Setup!$C$15,MONTH(WORKDAY(K434,-(Setup!$C$13+Setup!$G$29),Setup!$C$39:$C$50))&lt;=Setup!$C$16),OR(MONTH(WORKDAY(K434,-(Setup!$C$13+Setup!$G$29),Setup!$C$39:$C$50))&gt;=Setup!$C$15,MONTH(WORKDAY(K434,-(Setup!$C$13+Setup!$G$29),Setup!$C$39:$C$50))&lt;=Setup!$C$16))),WORKDAY(K434,-(Setup!$C$13+Setup!$G$29+Setup!$C$14),Setup!$C$39:$C$50),WORKDAY(K434,-(Setup!$C$13+Setup!$G$29),Setup!$C$39:$C$50))+(429*100+10)/10000000)))</f>
        <v/>
      </c>
      <c r="AB434" t="str">
        <f>IF(L434="","",IF(L434&lt;Setup!$C$5-Setup!$C$6,"",IF(IF(ISNUMBER(Roster!$D434),Setup!$C$30&lt;=Roster!$D434,FALSE),"",IF(OR(IF(Setup!$C$15&lt;=Setup!$C$16,AND(MONTH(L434)&gt;=Setup!$C$15,MONTH(L434)&lt;=Setup!$C$16),OR(MONTH(L434)&gt;=Setup!$C$15,MONTH(L434)&lt;=Setup!$C$16)),IF(Setup!$C$15&lt;=Setup!$C$16,AND(MONTH(WORKDAY(L434,-(Setup!$C$13+Setup!$G$30),Setup!$C$39:$C$50))&gt;=Setup!$C$15,MONTH(WORKDAY(L434,-(Setup!$C$13+Setup!$G$30),Setup!$C$39:$C$50))&lt;=Setup!$C$16),OR(MONTH(WORKDAY(L434,-(Setup!$C$13+Setup!$G$30),Setup!$C$39:$C$50))&gt;=Setup!$C$15,MONTH(WORKDAY(L434,-(Setup!$C$13+Setup!$G$30),Setup!$C$39:$C$50))&lt;=Setup!$C$16))),WORKDAY(L434,-(Setup!$C$13+Setup!$G$30+Setup!$C$14),Setup!$C$39:$C$50),WORKDAY(L434,-(Setup!$C$13+Setup!$G$30),Setup!$C$39:$C$50))+(429*100+11)/10000000)))</f>
        <v/>
      </c>
      <c r="AC434" t="str">
        <f>IF(M434="","",IF(M434&lt;Setup!$C$5-Setup!$C$6,"",IF(IF(ISNUMBER(Roster!$D434),Setup!$C$31&lt;=Roster!$D434,FALSE),"",IF(OR(IF(Setup!$C$15&lt;=Setup!$C$16,AND(MONTH(M434)&gt;=Setup!$C$15,MONTH(M434)&lt;=Setup!$C$16),OR(MONTH(M434)&gt;=Setup!$C$15,MONTH(M434)&lt;=Setup!$C$16)),IF(Setup!$C$15&lt;=Setup!$C$16,AND(MONTH(WORKDAY(M434,-(Setup!$C$13+Setup!$G$31),Setup!$C$39:$C$50))&gt;=Setup!$C$15,MONTH(WORKDAY(M434,-(Setup!$C$13+Setup!$G$31),Setup!$C$39:$C$50))&lt;=Setup!$C$16),OR(MONTH(WORKDAY(M434,-(Setup!$C$13+Setup!$G$31),Setup!$C$39:$C$50))&gt;=Setup!$C$15,MONTH(WORKDAY(M434,-(Setup!$C$13+Setup!$G$31),Setup!$C$39:$C$50))&lt;=Setup!$C$16))),WORKDAY(M434,-(Setup!$C$13+Setup!$G$31+Setup!$C$14),Setup!$C$39:$C$50),WORKDAY(M434,-(Setup!$C$13+Setup!$G$31),Setup!$C$39:$C$50))+(429*100+12)/10000000)))</f>
        <v/>
      </c>
      <c r="AD434" t="str">
        <f>IF(N434="","",IF(N434&lt;Setup!$C$5-Setup!$C$6,"",IF(IF(ISNUMBER(Roster!$D434),Setup!$C$32&lt;=Roster!$D434,FALSE),"",IF(OR(IF(Setup!$C$15&lt;=Setup!$C$16,AND(MONTH(N434)&gt;=Setup!$C$15,MONTH(N434)&lt;=Setup!$C$16),OR(MONTH(N434)&gt;=Setup!$C$15,MONTH(N434)&lt;=Setup!$C$16)),IF(Setup!$C$15&lt;=Setup!$C$16,AND(MONTH(WORKDAY(N434,-(Setup!$C$13+Setup!$G$32),Setup!$C$39:$C$50))&gt;=Setup!$C$15,MONTH(WORKDAY(N434,-(Setup!$C$13+Setup!$G$32),Setup!$C$39:$C$50))&lt;=Setup!$C$16),OR(MONTH(WORKDAY(N434,-(Setup!$C$13+Setup!$G$32),Setup!$C$39:$C$50))&gt;=Setup!$C$15,MONTH(WORKDAY(N434,-(Setup!$C$13+Setup!$G$32),Setup!$C$39:$C$50))&lt;=Setup!$C$16))),WORKDAY(N434,-(Setup!$C$13+Setup!$G$32+Setup!$C$14),Setup!$C$39:$C$50),WORKDAY(N434,-(Setup!$C$13+Setup!$G$32),Setup!$C$39:$C$50))+(429*100+13)/10000000)))</f>
        <v/>
      </c>
      <c r="AE434" t="str">
        <f>IF(O434="","",IF(O434&lt;Setup!$C$5-Setup!$C$6,"",IF(IF(ISNUMBER(Roster!$D434),Setup!$C$33&lt;=Roster!$D434,FALSE),"",IF(OR(IF(Setup!$C$15&lt;=Setup!$C$16,AND(MONTH(O434)&gt;=Setup!$C$15,MONTH(O434)&lt;=Setup!$C$16),OR(MONTH(O434)&gt;=Setup!$C$15,MONTH(O434)&lt;=Setup!$C$16)),IF(Setup!$C$15&lt;=Setup!$C$16,AND(MONTH(WORKDAY(O434,-(Setup!$C$13+Setup!$G$33),Setup!$C$39:$C$50))&gt;=Setup!$C$15,MONTH(WORKDAY(O434,-(Setup!$C$13+Setup!$G$33),Setup!$C$39:$C$50))&lt;=Setup!$C$16),OR(MONTH(WORKDAY(O434,-(Setup!$C$13+Setup!$G$33),Setup!$C$39:$C$50))&gt;=Setup!$C$15,MONTH(WORKDAY(O434,-(Setup!$C$13+Setup!$G$33),Setup!$C$39:$C$50))&lt;=Setup!$C$16))),WORKDAY(O434,-(Setup!$C$13+Setup!$G$33+Setup!$C$14),Setup!$C$39:$C$50),WORKDAY(O434,-(Setup!$C$13+Setup!$G$33),Setup!$C$39:$C$50))+(429*100+14)/10000000)))</f>
        <v/>
      </c>
      <c r="AF434" t="str">
        <f>IF(P434="","",IF(P434&lt;Setup!$C$5-Setup!$C$6,"",IF(IF(ISNUMBER(Roster!$D434),Setup!$C$34&lt;=Roster!$D434,FALSE),"",IF(OR(IF(Setup!$C$15&lt;=Setup!$C$16,AND(MONTH(P434)&gt;=Setup!$C$15,MONTH(P434)&lt;=Setup!$C$16),OR(MONTH(P434)&gt;=Setup!$C$15,MONTH(P434)&lt;=Setup!$C$16)),IF(Setup!$C$15&lt;=Setup!$C$16,AND(MONTH(WORKDAY(P434,-(Setup!$C$13+Setup!$G$34),Setup!$C$39:$C$50))&gt;=Setup!$C$15,MONTH(WORKDAY(P434,-(Setup!$C$13+Setup!$G$34),Setup!$C$39:$C$50))&lt;=Setup!$C$16),OR(MONTH(WORKDAY(P434,-(Setup!$C$13+Setup!$G$34),Setup!$C$39:$C$50))&gt;=Setup!$C$15,MONTH(WORKDAY(P434,-(Setup!$C$13+Setup!$G$34),Setup!$C$39:$C$50))&lt;=Setup!$C$16))),WORKDAY(P434,-(Setup!$C$13+Setup!$G$34+Setup!$C$14),Setup!$C$39:$C$50),WORKDAY(P434,-(Setup!$C$13+Setup!$G$34),Setup!$C$39:$C$50))+(429*100+15)/10000000)))</f>
        <v/>
      </c>
      <c r="AH434" t="str">
        <f t="shared" si="46"/>
        <v/>
      </c>
      <c r="AI434" t="str">
        <f t="shared" si="47"/>
        <v/>
      </c>
      <c r="AP434" t="str">
        <f>IF(ISNUMBER(Roster!$B434),MAX(1,YEAR(Setup!$C$5)-YEAR(Roster!$B434)+IF(EDATE(Roster!$B434,12*(YEAR(Setup!$C$5)-YEAR(Roster!$B434)))&lt;Setup!$C$5,1,0)),"")</f>
        <v/>
      </c>
      <c r="AQ434" s="32" t="str">
        <f>IF(AP434="","",EDATE(Roster!$B434,12*AP434))</f>
        <v/>
      </c>
      <c r="AR434" t="str">
        <f>IF(AQ434="","",IF(AQ434&lt;DATE(YEAR(Setup!$C$5)+1,MONTH(Setup!$C$5),DAY(Setup!$C$5)),AQ434+429/1000,""))</f>
        <v/>
      </c>
      <c r="AS434" t="str">
        <f t="shared" si="48"/>
        <v/>
      </c>
      <c r="AT434" t="str">
        <f>IF(AS434="","",IF(ISNUMBER(Roster!$D434),Roster!$D434&gt;=AP434,FALSE))</f>
        <v/>
      </c>
      <c r="AU434" t="str">
        <f t="shared" si="49"/>
        <v/>
      </c>
      <c r="AV434" t="str">
        <f ca="1">IF(429&gt;$AV$2,"",SMALL($AR$6:$AR$505,429))</f>
        <v/>
      </c>
      <c r="AW434" t="str">
        <f t="shared" ca="1" si="50"/>
        <v/>
      </c>
    </row>
    <row r="435" spans="2:49" x14ac:dyDescent="0.2">
      <c r="B435" s="32" t="str">
        <f>IF(AND(ISNUMBER(Roster!$B435),Setup!$B$20="Yes",ISNUMBER(Setup!$C$20)),EDATE(Roster!$B435,12*Setup!$C$20),"")</f>
        <v/>
      </c>
      <c r="C435" s="32" t="str">
        <f>IF(AND(ISNUMBER(Roster!$B435),Setup!$B$21="Yes",ISNUMBER(Setup!$C$21)),EDATE(Roster!$B435,12*Setup!$C$21),"")</f>
        <v/>
      </c>
      <c r="D435" s="32" t="str">
        <f>IF(AND(ISNUMBER(Roster!$B435),Setup!$B$22="Yes",ISNUMBER(Setup!$C$22)),EDATE(Roster!$B435,12*Setup!$C$22),"")</f>
        <v/>
      </c>
      <c r="E435" s="32" t="str">
        <f>IF(AND(ISNUMBER(Roster!$B435),Setup!$B$23="Yes",ISNUMBER(Setup!$C$23)),EDATE(Roster!$B435,12*Setup!$C$23),"")</f>
        <v/>
      </c>
      <c r="F435" s="32" t="str">
        <f>IF(AND(ISNUMBER(Roster!$B435),Setup!$B$24="Yes",ISNUMBER(Setup!$C$24)),EDATE(Roster!$B435,12*Setup!$C$24),"")</f>
        <v/>
      </c>
      <c r="G435" s="32" t="str">
        <f>IF(AND(ISNUMBER(Roster!$B435),Setup!$B$25="Yes",ISNUMBER(Setup!$C$25)),EDATE(Roster!$B435,12*Setup!$C$25),"")</f>
        <v/>
      </c>
      <c r="H435" s="32" t="str">
        <f>IF(AND(ISNUMBER(Roster!$B435),Setup!$B$26="Yes",ISNUMBER(Setup!$C$26)),EDATE(Roster!$B435,12*Setup!$C$26),"")</f>
        <v/>
      </c>
      <c r="I435" s="32" t="str">
        <f>IF(AND(ISNUMBER(Roster!$B435),Setup!$B$27="Yes",ISNUMBER(Setup!$C$27)),EDATE(Roster!$B435,12*Setup!$C$27),"")</f>
        <v/>
      </c>
      <c r="J435" s="32" t="str">
        <f>IF(AND(ISNUMBER(Roster!$B435),Setup!$B$28="Yes",ISNUMBER(Setup!$C$28)),EDATE(Roster!$B435,12*Setup!$C$28),"")</f>
        <v/>
      </c>
      <c r="K435" s="32" t="str">
        <f>IF(AND(ISNUMBER(Roster!$B435),Setup!$B$29="Yes",ISNUMBER(Setup!$C$29)),EDATE(Roster!$B435,12*Setup!$C$29),"")</f>
        <v/>
      </c>
      <c r="L435" s="32" t="str">
        <f>IF(AND(ISNUMBER(Roster!$B435),Setup!$B$30="Yes",ISNUMBER(Setup!$C$30)),EDATE(Roster!$B435,12*Setup!$C$30),"")</f>
        <v/>
      </c>
      <c r="M435" s="32" t="str">
        <f>IF(AND(ISNUMBER(Roster!$B435),Setup!$B$31="Yes",ISNUMBER(Setup!$C$31)),EDATE(Roster!$B435,12*Setup!$C$31),"")</f>
        <v/>
      </c>
      <c r="N435" s="32" t="str">
        <f>IF(AND(ISNUMBER(Roster!$B435),Setup!$B$32="Yes",ISNUMBER(Setup!$C$32)),EDATE(Roster!$B435,12*Setup!$C$32),"")</f>
        <v/>
      </c>
      <c r="O435" s="32" t="str">
        <f>IF(AND(ISNUMBER(Roster!$B435),Setup!$B$33="Yes",ISNUMBER(Setup!$C$33)),EDATE(Roster!$B435,12*Setup!$C$33),"")</f>
        <v/>
      </c>
      <c r="P435" s="32" t="str">
        <f>IF(AND(ISNUMBER(Roster!$B435),Setup!$B$34="Yes",ISNUMBER(Setup!$C$34)),EDATE(Roster!$B435,12*Setup!$C$34),"")</f>
        <v/>
      </c>
      <c r="R435" t="str">
        <f>IF(B435="","",IF(B435&lt;Setup!$C$5-Setup!$C$6,"",IF(IF(ISNUMBER(Roster!$D435),Setup!$C$20&lt;=Roster!$D435,FALSE),"",IF(OR(IF(Setup!$C$15&lt;=Setup!$C$16,AND(MONTH(B435)&gt;=Setup!$C$15,MONTH(B435)&lt;=Setup!$C$16),OR(MONTH(B435)&gt;=Setup!$C$15,MONTH(B435)&lt;=Setup!$C$16)),IF(Setup!$C$15&lt;=Setup!$C$16,AND(MONTH(WORKDAY(B435,-(Setup!$C$13+Setup!$G$20),Setup!$C$39:$C$50))&gt;=Setup!$C$15,MONTH(WORKDAY(B435,-(Setup!$C$13+Setup!$G$20),Setup!$C$39:$C$50))&lt;=Setup!$C$16),OR(MONTH(WORKDAY(B435,-(Setup!$C$13+Setup!$G$20),Setup!$C$39:$C$50))&gt;=Setup!$C$15,MONTH(WORKDAY(B435,-(Setup!$C$13+Setup!$G$20),Setup!$C$39:$C$50))&lt;=Setup!$C$16))),WORKDAY(B435,-(Setup!$C$13+Setup!$G$20+Setup!$C$14),Setup!$C$39:$C$50),WORKDAY(B435,-(Setup!$C$13+Setup!$G$20),Setup!$C$39:$C$50))+(430*100+1)/10000000)))</f>
        <v/>
      </c>
      <c r="S435" t="str">
        <f>IF(C435="","",IF(C435&lt;Setup!$C$5-Setup!$C$6,"",IF(IF(ISNUMBER(Roster!$D435),Setup!$C$21&lt;=Roster!$D435,FALSE),"",IF(OR(IF(Setup!$C$15&lt;=Setup!$C$16,AND(MONTH(C435)&gt;=Setup!$C$15,MONTH(C435)&lt;=Setup!$C$16),OR(MONTH(C435)&gt;=Setup!$C$15,MONTH(C435)&lt;=Setup!$C$16)),IF(Setup!$C$15&lt;=Setup!$C$16,AND(MONTH(WORKDAY(C435,-(Setup!$C$13+Setup!$G$21),Setup!$C$39:$C$50))&gt;=Setup!$C$15,MONTH(WORKDAY(C435,-(Setup!$C$13+Setup!$G$21),Setup!$C$39:$C$50))&lt;=Setup!$C$16),OR(MONTH(WORKDAY(C435,-(Setup!$C$13+Setup!$G$21),Setup!$C$39:$C$50))&gt;=Setup!$C$15,MONTH(WORKDAY(C435,-(Setup!$C$13+Setup!$G$21),Setup!$C$39:$C$50))&lt;=Setup!$C$16))),WORKDAY(C435,-(Setup!$C$13+Setup!$G$21+Setup!$C$14),Setup!$C$39:$C$50),WORKDAY(C435,-(Setup!$C$13+Setup!$G$21),Setup!$C$39:$C$50))+(430*100+2)/10000000)))</f>
        <v/>
      </c>
      <c r="T435" t="str">
        <f>IF(D435="","",IF(D435&lt;Setup!$C$5-Setup!$C$6,"",IF(IF(ISNUMBER(Roster!$D435),Setup!$C$22&lt;=Roster!$D435,FALSE),"",IF(OR(IF(Setup!$C$15&lt;=Setup!$C$16,AND(MONTH(D435)&gt;=Setup!$C$15,MONTH(D435)&lt;=Setup!$C$16),OR(MONTH(D435)&gt;=Setup!$C$15,MONTH(D435)&lt;=Setup!$C$16)),IF(Setup!$C$15&lt;=Setup!$C$16,AND(MONTH(WORKDAY(D435,-(Setup!$C$13+Setup!$G$22),Setup!$C$39:$C$50))&gt;=Setup!$C$15,MONTH(WORKDAY(D435,-(Setup!$C$13+Setup!$G$22),Setup!$C$39:$C$50))&lt;=Setup!$C$16),OR(MONTH(WORKDAY(D435,-(Setup!$C$13+Setup!$G$22),Setup!$C$39:$C$50))&gt;=Setup!$C$15,MONTH(WORKDAY(D435,-(Setup!$C$13+Setup!$G$22),Setup!$C$39:$C$50))&lt;=Setup!$C$16))),WORKDAY(D435,-(Setup!$C$13+Setup!$G$22+Setup!$C$14),Setup!$C$39:$C$50),WORKDAY(D435,-(Setup!$C$13+Setup!$G$22),Setup!$C$39:$C$50))+(430*100+3)/10000000)))</f>
        <v/>
      </c>
      <c r="U435" t="str">
        <f>IF(E435="","",IF(E435&lt;Setup!$C$5-Setup!$C$6,"",IF(IF(ISNUMBER(Roster!$D435),Setup!$C$23&lt;=Roster!$D435,FALSE),"",IF(OR(IF(Setup!$C$15&lt;=Setup!$C$16,AND(MONTH(E435)&gt;=Setup!$C$15,MONTH(E435)&lt;=Setup!$C$16),OR(MONTH(E435)&gt;=Setup!$C$15,MONTH(E435)&lt;=Setup!$C$16)),IF(Setup!$C$15&lt;=Setup!$C$16,AND(MONTH(WORKDAY(E435,-(Setup!$C$13+Setup!$G$23),Setup!$C$39:$C$50))&gt;=Setup!$C$15,MONTH(WORKDAY(E435,-(Setup!$C$13+Setup!$G$23),Setup!$C$39:$C$50))&lt;=Setup!$C$16),OR(MONTH(WORKDAY(E435,-(Setup!$C$13+Setup!$G$23),Setup!$C$39:$C$50))&gt;=Setup!$C$15,MONTH(WORKDAY(E435,-(Setup!$C$13+Setup!$G$23),Setup!$C$39:$C$50))&lt;=Setup!$C$16))),WORKDAY(E435,-(Setup!$C$13+Setup!$G$23+Setup!$C$14),Setup!$C$39:$C$50),WORKDAY(E435,-(Setup!$C$13+Setup!$G$23),Setup!$C$39:$C$50))+(430*100+4)/10000000)))</f>
        <v/>
      </c>
      <c r="V435" t="str">
        <f>IF(F435="","",IF(F435&lt;Setup!$C$5-Setup!$C$6,"",IF(IF(ISNUMBER(Roster!$D435),Setup!$C$24&lt;=Roster!$D435,FALSE),"",IF(OR(IF(Setup!$C$15&lt;=Setup!$C$16,AND(MONTH(F435)&gt;=Setup!$C$15,MONTH(F435)&lt;=Setup!$C$16),OR(MONTH(F435)&gt;=Setup!$C$15,MONTH(F435)&lt;=Setup!$C$16)),IF(Setup!$C$15&lt;=Setup!$C$16,AND(MONTH(WORKDAY(F435,-(Setup!$C$13+Setup!$G$24),Setup!$C$39:$C$50))&gt;=Setup!$C$15,MONTH(WORKDAY(F435,-(Setup!$C$13+Setup!$G$24),Setup!$C$39:$C$50))&lt;=Setup!$C$16),OR(MONTH(WORKDAY(F435,-(Setup!$C$13+Setup!$G$24),Setup!$C$39:$C$50))&gt;=Setup!$C$15,MONTH(WORKDAY(F435,-(Setup!$C$13+Setup!$G$24),Setup!$C$39:$C$50))&lt;=Setup!$C$16))),WORKDAY(F435,-(Setup!$C$13+Setup!$G$24+Setup!$C$14),Setup!$C$39:$C$50),WORKDAY(F435,-(Setup!$C$13+Setup!$G$24),Setup!$C$39:$C$50))+(430*100+5)/10000000)))</f>
        <v/>
      </c>
      <c r="W435" t="str">
        <f>IF(G435="","",IF(G435&lt;Setup!$C$5-Setup!$C$6,"",IF(IF(ISNUMBER(Roster!$D435),Setup!$C$25&lt;=Roster!$D435,FALSE),"",IF(OR(IF(Setup!$C$15&lt;=Setup!$C$16,AND(MONTH(G435)&gt;=Setup!$C$15,MONTH(G435)&lt;=Setup!$C$16),OR(MONTH(G435)&gt;=Setup!$C$15,MONTH(G435)&lt;=Setup!$C$16)),IF(Setup!$C$15&lt;=Setup!$C$16,AND(MONTH(WORKDAY(G435,-(Setup!$C$13+Setup!$G$25),Setup!$C$39:$C$50))&gt;=Setup!$C$15,MONTH(WORKDAY(G435,-(Setup!$C$13+Setup!$G$25),Setup!$C$39:$C$50))&lt;=Setup!$C$16),OR(MONTH(WORKDAY(G435,-(Setup!$C$13+Setup!$G$25),Setup!$C$39:$C$50))&gt;=Setup!$C$15,MONTH(WORKDAY(G435,-(Setup!$C$13+Setup!$G$25),Setup!$C$39:$C$50))&lt;=Setup!$C$16))),WORKDAY(G435,-(Setup!$C$13+Setup!$G$25+Setup!$C$14),Setup!$C$39:$C$50),WORKDAY(G435,-(Setup!$C$13+Setup!$G$25),Setup!$C$39:$C$50))+(430*100+6)/10000000)))</f>
        <v/>
      </c>
      <c r="X435" t="str">
        <f>IF(H435="","",IF(H435&lt;Setup!$C$5-Setup!$C$6,"",IF(IF(ISNUMBER(Roster!$D435),Setup!$C$26&lt;=Roster!$D435,FALSE),"",IF(OR(IF(Setup!$C$15&lt;=Setup!$C$16,AND(MONTH(H435)&gt;=Setup!$C$15,MONTH(H435)&lt;=Setup!$C$16),OR(MONTH(H435)&gt;=Setup!$C$15,MONTH(H435)&lt;=Setup!$C$16)),IF(Setup!$C$15&lt;=Setup!$C$16,AND(MONTH(WORKDAY(H435,-(Setup!$C$13+Setup!$G$26),Setup!$C$39:$C$50))&gt;=Setup!$C$15,MONTH(WORKDAY(H435,-(Setup!$C$13+Setup!$G$26),Setup!$C$39:$C$50))&lt;=Setup!$C$16),OR(MONTH(WORKDAY(H435,-(Setup!$C$13+Setup!$G$26),Setup!$C$39:$C$50))&gt;=Setup!$C$15,MONTH(WORKDAY(H435,-(Setup!$C$13+Setup!$G$26),Setup!$C$39:$C$50))&lt;=Setup!$C$16))),WORKDAY(H435,-(Setup!$C$13+Setup!$G$26+Setup!$C$14),Setup!$C$39:$C$50),WORKDAY(H435,-(Setup!$C$13+Setup!$G$26),Setup!$C$39:$C$50))+(430*100+7)/10000000)))</f>
        <v/>
      </c>
      <c r="Y435" t="str">
        <f>IF(I435="","",IF(I435&lt;Setup!$C$5-Setup!$C$6,"",IF(IF(ISNUMBER(Roster!$D435),Setup!$C$27&lt;=Roster!$D435,FALSE),"",IF(OR(IF(Setup!$C$15&lt;=Setup!$C$16,AND(MONTH(I435)&gt;=Setup!$C$15,MONTH(I435)&lt;=Setup!$C$16),OR(MONTH(I435)&gt;=Setup!$C$15,MONTH(I435)&lt;=Setup!$C$16)),IF(Setup!$C$15&lt;=Setup!$C$16,AND(MONTH(WORKDAY(I435,-(Setup!$C$13+Setup!$G$27),Setup!$C$39:$C$50))&gt;=Setup!$C$15,MONTH(WORKDAY(I435,-(Setup!$C$13+Setup!$G$27),Setup!$C$39:$C$50))&lt;=Setup!$C$16),OR(MONTH(WORKDAY(I435,-(Setup!$C$13+Setup!$G$27),Setup!$C$39:$C$50))&gt;=Setup!$C$15,MONTH(WORKDAY(I435,-(Setup!$C$13+Setup!$G$27),Setup!$C$39:$C$50))&lt;=Setup!$C$16))),WORKDAY(I435,-(Setup!$C$13+Setup!$G$27+Setup!$C$14),Setup!$C$39:$C$50),WORKDAY(I435,-(Setup!$C$13+Setup!$G$27),Setup!$C$39:$C$50))+(430*100+8)/10000000)))</f>
        <v/>
      </c>
      <c r="Z435" t="str">
        <f>IF(J435="","",IF(J435&lt;Setup!$C$5-Setup!$C$6,"",IF(IF(ISNUMBER(Roster!$D435),Setup!$C$28&lt;=Roster!$D435,FALSE),"",IF(OR(IF(Setup!$C$15&lt;=Setup!$C$16,AND(MONTH(J435)&gt;=Setup!$C$15,MONTH(J435)&lt;=Setup!$C$16),OR(MONTH(J435)&gt;=Setup!$C$15,MONTH(J435)&lt;=Setup!$C$16)),IF(Setup!$C$15&lt;=Setup!$C$16,AND(MONTH(WORKDAY(J435,-(Setup!$C$13+Setup!$G$28),Setup!$C$39:$C$50))&gt;=Setup!$C$15,MONTH(WORKDAY(J435,-(Setup!$C$13+Setup!$G$28),Setup!$C$39:$C$50))&lt;=Setup!$C$16),OR(MONTH(WORKDAY(J435,-(Setup!$C$13+Setup!$G$28),Setup!$C$39:$C$50))&gt;=Setup!$C$15,MONTH(WORKDAY(J435,-(Setup!$C$13+Setup!$G$28),Setup!$C$39:$C$50))&lt;=Setup!$C$16))),WORKDAY(J435,-(Setup!$C$13+Setup!$G$28+Setup!$C$14),Setup!$C$39:$C$50),WORKDAY(J435,-(Setup!$C$13+Setup!$G$28),Setup!$C$39:$C$50))+(430*100+9)/10000000)))</f>
        <v/>
      </c>
      <c r="AA435" t="str">
        <f>IF(K435="","",IF(K435&lt;Setup!$C$5-Setup!$C$6,"",IF(IF(ISNUMBER(Roster!$D435),Setup!$C$29&lt;=Roster!$D435,FALSE),"",IF(OR(IF(Setup!$C$15&lt;=Setup!$C$16,AND(MONTH(K435)&gt;=Setup!$C$15,MONTH(K435)&lt;=Setup!$C$16),OR(MONTH(K435)&gt;=Setup!$C$15,MONTH(K435)&lt;=Setup!$C$16)),IF(Setup!$C$15&lt;=Setup!$C$16,AND(MONTH(WORKDAY(K435,-(Setup!$C$13+Setup!$G$29),Setup!$C$39:$C$50))&gt;=Setup!$C$15,MONTH(WORKDAY(K435,-(Setup!$C$13+Setup!$G$29),Setup!$C$39:$C$50))&lt;=Setup!$C$16),OR(MONTH(WORKDAY(K435,-(Setup!$C$13+Setup!$G$29),Setup!$C$39:$C$50))&gt;=Setup!$C$15,MONTH(WORKDAY(K435,-(Setup!$C$13+Setup!$G$29),Setup!$C$39:$C$50))&lt;=Setup!$C$16))),WORKDAY(K435,-(Setup!$C$13+Setup!$G$29+Setup!$C$14),Setup!$C$39:$C$50),WORKDAY(K435,-(Setup!$C$13+Setup!$G$29),Setup!$C$39:$C$50))+(430*100+10)/10000000)))</f>
        <v/>
      </c>
      <c r="AB435" t="str">
        <f>IF(L435="","",IF(L435&lt;Setup!$C$5-Setup!$C$6,"",IF(IF(ISNUMBER(Roster!$D435),Setup!$C$30&lt;=Roster!$D435,FALSE),"",IF(OR(IF(Setup!$C$15&lt;=Setup!$C$16,AND(MONTH(L435)&gt;=Setup!$C$15,MONTH(L435)&lt;=Setup!$C$16),OR(MONTH(L435)&gt;=Setup!$C$15,MONTH(L435)&lt;=Setup!$C$16)),IF(Setup!$C$15&lt;=Setup!$C$16,AND(MONTH(WORKDAY(L435,-(Setup!$C$13+Setup!$G$30),Setup!$C$39:$C$50))&gt;=Setup!$C$15,MONTH(WORKDAY(L435,-(Setup!$C$13+Setup!$G$30),Setup!$C$39:$C$50))&lt;=Setup!$C$16),OR(MONTH(WORKDAY(L435,-(Setup!$C$13+Setup!$G$30),Setup!$C$39:$C$50))&gt;=Setup!$C$15,MONTH(WORKDAY(L435,-(Setup!$C$13+Setup!$G$30),Setup!$C$39:$C$50))&lt;=Setup!$C$16))),WORKDAY(L435,-(Setup!$C$13+Setup!$G$30+Setup!$C$14),Setup!$C$39:$C$50),WORKDAY(L435,-(Setup!$C$13+Setup!$G$30),Setup!$C$39:$C$50))+(430*100+11)/10000000)))</f>
        <v/>
      </c>
      <c r="AC435" t="str">
        <f>IF(M435="","",IF(M435&lt;Setup!$C$5-Setup!$C$6,"",IF(IF(ISNUMBER(Roster!$D435),Setup!$C$31&lt;=Roster!$D435,FALSE),"",IF(OR(IF(Setup!$C$15&lt;=Setup!$C$16,AND(MONTH(M435)&gt;=Setup!$C$15,MONTH(M435)&lt;=Setup!$C$16),OR(MONTH(M435)&gt;=Setup!$C$15,MONTH(M435)&lt;=Setup!$C$16)),IF(Setup!$C$15&lt;=Setup!$C$16,AND(MONTH(WORKDAY(M435,-(Setup!$C$13+Setup!$G$31),Setup!$C$39:$C$50))&gt;=Setup!$C$15,MONTH(WORKDAY(M435,-(Setup!$C$13+Setup!$G$31),Setup!$C$39:$C$50))&lt;=Setup!$C$16),OR(MONTH(WORKDAY(M435,-(Setup!$C$13+Setup!$G$31),Setup!$C$39:$C$50))&gt;=Setup!$C$15,MONTH(WORKDAY(M435,-(Setup!$C$13+Setup!$G$31),Setup!$C$39:$C$50))&lt;=Setup!$C$16))),WORKDAY(M435,-(Setup!$C$13+Setup!$G$31+Setup!$C$14),Setup!$C$39:$C$50),WORKDAY(M435,-(Setup!$C$13+Setup!$G$31),Setup!$C$39:$C$50))+(430*100+12)/10000000)))</f>
        <v/>
      </c>
      <c r="AD435" t="str">
        <f>IF(N435="","",IF(N435&lt;Setup!$C$5-Setup!$C$6,"",IF(IF(ISNUMBER(Roster!$D435),Setup!$C$32&lt;=Roster!$D435,FALSE),"",IF(OR(IF(Setup!$C$15&lt;=Setup!$C$16,AND(MONTH(N435)&gt;=Setup!$C$15,MONTH(N435)&lt;=Setup!$C$16),OR(MONTH(N435)&gt;=Setup!$C$15,MONTH(N435)&lt;=Setup!$C$16)),IF(Setup!$C$15&lt;=Setup!$C$16,AND(MONTH(WORKDAY(N435,-(Setup!$C$13+Setup!$G$32),Setup!$C$39:$C$50))&gt;=Setup!$C$15,MONTH(WORKDAY(N435,-(Setup!$C$13+Setup!$G$32),Setup!$C$39:$C$50))&lt;=Setup!$C$16),OR(MONTH(WORKDAY(N435,-(Setup!$C$13+Setup!$G$32),Setup!$C$39:$C$50))&gt;=Setup!$C$15,MONTH(WORKDAY(N435,-(Setup!$C$13+Setup!$G$32),Setup!$C$39:$C$50))&lt;=Setup!$C$16))),WORKDAY(N435,-(Setup!$C$13+Setup!$G$32+Setup!$C$14),Setup!$C$39:$C$50),WORKDAY(N435,-(Setup!$C$13+Setup!$G$32),Setup!$C$39:$C$50))+(430*100+13)/10000000)))</f>
        <v/>
      </c>
      <c r="AE435" t="str">
        <f>IF(O435="","",IF(O435&lt;Setup!$C$5-Setup!$C$6,"",IF(IF(ISNUMBER(Roster!$D435),Setup!$C$33&lt;=Roster!$D435,FALSE),"",IF(OR(IF(Setup!$C$15&lt;=Setup!$C$16,AND(MONTH(O435)&gt;=Setup!$C$15,MONTH(O435)&lt;=Setup!$C$16),OR(MONTH(O435)&gt;=Setup!$C$15,MONTH(O435)&lt;=Setup!$C$16)),IF(Setup!$C$15&lt;=Setup!$C$16,AND(MONTH(WORKDAY(O435,-(Setup!$C$13+Setup!$G$33),Setup!$C$39:$C$50))&gt;=Setup!$C$15,MONTH(WORKDAY(O435,-(Setup!$C$13+Setup!$G$33),Setup!$C$39:$C$50))&lt;=Setup!$C$16),OR(MONTH(WORKDAY(O435,-(Setup!$C$13+Setup!$G$33),Setup!$C$39:$C$50))&gt;=Setup!$C$15,MONTH(WORKDAY(O435,-(Setup!$C$13+Setup!$G$33),Setup!$C$39:$C$50))&lt;=Setup!$C$16))),WORKDAY(O435,-(Setup!$C$13+Setup!$G$33+Setup!$C$14),Setup!$C$39:$C$50),WORKDAY(O435,-(Setup!$C$13+Setup!$G$33),Setup!$C$39:$C$50))+(430*100+14)/10000000)))</f>
        <v/>
      </c>
      <c r="AF435" t="str">
        <f>IF(P435="","",IF(P435&lt;Setup!$C$5-Setup!$C$6,"",IF(IF(ISNUMBER(Roster!$D435),Setup!$C$34&lt;=Roster!$D435,FALSE),"",IF(OR(IF(Setup!$C$15&lt;=Setup!$C$16,AND(MONTH(P435)&gt;=Setup!$C$15,MONTH(P435)&lt;=Setup!$C$16),OR(MONTH(P435)&gt;=Setup!$C$15,MONTH(P435)&lt;=Setup!$C$16)),IF(Setup!$C$15&lt;=Setup!$C$16,AND(MONTH(WORKDAY(P435,-(Setup!$C$13+Setup!$G$34),Setup!$C$39:$C$50))&gt;=Setup!$C$15,MONTH(WORKDAY(P435,-(Setup!$C$13+Setup!$G$34),Setup!$C$39:$C$50))&lt;=Setup!$C$16),OR(MONTH(WORKDAY(P435,-(Setup!$C$13+Setup!$G$34),Setup!$C$39:$C$50))&gt;=Setup!$C$15,MONTH(WORKDAY(P435,-(Setup!$C$13+Setup!$G$34),Setup!$C$39:$C$50))&lt;=Setup!$C$16))),WORKDAY(P435,-(Setup!$C$13+Setup!$G$34+Setup!$C$14),Setup!$C$39:$C$50),WORKDAY(P435,-(Setup!$C$13+Setup!$G$34),Setup!$C$39:$C$50))+(430*100+15)/10000000)))</f>
        <v/>
      </c>
      <c r="AH435" t="str">
        <f t="shared" si="46"/>
        <v/>
      </c>
      <c r="AI435" t="str">
        <f t="shared" si="47"/>
        <v/>
      </c>
      <c r="AP435" t="str">
        <f>IF(ISNUMBER(Roster!$B435),MAX(1,YEAR(Setup!$C$5)-YEAR(Roster!$B435)+IF(EDATE(Roster!$B435,12*(YEAR(Setup!$C$5)-YEAR(Roster!$B435)))&lt;Setup!$C$5,1,0)),"")</f>
        <v/>
      </c>
      <c r="AQ435" s="32" t="str">
        <f>IF(AP435="","",EDATE(Roster!$B435,12*AP435))</f>
        <v/>
      </c>
      <c r="AR435" t="str">
        <f>IF(AQ435="","",IF(AQ435&lt;DATE(YEAR(Setup!$C$5)+1,MONTH(Setup!$C$5),DAY(Setup!$C$5)),AQ435+430/1000,""))</f>
        <v/>
      </c>
      <c r="AS435" t="str">
        <f t="shared" si="48"/>
        <v/>
      </c>
      <c r="AT435" t="str">
        <f>IF(AS435="","",IF(ISNUMBER(Roster!$D435),Roster!$D435&gt;=AP435,FALSE))</f>
        <v/>
      </c>
      <c r="AU435" t="str">
        <f t="shared" si="49"/>
        <v/>
      </c>
      <c r="AV435" t="str">
        <f ca="1">IF(430&gt;$AV$2,"",SMALL($AR$6:$AR$505,430))</f>
        <v/>
      </c>
      <c r="AW435" t="str">
        <f t="shared" ca="1" si="50"/>
        <v/>
      </c>
    </row>
    <row r="436" spans="2:49" x14ac:dyDescent="0.2">
      <c r="B436" s="32" t="str">
        <f>IF(AND(ISNUMBER(Roster!$B436),Setup!$B$20="Yes",ISNUMBER(Setup!$C$20)),EDATE(Roster!$B436,12*Setup!$C$20),"")</f>
        <v/>
      </c>
      <c r="C436" s="32" t="str">
        <f>IF(AND(ISNUMBER(Roster!$B436),Setup!$B$21="Yes",ISNUMBER(Setup!$C$21)),EDATE(Roster!$B436,12*Setup!$C$21),"")</f>
        <v/>
      </c>
      <c r="D436" s="32" t="str">
        <f>IF(AND(ISNUMBER(Roster!$B436),Setup!$B$22="Yes",ISNUMBER(Setup!$C$22)),EDATE(Roster!$B436,12*Setup!$C$22),"")</f>
        <v/>
      </c>
      <c r="E436" s="32" t="str">
        <f>IF(AND(ISNUMBER(Roster!$B436),Setup!$B$23="Yes",ISNUMBER(Setup!$C$23)),EDATE(Roster!$B436,12*Setup!$C$23),"")</f>
        <v/>
      </c>
      <c r="F436" s="32" t="str">
        <f>IF(AND(ISNUMBER(Roster!$B436),Setup!$B$24="Yes",ISNUMBER(Setup!$C$24)),EDATE(Roster!$B436,12*Setup!$C$24),"")</f>
        <v/>
      </c>
      <c r="G436" s="32" t="str">
        <f>IF(AND(ISNUMBER(Roster!$B436),Setup!$B$25="Yes",ISNUMBER(Setup!$C$25)),EDATE(Roster!$B436,12*Setup!$C$25),"")</f>
        <v/>
      </c>
      <c r="H436" s="32" t="str">
        <f>IF(AND(ISNUMBER(Roster!$B436),Setup!$B$26="Yes",ISNUMBER(Setup!$C$26)),EDATE(Roster!$B436,12*Setup!$C$26),"")</f>
        <v/>
      </c>
      <c r="I436" s="32" t="str">
        <f>IF(AND(ISNUMBER(Roster!$B436),Setup!$B$27="Yes",ISNUMBER(Setup!$C$27)),EDATE(Roster!$B436,12*Setup!$C$27),"")</f>
        <v/>
      </c>
      <c r="J436" s="32" t="str">
        <f>IF(AND(ISNUMBER(Roster!$B436),Setup!$B$28="Yes",ISNUMBER(Setup!$C$28)),EDATE(Roster!$B436,12*Setup!$C$28),"")</f>
        <v/>
      </c>
      <c r="K436" s="32" t="str">
        <f>IF(AND(ISNUMBER(Roster!$B436),Setup!$B$29="Yes",ISNUMBER(Setup!$C$29)),EDATE(Roster!$B436,12*Setup!$C$29),"")</f>
        <v/>
      </c>
      <c r="L436" s="32" t="str">
        <f>IF(AND(ISNUMBER(Roster!$B436),Setup!$B$30="Yes",ISNUMBER(Setup!$C$30)),EDATE(Roster!$B436,12*Setup!$C$30),"")</f>
        <v/>
      </c>
      <c r="M436" s="32" t="str">
        <f>IF(AND(ISNUMBER(Roster!$B436),Setup!$B$31="Yes",ISNUMBER(Setup!$C$31)),EDATE(Roster!$B436,12*Setup!$C$31),"")</f>
        <v/>
      </c>
      <c r="N436" s="32" t="str">
        <f>IF(AND(ISNUMBER(Roster!$B436),Setup!$B$32="Yes",ISNUMBER(Setup!$C$32)),EDATE(Roster!$B436,12*Setup!$C$32),"")</f>
        <v/>
      </c>
      <c r="O436" s="32" t="str">
        <f>IF(AND(ISNUMBER(Roster!$B436),Setup!$B$33="Yes",ISNUMBER(Setup!$C$33)),EDATE(Roster!$B436,12*Setup!$C$33),"")</f>
        <v/>
      </c>
      <c r="P436" s="32" t="str">
        <f>IF(AND(ISNUMBER(Roster!$B436),Setup!$B$34="Yes",ISNUMBER(Setup!$C$34)),EDATE(Roster!$B436,12*Setup!$C$34),"")</f>
        <v/>
      </c>
      <c r="R436" t="str">
        <f>IF(B436="","",IF(B436&lt;Setup!$C$5-Setup!$C$6,"",IF(IF(ISNUMBER(Roster!$D436),Setup!$C$20&lt;=Roster!$D436,FALSE),"",IF(OR(IF(Setup!$C$15&lt;=Setup!$C$16,AND(MONTH(B436)&gt;=Setup!$C$15,MONTH(B436)&lt;=Setup!$C$16),OR(MONTH(B436)&gt;=Setup!$C$15,MONTH(B436)&lt;=Setup!$C$16)),IF(Setup!$C$15&lt;=Setup!$C$16,AND(MONTH(WORKDAY(B436,-(Setup!$C$13+Setup!$G$20),Setup!$C$39:$C$50))&gt;=Setup!$C$15,MONTH(WORKDAY(B436,-(Setup!$C$13+Setup!$G$20),Setup!$C$39:$C$50))&lt;=Setup!$C$16),OR(MONTH(WORKDAY(B436,-(Setup!$C$13+Setup!$G$20),Setup!$C$39:$C$50))&gt;=Setup!$C$15,MONTH(WORKDAY(B436,-(Setup!$C$13+Setup!$G$20),Setup!$C$39:$C$50))&lt;=Setup!$C$16))),WORKDAY(B436,-(Setup!$C$13+Setup!$G$20+Setup!$C$14),Setup!$C$39:$C$50),WORKDAY(B436,-(Setup!$C$13+Setup!$G$20),Setup!$C$39:$C$50))+(431*100+1)/10000000)))</f>
        <v/>
      </c>
      <c r="S436" t="str">
        <f>IF(C436="","",IF(C436&lt;Setup!$C$5-Setup!$C$6,"",IF(IF(ISNUMBER(Roster!$D436),Setup!$C$21&lt;=Roster!$D436,FALSE),"",IF(OR(IF(Setup!$C$15&lt;=Setup!$C$16,AND(MONTH(C436)&gt;=Setup!$C$15,MONTH(C436)&lt;=Setup!$C$16),OR(MONTH(C436)&gt;=Setup!$C$15,MONTH(C436)&lt;=Setup!$C$16)),IF(Setup!$C$15&lt;=Setup!$C$16,AND(MONTH(WORKDAY(C436,-(Setup!$C$13+Setup!$G$21),Setup!$C$39:$C$50))&gt;=Setup!$C$15,MONTH(WORKDAY(C436,-(Setup!$C$13+Setup!$G$21),Setup!$C$39:$C$50))&lt;=Setup!$C$16),OR(MONTH(WORKDAY(C436,-(Setup!$C$13+Setup!$G$21),Setup!$C$39:$C$50))&gt;=Setup!$C$15,MONTH(WORKDAY(C436,-(Setup!$C$13+Setup!$G$21),Setup!$C$39:$C$50))&lt;=Setup!$C$16))),WORKDAY(C436,-(Setup!$C$13+Setup!$G$21+Setup!$C$14),Setup!$C$39:$C$50),WORKDAY(C436,-(Setup!$C$13+Setup!$G$21),Setup!$C$39:$C$50))+(431*100+2)/10000000)))</f>
        <v/>
      </c>
      <c r="T436" t="str">
        <f>IF(D436="","",IF(D436&lt;Setup!$C$5-Setup!$C$6,"",IF(IF(ISNUMBER(Roster!$D436),Setup!$C$22&lt;=Roster!$D436,FALSE),"",IF(OR(IF(Setup!$C$15&lt;=Setup!$C$16,AND(MONTH(D436)&gt;=Setup!$C$15,MONTH(D436)&lt;=Setup!$C$16),OR(MONTH(D436)&gt;=Setup!$C$15,MONTH(D436)&lt;=Setup!$C$16)),IF(Setup!$C$15&lt;=Setup!$C$16,AND(MONTH(WORKDAY(D436,-(Setup!$C$13+Setup!$G$22),Setup!$C$39:$C$50))&gt;=Setup!$C$15,MONTH(WORKDAY(D436,-(Setup!$C$13+Setup!$G$22),Setup!$C$39:$C$50))&lt;=Setup!$C$16),OR(MONTH(WORKDAY(D436,-(Setup!$C$13+Setup!$G$22),Setup!$C$39:$C$50))&gt;=Setup!$C$15,MONTH(WORKDAY(D436,-(Setup!$C$13+Setup!$G$22),Setup!$C$39:$C$50))&lt;=Setup!$C$16))),WORKDAY(D436,-(Setup!$C$13+Setup!$G$22+Setup!$C$14),Setup!$C$39:$C$50),WORKDAY(D436,-(Setup!$C$13+Setup!$G$22),Setup!$C$39:$C$50))+(431*100+3)/10000000)))</f>
        <v/>
      </c>
      <c r="U436" t="str">
        <f>IF(E436="","",IF(E436&lt;Setup!$C$5-Setup!$C$6,"",IF(IF(ISNUMBER(Roster!$D436),Setup!$C$23&lt;=Roster!$D436,FALSE),"",IF(OR(IF(Setup!$C$15&lt;=Setup!$C$16,AND(MONTH(E436)&gt;=Setup!$C$15,MONTH(E436)&lt;=Setup!$C$16),OR(MONTH(E436)&gt;=Setup!$C$15,MONTH(E436)&lt;=Setup!$C$16)),IF(Setup!$C$15&lt;=Setup!$C$16,AND(MONTH(WORKDAY(E436,-(Setup!$C$13+Setup!$G$23),Setup!$C$39:$C$50))&gt;=Setup!$C$15,MONTH(WORKDAY(E436,-(Setup!$C$13+Setup!$G$23),Setup!$C$39:$C$50))&lt;=Setup!$C$16),OR(MONTH(WORKDAY(E436,-(Setup!$C$13+Setup!$G$23),Setup!$C$39:$C$50))&gt;=Setup!$C$15,MONTH(WORKDAY(E436,-(Setup!$C$13+Setup!$G$23),Setup!$C$39:$C$50))&lt;=Setup!$C$16))),WORKDAY(E436,-(Setup!$C$13+Setup!$G$23+Setup!$C$14),Setup!$C$39:$C$50),WORKDAY(E436,-(Setup!$C$13+Setup!$G$23),Setup!$C$39:$C$50))+(431*100+4)/10000000)))</f>
        <v/>
      </c>
      <c r="V436" t="str">
        <f>IF(F436="","",IF(F436&lt;Setup!$C$5-Setup!$C$6,"",IF(IF(ISNUMBER(Roster!$D436),Setup!$C$24&lt;=Roster!$D436,FALSE),"",IF(OR(IF(Setup!$C$15&lt;=Setup!$C$16,AND(MONTH(F436)&gt;=Setup!$C$15,MONTH(F436)&lt;=Setup!$C$16),OR(MONTH(F436)&gt;=Setup!$C$15,MONTH(F436)&lt;=Setup!$C$16)),IF(Setup!$C$15&lt;=Setup!$C$16,AND(MONTH(WORKDAY(F436,-(Setup!$C$13+Setup!$G$24),Setup!$C$39:$C$50))&gt;=Setup!$C$15,MONTH(WORKDAY(F436,-(Setup!$C$13+Setup!$G$24),Setup!$C$39:$C$50))&lt;=Setup!$C$16),OR(MONTH(WORKDAY(F436,-(Setup!$C$13+Setup!$G$24),Setup!$C$39:$C$50))&gt;=Setup!$C$15,MONTH(WORKDAY(F436,-(Setup!$C$13+Setup!$G$24),Setup!$C$39:$C$50))&lt;=Setup!$C$16))),WORKDAY(F436,-(Setup!$C$13+Setup!$G$24+Setup!$C$14),Setup!$C$39:$C$50),WORKDAY(F436,-(Setup!$C$13+Setup!$G$24),Setup!$C$39:$C$50))+(431*100+5)/10000000)))</f>
        <v/>
      </c>
      <c r="W436" t="str">
        <f>IF(G436="","",IF(G436&lt;Setup!$C$5-Setup!$C$6,"",IF(IF(ISNUMBER(Roster!$D436),Setup!$C$25&lt;=Roster!$D436,FALSE),"",IF(OR(IF(Setup!$C$15&lt;=Setup!$C$16,AND(MONTH(G436)&gt;=Setup!$C$15,MONTH(G436)&lt;=Setup!$C$16),OR(MONTH(G436)&gt;=Setup!$C$15,MONTH(G436)&lt;=Setup!$C$16)),IF(Setup!$C$15&lt;=Setup!$C$16,AND(MONTH(WORKDAY(G436,-(Setup!$C$13+Setup!$G$25),Setup!$C$39:$C$50))&gt;=Setup!$C$15,MONTH(WORKDAY(G436,-(Setup!$C$13+Setup!$G$25),Setup!$C$39:$C$50))&lt;=Setup!$C$16),OR(MONTH(WORKDAY(G436,-(Setup!$C$13+Setup!$G$25),Setup!$C$39:$C$50))&gt;=Setup!$C$15,MONTH(WORKDAY(G436,-(Setup!$C$13+Setup!$G$25),Setup!$C$39:$C$50))&lt;=Setup!$C$16))),WORKDAY(G436,-(Setup!$C$13+Setup!$G$25+Setup!$C$14),Setup!$C$39:$C$50),WORKDAY(G436,-(Setup!$C$13+Setup!$G$25),Setup!$C$39:$C$50))+(431*100+6)/10000000)))</f>
        <v/>
      </c>
      <c r="X436" t="str">
        <f>IF(H436="","",IF(H436&lt;Setup!$C$5-Setup!$C$6,"",IF(IF(ISNUMBER(Roster!$D436),Setup!$C$26&lt;=Roster!$D436,FALSE),"",IF(OR(IF(Setup!$C$15&lt;=Setup!$C$16,AND(MONTH(H436)&gt;=Setup!$C$15,MONTH(H436)&lt;=Setup!$C$16),OR(MONTH(H436)&gt;=Setup!$C$15,MONTH(H436)&lt;=Setup!$C$16)),IF(Setup!$C$15&lt;=Setup!$C$16,AND(MONTH(WORKDAY(H436,-(Setup!$C$13+Setup!$G$26),Setup!$C$39:$C$50))&gt;=Setup!$C$15,MONTH(WORKDAY(H436,-(Setup!$C$13+Setup!$G$26),Setup!$C$39:$C$50))&lt;=Setup!$C$16),OR(MONTH(WORKDAY(H436,-(Setup!$C$13+Setup!$G$26),Setup!$C$39:$C$50))&gt;=Setup!$C$15,MONTH(WORKDAY(H436,-(Setup!$C$13+Setup!$G$26),Setup!$C$39:$C$50))&lt;=Setup!$C$16))),WORKDAY(H436,-(Setup!$C$13+Setup!$G$26+Setup!$C$14),Setup!$C$39:$C$50),WORKDAY(H436,-(Setup!$C$13+Setup!$G$26),Setup!$C$39:$C$50))+(431*100+7)/10000000)))</f>
        <v/>
      </c>
      <c r="Y436" t="str">
        <f>IF(I436="","",IF(I436&lt;Setup!$C$5-Setup!$C$6,"",IF(IF(ISNUMBER(Roster!$D436),Setup!$C$27&lt;=Roster!$D436,FALSE),"",IF(OR(IF(Setup!$C$15&lt;=Setup!$C$16,AND(MONTH(I436)&gt;=Setup!$C$15,MONTH(I436)&lt;=Setup!$C$16),OR(MONTH(I436)&gt;=Setup!$C$15,MONTH(I436)&lt;=Setup!$C$16)),IF(Setup!$C$15&lt;=Setup!$C$16,AND(MONTH(WORKDAY(I436,-(Setup!$C$13+Setup!$G$27),Setup!$C$39:$C$50))&gt;=Setup!$C$15,MONTH(WORKDAY(I436,-(Setup!$C$13+Setup!$G$27),Setup!$C$39:$C$50))&lt;=Setup!$C$16),OR(MONTH(WORKDAY(I436,-(Setup!$C$13+Setup!$G$27),Setup!$C$39:$C$50))&gt;=Setup!$C$15,MONTH(WORKDAY(I436,-(Setup!$C$13+Setup!$G$27),Setup!$C$39:$C$50))&lt;=Setup!$C$16))),WORKDAY(I436,-(Setup!$C$13+Setup!$G$27+Setup!$C$14),Setup!$C$39:$C$50),WORKDAY(I436,-(Setup!$C$13+Setup!$G$27),Setup!$C$39:$C$50))+(431*100+8)/10000000)))</f>
        <v/>
      </c>
      <c r="Z436" t="str">
        <f>IF(J436="","",IF(J436&lt;Setup!$C$5-Setup!$C$6,"",IF(IF(ISNUMBER(Roster!$D436),Setup!$C$28&lt;=Roster!$D436,FALSE),"",IF(OR(IF(Setup!$C$15&lt;=Setup!$C$16,AND(MONTH(J436)&gt;=Setup!$C$15,MONTH(J436)&lt;=Setup!$C$16),OR(MONTH(J436)&gt;=Setup!$C$15,MONTH(J436)&lt;=Setup!$C$16)),IF(Setup!$C$15&lt;=Setup!$C$16,AND(MONTH(WORKDAY(J436,-(Setup!$C$13+Setup!$G$28),Setup!$C$39:$C$50))&gt;=Setup!$C$15,MONTH(WORKDAY(J436,-(Setup!$C$13+Setup!$G$28),Setup!$C$39:$C$50))&lt;=Setup!$C$16),OR(MONTH(WORKDAY(J436,-(Setup!$C$13+Setup!$G$28),Setup!$C$39:$C$50))&gt;=Setup!$C$15,MONTH(WORKDAY(J436,-(Setup!$C$13+Setup!$G$28),Setup!$C$39:$C$50))&lt;=Setup!$C$16))),WORKDAY(J436,-(Setup!$C$13+Setup!$G$28+Setup!$C$14),Setup!$C$39:$C$50),WORKDAY(J436,-(Setup!$C$13+Setup!$G$28),Setup!$C$39:$C$50))+(431*100+9)/10000000)))</f>
        <v/>
      </c>
      <c r="AA436" t="str">
        <f>IF(K436="","",IF(K436&lt;Setup!$C$5-Setup!$C$6,"",IF(IF(ISNUMBER(Roster!$D436),Setup!$C$29&lt;=Roster!$D436,FALSE),"",IF(OR(IF(Setup!$C$15&lt;=Setup!$C$16,AND(MONTH(K436)&gt;=Setup!$C$15,MONTH(K436)&lt;=Setup!$C$16),OR(MONTH(K436)&gt;=Setup!$C$15,MONTH(K436)&lt;=Setup!$C$16)),IF(Setup!$C$15&lt;=Setup!$C$16,AND(MONTH(WORKDAY(K436,-(Setup!$C$13+Setup!$G$29),Setup!$C$39:$C$50))&gt;=Setup!$C$15,MONTH(WORKDAY(K436,-(Setup!$C$13+Setup!$G$29),Setup!$C$39:$C$50))&lt;=Setup!$C$16),OR(MONTH(WORKDAY(K436,-(Setup!$C$13+Setup!$G$29),Setup!$C$39:$C$50))&gt;=Setup!$C$15,MONTH(WORKDAY(K436,-(Setup!$C$13+Setup!$G$29),Setup!$C$39:$C$50))&lt;=Setup!$C$16))),WORKDAY(K436,-(Setup!$C$13+Setup!$G$29+Setup!$C$14),Setup!$C$39:$C$50),WORKDAY(K436,-(Setup!$C$13+Setup!$G$29),Setup!$C$39:$C$50))+(431*100+10)/10000000)))</f>
        <v/>
      </c>
      <c r="AB436" t="str">
        <f>IF(L436="","",IF(L436&lt;Setup!$C$5-Setup!$C$6,"",IF(IF(ISNUMBER(Roster!$D436),Setup!$C$30&lt;=Roster!$D436,FALSE),"",IF(OR(IF(Setup!$C$15&lt;=Setup!$C$16,AND(MONTH(L436)&gt;=Setup!$C$15,MONTH(L436)&lt;=Setup!$C$16),OR(MONTH(L436)&gt;=Setup!$C$15,MONTH(L436)&lt;=Setup!$C$16)),IF(Setup!$C$15&lt;=Setup!$C$16,AND(MONTH(WORKDAY(L436,-(Setup!$C$13+Setup!$G$30),Setup!$C$39:$C$50))&gt;=Setup!$C$15,MONTH(WORKDAY(L436,-(Setup!$C$13+Setup!$G$30),Setup!$C$39:$C$50))&lt;=Setup!$C$16),OR(MONTH(WORKDAY(L436,-(Setup!$C$13+Setup!$G$30),Setup!$C$39:$C$50))&gt;=Setup!$C$15,MONTH(WORKDAY(L436,-(Setup!$C$13+Setup!$G$30),Setup!$C$39:$C$50))&lt;=Setup!$C$16))),WORKDAY(L436,-(Setup!$C$13+Setup!$G$30+Setup!$C$14),Setup!$C$39:$C$50),WORKDAY(L436,-(Setup!$C$13+Setup!$G$30),Setup!$C$39:$C$50))+(431*100+11)/10000000)))</f>
        <v/>
      </c>
      <c r="AC436" t="str">
        <f>IF(M436="","",IF(M436&lt;Setup!$C$5-Setup!$C$6,"",IF(IF(ISNUMBER(Roster!$D436),Setup!$C$31&lt;=Roster!$D436,FALSE),"",IF(OR(IF(Setup!$C$15&lt;=Setup!$C$16,AND(MONTH(M436)&gt;=Setup!$C$15,MONTH(M436)&lt;=Setup!$C$16),OR(MONTH(M436)&gt;=Setup!$C$15,MONTH(M436)&lt;=Setup!$C$16)),IF(Setup!$C$15&lt;=Setup!$C$16,AND(MONTH(WORKDAY(M436,-(Setup!$C$13+Setup!$G$31),Setup!$C$39:$C$50))&gt;=Setup!$C$15,MONTH(WORKDAY(M436,-(Setup!$C$13+Setup!$G$31),Setup!$C$39:$C$50))&lt;=Setup!$C$16),OR(MONTH(WORKDAY(M436,-(Setup!$C$13+Setup!$G$31),Setup!$C$39:$C$50))&gt;=Setup!$C$15,MONTH(WORKDAY(M436,-(Setup!$C$13+Setup!$G$31),Setup!$C$39:$C$50))&lt;=Setup!$C$16))),WORKDAY(M436,-(Setup!$C$13+Setup!$G$31+Setup!$C$14),Setup!$C$39:$C$50),WORKDAY(M436,-(Setup!$C$13+Setup!$G$31),Setup!$C$39:$C$50))+(431*100+12)/10000000)))</f>
        <v/>
      </c>
      <c r="AD436" t="str">
        <f>IF(N436="","",IF(N436&lt;Setup!$C$5-Setup!$C$6,"",IF(IF(ISNUMBER(Roster!$D436),Setup!$C$32&lt;=Roster!$D436,FALSE),"",IF(OR(IF(Setup!$C$15&lt;=Setup!$C$16,AND(MONTH(N436)&gt;=Setup!$C$15,MONTH(N436)&lt;=Setup!$C$16),OR(MONTH(N436)&gt;=Setup!$C$15,MONTH(N436)&lt;=Setup!$C$16)),IF(Setup!$C$15&lt;=Setup!$C$16,AND(MONTH(WORKDAY(N436,-(Setup!$C$13+Setup!$G$32),Setup!$C$39:$C$50))&gt;=Setup!$C$15,MONTH(WORKDAY(N436,-(Setup!$C$13+Setup!$G$32),Setup!$C$39:$C$50))&lt;=Setup!$C$16),OR(MONTH(WORKDAY(N436,-(Setup!$C$13+Setup!$G$32),Setup!$C$39:$C$50))&gt;=Setup!$C$15,MONTH(WORKDAY(N436,-(Setup!$C$13+Setup!$G$32),Setup!$C$39:$C$50))&lt;=Setup!$C$16))),WORKDAY(N436,-(Setup!$C$13+Setup!$G$32+Setup!$C$14),Setup!$C$39:$C$50),WORKDAY(N436,-(Setup!$C$13+Setup!$G$32),Setup!$C$39:$C$50))+(431*100+13)/10000000)))</f>
        <v/>
      </c>
      <c r="AE436" t="str">
        <f>IF(O436="","",IF(O436&lt;Setup!$C$5-Setup!$C$6,"",IF(IF(ISNUMBER(Roster!$D436),Setup!$C$33&lt;=Roster!$D436,FALSE),"",IF(OR(IF(Setup!$C$15&lt;=Setup!$C$16,AND(MONTH(O436)&gt;=Setup!$C$15,MONTH(O436)&lt;=Setup!$C$16),OR(MONTH(O436)&gt;=Setup!$C$15,MONTH(O436)&lt;=Setup!$C$16)),IF(Setup!$C$15&lt;=Setup!$C$16,AND(MONTH(WORKDAY(O436,-(Setup!$C$13+Setup!$G$33),Setup!$C$39:$C$50))&gt;=Setup!$C$15,MONTH(WORKDAY(O436,-(Setup!$C$13+Setup!$G$33),Setup!$C$39:$C$50))&lt;=Setup!$C$16),OR(MONTH(WORKDAY(O436,-(Setup!$C$13+Setup!$G$33),Setup!$C$39:$C$50))&gt;=Setup!$C$15,MONTH(WORKDAY(O436,-(Setup!$C$13+Setup!$G$33),Setup!$C$39:$C$50))&lt;=Setup!$C$16))),WORKDAY(O436,-(Setup!$C$13+Setup!$G$33+Setup!$C$14),Setup!$C$39:$C$50),WORKDAY(O436,-(Setup!$C$13+Setup!$G$33),Setup!$C$39:$C$50))+(431*100+14)/10000000)))</f>
        <v/>
      </c>
      <c r="AF436" t="str">
        <f>IF(P436="","",IF(P436&lt;Setup!$C$5-Setup!$C$6,"",IF(IF(ISNUMBER(Roster!$D436),Setup!$C$34&lt;=Roster!$D436,FALSE),"",IF(OR(IF(Setup!$C$15&lt;=Setup!$C$16,AND(MONTH(P436)&gt;=Setup!$C$15,MONTH(P436)&lt;=Setup!$C$16),OR(MONTH(P436)&gt;=Setup!$C$15,MONTH(P436)&lt;=Setup!$C$16)),IF(Setup!$C$15&lt;=Setup!$C$16,AND(MONTH(WORKDAY(P436,-(Setup!$C$13+Setup!$G$34),Setup!$C$39:$C$50))&gt;=Setup!$C$15,MONTH(WORKDAY(P436,-(Setup!$C$13+Setup!$G$34),Setup!$C$39:$C$50))&lt;=Setup!$C$16),OR(MONTH(WORKDAY(P436,-(Setup!$C$13+Setup!$G$34),Setup!$C$39:$C$50))&gt;=Setup!$C$15,MONTH(WORKDAY(P436,-(Setup!$C$13+Setup!$G$34),Setup!$C$39:$C$50))&lt;=Setup!$C$16))),WORKDAY(P436,-(Setup!$C$13+Setup!$G$34+Setup!$C$14),Setup!$C$39:$C$50),WORKDAY(P436,-(Setup!$C$13+Setup!$G$34),Setup!$C$39:$C$50))+(431*100+15)/10000000)))</f>
        <v/>
      </c>
      <c r="AH436" t="str">
        <f t="shared" si="46"/>
        <v/>
      </c>
      <c r="AI436" t="str">
        <f t="shared" si="47"/>
        <v/>
      </c>
      <c r="AP436" t="str">
        <f>IF(ISNUMBER(Roster!$B436),MAX(1,YEAR(Setup!$C$5)-YEAR(Roster!$B436)+IF(EDATE(Roster!$B436,12*(YEAR(Setup!$C$5)-YEAR(Roster!$B436)))&lt;Setup!$C$5,1,0)),"")</f>
        <v/>
      </c>
      <c r="AQ436" s="32" t="str">
        <f>IF(AP436="","",EDATE(Roster!$B436,12*AP436))</f>
        <v/>
      </c>
      <c r="AR436" t="str">
        <f>IF(AQ436="","",IF(AQ436&lt;DATE(YEAR(Setup!$C$5)+1,MONTH(Setup!$C$5),DAY(Setup!$C$5)),AQ436+431/1000,""))</f>
        <v/>
      </c>
      <c r="AS436" t="str">
        <f t="shared" si="48"/>
        <v/>
      </c>
      <c r="AT436" t="str">
        <f>IF(AS436="","",IF(ISNUMBER(Roster!$D436),Roster!$D436&gt;=AP436,FALSE))</f>
        <v/>
      </c>
      <c r="AU436" t="str">
        <f t="shared" si="49"/>
        <v/>
      </c>
      <c r="AV436" t="str">
        <f ca="1">IF(431&gt;$AV$2,"",SMALL($AR$6:$AR$505,431))</f>
        <v/>
      </c>
      <c r="AW436" t="str">
        <f t="shared" ca="1" si="50"/>
        <v/>
      </c>
    </row>
    <row r="437" spans="2:49" x14ac:dyDescent="0.2">
      <c r="B437" s="32" t="str">
        <f>IF(AND(ISNUMBER(Roster!$B437),Setup!$B$20="Yes",ISNUMBER(Setup!$C$20)),EDATE(Roster!$B437,12*Setup!$C$20),"")</f>
        <v/>
      </c>
      <c r="C437" s="32" t="str">
        <f>IF(AND(ISNUMBER(Roster!$B437),Setup!$B$21="Yes",ISNUMBER(Setup!$C$21)),EDATE(Roster!$B437,12*Setup!$C$21),"")</f>
        <v/>
      </c>
      <c r="D437" s="32" t="str">
        <f>IF(AND(ISNUMBER(Roster!$B437),Setup!$B$22="Yes",ISNUMBER(Setup!$C$22)),EDATE(Roster!$B437,12*Setup!$C$22),"")</f>
        <v/>
      </c>
      <c r="E437" s="32" t="str">
        <f>IF(AND(ISNUMBER(Roster!$B437),Setup!$B$23="Yes",ISNUMBER(Setup!$C$23)),EDATE(Roster!$B437,12*Setup!$C$23),"")</f>
        <v/>
      </c>
      <c r="F437" s="32" t="str">
        <f>IF(AND(ISNUMBER(Roster!$B437),Setup!$B$24="Yes",ISNUMBER(Setup!$C$24)),EDATE(Roster!$B437,12*Setup!$C$24),"")</f>
        <v/>
      </c>
      <c r="G437" s="32" t="str">
        <f>IF(AND(ISNUMBER(Roster!$B437),Setup!$B$25="Yes",ISNUMBER(Setup!$C$25)),EDATE(Roster!$B437,12*Setup!$C$25),"")</f>
        <v/>
      </c>
      <c r="H437" s="32" t="str">
        <f>IF(AND(ISNUMBER(Roster!$B437),Setup!$B$26="Yes",ISNUMBER(Setup!$C$26)),EDATE(Roster!$B437,12*Setup!$C$26),"")</f>
        <v/>
      </c>
      <c r="I437" s="32" t="str">
        <f>IF(AND(ISNUMBER(Roster!$B437),Setup!$B$27="Yes",ISNUMBER(Setup!$C$27)),EDATE(Roster!$B437,12*Setup!$C$27),"")</f>
        <v/>
      </c>
      <c r="J437" s="32" t="str">
        <f>IF(AND(ISNUMBER(Roster!$B437),Setup!$B$28="Yes",ISNUMBER(Setup!$C$28)),EDATE(Roster!$B437,12*Setup!$C$28),"")</f>
        <v/>
      </c>
      <c r="K437" s="32" t="str">
        <f>IF(AND(ISNUMBER(Roster!$B437),Setup!$B$29="Yes",ISNUMBER(Setup!$C$29)),EDATE(Roster!$B437,12*Setup!$C$29),"")</f>
        <v/>
      </c>
      <c r="L437" s="32" t="str">
        <f>IF(AND(ISNUMBER(Roster!$B437),Setup!$B$30="Yes",ISNUMBER(Setup!$C$30)),EDATE(Roster!$B437,12*Setup!$C$30),"")</f>
        <v/>
      </c>
      <c r="M437" s="32" t="str">
        <f>IF(AND(ISNUMBER(Roster!$B437),Setup!$B$31="Yes",ISNUMBER(Setup!$C$31)),EDATE(Roster!$B437,12*Setup!$C$31),"")</f>
        <v/>
      </c>
      <c r="N437" s="32" t="str">
        <f>IF(AND(ISNUMBER(Roster!$B437),Setup!$B$32="Yes",ISNUMBER(Setup!$C$32)),EDATE(Roster!$B437,12*Setup!$C$32),"")</f>
        <v/>
      </c>
      <c r="O437" s="32" t="str">
        <f>IF(AND(ISNUMBER(Roster!$B437),Setup!$B$33="Yes",ISNUMBER(Setup!$C$33)),EDATE(Roster!$B437,12*Setup!$C$33),"")</f>
        <v/>
      </c>
      <c r="P437" s="32" t="str">
        <f>IF(AND(ISNUMBER(Roster!$B437),Setup!$B$34="Yes",ISNUMBER(Setup!$C$34)),EDATE(Roster!$B437,12*Setup!$C$34),"")</f>
        <v/>
      </c>
      <c r="R437" t="str">
        <f>IF(B437="","",IF(B437&lt;Setup!$C$5-Setup!$C$6,"",IF(IF(ISNUMBER(Roster!$D437),Setup!$C$20&lt;=Roster!$D437,FALSE),"",IF(OR(IF(Setup!$C$15&lt;=Setup!$C$16,AND(MONTH(B437)&gt;=Setup!$C$15,MONTH(B437)&lt;=Setup!$C$16),OR(MONTH(B437)&gt;=Setup!$C$15,MONTH(B437)&lt;=Setup!$C$16)),IF(Setup!$C$15&lt;=Setup!$C$16,AND(MONTH(WORKDAY(B437,-(Setup!$C$13+Setup!$G$20),Setup!$C$39:$C$50))&gt;=Setup!$C$15,MONTH(WORKDAY(B437,-(Setup!$C$13+Setup!$G$20),Setup!$C$39:$C$50))&lt;=Setup!$C$16),OR(MONTH(WORKDAY(B437,-(Setup!$C$13+Setup!$G$20),Setup!$C$39:$C$50))&gt;=Setup!$C$15,MONTH(WORKDAY(B437,-(Setup!$C$13+Setup!$G$20),Setup!$C$39:$C$50))&lt;=Setup!$C$16))),WORKDAY(B437,-(Setup!$C$13+Setup!$G$20+Setup!$C$14),Setup!$C$39:$C$50),WORKDAY(B437,-(Setup!$C$13+Setup!$G$20),Setup!$C$39:$C$50))+(432*100+1)/10000000)))</f>
        <v/>
      </c>
      <c r="S437" t="str">
        <f>IF(C437="","",IF(C437&lt;Setup!$C$5-Setup!$C$6,"",IF(IF(ISNUMBER(Roster!$D437),Setup!$C$21&lt;=Roster!$D437,FALSE),"",IF(OR(IF(Setup!$C$15&lt;=Setup!$C$16,AND(MONTH(C437)&gt;=Setup!$C$15,MONTH(C437)&lt;=Setup!$C$16),OR(MONTH(C437)&gt;=Setup!$C$15,MONTH(C437)&lt;=Setup!$C$16)),IF(Setup!$C$15&lt;=Setup!$C$16,AND(MONTH(WORKDAY(C437,-(Setup!$C$13+Setup!$G$21),Setup!$C$39:$C$50))&gt;=Setup!$C$15,MONTH(WORKDAY(C437,-(Setup!$C$13+Setup!$G$21),Setup!$C$39:$C$50))&lt;=Setup!$C$16),OR(MONTH(WORKDAY(C437,-(Setup!$C$13+Setup!$G$21),Setup!$C$39:$C$50))&gt;=Setup!$C$15,MONTH(WORKDAY(C437,-(Setup!$C$13+Setup!$G$21),Setup!$C$39:$C$50))&lt;=Setup!$C$16))),WORKDAY(C437,-(Setup!$C$13+Setup!$G$21+Setup!$C$14),Setup!$C$39:$C$50),WORKDAY(C437,-(Setup!$C$13+Setup!$G$21),Setup!$C$39:$C$50))+(432*100+2)/10000000)))</f>
        <v/>
      </c>
      <c r="T437" t="str">
        <f>IF(D437="","",IF(D437&lt;Setup!$C$5-Setup!$C$6,"",IF(IF(ISNUMBER(Roster!$D437),Setup!$C$22&lt;=Roster!$D437,FALSE),"",IF(OR(IF(Setup!$C$15&lt;=Setup!$C$16,AND(MONTH(D437)&gt;=Setup!$C$15,MONTH(D437)&lt;=Setup!$C$16),OR(MONTH(D437)&gt;=Setup!$C$15,MONTH(D437)&lt;=Setup!$C$16)),IF(Setup!$C$15&lt;=Setup!$C$16,AND(MONTH(WORKDAY(D437,-(Setup!$C$13+Setup!$G$22),Setup!$C$39:$C$50))&gt;=Setup!$C$15,MONTH(WORKDAY(D437,-(Setup!$C$13+Setup!$G$22),Setup!$C$39:$C$50))&lt;=Setup!$C$16),OR(MONTH(WORKDAY(D437,-(Setup!$C$13+Setup!$G$22),Setup!$C$39:$C$50))&gt;=Setup!$C$15,MONTH(WORKDAY(D437,-(Setup!$C$13+Setup!$G$22),Setup!$C$39:$C$50))&lt;=Setup!$C$16))),WORKDAY(D437,-(Setup!$C$13+Setup!$G$22+Setup!$C$14),Setup!$C$39:$C$50),WORKDAY(D437,-(Setup!$C$13+Setup!$G$22),Setup!$C$39:$C$50))+(432*100+3)/10000000)))</f>
        <v/>
      </c>
      <c r="U437" t="str">
        <f>IF(E437="","",IF(E437&lt;Setup!$C$5-Setup!$C$6,"",IF(IF(ISNUMBER(Roster!$D437),Setup!$C$23&lt;=Roster!$D437,FALSE),"",IF(OR(IF(Setup!$C$15&lt;=Setup!$C$16,AND(MONTH(E437)&gt;=Setup!$C$15,MONTH(E437)&lt;=Setup!$C$16),OR(MONTH(E437)&gt;=Setup!$C$15,MONTH(E437)&lt;=Setup!$C$16)),IF(Setup!$C$15&lt;=Setup!$C$16,AND(MONTH(WORKDAY(E437,-(Setup!$C$13+Setup!$G$23),Setup!$C$39:$C$50))&gt;=Setup!$C$15,MONTH(WORKDAY(E437,-(Setup!$C$13+Setup!$G$23),Setup!$C$39:$C$50))&lt;=Setup!$C$16),OR(MONTH(WORKDAY(E437,-(Setup!$C$13+Setup!$G$23),Setup!$C$39:$C$50))&gt;=Setup!$C$15,MONTH(WORKDAY(E437,-(Setup!$C$13+Setup!$G$23),Setup!$C$39:$C$50))&lt;=Setup!$C$16))),WORKDAY(E437,-(Setup!$C$13+Setup!$G$23+Setup!$C$14),Setup!$C$39:$C$50),WORKDAY(E437,-(Setup!$C$13+Setup!$G$23),Setup!$C$39:$C$50))+(432*100+4)/10000000)))</f>
        <v/>
      </c>
      <c r="V437" t="str">
        <f>IF(F437="","",IF(F437&lt;Setup!$C$5-Setup!$C$6,"",IF(IF(ISNUMBER(Roster!$D437),Setup!$C$24&lt;=Roster!$D437,FALSE),"",IF(OR(IF(Setup!$C$15&lt;=Setup!$C$16,AND(MONTH(F437)&gt;=Setup!$C$15,MONTH(F437)&lt;=Setup!$C$16),OR(MONTH(F437)&gt;=Setup!$C$15,MONTH(F437)&lt;=Setup!$C$16)),IF(Setup!$C$15&lt;=Setup!$C$16,AND(MONTH(WORKDAY(F437,-(Setup!$C$13+Setup!$G$24),Setup!$C$39:$C$50))&gt;=Setup!$C$15,MONTH(WORKDAY(F437,-(Setup!$C$13+Setup!$G$24),Setup!$C$39:$C$50))&lt;=Setup!$C$16),OR(MONTH(WORKDAY(F437,-(Setup!$C$13+Setup!$G$24),Setup!$C$39:$C$50))&gt;=Setup!$C$15,MONTH(WORKDAY(F437,-(Setup!$C$13+Setup!$G$24),Setup!$C$39:$C$50))&lt;=Setup!$C$16))),WORKDAY(F437,-(Setup!$C$13+Setup!$G$24+Setup!$C$14),Setup!$C$39:$C$50),WORKDAY(F437,-(Setup!$C$13+Setup!$G$24),Setup!$C$39:$C$50))+(432*100+5)/10000000)))</f>
        <v/>
      </c>
      <c r="W437" t="str">
        <f>IF(G437="","",IF(G437&lt;Setup!$C$5-Setup!$C$6,"",IF(IF(ISNUMBER(Roster!$D437),Setup!$C$25&lt;=Roster!$D437,FALSE),"",IF(OR(IF(Setup!$C$15&lt;=Setup!$C$16,AND(MONTH(G437)&gt;=Setup!$C$15,MONTH(G437)&lt;=Setup!$C$16),OR(MONTH(G437)&gt;=Setup!$C$15,MONTH(G437)&lt;=Setup!$C$16)),IF(Setup!$C$15&lt;=Setup!$C$16,AND(MONTH(WORKDAY(G437,-(Setup!$C$13+Setup!$G$25),Setup!$C$39:$C$50))&gt;=Setup!$C$15,MONTH(WORKDAY(G437,-(Setup!$C$13+Setup!$G$25),Setup!$C$39:$C$50))&lt;=Setup!$C$16),OR(MONTH(WORKDAY(G437,-(Setup!$C$13+Setup!$G$25),Setup!$C$39:$C$50))&gt;=Setup!$C$15,MONTH(WORKDAY(G437,-(Setup!$C$13+Setup!$G$25),Setup!$C$39:$C$50))&lt;=Setup!$C$16))),WORKDAY(G437,-(Setup!$C$13+Setup!$G$25+Setup!$C$14),Setup!$C$39:$C$50),WORKDAY(G437,-(Setup!$C$13+Setup!$G$25),Setup!$C$39:$C$50))+(432*100+6)/10000000)))</f>
        <v/>
      </c>
      <c r="X437" t="str">
        <f>IF(H437="","",IF(H437&lt;Setup!$C$5-Setup!$C$6,"",IF(IF(ISNUMBER(Roster!$D437),Setup!$C$26&lt;=Roster!$D437,FALSE),"",IF(OR(IF(Setup!$C$15&lt;=Setup!$C$16,AND(MONTH(H437)&gt;=Setup!$C$15,MONTH(H437)&lt;=Setup!$C$16),OR(MONTH(H437)&gt;=Setup!$C$15,MONTH(H437)&lt;=Setup!$C$16)),IF(Setup!$C$15&lt;=Setup!$C$16,AND(MONTH(WORKDAY(H437,-(Setup!$C$13+Setup!$G$26),Setup!$C$39:$C$50))&gt;=Setup!$C$15,MONTH(WORKDAY(H437,-(Setup!$C$13+Setup!$G$26),Setup!$C$39:$C$50))&lt;=Setup!$C$16),OR(MONTH(WORKDAY(H437,-(Setup!$C$13+Setup!$G$26),Setup!$C$39:$C$50))&gt;=Setup!$C$15,MONTH(WORKDAY(H437,-(Setup!$C$13+Setup!$G$26),Setup!$C$39:$C$50))&lt;=Setup!$C$16))),WORKDAY(H437,-(Setup!$C$13+Setup!$G$26+Setup!$C$14),Setup!$C$39:$C$50),WORKDAY(H437,-(Setup!$C$13+Setup!$G$26),Setup!$C$39:$C$50))+(432*100+7)/10000000)))</f>
        <v/>
      </c>
      <c r="Y437" t="str">
        <f>IF(I437="","",IF(I437&lt;Setup!$C$5-Setup!$C$6,"",IF(IF(ISNUMBER(Roster!$D437),Setup!$C$27&lt;=Roster!$D437,FALSE),"",IF(OR(IF(Setup!$C$15&lt;=Setup!$C$16,AND(MONTH(I437)&gt;=Setup!$C$15,MONTH(I437)&lt;=Setup!$C$16),OR(MONTH(I437)&gt;=Setup!$C$15,MONTH(I437)&lt;=Setup!$C$16)),IF(Setup!$C$15&lt;=Setup!$C$16,AND(MONTH(WORKDAY(I437,-(Setup!$C$13+Setup!$G$27),Setup!$C$39:$C$50))&gt;=Setup!$C$15,MONTH(WORKDAY(I437,-(Setup!$C$13+Setup!$G$27),Setup!$C$39:$C$50))&lt;=Setup!$C$16),OR(MONTH(WORKDAY(I437,-(Setup!$C$13+Setup!$G$27),Setup!$C$39:$C$50))&gt;=Setup!$C$15,MONTH(WORKDAY(I437,-(Setup!$C$13+Setup!$G$27),Setup!$C$39:$C$50))&lt;=Setup!$C$16))),WORKDAY(I437,-(Setup!$C$13+Setup!$G$27+Setup!$C$14),Setup!$C$39:$C$50),WORKDAY(I437,-(Setup!$C$13+Setup!$G$27),Setup!$C$39:$C$50))+(432*100+8)/10000000)))</f>
        <v/>
      </c>
      <c r="Z437" t="str">
        <f>IF(J437="","",IF(J437&lt;Setup!$C$5-Setup!$C$6,"",IF(IF(ISNUMBER(Roster!$D437),Setup!$C$28&lt;=Roster!$D437,FALSE),"",IF(OR(IF(Setup!$C$15&lt;=Setup!$C$16,AND(MONTH(J437)&gt;=Setup!$C$15,MONTH(J437)&lt;=Setup!$C$16),OR(MONTH(J437)&gt;=Setup!$C$15,MONTH(J437)&lt;=Setup!$C$16)),IF(Setup!$C$15&lt;=Setup!$C$16,AND(MONTH(WORKDAY(J437,-(Setup!$C$13+Setup!$G$28),Setup!$C$39:$C$50))&gt;=Setup!$C$15,MONTH(WORKDAY(J437,-(Setup!$C$13+Setup!$G$28),Setup!$C$39:$C$50))&lt;=Setup!$C$16),OR(MONTH(WORKDAY(J437,-(Setup!$C$13+Setup!$G$28),Setup!$C$39:$C$50))&gt;=Setup!$C$15,MONTH(WORKDAY(J437,-(Setup!$C$13+Setup!$G$28),Setup!$C$39:$C$50))&lt;=Setup!$C$16))),WORKDAY(J437,-(Setup!$C$13+Setup!$G$28+Setup!$C$14),Setup!$C$39:$C$50),WORKDAY(J437,-(Setup!$C$13+Setup!$G$28),Setup!$C$39:$C$50))+(432*100+9)/10000000)))</f>
        <v/>
      </c>
      <c r="AA437" t="str">
        <f>IF(K437="","",IF(K437&lt;Setup!$C$5-Setup!$C$6,"",IF(IF(ISNUMBER(Roster!$D437),Setup!$C$29&lt;=Roster!$D437,FALSE),"",IF(OR(IF(Setup!$C$15&lt;=Setup!$C$16,AND(MONTH(K437)&gt;=Setup!$C$15,MONTH(K437)&lt;=Setup!$C$16),OR(MONTH(K437)&gt;=Setup!$C$15,MONTH(K437)&lt;=Setup!$C$16)),IF(Setup!$C$15&lt;=Setup!$C$16,AND(MONTH(WORKDAY(K437,-(Setup!$C$13+Setup!$G$29),Setup!$C$39:$C$50))&gt;=Setup!$C$15,MONTH(WORKDAY(K437,-(Setup!$C$13+Setup!$G$29),Setup!$C$39:$C$50))&lt;=Setup!$C$16),OR(MONTH(WORKDAY(K437,-(Setup!$C$13+Setup!$G$29),Setup!$C$39:$C$50))&gt;=Setup!$C$15,MONTH(WORKDAY(K437,-(Setup!$C$13+Setup!$G$29),Setup!$C$39:$C$50))&lt;=Setup!$C$16))),WORKDAY(K437,-(Setup!$C$13+Setup!$G$29+Setup!$C$14),Setup!$C$39:$C$50),WORKDAY(K437,-(Setup!$C$13+Setup!$G$29),Setup!$C$39:$C$50))+(432*100+10)/10000000)))</f>
        <v/>
      </c>
      <c r="AB437" t="str">
        <f>IF(L437="","",IF(L437&lt;Setup!$C$5-Setup!$C$6,"",IF(IF(ISNUMBER(Roster!$D437),Setup!$C$30&lt;=Roster!$D437,FALSE),"",IF(OR(IF(Setup!$C$15&lt;=Setup!$C$16,AND(MONTH(L437)&gt;=Setup!$C$15,MONTH(L437)&lt;=Setup!$C$16),OR(MONTH(L437)&gt;=Setup!$C$15,MONTH(L437)&lt;=Setup!$C$16)),IF(Setup!$C$15&lt;=Setup!$C$16,AND(MONTH(WORKDAY(L437,-(Setup!$C$13+Setup!$G$30),Setup!$C$39:$C$50))&gt;=Setup!$C$15,MONTH(WORKDAY(L437,-(Setup!$C$13+Setup!$G$30),Setup!$C$39:$C$50))&lt;=Setup!$C$16),OR(MONTH(WORKDAY(L437,-(Setup!$C$13+Setup!$G$30),Setup!$C$39:$C$50))&gt;=Setup!$C$15,MONTH(WORKDAY(L437,-(Setup!$C$13+Setup!$G$30),Setup!$C$39:$C$50))&lt;=Setup!$C$16))),WORKDAY(L437,-(Setup!$C$13+Setup!$G$30+Setup!$C$14),Setup!$C$39:$C$50),WORKDAY(L437,-(Setup!$C$13+Setup!$G$30),Setup!$C$39:$C$50))+(432*100+11)/10000000)))</f>
        <v/>
      </c>
      <c r="AC437" t="str">
        <f>IF(M437="","",IF(M437&lt;Setup!$C$5-Setup!$C$6,"",IF(IF(ISNUMBER(Roster!$D437),Setup!$C$31&lt;=Roster!$D437,FALSE),"",IF(OR(IF(Setup!$C$15&lt;=Setup!$C$16,AND(MONTH(M437)&gt;=Setup!$C$15,MONTH(M437)&lt;=Setup!$C$16),OR(MONTH(M437)&gt;=Setup!$C$15,MONTH(M437)&lt;=Setup!$C$16)),IF(Setup!$C$15&lt;=Setup!$C$16,AND(MONTH(WORKDAY(M437,-(Setup!$C$13+Setup!$G$31),Setup!$C$39:$C$50))&gt;=Setup!$C$15,MONTH(WORKDAY(M437,-(Setup!$C$13+Setup!$G$31),Setup!$C$39:$C$50))&lt;=Setup!$C$16),OR(MONTH(WORKDAY(M437,-(Setup!$C$13+Setup!$G$31),Setup!$C$39:$C$50))&gt;=Setup!$C$15,MONTH(WORKDAY(M437,-(Setup!$C$13+Setup!$G$31),Setup!$C$39:$C$50))&lt;=Setup!$C$16))),WORKDAY(M437,-(Setup!$C$13+Setup!$G$31+Setup!$C$14),Setup!$C$39:$C$50),WORKDAY(M437,-(Setup!$C$13+Setup!$G$31),Setup!$C$39:$C$50))+(432*100+12)/10000000)))</f>
        <v/>
      </c>
      <c r="AD437" t="str">
        <f>IF(N437="","",IF(N437&lt;Setup!$C$5-Setup!$C$6,"",IF(IF(ISNUMBER(Roster!$D437),Setup!$C$32&lt;=Roster!$D437,FALSE),"",IF(OR(IF(Setup!$C$15&lt;=Setup!$C$16,AND(MONTH(N437)&gt;=Setup!$C$15,MONTH(N437)&lt;=Setup!$C$16),OR(MONTH(N437)&gt;=Setup!$C$15,MONTH(N437)&lt;=Setup!$C$16)),IF(Setup!$C$15&lt;=Setup!$C$16,AND(MONTH(WORKDAY(N437,-(Setup!$C$13+Setup!$G$32),Setup!$C$39:$C$50))&gt;=Setup!$C$15,MONTH(WORKDAY(N437,-(Setup!$C$13+Setup!$G$32),Setup!$C$39:$C$50))&lt;=Setup!$C$16),OR(MONTH(WORKDAY(N437,-(Setup!$C$13+Setup!$G$32),Setup!$C$39:$C$50))&gt;=Setup!$C$15,MONTH(WORKDAY(N437,-(Setup!$C$13+Setup!$G$32),Setup!$C$39:$C$50))&lt;=Setup!$C$16))),WORKDAY(N437,-(Setup!$C$13+Setup!$G$32+Setup!$C$14),Setup!$C$39:$C$50),WORKDAY(N437,-(Setup!$C$13+Setup!$G$32),Setup!$C$39:$C$50))+(432*100+13)/10000000)))</f>
        <v/>
      </c>
      <c r="AE437" t="str">
        <f>IF(O437="","",IF(O437&lt;Setup!$C$5-Setup!$C$6,"",IF(IF(ISNUMBER(Roster!$D437),Setup!$C$33&lt;=Roster!$D437,FALSE),"",IF(OR(IF(Setup!$C$15&lt;=Setup!$C$16,AND(MONTH(O437)&gt;=Setup!$C$15,MONTH(O437)&lt;=Setup!$C$16),OR(MONTH(O437)&gt;=Setup!$C$15,MONTH(O437)&lt;=Setup!$C$16)),IF(Setup!$C$15&lt;=Setup!$C$16,AND(MONTH(WORKDAY(O437,-(Setup!$C$13+Setup!$G$33),Setup!$C$39:$C$50))&gt;=Setup!$C$15,MONTH(WORKDAY(O437,-(Setup!$C$13+Setup!$G$33),Setup!$C$39:$C$50))&lt;=Setup!$C$16),OR(MONTH(WORKDAY(O437,-(Setup!$C$13+Setup!$G$33),Setup!$C$39:$C$50))&gt;=Setup!$C$15,MONTH(WORKDAY(O437,-(Setup!$C$13+Setup!$G$33),Setup!$C$39:$C$50))&lt;=Setup!$C$16))),WORKDAY(O437,-(Setup!$C$13+Setup!$G$33+Setup!$C$14),Setup!$C$39:$C$50),WORKDAY(O437,-(Setup!$C$13+Setup!$G$33),Setup!$C$39:$C$50))+(432*100+14)/10000000)))</f>
        <v/>
      </c>
      <c r="AF437" t="str">
        <f>IF(P437="","",IF(P437&lt;Setup!$C$5-Setup!$C$6,"",IF(IF(ISNUMBER(Roster!$D437),Setup!$C$34&lt;=Roster!$D437,FALSE),"",IF(OR(IF(Setup!$C$15&lt;=Setup!$C$16,AND(MONTH(P437)&gt;=Setup!$C$15,MONTH(P437)&lt;=Setup!$C$16),OR(MONTH(P437)&gt;=Setup!$C$15,MONTH(P437)&lt;=Setup!$C$16)),IF(Setup!$C$15&lt;=Setup!$C$16,AND(MONTH(WORKDAY(P437,-(Setup!$C$13+Setup!$G$34),Setup!$C$39:$C$50))&gt;=Setup!$C$15,MONTH(WORKDAY(P437,-(Setup!$C$13+Setup!$G$34),Setup!$C$39:$C$50))&lt;=Setup!$C$16),OR(MONTH(WORKDAY(P437,-(Setup!$C$13+Setup!$G$34),Setup!$C$39:$C$50))&gt;=Setup!$C$15,MONTH(WORKDAY(P437,-(Setup!$C$13+Setup!$G$34),Setup!$C$39:$C$50))&lt;=Setup!$C$16))),WORKDAY(P437,-(Setup!$C$13+Setup!$G$34+Setup!$C$14),Setup!$C$39:$C$50),WORKDAY(P437,-(Setup!$C$13+Setup!$G$34),Setup!$C$39:$C$50))+(432*100+15)/10000000)))</f>
        <v/>
      </c>
      <c r="AH437" t="str">
        <f t="shared" si="46"/>
        <v/>
      </c>
      <c r="AI437" t="str">
        <f t="shared" si="47"/>
        <v/>
      </c>
      <c r="AP437" t="str">
        <f>IF(ISNUMBER(Roster!$B437),MAX(1,YEAR(Setup!$C$5)-YEAR(Roster!$B437)+IF(EDATE(Roster!$B437,12*(YEAR(Setup!$C$5)-YEAR(Roster!$B437)))&lt;Setup!$C$5,1,0)),"")</f>
        <v/>
      </c>
      <c r="AQ437" s="32" t="str">
        <f>IF(AP437="","",EDATE(Roster!$B437,12*AP437))</f>
        <v/>
      </c>
      <c r="AR437" t="str">
        <f>IF(AQ437="","",IF(AQ437&lt;DATE(YEAR(Setup!$C$5)+1,MONTH(Setup!$C$5),DAY(Setup!$C$5)),AQ437+432/1000,""))</f>
        <v/>
      </c>
      <c r="AS437" t="str">
        <f t="shared" si="48"/>
        <v/>
      </c>
      <c r="AT437" t="str">
        <f>IF(AS437="","",IF(ISNUMBER(Roster!$D437),Roster!$D437&gt;=AP437,FALSE))</f>
        <v/>
      </c>
      <c r="AU437" t="str">
        <f t="shared" si="49"/>
        <v/>
      </c>
      <c r="AV437" t="str">
        <f ca="1">IF(432&gt;$AV$2,"",SMALL($AR$6:$AR$505,432))</f>
        <v/>
      </c>
      <c r="AW437" t="str">
        <f t="shared" ca="1" si="50"/>
        <v/>
      </c>
    </row>
    <row r="438" spans="2:49" x14ac:dyDescent="0.2">
      <c r="B438" s="32" t="str">
        <f>IF(AND(ISNUMBER(Roster!$B438),Setup!$B$20="Yes",ISNUMBER(Setup!$C$20)),EDATE(Roster!$B438,12*Setup!$C$20),"")</f>
        <v/>
      </c>
      <c r="C438" s="32" t="str">
        <f>IF(AND(ISNUMBER(Roster!$B438),Setup!$B$21="Yes",ISNUMBER(Setup!$C$21)),EDATE(Roster!$B438,12*Setup!$C$21),"")</f>
        <v/>
      </c>
      <c r="D438" s="32" t="str">
        <f>IF(AND(ISNUMBER(Roster!$B438),Setup!$B$22="Yes",ISNUMBER(Setup!$C$22)),EDATE(Roster!$B438,12*Setup!$C$22),"")</f>
        <v/>
      </c>
      <c r="E438" s="32" t="str">
        <f>IF(AND(ISNUMBER(Roster!$B438),Setup!$B$23="Yes",ISNUMBER(Setup!$C$23)),EDATE(Roster!$B438,12*Setup!$C$23),"")</f>
        <v/>
      </c>
      <c r="F438" s="32" t="str">
        <f>IF(AND(ISNUMBER(Roster!$B438),Setup!$B$24="Yes",ISNUMBER(Setup!$C$24)),EDATE(Roster!$B438,12*Setup!$C$24),"")</f>
        <v/>
      </c>
      <c r="G438" s="32" t="str">
        <f>IF(AND(ISNUMBER(Roster!$B438),Setup!$B$25="Yes",ISNUMBER(Setup!$C$25)),EDATE(Roster!$B438,12*Setup!$C$25),"")</f>
        <v/>
      </c>
      <c r="H438" s="32" t="str">
        <f>IF(AND(ISNUMBER(Roster!$B438),Setup!$B$26="Yes",ISNUMBER(Setup!$C$26)),EDATE(Roster!$B438,12*Setup!$C$26),"")</f>
        <v/>
      </c>
      <c r="I438" s="32" t="str">
        <f>IF(AND(ISNUMBER(Roster!$B438),Setup!$B$27="Yes",ISNUMBER(Setup!$C$27)),EDATE(Roster!$B438,12*Setup!$C$27),"")</f>
        <v/>
      </c>
      <c r="J438" s="32" t="str">
        <f>IF(AND(ISNUMBER(Roster!$B438),Setup!$B$28="Yes",ISNUMBER(Setup!$C$28)),EDATE(Roster!$B438,12*Setup!$C$28),"")</f>
        <v/>
      </c>
      <c r="K438" s="32" t="str">
        <f>IF(AND(ISNUMBER(Roster!$B438),Setup!$B$29="Yes",ISNUMBER(Setup!$C$29)),EDATE(Roster!$B438,12*Setup!$C$29),"")</f>
        <v/>
      </c>
      <c r="L438" s="32" t="str">
        <f>IF(AND(ISNUMBER(Roster!$B438),Setup!$B$30="Yes",ISNUMBER(Setup!$C$30)),EDATE(Roster!$B438,12*Setup!$C$30),"")</f>
        <v/>
      </c>
      <c r="M438" s="32" t="str">
        <f>IF(AND(ISNUMBER(Roster!$B438),Setup!$B$31="Yes",ISNUMBER(Setup!$C$31)),EDATE(Roster!$B438,12*Setup!$C$31),"")</f>
        <v/>
      </c>
      <c r="N438" s="32" t="str">
        <f>IF(AND(ISNUMBER(Roster!$B438),Setup!$B$32="Yes",ISNUMBER(Setup!$C$32)),EDATE(Roster!$B438,12*Setup!$C$32),"")</f>
        <v/>
      </c>
      <c r="O438" s="32" t="str">
        <f>IF(AND(ISNUMBER(Roster!$B438),Setup!$B$33="Yes",ISNUMBER(Setup!$C$33)),EDATE(Roster!$B438,12*Setup!$C$33),"")</f>
        <v/>
      </c>
      <c r="P438" s="32" t="str">
        <f>IF(AND(ISNUMBER(Roster!$B438),Setup!$B$34="Yes",ISNUMBER(Setup!$C$34)),EDATE(Roster!$B438,12*Setup!$C$34),"")</f>
        <v/>
      </c>
      <c r="R438" t="str">
        <f>IF(B438="","",IF(B438&lt;Setup!$C$5-Setup!$C$6,"",IF(IF(ISNUMBER(Roster!$D438),Setup!$C$20&lt;=Roster!$D438,FALSE),"",IF(OR(IF(Setup!$C$15&lt;=Setup!$C$16,AND(MONTH(B438)&gt;=Setup!$C$15,MONTH(B438)&lt;=Setup!$C$16),OR(MONTH(B438)&gt;=Setup!$C$15,MONTH(B438)&lt;=Setup!$C$16)),IF(Setup!$C$15&lt;=Setup!$C$16,AND(MONTH(WORKDAY(B438,-(Setup!$C$13+Setup!$G$20),Setup!$C$39:$C$50))&gt;=Setup!$C$15,MONTH(WORKDAY(B438,-(Setup!$C$13+Setup!$G$20),Setup!$C$39:$C$50))&lt;=Setup!$C$16),OR(MONTH(WORKDAY(B438,-(Setup!$C$13+Setup!$G$20),Setup!$C$39:$C$50))&gt;=Setup!$C$15,MONTH(WORKDAY(B438,-(Setup!$C$13+Setup!$G$20),Setup!$C$39:$C$50))&lt;=Setup!$C$16))),WORKDAY(B438,-(Setup!$C$13+Setup!$G$20+Setup!$C$14),Setup!$C$39:$C$50),WORKDAY(B438,-(Setup!$C$13+Setup!$G$20),Setup!$C$39:$C$50))+(433*100+1)/10000000)))</f>
        <v/>
      </c>
      <c r="S438" t="str">
        <f>IF(C438="","",IF(C438&lt;Setup!$C$5-Setup!$C$6,"",IF(IF(ISNUMBER(Roster!$D438),Setup!$C$21&lt;=Roster!$D438,FALSE),"",IF(OR(IF(Setup!$C$15&lt;=Setup!$C$16,AND(MONTH(C438)&gt;=Setup!$C$15,MONTH(C438)&lt;=Setup!$C$16),OR(MONTH(C438)&gt;=Setup!$C$15,MONTH(C438)&lt;=Setup!$C$16)),IF(Setup!$C$15&lt;=Setup!$C$16,AND(MONTH(WORKDAY(C438,-(Setup!$C$13+Setup!$G$21),Setup!$C$39:$C$50))&gt;=Setup!$C$15,MONTH(WORKDAY(C438,-(Setup!$C$13+Setup!$G$21),Setup!$C$39:$C$50))&lt;=Setup!$C$16),OR(MONTH(WORKDAY(C438,-(Setup!$C$13+Setup!$G$21),Setup!$C$39:$C$50))&gt;=Setup!$C$15,MONTH(WORKDAY(C438,-(Setup!$C$13+Setup!$G$21),Setup!$C$39:$C$50))&lt;=Setup!$C$16))),WORKDAY(C438,-(Setup!$C$13+Setup!$G$21+Setup!$C$14),Setup!$C$39:$C$50),WORKDAY(C438,-(Setup!$C$13+Setup!$G$21),Setup!$C$39:$C$50))+(433*100+2)/10000000)))</f>
        <v/>
      </c>
      <c r="T438" t="str">
        <f>IF(D438="","",IF(D438&lt;Setup!$C$5-Setup!$C$6,"",IF(IF(ISNUMBER(Roster!$D438),Setup!$C$22&lt;=Roster!$D438,FALSE),"",IF(OR(IF(Setup!$C$15&lt;=Setup!$C$16,AND(MONTH(D438)&gt;=Setup!$C$15,MONTH(D438)&lt;=Setup!$C$16),OR(MONTH(D438)&gt;=Setup!$C$15,MONTH(D438)&lt;=Setup!$C$16)),IF(Setup!$C$15&lt;=Setup!$C$16,AND(MONTH(WORKDAY(D438,-(Setup!$C$13+Setup!$G$22),Setup!$C$39:$C$50))&gt;=Setup!$C$15,MONTH(WORKDAY(D438,-(Setup!$C$13+Setup!$G$22),Setup!$C$39:$C$50))&lt;=Setup!$C$16),OR(MONTH(WORKDAY(D438,-(Setup!$C$13+Setup!$G$22),Setup!$C$39:$C$50))&gt;=Setup!$C$15,MONTH(WORKDAY(D438,-(Setup!$C$13+Setup!$G$22),Setup!$C$39:$C$50))&lt;=Setup!$C$16))),WORKDAY(D438,-(Setup!$C$13+Setup!$G$22+Setup!$C$14),Setup!$C$39:$C$50),WORKDAY(D438,-(Setup!$C$13+Setup!$G$22),Setup!$C$39:$C$50))+(433*100+3)/10000000)))</f>
        <v/>
      </c>
      <c r="U438" t="str">
        <f>IF(E438="","",IF(E438&lt;Setup!$C$5-Setup!$C$6,"",IF(IF(ISNUMBER(Roster!$D438),Setup!$C$23&lt;=Roster!$D438,FALSE),"",IF(OR(IF(Setup!$C$15&lt;=Setup!$C$16,AND(MONTH(E438)&gt;=Setup!$C$15,MONTH(E438)&lt;=Setup!$C$16),OR(MONTH(E438)&gt;=Setup!$C$15,MONTH(E438)&lt;=Setup!$C$16)),IF(Setup!$C$15&lt;=Setup!$C$16,AND(MONTH(WORKDAY(E438,-(Setup!$C$13+Setup!$G$23),Setup!$C$39:$C$50))&gt;=Setup!$C$15,MONTH(WORKDAY(E438,-(Setup!$C$13+Setup!$G$23),Setup!$C$39:$C$50))&lt;=Setup!$C$16),OR(MONTH(WORKDAY(E438,-(Setup!$C$13+Setup!$G$23),Setup!$C$39:$C$50))&gt;=Setup!$C$15,MONTH(WORKDAY(E438,-(Setup!$C$13+Setup!$G$23),Setup!$C$39:$C$50))&lt;=Setup!$C$16))),WORKDAY(E438,-(Setup!$C$13+Setup!$G$23+Setup!$C$14),Setup!$C$39:$C$50),WORKDAY(E438,-(Setup!$C$13+Setup!$G$23),Setup!$C$39:$C$50))+(433*100+4)/10000000)))</f>
        <v/>
      </c>
      <c r="V438" t="str">
        <f>IF(F438="","",IF(F438&lt;Setup!$C$5-Setup!$C$6,"",IF(IF(ISNUMBER(Roster!$D438),Setup!$C$24&lt;=Roster!$D438,FALSE),"",IF(OR(IF(Setup!$C$15&lt;=Setup!$C$16,AND(MONTH(F438)&gt;=Setup!$C$15,MONTH(F438)&lt;=Setup!$C$16),OR(MONTH(F438)&gt;=Setup!$C$15,MONTH(F438)&lt;=Setup!$C$16)),IF(Setup!$C$15&lt;=Setup!$C$16,AND(MONTH(WORKDAY(F438,-(Setup!$C$13+Setup!$G$24),Setup!$C$39:$C$50))&gt;=Setup!$C$15,MONTH(WORKDAY(F438,-(Setup!$C$13+Setup!$G$24),Setup!$C$39:$C$50))&lt;=Setup!$C$16),OR(MONTH(WORKDAY(F438,-(Setup!$C$13+Setup!$G$24),Setup!$C$39:$C$50))&gt;=Setup!$C$15,MONTH(WORKDAY(F438,-(Setup!$C$13+Setup!$G$24),Setup!$C$39:$C$50))&lt;=Setup!$C$16))),WORKDAY(F438,-(Setup!$C$13+Setup!$G$24+Setup!$C$14),Setup!$C$39:$C$50),WORKDAY(F438,-(Setup!$C$13+Setup!$G$24),Setup!$C$39:$C$50))+(433*100+5)/10000000)))</f>
        <v/>
      </c>
      <c r="W438" t="str">
        <f>IF(G438="","",IF(G438&lt;Setup!$C$5-Setup!$C$6,"",IF(IF(ISNUMBER(Roster!$D438),Setup!$C$25&lt;=Roster!$D438,FALSE),"",IF(OR(IF(Setup!$C$15&lt;=Setup!$C$16,AND(MONTH(G438)&gt;=Setup!$C$15,MONTH(G438)&lt;=Setup!$C$16),OR(MONTH(G438)&gt;=Setup!$C$15,MONTH(G438)&lt;=Setup!$C$16)),IF(Setup!$C$15&lt;=Setup!$C$16,AND(MONTH(WORKDAY(G438,-(Setup!$C$13+Setup!$G$25),Setup!$C$39:$C$50))&gt;=Setup!$C$15,MONTH(WORKDAY(G438,-(Setup!$C$13+Setup!$G$25),Setup!$C$39:$C$50))&lt;=Setup!$C$16),OR(MONTH(WORKDAY(G438,-(Setup!$C$13+Setup!$G$25),Setup!$C$39:$C$50))&gt;=Setup!$C$15,MONTH(WORKDAY(G438,-(Setup!$C$13+Setup!$G$25),Setup!$C$39:$C$50))&lt;=Setup!$C$16))),WORKDAY(G438,-(Setup!$C$13+Setup!$G$25+Setup!$C$14),Setup!$C$39:$C$50),WORKDAY(G438,-(Setup!$C$13+Setup!$G$25),Setup!$C$39:$C$50))+(433*100+6)/10000000)))</f>
        <v/>
      </c>
      <c r="X438" t="str">
        <f>IF(H438="","",IF(H438&lt;Setup!$C$5-Setup!$C$6,"",IF(IF(ISNUMBER(Roster!$D438),Setup!$C$26&lt;=Roster!$D438,FALSE),"",IF(OR(IF(Setup!$C$15&lt;=Setup!$C$16,AND(MONTH(H438)&gt;=Setup!$C$15,MONTH(H438)&lt;=Setup!$C$16),OR(MONTH(H438)&gt;=Setup!$C$15,MONTH(H438)&lt;=Setup!$C$16)),IF(Setup!$C$15&lt;=Setup!$C$16,AND(MONTH(WORKDAY(H438,-(Setup!$C$13+Setup!$G$26),Setup!$C$39:$C$50))&gt;=Setup!$C$15,MONTH(WORKDAY(H438,-(Setup!$C$13+Setup!$G$26),Setup!$C$39:$C$50))&lt;=Setup!$C$16),OR(MONTH(WORKDAY(H438,-(Setup!$C$13+Setup!$G$26),Setup!$C$39:$C$50))&gt;=Setup!$C$15,MONTH(WORKDAY(H438,-(Setup!$C$13+Setup!$G$26),Setup!$C$39:$C$50))&lt;=Setup!$C$16))),WORKDAY(H438,-(Setup!$C$13+Setup!$G$26+Setup!$C$14),Setup!$C$39:$C$50),WORKDAY(H438,-(Setup!$C$13+Setup!$G$26),Setup!$C$39:$C$50))+(433*100+7)/10000000)))</f>
        <v/>
      </c>
      <c r="Y438" t="str">
        <f>IF(I438="","",IF(I438&lt;Setup!$C$5-Setup!$C$6,"",IF(IF(ISNUMBER(Roster!$D438),Setup!$C$27&lt;=Roster!$D438,FALSE),"",IF(OR(IF(Setup!$C$15&lt;=Setup!$C$16,AND(MONTH(I438)&gt;=Setup!$C$15,MONTH(I438)&lt;=Setup!$C$16),OR(MONTH(I438)&gt;=Setup!$C$15,MONTH(I438)&lt;=Setup!$C$16)),IF(Setup!$C$15&lt;=Setup!$C$16,AND(MONTH(WORKDAY(I438,-(Setup!$C$13+Setup!$G$27),Setup!$C$39:$C$50))&gt;=Setup!$C$15,MONTH(WORKDAY(I438,-(Setup!$C$13+Setup!$G$27),Setup!$C$39:$C$50))&lt;=Setup!$C$16),OR(MONTH(WORKDAY(I438,-(Setup!$C$13+Setup!$G$27),Setup!$C$39:$C$50))&gt;=Setup!$C$15,MONTH(WORKDAY(I438,-(Setup!$C$13+Setup!$G$27),Setup!$C$39:$C$50))&lt;=Setup!$C$16))),WORKDAY(I438,-(Setup!$C$13+Setup!$G$27+Setup!$C$14),Setup!$C$39:$C$50),WORKDAY(I438,-(Setup!$C$13+Setup!$G$27),Setup!$C$39:$C$50))+(433*100+8)/10000000)))</f>
        <v/>
      </c>
      <c r="Z438" t="str">
        <f>IF(J438="","",IF(J438&lt;Setup!$C$5-Setup!$C$6,"",IF(IF(ISNUMBER(Roster!$D438),Setup!$C$28&lt;=Roster!$D438,FALSE),"",IF(OR(IF(Setup!$C$15&lt;=Setup!$C$16,AND(MONTH(J438)&gt;=Setup!$C$15,MONTH(J438)&lt;=Setup!$C$16),OR(MONTH(J438)&gt;=Setup!$C$15,MONTH(J438)&lt;=Setup!$C$16)),IF(Setup!$C$15&lt;=Setup!$C$16,AND(MONTH(WORKDAY(J438,-(Setup!$C$13+Setup!$G$28),Setup!$C$39:$C$50))&gt;=Setup!$C$15,MONTH(WORKDAY(J438,-(Setup!$C$13+Setup!$G$28),Setup!$C$39:$C$50))&lt;=Setup!$C$16),OR(MONTH(WORKDAY(J438,-(Setup!$C$13+Setup!$G$28),Setup!$C$39:$C$50))&gt;=Setup!$C$15,MONTH(WORKDAY(J438,-(Setup!$C$13+Setup!$G$28),Setup!$C$39:$C$50))&lt;=Setup!$C$16))),WORKDAY(J438,-(Setup!$C$13+Setup!$G$28+Setup!$C$14),Setup!$C$39:$C$50),WORKDAY(J438,-(Setup!$C$13+Setup!$G$28),Setup!$C$39:$C$50))+(433*100+9)/10000000)))</f>
        <v/>
      </c>
      <c r="AA438" t="str">
        <f>IF(K438="","",IF(K438&lt;Setup!$C$5-Setup!$C$6,"",IF(IF(ISNUMBER(Roster!$D438),Setup!$C$29&lt;=Roster!$D438,FALSE),"",IF(OR(IF(Setup!$C$15&lt;=Setup!$C$16,AND(MONTH(K438)&gt;=Setup!$C$15,MONTH(K438)&lt;=Setup!$C$16),OR(MONTH(K438)&gt;=Setup!$C$15,MONTH(K438)&lt;=Setup!$C$16)),IF(Setup!$C$15&lt;=Setup!$C$16,AND(MONTH(WORKDAY(K438,-(Setup!$C$13+Setup!$G$29),Setup!$C$39:$C$50))&gt;=Setup!$C$15,MONTH(WORKDAY(K438,-(Setup!$C$13+Setup!$G$29),Setup!$C$39:$C$50))&lt;=Setup!$C$16),OR(MONTH(WORKDAY(K438,-(Setup!$C$13+Setup!$G$29),Setup!$C$39:$C$50))&gt;=Setup!$C$15,MONTH(WORKDAY(K438,-(Setup!$C$13+Setup!$G$29),Setup!$C$39:$C$50))&lt;=Setup!$C$16))),WORKDAY(K438,-(Setup!$C$13+Setup!$G$29+Setup!$C$14),Setup!$C$39:$C$50),WORKDAY(K438,-(Setup!$C$13+Setup!$G$29),Setup!$C$39:$C$50))+(433*100+10)/10000000)))</f>
        <v/>
      </c>
      <c r="AB438" t="str">
        <f>IF(L438="","",IF(L438&lt;Setup!$C$5-Setup!$C$6,"",IF(IF(ISNUMBER(Roster!$D438),Setup!$C$30&lt;=Roster!$D438,FALSE),"",IF(OR(IF(Setup!$C$15&lt;=Setup!$C$16,AND(MONTH(L438)&gt;=Setup!$C$15,MONTH(L438)&lt;=Setup!$C$16),OR(MONTH(L438)&gt;=Setup!$C$15,MONTH(L438)&lt;=Setup!$C$16)),IF(Setup!$C$15&lt;=Setup!$C$16,AND(MONTH(WORKDAY(L438,-(Setup!$C$13+Setup!$G$30),Setup!$C$39:$C$50))&gt;=Setup!$C$15,MONTH(WORKDAY(L438,-(Setup!$C$13+Setup!$G$30),Setup!$C$39:$C$50))&lt;=Setup!$C$16),OR(MONTH(WORKDAY(L438,-(Setup!$C$13+Setup!$G$30),Setup!$C$39:$C$50))&gt;=Setup!$C$15,MONTH(WORKDAY(L438,-(Setup!$C$13+Setup!$G$30),Setup!$C$39:$C$50))&lt;=Setup!$C$16))),WORKDAY(L438,-(Setup!$C$13+Setup!$G$30+Setup!$C$14),Setup!$C$39:$C$50),WORKDAY(L438,-(Setup!$C$13+Setup!$G$30),Setup!$C$39:$C$50))+(433*100+11)/10000000)))</f>
        <v/>
      </c>
      <c r="AC438" t="str">
        <f>IF(M438="","",IF(M438&lt;Setup!$C$5-Setup!$C$6,"",IF(IF(ISNUMBER(Roster!$D438),Setup!$C$31&lt;=Roster!$D438,FALSE),"",IF(OR(IF(Setup!$C$15&lt;=Setup!$C$16,AND(MONTH(M438)&gt;=Setup!$C$15,MONTH(M438)&lt;=Setup!$C$16),OR(MONTH(M438)&gt;=Setup!$C$15,MONTH(M438)&lt;=Setup!$C$16)),IF(Setup!$C$15&lt;=Setup!$C$16,AND(MONTH(WORKDAY(M438,-(Setup!$C$13+Setup!$G$31),Setup!$C$39:$C$50))&gt;=Setup!$C$15,MONTH(WORKDAY(M438,-(Setup!$C$13+Setup!$G$31),Setup!$C$39:$C$50))&lt;=Setup!$C$16),OR(MONTH(WORKDAY(M438,-(Setup!$C$13+Setup!$G$31),Setup!$C$39:$C$50))&gt;=Setup!$C$15,MONTH(WORKDAY(M438,-(Setup!$C$13+Setup!$G$31),Setup!$C$39:$C$50))&lt;=Setup!$C$16))),WORKDAY(M438,-(Setup!$C$13+Setup!$G$31+Setup!$C$14),Setup!$C$39:$C$50),WORKDAY(M438,-(Setup!$C$13+Setup!$G$31),Setup!$C$39:$C$50))+(433*100+12)/10000000)))</f>
        <v/>
      </c>
      <c r="AD438" t="str">
        <f>IF(N438="","",IF(N438&lt;Setup!$C$5-Setup!$C$6,"",IF(IF(ISNUMBER(Roster!$D438),Setup!$C$32&lt;=Roster!$D438,FALSE),"",IF(OR(IF(Setup!$C$15&lt;=Setup!$C$16,AND(MONTH(N438)&gt;=Setup!$C$15,MONTH(N438)&lt;=Setup!$C$16),OR(MONTH(N438)&gt;=Setup!$C$15,MONTH(N438)&lt;=Setup!$C$16)),IF(Setup!$C$15&lt;=Setup!$C$16,AND(MONTH(WORKDAY(N438,-(Setup!$C$13+Setup!$G$32),Setup!$C$39:$C$50))&gt;=Setup!$C$15,MONTH(WORKDAY(N438,-(Setup!$C$13+Setup!$G$32),Setup!$C$39:$C$50))&lt;=Setup!$C$16),OR(MONTH(WORKDAY(N438,-(Setup!$C$13+Setup!$G$32),Setup!$C$39:$C$50))&gt;=Setup!$C$15,MONTH(WORKDAY(N438,-(Setup!$C$13+Setup!$G$32),Setup!$C$39:$C$50))&lt;=Setup!$C$16))),WORKDAY(N438,-(Setup!$C$13+Setup!$G$32+Setup!$C$14),Setup!$C$39:$C$50),WORKDAY(N438,-(Setup!$C$13+Setup!$G$32),Setup!$C$39:$C$50))+(433*100+13)/10000000)))</f>
        <v/>
      </c>
      <c r="AE438" t="str">
        <f>IF(O438="","",IF(O438&lt;Setup!$C$5-Setup!$C$6,"",IF(IF(ISNUMBER(Roster!$D438),Setup!$C$33&lt;=Roster!$D438,FALSE),"",IF(OR(IF(Setup!$C$15&lt;=Setup!$C$16,AND(MONTH(O438)&gt;=Setup!$C$15,MONTH(O438)&lt;=Setup!$C$16),OR(MONTH(O438)&gt;=Setup!$C$15,MONTH(O438)&lt;=Setup!$C$16)),IF(Setup!$C$15&lt;=Setup!$C$16,AND(MONTH(WORKDAY(O438,-(Setup!$C$13+Setup!$G$33),Setup!$C$39:$C$50))&gt;=Setup!$C$15,MONTH(WORKDAY(O438,-(Setup!$C$13+Setup!$G$33),Setup!$C$39:$C$50))&lt;=Setup!$C$16),OR(MONTH(WORKDAY(O438,-(Setup!$C$13+Setup!$G$33),Setup!$C$39:$C$50))&gt;=Setup!$C$15,MONTH(WORKDAY(O438,-(Setup!$C$13+Setup!$G$33),Setup!$C$39:$C$50))&lt;=Setup!$C$16))),WORKDAY(O438,-(Setup!$C$13+Setup!$G$33+Setup!$C$14),Setup!$C$39:$C$50),WORKDAY(O438,-(Setup!$C$13+Setup!$G$33),Setup!$C$39:$C$50))+(433*100+14)/10000000)))</f>
        <v/>
      </c>
      <c r="AF438" t="str">
        <f>IF(P438="","",IF(P438&lt;Setup!$C$5-Setup!$C$6,"",IF(IF(ISNUMBER(Roster!$D438),Setup!$C$34&lt;=Roster!$D438,FALSE),"",IF(OR(IF(Setup!$C$15&lt;=Setup!$C$16,AND(MONTH(P438)&gt;=Setup!$C$15,MONTH(P438)&lt;=Setup!$C$16),OR(MONTH(P438)&gt;=Setup!$C$15,MONTH(P438)&lt;=Setup!$C$16)),IF(Setup!$C$15&lt;=Setup!$C$16,AND(MONTH(WORKDAY(P438,-(Setup!$C$13+Setup!$G$34),Setup!$C$39:$C$50))&gt;=Setup!$C$15,MONTH(WORKDAY(P438,-(Setup!$C$13+Setup!$G$34),Setup!$C$39:$C$50))&lt;=Setup!$C$16),OR(MONTH(WORKDAY(P438,-(Setup!$C$13+Setup!$G$34),Setup!$C$39:$C$50))&gt;=Setup!$C$15,MONTH(WORKDAY(P438,-(Setup!$C$13+Setup!$G$34),Setup!$C$39:$C$50))&lt;=Setup!$C$16))),WORKDAY(P438,-(Setup!$C$13+Setup!$G$34+Setup!$C$14),Setup!$C$39:$C$50),WORKDAY(P438,-(Setup!$C$13+Setup!$G$34),Setup!$C$39:$C$50))+(433*100+15)/10000000)))</f>
        <v/>
      </c>
      <c r="AH438" t="str">
        <f t="shared" si="46"/>
        <v/>
      </c>
      <c r="AI438" t="str">
        <f t="shared" si="47"/>
        <v/>
      </c>
      <c r="AP438" t="str">
        <f>IF(ISNUMBER(Roster!$B438),MAX(1,YEAR(Setup!$C$5)-YEAR(Roster!$B438)+IF(EDATE(Roster!$B438,12*(YEAR(Setup!$C$5)-YEAR(Roster!$B438)))&lt;Setup!$C$5,1,0)),"")</f>
        <v/>
      </c>
      <c r="AQ438" s="32" t="str">
        <f>IF(AP438="","",EDATE(Roster!$B438,12*AP438))</f>
        <v/>
      </c>
      <c r="AR438" t="str">
        <f>IF(AQ438="","",IF(AQ438&lt;DATE(YEAR(Setup!$C$5)+1,MONTH(Setup!$C$5),DAY(Setup!$C$5)),AQ438+433/1000,""))</f>
        <v/>
      </c>
      <c r="AS438" t="str">
        <f t="shared" si="48"/>
        <v/>
      </c>
      <c r="AT438" t="str">
        <f>IF(AS438="","",IF(ISNUMBER(Roster!$D438),Roster!$D438&gt;=AP438,FALSE))</f>
        <v/>
      </c>
      <c r="AU438" t="str">
        <f t="shared" si="49"/>
        <v/>
      </c>
      <c r="AV438" t="str">
        <f ca="1">IF(433&gt;$AV$2,"",SMALL($AR$6:$AR$505,433))</f>
        <v/>
      </c>
      <c r="AW438" t="str">
        <f t="shared" ca="1" si="50"/>
        <v/>
      </c>
    </row>
    <row r="439" spans="2:49" x14ac:dyDescent="0.2">
      <c r="B439" s="32" t="str">
        <f>IF(AND(ISNUMBER(Roster!$B439),Setup!$B$20="Yes",ISNUMBER(Setup!$C$20)),EDATE(Roster!$B439,12*Setup!$C$20),"")</f>
        <v/>
      </c>
      <c r="C439" s="32" t="str">
        <f>IF(AND(ISNUMBER(Roster!$B439),Setup!$B$21="Yes",ISNUMBER(Setup!$C$21)),EDATE(Roster!$B439,12*Setup!$C$21),"")</f>
        <v/>
      </c>
      <c r="D439" s="32" t="str">
        <f>IF(AND(ISNUMBER(Roster!$B439),Setup!$B$22="Yes",ISNUMBER(Setup!$C$22)),EDATE(Roster!$B439,12*Setup!$C$22),"")</f>
        <v/>
      </c>
      <c r="E439" s="32" t="str">
        <f>IF(AND(ISNUMBER(Roster!$B439),Setup!$B$23="Yes",ISNUMBER(Setup!$C$23)),EDATE(Roster!$B439,12*Setup!$C$23),"")</f>
        <v/>
      </c>
      <c r="F439" s="32" t="str">
        <f>IF(AND(ISNUMBER(Roster!$B439),Setup!$B$24="Yes",ISNUMBER(Setup!$C$24)),EDATE(Roster!$B439,12*Setup!$C$24),"")</f>
        <v/>
      </c>
      <c r="G439" s="32" t="str">
        <f>IF(AND(ISNUMBER(Roster!$B439),Setup!$B$25="Yes",ISNUMBER(Setup!$C$25)),EDATE(Roster!$B439,12*Setup!$C$25),"")</f>
        <v/>
      </c>
      <c r="H439" s="32" t="str">
        <f>IF(AND(ISNUMBER(Roster!$B439),Setup!$B$26="Yes",ISNUMBER(Setup!$C$26)),EDATE(Roster!$B439,12*Setup!$C$26),"")</f>
        <v/>
      </c>
      <c r="I439" s="32" t="str">
        <f>IF(AND(ISNUMBER(Roster!$B439),Setup!$B$27="Yes",ISNUMBER(Setup!$C$27)),EDATE(Roster!$B439,12*Setup!$C$27),"")</f>
        <v/>
      </c>
      <c r="J439" s="32" t="str">
        <f>IF(AND(ISNUMBER(Roster!$B439),Setup!$B$28="Yes",ISNUMBER(Setup!$C$28)),EDATE(Roster!$B439,12*Setup!$C$28),"")</f>
        <v/>
      </c>
      <c r="K439" s="32" t="str">
        <f>IF(AND(ISNUMBER(Roster!$B439),Setup!$B$29="Yes",ISNUMBER(Setup!$C$29)),EDATE(Roster!$B439,12*Setup!$C$29),"")</f>
        <v/>
      </c>
      <c r="L439" s="32" t="str">
        <f>IF(AND(ISNUMBER(Roster!$B439),Setup!$B$30="Yes",ISNUMBER(Setup!$C$30)),EDATE(Roster!$B439,12*Setup!$C$30),"")</f>
        <v/>
      </c>
      <c r="M439" s="32" t="str">
        <f>IF(AND(ISNUMBER(Roster!$B439),Setup!$B$31="Yes",ISNUMBER(Setup!$C$31)),EDATE(Roster!$B439,12*Setup!$C$31),"")</f>
        <v/>
      </c>
      <c r="N439" s="32" t="str">
        <f>IF(AND(ISNUMBER(Roster!$B439),Setup!$B$32="Yes",ISNUMBER(Setup!$C$32)),EDATE(Roster!$B439,12*Setup!$C$32),"")</f>
        <v/>
      </c>
      <c r="O439" s="32" t="str">
        <f>IF(AND(ISNUMBER(Roster!$B439),Setup!$B$33="Yes",ISNUMBER(Setup!$C$33)),EDATE(Roster!$B439,12*Setup!$C$33),"")</f>
        <v/>
      </c>
      <c r="P439" s="32" t="str">
        <f>IF(AND(ISNUMBER(Roster!$B439),Setup!$B$34="Yes",ISNUMBER(Setup!$C$34)),EDATE(Roster!$B439,12*Setup!$C$34),"")</f>
        <v/>
      </c>
      <c r="R439" t="str">
        <f>IF(B439="","",IF(B439&lt;Setup!$C$5-Setup!$C$6,"",IF(IF(ISNUMBER(Roster!$D439),Setup!$C$20&lt;=Roster!$D439,FALSE),"",IF(OR(IF(Setup!$C$15&lt;=Setup!$C$16,AND(MONTH(B439)&gt;=Setup!$C$15,MONTH(B439)&lt;=Setup!$C$16),OR(MONTH(B439)&gt;=Setup!$C$15,MONTH(B439)&lt;=Setup!$C$16)),IF(Setup!$C$15&lt;=Setup!$C$16,AND(MONTH(WORKDAY(B439,-(Setup!$C$13+Setup!$G$20),Setup!$C$39:$C$50))&gt;=Setup!$C$15,MONTH(WORKDAY(B439,-(Setup!$C$13+Setup!$G$20),Setup!$C$39:$C$50))&lt;=Setup!$C$16),OR(MONTH(WORKDAY(B439,-(Setup!$C$13+Setup!$G$20),Setup!$C$39:$C$50))&gt;=Setup!$C$15,MONTH(WORKDAY(B439,-(Setup!$C$13+Setup!$G$20),Setup!$C$39:$C$50))&lt;=Setup!$C$16))),WORKDAY(B439,-(Setup!$C$13+Setup!$G$20+Setup!$C$14),Setup!$C$39:$C$50),WORKDAY(B439,-(Setup!$C$13+Setup!$G$20),Setup!$C$39:$C$50))+(434*100+1)/10000000)))</f>
        <v/>
      </c>
      <c r="S439" t="str">
        <f>IF(C439="","",IF(C439&lt;Setup!$C$5-Setup!$C$6,"",IF(IF(ISNUMBER(Roster!$D439),Setup!$C$21&lt;=Roster!$D439,FALSE),"",IF(OR(IF(Setup!$C$15&lt;=Setup!$C$16,AND(MONTH(C439)&gt;=Setup!$C$15,MONTH(C439)&lt;=Setup!$C$16),OR(MONTH(C439)&gt;=Setup!$C$15,MONTH(C439)&lt;=Setup!$C$16)),IF(Setup!$C$15&lt;=Setup!$C$16,AND(MONTH(WORKDAY(C439,-(Setup!$C$13+Setup!$G$21),Setup!$C$39:$C$50))&gt;=Setup!$C$15,MONTH(WORKDAY(C439,-(Setup!$C$13+Setup!$G$21),Setup!$C$39:$C$50))&lt;=Setup!$C$16),OR(MONTH(WORKDAY(C439,-(Setup!$C$13+Setup!$G$21),Setup!$C$39:$C$50))&gt;=Setup!$C$15,MONTH(WORKDAY(C439,-(Setup!$C$13+Setup!$G$21),Setup!$C$39:$C$50))&lt;=Setup!$C$16))),WORKDAY(C439,-(Setup!$C$13+Setup!$G$21+Setup!$C$14),Setup!$C$39:$C$50),WORKDAY(C439,-(Setup!$C$13+Setup!$G$21),Setup!$C$39:$C$50))+(434*100+2)/10000000)))</f>
        <v/>
      </c>
      <c r="T439" t="str">
        <f>IF(D439="","",IF(D439&lt;Setup!$C$5-Setup!$C$6,"",IF(IF(ISNUMBER(Roster!$D439),Setup!$C$22&lt;=Roster!$D439,FALSE),"",IF(OR(IF(Setup!$C$15&lt;=Setup!$C$16,AND(MONTH(D439)&gt;=Setup!$C$15,MONTH(D439)&lt;=Setup!$C$16),OR(MONTH(D439)&gt;=Setup!$C$15,MONTH(D439)&lt;=Setup!$C$16)),IF(Setup!$C$15&lt;=Setup!$C$16,AND(MONTH(WORKDAY(D439,-(Setup!$C$13+Setup!$G$22),Setup!$C$39:$C$50))&gt;=Setup!$C$15,MONTH(WORKDAY(D439,-(Setup!$C$13+Setup!$G$22),Setup!$C$39:$C$50))&lt;=Setup!$C$16),OR(MONTH(WORKDAY(D439,-(Setup!$C$13+Setup!$G$22),Setup!$C$39:$C$50))&gt;=Setup!$C$15,MONTH(WORKDAY(D439,-(Setup!$C$13+Setup!$G$22),Setup!$C$39:$C$50))&lt;=Setup!$C$16))),WORKDAY(D439,-(Setup!$C$13+Setup!$G$22+Setup!$C$14),Setup!$C$39:$C$50),WORKDAY(D439,-(Setup!$C$13+Setup!$G$22),Setup!$C$39:$C$50))+(434*100+3)/10000000)))</f>
        <v/>
      </c>
      <c r="U439" t="str">
        <f>IF(E439="","",IF(E439&lt;Setup!$C$5-Setup!$C$6,"",IF(IF(ISNUMBER(Roster!$D439),Setup!$C$23&lt;=Roster!$D439,FALSE),"",IF(OR(IF(Setup!$C$15&lt;=Setup!$C$16,AND(MONTH(E439)&gt;=Setup!$C$15,MONTH(E439)&lt;=Setup!$C$16),OR(MONTH(E439)&gt;=Setup!$C$15,MONTH(E439)&lt;=Setup!$C$16)),IF(Setup!$C$15&lt;=Setup!$C$16,AND(MONTH(WORKDAY(E439,-(Setup!$C$13+Setup!$G$23),Setup!$C$39:$C$50))&gt;=Setup!$C$15,MONTH(WORKDAY(E439,-(Setup!$C$13+Setup!$G$23),Setup!$C$39:$C$50))&lt;=Setup!$C$16),OR(MONTH(WORKDAY(E439,-(Setup!$C$13+Setup!$G$23),Setup!$C$39:$C$50))&gt;=Setup!$C$15,MONTH(WORKDAY(E439,-(Setup!$C$13+Setup!$G$23),Setup!$C$39:$C$50))&lt;=Setup!$C$16))),WORKDAY(E439,-(Setup!$C$13+Setup!$G$23+Setup!$C$14),Setup!$C$39:$C$50),WORKDAY(E439,-(Setup!$C$13+Setup!$G$23),Setup!$C$39:$C$50))+(434*100+4)/10000000)))</f>
        <v/>
      </c>
      <c r="V439" t="str">
        <f>IF(F439="","",IF(F439&lt;Setup!$C$5-Setup!$C$6,"",IF(IF(ISNUMBER(Roster!$D439),Setup!$C$24&lt;=Roster!$D439,FALSE),"",IF(OR(IF(Setup!$C$15&lt;=Setup!$C$16,AND(MONTH(F439)&gt;=Setup!$C$15,MONTH(F439)&lt;=Setup!$C$16),OR(MONTH(F439)&gt;=Setup!$C$15,MONTH(F439)&lt;=Setup!$C$16)),IF(Setup!$C$15&lt;=Setup!$C$16,AND(MONTH(WORKDAY(F439,-(Setup!$C$13+Setup!$G$24),Setup!$C$39:$C$50))&gt;=Setup!$C$15,MONTH(WORKDAY(F439,-(Setup!$C$13+Setup!$G$24),Setup!$C$39:$C$50))&lt;=Setup!$C$16),OR(MONTH(WORKDAY(F439,-(Setup!$C$13+Setup!$G$24),Setup!$C$39:$C$50))&gt;=Setup!$C$15,MONTH(WORKDAY(F439,-(Setup!$C$13+Setup!$G$24),Setup!$C$39:$C$50))&lt;=Setup!$C$16))),WORKDAY(F439,-(Setup!$C$13+Setup!$G$24+Setup!$C$14),Setup!$C$39:$C$50),WORKDAY(F439,-(Setup!$C$13+Setup!$G$24),Setup!$C$39:$C$50))+(434*100+5)/10000000)))</f>
        <v/>
      </c>
      <c r="W439" t="str">
        <f>IF(G439="","",IF(G439&lt;Setup!$C$5-Setup!$C$6,"",IF(IF(ISNUMBER(Roster!$D439),Setup!$C$25&lt;=Roster!$D439,FALSE),"",IF(OR(IF(Setup!$C$15&lt;=Setup!$C$16,AND(MONTH(G439)&gt;=Setup!$C$15,MONTH(G439)&lt;=Setup!$C$16),OR(MONTH(G439)&gt;=Setup!$C$15,MONTH(G439)&lt;=Setup!$C$16)),IF(Setup!$C$15&lt;=Setup!$C$16,AND(MONTH(WORKDAY(G439,-(Setup!$C$13+Setup!$G$25),Setup!$C$39:$C$50))&gt;=Setup!$C$15,MONTH(WORKDAY(G439,-(Setup!$C$13+Setup!$G$25),Setup!$C$39:$C$50))&lt;=Setup!$C$16),OR(MONTH(WORKDAY(G439,-(Setup!$C$13+Setup!$G$25),Setup!$C$39:$C$50))&gt;=Setup!$C$15,MONTH(WORKDAY(G439,-(Setup!$C$13+Setup!$G$25),Setup!$C$39:$C$50))&lt;=Setup!$C$16))),WORKDAY(G439,-(Setup!$C$13+Setup!$G$25+Setup!$C$14),Setup!$C$39:$C$50),WORKDAY(G439,-(Setup!$C$13+Setup!$G$25),Setup!$C$39:$C$50))+(434*100+6)/10000000)))</f>
        <v/>
      </c>
      <c r="X439" t="str">
        <f>IF(H439="","",IF(H439&lt;Setup!$C$5-Setup!$C$6,"",IF(IF(ISNUMBER(Roster!$D439),Setup!$C$26&lt;=Roster!$D439,FALSE),"",IF(OR(IF(Setup!$C$15&lt;=Setup!$C$16,AND(MONTH(H439)&gt;=Setup!$C$15,MONTH(H439)&lt;=Setup!$C$16),OR(MONTH(H439)&gt;=Setup!$C$15,MONTH(H439)&lt;=Setup!$C$16)),IF(Setup!$C$15&lt;=Setup!$C$16,AND(MONTH(WORKDAY(H439,-(Setup!$C$13+Setup!$G$26),Setup!$C$39:$C$50))&gt;=Setup!$C$15,MONTH(WORKDAY(H439,-(Setup!$C$13+Setup!$G$26),Setup!$C$39:$C$50))&lt;=Setup!$C$16),OR(MONTH(WORKDAY(H439,-(Setup!$C$13+Setup!$G$26),Setup!$C$39:$C$50))&gt;=Setup!$C$15,MONTH(WORKDAY(H439,-(Setup!$C$13+Setup!$G$26),Setup!$C$39:$C$50))&lt;=Setup!$C$16))),WORKDAY(H439,-(Setup!$C$13+Setup!$G$26+Setup!$C$14),Setup!$C$39:$C$50),WORKDAY(H439,-(Setup!$C$13+Setup!$G$26),Setup!$C$39:$C$50))+(434*100+7)/10000000)))</f>
        <v/>
      </c>
      <c r="Y439" t="str">
        <f>IF(I439="","",IF(I439&lt;Setup!$C$5-Setup!$C$6,"",IF(IF(ISNUMBER(Roster!$D439),Setup!$C$27&lt;=Roster!$D439,FALSE),"",IF(OR(IF(Setup!$C$15&lt;=Setup!$C$16,AND(MONTH(I439)&gt;=Setup!$C$15,MONTH(I439)&lt;=Setup!$C$16),OR(MONTH(I439)&gt;=Setup!$C$15,MONTH(I439)&lt;=Setup!$C$16)),IF(Setup!$C$15&lt;=Setup!$C$16,AND(MONTH(WORKDAY(I439,-(Setup!$C$13+Setup!$G$27),Setup!$C$39:$C$50))&gt;=Setup!$C$15,MONTH(WORKDAY(I439,-(Setup!$C$13+Setup!$G$27),Setup!$C$39:$C$50))&lt;=Setup!$C$16),OR(MONTH(WORKDAY(I439,-(Setup!$C$13+Setup!$G$27),Setup!$C$39:$C$50))&gt;=Setup!$C$15,MONTH(WORKDAY(I439,-(Setup!$C$13+Setup!$G$27),Setup!$C$39:$C$50))&lt;=Setup!$C$16))),WORKDAY(I439,-(Setup!$C$13+Setup!$G$27+Setup!$C$14),Setup!$C$39:$C$50),WORKDAY(I439,-(Setup!$C$13+Setup!$G$27),Setup!$C$39:$C$50))+(434*100+8)/10000000)))</f>
        <v/>
      </c>
      <c r="Z439" t="str">
        <f>IF(J439="","",IF(J439&lt;Setup!$C$5-Setup!$C$6,"",IF(IF(ISNUMBER(Roster!$D439),Setup!$C$28&lt;=Roster!$D439,FALSE),"",IF(OR(IF(Setup!$C$15&lt;=Setup!$C$16,AND(MONTH(J439)&gt;=Setup!$C$15,MONTH(J439)&lt;=Setup!$C$16),OR(MONTH(J439)&gt;=Setup!$C$15,MONTH(J439)&lt;=Setup!$C$16)),IF(Setup!$C$15&lt;=Setup!$C$16,AND(MONTH(WORKDAY(J439,-(Setup!$C$13+Setup!$G$28),Setup!$C$39:$C$50))&gt;=Setup!$C$15,MONTH(WORKDAY(J439,-(Setup!$C$13+Setup!$G$28),Setup!$C$39:$C$50))&lt;=Setup!$C$16),OR(MONTH(WORKDAY(J439,-(Setup!$C$13+Setup!$G$28),Setup!$C$39:$C$50))&gt;=Setup!$C$15,MONTH(WORKDAY(J439,-(Setup!$C$13+Setup!$G$28),Setup!$C$39:$C$50))&lt;=Setup!$C$16))),WORKDAY(J439,-(Setup!$C$13+Setup!$G$28+Setup!$C$14),Setup!$C$39:$C$50),WORKDAY(J439,-(Setup!$C$13+Setup!$G$28),Setup!$C$39:$C$50))+(434*100+9)/10000000)))</f>
        <v/>
      </c>
      <c r="AA439" t="str">
        <f>IF(K439="","",IF(K439&lt;Setup!$C$5-Setup!$C$6,"",IF(IF(ISNUMBER(Roster!$D439),Setup!$C$29&lt;=Roster!$D439,FALSE),"",IF(OR(IF(Setup!$C$15&lt;=Setup!$C$16,AND(MONTH(K439)&gt;=Setup!$C$15,MONTH(K439)&lt;=Setup!$C$16),OR(MONTH(K439)&gt;=Setup!$C$15,MONTH(K439)&lt;=Setup!$C$16)),IF(Setup!$C$15&lt;=Setup!$C$16,AND(MONTH(WORKDAY(K439,-(Setup!$C$13+Setup!$G$29),Setup!$C$39:$C$50))&gt;=Setup!$C$15,MONTH(WORKDAY(K439,-(Setup!$C$13+Setup!$G$29),Setup!$C$39:$C$50))&lt;=Setup!$C$16),OR(MONTH(WORKDAY(K439,-(Setup!$C$13+Setup!$G$29),Setup!$C$39:$C$50))&gt;=Setup!$C$15,MONTH(WORKDAY(K439,-(Setup!$C$13+Setup!$G$29),Setup!$C$39:$C$50))&lt;=Setup!$C$16))),WORKDAY(K439,-(Setup!$C$13+Setup!$G$29+Setup!$C$14),Setup!$C$39:$C$50),WORKDAY(K439,-(Setup!$C$13+Setup!$G$29),Setup!$C$39:$C$50))+(434*100+10)/10000000)))</f>
        <v/>
      </c>
      <c r="AB439" t="str">
        <f>IF(L439="","",IF(L439&lt;Setup!$C$5-Setup!$C$6,"",IF(IF(ISNUMBER(Roster!$D439),Setup!$C$30&lt;=Roster!$D439,FALSE),"",IF(OR(IF(Setup!$C$15&lt;=Setup!$C$16,AND(MONTH(L439)&gt;=Setup!$C$15,MONTH(L439)&lt;=Setup!$C$16),OR(MONTH(L439)&gt;=Setup!$C$15,MONTH(L439)&lt;=Setup!$C$16)),IF(Setup!$C$15&lt;=Setup!$C$16,AND(MONTH(WORKDAY(L439,-(Setup!$C$13+Setup!$G$30),Setup!$C$39:$C$50))&gt;=Setup!$C$15,MONTH(WORKDAY(L439,-(Setup!$C$13+Setup!$G$30),Setup!$C$39:$C$50))&lt;=Setup!$C$16),OR(MONTH(WORKDAY(L439,-(Setup!$C$13+Setup!$G$30),Setup!$C$39:$C$50))&gt;=Setup!$C$15,MONTH(WORKDAY(L439,-(Setup!$C$13+Setup!$G$30),Setup!$C$39:$C$50))&lt;=Setup!$C$16))),WORKDAY(L439,-(Setup!$C$13+Setup!$G$30+Setup!$C$14),Setup!$C$39:$C$50),WORKDAY(L439,-(Setup!$C$13+Setup!$G$30),Setup!$C$39:$C$50))+(434*100+11)/10000000)))</f>
        <v/>
      </c>
      <c r="AC439" t="str">
        <f>IF(M439="","",IF(M439&lt;Setup!$C$5-Setup!$C$6,"",IF(IF(ISNUMBER(Roster!$D439),Setup!$C$31&lt;=Roster!$D439,FALSE),"",IF(OR(IF(Setup!$C$15&lt;=Setup!$C$16,AND(MONTH(M439)&gt;=Setup!$C$15,MONTH(M439)&lt;=Setup!$C$16),OR(MONTH(M439)&gt;=Setup!$C$15,MONTH(M439)&lt;=Setup!$C$16)),IF(Setup!$C$15&lt;=Setup!$C$16,AND(MONTH(WORKDAY(M439,-(Setup!$C$13+Setup!$G$31),Setup!$C$39:$C$50))&gt;=Setup!$C$15,MONTH(WORKDAY(M439,-(Setup!$C$13+Setup!$G$31),Setup!$C$39:$C$50))&lt;=Setup!$C$16),OR(MONTH(WORKDAY(M439,-(Setup!$C$13+Setup!$G$31),Setup!$C$39:$C$50))&gt;=Setup!$C$15,MONTH(WORKDAY(M439,-(Setup!$C$13+Setup!$G$31),Setup!$C$39:$C$50))&lt;=Setup!$C$16))),WORKDAY(M439,-(Setup!$C$13+Setup!$G$31+Setup!$C$14),Setup!$C$39:$C$50),WORKDAY(M439,-(Setup!$C$13+Setup!$G$31),Setup!$C$39:$C$50))+(434*100+12)/10000000)))</f>
        <v/>
      </c>
      <c r="AD439" t="str">
        <f>IF(N439="","",IF(N439&lt;Setup!$C$5-Setup!$C$6,"",IF(IF(ISNUMBER(Roster!$D439),Setup!$C$32&lt;=Roster!$D439,FALSE),"",IF(OR(IF(Setup!$C$15&lt;=Setup!$C$16,AND(MONTH(N439)&gt;=Setup!$C$15,MONTH(N439)&lt;=Setup!$C$16),OR(MONTH(N439)&gt;=Setup!$C$15,MONTH(N439)&lt;=Setup!$C$16)),IF(Setup!$C$15&lt;=Setup!$C$16,AND(MONTH(WORKDAY(N439,-(Setup!$C$13+Setup!$G$32),Setup!$C$39:$C$50))&gt;=Setup!$C$15,MONTH(WORKDAY(N439,-(Setup!$C$13+Setup!$G$32),Setup!$C$39:$C$50))&lt;=Setup!$C$16),OR(MONTH(WORKDAY(N439,-(Setup!$C$13+Setup!$G$32),Setup!$C$39:$C$50))&gt;=Setup!$C$15,MONTH(WORKDAY(N439,-(Setup!$C$13+Setup!$G$32),Setup!$C$39:$C$50))&lt;=Setup!$C$16))),WORKDAY(N439,-(Setup!$C$13+Setup!$G$32+Setup!$C$14),Setup!$C$39:$C$50),WORKDAY(N439,-(Setup!$C$13+Setup!$G$32),Setup!$C$39:$C$50))+(434*100+13)/10000000)))</f>
        <v/>
      </c>
      <c r="AE439" t="str">
        <f>IF(O439="","",IF(O439&lt;Setup!$C$5-Setup!$C$6,"",IF(IF(ISNUMBER(Roster!$D439),Setup!$C$33&lt;=Roster!$D439,FALSE),"",IF(OR(IF(Setup!$C$15&lt;=Setup!$C$16,AND(MONTH(O439)&gt;=Setup!$C$15,MONTH(O439)&lt;=Setup!$C$16),OR(MONTH(O439)&gt;=Setup!$C$15,MONTH(O439)&lt;=Setup!$C$16)),IF(Setup!$C$15&lt;=Setup!$C$16,AND(MONTH(WORKDAY(O439,-(Setup!$C$13+Setup!$G$33),Setup!$C$39:$C$50))&gt;=Setup!$C$15,MONTH(WORKDAY(O439,-(Setup!$C$13+Setup!$G$33),Setup!$C$39:$C$50))&lt;=Setup!$C$16),OR(MONTH(WORKDAY(O439,-(Setup!$C$13+Setup!$G$33),Setup!$C$39:$C$50))&gt;=Setup!$C$15,MONTH(WORKDAY(O439,-(Setup!$C$13+Setup!$G$33),Setup!$C$39:$C$50))&lt;=Setup!$C$16))),WORKDAY(O439,-(Setup!$C$13+Setup!$G$33+Setup!$C$14),Setup!$C$39:$C$50),WORKDAY(O439,-(Setup!$C$13+Setup!$G$33),Setup!$C$39:$C$50))+(434*100+14)/10000000)))</f>
        <v/>
      </c>
      <c r="AF439" t="str">
        <f>IF(P439="","",IF(P439&lt;Setup!$C$5-Setup!$C$6,"",IF(IF(ISNUMBER(Roster!$D439),Setup!$C$34&lt;=Roster!$D439,FALSE),"",IF(OR(IF(Setup!$C$15&lt;=Setup!$C$16,AND(MONTH(P439)&gt;=Setup!$C$15,MONTH(P439)&lt;=Setup!$C$16),OR(MONTH(P439)&gt;=Setup!$C$15,MONTH(P439)&lt;=Setup!$C$16)),IF(Setup!$C$15&lt;=Setup!$C$16,AND(MONTH(WORKDAY(P439,-(Setup!$C$13+Setup!$G$34),Setup!$C$39:$C$50))&gt;=Setup!$C$15,MONTH(WORKDAY(P439,-(Setup!$C$13+Setup!$G$34),Setup!$C$39:$C$50))&lt;=Setup!$C$16),OR(MONTH(WORKDAY(P439,-(Setup!$C$13+Setup!$G$34),Setup!$C$39:$C$50))&gt;=Setup!$C$15,MONTH(WORKDAY(P439,-(Setup!$C$13+Setup!$G$34),Setup!$C$39:$C$50))&lt;=Setup!$C$16))),WORKDAY(P439,-(Setup!$C$13+Setup!$G$34+Setup!$C$14),Setup!$C$39:$C$50),WORKDAY(P439,-(Setup!$C$13+Setup!$G$34),Setup!$C$39:$C$50))+(434*100+15)/10000000)))</f>
        <v/>
      </c>
      <c r="AH439" t="str">
        <f t="shared" si="46"/>
        <v/>
      </c>
      <c r="AI439" t="str">
        <f t="shared" si="47"/>
        <v/>
      </c>
      <c r="AP439" t="str">
        <f>IF(ISNUMBER(Roster!$B439),MAX(1,YEAR(Setup!$C$5)-YEAR(Roster!$B439)+IF(EDATE(Roster!$B439,12*(YEAR(Setup!$C$5)-YEAR(Roster!$B439)))&lt;Setup!$C$5,1,0)),"")</f>
        <v/>
      </c>
      <c r="AQ439" s="32" t="str">
        <f>IF(AP439="","",EDATE(Roster!$B439,12*AP439))</f>
        <v/>
      </c>
      <c r="AR439" t="str">
        <f>IF(AQ439="","",IF(AQ439&lt;DATE(YEAR(Setup!$C$5)+1,MONTH(Setup!$C$5),DAY(Setup!$C$5)),AQ439+434/1000,""))</f>
        <v/>
      </c>
      <c r="AS439" t="str">
        <f t="shared" si="48"/>
        <v/>
      </c>
      <c r="AT439" t="str">
        <f>IF(AS439="","",IF(ISNUMBER(Roster!$D439),Roster!$D439&gt;=AP439,FALSE))</f>
        <v/>
      </c>
      <c r="AU439" t="str">
        <f t="shared" si="49"/>
        <v/>
      </c>
      <c r="AV439" t="str">
        <f ca="1">IF(434&gt;$AV$2,"",SMALL($AR$6:$AR$505,434))</f>
        <v/>
      </c>
      <c r="AW439" t="str">
        <f t="shared" ca="1" si="50"/>
        <v/>
      </c>
    </row>
    <row r="440" spans="2:49" x14ac:dyDescent="0.2">
      <c r="B440" s="32" t="str">
        <f>IF(AND(ISNUMBER(Roster!$B440),Setup!$B$20="Yes",ISNUMBER(Setup!$C$20)),EDATE(Roster!$B440,12*Setup!$C$20),"")</f>
        <v/>
      </c>
      <c r="C440" s="32" t="str">
        <f>IF(AND(ISNUMBER(Roster!$B440),Setup!$B$21="Yes",ISNUMBER(Setup!$C$21)),EDATE(Roster!$B440,12*Setup!$C$21),"")</f>
        <v/>
      </c>
      <c r="D440" s="32" t="str">
        <f>IF(AND(ISNUMBER(Roster!$B440),Setup!$B$22="Yes",ISNUMBER(Setup!$C$22)),EDATE(Roster!$B440,12*Setup!$C$22),"")</f>
        <v/>
      </c>
      <c r="E440" s="32" t="str">
        <f>IF(AND(ISNUMBER(Roster!$B440),Setup!$B$23="Yes",ISNUMBER(Setup!$C$23)),EDATE(Roster!$B440,12*Setup!$C$23),"")</f>
        <v/>
      </c>
      <c r="F440" s="32" t="str">
        <f>IF(AND(ISNUMBER(Roster!$B440),Setup!$B$24="Yes",ISNUMBER(Setup!$C$24)),EDATE(Roster!$B440,12*Setup!$C$24),"")</f>
        <v/>
      </c>
      <c r="G440" s="32" t="str">
        <f>IF(AND(ISNUMBER(Roster!$B440),Setup!$B$25="Yes",ISNUMBER(Setup!$C$25)),EDATE(Roster!$B440,12*Setup!$C$25),"")</f>
        <v/>
      </c>
      <c r="H440" s="32" t="str">
        <f>IF(AND(ISNUMBER(Roster!$B440),Setup!$B$26="Yes",ISNUMBER(Setup!$C$26)),EDATE(Roster!$B440,12*Setup!$C$26),"")</f>
        <v/>
      </c>
      <c r="I440" s="32" t="str">
        <f>IF(AND(ISNUMBER(Roster!$B440),Setup!$B$27="Yes",ISNUMBER(Setup!$C$27)),EDATE(Roster!$B440,12*Setup!$C$27),"")</f>
        <v/>
      </c>
      <c r="J440" s="32" t="str">
        <f>IF(AND(ISNUMBER(Roster!$B440),Setup!$B$28="Yes",ISNUMBER(Setup!$C$28)),EDATE(Roster!$B440,12*Setup!$C$28),"")</f>
        <v/>
      </c>
      <c r="K440" s="32" t="str">
        <f>IF(AND(ISNUMBER(Roster!$B440),Setup!$B$29="Yes",ISNUMBER(Setup!$C$29)),EDATE(Roster!$B440,12*Setup!$C$29),"")</f>
        <v/>
      </c>
      <c r="L440" s="32" t="str">
        <f>IF(AND(ISNUMBER(Roster!$B440),Setup!$B$30="Yes",ISNUMBER(Setup!$C$30)),EDATE(Roster!$B440,12*Setup!$C$30),"")</f>
        <v/>
      </c>
      <c r="M440" s="32" t="str">
        <f>IF(AND(ISNUMBER(Roster!$B440),Setup!$B$31="Yes",ISNUMBER(Setup!$C$31)),EDATE(Roster!$B440,12*Setup!$C$31),"")</f>
        <v/>
      </c>
      <c r="N440" s="32" t="str">
        <f>IF(AND(ISNUMBER(Roster!$B440),Setup!$B$32="Yes",ISNUMBER(Setup!$C$32)),EDATE(Roster!$B440,12*Setup!$C$32),"")</f>
        <v/>
      </c>
      <c r="O440" s="32" t="str">
        <f>IF(AND(ISNUMBER(Roster!$B440),Setup!$B$33="Yes",ISNUMBER(Setup!$C$33)),EDATE(Roster!$B440,12*Setup!$C$33),"")</f>
        <v/>
      </c>
      <c r="P440" s="32" t="str">
        <f>IF(AND(ISNUMBER(Roster!$B440),Setup!$B$34="Yes",ISNUMBER(Setup!$C$34)),EDATE(Roster!$B440,12*Setup!$C$34),"")</f>
        <v/>
      </c>
      <c r="R440" t="str">
        <f>IF(B440="","",IF(B440&lt;Setup!$C$5-Setup!$C$6,"",IF(IF(ISNUMBER(Roster!$D440),Setup!$C$20&lt;=Roster!$D440,FALSE),"",IF(OR(IF(Setup!$C$15&lt;=Setup!$C$16,AND(MONTH(B440)&gt;=Setup!$C$15,MONTH(B440)&lt;=Setup!$C$16),OR(MONTH(B440)&gt;=Setup!$C$15,MONTH(B440)&lt;=Setup!$C$16)),IF(Setup!$C$15&lt;=Setup!$C$16,AND(MONTH(WORKDAY(B440,-(Setup!$C$13+Setup!$G$20),Setup!$C$39:$C$50))&gt;=Setup!$C$15,MONTH(WORKDAY(B440,-(Setup!$C$13+Setup!$G$20),Setup!$C$39:$C$50))&lt;=Setup!$C$16),OR(MONTH(WORKDAY(B440,-(Setup!$C$13+Setup!$G$20),Setup!$C$39:$C$50))&gt;=Setup!$C$15,MONTH(WORKDAY(B440,-(Setup!$C$13+Setup!$G$20),Setup!$C$39:$C$50))&lt;=Setup!$C$16))),WORKDAY(B440,-(Setup!$C$13+Setup!$G$20+Setup!$C$14),Setup!$C$39:$C$50),WORKDAY(B440,-(Setup!$C$13+Setup!$G$20),Setup!$C$39:$C$50))+(435*100+1)/10000000)))</f>
        <v/>
      </c>
      <c r="S440" t="str">
        <f>IF(C440="","",IF(C440&lt;Setup!$C$5-Setup!$C$6,"",IF(IF(ISNUMBER(Roster!$D440),Setup!$C$21&lt;=Roster!$D440,FALSE),"",IF(OR(IF(Setup!$C$15&lt;=Setup!$C$16,AND(MONTH(C440)&gt;=Setup!$C$15,MONTH(C440)&lt;=Setup!$C$16),OR(MONTH(C440)&gt;=Setup!$C$15,MONTH(C440)&lt;=Setup!$C$16)),IF(Setup!$C$15&lt;=Setup!$C$16,AND(MONTH(WORKDAY(C440,-(Setup!$C$13+Setup!$G$21),Setup!$C$39:$C$50))&gt;=Setup!$C$15,MONTH(WORKDAY(C440,-(Setup!$C$13+Setup!$G$21),Setup!$C$39:$C$50))&lt;=Setup!$C$16),OR(MONTH(WORKDAY(C440,-(Setup!$C$13+Setup!$G$21),Setup!$C$39:$C$50))&gt;=Setup!$C$15,MONTH(WORKDAY(C440,-(Setup!$C$13+Setup!$G$21),Setup!$C$39:$C$50))&lt;=Setup!$C$16))),WORKDAY(C440,-(Setup!$C$13+Setup!$G$21+Setup!$C$14),Setup!$C$39:$C$50),WORKDAY(C440,-(Setup!$C$13+Setup!$G$21),Setup!$C$39:$C$50))+(435*100+2)/10000000)))</f>
        <v/>
      </c>
      <c r="T440" t="str">
        <f>IF(D440="","",IF(D440&lt;Setup!$C$5-Setup!$C$6,"",IF(IF(ISNUMBER(Roster!$D440),Setup!$C$22&lt;=Roster!$D440,FALSE),"",IF(OR(IF(Setup!$C$15&lt;=Setup!$C$16,AND(MONTH(D440)&gt;=Setup!$C$15,MONTH(D440)&lt;=Setup!$C$16),OR(MONTH(D440)&gt;=Setup!$C$15,MONTH(D440)&lt;=Setup!$C$16)),IF(Setup!$C$15&lt;=Setup!$C$16,AND(MONTH(WORKDAY(D440,-(Setup!$C$13+Setup!$G$22),Setup!$C$39:$C$50))&gt;=Setup!$C$15,MONTH(WORKDAY(D440,-(Setup!$C$13+Setup!$G$22),Setup!$C$39:$C$50))&lt;=Setup!$C$16),OR(MONTH(WORKDAY(D440,-(Setup!$C$13+Setup!$G$22),Setup!$C$39:$C$50))&gt;=Setup!$C$15,MONTH(WORKDAY(D440,-(Setup!$C$13+Setup!$G$22),Setup!$C$39:$C$50))&lt;=Setup!$C$16))),WORKDAY(D440,-(Setup!$C$13+Setup!$G$22+Setup!$C$14),Setup!$C$39:$C$50),WORKDAY(D440,-(Setup!$C$13+Setup!$G$22),Setup!$C$39:$C$50))+(435*100+3)/10000000)))</f>
        <v/>
      </c>
      <c r="U440" t="str">
        <f>IF(E440="","",IF(E440&lt;Setup!$C$5-Setup!$C$6,"",IF(IF(ISNUMBER(Roster!$D440),Setup!$C$23&lt;=Roster!$D440,FALSE),"",IF(OR(IF(Setup!$C$15&lt;=Setup!$C$16,AND(MONTH(E440)&gt;=Setup!$C$15,MONTH(E440)&lt;=Setup!$C$16),OR(MONTH(E440)&gt;=Setup!$C$15,MONTH(E440)&lt;=Setup!$C$16)),IF(Setup!$C$15&lt;=Setup!$C$16,AND(MONTH(WORKDAY(E440,-(Setup!$C$13+Setup!$G$23),Setup!$C$39:$C$50))&gt;=Setup!$C$15,MONTH(WORKDAY(E440,-(Setup!$C$13+Setup!$G$23),Setup!$C$39:$C$50))&lt;=Setup!$C$16),OR(MONTH(WORKDAY(E440,-(Setup!$C$13+Setup!$G$23),Setup!$C$39:$C$50))&gt;=Setup!$C$15,MONTH(WORKDAY(E440,-(Setup!$C$13+Setup!$G$23),Setup!$C$39:$C$50))&lt;=Setup!$C$16))),WORKDAY(E440,-(Setup!$C$13+Setup!$G$23+Setup!$C$14),Setup!$C$39:$C$50),WORKDAY(E440,-(Setup!$C$13+Setup!$G$23),Setup!$C$39:$C$50))+(435*100+4)/10000000)))</f>
        <v/>
      </c>
      <c r="V440" t="str">
        <f>IF(F440="","",IF(F440&lt;Setup!$C$5-Setup!$C$6,"",IF(IF(ISNUMBER(Roster!$D440),Setup!$C$24&lt;=Roster!$D440,FALSE),"",IF(OR(IF(Setup!$C$15&lt;=Setup!$C$16,AND(MONTH(F440)&gt;=Setup!$C$15,MONTH(F440)&lt;=Setup!$C$16),OR(MONTH(F440)&gt;=Setup!$C$15,MONTH(F440)&lt;=Setup!$C$16)),IF(Setup!$C$15&lt;=Setup!$C$16,AND(MONTH(WORKDAY(F440,-(Setup!$C$13+Setup!$G$24),Setup!$C$39:$C$50))&gt;=Setup!$C$15,MONTH(WORKDAY(F440,-(Setup!$C$13+Setup!$G$24),Setup!$C$39:$C$50))&lt;=Setup!$C$16),OR(MONTH(WORKDAY(F440,-(Setup!$C$13+Setup!$G$24),Setup!$C$39:$C$50))&gt;=Setup!$C$15,MONTH(WORKDAY(F440,-(Setup!$C$13+Setup!$G$24),Setup!$C$39:$C$50))&lt;=Setup!$C$16))),WORKDAY(F440,-(Setup!$C$13+Setup!$G$24+Setup!$C$14),Setup!$C$39:$C$50),WORKDAY(F440,-(Setup!$C$13+Setup!$G$24),Setup!$C$39:$C$50))+(435*100+5)/10000000)))</f>
        <v/>
      </c>
      <c r="W440" t="str">
        <f>IF(G440="","",IF(G440&lt;Setup!$C$5-Setup!$C$6,"",IF(IF(ISNUMBER(Roster!$D440),Setup!$C$25&lt;=Roster!$D440,FALSE),"",IF(OR(IF(Setup!$C$15&lt;=Setup!$C$16,AND(MONTH(G440)&gt;=Setup!$C$15,MONTH(G440)&lt;=Setup!$C$16),OR(MONTH(G440)&gt;=Setup!$C$15,MONTH(G440)&lt;=Setup!$C$16)),IF(Setup!$C$15&lt;=Setup!$C$16,AND(MONTH(WORKDAY(G440,-(Setup!$C$13+Setup!$G$25),Setup!$C$39:$C$50))&gt;=Setup!$C$15,MONTH(WORKDAY(G440,-(Setup!$C$13+Setup!$G$25),Setup!$C$39:$C$50))&lt;=Setup!$C$16),OR(MONTH(WORKDAY(G440,-(Setup!$C$13+Setup!$G$25),Setup!$C$39:$C$50))&gt;=Setup!$C$15,MONTH(WORKDAY(G440,-(Setup!$C$13+Setup!$G$25),Setup!$C$39:$C$50))&lt;=Setup!$C$16))),WORKDAY(G440,-(Setup!$C$13+Setup!$G$25+Setup!$C$14),Setup!$C$39:$C$50),WORKDAY(G440,-(Setup!$C$13+Setup!$G$25),Setup!$C$39:$C$50))+(435*100+6)/10000000)))</f>
        <v/>
      </c>
      <c r="X440" t="str">
        <f>IF(H440="","",IF(H440&lt;Setup!$C$5-Setup!$C$6,"",IF(IF(ISNUMBER(Roster!$D440),Setup!$C$26&lt;=Roster!$D440,FALSE),"",IF(OR(IF(Setup!$C$15&lt;=Setup!$C$16,AND(MONTH(H440)&gt;=Setup!$C$15,MONTH(H440)&lt;=Setup!$C$16),OR(MONTH(H440)&gt;=Setup!$C$15,MONTH(H440)&lt;=Setup!$C$16)),IF(Setup!$C$15&lt;=Setup!$C$16,AND(MONTH(WORKDAY(H440,-(Setup!$C$13+Setup!$G$26),Setup!$C$39:$C$50))&gt;=Setup!$C$15,MONTH(WORKDAY(H440,-(Setup!$C$13+Setup!$G$26),Setup!$C$39:$C$50))&lt;=Setup!$C$16),OR(MONTH(WORKDAY(H440,-(Setup!$C$13+Setup!$G$26),Setup!$C$39:$C$50))&gt;=Setup!$C$15,MONTH(WORKDAY(H440,-(Setup!$C$13+Setup!$G$26),Setup!$C$39:$C$50))&lt;=Setup!$C$16))),WORKDAY(H440,-(Setup!$C$13+Setup!$G$26+Setup!$C$14),Setup!$C$39:$C$50),WORKDAY(H440,-(Setup!$C$13+Setup!$G$26),Setup!$C$39:$C$50))+(435*100+7)/10000000)))</f>
        <v/>
      </c>
      <c r="Y440" t="str">
        <f>IF(I440="","",IF(I440&lt;Setup!$C$5-Setup!$C$6,"",IF(IF(ISNUMBER(Roster!$D440),Setup!$C$27&lt;=Roster!$D440,FALSE),"",IF(OR(IF(Setup!$C$15&lt;=Setup!$C$16,AND(MONTH(I440)&gt;=Setup!$C$15,MONTH(I440)&lt;=Setup!$C$16),OR(MONTH(I440)&gt;=Setup!$C$15,MONTH(I440)&lt;=Setup!$C$16)),IF(Setup!$C$15&lt;=Setup!$C$16,AND(MONTH(WORKDAY(I440,-(Setup!$C$13+Setup!$G$27),Setup!$C$39:$C$50))&gt;=Setup!$C$15,MONTH(WORKDAY(I440,-(Setup!$C$13+Setup!$G$27),Setup!$C$39:$C$50))&lt;=Setup!$C$16),OR(MONTH(WORKDAY(I440,-(Setup!$C$13+Setup!$G$27),Setup!$C$39:$C$50))&gt;=Setup!$C$15,MONTH(WORKDAY(I440,-(Setup!$C$13+Setup!$G$27),Setup!$C$39:$C$50))&lt;=Setup!$C$16))),WORKDAY(I440,-(Setup!$C$13+Setup!$G$27+Setup!$C$14),Setup!$C$39:$C$50),WORKDAY(I440,-(Setup!$C$13+Setup!$G$27),Setup!$C$39:$C$50))+(435*100+8)/10000000)))</f>
        <v/>
      </c>
      <c r="Z440" t="str">
        <f>IF(J440="","",IF(J440&lt;Setup!$C$5-Setup!$C$6,"",IF(IF(ISNUMBER(Roster!$D440),Setup!$C$28&lt;=Roster!$D440,FALSE),"",IF(OR(IF(Setup!$C$15&lt;=Setup!$C$16,AND(MONTH(J440)&gt;=Setup!$C$15,MONTH(J440)&lt;=Setup!$C$16),OR(MONTH(J440)&gt;=Setup!$C$15,MONTH(J440)&lt;=Setup!$C$16)),IF(Setup!$C$15&lt;=Setup!$C$16,AND(MONTH(WORKDAY(J440,-(Setup!$C$13+Setup!$G$28),Setup!$C$39:$C$50))&gt;=Setup!$C$15,MONTH(WORKDAY(J440,-(Setup!$C$13+Setup!$G$28),Setup!$C$39:$C$50))&lt;=Setup!$C$16),OR(MONTH(WORKDAY(J440,-(Setup!$C$13+Setup!$G$28),Setup!$C$39:$C$50))&gt;=Setup!$C$15,MONTH(WORKDAY(J440,-(Setup!$C$13+Setup!$G$28),Setup!$C$39:$C$50))&lt;=Setup!$C$16))),WORKDAY(J440,-(Setup!$C$13+Setup!$G$28+Setup!$C$14),Setup!$C$39:$C$50),WORKDAY(J440,-(Setup!$C$13+Setup!$G$28),Setup!$C$39:$C$50))+(435*100+9)/10000000)))</f>
        <v/>
      </c>
      <c r="AA440" t="str">
        <f>IF(K440="","",IF(K440&lt;Setup!$C$5-Setup!$C$6,"",IF(IF(ISNUMBER(Roster!$D440),Setup!$C$29&lt;=Roster!$D440,FALSE),"",IF(OR(IF(Setup!$C$15&lt;=Setup!$C$16,AND(MONTH(K440)&gt;=Setup!$C$15,MONTH(K440)&lt;=Setup!$C$16),OR(MONTH(K440)&gt;=Setup!$C$15,MONTH(K440)&lt;=Setup!$C$16)),IF(Setup!$C$15&lt;=Setup!$C$16,AND(MONTH(WORKDAY(K440,-(Setup!$C$13+Setup!$G$29),Setup!$C$39:$C$50))&gt;=Setup!$C$15,MONTH(WORKDAY(K440,-(Setup!$C$13+Setup!$G$29),Setup!$C$39:$C$50))&lt;=Setup!$C$16),OR(MONTH(WORKDAY(K440,-(Setup!$C$13+Setup!$G$29),Setup!$C$39:$C$50))&gt;=Setup!$C$15,MONTH(WORKDAY(K440,-(Setup!$C$13+Setup!$G$29),Setup!$C$39:$C$50))&lt;=Setup!$C$16))),WORKDAY(K440,-(Setup!$C$13+Setup!$G$29+Setup!$C$14),Setup!$C$39:$C$50),WORKDAY(K440,-(Setup!$C$13+Setup!$G$29),Setup!$C$39:$C$50))+(435*100+10)/10000000)))</f>
        <v/>
      </c>
      <c r="AB440" t="str">
        <f>IF(L440="","",IF(L440&lt;Setup!$C$5-Setup!$C$6,"",IF(IF(ISNUMBER(Roster!$D440),Setup!$C$30&lt;=Roster!$D440,FALSE),"",IF(OR(IF(Setup!$C$15&lt;=Setup!$C$16,AND(MONTH(L440)&gt;=Setup!$C$15,MONTH(L440)&lt;=Setup!$C$16),OR(MONTH(L440)&gt;=Setup!$C$15,MONTH(L440)&lt;=Setup!$C$16)),IF(Setup!$C$15&lt;=Setup!$C$16,AND(MONTH(WORKDAY(L440,-(Setup!$C$13+Setup!$G$30),Setup!$C$39:$C$50))&gt;=Setup!$C$15,MONTH(WORKDAY(L440,-(Setup!$C$13+Setup!$G$30),Setup!$C$39:$C$50))&lt;=Setup!$C$16),OR(MONTH(WORKDAY(L440,-(Setup!$C$13+Setup!$G$30),Setup!$C$39:$C$50))&gt;=Setup!$C$15,MONTH(WORKDAY(L440,-(Setup!$C$13+Setup!$G$30),Setup!$C$39:$C$50))&lt;=Setup!$C$16))),WORKDAY(L440,-(Setup!$C$13+Setup!$G$30+Setup!$C$14),Setup!$C$39:$C$50),WORKDAY(L440,-(Setup!$C$13+Setup!$G$30),Setup!$C$39:$C$50))+(435*100+11)/10000000)))</f>
        <v/>
      </c>
      <c r="AC440" t="str">
        <f>IF(M440="","",IF(M440&lt;Setup!$C$5-Setup!$C$6,"",IF(IF(ISNUMBER(Roster!$D440),Setup!$C$31&lt;=Roster!$D440,FALSE),"",IF(OR(IF(Setup!$C$15&lt;=Setup!$C$16,AND(MONTH(M440)&gt;=Setup!$C$15,MONTH(M440)&lt;=Setup!$C$16),OR(MONTH(M440)&gt;=Setup!$C$15,MONTH(M440)&lt;=Setup!$C$16)),IF(Setup!$C$15&lt;=Setup!$C$16,AND(MONTH(WORKDAY(M440,-(Setup!$C$13+Setup!$G$31),Setup!$C$39:$C$50))&gt;=Setup!$C$15,MONTH(WORKDAY(M440,-(Setup!$C$13+Setup!$G$31),Setup!$C$39:$C$50))&lt;=Setup!$C$16),OR(MONTH(WORKDAY(M440,-(Setup!$C$13+Setup!$G$31),Setup!$C$39:$C$50))&gt;=Setup!$C$15,MONTH(WORKDAY(M440,-(Setup!$C$13+Setup!$G$31),Setup!$C$39:$C$50))&lt;=Setup!$C$16))),WORKDAY(M440,-(Setup!$C$13+Setup!$G$31+Setup!$C$14),Setup!$C$39:$C$50),WORKDAY(M440,-(Setup!$C$13+Setup!$G$31),Setup!$C$39:$C$50))+(435*100+12)/10000000)))</f>
        <v/>
      </c>
      <c r="AD440" t="str">
        <f>IF(N440="","",IF(N440&lt;Setup!$C$5-Setup!$C$6,"",IF(IF(ISNUMBER(Roster!$D440),Setup!$C$32&lt;=Roster!$D440,FALSE),"",IF(OR(IF(Setup!$C$15&lt;=Setup!$C$16,AND(MONTH(N440)&gt;=Setup!$C$15,MONTH(N440)&lt;=Setup!$C$16),OR(MONTH(N440)&gt;=Setup!$C$15,MONTH(N440)&lt;=Setup!$C$16)),IF(Setup!$C$15&lt;=Setup!$C$16,AND(MONTH(WORKDAY(N440,-(Setup!$C$13+Setup!$G$32),Setup!$C$39:$C$50))&gt;=Setup!$C$15,MONTH(WORKDAY(N440,-(Setup!$C$13+Setup!$G$32),Setup!$C$39:$C$50))&lt;=Setup!$C$16),OR(MONTH(WORKDAY(N440,-(Setup!$C$13+Setup!$G$32),Setup!$C$39:$C$50))&gt;=Setup!$C$15,MONTH(WORKDAY(N440,-(Setup!$C$13+Setup!$G$32),Setup!$C$39:$C$50))&lt;=Setup!$C$16))),WORKDAY(N440,-(Setup!$C$13+Setup!$G$32+Setup!$C$14),Setup!$C$39:$C$50),WORKDAY(N440,-(Setup!$C$13+Setup!$G$32),Setup!$C$39:$C$50))+(435*100+13)/10000000)))</f>
        <v/>
      </c>
      <c r="AE440" t="str">
        <f>IF(O440="","",IF(O440&lt;Setup!$C$5-Setup!$C$6,"",IF(IF(ISNUMBER(Roster!$D440),Setup!$C$33&lt;=Roster!$D440,FALSE),"",IF(OR(IF(Setup!$C$15&lt;=Setup!$C$16,AND(MONTH(O440)&gt;=Setup!$C$15,MONTH(O440)&lt;=Setup!$C$16),OR(MONTH(O440)&gt;=Setup!$C$15,MONTH(O440)&lt;=Setup!$C$16)),IF(Setup!$C$15&lt;=Setup!$C$16,AND(MONTH(WORKDAY(O440,-(Setup!$C$13+Setup!$G$33),Setup!$C$39:$C$50))&gt;=Setup!$C$15,MONTH(WORKDAY(O440,-(Setup!$C$13+Setup!$G$33),Setup!$C$39:$C$50))&lt;=Setup!$C$16),OR(MONTH(WORKDAY(O440,-(Setup!$C$13+Setup!$G$33),Setup!$C$39:$C$50))&gt;=Setup!$C$15,MONTH(WORKDAY(O440,-(Setup!$C$13+Setup!$G$33),Setup!$C$39:$C$50))&lt;=Setup!$C$16))),WORKDAY(O440,-(Setup!$C$13+Setup!$G$33+Setup!$C$14),Setup!$C$39:$C$50),WORKDAY(O440,-(Setup!$C$13+Setup!$G$33),Setup!$C$39:$C$50))+(435*100+14)/10000000)))</f>
        <v/>
      </c>
      <c r="AF440" t="str">
        <f>IF(P440="","",IF(P440&lt;Setup!$C$5-Setup!$C$6,"",IF(IF(ISNUMBER(Roster!$D440),Setup!$C$34&lt;=Roster!$D440,FALSE),"",IF(OR(IF(Setup!$C$15&lt;=Setup!$C$16,AND(MONTH(P440)&gt;=Setup!$C$15,MONTH(P440)&lt;=Setup!$C$16),OR(MONTH(P440)&gt;=Setup!$C$15,MONTH(P440)&lt;=Setup!$C$16)),IF(Setup!$C$15&lt;=Setup!$C$16,AND(MONTH(WORKDAY(P440,-(Setup!$C$13+Setup!$G$34),Setup!$C$39:$C$50))&gt;=Setup!$C$15,MONTH(WORKDAY(P440,-(Setup!$C$13+Setup!$G$34),Setup!$C$39:$C$50))&lt;=Setup!$C$16),OR(MONTH(WORKDAY(P440,-(Setup!$C$13+Setup!$G$34),Setup!$C$39:$C$50))&gt;=Setup!$C$15,MONTH(WORKDAY(P440,-(Setup!$C$13+Setup!$G$34),Setup!$C$39:$C$50))&lt;=Setup!$C$16))),WORKDAY(P440,-(Setup!$C$13+Setup!$G$34+Setup!$C$14),Setup!$C$39:$C$50),WORKDAY(P440,-(Setup!$C$13+Setup!$G$34),Setup!$C$39:$C$50))+(435*100+15)/10000000)))</f>
        <v/>
      </c>
      <c r="AH440" t="str">
        <f t="shared" si="46"/>
        <v/>
      </c>
      <c r="AI440" t="str">
        <f t="shared" si="47"/>
        <v/>
      </c>
      <c r="AP440" t="str">
        <f>IF(ISNUMBER(Roster!$B440),MAX(1,YEAR(Setup!$C$5)-YEAR(Roster!$B440)+IF(EDATE(Roster!$B440,12*(YEAR(Setup!$C$5)-YEAR(Roster!$B440)))&lt;Setup!$C$5,1,0)),"")</f>
        <v/>
      </c>
      <c r="AQ440" s="32" t="str">
        <f>IF(AP440="","",EDATE(Roster!$B440,12*AP440))</f>
        <v/>
      </c>
      <c r="AR440" t="str">
        <f>IF(AQ440="","",IF(AQ440&lt;DATE(YEAR(Setup!$C$5)+1,MONTH(Setup!$C$5),DAY(Setup!$C$5)),AQ440+435/1000,""))</f>
        <v/>
      </c>
      <c r="AS440" t="str">
        <f t="shared" si="48"/>
        <v/>
      </c>
      <c r="AT440" t="str">
        <f>IF(AS440="","",IF(ISNUMBER(Roster!$D440),Roster!$D440&gt;=AP440,FALSE))</f>
        <v/>
      </c>
      <c r="AU440" t="str">
        <f t="shared" si="49"/>
        <v/>
      </c>
      <c r="AV440" t="str">
        <f ca="1">IF(435&gt;$AV$2,"",SMALL($AR$6:$AR$505,435))</f>
        <v/>
      </c>
      <c r="AW440" t="str">
        <f t="shared" ca="1" si="50"/>
        <v/>
      </c>
    </row>
    <row r="441" spans="2:49" x14ac:dyDescent="0.2">
      <c r="B441" s="32" t="str">
        <f>IF(AND(ISNUMBER(Roster!$B441),Setup!$B$20="Yes",ISNUMBER(Setup!$C$20)),EDATE(Roster!$B441,12*Setup!$C$20),"")</f>
        <v/>
      </c>
      <c r="C441" s="32" t="str">
        <f>IF(AND(ISNUMBER(Roster!$B441),Setup!$B$21="Yes",ISNUMBER(Setup!$C$21)),EDATE(Roster!$B441,12*Setup!$C$21),"")</f>
        <v/>
      </c>
      <c r="D441" s="32" t="str">
        <f>IF(AND(ISNUMBER(Roster!$B441),Setup!$B$22="Yes",ISNUMBER(Setup!$C$22)),EDATE(Roster!$B441,12*Setup!$C$22),"")</f>
        <v/>
      </c>
      <c r="E441" s="32" t="str">
        <f>IF(AND(ISNUMBER(Roster!$B441),Setup!$B$23="Yes",ISNUMBER(Setup!$C$23)),EDATE(Roster!$B441,12*Setup!$C$23),"")</f>
        <v/>
      </c>
      <c r="F441" s="32" t="str">
        <f>IF(AND(ISNUMBER(Roster!$B441),Setup!$B$24="Yes",ISNUMBER(Setup!$C$24)),EDATE(Roster!$B441,12*Setup!$C$24),"")</f>
        <v/>
      </c>
      <c r="G441" s="32" t="str">
        <f>IF(AND(ISNUMBER(Roster!$B441),Setup!$B$25="Yes",ISNUMBER(Setup!$C$25)),EDATE(Roster!$B441,12*Setup!$C$25),"")</f>
        <v/>
      </c>
      <c r="H441" s="32" t="str">
        <f>IF(AND(ISNUMBER(Roster!$B441),Setup!$B$26="Yes",ISNUMBER(Setup!$C$26)),EDATE(Roster!$B441,12*Setup!$C$26),"")</f>
        <v/>
      </c>
      <c r="I441" s="32" t="str">
        <f>IF(AND(ISNUMBER(Roster!$B441),Setup!$B$27="Yes",ISNUMBER(Setup!$C$27)),EDATE(Roster!$B441,12*Setup!$C$27),"")</f>
        <v/>
      </c>
      <c r="J441" s="32" t="str">
        <f>IF(AND(ISNUMBER(Roster!$B441),Setup!$B$28="Yes",ISNUMBER(Setup!$C$28)),EDATE(Roster!$B441,12*Setup!$C$28),"")</f>
        <v/>
      </c>
      <c r="K441" s="32" t="str">
        <f>IF(AND(ISNUMBER(Roster!$B441),Setup!$B$29="Yes",ISNUMBER(Setup!$C$29)),EDATE(Roster!$B441,12*Setup!$C$29),"")</f>
        <v/>
      </c>
      <c r="L441" s="32" t="str">
        <f>IF(AND(ISNUMBER(Roster!$B441),Setup!$B$30="Yes",ISNUMBER(Setup!$C$30)),EDATE(Roster!$B441,12*Setup!$C$30),"")</f>
        <v/>
      </c>
      <c r="M441" s="32" t="str">
        <f>IF(AND(ISNUMBER(Roster!$B441),Setup!$B$31="Yes",ISNUMBER(Setup!$C$31)),EDATE(Roster!$B441,12*Setup!$C$31),"")</f>
        <v/>
      </c>
      <c r="N441" s="32" t="str">
        <f>IF(AND(ISNUMBER(Roster!$B441),Setup!$B$32="Yes",ISNUMBER(Setup!$C$32)),EDATE(Roster!$B441,12*Setup!$C$32),"")</f>
        <v/>
      </c>
      <c r="O441" s="32" t="str">
        <f>IF(AND(ISNUMBER(Roster!$B441),Setup!$B$33="Yes",ISNUMBER(Setup!$C$33)),EDATE(Roster!$B441,12*Setup!$C$33),"")</f>
        <v/>
      </c>
      <c r="P441" s="32" t="str">
        <f>IF(AND(ISNUMBER(Roster!$B441),Setup!$B$34="Yes",ISNUMBER(Setup!$C$34)),EDATE(Roster!$B441,12*Setup!$C$34),"")</f>
        <v/>
      </c>
      <c r="R441" t="str">
        <f>IF(B441="","",IF(B441&lt;Setup!$C$5-Setup!$C$6,"",IF(IF(ISNUMBER(Roster!$D441),Setup!$C$20&lt;=Roster!$D441,FALSE),"",IF(OR(IF(Setup!$C$15&lt;=Setup!$C$16,AND(MONTH(B441)&gt;=Setup!$C$15,MONTH(B441)&lt;=Setup!$C$16),OR(MONTH(B441)&gt;=Setup!$C$15,MONTH(B441)&lt;=Setup!$C$16)),IF(Setup!$C$15&lt;=Setup!$C$16,AND(MONTH(WORKDAY(B441,-(Setup!$C$13+Setup!$G$20),Setup!$C$39:$C$50))&gt;=Setup!$C$15,MONTH(WORKDAY(B441,-(Setup!$C$13+Setup!$G$20),Setup!$C$39:$C$50))&lt;=Setup!$C$16),OR(MONTH(WORKDAY(B441,-(Setup!$C$13+Setup!$G$20),Setup!$C$39:$C$50))&gt;=Setup!$C$15,MONTH(WORKDAY(B441,-(Setup!$C$13+Setup!$G$20),Setup!$C$39:$C$50))&lt;=Setup!$C$16))),WORKDAY(B441,-(Setup!$C$13+Setup!$G$20+Setup!$C$14),Setup!$C$39:$C$50),WORKDAY(B441,-(Setup!$C$13+Setup!$G$20),Setup!$C$39:$C$50))+(436*100+1)/10000000)))</f>
        <v/>
      </c>
      <c r="S441" t="str">
        <f>IF(C441="","",IF(C441&lt;Setup!$C$5-Setup!$C$6,"",IF(IF(ISNUMBER(Roster!$D441),Setup!$C$21&lt;=Roster!$D441,FALSE),"",IF(OR(IF(Setup!$C$15&lt;=Setup!$C$16,AND(MONTH(C441)&gt;=Setup!$C$15,MONTH(C441)&lt;=Setup!$C$16),OR(MONTH(C441)&gt;=Setup!$C$15,MONTH(C441)&lt;=Setup!$C$16)),IF(Setup!$C$15&lt;=Setup!$C$16,AND(MONTH(WORKDAY(C441,-(Setup!$C$13+Setup!$G$21),Setup!$C$39:$C$50))&gt;=Setup!$C$15,MONTH(WORKDAY(C441,-(Setup!$C$13+Setup!$G$21),Setup!$C$39:$C$50))&lt;=Setup!$C$16),OR(MONTH(WORKDAY(C441,-(Setup!$C$13+Setup!$G$21),Setup!$C$39:$C$50))&gt;=Setup!$C$15,MONTH(WORKDAY(C441,-(Setup!$C$13+Setup!$G$21),Setup!$C$39:$C$50))&lt;=Setup!$C$16))),WORKDAY(C441,-(Setup!$C$13+Setup!$G$21+Setup!$C$14),Setup!$C$39:$C$50),WORKDAY(C441,-(Setup!$C$13+Setup!$G$21),Setup!$C$39:$C$50))+(436*100+2)/10000000)))</f>
        <v/>
      </c>
      <c r="T441" t="str">
        <f>IF(D441="","",IF(D441&lt;Setup!$C$5-Setup!$C$6,"",IF(IF(ISNUMBER(Roster!$D441),Setup!$C$22&lt;=Roster!$D441,FALSE),"",IF(OR(IF(Setup!$C$15&lt;=Setup!$C$16,AND(MONTH(D441)&gt;=Setup!$C$15,MONTH(D441)&lt;=Setup!$C$16),OR(MONTH(D441)&gt;=Setup!$C$15,MONTH(D441)&lt;=Setup!$C$16)),IF(Setup!$C$15&lt;=Setup!$C$16,AND(MONTH(WORKDAY(D441,-(Setup!$C$13+Setup!$G$22),Setup!$C$39:$C$50))&gt;=Setup!$C$15,MONTH(WORKDAY(D441,-(Setup!$C$13+Setup!$G$22),Setup!$C$39:$C$50))&lt;=Setup!$C$16),OR(MONTH(WORKDAY(D441,-(Setup!$C$13+Setup!$G$22),Setup!$C$39:$C$50))&gt;=Setup!$C$15,MONTH(WORKDAY(D441,-(Setup!$C$13+Setup!$G$22),Setup!$C$39:$C$50))&lt;=Setup!$C$16))),WORKDAY(D441,-(Setup!$C$13+Setup!$G$22+Setup!$C$14),Setup!$C$39:$C$50),WORKDAY(D441,-(Setup!$C$13+Setup!$G$22),Setup!$C$39:$C$50))+(436*100+3)/10000000)))</f>
        <v/>
      </c>
      <c r="U441" t="str">
        <f>IF(E441="","",IF(E441&lt;Setup!$C$5-Setup!$C$6,"",IF(IF(ISNUMBER(Roster!$D441),Setup!$C$23&lt;=Roster!$D441,FALSE),"",IF(OR(IF(Setup!$C$15&lt;=Setup!$C$16,AND(MONTH(E441)&gt;=Setup!$C$15,MONTH(E441)&lt;=Setup!$C$16),OR(MONTH(E441)&gt;=Setup!$C$15,MONTH(E441)&lt;=Setup!$C$16)),IF(Setup!$C$15&lt;=Setup!$C$16,AND(MONTH(WORKDAY(E441,-(Setup!$C$13+Setup!$G$23),Setup!$C$39:$C$50))&gt;=Setup!$C$15,MONTH(WORKDAY(E441,-(Setup!$C$13+Setup!$G$23),Setup!$C$39:$C$50))&lt;=Setup!$C$16),OR(MONTH(WORKDAY(E441,-(Setup!$C$13+Setup!$G$23),Setup!$C$39:$C$50))&gt;=Setup!$C$15,MONTH(WORKDAY(E441,-(Setup!$C$13+Setup!$G$23),Setup!$C$39:$C$50))&lt;=Setup!$C$16))),WORKDAY(E441,-(Setup!$C$13+Setup!$G$23+Setup!$C$14),Setup!$C$39:$C$50),WORKDAY(E441,-(Setup!$C$13+Setup!$G$23),Setup!$C$39:$C$50))+(436*100+4)/10000000)))</f>
        <v/>
      </c>
      <c r="V441" t="str">
        <f>IF(F441="","",IF(F441&lt;Setup!$C$5-Setup!$C$6,"",IF(IF(ISNUMBER(Roster!$D441),Setup!$C$24&lt;=Roster!$D441,FALSE),"",IF(OR(IF(Setup!$C$15&lt;=Setup!$C$16,AND(MONTH(F441)&gt;=Setup!$C$15,MONTH(F441)&lt;=Setup!$C$16),OR(MONTH(F441)&gt;=Setup!$C$15,MONTH(F441)&lt;=Setup!$C$16)),IF(Setup!$C$15&lt;=Setup!$C$16,AND(MONTH(WORKDAY(F441,-(Setup!$C$13+Setup!$G$24),Setup!$C$39:$C$50))&gt;=Setup!$C$15,MONTH(WORKDAY(F441,-(Setup!$C$13+Setup!$G$24),Setup!$C$39:$C$50))&lt;=Setup!$C$16),OR(MONTH(WORKDAY(F441,-(Setup!$C$13+Setup!$G$24),Setup!$C$39:$C$50))&gt;=Setup!$C$15,MONTH(WORKDAY(F441,-(Setup!$C$13+Setup!$G$24),Setup!$C$39:$C$50))&lt;=Setup!$C$16))),WORKDAY(F441,-(Setup!$C$13+Setup!$G$24+Setup!$C$14),Setup!$C$39:$C$50),WORKDAY(F441,-(Setup!$C$13+Setup!$G$24),Setup!$C$39:$C$50))+(436*100+5)/10000000)))</f>
        <v/>
      </c>
      <c r="W441" t="str">
        <f>IF(G441="","",IF(G441&lt;Setup!$C$5-Setup!$C$6,"",IF(IF(ISNUMBER(Roster!$D441),Setup!$C$25&lt;=Roster!$D441,FALSE),"",IF(OR(IF(Setup!$C$15&lt;=Setup!$C$16,AND(MONTH(G441)&gt;=Setup!$C$15,MONTH(G441)&lt;=Setup!$C$16),OR(MONTH(G441)&gt;=Setup!$C$15,MONTH(G441)&lt;=Setup!$C$16)),IF(Setup!$C$15&lt;=Setup!$C$16,AND(MONTH(WORKDAY(G441,-(Setup!$C$13+Setup!$G$25),Setup!$C$39:$C$50))&gt;=Setup!$C$15,MONTH(WORKDAY(G441,-(Setup!$C$13+Setup!$G$25),Setup!$C$39:$C$50))&lt;=Setup!$C$16),OR(MONTH(WORKDAY(G441,-(Setup!$C$13+Setup!$G$25),Setup!$C$39:$C$50))&gt;=Setup!$C$15,MONTH(WORKDAY(G441,-(Setup!$C$13+Setup!$G$25),Setup!$C$39:$C$50))&lt;=Setup!$C$16))),WORKDAY(G441,-(Setup!$C$13+Setup!$G$25+Setup!$C$14),Setup!$C$39:$C$50),WORKDAY(G441,-(Setup!$C$13+Setup!$G$25),Setup!$C$39:$C$50))+(436*100+6)/10000000)))</f>
        <v/>
      </c>
      <c r="X441" t="str">
        <f>IF(H441="","",IF(H441&lt;Setup!$C$5-Setup!$C$6,"",IF(IF(ISNUMBER(Roster!$D441),Setup!$C$26&lt;=Roster!$D441,FALSE),"",IF(OR(IF(Setup!$C$15&lt;=Setup!$C$16,AND(MONTH(H441)&gt;=Setup!$C$15,MONTH(H441)&lt;=Setup!$C$16),OR(MONTH(H441)&gt;=Setup!$C$15,MONTH(H441)&lt;=Setup!$C$16)),IF(Setup!$C$15&lt;=Setup!$C$16,AND(MONTH(WORKDAY(H441,-(Setup!$C$13+Setup!$G$26),Setup!$C$39:$C$50))&gt;=Setup!$C$15,MONTH(WORKDAY(H441,-(Setup!$C$13+Setup!$G$26),Setup!$C$39:$C$50))&lt;=Setup!$C$16),OR(MONTH(WORKDAY(H441,-(Setup!$C$13+Setup!$G$26),Setup!$C$39:$C$50))&gt;=Setup!$C$15,MONTH(WORKDAY(H441,-(Setup!$C$13+Setup!$G$26),Setup!$C$39:$C$50))&lt;=Setup!$C$16))),WORKDAY(H441,-(Setup!$C$13+Setup!$G$26+Setup!$C$14),Setup!$C$39:$C$50),WORKDAY(H441,-(Setup!$C$13+Setup!$G$26),Setup!$C$39:$C$50))+(436*100+7)/10000000)))</f>
        <v/>
      </c>
      <c r="Y441" t="str">
        <f>IF(I441="","",IF(I441&lt;Setup!$C$5-Setup!$C$6,"",IF(IF(ISNUMBER(Roster!$D441),Setup!$C$27&lt;=Roster!$D441,FALSE),"",IF(OR(IF(Setup!$C$15&lt;=Setup!$C$16,AND(MONTH(I441)&gt;=Setup!$C$15,MONTH(I441)&lt;=Setup!$C$16),OR(MONTH(I441)&gt;=Setup!$C$15,MONTH(I441)&lt;=Setup!$C$16)),IF(Setup!$C$15&lt;=Setup!$C$16,AND(MONTH(WORKDAY(I441,-(Setup!$C$13+Setup!$G$27),Setup!$C$39:$C$50))&gt;=Setup!$C$15,MONTH(WORKDAY(I441,-(Setup!$C$13+Setup!$G$27),Setup!$C$39:$C$50))&lt;=Setup!$C$16),OR(MONTH(WORKDAY(I441,-(Setup!$C$13+Setup!$G$27),Setup!$C$39:$C$50))&gt;=Setup!$C$15,MONTH(WORKDAY(I441,-(Setup!$C$13+Setup!$G$27),Setup!$C$39:$C$50))&lt;=Setup!$C$16))),WORKDAY(I441,-(Setup!$C$13+Setup!$G$27+Setup!$C$14),Setup!$C$39:$C$50),WORKDAY(I441,-(Setup!$C$13+Setup!$G$27),Setup!$C$39:$C$50))+(436*100+8)/10000000)))</f>
        <v/>
      </c>
      <c r="Z441" t="str">
        <f>IF(J441="","",IF(J441&lt;Setup!$C$5-Setup!$C$6,"",IF(IF(ISNUMBER(Roster!$D441),Setup!$C$28&lt;=Roster!$D441,FALSE),"",IF(OR(IF(Setup!$C$15&lt;=Setup!$C$16,AND(MONTH(J441)&gt;=Setup!$C$15,MONTH(J441)&lt;=Setup!$C$16),OR(MONTH(J441)&gt;=Setup!$C$15,MONTH(J441)&lt;=Setup!$C$16)),IF(Setup!$C$15&lt;=Setup!$C$16,AND(MONTH(WORKDAY(J441,-(Setup!$C$13+Setup!$G$28),Setup!$C$39:$C$50))&gt;=Setup!$C$15,MONTH(WORKDAY(J441,-(Setup!$C$13+Setup!$G$28),Setup!$C$39:$C$50))&lt;=Setup!$C$16),OR(MONTH(WORKDAY(J441,-(Setup!$C$13+Setup!$G$28),Setup!$C$39:$C$50))&gt;=Setup!$C$15,MONTH(WORKDAY(J441,-(Setup!$C$13+Setup!$G$28),Setup!$C$39:$C$50))&lt;=Setup!$C$16))),WORKDAY(J441,-(Setup!$C$13+Setup!$G$28+Setup!$C$14),Setup!$C$39:$C$50),WORKDAY(J441,-(Setup!$C$13+Setup!$G$28),Setup!$C$39:$C$50))+(436*100+9)/10000000)))</f>
        <v/>
      </c>
      <c r="AA441" t="str">
        <f>IF(K441="","",IF(K441&lt;Setup!$C$5-Setup!$C$6,"",IF(IF(ISNUMBER(Roster!$D441),Setup!$C$29&lt;=Roster!$D441,FALSE),"",IF(OR(IF(Setup!$C$15&lt;=Setup!$C$16,AND(MONTH(K441)&gt;=Setup!$C$15,MONTH(K441)&lt;=Setup!$C$16),OR(MONTH(K441)&gt;=Setup!$C$15,MONTH(K441)&lt;=Setup!$C$16)),IF(Setup!$C$15&lt;=Setup!$C$16,AND(MONTH(WORKDAY(K441,-(Setup!$C$13+Setup!$G$29),Setup!$C$39:$C$50))&gt;=Setup!$C$15,MONTH(WORKDAY(K441,-(Setup!$C$13+Setup!$G$29),Setup!$C$39:$C$50))&lt;=Setup!$C$16),OR(MONTH(WORKDAY(K441,-(Setup!$C$13+Setup!$G$29),Setup!$C$39:$C$50))&gt;=Setup!$C$15,MONTH(WORKDAY(K441,-(Setup!$C$13+Setup!$G$29),Setup!$C$39:$C$50))&lt;=Setup!$C$16))),WORKDAY(K441,-(Setup!$C$13+Setup!$G$29+Setup!$C$14),Setup!$C$39:$C$50),WORKDAY(K441,-(Setup!$C$13+Setup!$G$29),Setup!$C$39:$C$50))+(436*100+10)/10000000)))</f>
        <v/>
      </c>
      <c r="AB441" t="str">
        <f>IF(L441="","",IF(L441&lt;Setup!$C$5-Setup!$C$6,"",IF(IF(ISNUMBER(Roster!$D441),Setup!$C$30&lt;=Roster!$D441,FALSE),"",IF(OR(IF(Setup!$C$15&lt;=Setup!$C$16,AND(MONTH(L441)&gt;=Setup!$C$15,MONTH(L441)&lt;=Setup!$C$16),OR(MONTH(L441)&gt;=Setup!$C$15,MONTH(L441)&lt;=Setup!$C$16)),IF(Setup!$C$15&lt;=Setup!$C$16,AND(MONTH(WORKDAY(L441,-(Setup!$C$13+Setup!$G$30),Setup!$C$39:$C$50))&gt;=Setup!$C$15,MONTH(WORKDAY(L441,-(Setup!$C$13+Setup!$G$30),Setup!$C$39:$C$50))&lt;=Setup!$C$16),OR(MONTH(WORKDAY(L441,-(Setup!$C$13+Setup!$G$30),Setup!$C$39:$C$50))&gt;=Setup!$C$15,MONTH(WORKDAY(L441,-(Setup!$C$13+Setup!$G$30),Setup!$C$39:$C$50))&lt;=Setup!$C$16))),WORKDAY(L441,-(Setup!$C$13+Setup!$G$30+Setup!$C$14),Setup!$C$39:$C$50),WORKDAY(L441,-(Setup!$C$13+Setup!$G$30),Setup!$C$39:$C$50))+(436*100+11)/10000000)))</f>
        <v/>
      </c>
      <c r="AC441" t="str">
        <f>IF(M441="","",IF(M441&lt;Setup!$C$5-Setup!$C$6,"",IF(IF(ISNUMBER(Roster!$D441),Setup!$C$31&lt;=Roster!$D441,FALSE),"",IF(OR(IF(Setup!$C$15&lt;=Setup!$C$16,AND(MONTH(M441)&gt;=Setup!$C$15,MONTH(M441)&lt;=Setup!$C$16),OR(MONTH(M441)&gt;=Setup!$C$15,MONTH(M441)&lt;=Setup!$C$16)),IF(Setup!$C$15&lt;=Setup!$C$16,AND(MONTH(WORKDAY(M441,-(Setup!$C$13+Setup!$G$31),Setup!$C$39:$C$50))&gt;=Setup!$C$15,MONTH(WORKDAY(M441,-(Setup!$C$13+Setup!$G$31),Setup!$C$39:$C$50))&lt;=Setup!$C$16),OR(MONTH(WORKDAY(M441,-(Setup!$C$13+Setup!$G$31),Setup!$C$39:$C$50))&gt;=Setup!$C$15,MONTH(WORKDAY(M441,-(Setup!$C$13+Setup!$G$31),Setup!$C$39:$C$50))&lt;=Setup!$C$16))),WORKDAY(M441,-(Setup!$C$13+Setup!$G$31+Setup!$C$14),Setup!$C$39:$C$50),WORKDAY(M441,-(Setup!$C$13+Setup!$G$31),Setup!$C$39:$C$50))+(436*100+12)/10000000)))</f>
        <v/>
      </c>
      <c r="AD441" t="str">
        <f>IF(N441="","",IF(N441&lt;Setup!$C$5-Setup!$C$6,"",IF(IF(ISNUMBER(Roster!$D441),Setup!$C$32&lt;=Roster!$D441,FALSE),"",IF(OR(IF(Setup!$C$15&lt;=Setup!$C$16,AND(MONTH(N441)&gt;=Setup!$C$15,MONTH(N441)&lt;=Setup!$C$16),OR(MONTH(N441)&gt;=Setup!$C$15,MONTH(N441)&lt;=Setup!$C$16)),IF(Setup!$C$15&lt;=Setup!$C$16,AND(MONTH(WORKDAY(N441,-(Setup!$C$13+Setup!$G$32),Setup!$C$39:$C$50))&gt;=Setup!$C$15,MONTH(WORKDAY(N441,-(Setup!$C$13+Setup!$G$32),Setup!$C$39:$C$50))&lt;=Setup!$C$16),OR(MONTH(WORKDAY(N441,-(Setup!$C$13+Setup!$G$32),Setup!$C$39:$C$50))&gt;=Setup!$C$15,MONTH(WORKDAY(N441,-(Setup!$C$13+Setup!$G$32),Setup!$C$39:$C$50))&lt;=Setup!$C$16))),WORKDAY(N441,-(Setup!$C$13+Setup!$G$32+Setup!$C$14),Setup!$C$39:$C$50),WORKDAY(N441,-(Setup!$C$13+Setup!$G$32),Setup!$C$39:$C$50))+(436*100+13)/10000000)))</f>
        <v/>
      </c>
      <c r="AE441" t="str">
        <f>IF(O441="","",IF(O441&lt;Setup!$C$5-Setup!$C$6,"",IF(IF(ISNUMBER(Roster!$D441),Setup!$C$33&lt;=Roster!$D441,FALSE),"",IF(OR(IF(Setup!$C$15&lt;=Setup!$C$16,AND(MONTH(O441)&gt;=Setup!$C$15,MONTH(O441)&lt;=Setup!$C$16),OR(MONTH(O441)&gt;=Setup!$C$15,MONTH(O441)&lt;=Setup!$C$16)),IF(Setup!$C$15&lt;=Setup!$C$16,AND(MONTH(WORKDAY(O441,-(Setup!$C$13+Setup!$G$33),Setup!$C$39:$C$50))&gt;=Setup!$C$15,MONTH(WORKDAY(O441,-(Setup!$C$13+Setup!$G$33),Setup!$C$39:$C$50))&lt;=Setup!$C$16),OR(MONTH(WORKDAY(O441,-(Setup!$C$13+Setup!$G$33),Setup!$C$39:$C$50))&gt;=Setup!$C$15,MONTH(WORKDAY(O441,-(Setup!$C$13+Setup!$G$33),Setup!$C$39:$C$50))&lt;=Setup!$C$16))),WORKDAY(O441,-(Setup!$C$13+Setup!$G$33+Setup!$C$14),Setup!$C$39:$C$50),WORKDAY(O441,-(Setup!$C$13+Setup!$G$33),Setup!$C$39:$C$50))+(436*100+14)/10000000)))</f>
        <v/>
      </c>
      <c r="AF441" t="str">
        <f>IF(P441="","",IF(P441&lt;Setup!$C$5-Setup!$C$6,"",IF(IF(ISNUMBER(Roster!$D441),Setup!$C$34&lt;=Roster!$D441,FALSE),"",IF(OR(IF(Setup!$C$15&lt;=Setup!$C$16,AND(MONTH(P441)&gt;=Setup!$C$15,MONTH(P441)&lt;=Setup!$C$16),OR(MONTH(P441)&gt;=Setup!$C$15,MONTH(P441)&lt;=Setup!$C$16)),IF(Setup!$C$15&lt;=Setup!$C$16,AND(MONTH(WORKDAY(P441,-(Setup!$C$13+Setup!$G$34),Setup!$C$39:$C$50))&gt;=Setup!$C$15,MONTH(WORKDAY(P441,-(Setup!$C$13+Setup!$G$34),Setup!$C$39:$C$50))&lt;=Setup!$C$16),OR(MONTH(WORKDAY(P441,-(Setup!$C$13+Setup!$G$34),Setup!$C$39:$C$50))&gt;=Setup!$C$15,MONTH(WORKDAY(P441,-(Setup!$C$13+Setup!$G$34),Setup!$C$39:$C$50))&lt;=Setup!$C$16))),WORKDAY(P441,-(Setup!$C$13+Setup!$G$34+Setup!$C$14),Setup!$C$39:$C$50),WORKDAY(P441,-(Setup!$C$13+Setup!$G$34),Setup!$C$39:$C$50))+(436*100+15)/10000000)))</f>
        <v/>
      </c>
      <c r="AH441" t="str">
        <f t="shared" si="46"/>
        <v/>
      </c>
      <c r="AI441" t="str">
        <f t="shared" si="47"/>
        <v/>
      </c>
      <c r="AP441" t="str">
        <f>IF(ISNUMBER(Roster!$B441),MAX(1,YEAR(Setup!$C$5)-YEAR(Roster!$B441)+IF(EDATE(Roster!$B441,12*(YEAR(Setup!$C$5)-YEAR(Roster!$B441)))&lt;Setup!$C$5,1,0)),"")</f>
        <v/>
      </c>
      <c r="AQ441" s="32" t="str">
        <f>IF(AP441="","",EDATE(Roster!$B441,12*AP441))</f>
        <v/>
      </c>
      <c r="AR441" t="str">
        <f>IF(AQ441="","",IF(AQ441&lt;DATE(YEAR(Setup!$C$5)+1,MONTH(Setup!$C$5),DAY(Setup!$C$5)),AQ441+436/1000,""))</f>
        <v/>
      </c>
      <c r="AS441" t="str">
        <f t="shared" si="48"/>
        <v/>
      </c>
      <c r="AT441" t="str">
        <f>IF(AS441="","",IF(ISNUMBER(Roster!$D441),Roster!$D441&gt;=AP441,FALSE))</f>
        <v/>
      </c>
      <c r="AU441" t="str">
        <f t="shared" si="49"/>
        <v/>
      </c>
      <c r="AV441" t="str">
        <f ca="1">IF(436&gt;$AV$2,"",SMALL($AR$6:$AR$505,436))</f>
        <v/>
      </c>
      <c r="AW441" t="str">
        <f t="shared" ca="1" si="50"/>
        <v/>
      </c>
    </row>
    <row r="442" spans="2:49" x14ac:dyDescent="0.2">
      <c r="B442" s="32" t="str">
        <f>IF(AND(ISNUMBER(Roster!$B442),Setup!$B$20="Yes",ISNUMBER(Setup!$C$20)),EDATE(Roster!$B442,12*Setup!$C$20),"")</f>
        <v/>
      </c>
      <c r="C442" s="32" t="str">
        <f>IF(AND(ISNUMBER(Roster!$B442),Setup!$B$21="Yes",ISNUMBER(Setup!$C$21)),EDATE(Roster!$B442,12*Setup!$C$21),"")</f>
        <v/>
      </c>
      <c r="D442" s="32" t="str">
        <f>IF(AND(ISNUMBER(Roster!$B442),Setup!$B$22="Yes",ISNUMBER(Setup!$C$22)),EDATE(Roster!$B442,12*Setup!$C$22),"")</f>
        <v/>
      </c>
      <c r="E442" s="32" t="str">
        <f>IF(AND(ISNUMBER(Roster!$B442),Setup!$B$23="Yes",ISNUMBER(Setup!$C$23)),EDATE(Roster!$B442,12*Setup!$C$23),"")</f>
        <v/>
      </c>
      <c r="F442" s="32" t="str">
        <f>IF(AND(ISNUMBER(Roster!$B442),Setup!$B$24="Yes",ISNUMBER(Setup!$C$24)),EDATE(Roster!$B442,12*Setup!$C$24),"")</f>
        <v/>
      </c>
      <c r="G442" s="32" t="str">
        <f>IF(AND(ISNUMBER(Roster!$B442),Setup!$B$25="Yes",ISNUMBER(Setup!$C$25)),EDATE(Roster!$B442,12*Setup!$C$25),"")</f>
        <v/>
      </c>
      <c r="H442" s="32" t="str">
        <f>IF(AND(ISNUMBER(Roster!$B442),Setup!$B$26="Yes",ISNUMBER(Setup!$C$26)),EDATE(Roster!$B442,12*Setup!$C$26),"")</f>
        <v/>
      </c>
      <c r="I442" s="32" t="str">
        <f>IF(AND(ISNUMBER(Roster!$B442),Setup!$B$27="Yes",ISNUMBER(Setup!$C$27)),EDATE(Roster!$B442,12*Setup!$C$27),"")</f>
        <v/>
      </c>
      <c r="J442" s="32" t="str">
        <f>IF(AND(ISNUMBER(Roster!$B442),Setup!$B$28="Yes",ISNUMBER(Setup!$C$28)),EDATE(Roster!$B442,12*Setup!$C$28),"")</f>
        <v/>
      </c>
      <c r="K442" s="32" t="str">
        <f>IF(AND(ISNUMBER(Roster!$B442),Setup!$B$29="Yes",ISNUMBER(Setup!$C$29)),EDATE(Roster!$B442,12*Setup!$C$29),"")</f>
        <v/>
      </c>
      <c r="L442" s="32" t="str">
        <f>IF(AND(ISNUMBER(Roster!$B442),Setup!$B$30="Yes",ISNUMBER(Setup!$C$30)),EDATE(Roster!$B442,12*Setup!$C$30),"")</f>
        <v/>
      </c>
      <c r="M442" s="32" t="str">
        <f>IF(AND(ISNUMBER(Roster!$B442),Setup!$B$31="Yes",ISNUMBER(Setup!$C$31)),EDATE(Roster!$B442,12*Setup!$C$31),"")</f>
        <v/>
      </c>
      <c r="N442" s="32" t="str">
        <f>IF(AND(ISNUMBER(Roster!$B442),Setup!$B$32="Yes",ISNUMBER(Setup!$C$32)),EDATE(Roster!$B442,12*Setup!$C$32),"")</f>
        <v/>
      </c>
      <c r="O442" s="32" t="str">
        <f>IF(AND(ISNUMBER(Roster!$B442),Setup!$B$33="Yes",ISNUMBER(Setup!$C$33)),EDATE(Roster!$B442,12*Setup!$C$33),"")</f>
        <v/>
      </c>
      <c r="P442" s="32" t="str">
        <f>IF(AND(ISNUMBER(Roster!$B442),Setup!$B$34="Yes",ISNUMBER(Setup!$C$34)),EDATE(Roster!$B442,12*Setup!$C$34),"")</f>
        <v/>
      </c>
      <c r="R442" t="str">
        <f>IF(B442="","",IF(B442&lt;Setup!$C$5-Setup!$C$6,"",IF(IF(ISNUMBER(Roster!$D442),Setup!$C$20&lt;=Roster!$D442,FALSE),"",IF(OR(IF(Setup!$C$15&lt;=Setup!$C$16,AND(MONTH(B442)&gt;=Setup!$C$15,MONTH(B442)&lt;=Setup!$C$16),OR(MONTH(B442)&gt;=Setup!$C$15,MONTH(B442)&lt;=Setup!$C$16)),IF(Setup!$C$15&lt;=Setup!$C$16,AND(MONTH(WORKDAY(B442,-(Setup!$C$13+Setup!$G$20),Setup!$C$39:$C$50))&gt;=Setup!$C$15,MONTH(WORKDAY(B442,-(Setup!$C$13+Setup!$G$20),Setup!$C$39:$C$50))&lt;=Setup!$C$16),OR(MONTH(WORKDAY(B442,-(Setup!$C$13+Setup!$G$20),Setup!$C$39:$C$50))&gt;=Setup!$C$15,MONTH(WORKDAY(B442,-(Setup!$C$13+Setup!$G$20),Setup!$C$39:$C$50))&lt;=Setup!$C$16))),WORKDAY(B442,-(Setup!$C$13+Setup!$G$20+Setup!$C$14),Setup!$C$39:$C$50),WORKDAY(B442,-(Setup!$C$13+Setup!$G$20),Setup!$C$39:$C$50))+(437*100+1)/10000000)))</f>
        <v/>
      </c>
      <c r="S442" t="str">
        <f>IF(C442="","",IF(C442&lt;Setup!$C$5-Setup!$C$6,"",IF(IF(ISNUMBER(Roster!$D442),Setup!$C$21&lt;=Roster!$D442,FALSE),"",IF(OR(IF(Setup!$C$15&lt;=Setup!$C$16,AND(MONTH(C442)&gt;=Setup!$C$15,MONTH(C442)&lt;=Setup!$C$16),OR(MONTH(C442)&gt;=Setup!$C$15,MONTH(C442)&lt;=Setup!$C$16)),IF(Setup!$C$15&lt;=Setup!$C$16,AND(MONTH(WORKDAY(C442,-(Setup!$C$13+Setup!$G$21),Setup!$C$39:$C$50))&gt;=Setup!$C$15,MONTH(WORKDAY(C442,-(Setup!$C$13+Setup!$G$21),Setup!$C$39:$C$50))&lt;=Setup!$C$16),OR(MONTH(WORKDAY(C442,-(Setup!$C$13+Setup!$G$21),Setup!$C$39:$C$50))&gt;=Setup!$C$15,MONTH(WORKDAY(C442,-(Setup!$C$13+Setup!$G$21),Setup!$C$39:$C$50))&lt;=Setup!$C$16))),WORKDAY(C442,-(Setup!$C$13+Setup!$G$21+Setup!$C$14),Setup!$C$39:$C$50),WORKDAY(C442,-(Setup!$C$13+Setup!$G$21),Setup!$C$39:$C$50))+(437*100+2)/10000000)))</f>
        <v/>
      </c>
      <c r="T442" t="str">
        <f>IF(D442="","",IF(D442&lt;Setup!$C$5-Setup!$C$6,"",IF(IF(ISNUMBER(Roster!$D442),Setup!$C$22&lt;=Roster!$D442,FALSE),"",IF(OR(IF(Setup!$C$15&lt;=Setup!$C$16,AND(MONTH(D442)&gt;=Setup!$C$15,MONTH(D442)&lt;=Setup!$C$16),OR(MONTH(D442)&gt;=Setup!$C$15,MONTH(D442)&lt;=Setup!$C$16)),IF(Setup!$C$15&lt;=Setup!$C$16,AND(MONTH(WORKDAY(D442,-(Setup!$C$13+Setup!$G$22),Setup!$C$39:$C$50))&gt;=Setup!$C$15,MONTH(WORKDAY(D442,-(Setup!$C$13+Setup!$G$22),Setup!$C$39:$C$50))&lt;=Setup!$C$16),OR(MONTH(WORKDAY(D442,-(Setup!$C$13+Setup!$G$22),Setup!$C$39:$C$50))&gt;=Setup!$C$15,MONTH(WORKDAY(D442,-(Setup!$C$13+Setup!$G$22),Setup!$C$39:$C$50))&lt;=Setup!$C$16))),WORKDAY(D442,-(Setup!$C$13+Setup!$G$22+Setup!$C$14),Setup!$C$39:$C$50),WORKDAY(D442,-(Setup!$C$13+Setup!$G$22),Setup!$C$39:$C$50))+(437*100+3)/10000000)))</f>
        <v/>
      </c>
      <c r="U442" t="str">
        <f>IF(E442="","",IF(E442&lt;Setup!$C$5-Setup!$C$6,"",IF(IF(ISNUMBER(Roster!$D442),Setup!$C$23&lt;=Roster!$D442,FALSE),"",IF(OR(IF(Setup!$C$15&lt;=Setup!$C$16,AND(MONTH(E442)&gt;=Setup!$C$15,MONTH(E442)&lt;=Setup!$C$16),OR(MONTH(E442)&gt;=Setup!$C$15,MONTH(E442)&lt;=Setup!$C$16)),IF(Setup!$C$15&lt;=Setup!$C$16,AND(MONTH(WORKDAY(E442,-(Setup!$C$13+Setup!$G$23),Setup!$C$39:$C$50))&gt;=Setup!$C$15,MONTH(WORKDAY(E442,-(Setup!$C$13+Setup!$G$23),Setup!$C$39:$C$50))&lt;=Setup!$C$16),OR(MONTH(WORKDAY(E442,-(Setup!$C$13+Setup!$G$23),Setup!$C$39:$C$50))&gt;=Setup!$C$15,MONTH(WORKDAY(E442,-(Setup!$C$13+Setup!$G$23),Setup!$C$39:$C$50))&lt;=Setup!$C$16))),WORKDAY(E442,-(Setup!$C$13+Setup!$G$23+Setup!$C$14),Setup!$C$39:$C$50),WORKDAY(E442,-(Setup!$C$13+Setup!$G$23),Setup!$C$39:$C$50))+(437*100+4)/10000000)))</f>
        <v/>
      </c>
      <c r="V442" t="str">
        <f>IF(F442="","",IF(F442&lt;Setup!$C$5-Setup!$C$6,"",IF(IF(ISNUMBER(Roster!$D442),Setup!$C$24&lt;=Roster!$D442,FALSE),"",IF(OR(IF(Setup!$C$15&lt;=Setup!$C$16,AND(MONTH(F442)&gt;=Setup!$C$15,MONTH(F442)&lt;=Setup!$C$16),OR(MONTH(F442)&gt;=Setup!$C$15,MONTH(F442)&lt;=Setup!$C$16)),IF(Setup!$C$15&lt;=Setup!$C$16,AND(MONTH(WORKDAY(F442,-(Setup!$C$13+Setup!$G$24),Setup!$C$39:$C$50))&gt;=Setup!$C$15,MONTH(WORKDAY(F442,-(Setup!$C$13+Setup!$G$24),Setup!$C$39:$C$50))&lt;=Setup!$C$16),OR(MONTH(WORKDAY(F442,-(Setup!$C$13+Setup!$G$24),Setup!$C$39:$C$50))&gt;=Setup!$C$15,MONTH(WORKDAY(F442,-(Setup!$C$13+Setup!$G$24),Setup!$C$39:$C$50))&lt;=Setup!$C$16))),WORKDAY(F442,-(Setup!$C$13+Setup!$G$24+Setup!$C$14),Setup!$C$39:$C$50),WORKDAY(F442,-(Setup!$C$13+Setup!$G$24),Setup!$C$39:$C$50))+(437*100+5)/10000000)))</f>
        <v/>
      </c>
      <c r="W442" t="str">
        <f>IF(G442="","",IF(G442&lt;Setup!$C$5-Setup!$C$6,"",IF(IF(ISNUMBER(Roster!$D442),Setup!$C$25&lt;=Roster!$D442,FALSE),"",IF(OR(IF(Setup!$C$15&lt;=Setup!$C$16,AND(MONTH(G442)&gt;=Setup!$C$15,MONTH(G442)&lt;=Setup!$C$16),OR(MONTH(G442)&gt;=Setup!$C$15,MONTH(G442)&lt;=Setup!$C$16)),IF(Setup!$C$15&lt;=Setup!$C$16,AND(MONTH(WORKDAY(G442,-(Setup!$C$13+Setup!$G$25),Setup!$C$39:$C$50))&gt;=Setup!$C$15,MONTH(WORKDAY(G442,-(Setup!$C$13+Setup!$G$25),Setup!$C$39:$C$50))&lt;=Setup!$C$16),OR(MONTH(WORKDAY(G442,-(Setup!$C$13+Setup!$G$25),Setup!$C$39:$C$50))&gt;=Setup!$C$15,MONTH(WORKDAY(G442,-(Setup!$C$13+Setup!$G$25),Setup!$C$39:$C$50))&lt;=Setup!$C$16))),WORKDAY(G442,-(Setup!$C$13+Setup!$G$25+Setup!$C$14),Setup!$C$39:$C$50),WORKDAY(G442,-(Setup!$C$13+Setup!$G$25),Setup!$C$39:$C$50))+(437*100+6)/10000000)))</f>
        <v/>
      </c>
      <c r="X442" t="str">
        <f>IF(H442="","",IF(H442&lt;Setup!$C$5-Setup!$C$6,"",IF(IF(ISNUMBER(Roster!$D442),Setup!$C$26&lt;=Roster!$D442,FALSE),"",IF(OR(IF(Setup!$C$15&lt;=Setup!$C$16,AND(MONTH(H442)&gt;=Setup!$C$15,MONTH(H442)&lt;=Setup!$C$16),OR(MONTH(H442)&gt;=Setup!$C$15,MONTH(H442)&lt;=Setup!$C$16)),IF(Setup!$C$15&lt;=Setup!$C$16,AND(MONTH(WORKDAY(H442,-(Setup!$C$13+Setup!$G$26),Setup!$C$39:$C$50))&gt;=Setup!$C$15,MONTH(WORKDAY(H442,-(Setup!$C$13+Setup!$G$26),Setup!$C$39:$C$50))&lt;=Setup!$C$16),OR(MONTH(WORKDAY(H442,-(Setup!$C$13+Setup!$G$26),Setup!$C$39:$C$50))&gt;=Setup!$C$15,MONTH(WORKDAY(H442,-(Setup!$C$13+Setup!$G$26),Setup!$C$39:$C$50))&lt;=Setup!$C$16))),WORKDAY(H442,-(Setup!$C$13+Setup!$G$26+Setup!$C$14),Setup!$C$39:$C$50),WORKDAY(H442,-(Setup!$C$13+Setup!$G$26),Setup!$C$39:$C$50))+(437*100+7)/10000000)))</f>
        <v/>
      </c>
      <c r="Y442" t="str">
        <f>IF(I442="","",IF(I442&lt;Setup!$C$5-Setup!$C$6,"",IF(IF(ISNUMBER(Roster!$D442),Setup!$C$27&lt;=Roster!$D442,FALSE),"",IF(OR(IF(Setup!$C$15&lt;=Setup!$C$16,AND(MONTH(I442)&gt;=Setup!$C$15,MONTH(I442)&lt;=Setup!$C$16),OR(MONTH(I442)&gt;=Setup!$C$15,MONTH(I442)&lt;=Setup!$C$16)),IF(Setup!$C$15&lt;=Setup!$C$16,AND(MONTH(WORKDAY(I442,-(Setup!$C$13+Setup!$G$27),Setup!$C$39:$C$50))&gt;=Setup!$C$15,MONTH(WORKDAY(I442,-(Setup!$C$13+Setup!$G$27),Setup!$C$39:$C$50))&lt;=Setup!$C$16),OR(MONTH(WORKDAY(I442,-(Setup!$C$13+Setup!$G$27),Setup!$C$39:$C$50))&gt;=Setup!$C$15,MONTH(WORKDAY(I442,-(Setup!$C$13+Setup!$G$27),Setup!$C$39:$C$50))&lt;=Setup!$C$16))),WORKDAY(I442,-(Setup!$C$13+Setup!$G$27+Setup!$C$14),Setup!$C$39:$C$50),WORKDAY(I442,-(Setup!$C$13+Setup!$G$27),Setup!$C$39:$C$50))+(437*100+8)/10000000)))</f>
        <v/>
      </c>
      <c r="Z442" t="str">
        <f>IF(J442="","",IF(J442&lt;Setup!$C$5-Setup!$C$6,"",IF(IF(ISNUMBER(Roster!$D442),Setup!$C$28&lt;=Roster!$D442,FALSE),"",IF(OR(IF(Setup!$C$15&lt;=Setup!$C$16,AND(MONTH(J442)&gt;=Setup!$C$15,MONTH(J442)&lt;=Setup!$C$16),OR(MONTH(J442)&gt;=Setup!$C$15,MONTH(J442)&lt;=Setup!$C$16)),IF(Setup!$C$15&lt;=Setup!$C$16,AND(MONTH(WORKDAY(J442,-(Setup!$C$13+Setup!$G$28),Setup!$C$39:$C$50))&gt;=Setup!$C$15,MONTH(WORKDAY(J442,-(Setup!$C$13+Setup!$G$28),Setup!$C$39:$C$50))&lt;=Setup!$C$16),OR(MONTH(WORKDAY(J442,-(Setup!$C$13+Setup!$G$28),Setup!$C$39:$C$50))&gt;=Setup!$C$15,MONTH(WORKDAY(J442,-(Setup!$C$13+Setup!$G$28),Setup!$C$39:$C$50))&lt;=Setup!$C$16))),WORKDAY(J442,-(Setup!$C$13+Setup!$G$28+Setup!$C$14),Setup!$C$39:$C$50),WORKDAY(J442,-(Setup!$C$13+Setup!$G$28),Setup!$C$39:$C$50))+(437*100+9)/10000000)))</f>
        <v/>
      </c>
      <c r="AA442" t="str">
        <f>IF(K442="","",IF(K442&lt;Setup!$C$5-Setup!$C$6,"",IF(IF(ISNUMBER(Roster!$D442),Setup!$C$29&lt;=Roster!$D442,FALSE),"",IF(OR(IF(Setup!$C$15&lt;=Setup!$C$16,AND(MONTH(K442)&gt;=Setup!$C$15,MONTH(K442)&lt;=Setup!$C$16),OR(MONTH(K442)&gt;=Setup!$C$15,MONTH(K442)&lt;=Setup!$C$16)),IF(Setup!$C$15&lt;=Setup!$C$16,AND(MONTH(WORKDAY(K442,-(Setup!$C$13+Setup!$G$29),Setup!$C$39:$C$50))&gt;=Setup!$C$15,MONTH(WORKDAY(K442,-(Setup!$C$13+Setup!$G$29),Setup!$C$39:$C$50))&lt;=Setup!$C$16),OR(MONTH(WORKDAY(K442,-(Setup!$C$13+Setup!$G$29),Setup!$C$39:$C$50))&gt;=Setup!$C$15,MONTH(WORKDAY(K442,-(Setup!$C$13+Setup!$G$29),Setup!$C$39:$C$50))&lt;=Setup!$C$16))),WORKDAY(K442,-(Setup!$C$13+Setup!$G$29+Setup!$C$14),Setup!$C$39:$C$50),WORKDAY(K442,-(Setup!$C$13+Setup!$G$29),Setup!$C$39:$C$50))+(437*100+10)/10000000)))</f>
        <v/>
      </c>
      <c r="AB442" t="str">
        <f>IF(L442="","",IF(L442&lt;Setup!$C$5-Setup!$C$6,"",IF(IF(ISNUMBER(Roster!$D442),Setup!$C$30&lt;=Roster!$D442,FALSE),"",IF(OR(IF(Setup!$C$15&lt;=Setup!$C$16,AND(MONTH(L442)&gt;=Setup!$C$15,MONTH(L442)&lt;=Setup!$C$16),OR(MONTH(L442)&gt;=Setup!$C$15,MONTH(L442)&lt;=Setup!$C$16)),IF(Setup!$C$15&lt;=Setup!$C$16,AND(MONTH(WORKDAY(L442,-(Setup!$C$13+Setup!$G$30),Setup!$C$39:$C$50))&gt;=Setup!$C$15,MONTH(WORKDAY(L442,-(Setup!$C$13+Setup!$G$30),Setup!$C$39:$C$50))&lt;=Setup!$C$16),OR(MONTH(WORKDAY(L442,-(Setup!$C$13+Setup!$G$30),Setup!$C$39:$C$50))&gt;=Setup!$C$15,MONTH(WORKDAY(L442,-(Setup!$C$13+Setup!$G$30),Setup!$C$39:$C$50))&lt;=Setup!$C$16))),WORKDAY(L442,-(Setup!$C$13+Setup!$G$30+Setup!$C$14),Setup!$C$39:$C$50),WORKDAY(L442,-(Setup!$C$13+Setup!$G$30),Setup!$C$39:$C$50))+(437*100+11)/10000000)))</f>
        <v/>
      </c>
      <c r="AC442" t="str">
        <f>IF(M442="","",IF(M442&lt;Setup!$C$5-Setup!$C$6,"",IF(IF(ISNUMBER(Roster!$D442),Setup!$C$31&lt;=Roster!$D442,FALSE),"",IF(OR(IF(Setup!$C$15&lt;=Setup!$C$16,AND(MONTH(M442)&gt;=Setup!$C$15,MONTH(M442)&lt;=Setup!$C$16),OR(MONTH(M442)&gt;=Setup!$C$15,MONTH(M442)&lt;=Setup!$C$16)),IF(Setup!$C$15&lt;=Setup!$C$16,AND(MONTH(WORKDAY(M442,-(Setup!$C$13+Setup!$G$31),Setup!$C$39:$C$50))&gt;=Setup!$C$15,MONTH(WORKDAY(M442,-(Setup!$C$13+Setup!$G$31),Setup!$C$39:$C$50))&lt;=Setup!$C$16),OR(MONTH(WORKDAY(M442,-(Setup!$C$13+Setup!$G$31),Setup!$C$39:$C$50))&gt;=Setup!$C$15,MONTH(WORKDAY(M442,-(Setup!$C$13+Setup!$G$31),Setup!$C$39:$C$50))&lt;=Setup!$C$16))),WORKDAY(M442,-(Setup!$C$13+Setup!$G$31+Setup!$C$14),Setup!$C$39:$C$50),WORKDAY(M442,-(Setup!$C$13+Setup!$G$31),Setup!$C$39:$C$50))+(437*100+12)/10000000)))</f>
        <v/>
      </c>
      <c r="AD442" t="str">
        <f>IF(N442="","",IF(N442&lt;Setup!$C$5-Setup!$C$6,"",IF(IF(ISNUMBER(Roster!$D442),Setup!$C$32&lt;=Roster!$D442,FALSE),"",IF(OR(IF(Setup!$C$15&lt;=Setup!$C$16,AND(MONTH(N442)&gt;=Setup!$C$15,MONTH(N442)&lt;=Setup!$C$16),OR(MONTH(N442)&gt;=Setup!$C$15,MONTH(N442)&lt;=Setup!$C$16)),IF(Setup!$C$15&lt;=Setup!$C$16,AND(MONTH(WORKDAY(N442,-(Setup!$C$13+Setup!$G$32),Setup!$C$39:$C$50))&gt;=Setup!$C$15,MONTH(WORKDAY(N442,-(Setup!$C$13+Setup!$G$32),Setup!$C$39:$C$50))&lt;=Setup!$C$16),OR(MONTH(WORKDAY(N442,-(Setup!$C$13+Setup!$G$32),Setup!$C$39:$C$50))&gt;=Setup!$C$15,MONTH(WORKDAY(N442,-(Setup!$C$13+Setup!$G$32),Setup!$C$39:$C$50))&lt;=Setup!$C$16))),WORKDAY(N442,-(Setup!$C$13+Setup!$G$32+Setup!$C$14),Setup!$C$39:$C$50),WORKDAY(N442,-(Setup!$C$13+Setup!$G$32),Setup!$C$39:$C$50))+(437*100+13)/10000000)))</f>
        <v/>
      </c>
      <c r="AE442" t="str">
        <f>IF(O442="","",IF(O442&lt;Setup!$C$5-Setup!$C$6,"",IF(IF(ISNUMBER(Roster!$D442),Setup!$C$33&lt;=Roster!$D442,FALSE),"",IF(OR(IF(Setup!$C$15&lt;=Setup!$C$16,AND(MONTH(O442)&gt;=Setup!$C$15,MONTH(O442)&lt;=Setup!$C$16),OR(MONTH(O442)&gt;=Setup!$C$15,MONTH(O442)&lt;=Setup!$C$16)),IF(Setup!$C$15&lt;=Setup!$C$16,AND(MONTH(WORKDAY(O442,-(Setup!$C$13+Setup!$G$33),Setup!$C$39:$C$50))&gt;=Setup!$C$15,MONTH(WORKDAY(O442,-(Setup!$C$13+Setup!$G$33),Setup!$C$39:$C$50))&lt;=Setup!$C$16),OR(MONTH(WORKDAY(O442,-(Setup!$C$13+Setup!$G$33),Setup!$C$39:$C$50))&gt;=Setup!$C$15,MONTH(WORKDAY(O442,-(Setup!$C$13+Setup!$G$33),Setup!$C$39:$C$50))&lt;=Setup!$C$16))),WORKDAY(O442,-(Setup!$C$13+Setup!$G$33+Setup!$C$14),Setup!$C$39:$C$50),WORKDAY(O442,-(Setup!$C$13+Setup!$G$33),Setup!$C$39:$C$50))+(437*100+14)/10000000)))</f>
        <v/>
      </c>
      <c r="AF442" t="str">
        <f>IF(P442="","",IF(P442&lt;Setup!$C$5-Setup!$C$6,"",IF(IF(ISNUMBER(Roster!$D442),Setup!$C$34&lt;=Roster!$D442,FALSE),"",IF(OR(IF(Setup!$C$15&lt;=Setup!$C$16,AND(MONTH(P442)&gt;=Setup!$C$15,MONTH(P442)&lt;=Setup!$C$16),OR(MONTH(P442)&gt;=Setup!$C$15,MONTH(P442)&lt;=Setup!$C$16)),IF(Setup!$C$15&lt;=Setup!$C$16,AND(MONTH(WORKDAY(P442,-(Setup!$C$13+Setup!$G$34),Setup!$C$39:$C$50))&gt;=Setup!$C$15,MONTH(WORKDAY(P442,-(Setup!$C$13+Setup!$G$34),Setup!$C$39:$C$50))&lt;=Setup!$C$16),OR(MONTH(WORKDAY(P442,-(Setup!$C$13+Setup!$G$34),Setup!$C$39:$C$50))&gt;=Setup!$C$15,MONTH(WORKDAY(P442,-(Setup!$C$13+Setup!$G$34),Setup!$C$39:$C$50))&lt;=Setup!$C$16))),WORKDAY(P442,-(Setup!$C$13+Setup!$G$34+Setup!$C$14),Setup!$C$39:$C$50),WORKDAY(P442,-(Setup!$C$13+Setup!$G$34),Setup!$C$39:$C$50))+(437*100+15)/10000000)))</f>
        <v/>
      </c>
      <c r="AH442" t="str">
        <f t="shared" si="46"/>
        <v/>
      </c>
      <c r="AI442" t="str">
        <f t="shared" si="47"/>
        <v/>
      </c>
      <c r="AP442" t="str">
        <f>IF(ISNUMBER(Roster!$B442),MAX(1,YEAR(Setup!$C$5)-YEAR(Roster!$B442)+IF(EDATE(Roster!$B442,12*(YEAR(Setup!$C$5)-YEAR(Roster!$B442)))&lt;Setup!$C$5,1,0)),"")</f>
        <v/>
      </c>
      <c r="AQ442" s="32" t="str">
        <f>IF(AP442="","",EDATE(Roster!$B442,12*AP442))</f>
        <v/>
      </c>
      <c r="AR442" t="str">
        <f>IF(AQ442="","",IF(AQ442&lt;DATE(YEAR(Setup!$C$5)+1,MONTH(Setup!$C$5),DAY(Setup!$C$5)),AQ442+437/1000,""))</f>
        <v/>
      </c>
      <c r="AS442" t="str">
        <f t="shared" si="48"/>
        <v/>
      </c>
      <c r="AT442" t="str">
        <f>IF(AS442="","",IF(ISNUMBER(Roster!$D442),Roster!$D442&gt;=AP442,FALSE))</f>
        <v/>
      </c>
      <c r="AU442" t="str">
        <f t="shared" si="49"/>
        <v/>
      </c>
      <c r="AV442" t="str">
        <f ca="1">IF(437&gt;$AV$2,"",SMALL($AR$6:$AR$505,437))</f>
        <v/>
      </c>
      <c r="AW442" t="str">
        <f t="shared" ca="1" si="50"/>
        <v/>
      </c>
    </row>
    <row r="443" spans="2:49" x14ac:dyDescent="0.2">
      <c r="B443" s="32" t="str">
        <f>IF(AND(ISNUMBER(Roster!$B443),Setup!$B$20="Yes",ISNUMBER(Setup!$C$20)),EDATE(Roster!$B443,12*Setup!$C$20),"")</f>
        <v/>
      </c>
      <c r="C443" s="32" t="str">
        <f>IF(AND(ISNUMBER(Roster!$B443),Setup!$B$21="Yes",ISNUMBER(Setup!$C$21)),EDATE(Roster!$B443,12*Setup!$C$21),"")</f>
        <v/>
      </c>
      <c r="D443" s="32" t="str">
        <f>IF(AND(ISNUMBER(Roster!$B443),Setup!$B$22="Yes",ISNUMBER(Setup!$C$22)),EDATE(Roster!$B443,12*Setup!$C$22),"")</f>
        <v/>
      </c>
      <c r="E443" s="32" t="str">
        <f>IF(AND(ISNUMBER(Roster!$B443),Setup!$B$23="Yes",ISNUMBER(Setup!$C$23)),EDATE(Roster!$B443,12*Setup!$C$23),"")</f>
        <v/>
      </c>
      <c r="F443" s="32" t="str">
        <f>IF(AND(ISNUMBER(Roster!$B443),Setup!$B$24="Yes",ISNUMBER(Setup!$C$24)),EDATE(Roster!$B443,12*Setup!$C$24),"")</f>
        <v/>
      </c>
      <c r="G443" s="32" t="str">
        <f>IF(AND(ISNUMBER(Roster!$B443),Setup!$B$25="Yes",ISNUMBER(Setup!$C$25)),EDATE(Roster!$B443,12*Setup!$C$25),"")</f>
        <v/>
      </c>
      <c r="H443" s="32" t="str">
        <f>IF(AND(ISNUMBER(Roster!$B443),Setup!$B$26="Yes",ISNUMBER(Setup!$C$26)),EDATE(Roster!$B443,12*Setup!$C$26),"")</f>
        <v/>
      </c>
      <c r="I443" s="32" t="str">
        <f>IF(AND(ISNUMBER(Roster!$B443),Setup!$B$27="Yes",ISNUMBER(Setup!$C$27)),EDATE(Roster!$B443,12*Setup!$C$27),"")</f>
        <v/>
      </c>
      <c r="J443" s="32" t="str">
        <f>IF(AND(ISNUMBER(Roster!$B443),Setup!$B$28="Yes",ISNUMBER(Setup!$C$28)),EDATE(Roster!$B443,12*Setup!$C$28),"")</f>
        <v/>
      </c>
      <c r="K443" s="32" t="str">
        <f>IF(AND(ISNUMBER(Roster!$B443),Setup!$B$29="Yes",ISNUMBER(Setup!$C$29)),EDATE(Roster!$B443,12*Setup!$C$29),"")</f>
        <v/>
      </c>
      <c r="L443" s="32" t="str">
        <f>IF(AND(ISNUMBER(Roster!$B443),Setup!$B$30="Yes",ISNUMBER(Setup!$C$30)),EDATE(Roster!$B443,12*Setup!$C$30),"")</f>
        <v/>
      </c>
      <c r="M443" s="32" t="str">
        <f>IF(AND(ISNUMBER(Roster!$B443),Setup!$B$31="Yes",ISNUMBER(Setup!$C$31)),EDATE(Roster!$B443,12*Setup!$C$31),"")</f>
        <v/>
      </c>
      <c r="N443" s="32" t="str">
        <f>IF(AND(ISNUMBER(Roster!$B443),Setup!$B$32="Yes",ISNUMBER(Setup!$C$32)),EDATE(Roster!$B443,12*Setup!$C$32),"")</f>
        <v/>
      </c>
      <c r="O443" s="32" t="str">
        <f>IF(AND(ISNUMBER(Roster!$B443),Setup!$B$33="Yes",ISNUMBER(Setup!$C$33)),EDATE(Roster!$B443,12*Setup!$C$33),"")</f>
        <v/>
      </c>
      <c r="P443" s="32" t="str">
        <f>IF(AND(ISNUMBER(Roster!$B443),Setup!$B$34="Yes",ISNUMBER(Setup!$C$34)),EDATE(Roster!$B443,12*Setup!$C$34),"")</f>
        <v/>
      </c>
      <c r="R443" t="str">
        <f>IF(B443="","",IF(B443&lt;Setup!$C$5-Setup!$C$6,"",IF(IF(ISNUMBER(Roster!$D443),Setup!$C$20&lt;=Roster!$D443,FALSE),"",IF(OR(IF(Setup!$C$15&lt;=Setup!$C$16,AND(MONTH(B443)&gt;=Setup!$C$15,MONTH(B443)&lt;=Setup!$C$16),OR(MONTH(B443)&gt;=Setup!$C$15,MONTH(B443)&lt;=Setup!$C$16)),IF(Setup!$C$15&lt;=Setup!$C$16,AND(MONTH(WORKDAY(B443,-(Setup!$C$13+Setup!$G$20),Setup!$C$39:$C$50))&gt;=Setup!$C$15,MONTH(WORKDAY(B443,-(Setup!$C$13+Setup!$G$20),Setup!$C$39:$C$50))&lt;=Setup!$C$16),OR(MONTH(WORKDAY(B443,-(Setup!$C$13+Setup!$G$20),Setup!$C$39:$C$50))&gt;=Setup!$C$15,MONTH(WORKDAY(B443,-(Setup!$C$13+Setup!$G$20),Setup!$C$39:$C$50))&lt;=Setup!$C$16))),WORKDAY(B443,-(Setup!$C$13+Setup!$G$20+Setup!$C$14),Setup!$C$39:$C$50),WORKDAY(B443,-(Setup!$C$13+Setup!$G$20),Setup!$C$39:$C$50))+(438*100+1)/10000000)))</f>
        <v/>
      </c>
      <c r="S443" t="str">
        <f>IF(C443="","",IF(C443&lt;Setup!$C$5-Setup!$C$6,"",IF(IF(ISNUMBER(Roster!$D443),Setup!$C$21&lt;=Roster!$D443,FALSE),"",IF(OR(IF(Setup!$C$15&lt;=Setup!$C$16,AND(MONTH(C443)&gt;=Setup!$C$15,MONTH(C443)&lt;=Setup!$C$16),OR(MONTH(C443)&gt;=Setup!$C$15,MONTH(C443)&lt;=Setup!$C$16)),IF(Setup!$C$15&lt;=Setup!$C$16,AND(MONTH(WORKDAY(C443,-(Setup!$C$13+Setup!$G$21),Setup!$C$39:$C$50))&gt;=Setup!$C$15,MONTH(WORKDAY(C443,-(Setup!$C$13+Setup!$G$21),Setup!$C$39:$C$50))&lt;=Setup!$C$16),OR(MONTH(WORKDAY(C443,-(Setup!$C$13+Setup!$G$21),Setup!$C$39:$C$50))&gt;=Setup!$C$15,MONTH(WORKDAY(C443,-(Setup!$C$13+Setup!$G$21),Setup!$C$39:$C$50))&lt;=Setup!$C$16))),WORKDAY(C443,-(Setup!$C$13+Setup!$G$21+Setup!$C$14),Setup!$C$39:$C$50),WORKDAY(C443,-(Setup!$C$13+Setup!$G$21),Setup!$C$39:$C$50))+(438*100+2)/10000000)))</f>
        <v/>
      </c>
      <c r="T443" t="str">
        <f>IF(D443="","",IF(D443&lt;Setup!$C$5-Setup!$C$6,"",IF(IF(ISNUMBER(Roster!$D443),Setup!$C$22&lt;=Roster!$D443,FALSE),"",IF(OR(IF(Setup!$C$15&lt;=Setup!$C$16,AND(MONTH(D443)&gt;=Setup!$C$15,MONTH(D443)&lt;=Setup!$C$16),OR(MONTH(D443)&gt;=Setup!$C$15,MONTH(D443)&lt;=Setup!$C$16)),IF(Setup!$C$15&lt;=Setup!$C$16,AND(MONTH(WORKDAY(D443,-(Setup!$C$13+Setup!$G$22),Setup!$C$39:$C$50))&gt;=Setup!$C$15,MONTH(WORKDAY(D443,-(Setup!$C$13+Setup!$G$22),Setup!$C$39:$C$50))&lt;=Setup!$C$16),OR(MONTH(WORKDAY(D443,-(Setup!$C$13+Setup!$G$22),Setup!$C$39:$C$50))&gt;=Setup!$C$15,MONTH(WORKDAY(D443,-(Setup!$C$13+Setup!$G$22),Setup!$C$39:$C$50))&lt;=Setup!$C$16))),WORKDAY(D443,-(Setup!$C$13+Setup!$G$22+Setup!$C$14),Setup!$C$39:$C$50),WORKDAY(D443,-(Setup!$C$13+Setup!$G$22),Setup!$C$39:$C$50))+(438*100+3)/10000000)))</f>
        <v/>
      </c>
      <c r="U443" t="str">
        <f>IF(E443="","",IF(E443&lt;Setup!$C$5-Setup!$C$6,"",IF(IF(ISNUMBER(Roster!$D443),Setup!$C$23&lt;=Roster!$D443,FALSE),"",IF(OR(IF(Setup!$C$15&lt;=Setup!$C$16,AND(MONTH(E443)&gt;=Setup!$C$15,MONTH(E443)&lt;=Setup!$C$16),OR(MONTH(E443)&gt;=Setup!$C$15,MONTH(E443)&lt;=Setup!$C$16)),IF(Setup!$C$15&lt;=Setup!$C$16,AND(MONTH(WORKDAY(E443,-(Setup!$C$13+Setup!$G$23),Setup!$C$39:$C$50))&gt;=Setup!$C$15,MONTH(WORKDAY(E443,-(Setup!$C$13+Setup!$G$23),Setup!$C$39:$C$50))&lt;=Setup!$C$16),OR(MONTH(WORKDAY(E443,-(Setup!$C$13+Setup!$G$23),Setup!$C$39:$C$50))&gt;=Setup!$C$15,MONTH(WORKDAY(E443,-(Setup!$C$13+Setup!$G$23),Setup!$C$39:$C$50))&lt;=Setup!$C$16))),WORKDAY(E443,-(Setup!$C$13+Setup!$G$23+Setup!$C$14),Setup!$C$39:$C$50),WORKDAY(E443,-(Setup!$C$13+Setup!$G$23),Setup!$C$39:$C$50))+(438*100+4)/10000000)))</f>
        <v/>
      </c>
      <c r="V443" t="str">
        <f>IF(F443="","",IF(F443&lt;Setup!$C$5-Setup!$C$6,"",IF(IF(ISNUMBER(Roster!$D443),Setup!$C$24&lt;=Roster!$D443,FALSE),"",IF(OR(IF(Setup!$C$15&lt;=Setup!$C$16,AND(MONTH(F443)&gt;=Setup!$C$15,MONTH(F443)&lt;=Setup!$C$16),OR(MONTH(F443)&gt;=Setup!$C$15,MONTH(F443)&lt;=Setup!$C$16)),IF(Setup!$C$15&lt;=Setup!$C$16,AND(MONTH(WORKDAY(F443,-(Setup!$C$13+Setup!$G$24),Setup!$C$39:$C$50))&gt;=Setup!$C$15,MONTH(WORKDAY(F443,-(Setup!$C$13+Setup!$G$24),Setup!$C$39:$C$50))&lt;=Setup!$C$16),OR(MONTH(WORKDAY(F443,-(Setup!$C$13+Setup!$G$24),Setup!$C$39:$C$50))&gt;=Setup!$C$15,MONTH(WORKDAY(F443,-(Setup!$C$13+Setup!$G$24),Setup!$C$39:$C$50))&lt;=Setup!$C$16))),WORKDAY(F443,-(Setup!$C$13+Setup!$G$24+Setup!$C$14),Setup!$C$39:$C$50),WORKDAY(F443,-(Setup!$C$13+Setup!$G$24),Setup!$C$39:$C$50))+(438*100+5)/10000000)))</f>
        <v/>
      </c>
      <c r="W443" t="str">
        <f>IF(G443="","",IF(G443&lt;Setup!$C$5-Setup!$C$6,"",IF(IF(ISNUMBER(Roster!$D443),Setup!$C$25&lt;=Roster!$D443,FALSE),"",IF(OR(IF(Setup!$C$15&lt;=Setup!$C$16,AND(MONTH(G443)&gt;=Setup!$C$15,MONTH(G443)&lt;=Setup!$C$16),OR(MONTH(G443)&gt;=Setup!$C$15,MONTH(G443)&lt;=Setup!$C$16)),IF(Setup!$C$15&lt;=Setup!$C$16,AND(MONTH(WORKDAY(G443,-(Setup!$C$13+Setup!$G$25),Setup!$C$39:$C$50))&gt;=Setup!$C$15,MONTH(WORKDAY(G443,-(Setup!$C$13+Setup!$G$25),Setup!$C$39:$C$50))&lt;=Setup!$C$16),OR(MONTH(WORKDAY(G443,-(Setup!$C$13+Setup!$G$25),Setup!$C$39:$C$50))&gt;=Setup!$C$15,MONTH(WORKDAY(G443,-(Setup!$C$13+Setup!$G$25),Setup!$C$39:$C$50))&lt;=Setup!$C$16))),WORKDAY(G443,-(Setup!$C$13+Setup!$G$25+Setup!$C$14),Setup!$C$39:$C$50),WORKDAY(G443,-(Setup!$C$13+Setup!$G$25),Setup!$C$39:$C$50))+(438*100+6)/10000000)))</f>
        <v/>
      </c>
      <c r="X443" t="str">
        <f>IF(H443="","",IF(H443&lt;Setup!$C$5-Setup!$C$6,"",IF(IF(ISNUMBER(Roster!$D443),Setup!$C$26&lt;=Roster!$D443,FALSE),"",IF(OR(IF(Setup!$C$15&lt;=Setup!$C$16,AND(MONTH(H443)&gt;=Setup!$C$15,MONTH(H443)&lt;=Setup!$C$16),OR(MONTH(H443)&gt;=Setup!$C$15,MONTH(H443)&lt;=Setup!$C$16)),IF(Setup!$C$15&lt;=Setup!$C$16,AND(MONTH(WORKDAY(H443,-(Setup!$C$13+Setup!$G$26),Setup!$C$39:$C$50))&gt;=Setup!$C$15,MONTH(WORKDAY(H443,-(Setup!$C$13+Setup!$G$26),Setup!$C$39:$C$50))&lt;=Setup!$C$16),OR(MONTH(WORKDAY(H443,-(Setup!$C$13+Setup!$G$26),Setup!$C$39:$C$50))&gt;=Setup!$C$15,MONTH(WORKDAY(H443,-(Setup!$C$13+Setup!$G$26),Setup!$C$39:$C$50))&lt;=Setup!$C$16))),WORKDAY(H443,-(Setup!$C$13+Setup!$G$26+Setup!$C$14),Setup!$C$39:$C$50),WORKDAY(H443,-(Setup!$C$13+Setup!$G$26),Setup!$C$39:$C$50))+(438*100+7)/10000000)))</f>
        <v/>
      </c>
      <c r="Y443" t="str">
        <f>IF(I443="","",IF(I443&lt;Setup!$C$5-Setup!$C$6,"",IF(IF(ISNUMBER(Roster!$D443),Setup!$C$27&lt;=Roster!$D443,FALSE),"",IF(OR(IF(Setup!$C$15&lt;=Setup!$C$16,AND(MONTH(I443)&gt;=Setup!$C$15,MONTH(I443)&lt;=Setup!$C$16),OR(MONTH(I443)&gt;=Setup!$C$15,MONTH(I443)&lt;=Setup!$C$16)),IF(Setup!$C$15&lt;=Setup!$C$16,AND(MONTH(WORKDAY(I443,-(Setup!$C$13+Setup!$G$27),Setup!$C$39:$C$50))&gt;=Setup!$C$15,MONTH(WORKDAY(I443,-(Setup!$C$13+Setup!$G$27),Setup!$C$39:$C$50))&lt;=Setup!$C$16),OR(MONTH(WORKDAY(I443,-(Setup!$C$13+Setup!$G$27),Setup!$C$39:$C$50))&gt;=Setup!$C$15,MONTH(WORKDAY(I443,-(Setup!$C$13+Setup!$G$27),Setup!$C$39:$C$50))&lt;=Setup!$C$16))),WORKDAY(I443,-(Setup!$C$13+Setup!$G$27+Setup!$C$14),Setup!$C$39:$C$50),WORKDAY(I443,-(Setup!$C$13+Setup!$G$27),Setup!$C$39:$C$50))+(438*100+8)/10000000)))</f>
        <v/>
      </c>
      <c r="Z443" t="str">
        <f>IF(J443="","",IF(J443&lt;Setup!$C$5-Setup!$C$6,"",IF(IF(ISNUMBER(Roster!$D443),Setup!$C$28&lt;=Roster!$D443,FALSE),"",IF(OR(IF(Setup!$C$15&lt;=Setup!$C$16,AND(MONTH(J443)&gt;=Setup!$C$15,MONTH(J443)&lt;=Setup!$C$16),OR(MONTH(J443)&gt;=Setup!$C$15,MONTH(J443)&lt;=Setup!$C$16)),IF(Setup!$C$15&lt;=Setup!$C$16,AND(MONTH(WORKDAY(J443,-(Setup!$C$13+Setup!$G$28),Setup!$C$39:$C$50))&gt;=Setup!$C$15,MONTH(WORKDAY(J443,-(Setup!$C$13+Setup!$G$28),Setup!$C$39:$C$50))&lt;=Setup!$C$16),OR(MONTH(WORKDAY(J443,-(Setup!$C$13+Setup!$G$28),Setup!$C$39:$C$50))&gt;=Setup!$C$15,MONTH(WORKDAY(J443,-(Setup!$C$13+Setup!$G$28),Setup!$C$39:$C$50))&lt;=Setup!$C$16))),WORKDAY(J443,-(Setup!$C$13+Setup!$G$28+Setup!$C$14),Setup!$C$39:$C$50),WORKDAY(J443,-(Setup!$C$13+Setup!$G$28),Setup!$C$39:$C$50))+(438*100+9)/10000000)))</f>
        <v/>
      </c>
      <c r="AA443" t="str">
        <f>IF(K443="","",IF(K443&lt;Setup!$C$5-Setup!$C$6,"",IF(IF(ISNUMBER(Roster!$D443),Setup!$C$29&lt;=Roster!$D443,FALSE),"",IF(OR(IF(Setup!$C$15&lt;=Setup!$C$16,AND(MONTH(K443)&gt;=Setup!$C$15,MONTH(K443)&lt;=Setup!$C$16),OR(MONTH(K443)&gt;=Setup!$C$15,MONTH(K443)&lt;=Setup!$C$16)),IF(Setup!$C$15&lt;=Setup!$C$16,AND(MONTH(WORKDAY(K443,-(Setup!$C$13+Setup!$G$29),Setup!$C$39:$C$50))&gt;=Setup!$C$15,MONTH(WORKDAY(K443,-(Setup!$C$13+Setup!$G$29),Setup!$C$39:$C$50))&lt;=Setup!$C$16),OR(MONTH(WORKDAY(K443,-(Setup!$C$13+Setup!$G$29),Setup!$C$39:$C$50))&gt;=Setup!$C$15,MONTH(WORKDAY(K443,-(Setup!$C$13+Setup!$G$29),Setup!$C$39:$C$50))&lt;=Setup!$C$16))),WORKDAY(K443,-(Setup!$C$13+Setup!$G$29+Setup!$C$14),Setup!$C$39:$C$50),WORKDAY(K443,-(Setup!$C$13+Setup!$G$29),Setup!$C$39:$C$50))+(438*100+10)/10000000)))</f>
        <v/>
      </c>
      <c r="AB443" t="str">
        <f>IF(L443="","",IF(L443&lt;Setup!$C$5-Setup!$C$6,"",IF(IF(ISNUMBER(Roster!$D443),Setup!$C$30&lt;=Roster!$D443,FALSE),"",IF(OR(IF(Setup!$C$15&lt;=Setup!$C$16,AND(MONTH(L443)&gt;=Setup!$C$15,MONTH(L443)&lt;=Setup!$C$16),OR(MONTH(L443)&gt;=Setup!$C$15,MONTH(L443)&lt;=Setup!$C$16)),IF(Setup!$C$15&lt;=Setup!$C$16,AND(MONTH(WORKDAY(L443,-(Setup!$C$13+Setup!$G$30),Setup!$C$39:$C$50))&gt;=Setup!$C$15,MONTH(WORKDAY(L443,-(Setup!$C$13+Setup!$G$30),Setup!$C$39:$C$50))&lt;=Setup!$C$16),OR(MONTH(WORKDAY(L443,-(Setup!$C$13+Setup!$G$30),Setup!$C$39:$C$50))&gt;=Setup!$C$15,MONTH(WORKDAY(L443,-(Setup!$C$13+Setup!$G$30),Setup!$C$39:$C$50))&lt;=Setup!$C$16))),WORKDAY(L443,-(Setup!$C$13+Setup!$G$30+Setup!$C$14),Setup!$C$39:$C$50),WORKDAY(L443,-(Setup!$C$13+Setup!$G$30),Setup!$C$39:$C$50))+(438*100+11)/10000000)))</f>
        <v/>
      </c>
      <c r="AC443" t="str">
        <f>IF(M443="","",IF(M443&lt;Setup!$C$5-Setup!$C$6,"",IF(IF(ISNUMBER(Roster!$D443),Setup!$C$31&lt;=Roster!$D443,FALSE),"",IF(OR(IF(Setup!$C$15&lt;=Setup!$C$16,AND(MONTH(M443)&gt;=Setup!$C$15,MONTH(M443)&lt;=Setup!$C$16),OR(MONTH(M443)&gt;=Setup!$C$15,MONTH(M443)&lt;=Setup!$C$16)),IF(Setup!$C$15&lt;=Setup!$C$16,AND(MONTH(WORKDAY(M443,-(Setup!$C$13+Setup!$G$31),Setup!$C$39:$C$50))&gt;=Setup!$C$15,MONTH(WORKDAY(M443,-(Setup!$C$13+Setup!$G$31),Setup!$C$39:$C$50))&lt;=Setup!$C$16),OR(MONTH(WORKDAY(M443,-(Setup!$C$13+Setup!$G$31),Setup!$C$39:$C$50))&gt;=Setup!$C$15,MONTH(WORKDAY(M443,-(Setup!$C$13+Setup!$G$31),Setup!$C$39:$C$50))&lt;=Setup!$C$16))),WORKDAY(M443,-(Setup!$C$13+Setup!$G$31+Setup!$C$14),Setup!$C$39:$C$50),WORKDAY(M443,-(Setup!$C$13+Setup!$G$31),Setup!$C$39:$C$50))+(438*100+12)/10000000)))</f>
        <v/>
      </c>
      <c r="AD443" t="str">
        <f>IF(N443="","",IF(N443&lt;Setup!$C$5-Setup!$C$6,"",IF(IF(ISNUMBER(Roster!$D443),Setup!$C$32&lt;=Roster!$D443,FALSE),"",IF(OR(IF(Setup!$C$15&lt;=Setup!$C$16,AND(MONTH(N443)&gt;=Setup!$C$15,MONTH(N443)&lt;=Setup!$C$16),OR(MONTH(N443)&gt;=Setup!$C$15,MONTH(N443)&lt;=Setup!$C$16)),IF(Setup!$C$15&lt;=Setup!$C$16,AND(MONTH(WORKDAY(N443,-(Setup!$C$13+Setup!$G$32),Setup!$C$39:$C$50))&gt;=Setup!$C$15,MONTH(WORKDAY(N443,-(Setup!$C$13+Setup!$G$32),Setup!$C$39:$C$50))&lt;=Setup!$C$16),OR(MONTH(WORKDAY(N443,-(Setup!$C$13+Setup!$G$32),Setup!$C$39:$C$50))&gt;=Setup!$C$15,MONTH(WORKDAY(N443,-(Setup!$C$13+Setup!$G$32),Setup!$C$39:$C$50))&lt;=Setup!$C$16))),WORKDAY(N443,-(Setup!$C$13+Setup!$G$32+Setup!$C$14),Setup!$C$39:$C$50),WORKDAY(N443,-(Setup!$C$13+Setup!$G$32),Setup!$C$39:$C$50))+(438*100+13)/10000000)))</f>
        <v/>
      </c>
      <c r="AE443" t="str">
        <f>IF(O443="","",IF(O443&lt;Setup!$C$5-Setup!$C$6,"",IF(IF(ISNUMBER(Roster!$D443),Setup!$C$33&lt;=Roster!$D443,FALSE),"",IF(OR(IF(Setup!$C$15&lt;=Setup!$C$16,AND(MONTH(O443)&gt;=Setup!$C$15,MONTH(O443)&lt;=Setup!$C$16),OR(MONTH(O443)&gt;=Setup!$C$15,MONTH(O443)&lt;=Setup!$C$16)),IF(Setup!$C$15&lt;=Setup!$C$16,AND(MONTH(WORKDAY(O443,-(Setup!$C$13+Setup!$G$33),Setup!$C$39:$C$50))&gt;=Setup!$C$15,MONTH(WORKDAY(O443,-(Setup!$C$13+Setup!$G$33),Setup!$C$39:$C$50))&lt;=Setup!$C$16),OR(MONTH(WORKDAY(O443,-(Setup!$C$13+Setup!$G$33),Setup!$C$39:$C$50))&gt;=Setup!$C$15,MONTH(WORKDAY(O443,-(Setup!$C$13+Setup!$G$33),Setup!$C$39:$C$50))&lt;=Setup!$C$16))),WORKDAY(O443,-(Setup!$C$13+Setup!$G$33+Setup!$C$14),Setup!$C$39:$C$50),WORKDAY(O443,-(Setup!$C$13+Setup!$G$33),Setup!$C$39:$C$50))+(438*100+14)/10000000)))</f>
        <v/>
      </c>
      <c r="AF443" t="str">
        <f>IF(P443="","",IF(P443&lt;Setup!$C$5-Setup!$C$6,"",IF(IF(ISNUMBER(Roster!$D443),Setup!$C$34&lt;=Roster!$D443,FALSE),"",IF(OR(IF(Setup!$C$15&lt;=Setup!$C$16,AND(MONTH(P443)&gt;=Setup!$C$15,MONTH(P443)&lt;=Setup!$C$16),OR(MONTH(P443)&gt;=Setup!$C$15,MONTH(P443)&lt;=Setup!$C$16)),IF(Setup!$C$15&lt;=Setup!$C$16,AND(MONTH(WORKDAY(P443,-(Setup!$C$13+Setup!$G$34),Setup!$C$39:$C$50))&gt;=Setup!$C$15,MONTH(WORKDAY(P443,-(Setup!$C$13+Setup!$G$34),Setup!$C$39:$C$50))&lt;=Setup!$C$16),OR(MONTH(WORKDAY(P443,-(Setup!$C$13+Setup!$G$34),Setup!$C$39:$C$50))&gt;=Setup!$C$15,MONTH(WORKDAY(P443,-(Setup!$C$13+Setup!$G$34),Setup!$C$39:$C$50))&lt;=Setup!$C$16))),WORKDAY(P443,-(Setup!$C$13+Setup!$G$34+Setup!$C$14),Setup!$C$39:$C$50),WORKDAY(P443,-(Setup!$C$13+Setup!$G$34),Setup!$C$39:$C$50))+(438*100+15)/10000000)))</f>
        <v/>
      </c>
      <c r="AH443" t="str">
        <f t="shared" si="46"/>
        <v/>
      </c>
      <c r="AI443" t="str">
        <f t="shared" si="47"/>
        <v/>
      </c>
      <c r="AP443" t="str">
        <f>IF(ISNUMBER(Roster!$B443),MAX(1,YEAR(Setup!$C$5)-YEAR(Roster!$B443)+IF(EDATE(Roster!$B443,12*(YEAR(Setup!$C$5)-YEAR(Roster!$B443)))&lt;Setup!$C$5,1,0)),"")</f>
        <v/>
      </c>
      <c r="AQ443" s="32" t="str">
        <f>IF(AP443="","",EDATE(Roster!$B443,12*AP443))</f>
        <v/>
      </c>
      <c r="AR443" t="str">
        <f>IF(AQ443="","",IF(AQ443&lt;DATE(YEAR(Setup!$C$5)+1,MONTH(Setup!$C$5),DAY(Setup!$C$5)),AQ443+438/1000,""))</f>
        <v/>
      </c>
      <c r="AS443" t="str">
        <f t="shared" si="48"/>
        <v/>
      </c>
      <c r="AT443" t="str">
        <f>IF(AS443="","",IF(ISNUMBER(Roster!$D443),Roster!$D443&gt;=AP443,FALSE))</f>
        <v/>
      </c>
      <c r="AU443" t="str">
        <f t="shared" si="49"/>
        <v/>
      </c>
      <c r="AV443" t="str">
        <f ca="1">IF(438&gt;$AV$2,"",SMALL($AR$6:$AR$505,438))</f>
        <v/>
      </c>
      <c r="AW443" t="str">
        <f t="shared" ca="1" si="50"/>
        <v/>
      </c>
    </row>
    <row r="444" spans="2:49" x14ac:dyDescent="0.2">
      <c r="B444" s="32" t="str">
        <f>IF(AND(ISNUMBER(Roster!$B444),Setup!$B$20="Yes",ISNUMBER(Setup!$C$20)),EDATE(Roster!$B444,12*Setup!$C$20),"")</f>
        <v/>
      </c>
      <c r="C444" s="32" t="str">
        <f>IF(AND(ISNUMBER(Roster!$B444),Setup!$B$21="Yes",ISNUMBER(Setup!$C$21)),EDATE(Roster!$B444,12*Setup!$C$21),"")</f>
        <v/>
      </c>
      <c r="D444" s="32" t="str">
        <f>IF(AND(ISNUMBER(Roster!$B444),Setup!$B$22="Yes",ISNUMBER(Setup!$C$22)),EDATE(Roster!$B444,12*Setup!$C$22),"")</f>
        <v/>
      </c>
      <c r="E444" s="32" t="str">
        <f>IF(AND(ISNUMBER(Roster!$B444),Setup!$B$23="Yes",ISNUMBER(Setup!$C$23)),EDATE(Roster!$B444,12*Setup!$C$23),"")</f>
        <v/>
      </c>
      <c r="F444" s="32" t="str">
        <f>IF(AND(ISNUMBER(Roster!$B444),Setup!$B$24="Yes",ISNUMBER(Setup!$C$24)),EDATE(Roster!$B444,12*Setup!$C$24),"")</f>
        <v/>
      </c>
      <c r="G444" s="32" t="str">
        <f>IF(AND(ISNUMBER(Roster!$B444),Setup!$B$25="Yes",ISNUMBER(Setup!$C$25)),EDATE(Roster!$B444,12*Setup!$C$25),"")</f>
        <v/>
      </c>
      <c r="H444" s="32" t="str">
        <f>IF(AND(ISNUMBER(Roster!$B444),Setup!$B$26="Yes",ISNUMBER(Setup!$C$26)),EDATE(Roster!$B444,12*Setup!$C$26),"")</f>
        <v/>
      </c>
      <c r="I444" s="32" t="str">
        <f>IF(AND(ISNUMBER(Roster!$B444),Setup!$B$27="Yes",ISNUMBER(Setup!$C$27)),EDATE(Roster!$B444,12*Setup!$C$27),"")</f>
        <v/>
      </c>
      <c r="J444" s="32" t="str">
        <f>IF(AND(ISNUMBER(Roster!$B444),Setup!$B$28="Yes",ISNUMBER(Setup!$C$28)),EDATE(Roster!$B444,12*Setup!$C$28),"")</f>
        <v/>
      </c>
      <c r="K444" s="32" t="str">
        <f>IF(AND(ISNUMBER(Roster!$B444),Setup!$B$29="Yes",ISNUMBER(Setup!$C$29)),EDATE(Roster!$B444,12*Setup!$C$29),"")</f>
        <v/>
      </c>
      <c r="L444" s="32" t="str">
        <f>IF(AND(ISNUMBER(Roster!$B444),Setup!$B$30="Yes",ISNUMBER(Setup!$C$30)),EDATE(Roster!$B444,12*Setup!$C$30),"")</f>
        <v/>
      </c>
      <c r="M444" s="32" t="str">
        <f>IF(AND(ISNUMBER(Roster!$B444),Setup!$B$31="Yes",ISNUMBER(Setup!$C$31)),EDATE(Roster!$B444,12*Setup!$C$31),"")</f>
        <v/>
      </c>
      <c r="N444" s="32" t="str">
        <f>IF(AND(ISNUMBER(Roster!$B444),Setup!$B$32="Yes",ISNUMBER(Setup!$C$32)),EDATE(Roster!$B444,12*Setup!$C$32),"")</f>
        <v/>
      </c>
      <c r="O444" s="32" t="str">
        <f>IF(AND(ISNUMBER(Roster!$B444),Setup!$B$33="Yes",ISNUMBER(Setup!$C$33)),EDATE(Roster!$B444,12*Setup!$C$33),"")</f>
        <v/>
      </c>
      <c r="P444" s="32" t="str">
        <f>IF(AND(ISNUMBER(Roster!$B444),Setup!$B$34="Yes",ISNUMBER(Setup!$C$34)),EDATE(Roster!$B444,12*Setup!$C$34),"")</f>
        <v/>
      </c>
      <c r="R444" t="str">
        <f>IF(B444="","",IF(B444&lt;Setup!$C$5-Setup!$C$6,"",IF(IF(ISNUMBER(Roster!$D444),Setup!$C$20&lt;=Roster!$D444,FALSE),"",IF(OR(IF(Setup!$C$15&lt;=Setup!$C$16,AND(MONTH(B444)&gt;=Setup!$C$15,MONTH(B444)&lt;=Setup!$C$16),OR(MONTH(B444)&gt;=Setup!$C$15,MONTH(B444)&lt;=Setup!$C$16)),IF(Setup!$C$15&lt;=Setup!$C$16,AND(MONTH(WORKDAY(B444,-(Setup!$C$13+Setup!$G$20),Setup!$C$39:$C$50))&gt;=Setup!$C$15,MONTH(WORKDAY(B444,-(Setup!$C$13+Setup!$G$20),Setup!$C$39:$C$50))&lt;=Setup!$C$16),OR(MONTH(WORKDAY(B444,-(Setup!$C$13+Setup!$G$20),Setup!$C$39:$C$50))&gt;=Setup!$C$15,MONTH(WORKDAY(B444,-(Setup!$C$13+Setup!$G$20),Setup!$C$39:$C$50))&lt;=Setup!$C$16))),WORKDAY(B444,-(Setup!$C$13+Setup!$G$20+Setup!$C$14),Setup!$C$39:$C$50),WORKDAY(B444,-(Setup!$C$13+Setup!$G$20),Setup!$C$39:$C$50))+(439*100+1)/10000000)))</f>
        <v/>
      </c>
      <c r="S444" t="str">
        <f>IF(C444="","",IF(C444&lt;Setup!$C$5-Setup!$C$6,"",IF(IF(ISNUMBER(Roster!$D444),Setup!$C$21&lt;=Roster!$D444,FALSE),"",IF(OR(IF(Setup!$C$15&lt;=Setup!$C$16,AND(MONTH(C444)&gt;=Setup!$C$15,MONTH(C444)&lt;=Setup!$C$16),OR(MONTH(C444)&gt;=Setup!$C$15,MONTH(C444)&lt;=Setup!$C$16)),IF(Setup!$C$15&lt;=Setup!$C$16,AND(MONTH(WORKDAY(C444,-(Setup!$C$13+Setup!$G$21),Setup!$C$39:$C$50))&gt;=Setup!$C$15,MONTH(WORKDAY(C444,-(Setup!$C$13+Setup!$G$21),Setup!$C$39:$C$50))&lt;=Setup!$C$16),OR(MONTH(WORKDAY(C444,-(Setup!$C$13+Setup!$G$21),Setup!$C$39:$C$50))&gt;=Setup!$C$15,MONTH(WORKDAY(C444,-(Setup!$C$13+Setup!$G$21),Setup!$C$39:$C$50))&lt;=Setup!$C$16))),WORKDAY(C444,-(Setup!$C$13+Setup!$G$21+Setup!$C$14),Setup!$C$39:$C$50),WORKDAY(C444,-(Setup!$C$13+Setup!$G$21),Setup!$C$39:$C$50))+(439*100+2)/10000000)))</f>
        <v/>
      </c>
      <c r="T444" t="str">
        <f>IF(D444="","",IF(D444&lt;Setup!$C$5-Setup!$C$6,"",IF(IF(ISNUMBER(Roster!$D444),Setup!$C$22&lt;=Roster!$D444,FALSE),"",IF(OR(IF(Setup!$C$15&lt;=Setup!$C$16,AND(MONTH(D444)&gt;=Setup!$C$15,MONTH(D444)&lt;=Setup!$C$16),OR(MONTH(D444)&gt;=Setup!$C$15,MONTH(D444)&lt;=Setup!$C$16)),IF(Setup!$C$15&lt;=Setup!$C$16,AND(MONTH(WORKDAY(D444,-(Setup!$C$13+Setup!$G$22),Setup!$C$39:$C$50))&gt;=Setup!$C$15,MONTH(WORKDAY(D444,-(Setup!$C$13+Setup!$G$22),Setup!$C$39:$C$50))&lt;=Setup!$C$16),OR(MONTH(WORKDAY(D444,-(Setup!$C$13+Setup!$G$22),Setup!$C$39:$C$50))&gt;=Setup!$C$15,MONTH(WORKDAY(D444,-(Setup!$C$13+Setup!$G$22),Setup!$C$39:$C$50))&lt;=Setup!$C$16))),WORKDAY(D444,-(Setup!$C$13+Setup!$G$22+Setup!$C$14),Setup!$C$39:$C$50),WORKDAY(D444,-(Setup!$C$13+Setup!$G$22),Setup!$C$39:$C$50))+(439*100+3)/10000000)))</f>
        <v/>
      </c>
      <c r="U444" t="str">
        <f>IF(E444="","",IF(E444&lt;Setup!$C$5-Setup!$C$6,"",IF(IF(ISNUMBER(Roster!$D444),Setup!$C$23&lt;=Roster!$D444,FALSE),"",IF(OR(IF(Setup!$C$15&lt;=Setup!$C$16,AND(MONTH(E444)&gt;=Setup!$C$15,MONTH(E444)&lt;=Setup!$C$16),OR(MONTH(E444)&gt;=Setup!$C$15,MONTH(E444)&lt;=Setup!$C$16)),IF(Setup!$C$15&lt;=Setup!$C$16,AND(MONTH(WORKDAY(E444,-(Setup!$C$13+Setup!$G$23),Setup!$C$39:$C$50))&gt;=Setup!$C$15,MONTH(WORKDAY(E444,-(Setup!$C$13+Setup!$G$23),Setup!$C$39:$C$50))&lt;=Setup!$C$16),OR(MONTH(WORKDAY(E444,-(Setup!$C$13+Setup!$G$23),Setup!$C$39:$C$50))&gt;=Setup!$C$15,MONTH(WORKDAY(E444,-(Setup!$C$13+Setup!$G$23),Setup!$C$39:$C$50))&lt;=Setup!$C$16))),WORKDAY(E444,-(Setup!$C$13+Setup!$G$23+Setup!$C$14),Setup!$C$39:$C$50),WORKDAY(E444,-(Setup!$C$13+Setup!$G$23),Setup!$C$39:$C$50))+(439*100+4)/10000000)))</f>
        <v/>
      </c>
      <c r="V444" t="str">
        <f>IF(F444="","",IF(F444&lt;Setup!$C$5-Setup!$C$6,"",IF(IF(ISNUMBER(Roster!$D444),Setup!$C$24&lt;=Roster!$D444,FALSE),"",IF(OR(IF(Setup!$C$15&lt;=Setup!$C$16,AND(MONTH(F444)&gt;=Setup!$C$15,MONTH(F444)&lt;=Setup!$C$16),OR(MONTH(F444)&gt;=Setup!$C$15,MONTH(F444)&lt;=Setup!$C$16)),IF(Setup!$C$15&lt;=Setup!$C$16,AND(MONTH(WORKDAY(F444,-(Setup!$C$13+Setup!$G$24),Setup!$C$39:$C$50))&gt;=Setup!$C$15,MONTH(WORKDAY(F444,-(Setup!$C$13+Setup!$G$24),Setup!$C$39:$C$50))&lt;=Setup!$C$16),OR(MONTH(WORKDAY(F444,-(Setup!$C$13+Setup!$G$24),Setup!$C$39:$C$50))&gt;=Setup!$C$15,MONTH(WORKDAY(F444,-(Setup!$C$13+Setup!$G$24),Setup!$C$39:$C$50))&lt;=Setup!$C$16))),WORKDAY(F444,-(Setup!$C$13+Setup!$G$24+Setup!$C$14),Setup!$C$39:$C$50),WORKDAY(F444,-(Setup!$C$13+Setup!$G$24),Setup!$C$39:$C$50))+(439*100+5)/10000000)))</f>
        <v/>
      </c>
      <c r="W444" t="str">
        <f>IF(G444="","",IF(G444&lt;Setup!$C$5-Setup!$C$6,"",IF(IF(ISNUMBER(Roster!$D444),Setup!$C$25&lt;=Roster!$D444,FALSE),"",IF(OR(IF(Setup!$C$15&lt;=Setup!$C$16,AND(MONTH(G444)&gt;=Setup!$C$15,MONTH(G444)&lt;=Setup!$C$16),OR(MONTH(G444)&gt;=Setup!$C$15,MONTH(G444)&lt;=Setup!$C$16)),IF(Setup!$C$15&lt;=Setup!$C$16,AND(MONTH(WORKDAY(G444,-(Setup!$C$13+Setup!$G$25),Setup!$C$39:$C$50))&gt;=Setup!$C$15,MONTH(WORKDAY(G444,-(Setup!$C$13+Setup!$G$25),Setup!$C$39:$C$50))&lt;=Setup!$C$16),OR(MONTH(WORKDAY(G444,-(Setup!$C$13+Setup!$G$25),Setup!$C$39:$C$50))&gt;=Setup!$C$15,MONTH(WORKDAY(G444,-(Setup!$C$13+Setup!$G$25),Setup!$C$39:$C$50))&lt;=Setup!$C$16))),WORKDAY(G444,-(Setup!$C$13+Setup!$G$25+Setup!$C$14),Setup!$C$39:$C$50),WORKDAY(G444,-(Setup!$C$13+Setup!$G$25),Setup!$C$39:$C$50))+(439*100+6)/10000000)))</f>
        <v/>
      </c>
      <c r="X444" t="str">
        <f>IF(H444="","",IF(H444&lt;Setup!$C$5-Setup!$C$6,"",IF(IF(ISNUMBER(Roster!$D444),Setup!$C$26&lt;=Roster!$D444,FALSE),"",IF(OR(IF(Setup!$C$15&lt;=Setup!$C$16,AND(MONTH(H444)&gt;=Setup!$C$15,MONTH(H444)&lt;=Setup!$C$16),OR(MONTH(H444)&gt;=Setup!$C$15,MONTH(H444)&lt;=Setup!$C$16)),IF(Setup!$C$15&lt;=Setup!$C$16,AND(MONTH(WORKDAY(H444,-(Setup!$C$13+Setup!$G$26),Setup!$C$39:$C$50))&gt;=Setup!$C$15,MONTH(WORKDAY(H444,-(Setup!$C$13+Setup!$G$26),Setup!$C$39:$C$50))&lt;=Setup!$C$16),OR(MONTH(WORKDAY(H444,-(Setup!$C$13+Setup!$G$26),Setup!$C$39:$C$50))&gt;=Setup!$C$15,MONTH(WORKDAY(H444,-(Setup!$C$13+Setup!$G$26),Setup!$C$39:$C$50))&lt;=Setup!$C$16))),WORKDAY(H444,-(Setup!$C$13+Setup!$G$26+Setup!$C$14),Setup!$C$39:$C$50),WORKDAY(H444,-(Setup!$C$13+Setup!$G$26),Setup!$C$39:$C$50))+(439*100+7)/10000000)))</f>
        <v/>
      </c>
      <c r="Y444" t="str">
        <f>IF(I444="","",IF(I444&lt;Setup!$C$5-Setup!$C$6,"",IF(IF(ISNUMBER(Roster!$D444),Setup!$C$27&lt;=Roster!$D444,FALSE),"",IF(OR(IF(Setup!$C$15&lt;=Setup!$C$16,AND(MONTH(I444)&gt;=Setup!$C$15,MONTH(I444)&lt;=Setup!$C$16),OR(MONTH(I444)&gt;=Setup!$C$15,MONTH(I444)&lt;=Setup!$C$16)),IF(Setup!$C$15&lt;=Setup!$C$16,AND(MONTH(WORKDAY(I444,-(Setup!$C$13+Setup!$G$27),Setup!$C$39:$C$50))&gt;=Setup!$C$15,MONTH(WORKDAY(I444,-(Setup!$C$13+Setup!$G$27),Setup!$C$39:$C$50))&lt;=Setup!$C$16),OR(MONTH(WORKDAY(I444,-(Setup!$C$13+Setup!$G$27),Setup!$C$39:$C$50))&gt;=Setup!$C$15,MONTH(WORKDAY(I444,-(Setup!$C$13+Setup!$G$27),Setup!$C$39:$C$50))&lt;=Setup!$C$16))),WORKDAY(I444,-(Setup!$C$13+Setup!$G$27+Setup!$C$14),Setup!$C$39:$C$50),WORKDAY(I444,-(Setup!$C$13+Setup!$G$27),Setup!$C$39:$C$50))+(439*100+8)/10000000)))</f>
        <v/>
      </c>
      <c r="Z444" t="str">
        <f>IF(J444="","",IF(J444&lt;Setup!$C$5-Setup!$C$6,"",IF(IF(ISNUMBER(Roster!$D444),Setup!$C$28&lt;=Roster!$D444,FALSE),"",IF(OR(IF(Setup!$C$15&lt;=Setup!$C$16,AND(MONTH(J444)&gt;=Setup!$C$15,MONTH(J444)&lt;=Setup!$C$16),OR(MONTH(J444)&gt;=Setup!$C$15,MONTH(J444)&lt;=Setup!$C$16)),IF(Setup!$C$15&lt;=Setup!$C$16,AND(MONTH(WORKDAY(J444,-(Setup!$C$13+Setup!$G$28),Setup!$C$39:$C$50))&gt;=Setup!$C$15,MONTH(WORKDAY(J444,-(Setup!$C$13+Setup!$G$28),Setup!$C$39:$C$50))&lt;=Setup!$C$16),OR(MONTH(WORKDAY(J444,-(Setup!$C$13+Setup!$G$28),Setup!$C$39:$C$50))&gt;=Setup!$C$15,MONTH(WORKDAY(J444,-(Setup!$C$13+Setup!$G$28),Setup!$C$39:$C$50))&lt;=Setup!$C$16))),WORKDAY(J444,-(Setup!$C$13+Setup!$G$28+Setup!$C$14),Setup!$C$39:$C$50),WORKDAY(J444,-(Setup!$C$13+Setup!$G$28),Setup!$C$39:$C$50))+(439*100+9)/10000000)))</f>
        <v/>
      </c>
      <c r="AA444" t="str">
        <f>IF(K444="","",IF(K444&lt;Setup!$C$5-Setup!$C$6,"",IF(IF(ISNUMBER(Roster!$D444),Setup!$C$29&lt;=Roster!$D444,FALSE),"",IF(OR(IF(Setup!$C$15&lt;=Setup!$C$16,AND(MONTH(K444)&gt;=Setup!$C$15,MONTH(K444)&lt;=Setup!$C$16),OR(MONTH(K444)&gt;=Setup!$C$15,MONTH(K444)&lt;=Setup!$C$16)),IF(Setup!$C$15&lt;=Setup!$C$16,AND(MONTH(WORKDAY(K444,-(Setup!$C$13+Setup!$G$29),Setup!$C$39:$C$50))&gt;=Setup!$C$15,MONTH(WORKDAY(K444,-(Setup!$C$13+Setup!$G$29),Setup!$C$39:$C$50))&lt;=Setup!$C$16),OR(MONTH(WORKDAY(K444,-(Setup!$C$13+Setup!$G$29),Setup!$C$39:$C$50))&gt;=Setup!$C$15,MONTH(WORKDAY(K444,-(Setup!$C$13+Setup!$G$29),Setup!$C$39:$C$50))&lt;=Setup!$C$16))),WORKDAY(K444,-(Setup!$C$13+Setup!$G$29+Setup!$C$14),Setup!$C$39:$C$50),WORKDAY(K444,-(Setup!$C$13+Setup!$G$29),Setup!$C$39:$C$50))+(439*100+10)/10000000)))</f>
        <v/>
      </c>
      <c r="AB444" t="str">
        <f>IF(L444="","",IF(L444&lt;Setup!$C$5-Setup!$C$6,"",IF(IF(ISNUMBER(Roster!$D444),Setup!$C$30&lt;=Roster!$D444,FALSE),"",IF(OR(IF(Setup!$C$15&lt;=Setup!$C$16,AND(MONTH(L444)&gt;=Setup!$C$15,MONTH(L444)&lt;=Setup!$C$16),OR(MONTH(L444)&gt;=Setup!$C$15,MONTH(L444)&lt;=Setup!$C$16)),IF(Setup!$C$15&lt;=Setup!$C$16,AND(MONTH(WORKDAY(L444,-(Setup!$C$13+Setup!$G$30),Setup!$C$39:$C$50))&gt;=Setup!$C$15,MONTH(WORKDAY(L444,-(Setup!$C$13+Setup!$G$30),Setup!$C$39:$C$50))&lt;=Setup!$C$16),OR(MONTH(WORKDAY(L444,-(Setup!$C$13+Setup!$G$30),Setup!$C$39:$C$50))&gt;=Setup!$C$15,MONTH(WORKDAY(L444,-(Setup!$C$13+Setup!$G$30),Setup!$C$39:$C$50))&lt;=Setup!$C$16))),WORKDAY(L444,-(Setup!$C$13+Setup!$G$30+Setup!$C$14),Setup!$C$39:$C$50),WORKDAY(L444,-(Setup!$C$13+Setup!$G$30),Setup!$C$39:$C$50))+(439*100+11)/10000000)))</f>
        <v/>
      </c>
      <c r="AC444" t="str">
        <f>IF(M444="","",IF(M444&lt;Setup!$C$5-Setup!$C$6,"",IF(IF(ISNUMBER(Roster!$D444),Setup!$C$31&lt;=Roster!$D444,FALSE),"",IF(OR(IF(Setup!$C$15&lt;=Setup!$C$16,AND(MONTH(M444)&gt;=Setup!$C$15,MONTH(M444)&lt;=Setup!$C$16),OR(MONTH(M444)&gt;=Setup!$C$15,MONTH(M444)&lt;=Setup!$C$16)),IF(Setup!$C$15&lt;=Setup!$C$16,AND(MONTH(WORKDAY(M444,-(Setup!$C$13+Setup!$G$31),Setup!$C$39:$C$50))&gt;=Setup!$C$15,MONTH(WORKDAY(M444,-(Setup!$C$13+Setup!$G$31),Setup!$C$39:$C$50))&lt;=Setup!$C$16),OR(MONTH(WORKDAY(M444,-(Setup!$C$13+Setup!$G$31),Setup!$C$39:$C$50))&gt;=Setup!$C$15,MONTH(WORKDAY(M444,-(Setup!$C$13+Setup!$G$31),Setup!$C$39:$C$50))&lt;=Setup!$C$16))),WORKDAY(M444,-(Setup!$C$13+Setup!$G$31+Setup!$C$14),Setup!$C$39:$C$50),WORKDAY(M444,-(Setup!$C$13+Setup!$G$31),Setup!$C$39:$C$50))+(439*100+12)/10000000)))</f>
        <v/>
      </c>
      <c r="AD444" t="str">
        <f>IF(N444="","",IF(N444&lt;Setup!$C$5-Setup!$C$6,"",IF(IF(ISNUMBER(Roster!$D444),Setup!$C$32&lt;=Roster!$D444,FALSE),"",IF(OR(IF(Setup!$C$15&lt;=Setup!$C$16,AND(MONTH(N444)&gt;=Setup!$C$15,MONTH(N444)&lt;=Setup!$C$16),OR(MONTH(N444)&gt;=Setup!$C$15,MONTH(N444)&lt;=Setup!$C$16)),IF(Setup!$C$15&lt;=Setup!$C$16,AND(MONTH(WORKDAY(N444,-(Setup!$C$13+Setup!$G$32),Setup!$C$39:$C$50))&gt;=Setup!$C$15,MONTH(WORKDAY(N444,-(Setup!$C$13+Setup!$G$32),Setup!$C$39:$C$50))&lt;=Setup!$C$16),OR(MONTH(WORKDAY(N444,-(Setup!$C$13+Setup!$G$32),Setup!$C$39:$C$50))&gt;=Setup!$C$15,MONTH(WORKDAY(N444,-(Setup!$C$13+Setup!$G$32),Setup!$C$39:$C$50))&lt;=Setup!$C$16))),WORKDAY(N444,-(Setup!$C$13+Setup!$G$32+Setup!$C$14),Setup!$C$39:$C$50),WORKDAY(N444,-(Setup!$C$13+Setup!$G$32),Setup!$C$39:$C$50))+(439*100+13)/10000000)))</f>
        <v/>
      </c>
      <c r="AE444" t="str">
        <f>IF(O444="","",IF(O444&lt;Setup!$C$5-Setup!$C$6,"",IF(IF(ISNUMBER(Roster!$D444),Setup!$C$33&lt;=Roster!$D444,FALSE),"",IF(OR(IF(Setup!$C$15&lt;=Setup!$C$16,AND(MONTH(O444)&gt;=Setup!$C$15,MONTH(O444)&lt;=Setup!$C$16),OR(MONTH(O444)&gt;=Setup!$C$15,MONTH(O444)&lt;=Setup!$C$16)),IF(Setup!$C$15&lt;=Setup!$C$16,AND(MONTH(WORKDAY(O444,-(Setup!$C$13+Setup!$G$33),Setup!$C$39:$C$50))&gt;=Setup!$C$15,MONTH(WORKDAY(O444,-(Setup!$C$13+Setup!$G$33),Setup!$C$39:$C$50))&lt;=Setup!$C$16),OR(MONTH(WORKDAY(O444,-(Setup!$C$13+Setup!$G$33),Setup!$C$39:$C$50))&gt;=Setup!$C$15,MONTH(WORKDAY(O444,-(Setup!$C$13+Setup!$G$33),Setup!$C$39:$C$50))&lt;=Setup!$C$16))),WORKDAY(O444,-(Setup!$C$13+Setup!$G$33+Setup!$C$14),Setup!$C$39:$C$50),WORKDAY(O444,-(Setup!$C$13+Setup!$G$33),Setup!$C$39:$C$50))+(439*100+14)/10000000)))</f>
        <v/>
      </c>
      <c r="AF444" t="str">
        <f>IF(P444="","",IF(P444&lt;Setup!$C$5-Setup!$C$6,"",IF(IF(ISNUMBER(Roster!$D444),Setup!$C$34&lt;=Roster!$D444,FALSE),"",IF(OR(IF(Setup!$C$15&lt;=Setup!$C$16,AND(MONTH(P444)&gt;=Setup!$C$15,MONTH(P444)&lt;=Setup!$C$16),OR(MONTH(P444)&gt;=Setup!$C$15,MONTH(P444)&lt;=Setup!$C$16)),IF(Setup!$C$15&lt;=Setup!$C$16,AND(MONTH(WORKDAY(P444,-(Setup!$C$13+Setup!$G$34),Setup!$C$39:$C$50))&gt;=Setup!$C$15,MONTH(WORKDAY(P444,-(Setup!$C$13+Setup!$G$34),Setup!$C$39:$C$50))&lt;=Setup!$C$16),OR(MONTH(WORKDAY(P444,-(Setup!$C$13+Setup!$G$34),Setup!$C$39:$C$50))&gt;=Setup!$C$15,MONTH(WORKDAY(P444,-(Setup!$C$13+Setup!$G$34),Setup!$C$39:$C$50))&lt;=Setup!$C$16))),WORKDAY(P444,-(Setup!$C$13+Setup!$G$34+Setup!$C$14),Setup!$C$39:$C$50),WORKDAY(P444,-(Setup!$C$13+Setup!$G$34),Setup!$C$39:$C$50))+(439*100+15)/10000000)))</f>
        <v/>
      </c>
      <c r="AH444" t="str">
        <f t="shared" si="46"/>
        <v/>
      </c>
      <c r="AI444" t="str">
        <f t="shared" si="47"/>
        <v/>
      </c>
      <c r="AP444" t="str">
        <f>IF(ISNUMBER(Roster!$B444),MAX(1,YEAR(Setup!$C$5)-YEAR(Roster!$B444)+IF(EDATE(Roster!$B444,12*(YEAR(Setup!$C$5)-YEAR(Roster!$B444)))&lt;Setup!$C$5,1,0)),"")</f>
        <v/>
      </c>
      <c r="AQ444" s="32" t="str">
        <f>IF(AP444="","",EDATE(Roster!$B444,12*AP444))</f>
        <v/>
      </c>
      <c r="AR444" t="str">
        <f>IF(AQ444="","",IF(AQ444&lt;DATE(YEAR(Setup!$C$5)+1,MONTH(Setup!$C$5),DAY(Setup!$C$5)),AQ444+439/1000,""))</f>
        <v/>
      </c>
      <c r="AS444" t="str">
        <f t="shared" si="48"/>
        <v/>
      </c>
      <c r="AT444" t="str">
        <f>IF(AS444="","",IF(ISNUMBER(Roster!$D444),Roster!$D444&gt;=AP444,FALSE))</f>
        <v/>
      </c>
      <c r="AU444" t="str">
        <f t="shared" si="49"/>
        <v/>
      </c>
      <c r="AV444" t="str">
        <f ca="1">IF(439&gt;$AV$2,"",SMALL($AR$6:$AR$505,439))</f>
        <v/>
      </c>
      <c r="AW444" t="str">
        <f t="shared" ca="1" si="50"/>
        <v/>
      </c>
    </row>
    <row r="445" spans="2:49" x14ac:dyDescent="0.2">
      <c r="B445" s="32" t="str">
        <f>IF(AND(ISNUMBER(Roster!$B445),Setup!$B$20="Yes",ISNUMBER(Setup!$C$20)),EDATE(Roster!$B445,12*Setup!$C$20),"")</f>
        <v/>
      </c>
      <c r="C445" s="32" t="str">
        <f>IF(AND(ISNUMBER(Roster!$B445),Setup!$B$21="Yes",ISNUMBER(Setup!$C$21)),EDATE(Roster!$B445,12*Setup!$C$21),"")</f>
        <v/>
      </c>
      <c r="D445" s="32" t="str">
        <f>IF(AND(ISNUMBER(Roster!$B445),Setup!$B$22="Yes",ISNUMBER(Setup!$C$22)),EDATE(Roster!$B445,12*Setup!$C$22),"")</f>
        <v/>
      </c>
      <c r="E445" s="32" t="str">
        <f>IF(AND(ISNUMBER(Roster!$B445),Setup!$B$23="Yes",ISNUMBER(Setup!$C$23)),EDATE(Roster!$B445,12*Setup!$C$23),"")</f>
        <v/>
      </c>
      <c r="F445" s="32" t="str">
        <f>IF(AND(ISNUMBER(Roster!$B445),Setup!$B$24="Yes",ISNUMBER(Setup!$C$24)),EDATE(Roster!$B445,12*Setup!$C$24),"")</f>
        <v/>
      </c>
      <c r="G445" s="32" t="str">
        <f>IF(AND(ISNUMBER(Roster!$B445),Setup!$B$25="Yes",ISNUMBER(Setup!$C$25)),EDATE(Roster!$B445,12*Setup!$C$25),"")</f>
        <v/>
      </c>
      <c r="H445" s="32" t="str">
        <f>IF(AND(ISNUMBER(Roster!$B445),Setup!$B$26="Yes",ISNUMBER(Setup!$C$26)),EDATE(Roster!$B445,12*Setup!$C$26),"")</f>
        <v/>
      </c>
      <c r="I445" s="32" t="str">
        <f>IF(AND(ISNUMBER(Roster!$B445),Setup!$B$27="Yes",ISNUMBER(Setup!$C$27)),EDATE(Roster!$B445,12*Setup!$C$27),"")</f>
        <v/>
      </c>
      <c r="J445" s="32" t="str">
        <f>IF(AND(ISNUMBER(Roster!$B445),Setup!$B$28="Yes",ISNUMBER(Setup!$C$28)),EDATE(Roster!$B445,12*Setup!$C$28),"")</f>
        <v/>
      </c>
      <c r="K445" s="32" t="str">
        <f>IF(AND(ISNUMBER(Roster!$B445),Setup!$B$29="Yes",ISNUMBER(Setup!$C$29)),EDATE(Roster!$B445,12*Setup!$C$29),"")</f>
        <v/>
      </c>
      <c r="L445" s="32" t="str">
        <f>IF(AND(ISNUMBER(Roster!$B445),Setup!$B$30="Yes",ISNUMBER(Setup!$C$30)),EDATE(Roster!$B445,12*Setup!$C$30),"")</f>
        <v/>
      </c>
      <c r="M445" s="32" t="str">
        <f>IF(AND(ISNUMBER(Roster!$B445),Setup!$B$31="Yes",ISNUMBER(Setup!$C$31)),EDATE(Roster!$B445,12*Setup!$C$31),"")</f>
        <v/>
      </c>
      <c r="N445" s="32" t="str">
        <f>IF(AND(ISNUMBER(Roster!$B445),Setup!$B$32="Yes",ISNUMBER(Setup!$C$32)),EDATE(Roster!$B445,12*Setup!$C$32),"")</f>
        <v/>
      </c>
      <c r="O445" s="32" t="str">
        <f>IF(AND(ISNUMBER(Roster!$B445),Setup!$B$33="Yes",ISNUMBER(Setup!$C$33)),EDATE(Roster!$B445,12*Setup!$C$33),"")</f>
        <v/>
      </c>
      <c r="P445" s="32" t="str">
        <f>IF(AND(ISNUMBER(Roster!$B445),Setup!$B$34="Yes",ISNUMBER(Setup!$C$34)),EDATE(Roster!$B445,12*Setup!$C$34),"")</f>
        <v/>
      </c>
      <c r="R445" t="str">
        <f>IF(B445="","",IF(B445&lt;Setup!$C$5-Setup!$C$6,"",IF(IF(ISNUMBER(Roster!$D445),Setup!$C$20&lt;=Roster!$D445,FALSE),"",IF(OR(IF(Setup!$C$15&lt;=Setup!$C$16,AND(MONTH(B445)&gt;=Setup!$C$15,MONTH(B445)&lt;=Setup!$C$16),OR(MONTH(B445)&gt;=Setup!$C$15,MONTH(B445)&lt;=Setup!$C$16)),IF(Setup!$C$15&lt;=Setup!$C$16,AND(MONTH(WORKDAY(B445,-(Setup!$C$13+Setup!$G$20),Setup!$C$39:$C$50))&gt;=Setup!$C$15,MONTH(WORKDAY(B445,-(Setup!$C$13+Setup!$G$20),Setup!$C$39:$C$50))&lt;=Setup!$C$16),OR(MONTH(WORKDAY(B445,-(Setup!$C$13+Setup!$G$20),Setup!$C$39:$C$50))&gt;=Setup!$C$15,MONTH(WORKDAY(B445,-(Setup!$C$13+Setup!$G$20),Setup!$C$39:$C$50))&lt;=Setup!$C$16))),WORKDAY(B445,-(Setup!$C$13+Setup!$G$20+Setup!$C$14),Setup!$C$39:$C$50),WORKDAY(B445,-(Setup!$C$13+Setup!$G$20),Setup!$C$39:$C$50))+(440*100+1)/10000000)))</f>
        <v/>
      </c>
      <c r="S445" t="str">
        <f>IF(C445="","",IF(C445&lt;Setup!$C$5-Setup!$C$6,"",IF(IF(ISNUMBER(Roster!$D445),Setup!$C$21&lt;=Roster!$D445,FALSE),"",IF(OR(IF(Setup!$C$15&lt;=Setup!$C$16,AND(MONTH(C445)&gt;=Setup!$C$15,MONTH(C445)&lt;=Setup!$C$16),OR(MONTH(C445)&gt;=Setup!$C$15,MONTH(C445)&lt;=Setup!$C$16)),IF(Setup!$C$15&lt;=Setup!$C$16,AND(MONTH(WORKDAY(C445,-(Setup!$C$13+Setup!$G$21),Setup!$C$39:$C$50))&gt;=Setup!$C$15,MONTH(WORKDAY(C445,-(Setup!$C$13+Setup!$G$21),Setup!$C$39:$C$50))&lt;=Setup!$C$16),OR(MONTH(WORKDAY(C445,-(Setup!$C$13+Setup!$G$21),Setup!$C$39:$C$50))&gt;=Setup!$C$15,MONTH(WORKDAY(C445,-(Setup!$C$13+Setup!$G$21),Setup!$C$39:$C$50))&lt;=Setup!$C$16))),WORKDAY(C445,-(Setup!$C$13+Setup!$G$21+Setup!$C$14),Setup!$C$39:$C$50),WORKDAY(C445,-(Setup!$C$13+Setup!$G$21),Setup!$C$39:$C$50))+(440*100+2)/10000000)))</f>
        <v/>
      </c>
      <c r="T445" t="str">
        <f>IF(D445="","",IF(D445&lt;Setup!$C$5-Setup!$C$6,"",IF(IF(ISNUMBER(Roster!$D445),Setup!$C$22&lt;=Roster!$D445,FALSE),"",IF(OR(IF(Setup!$C$15&lt;=Setup!$C$16,AND(MONTH(D445)&gt;=Setup!$C$15,MONTH(D445)&lt;=Setup!$C$16),OR(MONTH(D445)&gt;=Setup!$C$15,MONTH(D445)&lt;=Setup!$C$16)),IF(Setup!$C$15&lt;=Setup!$C$16,AND(MONTH(WORKDAY(D445,-(Setup!$C$13+Setup!$G$22),Setup!$C$39:$C$50))&gt;=Setup!$C$15,MONTH(WORKDAY(D445,-(Setup!$C$13+Setup!$G$22),Setup!$C$39:$C$50))&lt;=Setup!$C$16),OR(MONTH(WORKDAY(D445,-(Setup!$C$13+Setup!$G$22),Setup!$C$39:$C$50))&gt;=Setup!$C$15,MONTH(WORKDAY(D445,-(Setup!$C$13+Setup!$G$22),Setup!$C$39:$C$50))&lt;=Setup!$C$16))),WORKDAY(D445,-(Setup!$C$13+Setup!$G$22+Setup!$C$14),Setup!$C$39:$C$50),WORKDAY(D445,-(Setup!$C$13+Setup!$G$22),Setup!$C$39:$C$50))+(440*100+3)/10000000)))</f>
        <v/>
      </c>
      <c r="U445" t="str">
        <f>IF(E445="","",IF(E445&lt;Setup!$C$5-Setup!$C$6,"",IF(IF(ISNUMBER(Roster!$D445),Setup!$C$23&lt;=Roster!$D445,FALSE),"",IF(OR(IF(Setup!$C$15&lt;=Setup!$C$16,AND(MONTH(E445)&gt;=Setup!$C$15,MONTH(E445)&lt;=Setup!$C$16),OR(MONTH(E445)&gt;=Setup!$C$15,MONTH(E445)&lt;=Setup!$C$16)),IF(Setup!$C$15&lt;=Setup!$C$16,AND(MONTH(WORKDAY(E445,-(Setup!$C$13+Setup!$G$23),Setup!$C$39:$C$50))&gt;=Setup!$C$15,MONTH(WORKDAY(E445,-(Setup!$C$13+Setup!$G$23),Setup!$C$39:$C$50))&lt;=Setup!$C$16),OR(MONTH(WORKDAY(E445,-(Setup!$C$13+Setup!$G$23),Setup!$C$39:$C$50))&gt;=Setup!$C$15,MONTH(WORKDAY(E445,-(Setup!$C$13+Setup!$G$23),Setup!$C$39:$C$50))&lt;=Setup!$C$16))),WORKDAY(E445,-(Setup!$C$13+Setup!$G$23+Setup!$C$14),Setup!$C$39:$C$50),WORKDAY(E445,-(Setup!$C$13+Setup!$G$23),Setup!$C$39:$C$50))+(440*100+4)/10000000)))</f>
        <v/>
      </c>
      <c r="V445" t="str">
        <f>IF(F445="","",IF(F445&lt;Setup!$C$5-Setup!$C$6,"",IF(IF(ISNUMBER(Roster!$D445),Setup!$C$24&lt;=Roster!$D445,FALSE),"",IF(OR(IF(Setup!$C$15&lt;=Setup!$C$16,AND(MONTH(F445)&gt;=Setup!$C$15,MONTH(F445)&lt;=Setup!$C$16),OR(MONTH(F445)&gt;=Setup!$C$15,MONTH(F445)&lt;=Setup!$C$16)),IF(Setup!$C$15&lt;=Setup!$C$16,AND(MONTH(WORKDAY(F445,-(Setup!$C$13+Setup!$G$24),Setup!$C$39:$C$50))&gt;=Setup!$C$15,MONTH(WORKDAY(F445,-(Setup!$C$13+Setup!$G$24),Setup!$C$39:$C$50))&lt;=Setup!$C$16),OR(MONTH(WORKDAY(F445,-(Setup!$C$13+Setup!$G$24),Setup!$C$39:$C$50))&gt;=Setup!$C$15,MONTH(WORKDAY(F445,-(Setup!$C$13+Setup!$G$24),Setup!$C$39:$C$50))&lt;=Setup!$C$16))),WORKDAY(F445,-(Setup!$C$13+Setup!$G$24+Setup!$C$14),Setup!$C$39:$C$50),WORKDAY(F445,-(Setup!$C$13+Setup!$G$24),Setup!$C$39:$C$50))+(440*100+5)/10000000)))</f>
        <v/>
      </c>
      <c r="W445" t="str">
        <f>IF(G445="","",IF(G445&lt;Setup!$C$5-Setup!$C$6,"",IF(IF(ISNUMBER(Roster!$D445),Setup!$C$25&lt;=Roster!$D445,FALSE),"",IF(OR(IF(Setup!$C$15&lt;=Setup!$C$16,AND(MONTH(G445)&gt;=Setup!$C$15,MONTH(G445)&lt;=Setup!$C$16),OR(MONTH(G445)&gt;=Setup!$C$15,MONTH(G445)&lt;=Setup!$C$16)),IF(Setup!$C$15&lt;=Setup!$C$16,AND(MONTH(WORKDAY(G445,-(Setup!$C$13+Setup!$G$25),Setup!$C$39:$C$50))&gt;=Setup!$C$15,MONTH(WORKDAY(G445,-(Setup!$C$13+Setup!$G$25),Setup!$C$39:$C$50))&lt;=Setup!$C$16),OR(MONTH(WORKDAY(G445,-(Setup!$C$13+Setup!$G$25),Setup!$C$39:$C$50))&gt;=Setup!$C$15,MONTH(WORKDAY(G445,-(Setup!$C$13+Setup!$G$25),Setup!$C$39:$C$50))&lt;=Setup!$C$16))),WORKDAY(G445,-(Setup!$C$13+Setup!$G$25+Setup!$C$14),Setup!$C$39:$C$50),WORKDAY(G445,-(Setup!$C$13+Setup!$G$25),Setup!$C$39:$C$50))+(440*100+6)/10000000)))</f>
        <v/>
      </c>
      <c r="X445" t="str">
        <f>IF(H445="","",IF(H445&lt;Setup!$C$5-Setup!$C$6,"",IF(IF(ISNUMBER(Roster!$D445),Setup!$C$26&lt;=Roster!$D445,FALSE),"",IF(OR(IF(Setup!$C$15&lt;=Setup!$C$16,AND(MONTH(H445)&gt;=Setup!$C$15,MONTH(H445)&lt;=Setup!$C$16),OR(MONTH(H445)&gt;=Setup!$C$15,MONTH(H445)&lt;=Setup!$C$16)),IF(Setup!$C$15&lt;=Setup!$C$16,AND(MONTH(WORKDAY(H445,-(Setup!$C$13+Setup!$G$26),Setup!$C$39:$C$50))&gt;=Setup!$C$15,MONTH(WORKDAY(H445,-(Setup!$C$13+Setup!$G$26),Setup!$C$39:$C$50))&lt;=Setup!$C$16),OR(MONTH(WORKDAY(H445,-(Setup!$C$13+Setup!$G$26),Setup!$C$39:$C$50))&gt;=Setup!$C$15,MONTH(WORKDAY(H445,-(Setup!$C$13+Setup!$G$26),Setup!$C$39:$C$50))&lt;=Setup!$C$16))),WORKDAY(H445,-(Setup!$C$13+Setup!$G$26+Setup!$C$14),Setup!$C$39:$C$50),WORKDAY(H445,-(Setup!$C$13+Setup!$G$26),Setup!$C$39:$C$50))+(440*100+7)/10000000)))</f>
        <v/>
      </c>
      <c r="Y445" t="str">
        <f>IF(I445="","",IF(I445&lt;Setup!$C$5-Setup!$C$6,"",IF(IF(ISNUMBER(Roster!$D445),Setup!$C$27&lt;=Roster!$D445,FALSE),"",IF(OR(IF(Setup!$C$15&lt;=Setup!$C$16,AND(MONTH(I445)&gt;=Setup!$C$15,MONTH(I445)&lt;=Setup!$C$16),OR(MONTH(I445)&gt;=Setup!$C$15,MONTH(I445)&lt;=Setup!$C$16)),IF(Setup!$C$15&lt;=Setup!$C$16,AND(MONTH(WORKDAY(I445,-(Setup!$C$13+Setup!$G$27),Setup!$C$39:$C$50))&gt;=Setup!$C$15,MONTH(WORKDAY(I445,-(Setup!$C$13+Setup!$G$27),Setup!$C$39:$C$50))&lt;=Setup!$C$16),OR(MONTH(WORKDAY(I445,-(Setup!$C$13+Setup!$G$27),Setup!$C$39:$C$50))&gt;=Setup!$C$15,MONTH(WORKDAY(I445,-(Setup!$C$13+Setup!$G$27),Setup!$C$39:$C$50))&lt;=Setup!$C$16))),WORKDAY(I445,-(Setup!$C$13+Setup!$G$27+Setup!$C$14),Setup!$C$39:$C$50),WORKDAY(I445,-(Setup!$C$13+Setup!$G$27),Setup!$C$39:$C$50))+(440*100+8)/10000000)))</f>
        <v/>
      </c>
      <c r="Z445" t="str">
        <f>IF(J445="","",IF(J445&lt;Setup!$C$5-Setup!$C$6,"",IF(IF(ISNUMBER(Roster!$D445),Setup!$C$28&lt;=Roster!$D445,FALSE),"",IF(OR(IF(Setup!$C$15&lt;=Setup!$C$16,AND(MONTH(J445)&gt;=Setup!$C$15,MONTH(J445)&lt;=Setup!$C$16),OR(MONTH(J445)&gt;=Setup!$C$15,MONTH(J445)&lt;=Setup!$C$16)),IF(Setup!$C$15&lt;=Setup!$C$16,AND(MONTH(WORKDAY(J445,-(Setup!$C$13+Setup!$G$28),Setup!$C$39:$C$50))&gt;=Setup!$C$15,MONTH(WORKDAY(J445,-(Setup!$C$13+Setup!$G$28),Setup!$C$39:$C$50))&lt;=Setup!$C$16),OR(MONTH(WORKDAY(J445,-(Setup!$C$13+Setup!$G$28),Setup!$C$39:$C$50))&gt;=Setup!$C$15,MONTH(WORKDAY(J445,-(Setup!$C$13+Setup!$G$28),Setup!$C$39:$C$50))&lt;=Setup!$C$16))),WORKDAY(J445,-(Setup!$C$13+Setup!$G$28+Setup!$C$14),Setup!$C$39:$C$50),WORKDAY(J445,-(Setup!$C$13+Setup!$G$28),Setup!$C$39:$C$50))+(440*100+9)/10000000)))</f>
        <v/>
      </c>
      <c r="AA445" t="str">
        <f>IF(K445="","",IF(K445&lt;Setup!$C$5-Setup!$C$6,"",IF(IF(ISNUMBER(Roster!$D445),Setup!$C$29&lt;=Roster!$D445,FALSE),"",IF(OR(IF(Setup!$C$15&lt;=Setup!$C$16,AND(MONTH(K445)&gt;=Setup!$C$15,MONTH(K445)&lt;=Setup!$C$16),OR(MONTH(K445)&gt;=Setup!$C$15,MONTH(K445)&lt;=Setup!$C$16)),IF(Setup!$C$15&lt;=Setup!$C$16,AND(MONTH(WORKDAY(K445,-(Setup!$C$13+Setup!$G$29),Setup!$C$39:$C$50))&gt;=Setup!$C$15,MONTH(WORKDAY(K445,-(Setup!$C$13+Setup!$G$29),Setup!$C$39:$C$50))&lt;=Setup!$C$16),OR(MONTH(WORKDAY(K445,-(Setup!$C$13+Setup!$G$29),Setup!$C$39:$C$50))&gt;=Setup!$C$15,MONTH(WORKDAY(K445,-(Setup!$C$13+Setup!$G$29),Setup!$C$39:$C$50))&lt;=Setup!$C$16))),WORKDAY(K445,-(Setup!$C$13+Setup!$G$29+Setup!$C$14),Setup!$C$39:$C$50),WORKDAY(K445,-(Setup!$C$13+Setup!$G$29),Setup!$C$39:$C$50))+(440*100+10)/10000000)))</f>
        <v/>
      </c>
      <c r="AB445" t="str">
        <f>IF(L445="","",IF(L445&lt;Setup!$C$5-Setup!$C$6,"",IF(IF(ISNUMBER(Roster!$D445),Setup!$C$30&lt;=Roster!$D445,FALSE),"",IF(OR(IF(Setup!$C$15&lt;=Setup!$C$16,AND(MONTH(L445)&gt;=Setup!$C$15,MONTH(L445)&lt;=Setup!$C$16),OR(MONTH(L445)&gt;=Setup!$C$15,MONTH(L445)&lt;=Setup!$C$16)),IF(Setup!$C$15&lt;=Setup!$C$16,AND(MONTH(WORKDAY(L445,-(Setup!$C$13+Setup!$G$30),Setup!$C$39:$C$50))&gt;=Setup!$C$15,MONTH(WORKDAY(L445,-(Setup!$C$13+Setup!$G$30),Setup!$C$39:$C$50))&lt;=Setup!$C$16),OR(MONTH(WORKDAY(L445,-(Setup!$C$13+Setup!$G$30),Setup!$C$39:$C$50))&gt;=Setup!$C$15,MONTH(WORKDAY(L445,-(Setup!$C$13+Setup!$G$30),Setup!$C$39:$C$50))&lt;=Setup!$C$16))),WORKDAY(L445,-(Setup!$C$13+Setup!$G$30+Setup!$C$14),Setup!$C$39:$C$50),WORKDAY(L445,-(Setup!$C$13+Setup!$G$30),Setup!$C$39:$C$50))+(440*100+11)/10000000)))</f>
        <v/>
      </c>
      <c r="AC445" t="str">
        <f>IF(M445="","",IF(M445&lt;Setup!$C$5-Setup!$C$6,"",IF(IF(ISNUMBER(Roster!$D445),Setup!$C$31&lt;=Roster!$D445,FALSE),"",IF(OR(IF(Setup!$C$15&lt;=Setup!$C$16,AND(MONTH(M445)&gt;=Setup!$C$15,MONTH(M445)&lt;=Setup!$C$16),OR(MONTH(M445)&gt;=Setup!$C$15,MONTH(M445)&lt;=Setup!$C$16)),IF(Setup!$C$15&lt;=Setup!$C$16,AND(MONTH(WORKDAY(M445,-(Setup!$C$13+Setup!$G$31),Setup!$C$39:$C$50))&gt;=Setup!$C$15,MONTH(WORKDAY(M445,-(Setup!$C$13+Setup!$G$31),Setup!$C$39:$C$50))&lt;=Setup!$C$16),OR(MONTH(WORKDAY(M445,-(Setup!$C$13+Setup!$G$31),Setup!$C$39:$C$50))&gt;=Setup!$C$15,MONTH(WORKDAY(M445,-(Setup!$C$13+Setup!$G$31),Setup!$C$39:$C$50))&lt;=Setup!$C$16))),WORKDAY(M445,-(Setup!$C$13+Setup!$G$31+Setup!$C$14),Setup!$C$39:$C$50),WORKDAY(M445,-(Setup!$C$13+Setup!$G$31),Setup!$C$39:$C$50))+(440*100+12)/10000000)))</f>
        <v/>
      </c>
      <c r="AD445" t="str">
        <f>IF(N445="","",IF(N445&lt;Setup!$C$5-Setup!$C$6,"",IF(IF(ISNUMBER(Roster!$D445),Setup!$C$32&lt;=Roster!$D445,FALSE),"",IF(OR(IF(Setup!$C$15&lt;=Setup!$C$16,AND(MONTH(N445)&gt;=Setup!$C$15,MONTH(N445)&lt;=Setup!$C$16),OR(MONTH(N445)&gt;=Setup!$C$15,MONTH(N445)&lt;=Setup!$C$16)),IF(Setup!$C$15&lt;=Setup!$C$16,AND(MONTH(WORKDAY(N445,-(Setup!$C$13+Setup!$G$32),Setup!$C$39:$C$50))&gt;=Setup!$C$15,MONTH(WORKDAY(N445,-(Setup!$C$13+Setup!$G$32),Setup!$C$39:$C$50))&lt;=Setup!$C$16),OR(MONTH(WORKDAY(N445,-(Setup!$C$13+Setup!$G$32),Setup!$C$39:$C$50))&gt;=Setup!$C$15,MONTH(WORKDAY(N445,-(Setup!$C$13+Setup!$G$32),Setup!$C$39:$C$50))&lt;=Setup!$C$16))),WORKDAY(N445,-(Setup!$C$13+Setup!$G$32+Setup!$C$14),Setup!$C$39:$C$50),WORKDAY(N445,-(Setup!$C$13+Setup!$G$32),Setup!$C$39:$C$50))+(440*100+13)/10000000)))</f>
        <v/>
      </c>
      <c r="AE445" t="str">
        <f>IF(O445="","",IF(O445&lt;Setup!$C$5-Setup!$C$6,"",IF(IF(ISNUMBER(Roster!$D445),Setup!$C$33&lt;=Roster!$D445,FALSE),"",IF(OR(IF(Setup!$C$15&lt;=Setup!$C$16,AND(MONTH(O445)&gt;=Setup!$C$15,MONTH(O445)&lt;=Setup!$C$16),OR(MONTH(O445)&gt;=Setup!$C$15,MONTH(O445)&lt;=Setup!$C$16)),IF(Setup!$C$15&lt;=Setup!$C$16,AND(MONTH(WORKDAY(O445,-(Setup!$C$13+Setup!$G$33),Setup!$C$39:$C$50))&gt;=Setup!$C$15,MONTH(WORKDAY(O445,-(Setup!$C$13+Setup!$G$33),Setup!$C$39:$C$50))&lt;=Setup!$C$16),OR(MONTH(WORKDAY(O445,-(Setup!$C$13+Setup!$G$33),Setup!$C$39:$C$50))&gt;=Setup!$C$15,MONTH(WORKDAY(O445,-(Setup!$C$13+Setup!$G$33),Setup!$C$39:$C$50))&lt;=Setup!$C$16))),WORKDAY(O445,-(Setup!$C$13+Setup!$G$33+Setup!$C$14),Setup!$C$39:$C$50),WORKDAY(O445,-(Setup!$C$13+Setup!$G$33),Setup!$C$39:$C$50))+(440*100+14)/10000000)))</f>
        <v/>
      </c>
      <c r="AF445" t="str">
        <f>IF(P445="","",IF(P445&lt;Setup!$C$5-Setup!$C$6,"",IF(IF(ISNUMBER(Roster!$D445),Setup!$C$34&lt;=Roster!$D445,FALSE),"",IF(OR(IF(Setup!$C$15&lt;=Setup!$C$16,AND(MONTH(P445)&gt;=Setup!$C$15,MONTH(P445)&lt;=Setup!$C$16),OR(MONTH(P445)&gt;=Setup!$C$15,MONTH(P445)&lt;=Setup!$C$16)),IF(Setup!$C$15&lt;=Setup!$C$16,AND(MONTH(WORKDAY(P445,-(Setup!$C$13+Setup!$G$34),Setup!$C$39:$C$50))&gt;=Setup!$C$15,MONTH(WORKDAY(P445,-(Setup!$C$13+Setup!$G$34),Setup!$C$39:$C$50))&lt;=Setup!$C$16),OR(MONTH(WORKDAY(P445,-(Setup!$C$13+Setup!$G$34),Setup!$C$39:$C$50))&gt;=Setup!$C$15,MONTH(WORKDAY(P445,-(Setup!$C$13+Setup!$G$34),Setup!$C$39:$C$50))&lt;=Setup!$C$16))),WORKDAY(P445,-(Setup!$C$13+Setup!$G$34+Setup!$C$14),Setup!$C$39:$C$50),WORKDAY(P445,-(Setup!$C$13+Setup!$G$34),Setup!$C$39:$C$50))+(440*100+15)/10000000)))</f>
        <v/>
      </c>
      <c r="AH445" t="str">
        <f t="shared" si="46"/>
        <v/>
      </c>
      <c r="AI445" t="str">
        <f t="shared" si="47"/>
        <v/>
      </c>
      <c r="AP445" t="str">
        <f>IF(ISNUMBER(Roster!$B445),MAX(1,YEAR(Setup!$C$5)-YEAR(Roster!$B445)+IF(EDATE(Roster!$B445,12*(YEAR(Setup!$C$5)-YEAR(Roster!$B445)))&lt;Setup!$C$5,1,0)),"")</f>
        <v/>
      </c>
      <c r="AQ445" s="32" t="str">
        <f>IF(AP445="","",EDATE(Roster!$B445,12*AP445))</f>
        <v/>
      </c>
      <c r="AR445" t="str">
        <f>IF(AQ445="","",IF(AQ445&lt;DATE(YEAR(Setup!$C$5)+1,MONTH(Setup!$C$5),DAY(Setup!$C$5)),AQ445+440/1000,""))</f>
        <v/>
      </c>
      <c r="AS445" t="str">
        <f t="shared" si="48"/>
        <v/>
      </c>
      <c r="AT445" t="str">
        <f>IF(AS445="","",IF(ISNUMBER(Roster!$D445),Roster!$D445&gt;=AP445,FALSE))</f>
        <v/>
      </c>
      <c r="AU445" t="str">
        <f t="shared" si="49"/>
        <v/>
      </c>
      <c r="AV445" t="str">
        <f ca="1">IF(440&gt;$AV$2,"",SMALL($AR$6:$AR$505,440))</f>
        <v/>
      </c>
      <c r="AW445" t="str">
        <f t="shared" ca="1" si="50"/>
        <v/>
      </c>
    </row>
    <row r="446" spans="2:49" x14ac:dyDescent="0.2">
      <c r="B446" s="32" t="str">
        <f>IF(AND(ISNUMBER(Roster!$B446),Setup!$B$20="Yes",ISNUMBER(Setup!$C$20)),EDATE(Roster!$B446,12*Setup!$C$20),"")</f>
        <v/>
      </c>
      <c r="C446" s="32" t="str">
        <f>IF(AND(ISNUMBER(Roster!$B446),Setup!$B$21="Yes",ISNUMBER(Setup!$C$21)),EDATE(Roster!$B446,12*Setup!$C$21),"")</f>
        <v/>
      </c>
      <c r="D446" s="32" t="str">
        <f>IF(AND(ISNUMBER(Roster!$B446),Setup!$B$22="Yes",ISNUMBER(Setup!$C$22)),EDATE(Roster!$B446,12*Setup!$C$22),"")</f>
        <v/>
      </c>
      <c r="E446" s="32" t="str">
        <f>IF(AND(ISNUMBER(Roster!$B446),Setup!$B$23="Yes",ISNUMBER(Setup!$C$23)),EDATE(Roster!$B446,12*Setup!$C$23),"")</f>
        <v/>
      </c>
      <c r="F446" s="32" t="str">
        <f>IF(AND(ISNUMBER(Roster!$B446),Setup!$B$24="Yes",ISNUMBER(Setup!$C$24)),EDATE(Roster!$B446,12*Setup!$C$24),"")</f>
        <v/>
      </c>
      <c r="G446" s="32" t="str">
        <f>IF(AND(ISNUMBER(Roster!$B446),Setup!$B$25="Yes",ISNUMBER(Setup!$C$25)),EDATE(Roster!$B446,12*Setup!$C$25),"")</f>
        <v/>
      </c>
      <c r="H446" s="32" t="str">
        <f>IF(AND(ISNUMBER(Roster!$B446),Setup!$B$26="Yes",ISNUMBER(Setup!$C$26)),EDATE(Roster!$B446,12*Setup!$C$26),"")</f>
        <v/>
      </c>
      <c r="I446" s="32" t="str">
        <f>IF(AND(ISNUMBER(Roster!$B446),Setup!$B$27="Yes",ISNUMBER(Setup!$C$27)),EDATE(Roster!$B446,12*Setup!$C$27),"")</f>
        <v/>
      </c>
      <c r="J446" s="32" t="str">
        <f>IF(AND(ISNUMBER(Roster!$B446),Setup!$B$28="Yes",ISNUMBER(Setup!$C$28)),EDATE(Roster!$B446,12*Setup!$C$28),"")</f>
        <v/>
      </c>
      <c r="K446" s="32" t="str">
        <f>IF(AND(ISNUMBER(Roster!$B446),Setup!$B$29="Yes",ISNUMBER(Setup!$C$29)),EDATE(Roster!$B446,12*Setup!$C$29),"")</f>
        <v/>
      </c>
      <c r="L446" s="32" t="str">
        <f>IF(AND(ISNUMBER(Roster!$B446),Setup!$B$30="Yes",ISNUMBER(Setup!$C$30)),EDATE(Roster!$B446,12*Setup!$C$30),"")</f>
        <v/>
      </c>
      <c r="M446" s="32" t="str">
        <f>IF(AND(ISNUMBER(Roster!$B446),Setup!$B$31="Yes",ISNUMBER(Setup!$C$31)),EDATE(Roster!$B446,12*Setup!$C$31),"")</f>
        <v/>
      </c>
      <c r="N446" s="32" t="str">
        <f>IF(AND(ISNUMBER(Roster!$B446),Setup!$B$32="Yes",ISNUMBER(Setup!$C$32)),EDATE(Roster!$B446,12*Setup!$C$32),"")</f>
        <v/>
      </c>
      <c r="O446" s="32" t="str">
        <f>IF(AND(ISNUMBER(Roster!$B446),Setup!$B$33="Yes",ISNUMBER(Setup!$C$33)),EDATE(Roster!$B446,12*Setup!$C$33),"")</f>
        <v/>
      </c>
      <c r="P446" s="32" t="str">
        <f>IF(AND(ISNUMBER(Roster!$B446),Setup!$B$34="Yes",ISNUMBER(Setup!$C$34)),EDATE(Roster!$B446,12*Setup!$C$34),"")</f>
        <v/>
      </c>
      <c r="R446" t="str">
        <f>IF(B446="","",IF(B446&lt;Setup!$C$5-Setup!$C$6,"",IF(IF(ISNUMBER(Roster!$D446),Setup!$C$20&lt;=Roster!$D446,FALSE),"",IF(OR(IF(Setup!$C$15&lt;=Setup!$C$16,AND(MONTH(B446)&gt;=Setup!$C$15,MONTH(B446)&lt;=Setup!$C$16),OR(MONTH(B446)&gt;=Setup!$C$15,MONTH(B446)&lt;=Setup!$C$16)),IF(Setup!$C$15&lt;=Setup!$C$16,AND(MONTH(WORKDAY(B446,-(Setup!$C$13+Setup!$G$20),Setup!$C$39:$C$50))&gt;=Setup!$C$15,MONTH(WORKDAY(B446,-(Setup!$C$13+Setup!$G$20),Setup!$C$39:$C$50))&lt;=Setup!$C$16),OR(MONTH(WORKDAY(B446,-(Setup!$C$13+Setup!$G$20),Setup!$C$39:$C$50))&gt;=Setup!$C$15,MONTH(WORKDAY(B446,-(Setup!$C$13+Setup!$G$20),Setup!$C$39:$C$50))&lt;=Setup!$C$16))),WORKDAY(B446,-(Setup!$C$13+Setup!$G$20+Setup!$C$14),Setup!$C$39:$C$50),WORKDAY(B446,-(Setup!$C$13+Setup!$G$20),Setup!$C$39:$C$50))+(441*100+1)/10000000)))</f>
        <v/>
      </c>
      <c r="S446" t="str">
        <f>IF(C446="","",IF(C446&lt;Setup!$C$5-Setup!$C$6,"",IF(IF(ISNUMBER(Roster!$D446),Setup!$C$21&lt;=Roster!$D446,FALSE),"",IF(OR(IF(Setup!$C$15&lt;=Setup!$C$16,AND(MONTH(C446)&gt;=Setup!$C$15,MONTH(C446)&lt;=Setup!$C$16),OR(MONTH(C446)&gt;=Setup!$C$15,MONTH(C446)&lt;=Setup!$C$16)),IF(Setup!$C$15&lt;=Setup!$C$16,AND(MONTH(WORKDAY(C446,-(Setup!$C$13+Setup!$G$21),Setup!$C$39:$C$50))&gt;=Setup!$C$15,MONTH(WORKDAY(C446,-(Setup!$C$13+Setup!$G$21),Setup!$C$39:$C$50))&lt;=Setup!$C$16),OR(MONTH(WORKDAY(C446,-(Setup!$C$13+Setup!$G$21),Setup!$C$39:$C$50))&gt;=Setup!$C$15,MONTH(WORKDAY(C446,-(Setup!$C$13+Setup!$G$21),Setup!$C$39:$C$50))&lt;=Setup!$C$16))),WORKDAY(C446,-(Setup!$C$13+Setup!$G$21+Setup!$C$14),Setup!$C$39:$C$50),WORKDAY(C446,-(Setup!$C$13+Setup!$G$21),Setup!$C$39:$C$50))+(441*100+2)/10000000)))</f>
        <v/>
      </c>
      <c r="T446" t="str">
        <f>IF(D446="","",IF(D446&lt;Setup!$C$5-Setup!$C$6,"",IF(IF(ISNUMBER(Roster!$D446),Setup!$C$22&lt;=Roster!$D446,FALSE),"",IF(OR(IF(Setup!$C$15&lt;=Setup!$C$16,AND(MONTH(D446)&gt;=Setup!$C$15,MONTH(D446)&lt;=Setup!$C$16),OR(MONTH(D446)&gt;=Setup!$C$15,MONTH(D446)&lt;=Setup!$C$16)),IF(Setup!$C$15&lt;=Setup!$C$16,AND(MONTH(WORKDAY(D446,-(Setup!$C$13+Setup!$G$22),Setup!$C$39:$C$50))&gt;=Setup!$C$15,MONTH(WORKDAY(D446,-(Setup!$C$13+Setup!$G$22),Setup!$C$39:$C$50))&lt;=Setup!$C$16),OR(MONTH(WORKDAY(D446,-(Setup!$C$13+Setup!$G$22),Setup!$C$39:$C$50))&gt;=Setup!$C$15,MONTH(WORKDAY(D446,-(Setup!$C$13+Setup!$G$22),Setup!$C$39:$C$50))&lt;=Setup!$C$16))),WORKDAY(D446,-(Setup!$C$13+Setup!$G$22+Setup!$C$14),Setup!$C$39:$C$50),WORKDAY(D446,-(Setup!$C$13+Setup!$G$22),Setup!$C$39:$C$50))+(441*100+3)/10000000)))</f>
        <v/>
      </c>
      <c r="U446" t="str">
        <f>IF(E446="","",IF(E446&lt;Setup!$C$5-Setup!$C$6,"",IF(IF(ISNUMBER(Roster!$D446),Setup!$C$23&lt;=Roster!$D446,FALSE),"",IF(OR(IF(Setup!$C$15&lt;=Setup!$C$16,AND(MONTH(E446)&gt;=Setup!$C$15,MONTH(E446)&lt;=Setup!$C$16),OR(MONTH(E446)&gt;=Setup!$C$15,MONTH(E446)&lt;=Setup!$C$16)),IF(Setup!$C$15&lt;=Setup!$C$16,AND(MONTH(WORKDAY(E446,-(Setup!$C$13+Setup!$G$23),Setup!$C$39:$C$50))&gt;=Setup!$C$15,MONTH(WORKDAY(E446,-(Setup!$C$13+Setup!$G$23),Setup!$C$39:$C$50))&lt;=Setup!$C$16),OR(MONTH(WORKDAY(E446,-(Setup!$C$13+Setup!$G$23),Setup!$C$39:$C$50))&gt;=Setup!$C$15,MONTH(WORKDAY(E446,-(Setup!$C$13+Setup!$G$23),Setup!$C$39:$C$50))&lt;=Setup!$C$16))),WORKDAY(E446,-(Setup!$C$13+Setup!$G$23+Setup!$C$14),Setup!$C$39:$C$50),WORKDAY(E446,-(Setup!$C$13+Setup!$G$23),Setup!$C$39:$C$50))+(441*100+4)/10000000)))</f>
        <v/>
      </c>
      <c r="V446" t="str">
        <f>IF(F446="","",IF(F446&lt;Setup!$C$5-Setup!$C$6,"",IF(IF(ISNUMBER(Roster!$D446),Setup!$C$24&lt;=Roster!$D446,FALSE),"",IF(OR(IF(Setup!$C$15&lt;=Setup!$C$16,AND(MONTH(F446)&gt;=Setup!$C$15,MONTH(F446)&lt;=Setup!$C$16),OR(MONTH(F446)&gt;=Setup!$C$15,MONTH(F446)&lt;=Setup!$C$16)),IF(Setup!$C$15&lt;=Setup!$C$16,AND(MONTH(WORKDAY(F446,-(Setup!$C$13+Setup!$G$24),Setup!$C$39:$C$50))&gt;=Setup!$C$15,MONTH(WORKDAY(F446,-(Setup!$C$13+Setup!$G$24),Setup!$C$39:$C$50))&lt;=Setup!$C$16),OR(MONTH(WORKDAY(F446,-(Setup!$C$13+Setup!$G$24),Setup!$C$39:$C$50))&gt;=Setup!$C$15,MONTH(WORKDAY(F446,-(Setup!$C$13+Setup!$G$24),Setup!$C$39:$C$50))&lt;=Setup!$C$16))),WORKDAY(F446,-(Setup!$C$13+Setup!$G$24+Setup!$C$14),Setup!$C$39:$C$50),WORKDAY(F446,-(Setup!$C$13+Setup!$G$24),Setup!$C$39:$C$50))+(441*100+5)/10000000)))</f>
        <v/>
      </c>
      <c r="W446" t="str">
        <f>IF(G446="","",IF(G446&lt;Setup!$C$5-Setup!$C$6,"",IF(IF(ISNUMBER(Roster!$D446),Setup!$C$25&lt;=Roster!$D446,FALSE),"",IF(OR(IF(Setup!$C$15&lt;=Setup!$C$16,AND(MONTH(G446)&gt;=Setup!$C$15,MONTH(G446)&lt;=Setup!$C$16),OR(MONTH(G446)&gt;=Setup!$C$15,MONTH(G446)&lt;=Setup!$C$16)),IF(Setup!$C$15&lt;=Setup!$C$16,AND(MONTH(WORKDAY(G446,-(Setup!$C$13+Setup!$G$25),Setup!$C$39:$C$50))&gt;=Setup!$C$15,MONTH(WORKDAY(G446,-(Setup!$C$13+Setup!$G$25),Setup!$C$39:$C$50))&lt;=Setup!$C$16),OR(MONTH(WORKDAY(G446,-(Setup!$C$13+Setup!$G$25),Setup!$C$39:$C$50))&gt;=Setup!$C$15,MONTH(WORKDAY(G446,-(Setup!$C$13+Setup!$G$25),Setup!$C$39:$C$50))&lt;=Setup!$C$16))),WORKDAY(G446,-(Setup!$C$13+Setup!$G$25+Setup!$C$14),Setup!$C$39:$C$50),WORKDAY(G446,-(Setup!$C$13+Setup!$G$25),Setup!$C$39:$C$50))+(441*100+6)/10000000)))</f>
        <v/>
      </c>
      <c r="X446" t="str">
        <f>IF(H446="","",IF(H446&lt;Setup!$C$5-Setup!$C$6,"",IF(IF(ISNUMBER(Roster!$D446),Setup!$C$26&lt;=Roster!$D446,FALSE),"",IF(OR(IF(Setup!$C$15&lt;=Setup!$C$16,AND(MONTH(H446)&gt;=Setup!$C$15,MONTH(H446)&lt;=Setup!$C$16),OR(MONTH(H446)&gt;=Setup!$C$15,MONTH(H446)&lt;=Setup!$C$16)),IF(Setup!$C$15&lt;=Setup!$C$16,AND(MONTH(WORKDAY(H446,-(Setup!$C$13+Setup!$G$26),Setup!$C$39:$C$50))&gt;=Setup!$C$15,MONTH(WORKDAY(H446,-(Setup!$C$13+Setup!$G$26),Setup!$C$39:$C$50))&lt;=Setup!$C$16),OR(MONTH(WORKDAY(H446,-(Setup!$C$13+Setup!$G$26),Setup!$C$39:$C$50))&gt;=Setup!$C$15,MONTH(WORKDAY(H446,-(Setup!$C$13+Setup!$G$26),Setup!$C$39:$C$50))&lt;=Setup!$C$16))),WORKDAY(H446,-(Setup!$C$13+Setup!$G$26+Setup!$C$14),Setup!$C$39:$C$50),WORKDAY(H446,-(Setup!$C$13+Setup!$G$26),Setup!$C$39:$C$50))+(441*100+7)/10000000)))</f>
        <v/>
      </c>
      <c r="Y446" t="str">
        <f>IF(I446="","",IF(I446&lt;Setup!$C$5-Setup!$C$6,"",IF(IF(ISNUMBER(Roster!$D446),Setup!$C$27&lt;=Roster!$D446,FALSE),"",IF(OR(IF(Setup!$C$15&lt;=Setup!$C$16,AND(MONTH(I446)&gt;=Setup!$C$15,MONTH(I446)&lt;=Setup!$C$16),OR(MONTH(I446)&gt;=Setup!$C$15,MONTH(I446)&lt;=Setup!$C$16)),IF(Setup!$C$15&lt;=Setup!$C$16,AND(MONTH(WORKDAY(I446,-(Setup!$C$13+Setup!$G$27),Setup!$C$39:$C$50))&gt;=Setup!$C$15,MONTH(WORKDAY(I446,-(Setup!$C$13+Setup!$G$27),Setup!$C$39:$C$50))&lt;=Setup!$C$16),OR(MONTH(WORKDAY(I446,-(Setup!$C$13+Setup!$G$27),Setup!$C$39:$C$50))&gt;=Setup!$C$15,MONTH(WORKDAY(I446,-(Setup!$C$13+Setup!$G$27),Setup!$C$39:$C$50))&lt;=Setup!$C$16))),WORKDAY(I446,-(Setup!$C$13+Setup!$G$27+Setup!$C$14),Setup!$C$39:$C$50),WORKDAY(I446,-(Setup!$C$13+Setup!$G$27),Setup!$C$39:$C$50))+(441*100+8)/10000000)))</f>
        <v/>
      </c>
      <c r="Z446" t="str">
        <f>IF(J446="","",IF(J446&lt;Setup!$C$5-Setup!$C$6,"",IF(IF(ISNUMBER(Roster!$D446),Setup!$C$28&lt;=Roster!$D446,FALSE),"",IF(OR(IF(Setup!$C$15&lt;=Setup!$C$16,AND(MONTH(J446)&gt;=Setup!$C$15,MONTH(J446)&lt;=Setup!$C$16),OR(MONTH(J446)&gt;=Setup!$C$15,MONTH(J446)&lt;=Setup!$C$16)),IF(Setup!$C$15&lt;=Setup!$C$16,AND(MONTH(WORKDAY(J446,-(Setup!$C$13+Setup!$G$28),Setup!$C$39:$C$50))&gt;=Setup!$C$15,MONTH(WORKDAY(J446,-(Setup!$C$13+Setup!$G$28),Setup!$C$39:$C$50))&lt;=Setup!$C$16),OR(MONTH(WORKDAY(J446,-(Setup!$C$13+Setup!$G$28),Setup!$C$39:$C$50))&gt;=Setup!$C$15,MONTH(WORKDAY(J446,-(Setup!$C$13+Setup!$G$28),Setup!$C$39:$C$50))&lt;=Setup!$C$16))),WORKDAY(J446,-(Setup!$C$13+Setup!$G$28+Setup!$C$14),Setup!$C$39:$C$50),WORKDAY(J446,-(Setup!$C$13+Setup!$G$28),Setup!$C$39:$C$50))+(441*100+9)/10000000)))</f>
        <v/>
      </c>
      <c r="AA446" t="str">
        <f>IF(K446="","",IF(K446&lt;Setup!$C$5-Setup!$C$6,"",IF(IF(ISNUMBER(Roster!$D446),Setup!$C$29&lt;=Roster!$D446,FALSE),"",IF(OR(IF(Setup!$C$15&lt;=Setup!$C$16,AND(MONTH(K446)&gt;=Setup!$C$15,MONTH(K446)&lt;=Setup!$C$16),OR(MONTH(K446)&gt;=Setup!$C$15,MONTH(K446)&lt;=Setup!$C$16)),IF(Setup!$C$15&lt;=Setup!$C$16,AND(MONTH(WORKDAY(K446,-(Setup!$C$13+Setup!$G$29),Setup!$C$39:$C$50))&gt;=Setup!$C$15,MONTH(WORKDAY(K446,-(Setup!$C$13+Setup!$G$29),Setup!$C$39:$C$50))&lt;=Setup!$C$16),OR(MONTH(WORKDAY(K446,-(Setup!$C$13+Setup!$G$29),Setup!$C$39:$C$50))&gt;=Setup!$C$15,MONTH(WORKDAY(K446,-(Setup!$C$13+Setup!$G$29),Setup!$C$39:$C$50))&lt;=Setup!$C$16))),WORKDAY(K446,-(Setup!$C$13+Setup!$G$29+Setup!$C$14),Setup!$C$39:$C$50),WORKDAY(K446,-(Setup!$C$13+Setup!$G$29),Setup!$C$39:$C$50))+(441*100+10)/10000000)))</f>
        <v/>
      </c>
      <c r="AB446" t="str">
        <f>IF(L446="","",IF(L446&lt;Setup!$C$5-Setup!$C$6,"",IF(IF(ISNUMBER(Roster!$D446),Setup!$C$30&lt;=Roster!$D446,FALSE),"",IF(OR(IF(Setup!$C$15&lt;=Setup!$C$16,AND(MONTH(L446)&gt;=Setup!$C$15,MONTH(L446)&lt;=Setup!$C$16),OR(MONTH(L446)&gt;=Setup!$C$15,MONTH(L446)&lt;=Setup!$C$16)),IF(Setup!$C$15&lt;=Setup!$C$16,AND(MONTH(WORKDAY(L446,-(Setup!$C$13+Setup!$G$30),Setup!$C$39:$C$50))&gt;=Setup!$C$15,MONTH(WORKDAY(L446,-(Setup!$C$13+Setup!$G$30),Setup!$C$39:$C$50))&lt;=Setup!$C$16),OR(MONTH(WORKDAY(L446,-(Setup!$C$13+Setup!$G$30),Setup!$C$39:$C$50))&gt;=Setup!$C$15,MONTH(WORKDAY(L446,-(Setup!$C$13+Setup!$G$30),Setup!$C$39:$C$50))&lt;=Setup!$C$16))),WORKDAY(L446,-(Setup!$C$13+Setup!$G$30+Setup!$C$14),Setup!$C$39:$C$50),WORKDAY(L446,-(Setup!$C$13+Setup!$G$30),Setup!$C$39:$C$50))+(441*100+11)/10000000)))</f>
        <v/>
      </c>
      <c r="AC446" t="str">
        <f>IF(M446="","",IF(M446&lt;Setup!$C$5-Setup!$C$6,"",IF(IF(ISNUMBER(Roster!$D446),Setup!$C$31&lt;=Roster!$D446,FALSE),"",IF(OR(IF(Setup!$C$15&lt;=Setup!$C$16,AND(MONTH(M446)&gt;=Setup!$C$15,MONTH(M446)&lt;=Setup!$C$16),OR(MONTH(M446)&gt;=Setup!$C$15,MONTH(M446)&lt;=Setup!$C$16)),IF(Setup!$C$15&lt;=Setup!$C$16,AND(MONTH(WORKDAY(M446,-(Setup!$C$13+Setup!$G$31),Setup!$C$39:$C$50))&gt;=Setup!$C$15,MONTH(WORKDAY(M446,-(Setup!$C$13+Setup!$G$31),Setup!$C$39:$C$50))&lt;=Setup!$C$16),OR(MONTH(WORKDAY(M446,-(Setup!$C$13+Setup!$G$31),Setup!$C$39:$C$50))&gt;=Setup!$C$15,MONTH(WORKDAY(M446,-(Setup!$C$13+Setup!$G$31),Setup!$C$39:$C$50))&lt;=Setup!$C$16))),WORKDAY(M446,-(Setup!$C$13+Setup!$G$31+Setup!$C$14),Setup!$C$39:$C$50),WORKDAY(M446,-(Setup!$C$13+Setup!$G$31),Setup!$C$39:$C$50))+(441*100+12)/10000000)))</f>
        <v/>
      </c>
      <c r="AD446" t="str">
        <f>IF(N446="","",IF(N446&lt;Setup!$C$5-Setup!$C$6,"",IF(IF(ISNUMBER(Roster!$D446),Setup!$C$32&lt;=Roster!$D446,FALSE),"",IF(OR(IF(Setup!$C$15&lt;=Setup!$C$16,AND(MONTH(N446)&gt;=Setup!$C$15,MONTH(N446)&lt;=Setup!$C$16),OR(MONTH(N446)&gt;=Setup!$C$15,MONTH(N446)&lt;=Setup!$C$16)),IF(Setup!$C$15&lt;=Setup!$C$16,AND(MONTH(WORKDAY(N446,-(Setup!$C$13+Setup!$G$32),Setup!$C$39:$C$50))&gt;=Setup!$C$15,MONTH(WORKDAY(N446,-(Setup!$C$13+Setup!$G$32),Setup!$C$39:$C$50))&lt;=Setup!$C$16),OR(MONTH(WORKDAY(N446,-(Setup!$C$13+Setup!$G$32),Setup!$C$39:$C$50))&gt;=Setup!$C$15,MONTH(WORKDAY(N446,-(Setup!$C$13+Setup!$G$32),Setup!$C$39:$C$50))&lt;=Setup!$C$16))),WORKDAY(N446,-(Setup!$C$13+Setup!$G$32+Setup!$C$14),Setup!$C$39:$C$50),WORKDAY(N446,-(Setup!$C$13+Setup!$G$32),Setup!$C$39:$C$50))+(441*100+13)/10000000)))</f>
        <v/>
      </c>
      <c r="AE446" t="str">
        <f>IF(O446="","",IF(O446&lt;Setup!$C$5-Setup!$C$6,"",IF(IF(ISNUMBER(Roster!$D446),Setup!$C$33&lt;=Roster!$D446,FALSE),"",IF(OR(IF(Setup!$C$15&lt;=Setup!$C$16,AND(MONTH(O446)&gt;=Setup!$C$15,MONTH(O446)&lt;=Setup!$C$16),OR(MONTH(O446)&gt;=Setup!$C$15,MONTH(O446)&lt;=Setup!$C$16)),IF(Setup!$C$15&lt;=Setup!$C$16,AND(MONTH(WORKDAY(O446,-(Setup!$C$13+Setup!$G$33),Setup!$C$39:$C$50))&gt;=Setup!$C$15,MONTH(WORKDAY(O446,-(Setup!$C$13+Setup!$G$33),Setup!$C$39:$C$50))&lt;=Setup!$C$16),OR(MONTH(WORKDAY(O446,-(Setup!$C$13+Setup!$G$33),Setup!$C$39:$C$50))&gt;=Setup!$C$15,MONTH(WORKDAY(O446,-(Setup!$C$13+Setup!$G$33),Setup!$C$39:$C$50))&lt;=Setup!$C$16))),WORKDAY(O446,-(Setup!$C$13+Setup!$G$33+Setup!$C$14),Setup!$C$39:$C$50),WORKDAY(O446,-(Setup!$C$13+Setup!$G$33),Setup!$C$39:$C$50))+(441*100+14)/10000000)))</f>
        <v/>
      </c>
      <c r="AF446" t="str">
        <f>IF(P446="","",IF(P446&lt;Setup!$C$5-Setup!$C$6,"",IF(IF(ISNUMBER(Roster!$D446),Setup!$C$34&lt;=Roster!$D446,FALSE),"",IF(OR(IF(Setup!$C$15&lt;=Setup!$C$16,AND(MONTH(P446)&gt;=Setup!$C$15,MONTH(P446)&lt;=Setup!$C$16),OR(MONTH(P446)&gt;=Setup!$C$15,MONTH(P446)&lt;=Setup!$C$16)),IF(Setup!$C$15&lt;=Setup!$C$16,AND(MONTH(WORKDAY(P446,-(Setup!$C$13+Setup!$G$34),Setup!$C$39:$C$50))&gt;=Setup!$C$15,MONTH(WORKDAY(P446,-(Setup!$C$13+Setup!$G$34),Setup!$C$39:$C$50))&lt;=Setup!$C$16),OR(MONTH(WORKDAY(P446,-(Setup!$C$13+Setup!$G$34),Setup!$C$39:$C$50))&gt;=Setup!$C$15,MONTH(WORKDAY(P446,-(Setup!$C$13+Setup!$G$34),Setup!$C$39:$C$50))&lt;=Setup!$C$16))),WORKDAY(P446,-(Setup!$C$13+Setup!$G$34+Setup!$C$14),Setup!$C$39:$C$50),WORKDAY(P446,-(Setup!$C$13+Setup!$G$34),Setup!$C$39:$C$50))+(441*100+15)/10000000)))</f>
        <v/>
      </c>
      <c r="AH446" t="str">
        <f t="shared" si="46"/>
        <v/>
      </c>
      <c r="AI446" t="str">
        <f t="shared" si="47"/>
        <v/>
      </c>
      <c r="AP446" t="str">
        <f>IF(ISNUMBER(Roster!$B446),MAX(1,YEAR(Setup!$C$5)-YEAR(Roster!$B446)+IF(EDATE(Roster!$B446,12*(YEAR(Setup!$C$5)-YEAR(Roster!$B446)))&lt;Setup!$C$5,1,0)),"")</f>
        <v/>
      </c>
      <c r="AQ446" s="32" t="str">
        <f>IF(AP446="","",EDATE(Roster!$B446,12*AP446))</f>
        <v/>
      </c>
      <c r="AR446" t="str">
        <f>IF(AQ446="","",IF(AQ446&lt;DATE(YEAR(Setup!$C$5)+1,MONTH(Setup!$C$5),DAY(Setup!$C$5)),AQ446+441/1000,""))</f>
        <v/>
      </c>
      <c r="AS446" t="str">
        <f t="shared" si="48"/>
        <v/>
      </c>
      <c r="AT446" t="str">
        <f>IF(AS446="","",IF(ISNUMBER(Roster!$D446),Roster!$D446&gt;=AP446,FALSE))</f>
        <v/>
      </c>
      <c r="AU446" t="str">
        <f t="shared" si="49"/>
        <v/>
      </c>
      <c r="AV446" t="str">
        <f ca="1">IF(441&gt;$AV$2,"",SMALL($AR$6:$AR$505,441))</f>
        <v/>
      </c>
      <c r="AW446" t="str">
        <f t="shared" ca="1" si="50"/>
        <v/>
      </c>
    </row>
    <row r="447" spans="2:49" x14ac:dyDescent="0.2">
      <c r="B447" s="32" t="str">
        <f>IF(AND(ISNUMBER(Roster!$B447),Setup!$B$20="Yes",ISNUMBER(Setup!$C$20)),EDATE(Roster!$B447,12*Setup!$C$20),"")</f>
        <v/>
      </c>
      <c r="C447" s="32" t="str">
        <f>IF(AND(ISNUMBER(Roster!$B447),Setup!$B$21="Yes",ISNUMBER(Setup!$C$21)),EDATE(Roster!$B447,12*Setup!$C$21),"")</f>
        <v/>
      </c>
      <c r="D447" s="32" t="str">
        <f>IF(AND(ISNUMBER(Roster!$B447),Setup!$B$22="Yes",ISNUMBER(Setup!$C$22)),EDATE(Roster!$B447,12*Setup!$C$22),"")</f>
        <v/>
      </c>
      <c r="E447" s="32" t="str">
        <f>IF(AND(ISNUMBER(Roster!$B447),Setup!$B$23="Yes",ISNUMBER(Setup!$C$23)),EDATE(Roster!$B447,12*Setup!$C$23),"")</f>
        <v/>
      </c>
      <c r="F447" s="32" t="str">
        <f>IF(AND(ISNUMBER(Roster!$B447),Setup!$B$24="Yes",ISNUMBER(Setup!$C$24)),EDATE(Roster!$B447,12*Setup!$C$24),"")</f>
        <v/>
      </c>
      <c r="G447" s="32" t="str">
        <f>IF(AND(ISNUMBER(Roster!$B447),Setup!$B$25="Yes",ISNUMBER(Setup!$C$25)),EDATE(Roster!$B447,12*Setup!$C$25),"")</f>
        <v/>
      </c>
      <c r="H447" s="32" t="str">
        <f>IF(AND(ISNUMBER(Roster!$B447),Setup!$B$26="Yes",ISNUMBER(Setup!$C$26)),EDATE(Roster!$B447,12*Setup!$C$26),"")</f>
        <v/>
      </c>
      <c r="I447" s="32" t="str">
        <f>IF(AND(ISNUMBER(Roster!$B447),Setup!$B$27="Yes",ISNUMBER(Setup!$C$27)),EDATE(Roster!$B447,12*Setup!$C$27),"")</f>
        <v/>
      </c>
      <c r="J447" s="32" t="str">
        <f>IF(AND(ISNUMBER(Roster!$B447),Setup!$B$28="Yes",ISNUMBER(Setup!$C$28)),EDATE(Roster!$B447,12*Setup!$C$28),"")</f>
        <v/>
      </c>
      <c r="K447" s="32" t="str">
        <f>IF(AND(ISNUMBER(Roster!$B447),Setup!$B$29="Yes",ISNUMBER(Setup!$C$29)),EDATE(Roster!$B447,12*Setup!$C$29),"")</f>
        <v/>
      </c>
      <c r="L447" s="32" t="str">
        <f>IF(AND(ISNUMBER(Roster!$B447),Setup!$B$30="Yes",ISNUMBER(Setup!$C$30)),EDATE(Roster!$B447,12*Setup!$C$30),"")</f>
        <v/>
      </c>
      <c r="M447" s="32" t="str">
        <f>IF(AND(ISNUMBER(Roster!$B447),Setup!$B$31="Yes",ISNUMBER(Setup!$C$31)),EDATE(Roster!$B447,12*Setup!$C$31),"")</f>
        <v/>
      </c>
      <c r="N447" s="32" t="str">
        <f>IF(AND(ISNUMBER(Roster!$B447),Setup!$B$32="Yes",ISNUMBER(Setup!$C$32)),EDATE(Roster!$B447,12*Setup!$C$32),"")</f>
        <v/>
      </c>
      <c r="O447" s="32" t="str">
        <f>IF(AND(ISNUMBER(Roster!$B447),Setup!$B$33="Yes",ISNUMBER(Setup!$C$33)),EDATE(Roster!$B447,12*Setup!$C$33),"")</f>
        <v/>
      </c>
      <c r="P447" s="32" t="str">
        <f>IF(AND(ISNUMBER(Roster!$B447),Setup!$B$34="Yes",ISNUMBER(Setup!$C$34)),EDATE(Roster!$B447,12*Setup!$C$34),"")</f>
        <v/>
      </c>
      <c r="R447" t="str">
        <f>IF(B447="","",IF(B447&lt;Setup!$C$5-Setup!$C$6,"",IF(IF(ISNUMBER(Roster!$D447),Setup!$C$20&lt;=Roster!$D447,FALSE),"",IF(OR(IF(Setup!$C$15&lt;=Setup!$C$16,AND(MONTH(B447)&gt;=Setup!$C$15,MONTH(B447)&lt;=Setup!$C$16),OR(MONTH(B447)&gt;=Setup!$C$15,MONTH(B447)&lt;=Setup!$C$16)),IF(Setup!$C$15&lt;=Setup!$C$16,AND(MONTH(WORKDAY(B447,-(Setup!$C$13+Setup!$G$20),Setup!$C$39:$C$50))&gt;=Setup!$C$15,MONTH(WORKDAY(B447,-(Setup!$C$13+Setup!$G$20),Setup!$C$39:$C$50))&lt;=Setup!$C$16),OR(MONTH(WORKDAY(B447,-(Setup!$C$13+Setup!$G$20),Setup!$C$39:$C$50))&gt;=Setup!$C$15,MONTH(WORKDAY(B447,-(Setup!$C$13+Setup!$G$20),Setup!$C$39:$C$50))&lt;=Setup!$C$16))),WORKDAY(B447,-(Setup!$C$13+Setup!$G$20+Setup!$C$14),Setup!$C$39:$C$50),WORKDAY(B447,-(Setup!$C$13+Setup!$G$20),Setup!$C$39:$C$50))+(442*100+1)/10000000)))</f>
        <v/>
      </c>
      <c r="S447" t="str">
        <f>IF(C447="","",IF(C447&lt;Setup!$C$5-Setup!$C$6,"",IF(IF(ISNUMBER(Roster!$D447),Setup!$C$21&lt;=Roster!$D447,FALSE),"",IF(OR(IF(Setup!$C$15&lt;=Setup!$C$16,AND(MONTH(C447)&gt;=Setup!$C$15,MONTH(C447)&lt;=Setup!$C$16),OR(MONTH(C447)&gt;=Setup!$C$15,MONTH(C447)&lt;=Setup!$C$16)),IF(Setup!$C$15&lt;=Setup!$C$16,AND(MONTH(WORKDAY(C447,-(Setup!$C$13+Setup!$G$21),Setup!$C$39:$C$50))&gt;=Setup!$C$15,MONTH(WORKDAY(C447,-(Setup!$C$13+Setup!$G$21),Setup!$C$39:$C$50))&lt;=Setup!$C$16),OR(MONTH(WORKDAY(C447,-(Setup!$C$13+Setup!$G$21),Setup!$C$39:$C$50))&gt;=Setup!$C$15,MONTH(WORKDAY(C447,-(Setup!$C$13+Setup!$G$21),Setup!$C$39:$C$50))&lt;=Setup!$C$16))),WORKDAY(C447,-(Setup!$C$13+Setup!$G$21+Setup!$C$14),Setup!$C$39:$C$50),WORKDAY(C447,-(Setup!$C$13+Setup!$G$21),Setup!$C$39:$C$50))+(442*100+2)/10000000)))</f>
        <v/>
      </c>
      <c r="T447" t="str">
        <f>IF(D447="","",IF(D447&lt;Setup!$C$5-Setup!$C$6,"",IF(IF(ISNUMBER(Roster!$D447),Setup!$C$22&lt;=Roster!$D447,FALSE),"",IF(OR(IF(Setup!$C$15&lt;=Setup!$C$16,AND(MONTH(D447)&gt;=Setup!$C$15,MONTH(D447)&lt;=Setup!$C$16),OR(MONTH(D447)&gt;=Setup!$C$15,MONTH(D447)&lt;=Setup!$C$16)),IF(Setup!$C$15&lt;=Setup!$C$16,AND(MONTH(WORKDAY(D447,-(Setup!$C$13+Setup!$G$22),Setup!$C$39:$C$50))&gt;=Setup!$C$15,MONTH(WORKDAY(D447,-(Setup!$C$13+Setup!$G$22),Setup!$C$39:$C$50))&lt;=Setup!$C$16),OR(MONTH(WORKDAY(D447,-(Setup!$C$13+Setup!$G$22),Setup!$C$39:$C$50))&gt;=Setup!$C$15,MONTH(WORKDAY(D447,-(Setup!$C$13+Setup!$G$22),Setup!$C$39:$C$50))&lt;=Setup!$C$16))),WORKDAY(D447,-(Setup!$C$13+Setup!$G$22+Setup!$C$14),Setup!$C$39:$C$50),WORKDAY(D447,-(Setup!$C$13+Setup!$G$22),Setup!$C$39:$C$50))+(442*100+3)/10000000)))</f>
        <v/>
      </c>
      <c r="U447" t="str">
        <f>IF(E447="","",IF(E447&lt;Setup!$C$5-Setup!$C$6,"",IF(IF(ISNUMBER(Roster!$D447),Setup!$C$23&lt;=Roster!$D447,FALSE),"",IF(OR(IF(Setup!$C$15&lt;=Setup!$C$16,AND(MONTH(E447)&gt;=Setup!$C$15,MONTH(E447)&lt;=Setup!$C$16),OR(MONTH(E447)&gt;=Setup!$C$15,MONTH(E447)&lt;=Setup!$C$16)),IF(Setup!$C$15&lt;=Setup!$C$16,AND(MONTH(WORKDAY(E447,-(Setup!$C$13+Setup!$G$23),Setup!$C$39:$C$50))&gt;=Setup!$C$15,MONTH(WORKDAY(E447,-(Setup!$C$13+Setup!$G$23),Setup!$C$39:$C$50))&lt;=Setup!$C$16),OR(MONTH(WORKDAY(E447,-(Setup!$C$13+Setup!$G$23),Setup!$C$39:$C$50))&gt;=Setup!$C$15,MONTH(WORKDAY(E447,-(Setup!$C$13+Setup!$G$23),Setup!$C$39:$C$50))&lt;=Setup!$C$16))),WORKDAY(E447,-(Setup!$C$13+Setup!$G$23+Setup!$C$14),Setup!$C$39:$C$50),WORKDAY(E447,-(Setup!$C$13+Setup!$G$23),Setup!$C$39:$C$50))+(442*100+4)/10000000)))</f>
        <v/>
      </c>
      <c r="V447" t="str">
        <f>IF(F447="","",IF(F447&lt;Setup!$C$5-Setup!$C$6,"",IF(IF(ISNUMBER(Roster!$D447),Setup!$C$24&lt;=Roster!$D447,FALSE),"",IF(OR(IF(Setup!$C$15&lt;=Setup!$C$16,AND(MONTH(F447)&gt;=Setup!$C$15,MONTH(F447)&lt;=Setup!$C$16),OR(MONTH(F447)&gt;=Setup!$C$15,MONTH(F447)&lt;=Setup!$C$16)),IF(Setup!$C$15&lt;=Setup!$C$16,AND(MONTH(WORKDAY(F447,-(Setup!$C$13+Setup!$G$24),Setup!$C$39:$C$50))&gt;=Setup!$C$15,MONTH(WORKDAY(F447,-(Setup!$C$13+Setup!$G$24),Setup!$C$39:$C$50))&lt;=Setup!$C$16),OR(MONTH(WORKDAY(F447,-(Setup!$C$13+Setup!$G$24),Setup!$C$39:$C$50))&gt;=Setup!$C$15,MONTH(WORKDAY(F447,-(Setup!$C$13+Setup!$G$24),Setup!$C$39:$C$50))&lt;=Setup!$C$16))),WORKDAY(F447,-(Setup!$C$13+Setup!$G$24+Setup!$C$14),Setup!$C$39:$C$50),WORKDAY(F447,-(Setup!$C$13+Setup!$G$24),Setup!$C$39:$C$50))+(442*100+5)/10000000)))</f>
        <v/>
      </c>
      <c r="W447" t="str">
        <f>IF(G447="","",IF(G447&lt;Setup!$C$5-Setup!$C$6,"",IF(IF(ISNUMBER(Roster!$D447),Setup!$C$25&lt;=Roster!$D447,FALSE),"",IF(OR(IF(Setup!$C$15&lt;=Setup!$C$16,AND(MONTH(G447)&gt;=Setup!$C$15,MONTH(G447)&lt;=Setup!$C$16),OR(MONTH(G447)&gt;=Setup!$C$15,MONTH(G447)&lt;=Setup!$C$16)),IF(Setup!$C$15&lt;=Setup!$C$16,AND(MONTH(WORKDAY(G447,-(Setup!$C$13+Setup!$G$25),Setup!$C$39:$C$50))&gt;=Setup!$C$15,MONTH(WORKDAY(G447,-(Setup!$C$13+Setup!$G$25),Setup!$C$39:$C$50))&lt;=Setup!$C$16),OR(MONTH(WORKDAY(G447,-(Setup!$C$13+Setup!$G$25),Setup!$C$39:$C$50))&gt;=Setup!$C$15,MONTH(WORKDAY(G447,-(Setup!$C$13+Setup!$G$25),Setup!$C$39:$C$50))&lt;=Setup!$C$16))),WORKDAY(G447,-(Setup!$C$13+Setup!$G$25+Setup!$C$14),Setup!$C$39:$C$50),WORKDAY(G447,-(Setup!$C$13+Setup!$G$25),Setup!$C$39:$C$50))+(442*100+6)/10000000)))</f>
        <v/>
      </c>
      <c r="X447" t="str">
        <f>IF(H447="","",IF(H447&lt;Setup!$C$5-Setup!$C$6,"",IF(IF(ISNUMBER(Roster!$D447),Setup!$C$26&lt;=Roster!$D447,FALSE),"",IF(OR(IF(Setup!$C$15&lt;=Setup!$C$16,AND(MONTH(H447)&gt;=Setup!$C$15,MONTH(H447)&lt;=Setup!$C$16),OR(MONTH(H447)&gt;=Setup!$C$15,MONTH(H447)&lt;=Setup!$C$16)),IF(Setup!$C$15&lt;=Setup!$C$16,AND(MONTH(WORKDAY(H447,-(Setup!$C$13+Setup!$G$26),Setup!$C$39:$C$50))&gt;=Setup!$C$15,MONTH(WORKDAY(H447,-(Setup!$C$13+Setup!$G$26),Setup!$C$39:$C$50))&lt;=Setup!$C$16),OR(MONTH(WORKDAY(H447,-(Setup!$C$13+Setup!$G$26),Setup!$C$39:$C$50))&gt;=Setup!$C$15,MONTH(WORKDAY(H447,-(Setup!$C$13+Setup!$G$26),Setup!$C$39:$C$50))&lt;=Setup!$C$16))),WORKDAY(H447,-(Setup!$C$13+Setup!$G$26+Setup!$C$14),Setup!$C$39:$C$50),WORKDAY(H447,-(Setup!$C$13+Setup!$G$26),Setup!$C$39:$C$50))+(442*100+7)/10000000)))</f>
        <v/>
      </c>
      <c r="Y447" t="str">
        <f>IF(I447="","",IF(I447&lt;Setup!$C$5-Setup!$C$6,"",IF(IF(ISNUMBER(Roster!$D447),Setup!$C$27&lt;=Roster!$D447,FALSE),"",IF(OR(IF(Setup!$C$15&lt;=Setup!$C$16,AND(MONTH(I447)&gt;=Setup!$C$15,MONTH(I447)&lt;=Setup!$C$16),OR(MONTH(I447)&gt;=Setup!$C$15,MONTH(I447)&lt;=Setup!$C$16)),IF(Setup!$C$15&lt;=Setup!$C$16,AND(MONTH(WORKDAY(I447,-(Setup!$C$13+Setup!$G$27),Setup!$C$39:$C$50))&gt;=Setup!$C$15,MONTH(WORKDAY(I447,-(Setup!$C$13+Setup!$G$27),Setup!$C$39:$C$50))&lt;=Setup!$C$16),OR(MONTH(WORKDAY(I447,-(Setup!$C$13+Setup!$G$27),Setup!$C$39:$C$50))&gt;=Setup!$C$15,MONTH(WORKDAY(I447,-(Setup!$C$13+Setup!$G$27),Setup!$C$39:$C$50))&lt;=Setup!$C$16))),WORKDAY(I447,-(Setup!$C$13+Setup!$G$27+Setup!$C$14),Setup!$C$39:$C$50),WORKDAY(I447,-(Setup!$C$13+Setup!$G$27),Setup!$C$39:$C$50))+(442*100+8)/10000000)))</f>
        <v/>
      </c>
      <c r="Z447" t="str">
        <f>IF(J447="","",IF(J447&lt;Setup!$C$5-Setup!$C$6,"",IF(IF(ISNUMBER(Roster!$D447),Setup!$C$28&lt;=Roster!$D447,FALSE),"",IF(OR(IF(Setup!$C$15&lt;=Setup!$C$16,AND(MONTH(J447)&gt;=Setup!$C$15,MONTH(J447)&lt;=Setup!$C$16),OR(MONTH(J447)&gt;=Setup!$C$15,MONTH(J447)&lt;=Setup!$C$16)),IF(Setup!$C$15&lt;=Setup!$C$16,AND(MONTH(WORKDAY(J447,-(Setup!$C$13+Setup!$G$28),Setup!$C$39:$C$50))&gt;=Setup!$C$15,MONTH(WORKDAY(J447,-(Setup!$C$13+Setup!$G$28),Setup!$C$39:$C$50))&lt;=Setup!$C$16),OR(MONTH(WORKDAY(J447,-(Setup!$C$13+Setup!$G$28),Setup!$C$39:$C$50))&gt;=Setup!$C$15,MONTH(WORKDAY(J447,-(Setup!$C$13+Setup!$G$28),Setup!$C$39:$C$50))&lt;=Setup!$C$16))),WORKDAY(J447,-(Setup!$C$13+Setup!$G$28+Setup!$C$14),Setup!$C$39:$C$50),WORKDAY(J447,-(Setup!$C$13+Setup!$G$28),Setup!$C$39:$C$50))+(442*100+9)/10000000)))</f>
        <v/>
      </c>
      <c r="AA447" t="str">
        <f>IF(K447="","",IF(K447&lt;Setup!$C$5-Setup!$C$6,"",IF(IF(ISNUMBER(Roster!$D447),Setup!$C$29&lt;=Roster!$D447,FALSE),"",IF(OR(IF(Setup!$C$15&lt;=Setup!$C$16,AND(MONTH(K447)&gt;=Setup!$C$15,MONTH(K447)&lt;=Setup!$C$16),OR(MONTH(K447)&gt;=Setup!$C$15,MONTH(K447)&lt;=Setup!$C$16)),IF(Setup!$C$15&lt;=Setup!$C$16,AND(MONTH(WORKDAY(K447,-(Setup!$C$13+Setup!$G$29),Setup!$C$39:$C$50))&gt;=Setup!$C$15,MONTH(WORKDAY(K447,-(Setup!$C$13+Setup!$G$29),Setup!$C$39:$C$50))&lt;=Setup!$C$16),OR(MONTH(WORKDAY(K447,-(Setup!$C$13+Setup!$G$29),Setup!$C$39:$C$50))&gt;=Setup!$C$15,MONTH(WORKDAY(K447,-(Setup!$C$13+Setup!$G$29),Setup!$C$39:$C$50))&lt;=Setup!$C$16))),WORKDAY(K447,-(Setup!$C$13+Setup!$G$29+Setup!$C$14),Setup!$C$39:$C$50),WORKDAY(K447,-(Setup!$C$13+Setup!$G$29),Setup!$C$39:$C$50))+(442*100+10)/10000000)))</f>
        <v/>
      </c>
      <c r="AB447" t="str">
        <f>IF(L447="","",IF(L447&lt;Setup!$C$5-Setup!$C$6,"",IF(IF(ISNUMBER(Roster!$D447),Setup!$C$30&lt;=Roster!$D447,FALSE),"",IF(OR(IF(Setup!$C$15&lt;=Setup!$C$16,AND(MONTH(L447)&gt;=Setup!$C$15,MONTH(L447)&lt;=Setup!$C$16),OR(MONTH(L447)&gt;=Setup!$C$15,MONTH(L447)&lt;=Setup!$C$16)),IF(Setup!$C$15&lt;=Setup!$C$16,AND(MONTH(WORKDAY(L447,-(Setup!$C$13+Setup!$G$30),Setup!$C$39:$C$50))&gt;=Setup!$C$15,MONTH(WORKDAY(L447,-(Setup!$C$13+Setup!$G$30),Setup!$C$39:$C$50))&lt;=Setup!$C$16),OR(MONTH(WORKDAY(L447,-(Setup!$C$13+Setup!$G$30),Setup!$C$39:$C$50))&gt;=Setup!$C$15,MONTH(WORKDAY(L447,-(Setup!$C$13+Setup!$G$30),Setup!$C$39:$C$50))&lt;=Setup!$C$16))),WORKDAY(L447,-(Setup!$C$13+Setup!$G$30+Setup!$C$14),Setup!$C$39:$C$50),WORKDAY(L447,-(Setup!$C$13+Setup!$G$30),Setup!$C$39:$C$50))+(442*100+11)/10000000)))</f>
        <v/>
      </c>
      <c r="AC447" t="str">
        <f>IF(M447="","",IF(M447&lt;Setup!$C$5-Setup!$C$6,"",IF(IF(ISNUMBER(Roster!$D447),Setup!$C$31&lt;=Roster!$D447,FALSE),"",IF(OR(IF(Setup!$C$15&lt;=Setup!$C$16,AND(MONTH(M447)&gt;=Setup!$C$15,MONTH(M447)&lt;=Setup!$C$16),OR(MONTH(M447)&gt;=Setup!$C$15,MONTH(M447)&lt;=Setup!$C$16)),IF(Setup!$C$15&lt;=Setup!$C$16,AND(MONTH(WORKDAY(M447,-(Setup!$C$13+Setup!$G$31),Setup!$C$39:$C$50))&gt;=Setup!$C$15,MONTH(WORKDAY(M447,-(Setup!$C$13+Setup!$G$31),Setup!$C$39:$C$50))&lt;=Setup!$C$16),OR(MONTH(WORKDAY(M447,-(Setup!$C$13+Setup!$G$31),Setup!$C$39:$C$50))&gt;=Setup!$C$15,MONTH(WORKDAY(M447,-(Setup!$C$13+Setup!$G$31),Setup!$C$39:$C$50))&lt;=Setup!$C$16))),WORKDAY(M447,-(Setup!$C$13+Setup!$G$31+Setup!$C$14),Setup!$C$39:$C$50),WORKDAY(M447,-(Setup!$C$13+Setup!$G$31),Setup!$C$39:$C$50))+(442*100+12)/10000000)))</f>
        <v/>
      </c>
      <c r="AD447" t="str">
        <f>IF(N447="","",IF(N447&lt;Setup!$C$5-Setup!$C$6,"",IF(IF(ISNUMBER(Roster!$D447),Setup!$C$32&lt;=Roster!$D447,FALSE),"",IF(OR(IF(Setup!$C$15&lt;=Setup!$C$16,AND(MONTH(N447)&gt;=Setup!$C$15,MONTH(N447)&lt;=Setup!$C$16),OR(MONTH(N447)&gt;=Setup!$C$15,MONTH(N447)&lt;=Setup!$C$16)),IF(Setup!$C$15&lt;=Setup!$C$16,AND(MONTH(WORKDAY(N447,-(Setup!$C$13+Setup!$G$32),Setup!$C$39:$C$50))&gt;=Setup!$C$15,MONTH(WORKDAY(N447,-(Setup!$C$13+Setup!$G$32),Setup!$C$39:$C$50))&lt;=Setup!$C$16),OR(MONTH(WORKDAY(N447,-(Setup!$C$13+Setup!$G$32),Setup!$C$39:$C$50))&gt;=Setup!$C$15,MONTH(WORKDAY(N447,-(Setup!$C$13+Setup!$G$32),Setup!$C$39:$C$50))&lt;=Setup!$C$16))),WORKDAY(N447,-(Setup!$C$13+Setup!$G$32+Setup!$C$14),Setup!$C$39:$C$50),WORKDAY(N447,-(Setup!$C$13+Setup!$G$32),Setup!$C$39:$C$50))+(442*100+13)/10000000)))</f>
        <v/>
      </c>
      <c r="AE447" t="str">
        <f>IF(O447="","",IF(O447&lt;Setup!$C$5-Setup!$C$6,"",IF(IF(ISNUMBER(Roster!$D447),Setup!$C$33&lt;=Roster!$D447,FALSE),"",IF(OR(IF(Setup!$C$15&lt;=Setup!$C$16,AND(MONTH(O447)&gt;=Setup!$C$15,MONTH(O447)&lt;=Setup!$C$16),OR(MONTH(O447)&gt;=Setup!$C$15,MONTH(O447)&lt;=Setup!$C$16)),IF(Setup!$C$15&lt;=Setup!$C$16,AND(MONTH(WORKDAY(O447,-(Setup!$C$13+Setup!$G$33),Setup!$C$39:$C$50))&gt;=Setup!$C$15,MONTH(WORKDAY(O447,-(Setup!$C$13+Setup!$G$33),Setup!$C$39:$C$50))&lt;=Setup!$C$16),OR(MONTH(WORKDAY(O447,-(Setup!$C$13+Setup!$G$33),Setup!$C$39:$C$50))&gt;=Setup!$C$15,MONTH(WORKDAY(O447,-(Setup!$C$13+Setup!$G$33),Setup!$C$39:$C$50))&lt;=Setup!$C$16))),WORKDAY(O447,-(Setup!$C$13+Setup!$G$33+Setup!$C$14),Setup!$C$39:$C$50),WORKDAY(O447,-(Setup!$C$13+Setup!$G$33),Setup!$C$39:$C$50))+(442*100+14)/10000000)))</f>
        <v/>
      </c>
      <c r="AF447" t="str">
        <f>IF(P447="","",IF(P447&lt;Setup!$C$5-Setup!$C$6,"",IF(IF(ISNUMBER(Roster!$D447),Setup!$C$34&lt;=Roster!$D447,FALSE),"",IF(OR(IF(Setup!$C$15&lt;=Setup!$C$16,AND(MONTH(P447)&gt;=Setup!$C$15,MONTH(P447)&lt;=Setup!$C$16),OR(MONTH(P447)&gt;=Setup!$C$15,MONTH(P447)&lt;=Setup!$C$16)),IF(Setup!$C$15&lt;=Setup!$C$16,AND(MONTH(WORKDAY(P447,-(Setup!$C$13+Setup!$G$34),Setup!$C$39:$C$50))&gt;=Setup!$C$15,MONTH(WORKDAY(P447,-(Setup!$C$13+Setup!$G$34),Setup!$C$39:$C$50))&lt;=Setup!$C$16),OR(MONTH(WORKDAY(P447,-(Setup!$C$13+Setup!$G$34),Setup!$C$39:$C$50))&gt;=Setup!$C$15,MONTH(WORKDAY(P447,-(Setup!$C$13+Setup!$G$34),Setup!$C$39:$C$50))&lt;=Setup!$C$16))),WORKDAY(P447,-(Setup!$C$13+Setup!$G$34+Setup!$C$14),Setup!$C$39:$C$50),WORKDAY(P447,-(Setup!$C$13+Setup!$G$34),Setup!$C$39:$C$50))+(442*100+15)/10000000)))</f>
        <v/>
      </c>
      <c r="AH447" t="str">
        <f t="shared" si="46"/>
        <v/>
      </c>
      <c r="AI447" t="str">
        <f t="shared" si="47"/>
        <v/>
      </c>
      <c r="AP447" t="str">
        <f>IF(ISNUMBER(Roster!$B447),MAX(1,YEAR(Setup!$C$5)-YEAR(Roster!$B447)+IF(EDATE(Roster!$B447,12*(YEAR(Setup!$C$5)-YEAR(Roster!$B447)))&lt;Setup!$C$5,1,0)),"")</f>
        <v/>
      </c>
      <c r="AQ447" s="32" t="str">
        <f>IF(AP447="","",EDATE(Roster!$B447,12*AP447))</f>
        <v/>
      </c>
      <c r="AR447" t="str">
        <f>IF(AQ447="","",IF(AQ447&lt;DATE(YEAR(Setup!$C$5)+1,MONTH(Setup!$C$5),DAY(Setup!$C$5)),AQ447+442/1000,""))</f>
        <v/>
      </c>
      <c r="AS447" t="str">
        <f t="shared" si="48"/>
        <v/>
      </c>
      <c r="AT447" t="str">
        <f>IF(AS447="","",IF(ISNUMBER(Roster!$D447),Roster!$D447&gt;=AP447,FALSE))</f>
        <v/>
      </c>
      <c r="AU447" t="str">
        <f t="shared" si="49"/>
        <v/>
      </c>
      <c r="AV447" t="str">
        <f ca="1">IF(442&gt;$AV$2,"",SMALL($AR$6:$AR$505,442))</f>
        <v/>
      </c>
      <c r="AW447" t="str">
        <f t="shared" ca="1" si="50"/>
        <v/>
      </c>
    </row>
    <row r="448" spans="2:49" x14ac:dyDescent="0.2">
      <c r="B448" s="32" t="str">
        <f>IF(AND(ISNUMBER(Roster!$B448),Setup!$B$20="Yes",ISNUMBER(Setup!$C$20)),EDATE(Roster!$B448,12*Setup!$C$20),"")</f>
        <v/>
      </c>
      <c r="C448" s="32" t="str">
        <f>IF(AND(ISNUMBER(Roster!$B448),Setup!$B$21="Yes",ISNUMBER(Setup!$C$21)),EDATE(Roster!$B448,12*Setup!$C$21),"")</f>
        <v/>
      </c>
      <c r="D448" s="32" t="str">
        <f>IF(AND(ISNUMBER(Roster!$B448),Setup!$B$22="Yes",ISNUMBER(Setup!$C$22)),EDATE(Roster!$B448,12*Setup!$C$22),"")</f>
        <v/>
      </c>
      <c r="E448" s="32" t="str">
        <f>IF(AND(ISNUMBER(Roster!$B448),Setup!$B$23="Yes",ISNUMBER(Setup!$C$23)),EDATE(Roster!$B448,12*Setup!$C$23),"")</f>
        <v/>
      </c>
      <c r="F448" s="32" t="str">
        <f>IF(AND(ISNUMBER(Roster!$B448),Setup!$B$24="Yes",ISNUMBER(Setup!$C$24)),EDATE(Roster!$B448,12*Setup!$C$24),"")</f>
        <v/>
      </c>
      <c r="G448" s="32" t="str">
        <f>IF(AND(ISNUMBER(Roster!$B448),Setup!$B$25="Yes",ISNUMBER(Setup!$C$25)),EDATE(Roster!$B448,12*Setup!$C$25),"")</f>
        <v/>
      </c>
      <c r="H448" s="32" t="str">
        <f>IF(AND(ISNUMBER(Roster!$B448),Setup!$B$26="Yes",ISNUMBER(Setup!$C$26)),EDATE(Roster!$B448,12*Setup!$C$26),"")</f>
        <v/>
      </c>
      <c r="I448" s="32" t="str">
        <f>IF(AND(ISNUMBER(Roster!$B448),Setup!$B$27="Yes",ISNUMBER(Setup!$C$27)),EDATE(Roster!$B448,12*Setup!$C$27),"")</f>
        <v/>
      </c>
      <c r="J448" s="32" t="str">
        <f>IF(AND(ISNUMBER(Roster!$B448),Setup!$B$28="Yes",ISNUMBER(Setup!$C$28)),EDATE(Roster!$B448,12*Setup!$C$28),"")</f>
        <v/>
      </c>
      <c r="K448" s="32" t="str">
        <f>IF(AND(ISNUMBER(Roster!$B448),Setup!$B$29="Yes",ISNUMBER(Setup!$C$29)),EDATE(Roster!$B448,12*Setup!$C$29),"")</f>
        <v/>
      </c>
      <c r="L448" s="32" t="str">
        <f>IF(AND(ISNUMBER(Roster!$B448),Setup!$B$30="Yes",ISNUMBER(Setup!$C$30)),EDATE(Roster!$B448,12*Setup!$C$30),"")</f>
        <v/>
      </c>
      <c r="M448" s="32" t="str">
        <f>IF(AND(ISNUMBER(Roster!$B448),Setup!$B$31="Yes",ISNUMBER(Setup!$C$31)),EDATE(Roster!$B448,12*Setup!$C$31),"")</f>
        <v/>
      </c>
      <c r="N448" s="32" t="str">
        <f>IF(AND(ISNUMBER(Roster!$B448),Setup!$B$32="Yes",ISNUMBER(Setup!$C$32)),EDATE(Roster!$B448,12*Setup!$C$32),"")</f>
        <v/>
      </c>
      <c r="O448" s="32" t="str">
        <f>IF(AND(ISNUMBER(Roster!$B448),Setup!$B$33="Yes",ISNUMBER(Setup!$C$33)),EDATE(Roster!$B448,12*Setup!$C$33),"")</f>
        <v/>
      </c>
      <c r="P448" s="32" t="str">
        <f>IF(AND(ISNUMBER(Roster!$B448),Setup!$B$34="Yes",ISNUMBER(Setup!$C$34)),EDATE(Roster!$B448,12*Setup!$C$34),"")</f>
        <v/>
      </c>
      <c r="R448" t="str">
        <f>IF(B448="","",IF(B448&lt;Setup!$C$5-Setup!$C$6,"",IF(IF(ISNUMBER(Roster!$D448),Setup!$C$20&lt;=Roster!$D448,FALSE),"",IF(OR(IF(Setup!$C$15&lt;=Setup!$C$16,AND(MONTH(B448)&gt;=Setup!$C$15,MONTH(B448)&lt;=Setup!$C$16),OR(MONTH(B448)&gt;=Setup!$C$15,MONTH(B448)&lt;=Setup!$C$16)),IF(Setup!$C$15&lt;=Setup!$C$16,AND(MONTH(WORKDAY(B448,-(Setup!$C$13+Setup!$G$20),Setup!$C$39:$C$50))&gt;=Setup!$C$15,MONTH(WORKDAY(B448,-(Setup!$C$13+Setup!$G$20),Setup!$C$39:$C$50))&lt;=Setup!$C$16),OR(MONTH(WORKDAY(B448,-(Setup!$C$13+Setup!$G$20),Setup!$C$39:$C$50))&gt;=Setup!$C$15,MONTH(WORKDAY(B448,-(Setup!$C$13+Setup!$G$20),Setup!$C$39:$C$50))&lt;=Setup!$C$16))),WORKDAY(B448,-(Setup!$C$13+Setup!$G$20+Setup!$C$14),Setup!$C$39:$C$50),WORKDAY(B448,-(Setup!$C$13+Setup!$G$20),Setup!$C$39:$C$50))+(443*100+1)/10000000)))</f>
        <v/>
      </c>
      <c r="S448" t="str">
        <f>IF(C448="","",IF(C448&lt;Setup!$C$5-Setup!$C$6,"",IF(IF(ISNUMBER(Roster!$D448),Setup!$C$21&lt;=Roster!$D448,FALSE),"",IF(OR(IF(Setup!$C$15&lt;=Setup!$C$16,AND(MONTH(C448)&gt;=Setup!$C$15,MONTH(C448)&lt;=Setup!$C$16),OR(MONTH(C448)&gt;=Setup!$C$15,MONTH(C448)&lt;=Setup!$C$16)),IF(Setup!$C$15&lt;=Setup!$C$16,AND(MONTH(WORKDAY(C448,-(Setup!$C$13+Setup!$G$21),Setup!$C$39:$C$50))&gt;=Setup!$C$15,MONTH(WORKDAY(C448,-(Setup!$C$13+Setup!$G$21),Setup!$C$39:$C$50))&lt;=Setup!$C$16),OR(MONTH(WORKDAY(C448,-(Setup!$C$13+Setup!$G$21),Setup!$C$39:$C$50))&gt;=Setup!$C$15,MONTH(WORKDAY(C448,-(Setup!$C$13+Setup!$G$21),Setup!$C$39:$C$50))&lt;=Setup!$C$16))),WORKDAY(C448,-(Setup!$C$13+Setup!$G$21+Setup!$C$14),Setup!$C$39:$C$50),WORKDAY(C448,-(Setup!$C$13+Setup!$G$21),Setup!$C$39:$C$50))+(443*100+2)/10000000)))</f>
        <v/>
      </c>
      <c r="T448" t="str">
        <f>IF(D448="","",IF(D448&lt;Setup!$C$5-Setup!$C$6,"",IF(IF(ISNUMBER(Roster!$D448),Setup!$C$22&lt;=Roster!$D448,FALSE),"",IF(OR(IF(Setup!$C$15&lt;=Setup!$C$16,AND(MONTH(D448)&gt;=Setup!$C$15,MONTH(D448)&lt;=Setup!$C$16),OR(MONTH(D448)&gt;=Setup!$C$15,MONTH(D448)&lt;=Setup!$C$16)),IF(Setup!$C$15&lt;=Setup!$C$16,AND(MONTH(WORKDAY(D448,-(Setup!$C$13+Setup!$G$22),Setup!$C$39:$C$50))&gt;=Setup!$C$15,MONTH(WORKDAY(D448,-(Setup!$C$13+Setup!$G$22),Setup!$C$39:$C$50))&lt;=Setup!$C$16),OR(MONTH(WORKDAY(D448,-(Setup!$C$13+Setup!$G$22),Setup!$C$39:$C$50))&gt;=Setup!$C$15,MONTH(WORKDAY(D448,-(Setup!$C$13+Setup!$G$22),Setup!$C$39:$C$50))&lt;=Setup!$C$16))),WORKDAY(D448,-(Setup!$C$13+Setup!$G$22+Setup!$C$14),Setup!$C$39:$C$50),WORKDAY(D448,-(Setup!$C$13+Setup!$G$22),Setup!$C$39:$C$50))+(443*100+3)/10000000)))</f>
        <v/>
      </c>
      <c r="U448" t="str">
        <f>IF(E448="","",IF(E448&lt;Setup!$C$5-Setup!$C$6,"",IF(IF(ISNUMBER(Roster!$D448),Setup!$C$23&lt;=Roster!$D448,FALSE),"",IF(OR(IF(Setup!$C$15&lt;=Setup!$C$16,AND(MONTH(E448)&gt;=Setup!$C$15,MONTH(E448)&lt;=Setup!$C$16),OR(MONTH(E448)&gt;=Setup!$C$15,MONTH(E448)&lt;=Setup!$C$16)),IF(Setup!$C$15&lt;=Setup!$C$16,AND(MONTH(WORKDAY(E448,-(Setup!$C$13+Setup!$G$23),Setup!$C$39:$C$50))&gt;=Setup!$C$15,MONTH(WORKDAY(E448,-(Setup!$C$13+Setup!$G$23),Setup!$C$39:$C$50))&lt;=Setup!$C$16),OR(MONTH(WORKDAY(E448,-(Setup!$C$13+Setup!$G$23),Setup!$C$39:$C$50))&gt;=Setup!$C$15,MONTH(WORKDAY(E448,-(Setup!$C$13+Setup!$G$23),Setup!$C$39:$C$50))&lt;=Setup!$C$16))),WORKDAY(E448,-(Setup!$C$13+Setup!$G$23+Setup!$C$14),Setup!$C$39:$C$50),WORKDAY(E448,-(Setup!$C$13+Setup!$G$23),Setup!$C$39:$C$50))+(443*100+4)/10000000)))</f>
        <v/>
      </c>
      <c r="V448" t="str">
        <f>IF(F448="","",IF(F448&lt;Setup!$C$5-Setup!$C$6,"",IF(IF(ISNUMBER(Roster!$D448),Setup!$C$24&lt;=Roster!$D448,FALSE),"",IF(OR(IF(Setup!$C$15&lt;=Setup!$C$16,AND(MONTH(F448)&gt;=Setup!$C$15,MONTH(F448)&lt;=Setup!$C$16),OR(MONTH(F448)&gt;=Setup!$C$15,MONTH(F448)&lt;=Setup!$C$16)),IF(Setup!$C$15&lt;=Setup!$C$16,AND(MONTH(WORKDAY(F448,-(Setup!$C$13+Setup!$G$24),Setup!$C$39:$C$50))&gt;=Setup!$C$15,MONTH(WORKDAY(F448,-(Setup!$C$13+Setup!$G$24),Setup!$C$39:$C$50))&lt;=Setup!$C$16),OR(MONTH(WORKDAY(F448,-(Setup!$C$13+Setup!$G$24),Setup!$C$39:$C$50))&gt;=Setup!$C$15,MONTH(WORKDAY(F448,-(Setup!$C$13+Setup!$G$24),Setup!$C$39:$C$50))&lt;=Setup!$C$16))),WORKDAY(F448,-(Setup!$C$13+Setup!$G$24+Setup!$C$14),Setup!$C$39:$C$50),WORKDAY(F448,-(Setup!$C$13+Setup!$G$24),Setup!$C$39:$C$50))+(443*100+5)/10000000)))</f>
        <v/>
      </c>
      <c r="W448" t="str">
        <f>IF(G448="","",IF(G448&lt;Setup!$C$5-Setup!$C$6,"",IF(IF(ISNUMBER(Roster!$D448),Setup!$C$25&lt;=Roster!$D448,FALSE),"",IF(OR(IF(Setup!$C$15&lt;=Setup!$C$16,AND(MONTH(G448)&gt;=Setup!$C$15,MONTH(G448)&lt;=Setup!$C$16),OR(MONTH(G448)&gt;=Setup!$C$15,MONTH(G448)&lt;=Setup!$C$16)),IF(Setup!$C$15&lt;=Setup!$C$16,AND(MONTH(WORKDAY(G448,-(Setup!$C$13+Setup!$G$25),Setup!$C$39:$C$50))&gt;=Setup!$C$15,MONTH(WORKDAY(G448,-(Setup!$C$13+Setup!$G$25),Setup!$C$39:$C$50))&lt;=Setup!$C$16),OR(MONTH(WORKDAY(G448,-(Setup!$C$13+Setup!$G$25),Setup!$C$39:$C$50))&gt;=Setup!$C$15,MONTH(WORKDAY(G448,-(Setup!$C$13+Setup!$G$25),Setup!$C$39:$C$50))&lt;=Setup!$C$16))),WORKDAY(G448,-(Setup!$C$13+Setup!$G$25+Setup!$C$14),Setup!$C$39:$C$50),WORKDAY(G448,-(Setup!$C$13+Setup!$G$25),Setup!$C$39:$C$50))+(443*100+6)/10000000)))</f>
        <v/>
      </c>
      <c r="X448" t="str">
        <f>IF(H448="","",IF(H448&lt;Setup!$C$5-Setup!$C$6,"",IF(IF(ISNUMBER(Roster!$D448),Setup!$C$26&lt;=Roster!$D448,FALSE),"",IF(OR(IF(Setup!$C$15&lt;=Setup!$C$16,AND(MONTH(H448)&gt;=Setup!$C$15,MONTH(H448)&lt;=Setup!$C$16),OR(MONTH(H448)&gt;=Setup!$C$15,MONTH(H448)&lt;=Setup!$C$16)),IF(Setup!$C$15&lt;=Setup!$C$16,AND(MONTH(WORKDAY(H448,-(Setup!$C$13+Setup!$G$26),Setup!$C$39:$C$50))&gt;=Setup!$C$15,MONTH(WORKDAY(H448,-(Setup!$C$13+Setup!$G$26),Setup!$C$39:$C$50))&lt;=Setup!$C$16),OR(MONTH(WORKDAY(H448,-(Setup!$C$13+Setup!$G$26),Setup!$C$39:$C$50))&gt;=Setup!$C$15,MONTH(WORKDAY(H448,-(Setup!$C$13+Setup!$G$26),Setup!$C$39:$C$50))&lt;=Setup!$C$16))),WORKDAY(H448,-(Setup!$C$13+Setup!$G$26+Setup!$C$14),Setup!$C$39:$C$50),WORKDAY(H448,-(Setup!$C$13+Setup!$G$26),Setup!$C$39:$C$50))+(443*100+7)/10000000)))</f>
        <v/>
      </c>
      <c r="Y448" t="str">
        <f>IF(I448="","",IF(I448&lt;Setup!$C$5-Setup!$C$6,"",IF(IF(ISNUMBER(Roster!$D448),Setup!$C$27&lt;=Roster!$D448,FALSE),"",IF(OR(IF(Setup!$C$15&lt;=Setup!$C$16,AND(MONTH(I448)&gt;=Setup!$C$15,MONTH(I448)&lt;=Setup!$C$16),OR(MONTH(I448)&gt;=Setup!$C$15,MONTH(I448)&lt;=Setup!$C$16)),IF(Setup!$C$15&lt;=Setup!$C$16,AND(MONTH(WORKDAY(I448,-(Setup!$C$13+Setup!$G$27),Setup!$C$39:$C$50))&gt;=Setup!$C$15,MONTH(WORKDAY(I448,-(Setup!$C$13+Setup!$G$27),Setup!$C$39:$C$50))&lt;=Setup!$C$16),OR(MONTH(WORKDAY(I448,-(Setup!$C$13+Setup!$G$27),Setup!$C$39:$C$50))&gt;=Setup!$C$15,MONTH(WORKDAY(I448,-(Setup!$C$13+Setup!$G$27),Setup!$C$39:$C$50))&lt;=Setup!$C$16))),WORKDAY(I448,-(Setup!$C$13+Setup!$G$27+Setup!$C$14),Setup!$C$39:$C$50),WORKDAY(I448,-(Setup!$C$13+Setup!$G$27),Setup!$C$39:$C$50))+(443*100+8)/10000000)))</f>
        <v/>
      </c>
      <c r="Z448" t="str">
        <f>IF(J448="","",IF(J448&lt;Setup!$C$5-Setup!$C$6,"",IF(IF(ISNUMBER(Roster!$D448),Setup!$C$28&lt;=Roster!$D448,FALSE),"",IF(OR(IF(Setup!$C$15&lt;=Setup!$C$16,AND(MONTH(J448)&gt;=Setup!$C$15,MONTH(J448)&lt;=Setup!$C$16),OR(MONTH(J448)&gt;=Setup!$C$15,MONTH(J448)&lt;=Setup!$C$16)),IF(Setup!$C$15&lt;=Setup!$C$16,AND(MONTH(WORKDAY(J448,-(Setup!$C$13+Setup!$G$28),Setup!$C$39:$C$50))&gt;=Setup!$C$15,MONTH(WORKDAY(J448,-(Setup!$C$13+Setup!$G$28),Setup!$C$39:$C$50))&lt;=Setup!$C$16),OR(MONTH(WORKDAY(J448,-(Setup!$C$13+Setup!$G$28),Setup!$C$39:$C$50))&gt;=Setup!$C$15,MONTH(WORKDAY(J448,-(Setup!$C$13+Setup!$G$28),Setup!$C$39:$C$50))&lt;=Setup!$C$16))),WORKDAY(J448,-(Setup!$C$13+Setup!$G$28+Setup!$C$14),Setup!$C$39:$C$50),WORKDAY(J448,-(Setup!$C$13+Setup!$G$28),Setup!$C$39:$C$50))+(443*100+9)/10000000)))</f>
        <v/>
      </c>
      <c r="AA448" t="str">
        <f>IF(K448="","",IF(K448&lt;Setup!$C$5-Setup!$C$6,"",IF(IF(ISNUMBER(Roster!$D448),Setup!$C$29&lt;=Roster!$D448,FALSE),"",IF(OR(IF(Setup!$C$15&lt;=Setup!$C$16,AND(MONTH(K448)&gt;=Setup!$C$15,MONTH(K448)&lt;=Setup!$C$16),OR(MONTH(K448)&gt;=Setup!$C$15,MONTH(K448)&lt;=Setup!$C$16)),IF(Setup!$C$15&lt;=Setup!$C$16,AND(MONTH(WORKDAY(K448,-(Setup!$C$13+Setup!$G$29),Setup!$C$39:$C$50))&gt;=Setup!$C$15,MONTH(WORKDAY(K448,-(Setup!$C$13+Setup!$G$29),Setup!$C$39:$C$50))&lt;=Setup!$C$16),OR(MONTH(WORKDAY(K448,-(Setup!$C$13+Setup!$G$29),Setup!$C$39:$C$50))&gt;=Setup!$C$15,MONTH(WORKDAY(K448,-(Setup!$C$13+Setup!$G$29),Setup!$C$39:$C$50))&lt;=Setup!$C$16))),WORKDAY(K448,-(Setup!$C$13+Setup!$G$29+Setup!$C$14),Setup!$C$39:$C$50),WORKDAY(K448,-(Setup!$C$13+Setup!$G$29),Setup!$C$39:$C$50))+(443*100+10)/10000000)))</f>
        <v/>
      </c>
      <c r="AB448" t="str">
        <f>IF(L448="","",IF(L448&lt;Setup!$C$5-Setup!$C$6,"",IF(IF(ISNUMBER(Roster!$D448),Setup!$C$30&lt;=Roster!$D448,FALSE),"",IF(OR(IF(Setup!$C$15&lt;=Setup!$C$16,AND(MONTH(L448)&gt;=Setup!$C$15,MONTH(L448)&lt;=Setup!$C$16),OR(MONTH(L448)&gt;=Setup!$C$15,MONTH(L448)&lt;=Setup!$C$16)),IF(Setup!$C$15&lt;=Setup!$C$16,AND(MONTH(WORKDAY(L448,-(Setup!$C$13+Setup!$G$30),Setup!$C$39:$C$50))&gt;=Setup!$C$15,MONTH(WORKDAY(L448,-(Setup!$C$13+Setup!$G$30),Setup!$C$39:$C$50))&lt;=Setup!$C$16),OR(MONTH(WORKDAY(L448,-(Setup!$C$13+Setup!$G$30),Setup!$C$39:$C$50))&gt;=Setup!$C$15,MONTH(WORKDAY(L448,-(Setup!$C$13+Setup!$G$30),Setup!$C$39:$C$50))&lt;=Setup!$C$16))),WORKDAY(L448,-(Setup!$C$13+Setup!$G$30+Setup!$C$14),Setup!$C$39:$C$50),WORKDAY(L448,-(Setup!$C$13+Setup!$G$30),Setup!$C$39:$C$50))+(443*100+11)/10000000)))</f>
        <v/>
      </c>
      <c r="AC448" t="str">
        <f>IF(M448="","",IF(M448&lt;Setup!$C$5-Setup!$C$6,"",IF(IF(ISNUMBER(Roster!$D448),Setup!$C$31&lt;=Roster!$D448,FALSE),"",IF(OR(IF(Setup!$C$15&lt;=Setup!$C$16,AND(MONTH(M448)&gt;=Setup!$C$15,MONTH(M448)&lt;=Setup!$C$16),OR(MONTH(M448)&gt;=Setup!$C$15,MONTH(M448)&lt;=Setup!$C$16)),IF(Setup!$C$15&lt;=Setup!$C$16,AND(MONTH(WORKDAY(M448,-(Setup!$C$13+Setup!$G$31),Setup!$C$39:$C$50))&gt;=Setup!$C$15,MONTH(WORKDAY(M448,-(Setup!$C$13+Setup!$G$31),Setup!$C$39:$C$50))&lt;=Setup!$C$16),OR(MONTH(WORKDAY(M448,-(Setup!$C$13+Setup!$G$31),Setup!$C$39:$C$50))&gt;=Setup!$C$15,MONTH(WORKDAY(M448,-(Setup!$C$13+Setup!$G$31),Setup!$C$39:$C$50))&lt;=Setup!$C$16))),WORKDAY(M448,-(Setup!$C$13+Setup!$G$31+Setup!$C$14),Setup!$C$39:$C$50),WORKDAY(M448,-(Setup!$C$13+Setup!$G$31),Setup!$C$39:$C$50))+(443*100+12)/10000000)))</f>
        <v/>
      </c>
      <c r="AD448" t="str">
        <f>IF(N448="","",IF(N448&lt;Setup!$C$5-Setup!$C$6,"",IF(IF(ISNUMBER(Roster!$D448),Setup!$C$32&lt;=Roster!$D448,FALSE),"",IF(OR(IF(Setup!$C$15&lt;=Setup!$C$16,AND(MONTH(N448)&gt;=Setup!$C$15,MONTH(N448)&lt;=Setup!$C$16),OR(MONTH(N448)&gt;=Setup!$C$15,MONTH(N448)&lt;=Setup!$C$16)),IF(Setup!$C$15&lt;=Setup!$C$16,AND(MONTH(WORKDAY(N448,-(Setup!$C$13+Setup!$G$32),Setup!$C$39:$C$50))&gt;=Setup!$C$15,MONTH(WORKDAY(N448,-(Setup!$C$13+Setup!$G$32),Setup!$C$39:$C$50))&lt;=Setup!$C$16),OR(MONTH(WORKDAY(N448,-(Setup!$C$13+Setup!$G$32),Setup!$C$39:$C$50))&gt;=Setup!$C$15,MONTH(WORKDAY(N448,-(Setup!$C$13+Setup!$G$32),Setup!$C$39:$C$50))&lt;=Setup!$C$16))),WORKDAY(N448,-(Setup!$C$13+Setup!$G$32+Setup!$C$14),Setup!$C$39:$C$50),WORKDAY(N448,-(Setup!$C$13+Setup!$G$32),Setup!$C$39:$C$50))+(443*100+13)/10000000)))</f>
        <v/>
      </c>
      <c r="AE448" t="str">
        <f>IF(O448="","",IF(O448&lt;Setup!$C$5-Setup!$C$6,"",IF(IF(ISNUMBER(Roster!$D448),Setup!$C$33&lt;=Roster!$D448,FALSE),"",IF(OR(IF(Setup!$C$15&lt;=Setup!$C$16,AND(MONTH(O448)&gt;=Setup!$C$15,MONTH(O448)&lt;=Setup!$C$16),OR(MONTH(O448)&gt;=Setup!$C$15,MONTH(O448)&lt;=Setup!$C$16)),IF(Setup!$C$15&lt;=Setup!$C$16,AND(MONTH(WORKDAY(O448,-(Setup!$C$13+Setup!$G$33),Setup!$C$39:$C$50))&gt;=Setup!$C$15,MONTH(WORKDAY(O448,-(Setup!$C$13+Setup!$G$33),Setup!$C$39:$C$50))&lt;=Setup!$C$16),OR(MONTH(WORKDAY(O448,-(Setup!$C$13+Setup!$G$33),Setup!$C$39:$C$50))&gt;=Setup!$C$15,MONTH(WORKDAY(O448,-(Setup!$C$13+Setup!$G$33),Setup!$C$39:$C$50))&lt;=Setup!$C$16))),WORKDAY(O448,-(Setup!$C$13+Setup!$G$33+Setup!$C$14),Setup!$C$39:$C$50),WORKDAY(O448,-(Setup!$C$13+Setup!$G$33),Setup!$C$39:$C$50))+(443*100+14)/10000000)))</f>
        <v/>
      </c>
      <c r="AF448" t="str">
        <f>IF(P448="","",IF(P448&lt;Setup!$C$5-Setup!$C$6,"",IF(IF(ISNUMBER(Roster!$D448),Setup!$C$34&lt;=Roster!$D448,FALSE),"",IF(OR(IF(Setup!$C$15&lt;=Setup!$C$16,AND(MONTH(P448)&gt;=Setup!$C$15,MONTH(P448)&lt;=Setup!$C$16),OR(MONTH(P448)&gt;=Setup!$C$15,MONTH(P448)&lt;=Setup!$C$16)),IF(Setup!$C$15&lt;=Setup!$C$16,AND(MONTH(WORKDAY(P448,-(Setup!$C$13+Setup!$G$34),Setup!$C$39:$C$50))&gt;=Setup!$C$15,MONTH(WORKDAY(P448,-(Setup!$C$13+Setup!$G$34),Setup!$C$39:$C$50))&lt;=Setup!$C$16),OR(MONTH(WORKDAY(P448,-(Setup!$C$13+Setup!$G$34),Setup!$C$39:$C$50))&gt;=Setup!$C$15,MONTH(WORKDAY(P448,-(Setup!$C$13+Setup!$G$34),Setup!$C$39:$C$50))&lt;=Setup!$C$16))),WORKDAY(P448,-(Setup!$C$13+Setup!$G$34+Setup!$C$14),Setup!$C$39:$C$50),WORKDAY(P448,-(Setup!$C$13+Setup!$G$34),Setup!$C$39:$C$50))+(443*100+15)/10000000)))</f>
        <v/>
      </c>
      <c r="AH448" t="str">
        <f t="shared" si="46"/>
        <v/>
      </c>
      <c r="AI448" t="str">
        <f t="shared" si="47"/>
        <v/>
      </c>
      <c r="AP448" t="str">
        <f>IF(ISNUMBER(Roster!$B448),MAX(1,YEAR(Setup!$C$5)-YEAR(Roster!$B448)+IF(EDATE(Roster!$B448,12*(YEAR(Setup!$C$5)-YEAR(Roster!$B448)))&lt;Setup!$C$5,1,0)),"")</f>
        <v/>
      </c>
      <c r="AQ448" s="32" t="str">
        <f>IF(AP448="","",EDATE(Roster!$B448,12*AP448))</f>
        <v/>
      </c>
      <c r="AR448" t="str">
        <f>IF(AQ448="","",IF(AQ448&lt;DATE(YEAR(Setup!$C$5)+1,MONTH(Setup!$C$5),DAY(Setup!$C$5)),AQ448+443/1000,""))</f>
        <v/>
      </c>
      <c r="AS448" t="str">
        <f t="shared" si="48"/>
        <v/>
      </c>
      <c r="AT448" t="str">
        <f>IF(AS448="","",IF(ISNUMBER(Roster!$D448),Roster!$D448&gt;=AP448,FALSE))</f>
        <v/>
      </c>
      <c r="AU448" t="str">
        <f t="shared" si="49"/>
        <v/>
      </c>
      <c r="AV448" t="str">
        <f ca="1">IF(443&gt;$AV$2,"",SMALL($AR$6:$AR$505,443))</f>
        <v/>
      </c>
      <c r="AW448" t="str">
        <f t="shared" ca="1" si="50"/>
        <v/>
      </c>
    </row>
    <row r="449" spans="2:49" x14ac:dyDescent="0.2">
      <c r="B449" s="32" t="str">
        <f>IF(AND(ISNUMBER(Roster!$B449),Setup!$B$20="Yes",ISNUMBER(Setup!$C$20)),EDATE(Roster!$B449,12*Setup!$C$20),"")</f>
        <v/>
      </c>
      <c r="C449" s="32" t="str">
        <f>IF(AND(ISNUMBER(Roster!$B449),Setup!$B$21="Yes",ISNUMBER(Setup!$C$21)),EDATE(Roster!$B449,12*Setup!$C$21),"")</f>
        <v/>
      </c>
      <c r="D449" s="32" t="str">
        <f>IF(AND(ISNUMBER(Roster!$B449),Setup!$B$22="Yes",ISNUMBER(Setup!$C$22)),EDATE(Roster!$B449,12*Setup!$C$22),"")</f>
        <v/>
      </c>
      <c r="E449" s="32" t="str">
        <f>IF(AND(ISNUMBER(Roster!$B449),Setup!$B$23="Yes",ISNUMBER(Setup!$C$23)),EDATE(Roster!$B449,12*Setup!$C$23),"")</f>
        <v/>
      </c>
      <c r="F449" s="32" t="str">
        <f>IF(AND(ISNUMBER(Roster!$B449),Setup!$B$24="Yes",ISNUMBER(Setup!$C$24)),EDATE(Roster!$B449,12*Setup!$C$24),"")</f>
        <v/>
      </c>
      <c r="G449" s="32" t="str">
        <f>IF(AND(ISNUMBER(Roster!$B449),Setup!$B$25="Yes",ISNUMBER(Setup!$C$25)),EDATE(Roster!$B449,12*Setup!$C$25),"")</f>
        <v/>
      </c>
      <c r="H449" s="32" t="str">
        <f>IF(AND(ISNUMBER(Roster!$B449),Setup!$B$26="Yes",ISNUMBER(Setup!$C$26)),EDATE(Roster!$B449,12*Setup!$C$26),"")</f>
        <v/>
      </c>
      <c r="I449" s="32" t="str">
        <f>IF(AND(ISNUMBER(Roster!$B449),Setup!$B$27="Yes",ISNUMBER(Setup!$C$27)),EDATE(Roster!$B449,12*Setup!$C$27),"")</f>
        <v/>
      </c>
      <c r="J449" s="32" t="str">
        <f>IF(AND(ISNUMBER(Roster!$B449),Setup!$B$28="Yes",ISNUMBER(Setup!$C$28)),EDATE(Roster!$B449,12*Setup!$C$28),"")</f>
        <v/>
      </c>
      <c r="K449" s="32" t="str">
        <f>IF(AND(ISNUMBER(Roster!$B449),Setup!$B$29="Yes",ISNUMBER(Setup!$C$29)),EDATE(Roster!$B449,12*Setup!$C$29),"")</f>
        <v/>
      </c>
      <c r="L449" s="32" t="str">
        <f>IF(AND(ISNUMBER(Roster!$B449),Setup!$B$30="Yes",ISNUMBER(Setup!$C$30)),EDATE(Roster!$B449,12*Setup!$C$30),"")</f>
        <v/>
      </c>
      <c r="M449" s="32" t="str">
        <f>IF(AND(ISNUMBER(Roster!$B449),Setup!$B$31="Yes",ISNUMBER(Setup!$C$31)),EDATE(Roster!$B449,12*Setup!$C$31),"")</f>
        <v/>
      </c>
      <c r="N449" s="32" t="str">
        <f>IF(AND(ISNUMBER(Roster!$B449),Setup!$B$32="Yes",ISNUMBER(Setup!$C$32)),EDATE(Roster!$B449,12*Setup!$C$32),"")</f>
        <v/>
      </c>
      <c r="O449" s="32" t="str">
        <f>IF(AND(ISNUMBER(Roster!$B449),Setup!$B$33="Yes",ISNUMBER(Setup!$C$33)),EDATE(Roster!$B449,12*Setup!$C$33),"")</f>
        <v/>
      </c>
      <c r="P449" s="32" t="str">
        <f>IF(AND(ISNUMBER(Roster!$B449),Setup!$B$34="Yes",ISNUMBER(Setup!$C$34)),EDATE(Roster!$B449,12*Setup!$C$34),"")</f>
        <v/>
      </c>
      <c r="R449" t="str">
        <f>IF(B449="","",IF(B449&lt;Setup!$C$5-Setup!$C$6,"",IF(IF(ISNUMBER(Roster!$D449),Setup!$C$20&lt;=Roster!$D449,FALSE),"",IF(OR(IF(Setup!$C$15&lt;=Setup!$C$16,AND(MONTH(B449)&gt;=Setup!$C$15,MONTH(B449)&lt;=Setup!$C$16),OR(MONTH(B449)&gt;=Setup!$C$15,MONTH(B449)&lt;=Setup!$C$16)),IF(Setup!$C$15&lt;=Setup!$C$16,AND(MONTH(WORKDAY(B449,-(Setup!$C$13+Setup!$G$20),Setup!$C$39:$C$50))&gt;=Setup!$C$15,MONTH(WORKDAY(B449,-(Setup!$C$13+Setup!$G$20),Setup!$C$39:$C$50))&lt;=Setup!$C$16),OR(MONTH(WORKDAY(B449,-(Setup!$C$13+Setup!$G$20),Setup!$C$39:$C$50))&gt;=Setup!$C$15,MONTH(WORKDAY(B449,-(Setup!$C$13+Setup!$G$20),Setup!$C$39:$C$50))&lt;=Setup!$C$16))),WORKDAY(B449,-(Setup!$C$13+Setup!$G$20+Setup!$C$14),Setup!$C$39:$C$50),WORKDAY(B449,-(Setup!$C$13+Setup!$G$20),Setup!$C$39:$C$50))+(444*100+1)/10000000)))</f>
        <v/>
      </c>
      <c r="S449" t="str">
        <f>IF(C449="","",IF(C449&lt;Setup!$C$5-Setup!$C$6,"",IF(IF(ISNUMBER(Roster!$D449),Setup!$C$21&lt;=Roster!$D449,FALSE),"",IF(OR(IF(Setup!$C$15&lt;=Setup!$C$16,AND(MONTH(C449)&gt;=Setup!$C$15,MONTH(C449)&lt;=Setup!$C$16),OR(MONTH(C449)&gt;=Setup!$C$15,MONTH(C449)&lt;=Setup!$C$16)),IF(Setup!$C$15&lt;=Setup!$C$16,AND(MONTH(WORKDAY(C449,-(Setup!$C$13+Setup!$G$21),Setup!$C$39:$C$50))&gt;=Setup!$C$15,MONTH(WORKDAY(C449,-(Setup!$C$13+Setup!$G$21),Setup!$C$39:$C$50))&lt;=Setup!$C$16),OR(MONTH(WORKDAY(C449,-(Setup!$C$13+Setup!$G$21),Setup!$C$39:$C$50))&gt;=Setup!$C$15,MONTH(WORKDAY(C449,-(Setup!$C$13+Setup!$G$21),Setup!$C$39:$C$50))&lt;=Setup!$C$16))),WORKDAY(C449,-(Setup!$C$13+Setup!$G$21+Setup!$C$14),Setup!$C$39:$C$50),WORKDAY(C449,-(Setup!$C$13+Setup!$G$21),Setup!$C$39:$C$50))+(444*100+2)/10000000)))</f>
        <v/>
      </c>
      <c r="T449" t="str">
        <f>IF(D449="","",IF(D449&lt;Setup!$C$5-Setup!$C$6,"",IF(IF(ISNUMBER(Roster!$D449),Setup!$C$22&lt;=Roster!$D449,FALSE),"",IF(OR(IF(Setup!$C$15&lt;=Setup!$C$16,AND(MONTH(D449)&gt;=Setup!$C$15,MONTH(D449)&lt;=Setup!$C$16),OR(MONTH(D449)&gt;=Setup!$C$15,MONTH(D449)&lt;=Setup!$C$16)),IF(Setup!$C$15&lt;=Setup!$C$16,AND(MONTH(WORKDAY(D449,-(Setup!$C$13+Setup!$G$22),Setup!$C$39:$C$50))&gt;=Setup!$C$15,MONTH(WORKDAY(D449,-(Setup!$C$13+Setup!$G$22),Setup!$C$39:$C$50))&lt;=Setup!$C$16),OR(MONTH(WORKDAY(D449,-(Setup!$C$13+Setup!$G$22),Setup!$C$39:$C$50))&gt;=Setup!$C$15,MONTH(WORKDAY(D449,-(Setup!$C$13+Setup!$G$22),Setup!$C$39:$C$50))&lt;=Setup!$C$16))),WORKDAY(D449,-(Setup!$C$13+Setup!$G$22+Setup!$C$14),Setup!$C$39:$C$50),WORKDAY(D449,-(Setup!$C$13+Setup!$G$22),Setup!$C$39:$C$50))+(444*100+3)/10000000)))</f>
        <v/>
      </c>
      <c r="U449" t="str">
        <f>IF(E449="","",IF(E449&lt;Setup!$C$5-Setup!$C$6,"",IF(IF(ISNUMBER(Roster!$D449),Setup!$C$23&lt;=Roster!$D449,FALSE),"",IF(OR(IF(Setup!$C$15&lt;=Setup!$C$16,AND(MONTH(E449)&gt;=Setup!$C$15,MONTH(E449)&lt;=Setup!$C$16),OR(MONTH(E449)&gt;=Setup!$C$15,MONTH(E449)&lt;=Setup!$C$16)),IF(Setup!$C$15&lt;=Setup!$C$16,AND(MONTH(WORKDAY(E449,-(Setup!$C$13+Setup!$G$23),Setup!$C$39:$C$50))&gt;=Setup!$C$15,MONTH(WORKDAY(E449,-(Setup!$C$13+Setup!$G$23),Setup!$C$39:$C$50))&lt;=Setup!$C$16),OR(MONTH(WORKDAY(E449,-(Setup!$C$13+Setup!$G$23),Setup!$C$39:$C$50))&gt;=Setup!$C$15,MONTH(WORKDAY(E449,-(Setup!$C$13+Setup!$G$23),Setup!$C$39:$C$50))&lt;=Setup!$C$16))),WORKDAY(E449,-(Setup!$C$13+Setup!$G$23+Setup!$C$14),Setup!$C$39:$C$50),WORKDAY(E449,-(Setup!$C$13+Setup!$G$23),Setup!$C$39:$C$50))+(444*100+4)/10000000)))</f>
        <v/>
      </c>
      <c r="V449" t="str">
        <f>IF(F449="","",IF(F449&lt;Setup!$C$5-Setup!$C$6,"",IF(IF(ISNUMBER(Roster!$D449),Setup!$C$24&lt;=Roster!$D449,FALSE),"",IF(OR(IF(Setup!$C$15&lt;=Setup!$C$16,AND(MONTH(F449)&gt;=Setup!$C$15,MONTH(F449)&lt;=Setup!$C$16),OR(MONTH(F449)&gt;=Setup!$C$15,MONTH(F449)&lt;=Setup!$C$16)),IF(Setup!$C$15&lt;=Setup!$C$16,AND(MONTH(WORKDAY(F449,-(Setup!$C$13+Setup!$G$24),Setup!$C$39:$C$50))&gt;=Setup!$C$15,MONTH(WORKDAY(F449,-(Setup!$C$13+Setup!$G$24),Setup!$C$39:$C$50))&lt;=Setup!$C$16),OR(MONTH(WORKDAY(F449,-(Setup!$C$13+Setup!$G$24),Setup!$C$39:$C$50))&gt;=Setup!$C$15,MONTH(WORKDAY(F449,-(Setup!$C$13+Setup!$G$24),Setup!$C$39:$C$50))&lt;=Setup!$C$16))),WORKDAY(F449,-(Setup!$C$13+Setup!$G$24+Setup!$C$14),Setup!$C$39:$C$50),WORKDAY(F449,-(Setup!$C$13+Setup!$G$24),Setup!$C$39:$C$50))+(444*100+5)/10000000)))</f>
        <v/>
      </c>
      <c r="W449" t="str">
        <f>IF(G449="","",IF(G449&lt;Setup!$C$5-Setup!$C$6,"",IF(IF(ISNUMBER(Roster!$D449),Setup!$C$25&lt;=Roster!$D449,FALSE),"",IF(OR(IF(Setup!$C$15&lt;=Setup!$C$16,AND(MONTH(G449)&gt;=Setup!$C$15,MONTH(G449)&lt;=Setup!$C$16),OR(MONTH(G449)&gt;=Setup!$C$15,MONTH(G449)&lt;=Setup!$C$16)),IF(Setup!$C$15&lt;=Setup!$C$16,AND(MONTH(WORKDAY(G449,-(Setup!$C$13+Setup!$G$25),Setup!$C$39:$C$50))&gt;=Setup!$C$15,MONTH(WORKDAY(G449,-(Setup!$C$13+Setup!$G$25),Setup!$C$39:$C$50))&lt;=Setup!$C$16),OR(MONTH(WORKDAY(G449,-(Setup!$C$13+Setup!$G$25),Setup!$C$39:$C$50))&gt;=Setup!$C$15,MONTH(WORKDAY(G449,-(Setup!$C$13+Setup!$G$25),Setup!$C$39:$C$50))&lt;=Setup!$C$16))),WORKDAY(G449,-(Setup!$C$13+Setup!$G$25+Setup!$C$14),Setup!$C$39:$C$50),WORKDAY(G449,-(Setup!$C$13+Setup!$G$25),Setup!$C$39:$C$50))+(444*100+6)/10000000)))</f>
        <v/>
      </c>
      <c r="X449" t="str">
        <f>IF(H449="","",IF(H449&lt;Setup!$C$5-Setup!$C$6,"",IF(IF(ISNUMBER(Roster!$D449),Setup!$C$26&lt;=Roster!$D449,FALSE),"",IF(OR(IF(Setup!$C$15&lt;=Setup!$C$16,AND(MONTH(H449)&gt;=Setup!$C$15,MONTH(H449)&lt;=Setup!$C$16),OR(MONTH(H449)&gt;=Setup!$C$15,MONTH(H449)&lt;=Setup!$C$16)),IF(Setup!$C$15&lt;=Setup!$C$16,AND(MONTH(WORKDAY(H449,-(Setup!$C$13+Setup!$G$26),Setup!$C$39:$C$50))&gt;=Setup!$C$15,MONTH(WORKDAY(H449,-(Setup!$C$13+Setup!$G$26),Setup!$C$39:$C$50))&lt;=Setup!$C$16),OR(MONTH(WORKDAY(H449,-(Setup!$C$13+Setup!$G$26),Setup!$C$39:$C$50))&gt;=Setup!$C$15,MONTH(WORKDAY(H449,-(Setup!$C$13+Setup!$G$26),Setup!$C$39:$C$50))&lt;=Setup!$C$16))),WORKDAY(H449,-(Setup!$C$13+Setup!$G$26+Setup!$C$14),Setup!$C$39:$C$50),WORKDAY(H449,-(Setup!$C$13+Setup!$G$26),Setup!$C$39:$C$50))+(444*100+7)/10000000)))</f>
        <v/>
      </c>
      <c r="Y449" t="str">
        <f>IF(I449="","",IF(I449&lt;Setup!$C$5-Setup!$C$6,"",IF(IF(ISNUMBER(Roster!$D449),Setup!$C$27&lt;=Roster!$D449,FALSE),"",IF(OR(IF(Setup!$C$15&lt;=Setup!$C$16,AND(MONTH(I449)&gt;=Setup!$C$15,MONTH(I449)&lt;=Setup!$C$16),OR(MONTH(I449)&gt;=Setup!$C$15,MONTH(I449)&lt;=Setup!$C$16)),IF(Setup!$C$15&lt;=Setup!$C$16,AND(MONTH(WORKDAY(I449,-(Setup!$C$13+Setup!$G$27),Setup!$C$39:$C$50))&gt;=Setup!$C$15,MONTH(WORKDAY(I449,-(Setup!$C$13+Setup!$G$27),Setup!$C$39:$C$50))&lt;=Setup!$C$16),OR(MONTH(WORKDAY(I449,-(Setup!$C$13+Setup!$G$27),Setup!$C$39:$C$50))&gt;=Setup!$C$15,MONTH(WORKDAY(I449,-(Setup!$C$13+Setup!$G$27),Setup!$C$39:$C$50))&lt;=Setup!$C$16))),WORKDAY(I449,-(Setup!$C$13+Setup!$G$27+Setup!$C$14),Setup!$C$39:$C$50),WORKDAY(I449,-(Setup!$C$13+Setup!$G$27),Setup!$C$39:$C$50))+(444*100+8)/10000000)))</f>
        <v/>
      </c>
      <c r="Z449" t="str">
        <f>IF(J449="","",IF(J449&lt;Setup!$C$5-Setup!$C$6,"",IF(IF(ISNUMBER(Roster!$D449),Setup!$C$28&lt;=Roster!$D449,FALSE),"",IF(OR(IF(Setup!$C$15&lt;=Setup!$C$16,AND(MONTH(J449)&gt;=Setup!$C$15,MONTH(J449)&lt;=Setup!$C$16),OR(MONTH(J449)&gt;=Setup!$C$15,MONTH(J449)&lt;=Setup!$C$16)),IF(Setup!$C$15&lt;=Setup!$C$16,AND(MONTH(WORKDAY(J449,-(Setup!$C$13+Setup!$G$28),Setup!$C$39:$C$50))&gt;=Setup!$C$15,MONTH(WORKDAY(J449,-(Setup!$C$13+Setup!$G$28),Setup!$C$39:$C$50))&lt;=Setup!$C$16),OR(MONTH(WORKDAY(J449,-(Setup!$C$13+Setup!$G$28),Setup!$C$39:$C$50))&gt;=Setup!$C$15,MONTH(WORKDAY(J449,-(Setup!$C$13+Setup!$G$28),Setup!$C$39:$C$50))&lt;=Setup!$C$16))),WORKDAY(J449,-(Setup!$C$13+Setup!$G$28+Setup!$C$14),Setup!$C$39:$C$50),WORKDAY(J449,-(Setup!$C$13+Setup!$G$28),Setup!$C$39:$C$50))+(444*100+9)/10000000)))</f>
        <v/>
      </c>
      <c r="AA449" t="str">
        <f>IF(K449="","",IF(K449&lt;Setup!$C$5-Setup!$C$6,"",IF(IF(ISNUMBER(Roster!$D449),Setup!$C$29&lt;=Roster!$D449,FALSE),"",IF(OR(IF(Setup!$C$15&lt;=Setup!$C$16,AND(MONTH(K449)&gt;=Setup!$C$15,MONTH(K449)&lt;=Setup!$C$16),OR(MONTH(K449)&gt;=Setup!$C$15,MONTH(K449)&lt;=Setup!$C$16)),IF(Setup!$C$15&lt;=Setup!$C$16,AND(MONTH(WORKDAY(K449,-(Setup!$C$13+Setup!$G$29),Setup!$C$39:$C$50))&gt;=Setup!$C$15,MONTH(WORKDAY(K449,-(Setup!$C$13+Setup!$G$29),Setup!$C$39:$C$50))&lt;=Setup!$C$16),OR(MONTH(WORKDAY(K449,-(Setup!$C$13+Setup!$G$29),Setup!$C$39:$C$50))&gt;=Setup!$C$15,MONTH(WORKDAY(K449,-(Setup!$C$13+Setup!$G$29),Setup!$C$39:$C$50))&lt;=Setup!$C$16))),WORKDAY(K449,-(Setup!$C$13+Setup!$G$29+Setup!$C$14),Setup!$C$39:$C$50),WORKDAY(K449,-(Setup!$C$13+Setup!$G$29),Setup!$C$39:$C$50))+(444*100+10)/10000000)))</f>
        <v/>
      </c>
      <c r="AB449" t="str">
        <f>IF(L449="","",IF(L449&lt;Setup!$C$5-Setup!$C$6,"",IF(IF(ISNUMBER(Roster!$D449),Setup!$C$30&lt;=Roster!$D449,FALSE),"",IF(OR(IF(Setup!$C$15&lt;=Setup!$C$16,AND(MONTH(L449)&gt;=Setup!$C$15,MONTH(L449)&lt;=Setup!$C$16),OR(MONTH(L449)&gt;=Setup!$C$15,MONTH(L449)&lt;=Setup!$C$16)),IF(Setup!$C$15&lt;=Setup!$C$16,AND(MONTH(WORKDAY(L449,-(Setup!$C$13+Setup!$G$30),Setup!$C$39:$C$50))&gt;=Setup!$C$15,MONTH(WORKDAY(L449,-(Setup!$C$13+Setup!$G$30),Setup!$C$39:$C$50))&lt;=Setup!$C$16),OR(MONTH(WORKDAY(L449,-(Setup!$C$13+Setup!$G$30),Setup!$C$39:$C$50))&gt;=Setup!$C$15,MONTH(WORKDAY(L449,-(Setup!$C$13+Setup!$G$30),Setup!$C$39:$C$50))&lt;=Setup!$C$16))),WORKDAY(L449,-(Setup!$C$13+Setup!$G$30+Setup!$C$14),Setup!$C$39:$C$50),WORKDAY(L449,-(Setup!$C$13+Setup!$G$30),Setup!$C$39:$C$50))+(444*100+11)/10000000)))</f>
        <v/>
      </c>
      <c r="AC449" t="str">
        <f>IF(M449="","",IF(M449&lt;Setup!$C$5-Setup!$C$6,"",IF(IF(ISNUMBER(Roster!$D449),Setup!$C$31&lt;=Roster!$D449,FALSE),"",IF(OR(IF(Setup!$C$15&lt;=Setup!$C$16,AND(MONTH(M449)&gt;=Setup!$C$15,MONTH(M449)&lt;=Setup!$C$16),OR(MONTH(M449)&gt;=Setup!$C$15,MONTH(M449)&lt;=Setup!$C$16)),IF(Setup!$C$15&lt;=Setup!$C$16,AND(MONTH(WORKDAY(M449,-(Setup!$C$13+Setup!$G$31),Setup!$C$39:$C$50))&gt;=Setup!$C$15,MONTH(WORKDAY(M449,-(Setup!$C$13+Setup!$G$31),Setup!$C$39:$C$50))&lt;=Setup!$C$16),OR(MONTH(WORKDAY(M449,-(Setup!$C$13+Setup!$G$31),Setup!$C$39:$C$50))&gt;=Setup!$C$15,MONTH(WORKDAY(M449,-(Setup!$C$13+Setup!$G$31),Setup!$C$39:$C$50))&lt;=Setup!$C$16))),WORKDAY(M449,-(Setup!$C$13+Setup!$G$31+Setup!$C$14),Setup!$C$39:$C$50),WORKDAY(M449,-(Setup!$C$13+Setup!$G$31),Setup!$C$39:$C$50))+(444*100+12)/10000000)))</f>
        <v/>
      </c>
      <c r="AD449" t="str">
        <f>IF(N449="","",IF(N449&lt;Setup!$C$5-Setup!$C$6,"",IF(IF(ISNUMBER(Roster!$D449),Setup!$C$32&lt;=Roster!$D449,FALSE),"",IF(OR(IF(Setup!$C$15&lt;=Setup!$C$16,AND(MONTH(N449)&gt;=Setup!$C$15,MONTH(N449)&lt;=Setup!$C$16),OR(MONTH(N449)&gt;=Setup!$C$15,MONTH(N449)&lt;=Setup!$C$16)),IF(Setup!$C$15&lt;=Setup!$C$16,AND(MONTH(WORKDAY(N449,-(Setup!$C$13+Setup!$G$32),Setup!$C$39:$C$50))&gt;=Setup!$C$15,MONTH(WORKDAY(N449,-(Setup!$C$13+Setup!$G$32),Setup!$C$39:$C$50))&lt;=Setup!$C$16),OR(MONTH(WORKDAY(N449,-(Setup!$C$13+Setup!$G$32),Setup!$C$39:$C$50))&gt;=Setup!$C$15,MONTH(WORKDAY(N449,-(Setup!$C$13+Setup!$G$32),Setup!$C$39:$C$50))&lt;=Setup!$C$16))),WORKDAY(N449,-(Setup!$C$13+Setup!$G$32+Setup!$C$14),Setup!$C$39:$C$50),WORKDAY(N449,-(Setup!$C$13+Setup!$G$32),Setup!$C$39:$C$50))+(444*100+13)/10000000)))</f>
        <v/>
      </c>
      <c r="AE449" t="str">
        <f>IF(O449="","",IF(O449&lt;Setup!$C$5-Setup!$C$6,"",IF(IF(ISNUMBER(Roster!$D449),Setup!$C$33&lt;=Roster!$D449,FALSE),"",IF(OR(IF(Setup!$C$15&lt;=Setup!$C$16,AND(MONTH(O449)&gt;=Setup!$C$15,MONTH(O449)&lt;=Setup!$C$16),OR(MONTH(O449)&gt;=Setup!$C$15,MONTH(O449)&lt;=Setup!$C$16)),IF(Setup!$C$15&lt;=Setup!$C$16,AND(MONTH(WORKDAY(O449,-(Setup!$C$13+Setup!$G$33),Setup!$C$39:$C$50))&gt;=Setup!$C$15,MONTH(WORKDAY(O449,-(Setup!$C$13+Setup!$G$33),Setup!$C$39:$C$50))&lt;=Setup!$C$16),OR(MONTH(WORKDAY(O449,-(Setup!$C$13+Setup!$G$33),Setup!$C$39:$C$50))&gt;=Setup!$C$15,MONTH(WORKDAY(O449,-(Setup!$C$13+Setup!$G$33),Setup!$C$39:$C$50))&lt;=Setup!$C$16))),WORKDAY(O449,-(Setup!$C$13+Setup!$G$33+Setup!$C$14),Setup!$C$39:$C$50),WORKDAY(O449,-(Setup!$C$13+Setup!$G$33),Setup!$C$39:$C$50))+(444*100+14)/10000000)))</f>
        <v/>
      </c>
      <c r="AF449" t="str">
        <f>IF(P449="","",IF(P449&lt;Setup!$C$5-Setup!$C$6,"",IF(IF(ISNUMBER(Roster!$D449),Setup!$C$34&lt;=Roster!$D449,FALSE),"",IF(OR(IF(Setup!$C$15&lt;=Setup!$C$16,AND(MONTH(P449)&gt;=Setup!$C$15,MONTH(P449)&lt;=Setup!$C$16),OR(MONTH(P449)&gt;=Setup!$C$15,MONTH(P449)&lt;=Setup!$C$16)),IF(Setup!$C$15&lt;=Setup!$C$16,AND(MONTH(WORKDAY(P449,-(Setup!$C$13+Setup!$G$34),Setup!$C$39:$C$50))&gt;=Setup!$C$15,MONTH(WORKDAY(P449,-(Setup!$C$13+Setup!$G$34),Setup!$C$39:$C$50))&lt;=Setup!$C$16),OR(MONTH(WORKDAY(P449,-(Setup!$C$13+Setup!$G$34),Setup!$C$39:$C$50))&gt;=Setup!$C$15,MONTH(WORKDAY(P449,-(Setup!$C$13+Setup!$G$34),Setup!$C$39:$C$50))&lt;=Setup!$C$16))),WORKDAY(P449,-(Setup!$C$13+Setup!$G$34+Setup!$C$14),Setup!$C$39:$C$50),WORKDAY(P449,-(Setup!$C$13+Setup!$G$34),Setup!$C$39:$C$50))+(444*100+15)/10000000)))</f>
        <v/>
      </c>
      <c r="AH449" t="str">
        <f t="shared" si="46"/>
        <v/>
      </c>
      <c r="AI449" t="str">
        <f t="shared" si="47"/>
        <v/>
      </c>
      <c r="AP449" t="str">
        <f>IF(ISNUMBER(Roster!$B449),MAX(1,YEAR(Setup!$C$5)-YEAR(Roster!$B449)+IF(EDATE(Roster!$B449,12*(YEAR(Setup!$C$5)-YEAR(Roster!$B449)))&lt;Setup!$C$5,1,0)),"")</f>
        <v/>
      </c>
      <c r="AQ449" s="32" t="str">
        <f>IF(AP449="","",EDATE(Roster!$B449,12*AP449))</f>
        <v/>
      </c>
      <c r="AR449" t="str">
        <f>IF(AQ449="","",IF(AQ449&lt;DATE(YEAR(Setup!$C$5)+1,MONTH(Setup!$C$5),DAY(Setup!$C$5)),AQ449+444/1000,""))</f>
        <v/>
      </c>
      <c r="AS449" t="str">
        <f t="shared" si="48"/>
        <v/>
      </c>
      <c r="AT449" t="str">
        <f>IF(AS449="","",IF(ISNUMBER(Roster!$D449),Roster!$D449&gt;=AP449,FALSE))</f>
        <v/>
      </c>
      <c r="AU449" t="str">
        <f t="shared" si="49"/>
        <v/>
      </c>
      <c r="AV449" t="str">
        <f ca="1">IF(444&gt;$AV$2,"",SMALL($AR$6:$AR$505,444))</f>
        <v/>
      </c>
      <c r="AW449" t="str">
        <f t="shared" ca="1" si="50"/>
        <v/>
      </c>
    </row>
    <row r="450" spans="2:49" x14ac:dyDescent="0.2">
      <c r="B450" s="32" t="str">
        <f>IF(AND(ISNUMBER(Roster!$B450),Setup!$B$20="Yes",ISNUMBER(Setup!$C$20)),EDATE(Roster!$B450,12*Setup!$C$20),"")</f>
        <v/>
      </c>
      <c r="C450" s="32" t="str">
        <f>IF(AND(ISNUMBER(Roster!$B450),Setup!$B$21="Yes",ISNUMBER(Setup!$C$21)),EDATE(Roster!$B450,12*Setup!$C$21),"")</f>
        <v/>
      </c>
      <c r="D450" s="32" t="str">
        <f>IF(AND(ISNUMBER(Roster!$B450),Setup!$B$22="Yes",ISNUMBER(Setup!$C$22)),EDATE(Roster!$B450,12*Setup!$C$22),"")</f>
        <v/>
      </c>
      <c r="E450" s="32" t="str">
        <f>IF(AND(ISNUMBER(Roster!$B450),Setup!$B$23="Yes",ISNUMBER(Setup!$C$23)),EDATE(Roster!$B450,12*Setup!$C$23),"")</f>
        <v/>
      </c>
      <c r="F450" s="32" t="str">
        <f>IF(AND(ISNUMBER(Roster!$B450),Setup!$B$24="Yes",ISNUMBER(Setup!$C$24)),EDATE(Roster!$B450,12*Setup!$C$24),"")</f>
        <v/>
      </c>
      <c r="G450" s="32" t="str">
        <f>IF(AND(ISNUMBER(Roster!$B450),Setup!$B$25="Yes",ISNUMBER(Setup!$C$25)),EDATE(Roster!$B450,12*Setup!$C$25),"")</f>
        <v/>
      </c>
      <c r="H450" s="32" t="str">
        <f>IF(AND(ISNUMBER(Roster!$B450),Setup!$B$26="Yes",ISNUMBER(Setup!$C$26)),EDATE(Roster!$B450,12*Setup!$C$26),"")</f>
        <v/>
      </c>
      <c r="I450" s="32" t="str">
        <f>IF(AND(ISNUMBER(Roster!$B450),Setup!$B$27="Yes",ISNUMBER(Setup!$C$27)),EDATE(Roster!$B450,12*Setup!$C$27),"")</f>
        <v/>
      </c>
      <c r="J450" s="32" t="str">
        <f>IF(AND(ISNUMBER(Roster!$B450),Setup!$B$28="Yes",ISNUMBER(Setup!$C$28)),EDATE(Roster!$B450,12*Setup!$C$28),"")</f>
        <v/>
      </c>
      <c r="K450" s="32" t="str">
        <f>IF(AND(ISNUMBER(Roster!$B450),Setup!$B$29="Yes",ISNUMBER(Setup!$C$29)),EDATE(Roster!$B450,12*Setup!$C$29),"")</f>
        <v/>
      </c>
      <c r="L450" s="32" t="str">
        <f>IF(AND(ISNUMBER(Roster!$B450),Setup!$B$30="Yes",ISNUMBER(Setup!$C$30)),EDATE(Roster!$B450,12*Setup!$C$30),"")</f>
        <v/>
      </c>
      <c r="M450" s="32" t="str">
        <f>IF(AND(ISNUMBER(Roster!$B450),Setup!$B$31="Yes",ISNUMBER(Setup!$C$31)),EDATE(Roster!$B450,12*Setup!$C$31),"")</f>
        <v/>
      </c>
      <c r="N450" s="32" t="str">
        <f>IF(AND(ISNUMBER(Roster!$B450),Setup!$B$32="Yes",ISNUMBER(Setup!$C$32)),EDATE(Roster!$B450,12*Setup!$C$32),"")</f>
        <v/>
      </c>
      <c r="O450" s="32" t="str">
        <f>IF(AND(ISNUMBER(Roster!$B450),Setup!$B$33="Yes",ISNUMBER(Setup!$C$33)),EDATE(Roster!$B450,12*Setup!$C$33),"")</f>
        <v/>
      </c>
      <c r="P450" s="32" t="str">
        <f>IF(AND(ISNUMBER(Roster!$B450),Setup!$B$34="Yes",ISNUMBER(Setup!$C$34)),EDATE(Roster!$B450,12*Setup!$C$34),"")</f>
        <v/>
      </c>
      <c r="R450" t="str">
        <f>IF(B450="","",IF(B450&lt;Setup!$C$5-Setup!$C$6,"",IF(IF(ISNUMBER(Roster!$D450),Setup!$C$20&lt;=Roster!$D450,FALSE),"",IF(OR(IF(Setup!$C$15&lt;=Setup!$C$16,AND(MONTH(B450)&gt;=Setup!$C$15,MONTH(B450)&lt;=Setup!$C$16),OR(MONTH(B450)&gt;=Setup!$C$15,MONTH(B450)&lt;=Setup!$C$16)),IF(Setup!$C$15&lt;=Setup!$C$16,AND(MONTH(WORKDAY(B450,-(Setup!$C$13+Setup!$G$20),Setup!$C$39:$C$50))&gt;=Setup!$C$15,MONTH(WORKDAY(B450,-(Setup!$C$13+Setup!$G$20),Setup!$C$39:$C$50))&lt;=Setup!$C$16),OR(MONTH(WORKDAY(B450,-(Setup!$C$13+Setup!$G$20),Setup!$C$39:$C$50))&gt;=Setup!$C$15,MONTH(WORKDAY(B450,-(Setup!$C$13+Setup!$G$20),Setup!$C$39:$C$50))&lt;=Setup!$C$16))),WORKDAY(B450,-(Setup!$C$13+Setup!$G$20+Setup!$C$14),Setup!$C$39:$C$50),WORKDAY(B450,-(Setup!$C$13+Setup!$G$20),Setup!$C$39:$C$50))+(445*100+1)/10000000)))</f>
        <v/>
      </c>
      <c r="S450" t="str">
        <f>IF(C450="","",IF(C450&lt;Setup!$C$5-Setup!$C$6,"",IF(IF(ISNUMBER(Roster!$D450),Setup!$C$21&lt;=Roster!$D450,FALSE),"",IF(OR(IF(Setup!$C$15&lt;=Setup!$C$16,AND(MONTH(C450)&gt;=Setup!$C$15,MONTH(C450)&lt;=Setup!$C$16),OR(MONTH(C450)&gt;=Setup!$C$15,MONTH(C450)&lt;=Setup!$C$16)),IF(Setup!$C$15&lt;=Setup!$C$16,AND(MONTH(WORKDAY(C450,-(Setup!$C$13+Setup!$G$21),Setup!$C$39:$C$50))&gt;=Setup!$C$15,MONTH(WORKDAY(C450,-(Setup!$C$13+Setup!$G$21),Setup!$C$39:$C$50))&lt;=Setup!$C$16),OR(MONTH(WORKDAY(C450,-(Setup!$C$13+Setup!$G$21),Setup!$C$39:$C$50))&gt;=Setup!$C$15,MONTH(WORKDAY(C450,-(Setup!$C$13+Setup!$G$21),Setup!$C$39:$C$50))&lt;=Setup!$C$16))),WORKDAY(C450,-(Setup!$C$13+Setup!$G$21+Setup!$C$14),Setup!$C$39:$C$50),WORKDAY(C450,-(Setup!$C$13+Setup!$G$21),Setup!$C$39:$C$50))+(445*100+2)/10000000)))</f>
        <v/>
      </c>
      <c r="T450" t="str">
        <f>IF(D450="","",IF(D450&lt;Setup!$C$5-Setup!$C$6,"",IF(IF(ISNUMBER(Roster!$D450),Setup!$C$22&lt;=Roster!$D450,FALSE),"",IF(OR(IF(Setup!$C$15&lt;=Setup!$C$16,AND(MONTH(D450)&gt;=Setup!$C$15,MONTH(D450)&lt;=Setup!$C$16),OR(MONTH(D450)&gt;=Setup!$C$15,MONTH(D450)&lt;=Setup!$C$16)),IF(Setup!$C$15&lt;=Setup!$C$16,AND(MONTH(WORKDAY(D450,-(Setup!$C$13+Setup!$G$22),Setup!$C$39:$C$50))&gt;=Setup!$C$15,MONTH(WORKDAY(D450,-(Setup!$C$13+Setup!$G$22),Setup!$C$39:$C$50))&lt;=Setup!$C$16),OR(MONTH(WORKDAY(D450,-(Setup!$C$13+Setup!$G$22),Setup!$C$39:$C$50))&gt;=Setup!$C$15,MONTH(WORKDAY(D450,-(Setup!$C$13+Setup!$G$22),Setup!$C$39:$C$50))&lt;=Setup!$C$16))),WORKDAY(D450,-(Setup!$C$13+Setup!$G$22+Setup!$C$14),Setup!$C$39:$C$50),WORKDAY(D450,-(Setup!$C$13+Setup!$G$22),Setup!$C$39:$C$50))+(445*100+3)/10000000)))</f>
        <v/>
      </c>
      <c r="U450" t="str">
        <f>IF(E450="","",IF(E450&lt;Setup!$C$5-Setup!$C$6,"",IF(IF(ISNUMBER(Roster!$D450),Setup!$C$23&lt;=Roster!$D450,FALSE),"",IF(OR(IF(Setup!$C$15&lt;=Setup!$C$16,AND(MONTH(E450)&gt;=Setup!$C$15,MONTH(E450)&lt;=Setup!$C$16),OR(MONTH(E450)&gt;=Setup!$C$15,MONTH(E450)&lt;=Setup!$C$16)),IF(Setup!$C$15&lt;=Setup!$C$16,AND(MONTH(WORKDAY(E450,-(Setup!$C$13+Setup!$G$23),Setup!$C$39:$C$50))&gt;=Setup!$C$15,MONTH(WORKDAY(E450,-(Setup!$C$13+Setup!$G$23),Setup!$C$39:$C$50))&lt;=Setup!$C$16),OR(MONTH(WORKDAY(E450,-(Setup!$C$13+Setup!$G$23),Setup!$C$39:$C$50))&gt;=Setup!$C$15,MONTH(WORKDAY(E450,-(Setup!$C$13+Setup!$G$23),Setup!$C$39:$C$50))&lt;=Setup!$C$16))),WORKDAY(E450,-(Setup!$C$13+Setup!$G$23+Setup!$C$14),Setup!$C$39:$C$50),WORKDAY(E450,-(Setup!$C$13+Setup!$G$23),Setup!$C$39:$C$50))+(445*100+4)/10000000)))</f>
        <v/>
      </c>
      <c r="V450" t="str">
        <f>IF(F450="","",IF(F450&lt;Setup!$C$5-Setup!$C$6,"",IF(IF(ISNUMBER(Roster!$D450),Setup!$C$24&lt;=Roster!$D450,FALSE),"",IF(OR(IF(Setup!$C$15&lt;=Setup!$C$16,AND(MONTH(F450)&gt;=Setup!$C$15,MONTH(F450)&lt;=Setup!$C$16),OR(MONTH(F450)&gt;=Setup!$C$15,MONTH(F450)&lt;=Setup!$C$16)),IF(Setup!$C$15&lt;=Setup!$C$16,AND(MONTH(WORKDAY(F450,-(Setup!$C$13+Setup!$G$24),Setup!$C$39:$C$50))&gt;=Setup!$C$15,MONTH(WORKDAY(F450,-(Setup!$C$13+Setup!$G$24),Setup!$C$39:$C$50))&lt;=Setup!$C$16),OR(MONTH(WORKDAY(F450,-(Setup!$C$13+Setup!$G$24),Setup!$C$39:$C$50))&gt;=Setup!$C$15,MONTH(WORKDAY(F450,-(Setup!$C$13+Setup!$G$24),Setup!$C$39:$C$50))&lt;=Setup!$C$16))),WORKDAY(F450,-(Setup!$C$13+Setup!$G$24+Setup!$C$14),Setup!$C$39:$C$50),WORKDAY(F450,-(Setup!$C$13+Setup!$G$24),Setup!$C$39:$C$50))+(445*100+5)/10000000)))</f>
        <v/>
      </c>
      <c r="W450" t="str">
        <f>IF(G450="","",IF(G450&lt;Setup!$C$5-Setup!$C$6,"",IF(IF(ISNUMBER(Roster!$D450),Setup!$C$25&lt;=Roster!$D450,FALSE),"",IF(OR(IF(Setup!$C$15&lt;=Setup!$C$16,AND(MONTH(G450)&gt;=Setup!$C$15,MONTH(G450)&lt;=Setup!$C$16),OR(MONTH(G450)&gt;=Setup!$C$15,MONTH(G450)&lt;=Setup!$C$16)),IF(Setup!$C$15&lt;=Setup!$C$16,AND(MONTH(WORKDAY(G450,-(Setup!$C$13+Setup!$G$25),Setup!$C$39:$C$50))&gt;=Setup!$C$15,MONTH(WORKDAY(G450,-(Setup!$C$13+Setup!$G$25),Setup!$C$39:$C$50))&lt;=Setup!$C$16),OR(MONTH(WORKDAY(G450,-(Setup!$C$13+Setup!$G$25),Setup!$C$39:$C$50))&gt;=Setup!$C$15,MONTH(WORKDAY(G450,-(Setup!$C$13+Setup!$G$25),Setup!$C$39:$C$50))&lt;=Setup!$C$16))),WORKDAY(G450,-(Setup!$C$13+Setup!$G$25+Setup!$C$14),Setup!$C$39:$C$50),WORKDAY(G450,-(Setup!$C$13+Setup!$G$25),Setup!$C$39:$C$50))+(445*100+6)/10000000)))</f>
        <v/>
      </c>
      <c r="X450" t="str">
        <f>IF(H450="","",IF(H450&lt;Setup!$C$5-Setup!$C$6,"",IF(IF(ISNUMBER(Roster!$D450),Setup!$C$26&lt;=Roster!$D450,FALSE),"",IF(OR(IF(Setup!$C$15&lt;=Setup!$C$16,AND(MONTH(H450)&gt;=Setup!$C$15,MONTH(H450)&lt;=Setup!$C$16),OR(MONTH(H450)&gt;=Setup!$C$15,MONTH(H450)&lt;=Setup!$C$16)),IF(Setup!$C$15&lt;=Setup!$C$16,AND(MONTH(WORKDAY(H450,-(Setup!$C$13+Setup!$G$26),Setup!$C$39:$C$50))&gt;=Setup!$C$15,MONTH(WORKDAY(H450,-(Setup!$C$13+Setup!$G$26),Setup!$C$39:$C$50))&lt;=Setup!$C$16),OR(MONTH(WORKDAY(H450,-(Setup!$C$13+Setup!$G$26),Setup!$C$39:$C$50))&gt;=Setup!$C$15,MONTH(WORKDAY(H450,-(Setup!$C$13+Setup!$G$26),Setup!$C$39:$C$50))&lt;=Setup!$C$16))),WORKDAY(H450,-(Setup!$C$13+Setup!$G$26+Setup!$C$14),Setup!$C$39:$C$50),WORKDAY(H450,-(Setup!$C$13+Setup!$G$26),Setup!$C$39:$C$50))+(445*100+7)/10000000)))</f>
        <v/>
      </c>
      <c r="Y450" t="str">
        <f>IF(I450="","",IF(I450&lt;Setup!$C$5-Setup!$C$6,"",IF(IF(ISNUMBER(Roster!$D450),Setup!$C$27&lt;=Roster!$D450,FALSE),"",IF(OR(IF(Setup!$C$15&lt;=Setup!$C$16,AND(MONTH(I450)&gt;=Setup!$C$15,MONTH(I450)&lt;=Setup!$C$16),OR(MONTH(I450)&gt;=Setup!$C$15,MONTH(I450)&lt;=Setup!$C$16)),IF(Setup!$C$15&lt;=Setup!$C$16,AND(MONTH(WORKDAY(I450,-(Setup!$C$13+Setup!$G$27),Setup!$C$39:$C$50))&gt;=Setup!$C$15,MONTH(WORKDAY(I450,-(Setup!$C$13+Setup!$G$27),Setup!$C$39:$C$50))&lt;=Setup!$C$16),OR(MONTH(WORKDAY(I450,-(Setup!$C$13+Setup!$G$27),Setup!$C$39:$C$50))&gt;=Setup!$C$15,MONTH(WORKDAY(I450,-(Setup!$C$13+Setup!$G$27),Setup!$C$39:$C$50))&lt;=Setup!$C$16))),WORKDAY(I450,-(Setup!$C$13+Setup!$G$27+Setup!$C$14),Setup!$C$39:$C$50),WORKDAY(I450,-(Setup!$C$13+Setup!$G$27),Setup!$C$39:$C$50))+(445*100+8)/10000000)))</f>
        <v/>
      </c>
      <c r="Z450" t="str">
        <f>IF(J450="","",IF(J450&lt;Setup!$C$5-Setup!$C$6,"",IF(IF(ISNUMBER(Roster!$D450),Setup!$C$28&lt;=Roster!$D450,FALSE),"",IF(OR(IF(Setup!$C$15&lt;=Setup!$C$16,AND(MONTH(J450)&gt;=Setup!$C$15,MONTH(J450)&lt;=Setup!$C$16),OR(MONTH(J450)&gt;=Setup!$C$15,MONTH(J450)&lt;=Setup!$C$16)),IF(Setup!$C$15&lt;=Setup!$C$16,AND(MONTH(WORKDAY(J450,-(Setup!$C$13+Setup!$G$28),Setup!$C$39:$C$50))&gt;=Setup!$C$15,MONTH(WORKDAY(J450,-(Setup!$C$13+Setup!$G$28),Setup!$C$39:$C$50))&lt;=Setup!$C$16),OR(MONTH(WORKDAY(J450,-(Setup!$C$13+Setup!$G$28),Setup!$C$39:$C$50))&gt;=Setup!$C$15,MONTH(WORKDAY(J450,-(Setup!$C$13+Setup!$G$28),Setup!$C$39:$C$50))&lt;=Setup!$C$16))),WORKDAY(J450,-(Setup!$C$13+Setup!$G$28+Setup!$C$14),Setup!$C$39:$C$50),WORKDAY(J450,-(Setup!$C$13+Setup!$G$28),Setup!$C$39:$C$50))+(445*100+9)/10000000)))</f>
        <v/>
      </c>
      <c r="AA450" t="str">
        <f>IF(K450="","",IF(K450&lt;Setup!$C$5-Setup!$C$6,"",IF(IF(ISNUMBER(Roster!$D450),Setup!$C$29&lt;=Roster!$D450,FALSE),"",IF(OR(IF(Setup!$C$15&lt;=Setup!$C$16,AND(MONTH(K450)&gt;=Setup!$C$15,MONTH(K450)&lt;=Setup!$C$16),OR(MONTH(K450)&gt;=Setup!$C$15,MONTH(K450)&lt;=Setup!$C$16)),IF(Setup!$C$15&lt;=Setup!$C$16,AND(MONTH(WORKDAY(K450,-(Setup!$C$13+Setup!$G$29),Setup!$C$39:$C$50))&gt;=Setup!$C$15,MONTH(WORKDAY(K450,-(Setup!$C$13+Setup!$G$29),Setup!$C$39:$C$50))&lt;=Setup!$C$16),OR(MONTH(WORKDAY(K450,-(Setup!$C$13+Setup!$G$29),Setup!$C$39:$C$50))&gt;=Setup!$C$15,MONTH(WORKDAY(K450,-(Setup!$C$13+Setup!$G$29),Setup!$C$39:$C$50))&lt;=Setup!$C$16))),WORKDAY(K450,-(Setup!$C$13+Setup!$G$29+Setup!$C$14),Setup!$C$39:$C$50),WORKDAY(K450,-(Setup!$C$13+Setup!$G$29),Setup!$C$39:$C$50))+(445*100+10)/10000000)))</f>
        <v/>
      </c>
      <c r="AB450" t="str">
        <f>IF(L450="","",IF(L450&lt;Setup!$C$5-Setup!$C$6,"",IF(IF(ISNUMBER(Roster!$D450),Setup!$C$30&lt;=Roster!$D450,FALSE),"",IF(OR(IF(Setup!$C$15&lt;=Setup!$C$16,AND(MONTH(L450)&gt;=Setup!$C$15,MONTH(L450)&lt;=Setup!$C$16),OR(MONTH(L450)&gt;=Setup!$C$15,MONTH(L450)&lt;=Setup!$C$16)),IF(Setup!$C$15&lt;=Setup!$C$16,AND(MONTH(WORKDAY(L450,-(Setup!$C$13+Setup!$G$30),Setup!$C$39:$C$50))&gt;=Setup!$C$15,MONTH(WORKDAY(L450,-(Setup!$C$13+Setup!$G$30),Setup!$C$39:$C$50))&lt;=Setup!$C$16),OR(MONTH(WORKDAY(L450,-(Setup!$C$13+Setup!$G$30),Setup!$C$39:$C$50))&gt;=Setup!$C$15,MONTH(WORKDAY(L450,-(Setup!$C$13+Setup!$G$30),Setup!$C$39:$C$50))&lt;=Setup!$C$16))),WORKDAY(L450,-(Setup!$C$13+Setup!$G$30+Setup!$C$14),Setup!$C$39:$C$50),WORKDAY(L450,-(Setup!$C$13+Setup!$G$30),Setup!$C$39:$C$50))+(445*100+11)/10000000)))</f>
        <v/>
      </c>
      <c r="AC450" t="str">
        <f>IF(M450="","",IF(M450&lt;Setup!$C$5-Setup!$C$6,"",IF(IF(ISNUMBER(Roster!$D450),Setup!$C$31&lt;=Roster!$D450,FALSE),"",IF(OR(IF(Setup!$C$15&lt;=Setup!$C$16,AND(MONTH(M450)&gt;=Setup!$C$15,MONTH(M450)&lt;=Setup!$C$16),OR(MONTH(M450)&gt;=Setup!$C$15,MONTH(M450)&lt;=Setup!$C$16)),IF(Setup!$C$15&lt;=Setup!$C$16,AND(MONTH(WORKDAY(M450,-(Setup!$C$13+Setup!$G$31),Setup!$C$39:$C$50))&gt;=Setup!$C$15,MONTH(WORKDAY(M450,-(Setup!$C$13+Setup!$G$31),Setup!$C$39:$C$50))&lt;=Setup!$C$16),OR(MONTH(WORKDAY(M450,-(Setup!$C$13+Setup!$G$31),Setup!$C$39:$C$50))&gt;=Setup!$C$15,MONTH(WORKDAY(M450,-(Setup!$C$13+Setup!$G$31),Setup!$C$39:$C$50))&lt;=Setup!$C$16))),WORKDAY(M450,-(Setup!$C$13+Setup!$G$31+Setup!$C$14),Setup!$C$39:$C$50),WORKDAY(M450,-(Setup!$C$13+Setup!$G$31),Setup!$C$39:$C$50))+(445*100+12)/10000000)))</f>
        <v/>
      </c>
      <c r="AD450" t="str">
        <f>IF(N450="","",IF(N450&lt;Setup!$C$5-Setup!$C$6,"",IF(IF(ISNUMBER(Roster!$D450),Setup!$C$32&lt;=Roster!$D450,FALSE),"",IF(OR(IF(Setup!$C$15&lt;=Setup!$C$16,AND(MONTH(N450)&gt;=Setup!$C$15,MONTH(N450)&lt;=Setup!$C$16),OR(MONTH(N450)&gt;=Setup!$C$15,MONTH(N450)&lt;=Setup!$C$16)),IF(Setup!$C$15&lt;=Setup!$C$16,AND(MONTH(WORKDAY(N450,-(Setup!$C$13+Setup!$G$32),Setup!$C$39:$C$50))&gt;=Setup!$C$15,MONTH(WORKDAY(N450,-(Setup!$C$13+Setup!$G$32),Setup!$C$39:$C$50))&lt;=Setup!$C$16),OR(MONTH(WORKDAY(N450,-(Setup!$C$13+Setup!$G$32),Setup!$C$39:$C$50))&gt;=Setup!$C$15,MONTH(WORKDAY(N450,-(Setup!$C$13+Setup!$G$32),Setup!$C$39:$C$50))&lt;=Setup!$C$16))),WORKDAY(N450,-(Setup!$C$13+Setup!$G$32+Setup!$C$14),Setup!$C$39:$C$50),WORKDAY(N450,-(Setup!$C$13+Setup!$G$32),Setup!$C$39:$C$50))+(445*100+13)/10000000)))</f>
        <v/>
      </c>
      <c r="AE450" t="str">
        <f>IF(O450="","",IF(O450&lt;Setup!$C$5-Setup!$C$6,"",IF(IF(ISNUMBER(Roster!$D450),Setup!$C$33&lt;=Roster!$D450,FALSE),"",IF(OR(IF(Setup!$C$15&lt;=Setup!$C$16,AND(MONTH(O450)&gt;=Setup!$C$15,MONTH(O450)&lt;=Setup!$C$16),OR(MONTH(O450)&gt;=Setup!$C$15,MONTH(O450)&lt;=Setup!$C$16)),IF(Setup!$C$15&lt;=Setup!$C$16,AND(MONTH(WORKDAY(O450,-(Setup!$C$13+Setup!$G$33),Setup!$C$39:$C$50))&gt;=Setup!$C$15,MONTH(WORKDAY(O450,-(Setup!$C$13+Setup!$G$33),Setup!$C$39:$C$50))&lt;=Setup!$C$16),OR(MONTH(WORKDAY(O450,-(Setup!$C$13+Setup!$G$33),Setup!$C$39:$C$50))&gt;=Setup!$C$15,MONTH(WORKDAY(O450,-(Setup!$C$13+Setup!$G$33),Setup!$C$39:$C$50))&lt;=Setup!$C$16))),WORKDAY(O450,-(Setup!$C$13+Setup!$G$33+Setup!$C$14),Setup!$C$39:$C$50),WORKDAY(O450,-(Setup!$C$13+Setup!$G$33),Setup!$C$39:$C$50))+(445*100+14)/10000000)))</f>
        <v/>
      </c>
      <c r="AF450" t="str">
        <f>IF(P450="","",IF(P450&lt;Setup!$C$5-Setup!$C$6,"",IF(IF(ISNUMBER(Roster!$D450),Setup!$C$34&lt;=Roster!$D450,FALSE),"",IF(OR(IF(Setup!$C$15&lt;=Setup!$C$16,AND(MONTH(P450)&gt;=Setup!$C$15,MONTH(P450)&lt;=Setup!$C$16),OR(MONTH(P450)&gt;=Setup!$C$15,MONTH(P450)&lt;=Setup!$C$16)),IF(Setup!$C$15&lt;=Setup!$C$16,AND(MONTH(WORKDAY(P450,-(Setup!$C$13+Setup!$G$34),Setup!$C$39:$C$50))&gt;=Setup!$C$15,MONTH(WORKDAY(P450,-(Setup!$C$13+Setup!$G$34),Setup!$C$39:$C$50))&lt;=Setup!$C$16),OR(MONTH(WORKDAY(P450,-(Setup!$C$13+Setup!$G$34),Setup!$C$39:$C$50))&gt;=Setup!$C$15,MONTH(WORKDAY(P450,-(Setup!$C$13+Setup!$G$34),Setup!$C$39:$C$50))&lt;=Setup!$C$16))),WORKDAY(P450,-(Setup!$C$13+Setup!$G$34+Setup!$C$14),Setup!$C$39:$C$50),WORKDAY(P450,-(Setup!$C$13+Setup!$G$34),Setup!$C$39:$C$50))+(445*100+15)/10000000)))</f>
        <v/>
      </c>
      <c r="AH450" t="str">
        <f t="shared" si="46"/>
        <v/>
      </c>
      <c r="AI450" t="str">
        <f t="shared" si="47"/>
        <v/>
      </c>
      <c r="AP450" t="str">
        <f>IF(ISNUMBER(Roster!$B450),MAX(1,YEAR(Setup!$C$5)-YEAR(Roster!$B450)+IF(EDATE(Roster!$B450,12*(YEAR(Setup!$C$5)-YEAR(Roster!$B450)))&lt;Setup!$C$5,1,0)),"")</f>
        <v/>
      </c>
      <c r="AQ450" s="32" t="str">
        <f>IF(AP450="","",EDATE(Roster!$B450,12*AP450))</f>
        <v/>
      </c>
      <c r="AR450" t="str">
        <f>IF(AQ450="","",IF(AQ450&lt;DATE(YEAR(Setup!$C$5)+1,MONTH(Setup!$C$5),DAY(Setup!$C$5)),AQ450+445/1000,""))</f>
        <v/>
      </c>
      <c r="AS450" t="str">
        <f t="shared" si="48"/>
        <v/>
      </c>
      <c r="AT450" t="str">
        <f>IF(AS450="","",IF(ISNUMBER(Roster!$D450),Roster!$D450&gt;=AP450,FALSE))</f>
        <v/>
      </c>
      <c r="AU450" t="str">
        <f t="shared" si="49"/>
        <v/>
      </c>
      <c r="AV450" t="str">
        <f ca="1">IF(445&gt;$AV$2,"",SMALL($AR$6:$AR$505,445))</f>
        <v/>
      </c>
      <c r="AW450" t="str">
        <f t="shared" ca="1" si="50"/>
        <v/>
      </c>
    </row>
    <row r="451" spans="2:49" x14ac:dyDescent="0.2">
      <c r="B451" s="32" t="str">
        <f>IF(AND(ISNUMBER(Roster!$B451),Setup!$B$20="Yes",ISNUMBER(Setup!$C$20)),EDATE(Roster!$B451,12*Setup!$C$20),"")</f>
        <v/>
      </c>
      <c r="C451" s="32" t="str">
        <f>IF(AND(ISNUMBER(Roster!$B451),Setup!$B$21="Yes",ISNUMBER(Setup!$C$21)),EDATE(Roster!$B451,12*Setup!$C$21),"")</f>
        <v/>
      </c>
      <c r="D451" s="32" t="str">
        <f>IF(AND(ISNUMBER(Roster!$B451),Setup!$B$22="Yes",ISNUMBER(Setup!$C$22)),EDATE(Roster!$B451,12*Setup!$C$22),"")</f>
        <v/>
      </c>
      <c r="E451" s="32" t="str">
        <f>IF(AND(ISNUMBER(Roster!$B451),Setup!$B$23="Yes",ISNUMBER(Setup!$C$23)),EDATE(Roster!$B451,12*Setup!$C$23),"")</f>
        <v/>
      </c>
      <c r="F451" s="32" t="str">
        <f>IF(AND(ISNUMBER(Roster!$B451),Setup!$B$24="Yes",ISNUMBER(Setup!$C$24)),EDATE(Roster!$B451,12*Setup!$C$24),"")</f>
        <v/>
      </c>
      <c r="G451" s="32" t="str">
        <f>IF(AND(ISNUMBER(Roster!$B451),Setup!$B$25="Yes",ISNUMBER(Setup!$C$25)),EDATE(Roster!$B451,12*Setup!$C$25),"")</f>
        <v/>
      </c>
      <c r="H451" s="32" t="str">
        <f>IF(AND(ISNUMBER(Roster!$B451),Setup!$B$26="Yes",ISNUMBER(Setup!$C$26)),EDATE(Roster!$B451,12*Setup!$C$26),"")</f>
        <v/>
      </c>
      <c r="I451" s="32" t="str">
        <f>IF(AND(ISNUMBER(Roster!$B451),Setup!$B$27="Yes",ISNUMBER(Setup!$C$27)),EDATE(Roster!$B451,12*Setup!$C$27),"")</f>
        <v/>
      </c>
      <c r="J451" s="32" t="str">
        <f>IF(AND(ISNUMBER(Roster!$B451),Setup!$B$28="Yes",ISNUMBER(Setup!$C$28)),EDATE(Roster!$B451,12*Setup!$C$28),"")</f>
        <v/>
      </c>
      <c r="K451" s="32" t="str">
        <f>IF(AND(ISNUMBER(Roster!$B451),Setup!$B$29="Yes",ISNUMBER(Setup!$C$29)),EDATE(Roster!$B451,12*Setup!$C$29),"")</f>
        <v/>
      </c>
      <c r="L451" s="32" t="str">
        <f>IF(AND(ISNUMBER(Roster!$B451),Setup!$B$30="Yes",ISNUMBER(Setup!$C$30)),EDATE(Roster!$B451,12*Setup!$C$30),"")</f>
        <v/>
      </c>
      <c r="M451" s="32" t="str">
        <f>IF(AND(ISNUMBER(Roster!$B451),Setup!$B$31="Yes",ISNUMBER(Setup!$C$31)),EDATE(Roster!$B451,12*Setup!$C$31),"")</f>
        <v/>
      </c>
      <c r="N451" s="32" t="str">
        <f>IF(AND(ISNUMBER(Roster!$B451),Setup!$B$32="Yes",ISNUMBER(Setup!$C$32)),EDATE(Roster!$B451,12*Setup!$C$32),"")</f>
        <v/>
      </c>
      <c r="O451" s="32" t="str">
        <f>IF(AND(ISNUMBER(Roster!$B451),Setup!$B$33="Yes",ISNUMBER(Setup!$C$33)),EDATE(Roster!$B451,12*Setup!$C$33),"")</f>
        <v/>
      </c>
      <c r="P451" s="32" t="str">
        <f>IF(AND(ISNUMBER(Roster!$B451),Setup!$B$34="Yes",ISNUMBER(Setup!$C$34)),EDATE(Roster!$B451,12*Setup!$C$34),"")</f>
        <v/>
      </c>
      <c r="R451" t="str">
        <f>IF(B451="","",IF(B451&lt;Setup!$C$5-Setup!$C$6,"",IF(IF(ISNUMBER(Roster!$D451),Setup!$C$20&lt;=Roster!$D451,FALSE),"",IF(OR(IF(Setup!$C$15&lt;=Setup!$C$16,AND(MONTH(B451)&gt;=Setup!$C$15,MONTH(B451)&lt;=Setup!$C$16),OR(MONTH(B451)&gt;=Setup!$C$15,MONTH(B451)&lt;=Setup!$C$16)),IF(Setup!$C$15&lt;=Setup!$C$16,AND(MONTH(WORKDAY(B451,-(Setup!$C$13+Setup!$G$20),Setup!$C$39:$C$50))&gt;=Setup!$C$15,MONTH(WORKDAY(B451,-(Setup!$C$13+Setup!$G$20),Setup!$C$39:$C$50))&lt;=Setup!$C$16),OR(MONTH(WORKDAY(B451,-(Setup!$C$13+Setup!$G$20),Setup!$C$39:$C$50))&gt;=Setup!$C$15,MONTH(WORKDAY(B451,-(Setup!$C$13+Setup!$G$20),Setup!$C$39:$C$50))&lt;=Setup!$C$16))),WORKDAY(B451,-(Setup!$C$13+Setup!$G$20+Setup!$C$14),Setup!$C$39:$C$50),WORKDAY(B451,-(Setup!$C$13+Setup!$G$20),Setup!$C$39:$C$50))+(446*100+1)/10000000)))</f>
        <v/>
      </c>
      <c r="S451" t="str">
        <f>IF(C451="","",IF(C451&lt;Setup!$C$5-Setup!$C$6,"",IF(IF(ISNUMBER(Roster!$D451),Setup!$C$21&lt;=Roster!$D451,FALSE),"",IF(OR(IF(Setup!$C$15&lt;=Setup!$C$16,AND(MONTH(C451)&gt;=Setup!$C$15,MONTH(C451)&lt;=Setup!$C$16),OR(MONTH(C451)&gt;=Setup!$C$15,MONTH(C451)&lt;=Setup!$C$16)),IF(Setup!$C$15&lt;=Setup!$C$16,AND(MONTH(WORKDAY(C451,-(Setup!$C$13+Setup!$G$21),Setup!$C$39:$C$50))&gt;=Setup!$C$15,MONTH(WORKDAY(C451,-(Setup!$C$13+Setup!$G$21),Setup!$C$39:$C$50))&lt;=Setup!$C$16),OR(MONTH(WORKDAY(C451,-(Setup!$C$13+Setup!$G$21),Setup!$C$39:$C$50))&gt;=Setup!$C$15,MONTH(WORKDAY(C451,-(Setup!$C$13+Setup!$G$21),Setup!$C$39:$C$50))&lt;=Setup!$C$16))),WORKDAY(C451,-(Setup!$C$13+Setup!$G$21+Setup!$C$14),Setup!$C$39:$C$50),WORKDAY(C451,-(Setup!$C$13+Setup!$G$21),Setup!$C$39:$C$50))+(446*100+2)/10000000)))</f>
        <v/>
      </c>
      <c r="T451" t="str">
        <f>IF(D451="","",IF(D451&lt;Setup!$C$5-Setup!$C$6,"",IF(IF(ISNUMBER(Roster!$D451),Setup!$C$22&lt;=Roster!$D451,FALSE),"",IF(OR(IF(Setup!$C$15&lt;=Setup!$C$16,AND(MONTH(D451)&gt;=Setup!$C$15,MONTH(D451)&lt;=Setup!$C$16),OR(MONTH(D451)&gt;=Setup!$C$15,MONTH(D451)&lt;=Setup!$C$16)),IF(Setup!$C$15&lt;=Setup!$C$16,AND(MONTH(WORKDAY(D451,-(Setup!$C$13+Setup!$G$22),Setup!$C$39:$C$50))&gt;=Setup!$C$15,MONTH(WORKDAY(D451,-(Setup!$C$13+Setup!$G$22),Setup!$C$39:$C$50))&lt;=Setup!$C$16),OR(MONTH(WORKDAY(D451,-(Setup!$C$13+Setup!$G$22),Setup!$C$39:$C$50))&gt;=Setup!$C$15,MONTH(WORKDAY(D451,-(Setup!$C$13+Setup!$G$22),Setup!$C$39:$C$50))&lt;=Setup!$C$16))),WORKDAY(D451,-(Setup!$C$13+Setup!$G$22+Setup!$C$14),Setup!$C$39:$C$50),WORKDAY(D451,-(Setup!$C$13+Setup!$G$22),Setup!$C$39:$C$50))+(446*100+3)/10000000)))</f>
        <v/>
      </c>
      <c r="U451" t="str">
        <f>IF(E451="","",IF(E451&lt;Setup!$C$5-Setup!$C$6,"",IF(IF(ISNUMBER(Roster!$D451),Setup!$C$23&lt;=Roster!$D451,FALSE),"",IF(OR(IF(Setup!$C$15&lt;=Setup!$C$16,AND(MONTH(E451)&gt;=Setup!$C$15,MONTH(E451)&lt;=Setup!$C$16),OR(MONTH(E451)&gt;=Setup!$C$15,MONTH(E451)&lt;=Setup!$C$16)),IF(Setup!$C$15&lt;=Setup!$C$16,AND(MONTH(WORKDAY(E451,-(Setup!$C$13+Setup!$G$23),Setup!$C$39:$C$50))&gt;=Setup!$C$15,MONTH(WORKDAY(E451,-(Setup!$C$13+Setup!$G$23),Setup!$C$39:$C$50))&lt;=Setup!$C$16),OR(MONTH(WORKDAY(E451,-(Setup!$C$13+Setup!$G$23),Setup!$C$39:$C$50))&gt;=Setup!$C$15,MONTH(WORKDAY(E451,-(Setup!$C$13+Setup!$G$23),Setup!$C$39:$C$50))&lt;=Setup!$C$16))),WORKDAY(E451,-(Setup!$C$13+Setup!$G$23+Setup!$C$14),Setup!$C$39:$C$50),WORKDAY(E451,-(Setup!$C$13+Setup!$G$23),Setup!$C$39:$C$50))+(446*100+4)/10000000)))</f>
        <v/>
      </c>
      <c r="V451" t="str">
        <f>IF(F451="","",IF(F451&lt;Setup!$C$5-Setup!$C$6,"",IF(IF(ISNUMBER(Roster!$D451),Setup!$C$24&lt;=Roster!$D451,FALSE),"",IF(OR(IF(Setup!$C$15&lt;=Setup!$C$16,AND(MONTH(F451)&gt;=Setup!$C$15,MONTH(F451)&lt;=Setup!$C$16),OR(MONTH(F451)&gt;=Setup!$C$15,MONTH(F451)&lt;=Setup!$C$16)),IF(Setup!$C$15&lt;=Setup!$C$16,AND(MONTH(WORKDAY(F451,-(Setup!$C$13+Setup!$G$24),Setup!$C$39:$C$50))&gt;=Setup!$C$15,MONTH(WORKDAY(F451,-(Setup!$C$13+Setup!$G$24),Setup!$C$39:$C$50))&lt;=Setup!$C$16),OR(MONTH(WORKDAY(F451,-(Setup!$C$13+Setup!$G$24),Setup!$C$39:$C$50))&gt;=Setup!$C$15,MONTH(WORKDAY(F451,-(Setup!$C$13+Setup!$G$24),Setup!$C$39:$C$50))&lt;=Setup!$C$16))),WORKDAY(F451,-(Setup!$C$13+Setup!$G$24+Setup!$C$14),Setup!$C$39:$C$50),WORKDAY(F451,-(Setup!$C$13+Setup!$G$24),Setup!$C$39:$C$50))+(446*100+5)/10000000)))</f>
        <v/>
      </c>
      <c r="W451" t="str">
        <f>IF(G451="","",IF(G451&lt;Setup!$C$5-Setup!$C$6,"",IF(IF(ISNUMBER(Roster!$D451),Setup!$C$25&lt;=Roster!$D451,FALSE),"",IF(OR(IF(Setup!$C$15&lt;=Setup!$C$16,AND(MONTH(G451)&gt;=Setup!$C$15,MONTH(G451)&lt;=Setup!$C$16),OR(MONTH(G451)&gt;=Setup!$C$15,MONTH(G451)&lt;=Setup!$C$16)),IF(Setup!$C$15&lt;=Setup!$C$16,AND(MONTH(WORKDAY(G451,-(Setup!$C$13+Setup!$G$25),Setup!$C$39:$C$50))&gt;=Setup!$C$15,MONTH(WORKDAY(G451,-(Setup!$C$13+Setup!$G$25),Setup!$C$39:$C$50))&lt;=Setup!$C$16),OR(MONTH(WORKDAY(G451,-(Setup!$C$13+Setup!$G$25),Setup!$C$39:$C$50))&gt;=Setup!$C$15,MONTH(WORKDAY(G451,-(Setup!$C$13+Setup!$G$25),Setup!$C$39:$C$50))&lt;=Setup!$C$16))),WORKDAY(G451,-(Setup!$C$13+Setup!$G$25+Setup!$C$14),Setup!$C$39:$C$50),WORKDAY(G451,-(Setup!$C$13+Setup!$G$25),Setup!$C$39:$C$50))+(446*100+6)/10000000)))</f>
        <v/>
      </c>
      <c r="X451" t="str">
        <f>IF(H451="","",IF(H451&lt;Setup!$C$5-Setup!$C$6,"",IF(IF(ISNUMBER(Roster!$D451),Setup!$C$26&lt;=Roster!$D451,FALSE),"",IF(OR(IF(Setup!$C$15&lt;=Setup!$C$16,AND(MONTH(H451)&gt;=Setup!$C$15,MONTH(H451)&lt;=Setup!$C$16),OR(MONTH(H451)&gt;=Setup!$C$15,MONTH(H451)&lt;=Setup!$C$16)),IF(Setup!$C$15&lt;=Setup!$C$16,AND(MONTH(WORKDAY(H451,-(Setup!$C$13+Setup!$G$26),Setup!$C$39:$C$50))&gt;=Setup!$C$15,MONTH(WORKDAY(H451,-(Setup!$C$13+Setup!$G$26),Setup!$C$39:$C$50))&lt;=Setup!$C$16),OR(MONTH(WORKDAY(H451,-(Setup!$C$13+Setup!$G$26),Setup!$C$39:$C$50))&gt;=Setup!$C$15,MONTH(WORKDAY(H451,-(Setup!$C$13+Setup!$G$26),Setup!$C$39:$C$50))&lt;=Setup!$C$16))),WORKDAY(H451,-(Setup!$C$13+Setup!$G$26+Setup!$C$14),Setup!$C$39:$C$50),WORKDAY(H451,-(Setup!$C$13+Setup!$G$26),Setup!$C$39:$C$50))+(446*100+7)/10000000)))</f>
        <v/>
      </c>
      <c r="Y451" t="str">
        <f>IF(I451="","",IF(I451&lt;Setup!$C$5-Setup!$C$6,"",IF(IF(ISNUMBER(Roster!$D451),Setup!$C$27&lt;=Roster!$D451,FALSE),"",IF(OR(IF(Setup!$C$15&lt;=Setup!$C$16,AND(MONTH(I451)&gt;=Setup!$C$15,MONTH(I451)&lt;=Setup!$C$16),OR(MONTH(I451)&gt;=Setup!$C$15,MONTH(I451)&lt;=Setup!$C$16)),IF(Setup!$C$15&lt;=Setup!$C$16,AND(MONTH(WORKDAY(I451,-(Setup!$C$13+Setup!$G$27),Setup!$C$39:$C$50))&gt;=Setup!$C$15,MONTH(WORKDAY(I451,-(Setup!$C$13+Setup!$G$27),Setup!$C$39:$C$50))&lt;=Setup!$C$16),OR(MONTH(WORKDAY(I451,-(Setup!$C$13+Setup!$G$27),Setup!$C$39:$C$50))&gt;=Setup!$C$15,MONTH(WORKDAY(I451,-(Setup!$C$13+Setup!$G$27),Setup!$C$39:$C$50))&lt;=Setup!$C$16))),WORKDAY(I451,-(Setup!$C$13+Setup!$G$27+Setup!$C$14),Setup!$C$39:$C$50),WORKDAY(I451,-(Setup!$C$13+Setup!$G$27),Setup!$C$39:$C$50))+(446*100+8)/10000000)))</f>
        <v/>
      </c>
      <c r="Z451" t="str">
        <f>IF(J451="","",IF(J451&lt;Setup!$C$5-Setup!$C$6,"",IF(IF(ISNUMBER(Roster!$D451),Setup!$C$28&lt;=Roster!$D451,FALSE),"",IF(OR(IF(Setup!$C$15&lt;=Setup!$C$16,AND(MONTH(J451)&gt;=Setup!$C$15,MONTH(J451)&lt;=Setup!$C$16),OR(MONTH(J451)&gt;=Setup!$C$15,MONTH(J451)&lt;=Setup!$C$16)),IF(Setup!$C$15&lt;=Setup!$C$16,AND(MONTH(WORKDAY(J451,-(Setup!$C$13+Setup!$G$28),Setup!$C$39:$C$50))&gt;=Setup!$C$15,MONTH(WORKDAY(J451,-(Setup!$C$13+Setup!$G$28),Setup!$C$39:$C$50))&lt;=Setup!$C$16),OR(MONTH(WORKDAY(J451,-(Setup!$C$13+Setup!$G$28),Setup!$C$39:$C$50))&gt;=Setup!$C$15,MONTH(WORKDAY(J451,-(Setup!$C$13+Setup!$G$28),Setup!$C$39:$C$50))&lt;=Setup!$C$16))),WORKDAY(J451,-(Setup!$C$13+Setup!$G$28+Setup!$C$14),Setup!$C$39:$C$50),WORKDAY(J451,-(Setup!$C$13+Setup!$G$28),Setup!$C$39:$C$50))+(446*100+9)/10000000)))</f>
        <v/>
      </c>
      <c r="AA451" t="str">
        <f>IF(K451="","",IF(K451&lt;Setup!$C$5-Setup!$C$6,"",IF(IF(ISNUMBER(Roster!$D451),Setup!$C$29&lt;=Roster!$D451,FALSE),"",IF(OR(IF(Setup!$C$15&lt;=Setup!$C$16,AND(MONTH(K451)&gt;=Setup!$C$15,MONTH(K451)&lt;=Setup!$C$16),OR(MONTH(K451)&gt;=Setup!$C$15,MONTH(K451)&lt;=Setup!$C$16)),IF(Setup!$C$15&lt;=Setup!$C$16,AND(MONTH(WORKDAY(K451,-(Setup!$C$13+Setup!$G$29),Setup!$C$39:$C$50))&gt;=Setup!$C$15,MONTH(WORKDAY(K451,-(Setup!$C$13+Setup!$G$29),Setup!$C$39:$C$50))&lt;=Setup!$C$16),OR(MONTH(WORKDAY(K451,-(Setup!$C$13+Setup!$G$29),Setup!$C$39:$C$50))&gt;=Setup!$C$15,MONTH(WORKDAY(K451,-(Setup!$C$13+Setup!$G$29),Setup!$C$39:$C$50))&lt;=Setup!$C$16))),WORKDAY(K451,-(Setup!$C$13+Setup!$G$29+Setup!$C$14),Setup!$C$39:$C$50),WORKDAY(K451,-(Setup!$C$13+Setup!$G$29),Setup!$C$39:$C$50))+(446*100+10)/10000000)))</f>
        <v/>
      </c>
      <c r="AB451" t="str">
        <f>IF(L451="","",IF(L451&lt;Setup!$C$5-Setup!$C$6,"",IF(IF(ISNUMBER(Roster!$D451),Setup!$C$30&lt;=Roster!$D451,FALSE),"",IF(OR(IF(Setup!$C$15&lt;=Setup!$C$16,AND(MONTH(L451)&gt;=Setup!$C$15,MONTH(L451)&lt;=Setup!$C$16),OR(MONTH(L451)&gt;=Setup!$C$15,MONTH(L451)&lt;=Setup!$C$16)),IF(Setup!$C$15&lt;=Setup!$C$16,AND(MONTH(WORKDAY(L451,-(Setup!$C$13+Setup!$G$30),Setup!$C$39:$C$50))&gt;=Setup!$C$15,MONTH(WORKDAY(L451,-(Setup!$C$13+Setup!$G$30),Setup!$C$39:$C$50))&lt;=Setup!$C$16),OR(MONTH(WORKDAY(L451,-(Setup!$C$13+Setup!$G$30),Setup!$C$39:$C$50))&gt;=Setup!$C$15,MONTH(WORKDAY(L451,-(Setup!$C$13+Setup!$G$30),Setup!$C$39:$C$50))&lt;=Setup!$C$16))),WORKDAY(L451,-(Setup!$C$13+Setup!$G$30+Setup!$C$14),Setup!$C$39:$C$50),WORKDAY(L451,-(Setup!$C$13+Setup!$G$30),Setup!$C$39:$C$50))+(446*100+11)/10000000)))</f>
        <v/>
      </c>
      <c r="AC451" t="str">
        <f>IF(M451="","",IF(M451&lt;Setup!$C$5-Setup!$C$6,"",IF(IF(ISNUMBER(Roster!$D451),Setup!$C$31&lt;=Roster!$D451,FALSE),"",IF(OR(IF(Setup!$C$15&lt;=Setup!$C$16,AND(MONTH(M451)&gt;=Setup!$C$15,MONTH(M451)&lt;=Setup!$C$16),OR(MONTH(M451)&gt;=Setup!$C$15,MONTH(M451)&lt;=Setup!$C$16)),IF(Setup!$C$15&lt;=Setup!$C$16,AND(MONTH(WORKDAY(M451,-(Setup!$C$13+Setup!$G$31),Setup!$C$39:$C$50))&gt;=Setup!$C$15,MONTH(WORKDAY(M451,-(Setup!$C$13+Setup!$G$31),Setup!$C$39:$C$50))&lt;=Setup!$C$16),OR(MONTH(WORKDAY(M451,-(Setup!$C$13+Setup!$G$31),Setup!$C$39:$C$50))&gt;=Setup!$C$15,MONTH(WORKDAY(M451,-(Setup!$C$13+Setup!$G$31),Setup!$C$39:$C$50))&lt;=Setup!$C$16))),WORKDAY(M451,-(Setup!$C$13+Setup!$G$31+Setup!$C$14),Setup!$C$39:$C$50),WORKDAY(M451,-(Setup!$C$13+Setup!$G$31),Setup!$C$39:$C$50))+(446*100+12)/10000000)))</f>
        <v/>
      </c>
      <c r="AD451" t="str">
        <f>IF(N451="","",IF(N451&lt;Setup!$C$5-Setup!$C$6,"",IF(IF(ISNUMBER(Roster!$D451),Setup!$C$32&lt;=Roster!$D451,FALSE),"",IF(OR(IF(Setup!$C$15&lt;=Setup!$C$16,AND(MONTH(N451)&gt;=Setup!$C$15,MONTH(N451)&lt;=Setup!$C$16),OR(MONTH(N451)&gt;=Setup!$C$15,MONTH(N451)&lt;=Setup!$C$16)),IF(Setup!$C$15&lt;=Setup!$C$16,AND(MONTH(WORKDAY(N451,-(Setup!$C$13+Setup!$G$32),Setup!$C$39:$C$50))&gt;=Setup!$C$15,MONTH(WORKDAY(N451,-(Setup!$C$13+Setup!$G$32),Setup!$C$39:$C$50))&lt;=Setup!$C$16),OR(MONTH(WORKDAY(N451,-(Setup!$C$13+Setup!$G$32),Setup!$C$39:$C$50))&gt;=Setup!$C$15,MONTH(WORKDAY(N451,-(Setup!$C$13+Setup!$G$32),Setup!$C$39:$C$50))&lt;=Setup!$C$16))),WORKDAY(N451,-(Setup!$C$13+Setup!$G$32+Setup!$C$14),Setup!$C$39:$C$50),WORKDAY(N451,-(Setup!$C$13+Setup!$G$32),Setup!$C$39:$C$50))+(446*100+13)/10000000)))</f>
        <v/>
      </c>
      <c r="AE451" t="str">
        <f>IF(O451="","",IF(O451&lt;Setup!$C$5-Setup!$C$6,"",IF(IF(ISNUMBER(Roster!$D451),Setup!$C$33&lt;=Roster!$D451,FALSE),"",IF(OR(IF(Setup!$C$15&lt;=Setup!$C$16,AND(MONTH(O451)&gt;=Setup!$C$15,MONTH(O451)&lt;=Setup!$C$16),OR(MONTH(O451)&gt;=Setup!$C$15,MONTH(O451)&lt;=Setup!$C$16)),IF(Setup!$C$15&lt;=Setup!$C$16,AND(MONTH(WORKDAY(O451,-(Setup!$C$13+Setup!$G$33),Setup!$C$39:$C$50))&gt;=Setup!$C$15,MONTH(WORKDAY(O451,-(Setup!$C$13+Setup!$G$33),Setup!$C$39:$C$50))&lt;=Setup!$C$16),OR(MONTH(WORKDAY(O451,-(Setup!$C$13+Setup!$G$33),Setup!$C$39:$C$50))&gt;=Setup!$C$15,MONTH(WORKDAY(O451,-(Setup!$C$13+Setup!$G$33),Setup!$C$39:$C$50))&lt;=Setup!$C$16))),WORKDAY(O451,-(Setup!$C$13+Setup!$G$33+Setup!$C$14),Setup!$C$39:$C$50),WORKDAY(O451,-(Setup!$C$13+Setup!$G$33),Setup!$C$39:$C$50))+(446*100+14)/10000000)))</f>
        <v/>
      </c>
      <c r="AF451" t="str">
        <f>IF(P451="","",IF(P451&lt;Setup!$C$5-Setup!$C$6,"",IF(IF(ISNUMBER(Roster!$D451),Setup!$C$34&lt;=Roster!$D451,FALSE),"",IF(OR(IF(Setup!$C$15&lt;=Setup!$C$16,AND(MONTH(P451)&gt;=Setup!$C$15,MONTH(P451)&lt;=Setup!$C$16),OR(MONTH(P451)&gt;=Setup!$C$15,MONTH(P451)&lt;=Setup!$C$16)),IF(Setup!$C$15&lt;=Setup!$C$16,AND(MONTH(WORKDAY(P451,-(Setup!$C$13+Setup!$G$34),Setup!$C$39:$C$50))&gt;=Setup!$C$15,MONTH(WORKDAY(P451,-(Setup!$C$13+Setup!$G$34),Setup!$C$39:$C$50))&lt;=Setup!$C$16),OR(MONTH(WORKDAY(P451,-(Setup!$C$13+Setup!$G$34),Setup!$C$39:$C$50))&gt;=Setup!$C$15,MONTH(WORKDAY(P451,-(Setup!$C$13+Setup!$G$34),Setup!$C$39:$C$50))&lt;=Setup!$C$16))),WORKDAY(P451,-(Setup!$C$13+Setup!$G$34+Setup!$C$14),Setup!$C$39:$C$50),WORKDAY(P451,-(Setup!$C$13+Setup!$G$34),Setup!$C$39:$C$50))+(446*100+15)/10000000)))</f>
        <v/>
      </c>
      <c r="AH451" t="str">
        <f t="shared" si="46"/>
        <v/>
      </c>
      <c r="AI451" t="str">
        <f t="shared" si="47"/>
        <v/>
      </c>
      <c r="AP451" t="str">
        <f>IF(ISNUMBER(Roster!$B451),MAX(1,YEAR(Setup!$C$5)-YEAR(Roster!$B451)+IF(EDATE(Roster!$B451,12*(YEAR(Setup!$C$5)-YEAR(Roster!$B451)))&lt;Setup!$C$5,1,0)),"")</f>
        <v/>
      </c>
      <c r="AQ451" s="32" t="str">
        <f>IF(AP451="","",EDATE(Roster!$B451,12*AP451))</f>
        <v/>
      </c>
      <c r="AR451" t="str">
        <f>IF(AQ451="","",IF(AQ451&lt;DATE(YEAR(Setup!$C$5)+1,MONTH(Setup!$C$5),DAY(Setup!$C$5)),AQ451+446/1000,""))</f>
        <v/>
      </c>
      <c r="AS451" t="str">
        <f t="shared" si="48"/>
        <v/>
      </c>
      <c r="AT451" t="str">
        <f>IF(AS451="","",IF(ISNUMBER(Roster!$D451),Roster!$D451&gt;=AP451,FALSE))</f>
        <v/>
      </c>
      <c r="AU451" t="str">
        <f t="shared" si="49"/>
        <v/>
      </c>
      <c r="AV451" t="str">
        <f ca="1">IF(446&gt;$AV$2,"",SMALL($AR$6:$AR$505,446))</f>
        <v/>
      </c>
      <c r="AW451" t="str">
        <f t="shared" ca="1" si="50"/>
        <v/>
      </c>
    </row>
    <row r="452" spans="2:49" x14ac:dyDescent="0.2">
      <c r="B452" s="32" t="str">
        <f>IF(AND(ISNUMBER(Roster!$B452),Setup!$B$20="Yes",ISNUMBER(Setup!$C$20)),EDATE(Roster!$B452,12*Setup!$C$20),"")</f>
        <v/>
      </c>
      <c r="C452" s="32" t="str">
        <f>IF(AND(ISNUMBER(Roster!$B452),Setup!$B$21="Yes",ISNUMBER(Setup!$C$21)),EDATE(Roster!$B452,12*Setup!$C$21),"")</f>
        <v/>
      </c>
      <c r="D452" s="32" t="str">
        <f>IF(AND(ISNUMBER(Roster!$B452),Setup!$B$22="Yes",ISNUMBER(Setup!$C$22)),EDATE(Roster!$B452,12*Setup!$C$22),"")</f>
        <v/>
      </c>
      <c r="E452" s="32" t="str">
        <f>IF(AND(ISNUMBER(Roster!$B452),Setup!$B$23="Yes",ISNUMBER(Setup!$C$23)),EDATE(Roster!$B452,12*Setup!$C$23),"")</f>
        <v/>
      </c>
      <c r="F452" s="32" t="str">
        <f>IF(AND(ISNUMBER(Roster!$B452),Setup!$B$24="Yes",ISNUMBER(Setup!$C$24)),EDATE(Roster!$B452,12*Setup!$C$24),"")</f>
        <v/>
      </c>
      <c r="G452" s="32" t="str">
        <f>IF(AND(ISNUMBER(Roster!$B452),Setup!$B$25="Yes",ISNUMBER(Setup!$C$25)),EDATE(Roster!$B452,12*Setup!$C$25),"")</f>
        <v/>
      </c>
      <c r="H452" s="32" t="str">
        <f>IF(AND(ISNUMBER(Roster!$B452),Setup!$B$26="Yes",ISNUMBER(Setup!$C$26)),EDATE(Roster!$B452,12*Setup!$C$26),"")</f>
        <v/>
      </c>
      <c r="I452" s="32" t="str">
        <f>IF(AND(ISNUMBER(Roster!$B452),Setup!$B$27="Yes",ISNUMBER(Setup!$C$27)),EDATE(Roster!$B452,12*Setup!$C$27),"")</f>
        <v/>
      </c>
      <c r="J452" s="32" t="str">
        <f>IF(AND(ISNUMBER(Roster!$B452),Setup!$B$28="Yes",ISNUMBER(Setup!$C$28)),EDATE(Roster!$B452,12*Setup!$C$28),"")</f>
        <v/>
      </c>
      <c r="K452" s="32" t="str">
        <f>IF(AND(ISNUMBER(Roster!$B452),Setup!$B$29="Yes",ISNUMBER(Setup!$C$29)),EDATE(Roster!$B452,12*Setup!$C$29),"")</f>
        <v/>
      </c>
      <c r="L452" s="32" t="str">
        <f>IF(AND(ISNUMBER(Roster!$B452),Setup!$B$30="Yes",ISNUMBER(Setup!$C$30)),EDATE(Roster!$B452,12*Setup!$C$30),"")</f>
        <v/>
      </c>
      <c r="M452" s="32" t="str">
        <f>IF(AND(ISNUMBER(Roster!$B452),Setup!$B$31="Yes",ISNUMBER(Setup!$C$31)),EDATE(Roster!$B452,12*Setup!$C$31),"")</f>
        <v/>
      </c>
      <c r="N452" s="32" t="str">
        <f>IF(AND(ISNUMBER(Roster!$B452),Setup!$B$32="Yes",ISNUMBER(Setup!$C$32)),EDATE(Roster!$B452,12*Setup!$C$32),"")</f>
        <v/>
      </c>
      <c r="O452" s="32" t="str">
        <f>IF(AND(ISNUMBER(Roster!$B452),Setup!$B$33="Yes",ISNUMBER(Setup!$C$33)),EDATE(Roster!$B452,12*Setup!$C$33),"")</f>
        <v/>
      </c>
      <c r="P452" s="32" t="str">
        <f>IF(AND(ISNUMBER(Roster!$B452),Setup!$B$34="Yes",ISNUMBER(Setup!$C$34)),EDATE(Roster!$B452,12*Setup!$C$34),"")</f>
        <v/>
      </c>
      <c r="R452" t="str">
        <f>IF(B452="","",IF(B452&lt;Setup!$C$5-Setup!$C$6,"",IF(IF(ISNUMBER(Roster!$D452),Setup!$C$20&lt;=Roster!$D452,FALSE),"",IF(OR(IF(Setup!$C$15&lt;=Setup!$C$16,AND(MONTH(B452)&gt;=Setup!$C$15,MONTH(B452)&lt;=Setup!$C$16),OR(MONTH(B452)&gt;=Setup!$C$15,MONTH(B452)&lt;=Setup!$C$16)),IF(Setup!$C$15&lt;=Setup!$C$16,AND(MONTH(WORKDAY(B452,-(Setup!$C$13+Setup!$G$20),Setup!$C$39:$C$50))&gt;=Setup!$C$15,MONTH(WORKDAY(B452,-(Setup!$C$13+Setup!$G$20),Setup!$C$39:$C$50))&lt;=Setup!$C$16),OR(MONTH(WORKDAY(B452,-(Setup!$C$13+Setup!$G$20),Setup!$C$39:$C$50))&gt;=Setup!$C$15,MONTH(WORKDAY(B452,-(Setup!$C$13+Setup!$G$20),Setup!$C$39:$C$50))&lt;=Setup!$C$16))),WORKDAY(B452,-(Setup!$C$13+Setup!$G$20+Setup!$C$14),Setup!$C$39:$C$50),WORKDAY(B452,-(Setup!$C$13+Setup!$G$20),Setup!$C$39:$C$50))+(447*100+1)/10000000)))</f>
        <v/>
      </c>
      <c r="S452" t="str">
        <f>IF(C452="","",IF(C452&lt;Setup!$C$5-Setup!$C$6,"",IF(IF(ISNUMBER(Roster!$D452),Setup!$C$21&lt;=Roster!$D452,FALSE),"",IF(OR(IF(Setup!$C$15&lt;=Setup!$C$16,AND(MONTH(C452)&gt;=Setup!$C$15,MONTH(C452)&lt;=Setup!$C$16),OR(MONTH(C452)&gt;=Setup!$C$15,MONTH(C452)&lt;=Setup!$C$16)),IF(Setup!$C$15&lt;=Setup!$C$16,AND(MONTH(WORKDAY(C452,-(Setup!$C$13+Setup!$G$21),Setup!$C$39:$C$50))&gt;=Setup!$C$15,MONTH(WORKDAY(C452,-(Setup!$C$13+Setup!$G$21),Setup!$C$39:$C$50))&lt;=Setup!$C$16),OR(MONTH(WORKDAY(C452,-(Setup!$C$13+Setup!$G$21),Setup!$C$39:$C$50))&gt;=Setup!$C$15,MONTH(WORKDAY(C452,-(Setup!$C$13+Setup!$G$21),Setup!$C$39:$C$50))&lt;=Setup!$C$16))),WORKDAY(C452,-(Setup!$C$13+Setup!$G$21+Setup!$C$14),Setup!$C$39:$C$50),WORKDAY(C452,-(Setup!$C$13+Setup!$G$21),Setup!$C$39:$C$50))+(447*100+2)/10000000)))</f>
        <v/>
      </c>
      <c r="T452" t="str">
        <f>IF(D452="","",IF(D452&lt;Setup!$C$5-Setup!$C$6,"",IF(IF(ISNUMBER(Roster!$D452),Setup!$C$22&lt;=Roster!$D452,FALSE),"",IF(OR(IF(Setup!$C$15&lt;=Setup!$C$16,AND(MONTH(D452)&gt;=Setup!$C$15,MONTH(D452)&lt;=Setup!$C$16),OR(MONTH(D452)&gt;=Setup!$C$15,MONTH(D452)&lt;=Setup!$C$16)),IF(Setup!$C$15&lt;=Setup!$C$16,AND(MONTH(WORKDAY(D452,-(Setup!$C$13+Setup!$G$22),Setup!$C$39:$C$50))&gt;=Setup!$C$15,MONTH(WORKDAY(D452,-(Setup!$C$13+Setup!$G$22),Setup!$C$39:$C$50))&lt;=Setup!$C$16),OR(MONTH(WORKDAY(D452,-(Setup!$C$13+Setup!$G$22),Setup!$C$39:$C$50))&gt;=Setup!$C$15,MONTH(WORKDAY(D452,-(Setup!$C$13+Setup!$G$22),Setup!$C$39:$C$50))&lt;=Setup!$C$16))),WORKDAY(D452,-(Setup!$C$13+Setup!$G$22+Setup!$C$14),Setup!$C$39:$C$50),WORKDAY(D452,-(Setup!$C$13+Setup!$G$22),Setup!$C$39:$C$50))+(447*100+3)/10000000)))</f>
        <v/>
      </c>
      <c r="U452" t="str">
        <f>IF(E452="","",IF(E452&lt;Setup!$C$5-Setup!$C$6,"",IF(IF(ISNUMBER(Roster!$D452),Setup!$C$23&lt;=Roster!$D452,FALSE),"",IF(OR(IF(Setup!$C$15&lt;=Setup!$C$16,AND(MONTH(E452)&gt;=Setup!$C$15,MONTH(E452)&lt;=Setup!$C$16),OR(MONTH(E452)&gt;=Setup!$C$15,MONTH(E452)&lt;=Setup!$C$16)),IF(Setup!$C$15&lt;=Setup!$C$16,AND(MONTH(WORKDAY(E452,-(Setup!$C$13+Setup!$G$23),Setup!$C$39:$C$50))&gt;=Setup!$C$15,MONTH(WORKDAY(E452,-(Setup!$C$13+Setup!$G$23),Setup!$C$39:$C$50))&lt;=Setup!$C$16),OR(MONTH(WORKDAY(E452,-(Setup!$C$13+Setup!$G$23),Setup!$C$39:$C$50))&gt;=Setup!$C$15,MONTH(WORKDAY(E452,-(Setup!$C$13+Setup!$G$23),Setup!$C$39:$C$50))&lt;=Setup!$C$16))),WORKDAY(E452,-(Setup!$C$13+Setup!$G$23+Setup!$C$14),Setup!$C$39:$C$50),WORKDAY(E452,-(Setup!$C$13+Setup!$G$23),Setup!$C$39:$C$50))+(447*100+4)/10000000)))</f>
        <v/>
      </c>
      <c r="V452" t="str">
        <f>IF(F452="","",IF(F452&lt;Setup!$C$5-Setup!$C$6,"",IF(IF(ISNUMBER(Roster!$D452),Setup!$C$24&lt;=Roster!$D452,FALSE),"",IF(OR(IF(Setup!$C$15&lt;=Setup!$C$16,AND(MONTH(F452)&gt;=Setup!$C$15,MONTH(F452)&lt;=Setup!$C$16),OR(MONTH(F452)&gt;=Setup!$C$15,MONTH(F452)&lt;=Setup!$C$16)),IF(Setup!$C$15&lt;=Setup!$C$16,AND(MONTH(WORKDAY(F452,-(Setup!$C$13+Setup!$G$24),Setup!$C$39:$C$50))&gt;=Setup!$C$15,MONTH(WORKDAY(F452,-(Setup!$C$13+Setup!$G$24),Setup!$C$39:$C$50))&lt;=Setup!$C$16),OR(MONTH(WORKDAY(F452,-(Setup!$C$13+Setup!$G$24),Setup!$C$39:$C$50))&gt;=Setup!$C$15,MONTH(WORKDAY(F452,-(Setup!$C$13+Setup!$G$24),Setup!$C$39:$C$50))&lt;=Setup!$C$16))),WORKDAY(F452,-(Setup!$C$13+Setup!$G$24+Setup!$C$14),Setup!$C$39:$C$50),WORKDAY(F452,-(Setup!$C$13+Setup!$G$24),Setup!$C$39:$C$50))+(447*100+5)/10000000)))</f>
        <v/>
      </c>
      <c r="W452" t="str">
        <f>IF(G452="","",IF(G452&lt;Setup!$C$5-Setup!$C$6,"",IF(IF(ISNUMBER(Roster!$D452),Setup!$C$25&lt;=Roster!$D452,FALSE),"",IF(OR(IF(Setup!$C$15&lt;=Setup!$C$16,AND(MONTH(G452)&gt;=Setup!$C$15,MONTH(G452)&lt;=Setup!$C$16),OR(MONTH(G452)&gt;=Setup!$C$15,MONTH(G452)&lt;=Setup!$C$16)),IF(Setup!$C$15&lt;=Setup!$C$16,AND(MONTH(WORKDAY(G452,-(Setup!$C$13+Setup!$G$25),Setup!$C$39:$C$50))&gt;=Setup!$C$15,MONTH(WORKDAY(G452,-(Setup!$C$13+Setup!$G$25),Setup!$C$39:$C$50))&lt;=Setup!$C$16),OR(MONTH(WORKDAY(G452,-(Setup!$C$13+Setup!$G$25),Setup!$C$39:$C$50))&gt;=Setup!$C$15,MONTH(WORKDAY(G452,-(Setup!$C$13+Setup!$G$25),Setup!$C$39:$C$50))&lt;=Setup!$C$16))),WORKDAY(G452,-(Setup!$C$13+Setup!$G$25+Setup!$C$14),Setup!$C$39:$C$50),WORKDAY(G452,-(Setup!$C$13+Setup!$G$25),Setup!$C$39:$C$50))+(447*100+6)/10000000)))</f>
        <v/>
      </c>
      <c r="X452" t="str">
        <f>IF(H452="","",IF(H452&lt;Setup!$C$5-Setup!$C$6,"",IF(IF(ISNUMBER(Roster!$D452),Setup!$C$26&lt;=Roster!$D452,FALSE),"",IF(OR(IF(Setup!$C$15&lt;=Setup!$C$16,AND(MONTH(H452)&gt;=Setup!$C$15,MONTH(H452)&lt;=Setup!$C$16),OR(MONTH(H452)&gt;=Setup!$C$15,MONTH(H452)&lt;=Setup!$C$16)),IF(Setup!$C$15&lt;=Setup!$C$16,AND(MONTH(WORKDAY(H452,-(Setup!$C$13+Setup!$G$26),Setup!$C$39:$C$50))&gt;=Setup!$C$15,MONTH(WORKDAY(H452,-(Setup!$C$13+Setup!$G$26),Setup!$C$39:$C$50))&lt;=Setup!$C$16),OR(MONTH(WORKDAY(H452,-(Setup!$C$13+Setup!$G$26),Setup!$C$39:$C$50))&gt;=Setup!$C$15,MONTH(WORKDAY(H452,-(Setup!$C$13+Setup!$G$26),Setup!$C$39:$C$50))&lt;=Setup!$C$16))),WORKDAY(H452,-(Setup!$C$13+Setup!$G$26+Setup!$C$14),Setup!$C$39:$C$50),WORKDAY(H452,-(Setup!$C$13+Setup!$G$26),Setup!$C$39:$C$50))+(447*100+7)/10000000)))</f>
        <v/>
      </c>
      <c r="Y452" t="str">
        <f>IF(I452="","",IF(I452&lt;Setup!$C$5-Setup!$C$6,"",IF(IF(ISNUMBER(Roster!$D452),Setup!$C$27&lt;=Roster!$D452,FALSE),"",IF(OR(IF(Setup!$C$15&lt;=Setup!$C$16,AND(MONTH(I452)&gt;=Setup!$C$15,MONTH(I452)&lt;=Setup!$C$16),OR(MONTH(I452)&gt;=Setup!$C$15,MONTH(I452)&lt;=Setup!$C$16)),IF(Setup!$C$15&lt;=Setup!$C$16,AND(MONTH(WORKDAY(I452,-(Setup!$C$13+Setup!$G$27),Setup!$C$39:$C$50))&gt;=Setup!$C$15,MONTH(WORKDAY(I452,-(Setup!$C$13+Setup!$G$27),Setup!$C$39:$C$50))&lt;=Setup!$C$16),OR(MONTH(WORKDAY(I452,-(Setup!$C$13+Setup!$G$27),Setup!$C$39:$C$50))&gt;=Setup!$C$15,MONTH(WORKDAY(I452,-(Setup!$C$13+Setup!$G$27),Setup!$C$39:$C$50))&lt;=Setup!$C$16))),WORKDAY(I452,-(Setup!$C$13+Setup!$G$27+Setup!$C$14),Setup!$C$39:$C$50),WORKDAY(I452,-(Setup!$C$13+Setup!$G$27),Setup!$C$39:$C$50))+(447*100+8)/10000000)))</f>
        <v/>
      </c>
      <c r="Z452" t="str">
        <f>IF(J452="","",IF(J452&lt;Setup!$C$5-Setup!$C$6,"",IF(IF(ISNUMBER(Roster!$D452),Setup!$C$28&lt;=Roster!$D452,FALSE),"",IF(OR(IF(Setup!$C$15&lt;=Setup!$C$16,AND(MONTH(J452)&gt;=Setup!$C$15,MONTH(J452)&lt;=Setup!$C$16),OR(MONTH(J452)&gt;=Setup!$C$15,MONTH(J452)&lt;=Setup!$C$16)),IF(Setup!$C$15&lt;=Setup!$C$16,AND(MONTH(WORKDAY(J452,-(Setup!$C$13+Setup!$G$28),Setup!$C$39:$C$50))&gt;=Setup!$C$15,MONTH(WORKDAY(J452,-(Setup!$C$13+Setup!$G$28),Setup!$C$39:$C$50))&lt;=Setup!$C$16),OR(MONTH(WORKDAY(J452,-(Setup!$C$13+Setup!$G$28),Setup!$C$39:$C$50))&gt;=Setup!$C$15,MONTH(WORKDAY(J452,-(Setup!$C$13+Setup!$G$28),Setup!$C$39:$C$50))&lt;=Setup!$C$16))),WORKDAY(J452,-(Setup!$C$13+Setup!$G$28+Setup!$C$14),Setup!$C$39:$C$50),WORKDAY(J452,-(Setup!$C$13+Setup!$G$28),Setup!$C$39:$C$50))+(447*100+9)/10000000)))</f>
        <v/>
      </c>
      <c r="AA452" t="str">
        <f>IF(K452="","",IF(K452&lt;Setup!$C$5-Setup!$C$6,"",IF(IF(ISNUMBER(Roster!$D452),Setup!$C$29&lt;=Roster!$D452,FALSE),"",IF(OR(IF(Setup!$C$15&lt;=Setup!$C$16,AND(MONTH(K452)&gt;=Setup!$C$15,MONTH(K452)&lt;=Setup!$C$16),OR(MONTH(K452)&gt;=Setup!$C$15,MONTH(K452)&lt;=Setup!$C$16)),IF(Setup!$C$15&lt;=Setup!$C$16,AND(MONTH(WORKDAY(K452,-(Setup!$C$13+Setup!$G$29),Setup!$C$39:$C$50))&gt;=Setup!$C$15,MONTH(WORKDAY(K452,-(Setup!$C$13+Setup!$G$29),Setup!$C$39:$C$50))&lt;=Setup!$C$16),OR(MONTH(WORKDAY(K452,-(Setup!$C$13+Setup!$G$29),Setup!$C$39:$C$50))&gt;=Setup!$C$15,MONTH(WORKDAY(K452,-(Setup!$C$13+Setup!$G$29),Setup!$C$39:$C$50))&lt;=Setup!$C$16))),WORKDAY(K452,-(Setup!$C$13+Setup!$G$29+Setup!$C$14),Setup!$C$39:$C$50),WORKDAY(K452,-(Setup!$C$13+Setup!$G$29),Setup!$C$39:$C$50))+(447*100+10)/10000000)))</f>
        <v/>
      </c>
      <c r="AB452" t="str">
        <f>IF(L452="","",IF(L452&lt;Setup!$C$5-Setup!$C$6,"",IF(IF(ISNUMBER(Roster!$D452),Setup!$C$30&lt;=Roster!$D452,FALSE),"",IF(OR(IF(Setup!$C$15&lt;=Setup!$C$16,AND(MONTH(L452)&gt;=Setup!$C$15,MONTH(L452)&lt;=Setup!$C$16),OR(MONTH(L452)&gt;=Setup!$C$15,MONTH(L452)&lt;=Setup!$C$16)),IF(Setup!$C$15&lt;=Setup!$C$16,AND(MONTH(WORKDAY(L452,-(Setup!$C$13+Setup!$G$30),Setup!$C$39:$C$50))&gt;=Setup!$C$15,MONTH(WORKDAY(L452,-(Setup!$C$13+Setup!$G$30),Setup!$C$39:$C$50))&lt;=Setup!$C$16),OR(MONTH(WORKDAY(L452,-(Setup!$C$13+Setup!$G$30),Setup!$C$39:$C$50))&gt;=Setup!$C$15,MONTH(WORKDAY(L452,-(Setup!$C$13+Setup!$G$30),Setup!$C$39:$C$50))&lt;=Setup!$C$16))),WORKDAY(L452,-(Setup!$C$13+Setup!$G$30+Setup!$C$14),Setup!$C$39:$C$50),WORKDAY(L452,-(Setup!$C$13+Setup!$G$30),Setup!$C$39:$C$50))+(447*100+11)/10000000)))</f>
        <v/>
      </c>
      <c r="AC452" t="str">
        <f>IF(M452="","",IF(M452&lt;Setup!$C$5-Setup!$C$6,"",IF(IF(ISNUMBER(Roster!$D452),Setup!$C$31&lt;=Roster!$D452,FALSE),"",IF(OR(IF(Setup!$C$15&lt;=Setup!$C$16,AND(MONTH(M452)&gt;=Setup!$C$15,MONTH(M452)&lt;=Setup!$C$16),OR(MONTH(M452)&gt;=Setup!$C$15,MONTH(M452)&lt;=Setup!$C$16)),IF(Setup!$C$15&lt;=Setup!$C$16,AND(MONTH(WORKDAY(M452,-(Setup!$C$13+Setup!$G$31),Setup!$C$39:$C$50))&gt;=Setup!$C$15,MONTH(WORKDAY(M452,-(Setup!$C$13+Setup!$G$31),Setup!$C$39:$C$50))&lt;=Setup!$C$16),OR(MONTH(WORKDAY(M452,-(Setup!$C$13+Setup!$G$31),Setup!$C$39:$C$50))&gt;=Setup!$C$15,MONTH(WORKDAY(M452,-(Setup!$C$13+Setup!$G$31),Setup!$C$39:$C$50))&lt;=Setup!$C$16))),WORKDAY(M452,-(Setup!$C$13+Setup!$G$31+Setup!$C$14),Setup!$C$39:$C$50),WORKDAY(M452,-(Setup!$C$13+Setup!$G$31),Setup!$C$39:$C$50))+(447*100+12)/10000000)))</f>
        <v/>
      </c>
      <c r="AD452" t="str">
        <f>IF(N452="","",IF(N452&lt;Setup!$C$5-Setup!$C$6,"",IF(IF(ISNUMBER(Roster!$D452),Setup!$C$32&lt;=Roster!$D452,FALSE),"",IF(OR(IF(Setup!$C$15&lt;=Setup!$C$16,AND(MONTH(N452)&gt;=Setup!$C$15,MONTH(N452)&lt;=Setup!$C$16),OR(MONTH(N452)&gt;=Setup!$C$15,MONTH(N452)&lt;=Setup!$C$16)),IF(Setup!$C$15&lt;=Setup!$C$16,AND(MONTH(WORKDAY(N452,-(Setup!$C$13+Setup!$G$32),Setup!$C$39:$C$50))&gt;=Setup!$C$15,MONTH(WORKDAY(N452,-(Setup!$C$13+Setup!$G$32),Setup!$C$39:$C$50))&lt;=Setup!$C$16),OR(MONTH(WORKDAY(N452,-(Setup!$C$13+Setup!$G$32),Setup!$C$39:$C$50))&gt;=Setup!$C$15,MONTH(WORKDAY(N452,-(Setup!$C$13+Setup!$G$32),Setup!$C$39:$C$50))&lt;=Setup!$C$16))),WORKDAY(N452,-(Setup!$C$13+Setup!$G$32+Setup!$C$14),Setup!$C$39:$C$50),WORKDAY(N452,-(Setup!$C$13+Setup!$G$32),Setup!$C$39:$C$50))+(447*100+13)/10000000)))</f>
        <v/>
      </c>
      <c r="AE452" t="str">
        <f>IF(O452="","",IF(O452&lt;Setup!$C$5-Setup!$C$6,"",IF(IF(ISNUMBER(Roster!$D452),Setup!$C$33&lt;=Roster!$D452,FALSE),"",IF(OR(IF(Setup!$C$15&lt;=Setup!$C$16,AND(MONTH(O452)&gt;=Setup!$C$15,MONTH(O452)&lt;=Setup!$C$16),OR(MONTH(O452)&gt;=Setup!$C$15,MONTH(O452)&lt;=Setup!$C$16)),IF(Setup!$C$15&lt;=Setup!$C$16,AND(MONTH(WORKDAY(O452,-(Setup!$C$13+Setup!$G$33),Setup!$C$39:$C$50))&gt;=Setup!$C$15,MONTH(WORKDAY(O452,-(Setup!$C$13+Setup!$G$33),Setup!$C$39:$C$50))&lt;=Setup!$C$16),OR(MONTH(WORKDAY(O452,-(Setup!$C$13+Setup!$G$33),Setup!$C$39:$C$50))&gt;=Setup!$C$15,MONTH(WORKDAY(O452,-(Setup!$C$13+Setup!$G$33),Setup!$C$39:$C$50))&lt;=Setup!$C$16))),WORKDAY(O452,-(Setup!$C$13+Setup!$G$33+Setup!$C$14),Setup!$C$39:$C$50),WORKDAY(O452,-(Setup!$C$13+Setup!$G$33),Setup!$C$39:$C$50))+(447*100+14)/10000000)))</f>
        <v/>
      </c>
      <c r="AF452" t="str">
        <f>IF(P452="","",IF(P452&lt;Setup!$C$5-Setup!$C$6,"",IF(IF(ISNUMBER(Roster!$D452),Setup!$C$34&lt;=Roster!$D452,FALSE),"",IF(OR(IF(Setup!$C$15&lt;=Setup!$C$16,AND(MONTH(P452)&gt;=Setup!$C$15,MONTH(P452)&lt;=Setup!$C$16),OR(MONTH(P452)&gt;=Setup!$C$15,MONTH(P452)&lt;=Setup!$C$16)),IF(Setup!$C$15&lt;=Setup!$C$16,AND(MONTH(WORKDAY(P452,-(Setup!$C$13+Setup!$G$34),Setup!$C$39:$C$50))&gt;=Setup!$C$15,MONTH(WORKDAY(P452,-(Setup!$C$13+Setup!$G$34),Setup!$C$39:$C$50))&lt;=Setup!$C$16),OR(MONTH(WORKDAY(P452,-(Setup!$C$13+Setup!$G$34),Setup!$C$39:$C$50))&gt;=Setup!$C$15,MONTH(WORKDAY(P452,-(Setup!$C$13+Setup!$G$34),Setup!$C$39:$C$50))&lt;=Setup!$C$16))),WORKDAY(P452,-(Setup!$C$13+Setup!$G$34+Setup!$C$14),Setup!$C$39:$C$50),WORKDAY(P452,-(Setup!$C$13+Setup!$G$34),Setup!$C$39:$C$50))+(447*100+15)/10000000)))</f>
        <v/>
      </c>
      <c r="AH452" t="str">
        <f t="shared" si="46"/>
        <v/>
      </c>
      <c r="AI452" t="str">
        <f t="shared" si="47"/>
        <v/>
      </c>
      <c r="AP452" t="str">
        <f>IF(ISNUMBER(Roster!$B452),MAX(1,YEAR(Setup!$C$5)-YEAR(Roster!$B452)+IF(EDATE(Roster!$B452,12*(YEAR(Setup!$C$5)-YEAR(Roster!$B452)))&lt;Setup!$C$5,1,0)),"")</f>
        <v/>
      </c>
      <c r="AQ452" s="32" t="str">
        <f>IF(AP452="","",EDATE(Roster!$B452,12*AP452))</f>
        <v/>
      </c>
      <c r="AR452" t="str">
        <f>IF(AQ452="","",IF(AQ452&lt;DATE(YEAR(Setup!$C$5)+1,MONTH(Setup!$C$5),DAY(Setup!$C$5)),AQ452+447/1000,""))</f>
        <v/>
      </c>
      <c r="AS452" t="str">
        <f t="shared" si="48"/>
        <v/>
      </c>
      <c r="AT452" t="str">
        <f>IF(AS452="","",IF(ISNUMBER(Roster!$D452),Roster!$D452&gt;=AP452,FALSE))</f>
        <v/>
      </c>
      <c r="AU452" t="str">
        <f t="shared" si="49"/>
        <v/>
      </c>
      <c r="AV452" t="str">
        <f ca="1">IF(447&gt;$AV$2,"",SMALL($AR$6:$AR$505,447))</f>
        <v/>
      </c>
      <c r="AW452" t="str">
        <f t="shared" ca="1" si="50"/>
        <v/>
      </c>
    </row>
    <row r="453" spans="2:49" x14ac:dyDescent="0.2">
      <c r="B453" s="32" t="str">
        <f>IF(AND(ISNUMBER(Roster!$B453),Setup!$B$20="Yes",ISNUMBER(Setup!$C$20)),EDATE(Roster!$B453,12*Setup!$C$20),"")</f>
        <v/>
      </c>
      <c r="C453" s="32" t="str">
        <f>IF(AND(ISNUMBER(Roster!$B453),Setup!$B$21="Yes",ISNUMBER(Setup!$C$21)),EDATE(Roster!$B453,12*Setup!$C$21),"")</f>
        <v/>
      </c>
      <c r="D453" s="32" t="str">
        <f>IF(AND(ISNUMBER(Roster!$B453),Setup!$B$22="Yes",ISNUMBER(Setup!$C$22)),EDATE(Roster!$B453,12*Setup!$C$22),"")</f>
        <v/>
      </c>
      <c r="E453" s="32" t="str">
        <f>IF(AND(ISNUMBER(Roster!$B453),Setup!$B$23="Yes",ISNUMBER(Setup!$C$23)),EDATE(Roster!$B453,12*Setup!$C$23),"")</f>
        <v/>
      </c>
      <c r="F453" s="32" t="str">
        <f>IF(AND(ISNUMBER(Roster!$B453),Setup!$B$24="Yes",ISNUMBER(Setup!$C$24)),EDATE(Roster!$B453,12*Setup!$C$24),"")</f>
        <v/>
      </c>
      <c r="G453" s="32" t="str">
        <f>IF(AND(ISNUMBER(Roster!$B453),Setup!$B$25="Yes",ISNUMBER(Setup!$C$25)),EDATE(Roster!$B453,12*Setup!$C$25),"")</f>
        <v/>
      </c>
      <c r="H453" s="32" t="str">
        <f>IF(AND(ISNUMBER(Roster!$B453),Setup!$B$26="Yes",ISNUMBER(Setup!$C$26)),EDATE(Roster!$B453,12*Setup!$C$26),"")</f>
        <v/>
      </c>
      <c r="I453" s="32" t="str">
        <f>IF(AND(ISNUMBER(Roster!$B453),Setup!$B$27="Yes",ISNUMBER(Setup!$C$27)),EDATE(Roster!$B453,12*Setup!$C$27),"")</f>
        <v/>
      </c>
      <c r="J453" s="32" t="str">
        <f>IF(AND(ISNUMBER(Roster!$B453),Setup!$B$28="Yes",ISNUMBER(Setup!$C$28)),EDATE(Roster!$B453,12*Setup!$C$28),"")</f>
        <v/>
      </c>
      <c r="K453" s="32" t="str">
        <f>IF(AND(ISNUMBER(Roster!$B453),Setup!$B$29="Yes",ISNUMBER(Setup!$C$29)),EDATE(Roster!$B453,12*Setup!$C$29),"")</f>
        <v/>
      </c>
      <c r="L453" s="32" t="str">
        <f>IF(AND(ISNUMBER(Roster!$B453),Setup!$B$30="Yes",ISNUMBER(Setup!$C$30)),EDATE(Roster!$B453,12*Setup!$C$30),"")</f>
        <v/>
      </c>
      <c r="M453" s="32" t="str">
        <f>IF(AND(ISNUMBER(Roster!$B453),Setup!$B$31="Yes",ISNUMBER(Setup!$C$31)),EDATE(Roster!$B453,12*Setup!$C$31),"")</f>
        <v/>
      </c>
      <c r="N453" s="32" t="str">
        <f>IF(AND(ISNUMBER(Roster!$B453),Setup!$B$32="Yes",ISNUMBER(Setup!$C$32)),EDATE(Roster!$B453,12*Setup!$C$32),"")</f>
        <v/>
      </c>
      <c r="O453" s="32" t="str">
        <f>IF(AND(ISNUMBER(Roster!$B453),Setup!$B$33="Yes",ISNUMBER(Setup!$C$33)),EDATE(Roster!$B453,12*Setup!$C$33),"")</f>
        <v/>
      </c>
      <c r="P453" s="32" t="str">
        <f>IF(AND(ISNUMBER(Roster!$B453),Setup!$B$34="Yes",ISNUMBER(Setup!$C$34)),EDATE(Roster!$B453,12*Setup!$C$34),"")</f>
        <v/>
      </c>
      <c r="R453" t="str">
        <f>IF(B453="","",IF(B453&lt;Setup!$C$5-Setup!$C$6,"",IF(IF(ISNUMBER(Roster!$D453),Setup!$C$20&lt;=Roster!$D453,FALSE),"",IF(OR(IF(Setup!$C$15&lt;=Setup!$C$16,AND(MONTH(B453)&gt;=Setup!$C$15,MONTH(B453)&lt;=Setup!$C$16),OR(MONTH(B453)&gt;=Setup!$C$15,MONTH(B453)&lt;=Setup!$C$16)),IF(Setup!$C$15&lt;=Setup!$C$16,AND(MONTH(WORKDAY(B453,-(Setup!$C$13+Setup!$G$20),Setup!$C$39:$C$50))&gt;=Setup!$C$15,MONTH(WORKDAY(B453,-(Setup!$C$13+Setup!$G$20),Setup!$C$39:$C$50))&lt;=Setup!$C$16),OR(MONTH(WORKDAY(B453,-(Setup!$C$13+Setup!$G$20),Setup!$C$39:$C$50))&gt;=Setup!$C$15,MONTH(WORKDAY(B453,-(Setup!$C$13+Setup!$G$20),Setup!$C$39:$C$50))&lt;=Setup!$C$16))),WORKDAY(B453,-(Setup!$C$13+Setup!$G$20+Setup!$C$14),Setup!$C$39:$C$50),WORKDAY(B453,-(Setup!$C$13+Setup!$G$20),Setup!$C$39:$C$50))+(448*100+1)/10000000)))</f>
        <v/>
      </c>
      <c r="S453" t="str">
        <f>IF(C453="","",IF(C453&lt;Setup!$C$5-Setup!$C$6,"",IF(IF(ISNUMBER(Roster!$D453),Setup!$C$21&lt;=Roster!$D453,FALSE),"",IF(OR(IF(Setup!$C$15&lt;=Setup!$C$16,AND(MONTH(C453)&gt;=Setup!$C$15,MONTH(C453)&lt;=Setup!$C$16),OR(MONTH(C453)&gt;=Setup!$C$15,MONTH(C453)&lt;=Setup!$C$16)),IF(Setup!$C$15&lt;=Setup!$C$16,AND(MONTH(WORKDAY(C453,-(Setup!$C$13+Setup!$G$21),Setup!$C$39:$C$50))&gt;=Setup!$C$15,MONTH(WORKDAY(C453,-(Setup!$C$13+Setup!$G$21),Setup!$C$39:$C$50))&lt;=Setup!$C$16),OR(MONTH(WORKDAY(C453,-(Setup!$C$13+Setup!$G$21),Setup!$C$39:$C$50))&gt;=Setup!$C$15,MONTH(WORKDAY(C453,-(Setup!$C$13+Setup!$G$21),Setup!$C$39:$C$50))&lt;=Setup!$C$16))),WORKDAY(C453,-(Setup!$C$13+Setup!$G$21+Setup!$C$14),Setup!$C$39:$C$50),WORKDAY(C453,-(Setup!$C$13+Setup!$G$21),Setup!$C$39:$C$50))+(448*100+2)/10000000)))</f>
        <v/>
      </c>
      <c r="T453" t="str">
        <f>IF(D453="","",IF(D453&lt;Setup!$C$5-Setup!$C$6,"",IF(IF(ISNUMBER(Roster!$D453),Setup!$C$22&lt;=Roster!$D453,FALSE),"",IF(OR(IF(Setup!$C$15&lt;=Setup!$C$16,AND(MONTH(D453)&gt;=Setup!$C$15,MONTH(D453)&lt;=Setup!$C$16),OR(MONTH(D453)&gt;=Setup!$C$15,MONTH(D453)&lt;=Setup!$C$16)),IF(Setup!$C$15&lt;=Setup!$C$16,AND(MONTH(WORKDAY(D453,-(Setup!$C$13+Setup!$G$22),Setup!$C$39:$C$50))&gt;=Setup!$C$15,MONTH(WORKDAY(D453,-(Setup!$C$13+Setup!$G$22),Setup!$C$39:$C$50))&lt;=Setup!$C$16),OR(MONTH(WORKDAY(D453,-(Setup!$C$13+Setup!$G$22),Setup!$C$39:$C$50))&gt;=Setup!$C$15,MONTH(WORKDAY(D453,-(Setup!$C$13+Setup!$G$22),Setup!$C$39:$C$50))&lt;=Setup!$C$16))),WORKDAY(D453,-(Setup!$C$13+Setup!$G$22+Setup!$C$14),Setup!$C$39:$C$50),WORKDAY(D453,-(Setup!$C$13+Setup!$G$22),Setup!$C$39:$C$50))+(448*100+3)/10000000)))</f>
        <v/>
      </c>
      <c r="U453" t="str">
        <f>IF(E453="","",IF(E453&lt;Setup!$C$5-Setup!$C$6,"",IF(IF(ISNUMBER(Roster!$D453),Setup!$C$23&lt;=Roster!$D453,FALSE),"",IF(OR(IF(Setup!$C$15&lt;=Setup!$C$16,AND(MONTH(E453)&gt;=Setup!$C$15,MONTH(E453)&lt;=Setup!$C$16),OR(MONTH(E453)&gt;=Setup!$C$15,MONTH(E453)&lt;=Setup!$C$16)),IF(Setup!$C$15&lt;=Setup!$C$16,AND(MONTH(WORKDAY(E453,-(Setup!$C$13+Setup!$G$23),Setup!$C$39:$C$50))&gt;=Setup!$C$15,MONTH(WORKDAY(E453,-(Setup!$C$13+Setup!$G$23),Setup!$C$39:$C$50))&lt;=Setup!$C$16),OR(MONTH(WORKDAY(E453,-(Setup!$C$13+Setup!$G$23),Setup!$C$39:$C$50))&gt;=Setup!$C$15,MONTH(WORKDAY(E453,-(Setup!$C$13+Setup!$G$23),Setup!$C$39:$C$50))&lt;=Setup!$C$16))),WORKDAY(E453,-(Setup!$C$13+Setup!$G$23+Setup!$C$14),Setup!$C$39:$C$50),WORKDAY(E453,-(Setup!$C$13+Setup!$G$23),Setup!$C$39:$C$50))+(448*100+4)/10000000)))</f>
        <v/>
      </c>
      <c r="V453" t="str">
        <f>IF(F453="","",IF(F453&lt;Setup!$C$5-Setup!$C$6,"",IF(IF(ISNUMBER(Roster!$D453),Setup!$C$24&lt;=Roster!$D453,FALSE),"",IF(OR(IF(Setup!$C$15&lt;=Setup!$C$16,AND(MONTH(F453)&gt;=Setup!$C$15,MONTH(F453)&lt;=Setup!$C$16),OR(MONTH(F453)&gt;=Setup!$C$15,MONTH(F453)&lt;=Setup!$C$16)),IF(Setup!$C$15&lt;=Setup!$C$16,AND(MONTH(WORKDAY(F453,-(Setup!$C$13+Setup!$G$24),Setup!$C$39:$C$50))&gt;=Setup!$C$15,MONTH(WORKDAY(F453,-(Setup!$C$13+Setup!$G$24),Setup!$C$39:$C$50))&lt;=Setup!$C$16),OR(MONTH(WORKDAY(F453,-(Setup!$C$13+Setup!$G$24),Setup!$C$39:$C$50))&gt;=Setup!$C$15,MONTH(WORKDAY(F453,-(Setup!$C$13+Setup!$G$24),Setup!$C$39:$C$50))&lt;=Setup!$C$16))),WORKDAY(F453,-(Setup!$C$13+Setup!$G$24+Setup!$C$14),Setup!$C$39:$C$50),WORKDAY(F453,-(Setup!$C$13+Setup!$G$24),Setup!$C$39:$C$50))+(448*100+5)/10000000)))</f>
        <v/>
      </c>
      <c r="W453" t="str">
        <f>IF(G453="","",IF(G453&lt;Setup!$C$5-Setup!$C$6,"",IF(IF(ISNUMBER(Roster!$D453),Setup!$C$25&lt;=Roster!$D453,FALSE),"",IF(OR(IF(Setup!$C$15&lt;=Setup!$C$16,AND(MONTH(G453)&gt;=Setup!$C$15,MONTH(G453)&lt;=Setup!$C$16),OR(MONTH(G453)&gt;=Setup!$C$15,MONTH(G453)&lt;=Setup!$C$16)),IF(Setup!$C$15&lt;=Setup!$C$16,AND(MONTH(WORKDAY(G453,-(Setup!$C$13+Setup!$G$25),Setup!$C$39:$C$50))&gt;=Setup!$C$15,MONTH(WORKDAY(G453,-(Setup!$C$13+Setup!$G$25),Setup!$C$39:$C$50))&lt;=Setup!$C$16),OR(MONTH(WORKDAY(G453,-(Setup!$C$13+Setup!$G$25),Setup!$C$39:$C$50))&gt;=Setup!$C$15,MONTH(WORKDAY(G453,-(Setup!$C$13+Setup!$G$25),Setup!$C$39:$C$50))&lt;=Setup!$C$16))),WORKDAY(G453,-(Setup!$C$13+Setup!$G$25+Setup!$C$14),Setup!$C$39:$C$50),WORKDAY(G453,-(Setup!$C$13+Setup!$G$25),Setup!$C$39:$C$50))+(448*100+6)/10000000)))</f>
        <v/>
      </c>
      <c r="X453" t="str">
        <f>IF(H453="","",IF(H453&lt;Setup!$C$5-Setup!$C$6,"",IF(IF(ISNUMBER(Roster!$D453),Setup!$C$26&lt;=Roster!$D453,FALSE),"",IF(OR(IF(Setup!$C$15&lt;=Setup!$C$16,AND(MONTH(H453)&gt;=Setup!$C$15,MONTH(H453)&lt;=Setup!$C$16),OR(MONTH(H453)&gt;=Setup!$C$15,MONTH(H453)&lt;=Setup!$C$16)),IF(Setup!$C$15&lt;=Setup!$C$16,AND(MONTH(WORKDAY(H453,-(Setup!$C$13+Setup!$G$26),Setup!$C$39:$C$50))&gt;=Setup!$C$15,MONTH(WORKDAY(H453,-(Setup!$C$13+Setup!$G$26),Setup!$C$39:$C$50))&lt;=Setup!$C$16),OR(MONTH(WORKDAY(H453,-(Setup!$C$13+Setup!$G$26),Setup!$C$39:$C$50))&gt;=Setup!$C$15,MONTH(WORKDAY(H453,-(Setup!$C$13+Setup!$G$26),Setup!$C$39:$C$50))&lt;=Setup!$C$16))),WORKDAY(H453,-(Setup!$C$13+Setup!$G$26+Setup!$C$14),Setup!$C$39:$C$50),WORKDAY(H453,-(Setup!$C$13+Setup!$G$26),Setup!$C$39:$C$50))+(448*100+7)/10000000)))</f>
        <v/>
      </c>
      <c r="Y453" t="str">
        <f>IF(I453="","",IF(I453&lt;Setup!$C$5-Setup!$C$6,"",IF(IF(ISNUMBER(Roster!$D453),Setup!$C$27&lt;=Roster!$D453,FALSE),"",IF(OR(IF(Setup!$C$15&lt;=Setup!$C$16,AND(MONTH(I453)&gt;=Setup!$C$15,MONTH(I453)&lt;=Setup!$C$16),OR(MONTH(I453)&gt;=Setup!$C$15,MONTH(I453)&lt;=Setup!$C$16)),IF(Setup!$C$15&lt;=Setup!$C$16,AND(MONTH(WORKDAY(I453,-(Setup!$C$13+Setup!$G$27),Setup!$C$39:$C$50))&gt;=Setup!$C$15,MONTH(WORKDAY(I453,-(Setup!$C$13+Setup!$G$27),Setup!$C$39:$C$50))&lt;=Setup!$C$16),OR(MONTH(WORKDAY(I453,-(Setup!$C$13+Setup!$G$27),Setup!$C$39:$C$50))&gt;=Setup!$C$15,MONTH(WORKDAY(I453,-(Setup!$C$13+Setup!$G$27),Setup!$C$39:$C$50))&lt;=Setup!$C$16))),WORKDAY(I453,-(Setup!$C$13+Setup!$G$27+Setup!$C$14),Setup!$C$39:$C$50),WORKDAY(I453,-(Setup!$C$13+Setup!$G$27),Setup!$C$39:$C$50))+(448*100+8)/10000000)))</f>
        <v/>
      </c>
      <c r="Z453" t="str">
        <f>IF(J453="","",IF(J453&lt;Setup!$C$5-Setup!$C$6,"",IF(IF(ISNUMBER(Roster!$D453),Setup!$C$28&lt;=Roster!$D453,FALSE),"",IF(OR(IF(Setup!$C$15&lt;=Setup!$C$16,AND(MONTH(J453)&gt;=Setup!$C$15,MONTH(J453)&lt;=Setup!$C$16),OR(MONTH(J453)&gt;=Setup!$C$15,MONTH(J453)&lt;=Setup!$C$16)),IF(Setup!$C$15&lt;=Setup!$C$16,AND(MONTH(WORKDAY(J453,-(Setup!$C$13+Setup!$G$28),Setup!$C$39:$C$50))&gt;=Setup!$C$15,MONTH(WORKDAY(J453,-(Setup!$C$13+Setup!$G$28),Setup!$C$39:$C$50))&lt;=Setup!$C$16),OR(MONTH(WORKDAY(J453,-(Setup!$C$13+Setup!$G$28),Setup!$C$39:$C$50))&gt;=Setup!$C$15,MONTH(WORKDAY(J453,-(Setup!$C$13+Setup!$G$28),Setup!$C$39:$C$50))&lt;=Setup!$C$16))),WORKDAY(J453,-(Setup!$C$13+Setup!$G$28+Setup!$C$14),Setup!$C$39:$C$50),WORKDAY(J453,-(Setup!$C$13+Setup!$G$28),Setup!$C$39:$C$50))+(448*100+9)/10000000)))</f>
        <v/>
      </c>
      <c r="AA453" t="str">
        <f>IF(K453="","",IF(K453&lt;Setup!$C$5-Setup!$C$6,"",IF(IF(ISNUMBER(Roster!$D453),Setup!$C$29&lt;=Roster!$D453,FALSE),"",IF(OR(IF(Setup!$C$15&lt;=Setup!$C$16,AND(MONTH(K453)&gt;=Setup!$C$15,MONTH(K453)&lt;=Setup!$C$16),OR(MONTH(K453)&gt;=Setup!$C$15,MONTH(K453)&lt;=Setup!$C$16)),IF(Setup!$C$15&lt;=Setup!$C$16,AND(MONTH(WORKDAY(K453,-(Setup!$C$13+Setup!$G$29),Setup!$C$39:$C$50))&gt;=Setup!$C$15,MONTH(WORKDAY(K453,-(Setup!$C$13+Setup!$G$29),Setup!$C$39:$C$50))&lt;=Setup!$C$16),OR(MONTH(WORKDAY(K453,-(Setup!$C$13+Setup!$G$29),Setup!$C$39:$C$50))&gt;=Setup!$C$15,MONTH(WORKDAY(K453,-(Setup!$C$13+Setup!$G$29),Setup!$C$39:$C$50))&lt;=Setup!$C$16))),WORKDAY(K453,-(Setup!$C$13+Setup!$G$29+Setup!$C$14),Setup!$C$39:$C$50),WORKDAY(K453,-(Setup!$C$13+Setup!$G$29),Setup!$C$39:$C$50))+(448*100+10)/10000000)))</f>
        <v/>
      </c>
      <c r="AB453" t="str">
        <f>IF(L453="","",IF(L453&lt;Setup!$C$5-Setup!$C$6,"",IF(IF(ISNUMBER(Roster!$D453),Setup!$C$30&lt;=Roster!$D453,FALSE),"",IF(OR(IF(Setup!$C$15&lt;=Setup!$C$16,AND(MONTH(L453)&gt;=Setup!$C$15,MONTH(L453)&lt;=Setup!$C$16),OR(MONTH(L453)&gt;=Setup!$C$15,MONTH(L453)&lt;=Setup!$C$16)),IF(Setup!$C$15&lt;=Setup!$C$16,AND(MONTH(WORKDAY(L453,-(Setup!$C$13+Setup!$G$30),Setup!$C$39:$C$50))&gt;=Setup!$C$15,MONTH(WORKDAY(L453,-(Setup!$C$13+Setup!$G$30),Setup!$C$39:$C$50))&lt;=Setup!$C$16),OR(MONTH(WORKDAY(L453,-(Setup!$C$13+Setup!$G$30),Setup!$C$39:$C$50))&gt;=Setup!$C$15,MONTH(WORKDAY(L453,-(Setup!$C$13+Setup!$G$30),Setup!$C$39:$C$50))&lt;=Setup!$C$16))),WORKDAY(L453,-(Setup!$C$13+Setup!$G$30+Setup!$C$14),Setup!$C$39:$C$50),WORKDAY(L453,-(Setup!$C$13+Setup!$G$30),Setup!$C$39:$C$50))+(448*100+11)/10000000)))</f>
        <v/>
      </c>
      <c r="AC453" t="str">
        <f>IF(M453="","",IF(M453&lt;Setup!$C$5-Setup!$C$6,"",IF(IF(ISNUMBER(Roster!$D453),Setup!$C$31&lt;=Roster!$D453,FALSE),"",IF(OR(IF(Setup!$C$15&lt;=Setup!$C$16,AND(MONTH(M453)&gt;=Setup!$C$15,MONTH(M453)&lt;=Setup!$C$16),OR(MONTH(M453)&gt;=Setup!$C$15,MONTH(M453)&lt;=Setup!$C$16)),IF(Setup!$C$15&lt;=Setup!$C$16,AND(MONTH(WORKDAY(M453,-(Setup!$C$13+Setup!$G$31),Setup!$C$39:$C$50))&gt;=Setup!$C$15,MONTH(WORKDAY(M453,-(Setup!$C$13+Setup!$G$31),Setup!$C$39:$C$50))&lt;=Setup!$C$16),OR(MONTH(WORKDAY(M453,-(Setup!$C$13+Setup!$G$31),Setup!$C$39:$C$50))&gt;=Setup!$C$15,MONTH(WORKDAY(M453,-(Setup!$C$13+Setup!$G$31),Setup!$C$39:$C$50))&lt;=Setup!$C$16))),WORKDAY(M453,-(Setup!$C$13+Setup!$G$31+Setup!$C$14),Setup!$C$39:$C$50),WORKDAY(M453,-(Setup!$C$13+Setup!$G$31),Setup!$C$39:$C$50))+(448*100+12)/10000000)))</f>
        <v/>
      </c>
      <c r="AD453" t="str">
        <f>IF(N453="","",IF(N453&lt;Setup!$C$5-Setup!$C$6,"",IF(IF(ISNUMBER(Roster!$D453),Setup!$C$32&lt;=Roster!$D453,FALSE),"",IF(OR(IF(Setup!$C$15&lt;=Setup!$C$16,AND(MONTH(N453)&gt;=Setup!$C$15,MONTH(N453)&lt;=Setup!$C$16),OR(MONTH(N453)&gt;=Setup!$C$15,MONTH(N453)&lt;=Setup!$C$16)),IF(Setup!$C$15&lt;=Setup!$C$16,AND(MONTH(WORKDAY(N453,-(Setup!$C$13+Setup!$G$32),Setup!$C$39:$C$50))&gt;=Setup!$C$15,MONTH(WORKDAY(N453,-(Setup!$C$13+Setup!$G$32),Setup!$C$39:$C$50))&lt;=Setup!$C$16),OR(MONTH(WORKDAY(N453,-(Setup!$C$13+Setup!$G$32),Setup!$C$39:$C$50))&gt;=Setup!$C$15,MONTH(WORKDAY(N453,-(Setup!$C$13+Setup!$G$32),Setup!$C$39:$C$50))&lt;=Setup!$C$16))),WORKDAY(N453,-(Setup!$C$13+Setup!$G$32+Setup!$C$14),Setup!$C$39:$C$50),WORKDAY(N453,-(Setup!$C$13+Setup!$G$32),Setup!$C$39:$C$50))+(448*100+13)/10000000)))</f>
        <v/>
      </c>
      <c r="AE453" t="str">
        <f>IF(O453="","",IF(O453&lt;Setup!$C$5-Setup!$C$6,"",IF(IF(ISNUMBER(Roster!$D453),Setup!$C$33&lt;=Roster!$D453,FALSE),"",IF(OR(IF(Setup!$C$15&lt;=Setup!$C$16,AND(MONTH(O453)&gt;=Setup!$C$15,MONTH(O453)&lt;=Setup!$C$16),OR(MONTH(O453)&gt;=Setup!$C$15,MONTH(O453)&lt;=Setup!$C$16)),IF(Setup!$C$15&lt;=Setup!$C$16,AND(MONTH(WORKDAY(O453,-(Setup!$C$13+Setup!$G$33),Setup!$C$39:$C$50))&gt;=Setup!$C$15,MONTH(WORKDAY(O453,-(Setup!$C$13+Setup!$G$33),Setup!$C$39:$C$50))&lt;=Setup!$C$16),OR(MONTH(WORKDAY(O453,-(Setup!$C$13+Setup!$G$33),Setup!$C$39:$C$50))&gt;=Setup!$C$15,MONTH(WORKDAY(O453,-(Setup!$C$13+Setup!$G$33),Setup!$C$39:$C$50))&lt;=Setup!$C$16))),WORKDAY(O453,-(Setup!$C$13+Setup!$G$33+Setup!$C$14),Setup!$C$39:$C$50),WORKDAY(O453,-(Setup!$C$13+Setup!$G$33),Setup!$C$39:$C$50))+(448*100+14)/10000000)))</f>
        <v/>
      </c>
      <c r="AF453" t="str">
        <f>IF(P453="","",IF(P453&lt;Setup!$C$5-Setup!$C$6,"",IF(IF(ISNUMBER(Roster!$D453),Setup!$C$34&lt;=Roster!$D453,FALSE),"",IF(OR(IF(Setup!$C$15&lt;=Setup!$C$16,AND(MONTH(P453)&gt;=Setup!$C$15,MONTH(P453)&lt;=Setup!$C$16),OR(MONTH(P453)&gt;=Setup!$C$15,MONTH(P453)&lt;=Setup!$C$16)),IF(Setup!$C$15&lt;=Setup!$C$16,AND(MONTH(WORKDAY(P453,-(Setup!$C$13+Setup!$G$34),Setup!$C$39:$C$50))&gt;=Setup!$C$15,MONTH(WORKDAY(P453,-(Setup!$C$13+Setup!$G$34),Setup!$C$39:$C$50))&lt;=Setup!$C$16),OR(MONTH(WORKDAY(P453,-(Setup!$C$13+Setup!$G$34),Setup!$C$39:$C$50))&gt;=Setup!$C$15,MONTH(WORKDAY(P453,-(Setup!$C$13+Setup!$G$34),Setup!$C$39:$C$50))&lt;=Setup!$C$16))),WORKDAY(P453,-(Setup!$C$13+Setup!$G$34+Setup!$C$14),Setup!$C$39:$C$50),WORKDAY(P453,-(Setup!$C$13+Setup!$G$34),Setup!$C$39:$C$50))+(448*100+15)/10000000)))</f>
        <v/>
      </c>
      <c r="AH453" t="str">
        <f t="shared" si="46"/>
        <v/>
      </c>
      <c r="AI453" t="str">
        <f t="shared" si="47"/>
        <v/>
      </c>
      <c r="AP453" t="str">
        <f>IF(ISNUMBER(Roster!$B453),MAX(1,YEAR(Setup!$C$5)-YEAR(Roster!$B453)+IF(EDATE(Roster!$B453,12*(YEAR(Setup!$C$5)-YEAR(Roster!$B453)))&lt;Setup!$C$5,1,0)),"")</f>
        <v/>
      </c>
      <c r="AQ453" s="32" t="str">
        <f>IF(AP453="","",EDATE(Roster!$B453,12*AP453))</f>
        <v/>
      </c>
      <c r="AR453" t="str">
        <f>IF(AQ453="","",IF(AQ453&lt;DATE(YEAR(Setup!$C$5)+1,MONTH(Setup!$C$5),DAY(Setup!$C$5)),AQ453+448/1000,""))</f>
        <v/>
      </c>
      <c r="AS453" t="str">
        <f t="shared" si="48"/>
        <v/>
      </c>
      <c r="AT453" t="str">
        <f>IF(AS453="","",IF(ISNUMBER(Roster!$D453),Roster!$D453&gt;=AP453,FALSE))</f>
        <v/>
      </c>
      <c r="AU453" t="str">
        <f t="shared" si="49"/>
        <v/>
      </c>
      <c r="AV453" t="str">
        <f ca="1">IF(448&gt;$AV$2,"",SMALL($AR$6:$AR$505,448))</f>
        <v/>
      </c>
      <c r="AW453" t="str">
        <f t="shared" ca="1" si="50"/>
        <v/>
      </c>
    </row>
    <row r="454" spans="2:49" x14ac:dyDescent="0.2">
      <c r="B454" s="32" t="str">
        <f>IF(AND(ISNUMBER(Roster!$B454),Setup!$B$20="Yes",ISNUMBER(Setup!$C$20)),EDATE(Roster!$B454,12*Setup!$C$20),"")</f>
        <v/>
      </c>
      <c r="C454" s="32" t="str">
        <f>IF(AND(ISNUMBER(Roster!$B454),Setup!$B$21="Yes",ISNUMBER(Setup!$C$21)),EDATE(Roster!$B454,12*Setup!$C$21),"")</f>
        <v/>
      </c>
      <c r="D454" s="32" t="str">
        <f>IF(AND(ISNUMBER(Roster!$B454),Setup!$B$22="Yes",ISNUMBER(Setup!$C$22)),EDATE(Roster!$B454,12*Setup!$C$22),"")</f>
        <v/>
      </c>
      <c r="E454" s="32" t="str">
        <f>IF(AND(ISNUMBER(Roster!$B454),Setup!$B$23="Yes",ISNUMBER(Setup!$C$23)),EDATE(Roster!$B454,12*Setup!$C$23),"")</f>
        <v/>
      </c>
      <c r="F454" s="32" t="str">
        <f>IF(AND(ISNUMBER(Roster!$B454),Setup!$B$24="Yes",ISNUMBER(Setup!$C$24)),EDATE(Roster!$B454,12*Setup!$C$24),"")</f>
        <v/>
      </c>
      <c r="G454" s="32" t="str">
        <f>IF(AND(ISNUMBER(Roster!$B454),Setup!$B$25="Yes",ISNUMBER(Setup!$C$25)),EDATE(Roster!$B454,12*Setup!$C$25),"")</f>
        <v/>
      </c>
      <c r="H454" s="32" t="str">
        <f>IF(AND(ISNUMBER(Roster!$B454),Setup!$B$26="Yes",ISNUMBER(Setup!$C$26)),EDATE(Roster!$B454,12*Setup!$C$26),"")</f>
        <v/>
      </c>
      <c r="I454" s="32" t="str">
        <f>IF(AND(ISNUMBER(Roster!$B454),Setup!$B$27="Yes",ISNUMBER(Setup!$C$27)),EDATE(Roster!$B454,12*Setup!$C$27),"")</f>
        <v/>
      </c>
      <c r="J454" s="32" t="str">
        <f>IF(AND(ISNUMBER(Roster!$B454),Setup!$B$28="Yes",ISNUMBER(Setup!$C$28)),EDATE(Roster!$B454,12*Setup!$C$28),"")</f>
        <v/>
      </c>
      <c r="K454" s="32" t="str">
        <f>IF(AND(ISNUMBER(Roster!$B454),Setup!$B$29="Yes",ISNUMBER(Setup!$C$29)),EDATE(Roster!$B454,12*Setup!$C$29),"")</f>
        <v/>
      </c>
      <c r="L454" s="32" t="str">
        <f>IF(AND(ISNUMBER(Roster!$B454),Setup!$B$30="Yes",ISNUMBER(Setup!$C$30)),EDATE(Roster!$B454,12*Setup!$C$30),"")</f>
        <v/>
      </c>
      <c r="M454" s="32" t="str">
        <f>IF(AND(ISNUMBER(Roster!$B454),Setup!$B$31="Yes",ISNUMBER(Setup!$C$31)),EDATE(Roster!$B454,12*Setup!$C$31),"")</f>
        <v/>
      </c>
      <c r="N454" s="32" t="str">
        <f>IF(AND(ISNUMBER(Roster!$B454),Setup!$B$32="Yes",ISNUMBER(Setup!$C$32)),EDATE(Roster!$B454,12*Setup!$C$32),"")</f>
        <v/>
      </c>
      <c r="O454" s="32" t="str">
        <f>IF(AND(ISNUMBER(Roster!$B454),Setup!$B$33="Yes",ISNUMBER(Setup!$C$33)),EDATE(Roster!$B454,12*Setup!$C$33),"")</f>
        <v/>
      </c>
      <c r="P454" s="32" t="str">
        <f>IF(AND(ISNUMBER(Roster!$B454),Setup!$B$34="Yes",ISNUMBER(Setup!$C$34)),EDATE(Roster!$B454,12*Setup!$C$34),"")</f>
        <v/>
      </c>
      <c r="R454" t="str">
        <f>IF(B454="","",IF(B454&lt;Setup!$C$5-Setup!$C$6,"",IF(IF(ISNUMBER(Roster!$D454),Setup!$C$20&lt;=Roster!$D454,FALSE),"",IF(OR(IF(Setup!$C$15&lt;=Setup!$C$16,AND(MONTH(B454)&gt;=Setup!$C$15,MONTH(B454)&lt;=Setup!$C$16),OR(MONTH(B454)&gt;=Setup!$C$15,MONTH(B454)&lt;=Setup!$C$16)),IF(Setup!$C$15&lt;=Setup!$C$16,AND(MONTH(WORKDAY(B454,-(Setup!$C$13+Setup!$G$20),Setup!$C$39:$C$50))&gt;=Setup!$C$15,MONTH(WORKDAY(B454,-(Setup!$C$13+Setup!$G$20),Setup!$C$39:$C$50))&lt;=Setup!$C$16),OR(MONTH(WORKDAY(B454,-(Setup!$C$13+Setup!$G$20),Setup!$C$39:$C$50))&gt;=Setup!$C$15,MONTH(WORKDAY(B454,-(Setup!$C$13+Setup!$G$20),Setup!$C$39:$C$50))&lt;=Setup!$C$16))),WORKDAY(B454,-(Setup!$C$13+Setup!$G$20+Setup!$C$14),Setup!$C$39:$C$50),WORKDAY(B454,-(Setup!$C$13+Setup!$G$20),Setup!$C$39:$C$50))+(449*100+1)/10000000)))</f>
        <v/>
      </c>
      <c r="S454" t="str">
        <f>IF(C454="","",IF(C454&lt;Setup!$C$5-Setup!$C$6,"",IF(IF(ISNUMBER(Roster!$D454),Setup!$C$21&lt;=Roster!$D454,FALSE),"",IF(OR(IF(Setup!$C$15&lt;=Setup!$C$16,AND(MONTH(C454)&gt;=Setup!$C$15,MONTH(C454)&lt;=Setup!$C$16),OR(MONTH(C454)&gt;=Setup!$C$15,MONTH(C454)&lt;=Setup!$C$16)),IF(Setup!$C$15&lt;=Setup!$C$16,AND(MONTH(WORKDAY(C454,-(Setup!$C$13+Setup!$G$21),Setup!$C$39:$C$50))&gt;=Setup!$C$15,MONTH(WORKDAY(C454,-(Setup!$C$13+Setup!$G$21),Setup!$C$39:$C$50))&lt;=Setup!$C$16),OR(MONTH(WORKDAY(C454,-(Setup!$C$13+Setup!$G$21),Setup!$C$39:$C$50))&gt;=Setup!$C$15,MONTH(WORKDAY(C454,-(Setup!$C$13+Setup!$G$21),Setup!$C$39:$C$50))&lt;=Setup!$C$16))),WORKDAY(C454,-(Setup!$C$13+Setup!$G$21+Setup!$C$14),Setup!$C$39:$C$50),WORKDAY(C454,-(Setup!$C$13+Setup!$G$21),Setup!$C$39:$C$50))+(449*100+2)/10000000)))</f>
        <v/>
      </c>
      <c r="T454" t="str">
        <f>IF(D454="","",IF(D454&lt;Setup!$C$5-Setup!$C$6,"",IF(IF(ISNUMBER(Roster!$D454),Setup!$C$22&lt;=Roster!$D454,FALSE),"",IF(OR(IF(Setup!$C$15&lt;=Setup!$C$16,AND(MONTH(D454)&gt;=Setup!$C$15,MONTH(D454)&lt;=Setup!$C$16),OR(MONTH(D454)&gt;=Setup!$C$15,MONTH(D454)&lt;=Setup!$C$16)),IF(Setup!$C$15&lt;=Setup!$C$16,AND(MONTH(WORKDAY(D454,-(Setup!$C$13+Setup!$G$22),Setup!$C$39:$C$50))&gt;=Setup!$C$15,MONTH(WORKDAY(D454,-(Setup!$C$13+Setup!$G$22),Setup!$C$39:$C$50))&lt;=Setup!$C$16),OR(MONTH(WORKDAY(D454,-(Setup!$C$13+Setup!$G$22),Setup!$C$39:$C$50))&gt;=Setup!$C$15,MONTH(WORKDAY(D454,-(Setup!$C$13+Setup!$G$22),Setup!$C$39:$C$50))&lt;=Setup!$C$16))),WORKDAY(D454,-(Setup!$C$13+Setup!$G$22+Setup!$C$14),Setup!$C$39:$C$50),WORKDAY(D454,-(Setup!$C$13+Setup!$G$22),Setup!$C$39:$C$50))+(449*100+3)/10000000)))</f>
        <v/>
      </c>
      <c r="U454" t="str">
        <f>IF(E454="","",IF(E454&lt;Setup!$C$5-Setup!$C$6,"",IF(IF(ISNUMBER(Roster!$D454),Setup!$C$23&lt;=Roster!$D454,FALSE),"",IF(OR(IF(Setup!$C$15&lt;=Setup!$C$16,AND(MONTH(E454)&gt;=Setup!$C$15,MONTH(E454)&lt;=Setup!$C$16),OR(MONTH(E454)&gt;=Setup!$C$15,MONTH(E454)&lt;=Setup!$C$16)),IF(Setup!$C$15&lt;=Setup!$C$16,AND(MONTH(WORKDAY(E454,-(Setup!$C$13+Setup!$G$23),Setup!$C$39:$C$50))&gt;=Setup!$C$15,MONTH(WORKDAY(E454,-(Setup!$C$13+Setup!$G$23),Setup!$C$39:$C$50))&lt;=Setup!$C$16),OR(MONTH(WORKDAY(E454,-(Setup!$C$13+Setup!$G$23),Setup!$C$39:$C$50))&gt;=Setup!$C$15,MONTH(WORKDAY(E454,-(Setup!$C$13+Setup!$G$23),Setup!$C$39:$C$50))&lt;=Setup!$C$16))),WORKDAY(E454,-(Setup!$C$13+Setup!$G$23+Setup!$C$14),Setup!$C$39:$C$50),WORKDAY(E454,-(Setup!$C$13+Setup!$G$23),Setup!$C$39:$C$50))+(449*100+4)/10000000)))</f>
        <v/>
      </c>
      <c r="V454" t="str">
        <f>IF(F454="","",IF(F454&lt;Setup!$C$5-Setup!$C$6,"",IF(IF(ISNUMBER(Roster!$D454),Setup!$C$24&lt;=Roster!$D454,FALSE),"",IF(OR(IF(Setup!$C$15&lt;=Setup!$C$16,AND(MONTH(F454)&gt;=Setup!$C$15,MONTH(F454)&lt;=Setup!$C$16),OR(MONTH(F454)&gt;=Setup!$C$15,MONTH(F454)&lt;=Setup!$C$16)),IF(Setup!$C$15&lt;=Setup!$C$16,AND(MONTH(WORKDAY(F454,-(Setup!$C$13+Setup!$G$24),Setup!$C$39:$C$50))&gt;=Setup!$C$15,MONTH(WORKDAY(F454,-(Setup!$C$13+Setup!$G$24),Setup!$C$39:$C$50))&lt;=Setup!$C$16),OR(MONTH(WORKDAY(F454,-(Setup!$C$13+Setup!$G$24),Setup!$C$39:$C$50))&gt;=Setup!$C$15,MONTH(WORKDAY(F454,-(Setup!$C$13+Setup!$G$24),Setup!$C$39:$C$50))&lt;=Setup!$C$16))),WORKDAY(F454,-(Setup!$C$13+Setup!$G$24+Setup!$C$14),Setup!$C$39:$C$50),WORKDAY(F454,-(Setup!$C$13+Setup!$G$24),Setup!$C$39:$C$50))+(449*100+5)/10000000)))</f>
        <v/>
      </c>
      <c r="W454" t="str">
        <f>IF(G454="","",IF(G454&lt;Setup!$C$5-Setup!$C$6,"",IF(IF(ISNUMBER(Roster!$D454),Setup!$C$25&lt;=Roster!$D454,FALSE),"",IF(OR(IF(Setup!$C$15&lt;=Setup!$C$16,AND(MONTH(G454)&gt;=Setup!$C$15,MONTH(G454)&lt;=Setup!$C$16),OR(MONTH(G454)&gt;=Setup!$C$15,MONTH(G454)&lt;=Setup!$C$16)),IF(Setup!$C$15&lt;=Setup!$C$16,AND(MONTH(WORKDAY(G454,-(Setup!$C$13+Setup!$G$25),Setup!$C$39:$C$50))&gt;=Setup!$C$15,MONTH(WORKDAY(G454,-(Setup!$C$13+Setup!$G$25),Setup!$C$39:$C$50))&lt;=Setup!$C$16),OR(MONTH(WORKDAY(G454,-(Setup!$C$13+Setup!$G$25),Setup!$C$39:$C$50))&gt;=Setup!$C$15,MONTH(WORKDAY(G454,-(Setup!$C$13+Setup!$G$25),Setup!$C$39:$C$50))&lt;=Setup!$C$16))),WORKDAY(G454,-(Setup!$C$13+Setup!$G$25+Setup!$C$14),Setup!$C$39:$C$50),WORKDAY(G454,-(Setup!$C$13+Setup!$G$25),Setup!$C$39:$C$50))+(449*100+6)/10000000)))</f>
        <v/>
      </c>
      <c r="X454" t="str">
        <f>IF(H454="","",IF(H454&lt;Setup!$C$5-Setup!$C$6,"",IF(IF(ISNUMBER(Roster!$D454),Setup!$C$26&lt;=Roster!$D454,FALSE),"",IF(OR(IF(Setup!$C$15&lt;=Setup!$C$16,AND(MONTH(H454)&gt;=Setup!$C$15,MONTH(H454)&lt;=Setup!$C$16),OR(MONTH(H454)&gt;=Setup!$C$15,MONTH(H454)&lt;=Setup!$C$16)),IF(Setup!$C$15&lt;=Setup!$C$16,AND(MONTH(WORKDAY(H454,-(Setup!$C$13+Setup!$G$26),Setup!$C$39:$C$50))&gt;=Setup!$C$15,MONTH(WORKDAY(H454,-(Setup!$C$13+Setup!$G$26),Setup!$C$39:$C$50))&lt;=Setup!$C$16),OR(MONTH(WORKDAY(H454,-(Setup!$C$13+Setup!$G$26),Setup!$C$39:$C$50))&gt;=Setup!$C$15,MONTH(WORKDAY(H454,-(Setup!$C$13+Setup!$G$26),Setup!$C$39:$C$50))&lt;=Setup!$C$16))),WORKDAY(H454,-(Setup!$C$13+Setup!$G$26+Setup!$C$14),Setup!$C$39:$C$50),WORKDAY(H454,-(Setup!$C$13+Setup!$G$26),Setup!$C$39:$C$50))+(449*100+7)/10000000)))</f>
        <v/>
      </c>
      <c r="Y454" t="str">
        <f>IF(I454="","",IF(I454&lt;Setup!$C$5-Setup!$C$6,"",IF(IF(ISNUMBER(Roster!$D454),Setup!$C$27&lt;=Roster!$D454,FALSE),"",IF(OR(IF(Setup!$C$15&lt;=Setup!$C$16,AND(MONTH(I454)&gt;=Setup!$C$15,MONTH(I454)&lt;=Setup!$C$16),OR(MONTH(I454)&gt;=Setup!$C$15,MONTH(I454)&lt;=Setup!$C$16)),IF(Setup!$C$15&lt;=Setup!$C$16,AND(MONTH(WORKDAY(I454,-(Setup!$C$13+Setup!$G$27),Setup!$C$39:$C$50))&gt;=Setup!$C$15,MONTH(WORKDAY(I454,-(Setup!$C$13+Setup!$G$27),Setup!$C$39:$C$50))&lt;=Setup!$C$16),OR(MONTH(WORKDAY(I454,-(Setup!$C$13+Setup!$G$27),Setup!$C$39:$C$50))&gt;=Setup!$C$15,MONTH(WORKDAY(I454,-(Setup!$C$13+Setup!$G$27),Setup!$C$39:$C$50))&lt;=Setup!$C$16))),WORKDAY(I454,-(Setup!$C$13+Setup!$G$27+Setup!$C$14),Setup!$C$39:$C$50),WORKDAY(I454,-(Setup!$C$13+Setup!$G$27),Setup!$C$39:$C$50))+(449*100+8)/10000000)))</f>
        <v/>
      </c>
      <c r="Z454" t="str">
        <f>IF(J454="","",IF(J454&lt;Setup!$C$5-Setup!$C$6,"",IF(IF(ISNUMBER(Roster!$D454),Setup!$C$28&lt;=Roster!$D454,FALSE),"",IF(OR(IF(Setup!$C$15&lt;=Setup!$C$16,AND(MONTH(J454)&gt;=Setup!$C$15,MONTH(J454)&lt;=Setup!$C$16),OR(MONTH(J454)&gt;=Setup!$C$15,MONTH(J454)&lt;=Setup!$C$16)),IF(Setup!$C$15&lt;=Setup!$C$16,AND(MONTH(WORKDAY(J454,-(Setup!$C$13+Setup!$G$28),Setup!$C$39:$C$50))&gt;=Setup!$C$15,MONTH(WORKDAY(J454,-(Setup!$C$13+Setup!$G$28),Setup!$C$39:$C$50))&lt;=Setup!$C$16),OR(MONTH(WORKDAY(J454,-(Setup!$C$13+Setup!$G$28),Setup!$C$39:$C$50))&gt;=Setup!$C$15,MONTH(WORKDAY(J454,-(Setup!$C$13+Setup!$G$28),Setup!$C$39:$C$50))&lt;=Setup!$C$16))),WORKDAY(J454,-(Setup!$C$13+Setup!$G$28+Setup!$C$14),Setup!$C$39:$C$50),WORKDAY(J454,-(Setup!$C$13+Setup!$G$28),Setup!$C$39:$C$50))+(449*100+9)/10000000)))</f>
        <v/>
      </c>
      <c r="AA454" t="str">
        <f>IF(K454="","",IF(K454&lt;Setup!$C$5-Setup!$C$6,"",IF(IF(ISNUMBER(Roster!$D454),Setup!$C$29&lt;=Roster!$D454,FALSE),"",IF(OR(IF(Setup!$C$15&lt;=Setup!$C$16,AND(MONTH(K454)&gt;=Setup!$C$15,MONTH(K454)&lt;=Setup!$C$16),OR(MONTH(K454)&gt;=Setup!$C$15,MONTH(K454)&lt;=Setup!$C$16)),IF(Setup!$C$15&lt;=Setup!$C$16,AND(MONTH(WORKDAY(K454,-(Setup!$C$13+Setup!$G$29),Setup!$C$39:$C$50))&gt;=Setup!$C$15,MONTH(WORKDAY(K454,-(Setup!$C$13+Setup!$G$29),Setup!$C$39:$C$50))&lt;=Setup!$C$16),OR(MONTH(WORKDAY(K454,-(Setup!$C$13+Setup!$G$29),Setup!$C$39:$C$50))&gt;=Setup!$C$15,MONTH(WORKDAY(K454,-(Setup!$C$13+Setup!$G$29),Setup!$C$39:$C$50))&lt;=Setup!$C$16))),WORKDAY(K454,-(Setup!$C$13+Setup!$G$29+Setup!$C$14),Setup!$C$39:$C$50),WORKDAY(K454,-(Setup!$C$13+Setup!$G$29),Setup!$C$39:$C$50))+(449*100+10)/10000000)))</f>
        <v/>
      </c>
      <c r="AB454" t="str">
        <f>IF(L454="","",IF(L454&lt;Setup!$C$5-Setup!$C$6,"",IF(IF(ISNUMBER(Roster!$D454),Setup!$C$30&lt;=Roster!$D454,FALSE),"",IF(OR(IF(Setup!$C$15&lt;=Setup!$C$16,AND(MONTH(L454)&gt;=Setup!$C$15,MONTH(L454)&lt;=Setup!$C$16),OR(MONTH(L454)&gt;=Setup!$C$15,MONTH(L454)&lt;=Setup!$C$16)),IF(Setup!$C$15&lt;=Setup!$C$16,AND(MONTH(WORKDAY(L454,-(Setup!$C$13+Setup!$G$30),Setup!$C$39:$C$50))&gt;=Setup!$C$15,MONTH(WORKDAY(L454,-(Setup!$C$13+Setup!$G$30),Setup!$C$39:$C$50))&lt;=Setup!$C$16),OR(MONTH(WORKDAY(L454,-(Setup!$C$13+Setup!$G$30),Setup!$C$39:$C$50))&gt;=Setup!$C$15,MONTH(WORKDAY(L454,-(Setup!$C$13+Setup!$G$30),Setup!$C$39:$C$50))&lt;=Setup!$C$16))),WORKDAY(L454,-(Setup!$C$13+Setup!$G$30+Setup!$C$14),Setup!$C$39:$C$50),WORKDAY(L454,-(Setup!$C$13+Setup!$G$30),Setup!$C$39:$C$50))+(449*100+11)/10000000)))</f>
        <v/>
      </c>
      <c r="AC454" t="str">
        <f>IF(M454="","",IF(M454&lt;Setup!$C$5-Setup!$C$6,"",IF(IF(ISNUMBER(Roster!$D454),Setup!$C$31&lt;=Roster!$D454,FALSE),"",IF(OR(IF(Setup!$C$15&lt;=Setup!$C$16,AND(MONTH(M454)&gt;=Setup!$C$15,MONTH(M454)&lt;=Setup!$C$16),OR(MONTH(M454)&gt;=Setup!$C$15,MONTH(M454)&lt;=Setup!$C$16)),IF(Setup!$C$15&lt;=Setup!$C$16,AND(MONTH(WORKDAY(M454,-(Setup!$C$13+Setup!$G$31),Setup!$C$39:$C$50))&gt;=Setup!$C$15,MONTH(WORKDAY(M454,-(Setup!$C$13+Setup!$G$31),Setup!$C$39:$C$50))&lt;=Setup!$C$16),OR(MONTH(WORKDAY(M454,-(Setup!$C$13+Setup!$G$31),Setup!$C$39:$C$50))&gt;=Setup!$C$15,MONTH(WORKDAY(M454,-(Setup!$C$13+Setup!$G$31),Setup!$C$39:$C$50))&lt;=Setup!$C$16))),WORKDAY(M454,-(Setup!$C$13+Setup!$G$31+Setup!$C$14),Setup!$C$39:$C$50),WORKDAY(M454,-(Setup!$C$13+Setup!$G$31),Setup!$C$39:$C$50))+(449*100+12)/10000000)))</f>
        <v/>
      </c>
      <c r="AD454" t="str">
        <f>IF(N454="","",IF(N454&lt;Setup!$C$5-Setup!$C$6,"",IF(IF(ISNUMBER(Roster!$D454),Setup!$C$32&lt;=Roster!$D454,FALSE),"",IF(OR(IF(Setup!$C$15&lt;=Setup!$C$16,AND(MONTH(N454)&gt;=Setup!$C$15,MONTH(N454)&lt;=Setup!$C$16),OR(MONTH(N454)&gt;=Setup!$C$15,MONTH(N454)&lt;=Setup!$C$16)),IF(Setup!$C$15&lt;=Setup!$C$16,AND(MONTH(WORKDAY(N454,-(Setup!$C$13+Setup!$G$32),Setup!$C$39:$C$50))&gt;=Setup!$C$15,MONTH(WORKDAY(N454,-(Setup!$C$13+Setup!$G$32),Setup!$C$39:$C$50))&lt;=Setup!$C$16),OR(MONTH(WORKDAY(N454,-(Setup!$C$13+Setup!$G$32),Setup!$C$39:$C$50))&gt;=Setup!$C$15,MONTH(WORKDAY(N454,-(Setup!$C$13+Setup!$G$32),Setup!$C$39:$C$50))&lt;=Setup!$C$16))),WORKDAY(N454,-(Setup!$C$13+Setup!$G$32+Setup!$C$14),Setup!$C$39:$C$50),WORKDAY(N454,-(Setup!$C$13+Setup!$G$32),Setup!$C$39:$C$50))+(449*100+13)/10000000)))</f>
        <v/>
      </c>
      <c r="AE454" t="str">
        <f>IF(O454="","",IF(O454&lt;Setup!$C$5-Setup!$C$6,"",IF(IF(ISNUMBER(Roster!$D454),Setup!$C$33&lt;=Roster!$D454,FALSE),"",IF(OR(IF(Setup!$C$15&lt;=Setup!$C$16,AND(MONTH(O454)&gt;=Setup!$C$15,MONTH(O454)&lt;=Setup!$C$16),OR(MONTH(O454)&gt;=Setup!$C$15,MONTH(O454)&lt;=Setup!$C$16)),IF(Setup!$C$15&lt;=Setup!$C$16,AND(MONTH(WORKDAY(O454,-(Setup!$C$13+Setup!$G$33),Setup!$C$39:$C$50))&gt;=Setup!$C$15,MONTH(WORKDAY(O454,-(Setup!$C$13+Setup!$G$33),Setup!$C$39:$C$50))&lt;=Setup!$C$16),OR(MONTH(WORKDAY(O454,-(Setup!$C$13+Setup!$G$33),Setup!$C$39:$C$50))&gt;=Setup!$C$15,MONTH(WORKDAY(O454,-(Setup!$C$13+Setup!$G$33),Setup!$C$39:$C$50))&lt;=Setup!$C$16))),WORKDAY(O454,-(Setup!$C$13+Setup!$G$33+Setup!$C$14),Setup!$C$39:$C$50),WORKDAY(O454,-(Setup!$C$13+Setup!$G$33),Setup!$C$39:$C$50))+(449*100+14)/10000000)))</f>
        <v/>
      </c>
      <c r="AF454" t="str">
        <f>IF(P454="","",IF(P454&lt;Setup!$C$5-Setup!$C$6,"",IF(IF(ISNUMBER(Roster!$D454),Setup!$C$34&lt;=Roster!$D454,FALSE),"",IF(OR(IF(Setup!$C$15&lt;=Setup!$C$16,AND(MONTH(P454)&gt;=Setup!$C$15,MONTH(P454)&lt;=Setup!$C$16),OR(MONTH(P454)&gt;=Setup!$C$15,MONTH(P454)&lt;=Setup!$C$16)),IF(Setup!$C$15&lt;=Setup!$C$16,AND(MONTH(WORKDAY(P454,-(Setup!$C$13+Setup!$G$34),Setup!$C$39:$C$50))&gt;=Setup!$C$15,MONTH(WORKDAY(P454,-(Setup!$C$13+Setup!$G$34),Setup!$C$39:$C$50))&lt;=Setup!$C$16),OR(MONTH(WORKDAY(P454,-(Setup!$C$13+Setup!$G$34),Setup!$C$39:$C$50))&gt;=Setup!$C$15,MONTH(WORKDAY(P454,-(Setup!$C$13+Setup!$G$34),Setup!$C$39:$C$50))&lt;=Setup!$C$16))),WORKDAY(P454,-(Setup!$C$13+Setup!$G$34+Setup!$C$14),Setup!$C$39:$C$50),WORKDAY(P454,-(Setup!$C$13+Setup!$G$34),Setup!$C$39:$C$50))+(449*100+15)/10000000)))</f>
        <v/>
      </c>
      <c r="AH454" t="str">
        <f t="shared" ref="AH454:AH505" si="51">IF(COUNT(R454:AF454)=0,"",MIN(R454:AF454))</f>
        <v/>
      </c>
      <c r="AI454" t="str">
        <f t="shared" ref="AI454:AI517" si="52">IF(AH454="","",MOD(ROUND((AH454-INT(AH454))*10000000,0),100))</f>
        <v/>
      </c>
      <c r="AP454" t="str">
        <f>IF(ISNUMBER(Roster!$B454),MAX(1,YEAR(Setup!$C$5)-YEAR(Roster!$B454)+IF(EDATE(Roster!$B454,12*(YEAR(Setup!$C$5)-YEAR(Roster!$B454)))&lt;Setup!$C$5,1,0)),"")</f>
        <v/>
      </c>
      <c r="AQ454" s="32" t="str">
        <f>IF(AP454="","",EDATE(Roster!$B454,12*AP454))</f>
        <v/>
      </c>
      <c r="AR454" t="str">
        <f>IF(AQ454="","",IF(AQ454&lt;DATE(YEAR(Setup!$C$5)+1,MONTH(Setup!$C$5),DAY(Setup!$C$5)),AQ454+449/1000,""))</f>
        <v/>
      </c>
      <c r="AS454" t="str">
        <f t="shared" ref="AS454:AS517" si="53">IF(AR454="","",IFERROR(MATCH(AP454,$AY$20:$AY$34,0),""))</f>
        <v/>
      </c>
      <c r="AT454" t="str">
        <f>IF(AS454="","",IF(ISNUMBER(Roster!$D454),Roster!$D454&gt;=AP454,FALSE))</f>
        <v/>
      </c>
      <c r="AU454" t="str">
        <f t="shared" ref="AU454:AU517" si="54">IF(AS454="","",IF(AT454,"",INT(INDEX($R454:$AF454,1,AS454))))</f>
        <v/>
      </c>
      <c r="AV454" t="str">
        <f ca="1">IF(449&gt;$AV$2,"",SMALL($AR$6:$AR$505,449))</f>
        <v/>
      </c>
      <c r="AW454" t="str">
        <f t="shared" ref="AW454:AW517" ca="1" si="55">IF(AV454="","",ROUND((AV454-INT(AV454))*1000,0))</f>
        <v/>
      </c>
    </row>
    <row r="455" spans="2:49" x14ac:dyDescent="0.2">
      <c r="B455" s="32" t="str">
        <f>IF(AND(ISNUMBER(Roster!$B455),Setup!$B$20="Yes",ISNUMBER(Setup!$C$20)),EDATE(Roster!$B455,12*Setup!$C$20),"")</f>
        <v/>
      </c>
      <c r="C455" s="32" t="str">
        <f>IF(AND(ISNUMBER(Roster!$B455),Setup!$B$21="Yes",ISNUMBER(Setup!$C$21)),EDATE(Roster!$B455,12*Setup!$C$21),"")</f>
        <v/>
      </c>
      <c r="D455" s="32" t="str">
        <f>IF(AND(ISNUMBER(Roster!$B455),Setup!$B$22="Yes",ISNUMBER(Setup!$C$22)),EDATE(Roster!$B455,12*Setup!$C$22),"")</f>
        <v/>
      </c>
      <c r="E455" s="32" t="str">
        <f>IF(AND(ISNUMBER(Roster!$B455),Setup!$B$23="Yes",ISNUMBER(Setup!$C$23)),EDATE(Roster!$B455,12*Setup!$C$23),"")</f>
        <v/>
      </c>
      <c r="F455" s="32" t="str">
        <f>IF(AND(ISNUMBER(Roster!$B455),Setup!$B$24="Yes",ISNUMBER(Setup!$C$24)),EDATE(Roster!$B455,12*Setup!$C$24),"")</f>
        <v/>
      </c>
      <c r="G455" s="32" t="str">
        <f>IF(AND(ISNUMBER(Roster!$B455),Setup!$B$25="Yes",ISNUMBER(Setup!$C$25)),EDATE(Roster!$B455,12*Setup!$C$25),"")</f>
        <v/>
      </c>
      <c r="H455" s="32" t="str">
        <f>IF(AND(ISNUMBER(Roster!$B455),Setup!$B$26="Yes",ISNUMBER(Setup!$C$26)),EDATE(Roster!$B455,12*Setup!$C$26),"")</f>
        <v/>
      </c>
      <c r="I455" s="32" t="str">
        <f>IF(AND(ISNUMBER(Roster!$B455),Setup!$B$27="Yes",ISNUMBER(Setup!$C$27)),EDATE(Roster!$B455,12*Setup!$C$27),"")</f>
        <v/>
      </c>
      <c r="J455" s="32" t="str">
        <f>IF(AND(ISNUMBER(Roster!$B455),Setup!$B$28="Yes",ISNUMBER(Setup!$C$28)),EDATE(Roster!$B455,12*Setup!$C$28),"")</f>
        <v/>
      </c>
      <c r="K455" s="32" t="str">
        <f>IF(AND(ISNUMBER(Roster!$B455),Setup!$B$29="Yes",ISNUMBER(Setup!$C$29)),EDATE(Roster!$B455,12*Setup!$C$29),"")</f>
        <v/>
      </c>
      <c r="L455" s="32" t="str">
        <f>IF(AND(ISNUMBER(Roster!$B455),Setup!$B$30="Yes",ISNUMBER(Setup!$C$30)),EDATE(Roster!$B455,12*Setup!$C$30),"")</f>
        <v/>
      </c>
      <c r="M455" s="32" t="str">
        <f>IF(AND(ISNUMBER(Roster!$B455),Setup!$B$31="Yes",ISNUMBER(Setup!$C$31)),EDATE(Roster!$B455,12*Setup!$C$31),"")</f>
        <v/>
      </c>
      <c r="N455" s="32" t="str">
        <f>IF(AND(ISNUMBER(Roster!$B455),Setup!$B$32="Yes",ISNUMBER(Setup!$C$32)),EDATE(Roster!$B455,12*Setup!$C$32),"")</f>
        <v/>
      </c>
      <c r="O455" s="32" t="str">
        <f>IF(AND(ISNUMBER(Roster!$B455),Setup!$B$33="Yes",ISNUMBER(Setup!$C$33)),EDATE(Roster!$B455,12*Setup!$C$33),"")</f>
        <v/>
      </c>
      <c r="P455" s="32" t="str">
        <f>IF(AND(ISNUMBER(Roster!$B455),Setup!$B$34="Yes",ISNUMBER(Setup!$C$34)),EDATE(Roster!$B455,12*Setup!$C$34),"")</f>
        <v/>
      </c>
      <c r="R455" t="str">
        <f>IF(B455="","",IF(B455&lt;Setup!$C$5-Setup!$C$6,"",IF(IF(ISNUMBER(Roster!$D455),Setup!$C$20&lt;=Roster!$D455,FALSE),"",IF(OR(IF(Setup!$C$15&lt;=Setup!$C$16,AND(MONTH(B455)&gt;=Setup!$C$15,MONTH(B455)&lt;=Setup!$C$16),OR(MONTH(B455)&gt;=Setup!$C$15,MONTH(B455)&lt;=Setup!$C$16)),IF(Setup!$C$15&lt;=Setup!$C$16,AND(MONTH(WORKDAY(B455,-(Setup!$C$13+Setup!$G$20),Setup!$C$39:$C$50))&gt;=Setup!$C$15,MONTH(WORKDAY(B455,-(Setup!$C$13+Setup!$G$20),Setup!$C$39:$C$50))&lt;=Setup!$C$16),OR(MONTH(WORKDAY(B455,-(Setup!$C$13+Setup!$G$20),Setup!$C$39:$C$50))&gt;=Setup!$C$15,MONTH(WORKDAY(B455,-(Setup!$C$13+Setup!$G$20),Setup!$C$39:$C$50))&lt;=Setup!$C$16))),WORKDAY(B455,-(Setup!$C$13+Setup!$G$20+Setup!$C$14),Setup!$C$39:$C$50),WORKDAY(B455,-(Setup!$C$13+Setup!$G$20),Setup!$C$39:$C$50))+(450*100+1)/10000000)))</f>
        <v/>
      </c>
      <c r="S455" t="str">
        <f>IF(C455="","",IF(C455&lt;Setup!$C$5-Setup!$C$6,"",IF(IF(ISNUMBER(Roster!$D455),Setup!$C$21&lt;=Roster!$D455,FALSE),"",IF(OR(IF(Setup!$C$15&lt;=Setup!$C$16,AND(MONTH(C455)&gt;=Setup!$C$15,MONTH(C455)&lt;=Setup!$C$16),OR(MONTH(C455)&gt;=Setup!$C$15,MONTH(C455)&lt;=Setup!$C$16)),IF(Setup!$C$15&lt;=Setup!$C$16,AND(MONTH(WORKDAY(C455,-(Setup!$C$13+Setup!$G$21),Setup!$C$39:$C$50))&gt;=Setup!$C$15,MONTH(WORKDAY(C455,-(Setup!$C$13+Setup!$G$21),Setup!$C$39:$C$50))&lt;=Setup!$C$16),OR(MONTH(WORKDAY(C455,-(Setup!$C$13+Setup!$G$21),Setup!$C$39:$C$50))&gt;=Setup!$C$15,MONTH(WORKDAY(C455,-(Setup!$C$13+Setup!$G$21),Setup!$C$39:$C$50))&lt;=Setup!$C$16))),WORKDAY(C455,-(Setup!$C$13+Setup!$G$21+Setup!$C$14),Setup!$C$39:$C$50),WORKDAY(C455,-(Setup!$C$13+Setup!$G$21),Setup!$C$39:$C$50))+(450*100+2)/10000000)))</f>
        <v/>
      </c>
      <c r="T455" t="str">
        <f>IF(D455="","",IF(D455&lt;Setup!$C$5-Setup!$C$6,"",IF(IF(ISNUMBER(Roster!$D455),Setup!$C$22&lt;=Roster!$D455,FALSE),"",IF(OR(IF(Setup!$C$15&lt;=Setup!$C$16,AND(MONTH(D455)&gt;=Setup!$C$15,MONTH(D455)&lt;=Setup!$C$16),OR(MONTH(D455)&gt;=Setup!$C$15,MONTH(D455)&lt;=Setup!$C$16)),IF(Setup!$C$15&lt;=Setup!$C$16,AND(MONTH(WORKDAY(D455,-(Setup!$C$13+Setup!$G$22),Setup!$C$39:$C$50))&gt;=Setup!$C$15,MONTH(WORKDAY(D455,-(Setup!$C$13+Setup!$G$22),Setup!$C$39:$C$50))&lt;=Setup!$C$16),OR(MONTH(WORKDAY(D455,-(Setup!$C$13+Setup!$G$22),Setup!$C$39:$C$50))&gt;=Setup!$C$15,MONTH(WORKDAY(D455,-(Setup!$C$13+Setup!$G$22),Setup!$C$39:$C$50))&lt;=Setup!$C$16))),WORKDAY(D455,-(Setup!$C$13+Setup!$G$22+Setup!$C$14),Setup!$C$39:$C$50),WORKDAY(D455,-(Setup!$C$13+Setup!$G$22),Setup!$C$39:$C$50))+(450*100+3)/10000000)))</f>
        <v/>
      </c>
      <c r="U455" t="str">
        <f>IF(E455="","",IF(E455&lt;Setup!$C$5-Setup!$C$6,"",IF(IF(ISNUMBER(Roster!$D455),Setup!$C$23&lt;=Roster!$D455,FALSE),"",IF(OR(IF(Setup!$C$15&lt;=Setup!$C$16,AND(MONTH(E455)&gt;=Setup!$C$15,MONTH(E455)&lt;=Setup!$C$16),OR(MONTH(E455)&gt;=Setup!$C$15,MONTH(E455)&lt;=Setup!$C$16)),IF(Setup!$C$15&lt;=Setup!$C$16,AND(MONTH(WORKDAY(E455,-(Setup!$C$13+Setup!$G$23),Setup!$C$39:$C$50))&gt;=Setup!$C$15,MONTH(WORKDAY(E455,-(Setup!$C$13+Setup!$G$23),Setup!$C$39:$C$50))&lt;=Setup!$C$16),OR(MONTH(WORKDAY(E455,-(Setup!$C$13+Setup!$G$23),Setup!$C$39:$C$50))&gt;=Setup!$C$15,MONTH(WORKDAY(E455,-(Setup!$C$13+Setup!$G$23),Setup!$C$39:$C$50))&lt;=Setup!$C$16))),WORKDAY(E455,-(Setup!$C$13+Setup!$G$23+Setup!$C$14),Setup!$C$39:$C$50),WORKDAY(E455,-(Setup!$C$13+Setup!$G$23),Setup!$C$39:$C$50))+(450*100+4)/10000000)))</f>
        <v/>
      </c>
      <c r="V455" t="str">
        <f>IF(F455="","",IF(F455&lt;Setup!$C$5-Setup!$C$6,"",IF(IF(ISNUMBER(Roster!$D455),Setup!$C$24&lt;=Roster!$D455,FALSE),"",IF(OR(IF(Setup!$C$15&lt;=Setup!$C$16,AND(MONTH(F455)&gt;=Setup!$C$15,MONTH(F455)&lt;=Setup!$C$16),OR(MONTH(F455)&gt;=Setup!$C$15,MONTH(F455)&lt;=Setup!$C$16)),IF(Setup!$C$15&lt;=Setup!$C$16,AND(MONTH(WORKDAY(F455,-(Setup!$C$13+Setup!$G$24),Setup!$C$39:$C$50))&gt;=Setup!$C$15,MONTH(WORKDAY(F455,-(Setup!$C$13+Setup!$G$24),Setup!$C$39:$C$50))&lt;=Setup!$C$16),OR(MONTH(WORKDAY(F455,-(Setup!$C$13+Setup!$G$24),Setup!$C$39:$C$50))&gt;=Setup!$C$15,MONTH(WORKDAY(F455,-(Setup!$C$13+Setup!$G$24),Setup!$C$39:$C$50))&lt;=Setup!$C$16))),WORKDAY(F455,-(Setup!$C$13+Setup!$G$24+Setup!$C$14),Setup!$C$39:$C$50),WORKDAY(F455,-(Setup!$C$13+Setup!$G$24),Setup!$C$39:$C$50))+(450*100+5)/10000000)))</f>
        <v/>
      </c>
      <c r="W455" t="str">
        <f>IF(G455="","",IF(G455&lt;Setup!$C$5-Setup!$C$6,"",IF(IF(ISNUMBER(Roster!$D455),Setup!$C$25&lt;=Roster!$D455,FALSE),"",IF(OR(IF(Setup!$C$15&lt;=Setup!$C$16,AND(MONTH(G455)&gt;=Setup!$C$15,MONTH(G455)&lt;=Setup!$C$16),OR(MONTH(G455)&gt;=Setup!$C$15,MONTH(G455)&lt;=Setup!$C$16)),IF(Setup!$C$15&lt;=Setup!$C$16,AND(MONTH(WORKDAY(G455,-(Setup!$C$13+Setup!$G$25),Setup!$C$39:$C$50))&gt;=Setup!$C$15,MONTH(WORKDAY(G455,-(Setup!$C$13+Setup!$G$25),Setup!$C$39:$C$50))&lt;=Setup!$C$16),OR(MONTH(WORKDAY(G455,-(Setup!$C$13+Setup!$G$25),Setup!$C$39:$C$50))&gt;=Setup!$C$15,MONTH(WORKDAY(G455,-(Setup!$C$13+Setup!$G$25),Setup!$C$39:$C$50))&lt;=Setup!$C$16))),WORKDAY(G455,-(Setup!$C$13+Setup!$G$25+Setup!$C$14),Setup!$C$39:$C$50),WORKDAY(G455,-(Setup!$C$13+Setup!$G$25),Setup!$C$39:$C$50))+(450*100+6)/10000000)))</f>
        <v/>
      </c>
      <c r="X455" t="str">
        <f>IF(H455="","",IF(H455&lt;Setup!$C$5-Setup!$C$6,"",IF(IF(ISNUMBER(Roster!$D455),Setup!$C$26&lt;=Roster!$D455,FALSE),"",IF(OR(IF(Setup!$C$15&lt;=Setup!$C$16,AND(MONTH(H455)&gt;=Setup!$C$15,MONTH(H455)&lt;=Setup!$C$16),OR(MONTH(H455)&gt;=Setup!$C$15,MONTH(H455)&lt;=Setup!$C$16)),IF(Setup!$C$15&lt;=Setup!$C$16,AND(MONTH(WORKDAY(H455,-(Setup!$C$13+Setup!$G$26),Setup!$C$39:$C$50))&gt;=Setup!$C$15,MONTH(WORKDAY(H455,-(Setup!$C$13+Setup!$G$26),Setup!$C$39:$C$50))&lt;=Setup!$C$16),OR(MONTH(WORKDAY(H455,-(Setup!$C$13+Setup!$G$26),Setup!$C$39:$C$50))&gt;=Setup!$C$15,MONTH(WORKDAY(H455,-(Setup!$C$13+Setup!$G$26),Setup!$C$39:$C$50))&lt;=Setup!$C$16))),WORKDAY(H455,-(Setup!$C$13+Setup!$G$26+Setup!$C$14),Setup!$C$39:$C$50),WORKDAY(H455,-(Setup!$C$13+Setup!$G$26),Setup!$C$39:$C$50))+(450*100+7)/10000000)))</f>
        <v/>
      </c>
      <c r="Y455" t="str">
        <f>IF(I455="","",IF(I455&lt;Setup!$C$5-Setup!$C$6,"",IF(IF(ISNUMBER(Roster!$D455),Setup!$C$27&lt;=Roster!$D455,FALSE),"",IF(OR(IF(Setup!$C$15&lt;=Setup!$C$16,AND(MONTH(I455)&gt;=Setup!$C$15,MONTH(I455)&lt;=Setup!$C$16),OR(MONTH(I455)&gt;=Setup!$C$15,MONTH(I455)&lt;=Setup!$C$16)),IF(Setup!$C$15&lt;=Setup!$C$16,AND(MONTH(WORKDAY(I455,-(Setup!$C$13+Setup!$G$27),Setup!$C$39:$C$50))&gt;=Setup!$C$15,MONTH(WORKDAY(I455,-(Setup!$C$13+Setup!$G$27),Setup!$C$39:$C$50))&lt;=Setup!$C$16),OR(MONTH(WORKDAY(I455,-(Setup!$C$13+Setup!$G$27),Setup!$C$39:$C$50))&gt;=Setup!$C$15,MONTH(WORKDAY(I455,-(Setup!$C$13+Setup!$G$27),Setup!$C$39:$C$50))&lt;=Setup!$C$16))),WORKDAY(I455,-(Setup!$C$13+Setup!$G$27+Setup!$C$14),Setup!$C$39:$C$50),WORKDAY(I455,-(Setup!$C$13+Setup!$G$27),Setup!$C$39:$C$50))+(450*100+8)/10000000)))</f>
        <v/>
      </c>
      <c r="Z455" t="str">
        <f>IF(J455="","",IF(J455&lt;Setup!$C$5-Setup!$C$6,"",IF(IF(ISNUMBER(Roster!$D455),Setup!$C$28&lt;=Roster!$D455,FALSE),"",IF(OR(IF(Setup!$C$15&lt;=Setup!$C$16,AND(MONTH(J455)&gt;=Setup!$C$15,MONTH(J455)&lt;=Setup!$C$16),OR(MONTH(J455)&gt;=Setup!$C$15,MONTH(J455)&lt;=Setup!$C$16)),IF(Setup!$C$15&lt;=Setup!$C$16,AND(MONTH(WORKDAY(J455,-(Setup!$C$13+Setup!$G$28),Setup!$C$39:$C$50))&gt;=Setup!$C$15,MONTH(WORKDAY(J455,-(Setup!$C$13+Setup!$G$28),Setup!$C$39:$C$50))&lt;=Setup!$C$16),OR(MONTH(WORKDAY(J455,-(Setup!$C$13+Setup!$G$28),Setup!$C$39:$C$50))&gt;=Setup!$C$15,MONTH(WORKDAY(J455,-(Setup!$C$13+Setup!$G$28),Setup!$C$39:$C$50))&lt;=Setup!$C$16))),WORKDAY(J455,-(Setup!$C$13+Setup!$G$28+Setup!$C$14),Setup!$C$39:$C$50),WORKDAY(J455,-(Setup!$C$13+Setup!$G$28),Setup!$C$39:$C$50))+(450*100+9)/10000000)))</f>
        <v/>
      </c>
      <c r="AA455" t="str">
        <f>IF(K455="","",IF(K455&lt;Setup!$C$5-Setup!$C$6,"",IF(IF(ISNUMBER(Roster!$D455),Setup!$C$29&lt;=Roster!$D455,FALSE),"",IF(OR(IF(Setup!$C$15&lt;=Setup!$C$16,AND(MONTH(K455)&gt;=Setup!$C$15,MONTH(K455)&lt;=Setup!$C$16),OR(MONTH(K455)&gt;=Setup!$C$15,MONTH(K455)&lt;=Setup!$C$16)),IF(Setup!$C$15&lt;=Setup!$C$16,AND(MONTH(WORKDAY(K455,-(Setup!$C$13+Setup!$G$29),Setup!$C$39:$C$50))&gt;=Setup!$C$15,MONTH(WORKDAY(K455,-(Setup!$C$13+Setup!$G$29),Setup!$C$39:$C$50))&lt;=Setup!$C$16),OR(MONTH(WORKDAY(K455,-(Setup!$C$13+Setup!$G$29),Setup!$C$39:$C$50))&gt;=Setup!$C$15,MONTH(WORKDAY(K455,-(Setup!$C$13+Setup!$G$29),Setup!$C$39:$C$50))&lt;=Setup!$C$16))),WORKDAY(K455,-(Setup!$C$13+Setup!$G$29+Setup!$C$14),Setup!$C$39:$C$50),WORKDAY(K455,-(Setup!$C$13+Setup!$G$29),Setup!$C$39:$C$50))+(450*100+10)/10000000)))</f>
        <v/>
      </c>
      <c r="AB455" t="str">
        <f>IF(L455="","",IF(L455&lt;Setup!$C$5-Setup!$C$6,"",IF(IF(ISNUMBER(Roster!$D455),Setup!$C$30&lt;=Roster!$D455,FALSE),"",IF(OR(IF(Setup!$C$15&lt;=Setup!$C$16,AND(MONTH(L455)&gt;=Setup!$C$15,MONTH(L455)&lt;=Setup!$C$16),OR(MONTH(L455)&gt;=Setup!$C$15,MONTH(L455)&lt;=Setup!$C$16)),IF(Setup!$C$15&lt;=Setup!$C$16,AND(MONTH(WORKDAY(L455,-(Setup!$C$13+Setup!$G$30),Setup!$C$39:$C$50))&gt;=Setup!$C$15,MONTH(WORKDAY(L455,-(Setup!$C$13+Setup!$G$30),Setup!$C$39:$C$50))&lt;=Setup!$C$16),OR(MONTH(WORKDAY(L455,-(Setup!$C$13+Setup!$G$30),Setup!$C$39:$C$50))&gt;=Setup!$C$15,MONTH(WORKDAY(L455,-(Setup!$C$13+Setup!$G$30),Setup!$C$39:$C$50))&lt;=Setup!$C$16))),WORKDAY(L455,-(Setup!$C$13+Setup!$G$30+Setup!$C$14),Setup!$C$39:$C$50),WORKDAY(L455,-(Setup!$C$13+Setup!$G$30),Setup!$C$39:$C$50))+(450*100+11)/10000000)))</f>
        <v/>
      </c>
      <c r="AC455" t="str">
        <f>IF(M455="","",IF(M455&lt;Setup!$C$5-Setup!$C$6,"",IF(IF(ISNUMBER(Roster!$D455),Setup!$C$31&lt;=Roster!$D455,FALSE),"",IF(OR(IF(Setup!$C$15&lt;=Setup!$C$16,AND(MONTH(M455)&gt;=Setup!$C$15,MONTH(M455)&lt;=Setup!$C$16),OR(MONTH(M455)&gt;=Setup!$C$15,MONTH(M455)&lt;=Setup!$C$16)),IF(Setup!$C$15&lt;=Setup!$C$16,AND(MONTH(WORKDAY(M455,-(Setup!$C$13+Setup!$G$31),Setup!$C$39:$C$50))&gt;=Setup!$C$15,MONTH(WORKDAY(M455,-(Setup!$C$13+Setup!$G$31),Setup!$C$39:$C$50))&lt;=Setup!$C$16),OR(MONTH(WORKDAY(M455,-(Setup!$C$13+Setup!$G$31),Setup!$C$39:$C$50))&gt;=Setup!$C$15,MONTH(WORKDAY(M455,-(Setup!$C$13+Setup!$G$31),Setup!$C$39:$C$50))&lt;=Setup!$C$16))),WORKDAY(M455,-(Setup!$C$13+Setup!$G$31+Setup!$C$14),Setup!$C$39:$C$50),WORKDAY(M455,-(Setup!$C$13+Setup!$G$31),Setup!$C$39:$C$50))+(450*100+12)/10000000)))</f>
        <v/>
      </c>
      <c r="AD455" t="str">
        <f>IF(N455="","",IF(N455&lt;Setup!$C$5-Setup!$C$6,"",IF(IF(ISNUMBER(Roster!$D455),Setup!$C$32&lt;=Roster!$D455,FALSE),"",IF(OR(IF(Setup!$C$15&lt;=Setup!$C$16,AND(MONTH(N455)&gt;=Setup!$C$15,MONTH(N455)&lt;=Setup!$C$16),OR(MONTH(N455)&gt;=Setup!$C$15,MONTH(N455)&lt;=Setup!$C$16)),IF(Setup!$C$15&lt;=Setup!$C$16,AND(MONTH(WORKDAY(N455,-(Setup!$C$13+Setup!$G$32),Setup!$C$39:$C$50))&gt;=Setup!$C$15,MONTH(WORKDAY(N455,-(Setup!$C$13+Setup!$G$32),Setup!$C$39:$C$50))&lt;=Setup!$C$16),OR(MONTH(WORKDAY(N455,-(Setup!$C$13+Setup!$G$32),Setup!$C$39:$C$50))&gt;=Setup!$C$15,MONTH(WORKDAY(N455,-(Setup!$C$13+Setup!$G$32),Setup!$C$39:$C$50))&lt;=Setup!$C$16))),WORKDAY(N455,-(Setup!$C$13+Setup!$G$32+Setup!$C$14),Setup!$C$39:$C$50),WORKDAY(N455,-(Setup!$C$13+Setup!$G$32),Setup!$C$39:$C$50))+(450*100+13)/10000000)))</f>
        <v/>
      </c>
      <c r="AE455" t="str">
        <f>IF(O455="","",IF(O455&lt;Setup!$C$5-Setup!$C$6,"",IF(IF(ISNUMBER(Roster!$D455),Setup!$C$33&lt;=Roster!$D455,FALSE),"",IF(OR(IF(Setup!$C$15&lt;=Setup!$C$16,AND(MONTH(O455)&gt;=Setup!$C$15,MONTH(O455)&lt;=Setup!$C$16),OR(MONTH(O455)&gt;=Setup!$C$15,MONTH(O455)&lt;=Setup!$C$16)),IF(Setup!$C$15&lt;=Setup!$C$16,AND(MONTH(WORKDAY(O455,-(Setup!$C$13+Setup!$G$33),Setup!$C$39:$C$50))&gt;=Setup!$C$15,MONTH(WORKDAY(O455,-(Setup!$C$13+Setup!$G$33),Setup!$C$39:$C$50))&lt;=Setup!$C$16),OR(MONTH(WORKDAY(O455,-(Setup!$C$13+Setup!$G$33),Setup!$C$39:$C$50))&gt;=Setup!$C$15,MONTH(WORKDAY(O455,-(Setup!$C$13+Setup!$G$33),Setup!$C$39:$C$50))&lt;=Setup!$C$16))),WORKDAY(O455,-(Setup!$C$13+Setup!$G$33+Setup!$C$14),Setup!$C$39:$C$50),WORKDAY(O455,-(Setup!$C$13+Setup!$G$33),Setup!$C$39:$C$50))+(450*100+14)/10000000)))</f>
        <v/>
      </c>
      <c r="AF455" t="str">
        <f>IF(P455="","",IF(P455&lt;Setup!$C$5-Setup!$C$6,"",IF(IF(ISNUMBER(Roster!$D455),Setup!$C$34&lt;=Roster!$D455,FALSE),"",IF(OR(IF(Setup!$C$15&lt;=Setup!$C$16,AND(MONTH(P455)&gt;=Setup!$C$15,MONTH(P455)&lt;=Setup!$C$16),OR(MONTH(P455)&gt;=Setup!$C$15,MONTH(P455)&lt;=Setup!$C$16)),IF(Setup!$C$15&lt;=Setup!$C$16,AND(MONTH(WORKDAY(P455,-(Setup!$C$13+Setup!$G$34),Setup!$C$39:$C$50))&gt;=Setup!$C$15,MONTH(WORKDAY(P455,-(Setup!$C$13+Setup!$G$34),Setup!$C$39:$C$50))&lt;=Setup!$C$16),OR(MONTH(WORKDAY(P455,-(Setup!$C$13+Setup!$G$34),Setup!$C$39:$C$50))&gt;=Setup!$C$15,MONTH(WORKDAY(P455,-(Setup!$C$13+Setup!$G$34),Setup!$C$39:$C$50))&lt;=Setup!$C$16))),WORKDAY(P455,-(Setup!$C$13+Setup!$G$34+Setup!$C$14),Setup!$C$39:$C$50),WORKDAY(P455,-(Setup!$C$13+Setup!$G$34),Setup!$C$39:$C$50))+(450*100+15)/10000000)))</f>
        <v/>
      </c>
      <c r="AH455" t="str">
        <f t="shared" si="51"/>
        <v/>
      </c>
      <c r="AI455" t="str">
        <f t="shared" si="52"/>
        <v/>
      </c>
      <c r="AP455" t="str">
        <f>IF(ISNUMBER(Roster!$B455),MAX(1,YEAR(Setup!$C$5)-YEAR(Roster!$B455)+IF(EDATE(Roster!$B455,12*(YEAR(Setup!$C$5)-YEAR(Roster!$B455)))&lt;Setup!$C$5,1,0)),"")</f>
        <v/>
      </c>
      <c r="AQ455" s="32" t="str">
        <f>IF(AP455="","",EDATE(Roster!$B455,12*AP455))</f>
        <v/>
      </c>
      <c r="AR455" t="str">
        <f>IF(AQ455="","",IF(AQ455&lt;DATE(YEAR(Setup!$C$5)+1,MONTH(Setup!$C$5),DAY(Setup!$C$5)),AQ455+450/1000,""))</f>
        <v/>
      </c>
      <c r="AS455" t="str">
        <f t="shared" si="53"/>
        <v/>
      </c>
      <c r="AT455" t="str">
        <f>IF(AS455="","",IF(ISNUMBER(Roster!$D455),Roster!$D455&gt;=AP455,FALSE))</f>
        <v/>
      </c>
      <c r="AU455" t="str">
        <f t="shared" si="54"/>
        <v/>
      </c>
      <c r="AV455" t="str">
        <f ca="1">IF(450&gt;$AV$2,"",SMALL($AR$6:$AR$505,450))</f>
        <v/>
      </c>
      <c r="AW455" t="str">
        <f t="shared" ca="1" si="55"/>
        <v/>
      </c>
    </row>
    <row r="456" spans="2:49" x14ac:dyDescent="0.2">
      <c r="B456" s="32" t="str">
        <f>IF(AND(ISNUMBER(Roster!$B456),Setup!$B$20="Yes",ISNUMBER(Setup!$C$20)),EDATE(Roster!$B456,12*Setup!$C$20),"")</f>
        <v/>
      </c>
      <c r="C456" s="32" t="str">
        <f>IF(AND(ISNUMBER(Roster!$B456),Setup!$B$21="Yes",ISNUMBER(Setup!$C$21)),EDATE(Roster!$B456,12*Setup!$C$21),"")</f>
        <v/>
      </c>
      <c r="D456" s="32" t="str">
        <f>IF(AND(ISNUMBER(Roster!$B456),Setup!$B$22="Yes",ISNUMBER(Setup!$C$22)),EDATE(Roster!$B456,12*Setup!$C$22),"")</f>
        <v/>
      </c>
      <c r="E456" s="32" t="str">
        <f>IF(AND(ISNUMBER(Roster!$B456),Setup!$B$23="Yes",ISNUMBER(Setup!$C$23)),EDATE(Roster!$B456,12*Setup!$C$23),"")</f>
        <v/>
      </c>
      <c r="F456" s="32" t="str">
        <f>IF(AND(ISNUMBER(Roster!$B456),Setup!$B$24="Yes",ISNUMBER(Setup!$C$24)),EDATE(Roster!$B456,12*Setup!$C$24),"")</f>
        <v/>
      </c>
      <c r="G456" s="32" t="str">
        <f>IF(AND(ISNUMBER(Roster!$B456),Setup!$B$25="Yes",ISNUMBER(Setup!$C$25)),EDATE(Roster!$B456,12*Setup!$C$25),"")</f>
        <v/>
      </c>
      <c r="H456" s="32" t="str">
        <f>IF(AND(ISNUMBER(Roster!$B456),Setup!$B$26="Yes",ISNUMBER(Setup!$C$26)),EDATE(Roster!$B456,12*Setup!$C$26),"")</f>
        <v/>
      </c>
      <c r="I456" s="32" t="str">
        <f>IF(AND(ISNUMBER(Roster!$B456),Setup!$B$27="Yes",ISNUMBER(Setup!$C$27)),EDATE(Roster!$B456,12*Setup!$C$27),"")</f>
        <v/>
      </c>
      <c r="J456" s="32" t="str">
        <f>IF(AND(ISNUMBER(Roster!$B456),Setup!$B$28="Yes",ISNUMBER(Setup!$C$28)),EDATE(Roster!$B456,12*Setup!$C$28),"")</f>
        <v/>
      </c>
      <c r="K456" s="32" t="str">
        <f>IF(AND(ISNUMBER(Roster!$B456),Setup!$B$29="Yes",ISNUMBER(Setup!$C$29)),EDATE(Roster!$B456,12*Setup!$C$29),"")</f>
        <v/>
      </c>
      <c r="L456" s="32" t="str">
        <f>IF(AND(ISNUMBER(Roster!$B456),Setup!$B$30="Yes",ISNUMBER(Setup!$C$30)),EDATE(Roster!$B456,12*Setup!$C$30),"")</f>
        <v/>
      </c>
      <c r="M456" s="32" t="str">
        <f>IF(AND(ISNUMBER(Roster!$B456),Setup!$B$31="Yes",ISNUMBER(Setup!$C$31)),EDATE(Roster!$B456,12*Setup!$C$31),"")</f>
        <v/>
      </c>
      <c r="N456" s="32" t="str">
        <f>IF(AND(ISNUMBER(Roster!$B456),Setup!$B$32="Yes",ISNUMBER(Setup!$C$32)),EDATE(Roster!$B456,12*Setup!$C$32),"")</f>
        <v/>
      </c>
      <c r="O456" s="32" t="str">
        <f>IF(AND(ISNUMBER(Roster!$B456),Setup!$B$33="Yes",ISNUMBER(Setup!$C$33)),EDATE(Roster!$B456,12*Setup!$C$33),"")</f>
        <v/>
      </c>
      <c r="P456" s="32" t="str">
        <f>IF(AND(ISNUMBER(Roster!$B456),Setup!$B$34="Yes",ISNUMBER(Setup!$C$34)),EDATE(Roster!$B456,12*Setup!$C$34),"")</f>
        <v/>
      </c>
      <c r="R456" t="str">
        <f>IF(B456="","",IF(B456&lt;Setup!$C$5-Setup!$C$6,"",IF(IF(ISNUMBER(Roster!$D456),Setup!$C$20&lt;=Roster!$D456,FALSE),"",IF(OR(IF(Setup!$C$15&lt;=Setup!$C$16,AND(MONTH(B456)&gt;=Setup!$C$15,MONTH(B456)&lt;=Setup!$C$16),OR(MONTH(B456)&gt;=Setup!$C$15,MONTH(B456)&lt;=Setup!$C$16)),IF(Setup!$C$15&lt;=Setup!$C$16,AND(MONTH(WORKDAY(B456,-(Setup!$C$13+Setup!$G$20),Setup!$C$39:$C$50))&gt;=Setup!$C$15,MONTH(WORKDAY(B456,-(Setup!$C$13+Setup!$G$20),Setup!$C$39:$C$50))&lt;=Setup!$C$16),OR(MONTH(WORKDAY(B456,-(Setup!$C$13+Setup!$G$20),Setup!$C$39:$C$50))&gt;=Setup!$C$15,MONTH(WORKDAY(B456,-(Setup!$C$13+Setup!$G$20),Setup!$C$39:$C$50))&lt;=Setup!$C$16))),WORKDAY(B456,-(Setup!$C$13+Setup!$G$20+Setup!$C$14),Setup!$C$39:$C$50),WORKDAY(B456,-(Setup!$C$13+Setup!$G$20),Setup!$C$39:$C$50))+(451*100+1)/10000000)))</f>
        <v/>
      </c>
      <c r="S456" t="str">
        <f>IF(C456="","",IF(C456&lt;Setup!$C$5-Setup!$C$6,"",IF(IF(ISNUMBER(Roster!$D456),Setup!$C$21&lt;=Roster!$D456,FALSE),"",IF(OR(IF(Setup!$C$15&lt;=Setup!$C$16,AND(MONTH(C456)&gt;=Setup!$C$15,MONTH(C456)&lt;=Setup!$C$16),OR(MONTH(C456)&gt;=Setup!$C$15,MONTH(C456)&lt;=Setup!$C$16)),IF(Setup!$C$15&lt;=Setup!$C$16,AND(MONTH(WORKDAY(C456,-(Setup!$C$13+Setup!$G$21),Setup!$C$39:$C$50))&gt;=Setup!$C$15,MONTH(WORKDAY(C456,-(Setup!$C$13+Setup!$G$21),Setup!$C$39:$C$50))&lt;=Setup!$C$16),OR(MONTH(WORKDAY(C456,-(Setup!$C$13+Setup!$G$21),Setup!$C$39:$C$50))&gt;=Setup!$C$15,MONTH(WORKDAY(C456,-(Setup!$C$13+Setup!$G$21),Setup!$C$39:$C$50))&lt;=Setup!$C$16))),WORKDAY(C456,-(Setup!$C$13+Setup!$G$21+Setup!$C$14),Setup!$C$39:$C$50),WORKDAY(C456,-(Setup!$C$13+Setup!$G$21),Setup!$C$39:$C$50))+(451*100+2)/10000000)))</f>
        <v/>
      </c>
      <c r="T456" t="str">
        <f>IF(D456="","",IF(D456&lt;Setup!$C$5-Setup!$C$6,"",IF(IF(ISNUMBER(Roster!$D456),Setup!$C$22&lt;=Roster!$D456,FALSE),"",IF(OR(IF(Setup!$C$15&lt;=Setup!$C$16,AND(MONTH(D456)&gt;=Setup!$C$15,MONTH(D456)&lt;=Setup!$C$16),OR(MONTH(D456)&gt;=Setup!$C$15,MONTH(D456)&lt;=Setup!$C$16)),IF(Setup!$C$15&lt;=Setup!$C$16,AND(MONTH(WORKDAY(D456,-(Setup!$C$13+Setup!$G$22),Setup!$C$39:$C$50))&gt;=Setup!$C$15,MONTH(WORKDAY(D456,-(Setup!$C$13+Setup!$G$22),Setup!$C$39:$C$50))&lt;=Setup!$C$16),OR(MONTH(WORKDAY(D456,-(Setup!$C$13+Setup!$G$22),Setup!$C$39:$C$50))&gt;=Setup!$C$15,MONTH(WORKDAY(D456,-(Setup!$C$13+Setup!$G$22),Setup!$C$39:$C$50))&lt;=Setup!$C$16))),WORKDAY(D456,-(Setup!$C$13+Setup!$G$22+Setup!$C$14),Setup!$C$39:$C$50),WORKDAY(D456,-(Setup!$C$13+Setup!$G$22),Setup!$C$39:$C$50))+(451*100+3)/10000000)))</f>
        <v/>
      </c>
      <c r="U456" t="str">
        <f>IF(E456="","",IF(E456&lt;Setup!$C$5-Setup!$C$6,"",IF(IF(ISNUMBER(Roster!$D456),Setup!$C$23&lt;=Roster!$D456,FALSE),"",IF(OR(IF(Setup!$C$15&lt;=Setup!$C$16,AND(MONTH(E456)&gt;=Setup!$C$15,MONTH(E456)&lt;=Setup!$C$16),OR(MONTH(E456)&gt;=Setup!$C$15,MONTH(E456)&lt;=Setup!$C$16)),IF(Setup!$C$15&lt;=Setup!$C$16,AND(MONTH(WORKDAY(E456,-(Setup!$C$13+Setup!$G$23),Setup!$C$39:$C$50))&gt;=Setup!$C$15,MONTH(WORKDAY(E456,-(Setup!$C$13+Setup!$G$23),Setup!$C$39:$C$50))&lt;=Setup!$C$16),OR(MONTH(WORKDAY(E456,-(Setup!$C$13+Setup!$G$23),Setup!$C$39:$C$50))&gt;=Setup!$C$15,MONTH(WORKDAY(E456,-(Setup!$C$13+Setup!$G$23),Setup!$C$39:$C$50))&lt;=Setup!$C$16))),WORKDAY(E456,-(Setup!$C$13+Setup!$G$23+Setup!$C$14),Setup!$C$39:$C$50),WORKDAY(E456,-(Setup!$C$13+Setup!$G$23),Setup!$C$39:$C$50))+(451*100+4)/10000000)))</f>
        <v/>
      </c>
      <c r="V456" t="str">
        <f>IF(F456="","",IF(F456&lt;Setup!$C$5-Setup!$C$6,"",IF(IF(ISNUMBER(Roster!$D456),Setup!$C$24&lt;=Roster!$D456,FALSE),"",IF(OR(IF(Setup!$C$15&lt;=Setup!$C$16,AND(MONTH(F456)&gt;=Setup!$C$15,MONTH(F456)&lt;=Setup!$C$16),OR(MONTH(F456)&gt;=Setup!$C$15,MONTH(F456)&lt;=Setup!$C$16)),IF(Setup!$C$15&lt;=Setup!$C$16,AND(MONTH(WORKDAY(F456,-(Setup!$C$13+Setup!$G$24),Setup!$C$39:$C$50))&gt;=Setup!$C$15,MONTH(WORKDAY(F456,-(Setup!$C$13+Setup!$G$24),Setup!$C$39:$C$50))&lt;=Setup!$C$16),OR(MONTH(WORKDAY(F456,-(Setup!$C$13+Setup!$G$24),Setup!$C$39:$C$50))&gt;=Setup!$C$15,MONTH(WORKDAY(F456,-(Setup!$C$13+Setup!$G$24),Setup!$C$39:$C$50))&lt;=Setup!$C$16))),WORKDAY(F456,-(Setup!$C$13+Setup!$G$24+Setup!$C$14),Setup!$C$39:$C$50),WORKDAY(F456,-(Setup!$C$13+Setup!$G$24),Setup!$C$39:$C$50))+(451*100+5)/10000000)))</f>
        <v/>
      </c>
      <c r="W456" t="str">
        <f>IF(G456="","",IF(G456&lt;Setup!$C$5-Setup!$C$6,"",IF(IF(ISNUMBER(Roster!$D456),Setup!$C$25&lt;=Roster!$D456,FALSE),"",IF(OR(IF(Setup!$C$15&lt;=Setup!$C$16,AND(MONTH(G456)&gt;=Setup!$C$15,MONTH(G456)&lt;=Setup!$C$16),OR(MONTH(G456)&gt;=Setup!$C$15,MONTH(G456)&lt;=Setup!$C$16)),IF(Setup!$C$15&lt;=Setup!$C$16,AND(MONTH(WORKDAY(G456,-(Setup!$C$13+Setup!$G$25),Setup!$C$39:$C$50))&gt;=Setup!$C$15,MONTH(WORKDAY(G456,-(Setup!$C$13+Setup!$G$25),Setup!$C$39:$C$50))&lt;=Setup!$C$16),OR(MONTH(WORKDAY(G456,-(Setup!$C$13+Setup!$G$25),Setup!$C$39:$C$50))&gt;=Setup!$C$15,MONTH(WORKDAY(G456,-(Setup!$C$13+Setup!$G$25),Setup!$C$39:$C$50))&lt;=Setup!$C$16))),WORKDAY(G456,-(Setup!$C$13+Setup!$G$25+Setup!$C$14),Setup!$C$39:$C$50),WORKDAY(G456,-(Setup!$C$13+Setup!$G$25),Setup!$C$39:$C$50))+(451*100+6)/10000000)))</f>
        <v/>
      </c>
      <c r="X456" t="str">
        <f>IF(H456="","",IF(H456&lt;Setup!$C$5-Setup!$C$6,"",IF(IF(ISNUMBER(Roster!$D456),Setup!$C$26&lt;=Roster!$D456,FALSE),"",IF(OR(IF(Setup!$C$15&lt;=Setup!$C$16,AND(MONTH(H456)&gt;=Setup!$C$15,MONTH(H456)&lt;=Setup!$C$16),OR(MONTH(H456)&gt;=Setup!$C$15,MONTH(H456)&lt;=Setup!$C$16)),IF(Setup!$C$15&lt;=Setup!$C$16,AND(MONTH(WORKDAY(H456,-(Setup!$C$13+Setup!$G$26),Setup!$C$39:$C$50))&gt;=Setup!$C$15,MONTH(WORKDAY(H456,-(Setup!$C$13+Setup!$G$26),Setup!$C$39:$C$50))&lt;=Setup!$C$16),OR(MONTH(WORKDAY(H456,-(Setup!$C$13+Setup!$G$26),Setup!$C$39:$C$50))&gt;=Setup!$C$15,MONTH(WORKDAY(H456,-(Setup!$C$13+Setup!$G$26),Setup!$C$39:$C$50))&lt;=Setup!$C$16))),WORKDAY(H456,-(Setup!$C$13+Setup!$G$26+Setup!$C$14),Setup!$C$39:$C$50),WORKDAY(H456,-(Setup!$C$13+Setup!$G$26),Setup!$C$39:$C$50))+(451*100+7)/10000000)))</f>
        <v/>
      </c>
      <c r="Y456" t="str">
        <f>IF(I456="","",IF(I456&lt;Setup!$C$5-Setup!$C$6,"",IF(IF(ISNUMBER(Roster!$D456),Setup!$C$27&lt;=Roster!$D456,FALSE),"",IF(OR(IF(Setup!$C$15&lt;=Setup!$C$16,AND(MONTH(I456)&gt;=Setup!$C$15,MONTH(I456)&lt;=Setup!$C$16),OR(MONTH(I456)&gt;=Setup!$C$15,MONTH(I456)&lt;=Setup!$C$16)),IF(Setup!$C$15&lt;=Setup!$C$16,AND(MONTH(WORKDAY(I456,-(Setup!$C$13+Setup!$G$27),Setup!$C$39:$C$50))&gt;=Setup!$C$15,MONTH(WORKDAY(I456,-(Setup!$C$13+Setup!$G$27),Setup!$C$39:$C$50))&lt;=Setup!$C$16),OR(MONTH(WORKDAY(I456,-(Setup!$C$13+Setup!$G$27),Setup!$C$39:$C$50))&gt;=Setup!$C$15,MONTH(WORKDAY(I456,-(Setup!$C$13+Setup!$G$27),Setup!$C$39:$C$50))&lt;=Setup!$C$16))),WORKDAY(I456,-(Setup!$C$13+Setup!$G$27+Setup!$C$14),Setup!$C$39:$C$50),WORKDAY(I456,-(Setup!$C$13+Setup!$G$27),Setup!$C$39:$C$50))+(451*100+8)/10000000)))</f>
        <v/>
      </c>
      <c r="Z456" t="str">
        <f>IF(J456="","",IF(J456&lt;Setup!$C$5-Setup!$C$6,"",IF(IF(ISNUMBER(Roster!$D456),Setup!$C$28&lt;=Roster!$D456,FALSE),"",IF(OR(IF(Setup!$C$15&lt;=Setup!$C$16,AND(MONTH(J456)&gt;=Setup!$C$15,MONTH(J456)&lt;=Setup!$C$16),OR(MONTH(J456)&gt;=Setup!$C$15,MONTH(J456)&lt;=Setup!$C$16)),IF(Setup!$C$15&lt;=Setup!$C$16,AND(MONTH(WORKDAY(J456,-(Setup!$C$13+Setup!$G$28),Setup!$C$39:$C$50))&gt;=Setup!$C$15,MONTH(WORKDAY(J456,-(Setup!$C$13+Setup!$G$28),Setup!$C$39:$C$50))&lt;=Setup!$C$16),OR(MONTH(WORKDAY(J456,-(Setup!$C$13+Setup!$G$28),Setup!$C$39:$C$50))&gt;=Setup!$C$15,MONTH(WORKDAY(J456,-(Setup!$C$13+Setup!$G$28),Setup!$C$39:$C$50))&lt;=Setup!$C$16))),WORKDAY(J456,-(Setup!$C$13+Setup!$G$28+Setup!$C$14),Setup!$C$39:$C$50),WORKDAY(J456,-(Setup!$C$13+Setup!$G$28),Setup!$C$39:$C$50))+(451*100+9)/10000000)))</f>
        <v/>
      </c>
      <c r="AA456" t="str">
        <f>IF(K456="","",IF(K456&lt;Setup!$C$5-Setup!$C$6,"",IF(IF(ISNUMBER(Roster!$D456),Setup!$C$29&lt;=Roster!$D456,FALSE),"",IF(OR(IF(Setup!$C$15&lt;=Setup!$C$16,AND(MONTH(K456)&gt;=Setup!$C$15,MONTH(K456)&lt;=Setup!$C$16),OR(MONTH(K456)&gt;=Setup!$C$15,MONTH(K456)&lt;=Setup!$C$16)),IF(Setup!$C$15&lt;=Setup!$C$16,AND(MONTH(WORKDAY(K456,-(Setup!$C$13+Setup!$G$29),Setup!$C$39:$C$50))&gt;=Setup!$C$15,MONTH(WORKDAY(K456,-(Setup!$C$13+Setup!$G$29),Setup!$C$39:$C$50))&lt;=Setup!$C$16),OR(MONTH(WORKDAY(K456,-(Setup!$C$13+Setup!$G$29),Setup!$C$39:$C$50))&gt;=Setup!$C$15,MONTH(WORKDAY(K456,-(Setup!$C$13+Setup!$G$29),Setup!$C$39:$C$50))&lt;=Setup!$C$16))),WORKDAY(K456,-(Setup!$C$13+Setup!$G$29+Setup!$C$14),Setup!$C$39:$C$50),WORKDAY(K456,-(Setup!$C$13+Setup!$G$29),Setup!$C$39:$C$50))+(451*100+10)/10000000)))</f>
        <v/>
      </c>
      <c r="AB456" t="str">
        <f>IF(L456="","",IF(L456&lt;Setup!$C$5-Setup!$C$6,"",IF(IF(ISNUMBER(Roster!$D456),Setup!$C$30&lt;=Roster!$D456,FALSE),"",IF(OR(IF(Setup!$C$15&lt;=Setup!$C$16,AND(MONTH(L456)&gt;=Setup!$C$15,MONTH(L456)&lt;=Setup!$C$16),OR(MONTH(L456)&gt;=Setup!$C$15,MONTH(L456)&lt;=Setup!$C$16)),IF(Setup!$C$15&lt;=Setup!$C$16,AND(MONTH(WORKDAY(L456,-(Setup!$C$13+Setup!$G$30),Setup!$C$39:$C$50))&gt;=Setup!$C$15,MONTH(WORKDAY(L456,-(Setup!$C$13+Setup!$G$30),Setup!$C$39:$C$50))&lt;=Setup!$C$16),OR(MONTH(WORKDAY(L456,-(Setup!$C$13+Setup!$G$30),Setup!$C$39:$C$50))&gt;=Setup!$C$15,MONTH(WORKDAY(L456,-(Setup!$C$13+Setup!$G$30),Setup!$C$39:$C$50))&lt;=Setup!$C$16))),WORKDAY(L456,-(Setup!$C$13+Setup!$G$30+Setup!$C$14),Setup!$C$39:$C$50),WORKDAY(L456,-(Setup!$C$13+Setup!$G$30),Setup!$C$39:$C$50))+(451*100+11)/10000000)))</f>
        <v/>
      </c>
      <c r="AC456" t="str">
        <f>IF(M456="","",IF(M456&lt;Setup!$C$5-Setup!$C$6,"",IF(IF(ISNUMBER(Roster!$D456),Setup!$C$31&lt;=Roster!$D456,FALSE),"",IF(OR(IF(Setup!$C$15&lt;=Setup!$C$16,AND(MONTH(M456)&gt;=Setup!$C$15,MONTH(M456)&lt;=Setup!$C$16),OR(MONTH(M456)&gt;=Setup!$C$15,MONTH(M456)&lt;=Setup!$C$16)),IF(Setup!$C$15&lt;=Setup!$C$16,AND(MONTH(WORKDAY(M456,-(Setup!$C$13+Setup!$G$31),Setup!$C$39:$C$50))&gt;=Setup!$C$15,MONTH(WORKDAY(M456,-(Setup!$C$13+Setup!$G$31),Setup!$C$39:$C$50))&lt;=Setup!$C$16),OR(MONTH(WORKDAY(M456,-(Setup!$C$13+Setup!$G$31),Setup!$C$39:$C$50))&gt;=Setup!$C$15,MONTH(WORKDAY(M456,-(Setup!$C$13+Setup!$G$31),Setup!$C$39:$C$50))&lt;=Setup!$C$16))),WORKDAY(M456,-(Setup!$C$13+Setup!$G$31+Setup!$C$14),Setup!$C$39:$C$50),WORKDAY(M456,-(Setup!$C$13+Setup!$G$31),Setup!$C$39:$C$50))+(451*100+12)/10000000)))</f>
        <v/>
      </c>
      <c r="AD456" t="str">
        <f>IF(N456="","",IF(N456&lt;Setup!$C$5-Setup!$C$6,"",IF(IF(ISNUMBER(Roster!$D456),Setup!$C$32&lt;=Roster!$D456,FALSE),"",IF(OR(IF(Setup!$C$15&lt;=Setup!$C$16,AND(MONTH(N456)&gt;=Setup!$C$15,MONTH(N456)&lt;=Setup!$C$16),OR(MONTH(N456)&gt;=Setup!$C$15,MONTH(N456)&lt;=Setup!$C$16)),IF(Setup!$C$15&lt;=Setup!$C$16,AND(MONTH(WORKDAY(N456,-(Setup!$C$13+Setup!$G$32),Setup!$C$39:$C$50))&gt;=Setup!$C$15,MONTH(WORKDAY(N456,-(Setup!$C$13+Setup!$G$32),Setup!$C$39:$C$50))&lt;=Setup!$C$16),OR(MONTH(WORKDAY(N456,-(Setup!$C$13+Setup!$G$32),Setup!$C$39:$C$50))&gt;=Setup!$C$15,MONTH(WORKDAY(N456,-(Setup!$C$13+Setup!$G$32),Setup!$C$39:$C$50))&lt;=Setup!$C$16))),WORKDAY(N456,-(Setup!$C$13+Setup!$G$32+Setup!$C$14),Setup!$C$39:$C$50),WORKDAY(N456,-(Setup!$C$13+Setup!$G$32),Setup!$C$39:$C$50))+(451*100+13)/10000000)))</f>
        <v/>
      </c>
      <c r="AE456" t="str">
        <f>IF(O456="","",IF(O456&lt;Setup!$C$5-Setup!$C$6,"",IF(IF(ISNUMBER(Roster!$D456),Setup!$C$33&lt;=Roster!$D456,FALSE),"",IF(OR(IF(Setup!$C$15&lt;=Setup!$C$16,AND(MONTH(O456)&gt;=Setup!$C$15,MONTH(O456)&lt;=Setup!$C$16),OR(MONTH(O456)&gt;=Setup!$C$15,MONTH(O456)&lt;=Setup!$C$16)),IF(Setup!$C$15&lt;=Setup!$C$16,AND(MONTH(WORKDAY(O456,-(Setup!$C$13+Setup!$G$33),Setup!$C$39:$C$50))&gt;=Setup!$C$15,MONTH(WORKDAY(O456,-(Setup!$C$13+Setup!$G$33),Setup!$C$39:$C$50))&lt;=Setup!$C$16),OR(MONTH(WORKDAY(O456,-(Setup!$C$13+Setup!$G$33),Setup!$C$39:$C$50))&gt;=Setup!$C$15,MONTH(WORKDAY(O456,-(Setup!$C$13+Setup!$G$33),Setup!$C$39:$C$50))&lt;=Setup!$C$16))),WORKDAY(O456,-(Setup!$C$13+Setup!$G$33+Setup!$C$14),Setup!$C$39:$C$50),WORKDAY(O456,-(Setup!$C$13+Setup!$G$33),Setup!$C$39:$C$50))+(451*100+14)/10000000)))</f>
        <v/>
      </c>
      <c r="AF456" t="str">
        <f>IF(P456="","",IF(P456&lt;Setup!$C$5-Setup!$C$6,"",IF(IF(ISNUMBER(Roster!$D456),Setup!$C$34&lt;=Roster!$D456,FALSE),"",IF(OR(IF(Setup!$C$15&lt;=Setup!$C$16,AND(MONTH(P456)&gt;=Setup!$C$15,MONTH(P456)&lt;=Setup!$C$16),OR(MONTH(P456)&gt;=Setup!$C$15,MONTH(P456)&lt;=Setup!$C$16)),IF(Setup!$C$15&lt;=Setup!$C$16,AND(MONTH(WORKDAY(P456,-(Setup!$C$13+Setup!$G$34),Setup!$C$39:$C$50))&gt;=Setup!$C$15,MONTH(WORKDAY(P456,-(Setup!$C$13+Setup!$G$34),Setup!$C$39:$C$50))&lt;=Setup!$C$16),OR(MONTH(WORKDAY(P456,-(Setup!$C$13+Setup!$G$34),Setup!$C$39:$C$50))&gt;=Setup!$C$15,MONTH(WORKDAY(P456,-(Setup!$C$13+Setup!$G$34),Setup!$C$39:$C$50))&lt;=Setup!$C$16))),WORKDAY(P456,-(Setup!$C$13+Setup!$G$34+Setup!$C$14),Setup!$C$39:$C$50),WORKDAY(P456,-(Setup!$C$13+Setup!$G$34),Setup!$C$39:$C$50))+(451*100+15)/10000000)))</f>
        <v/>
      </c>
      <c r="AH456" t="str">
        <f t="shared" si="51"/>
        <v/>
      </c>
      <c r="AI456" t="str">
        <f t="shared" si="52"/>
        <v/>
      </c>
      <c r="AP456" t="str">
        <f>IF(ISNUMBER(Roster!$B456),MAX(1,YEAR(Setup!$C$5)-YEAR(Roster!$B456)+IF(EDATE(Roster!$B456,12*(YEAR(Setup!$C$5)-YEAR(Roster!$B456)))&lt;Setup!$C$5,1,0)),"")</f>
        <v/>
      </c>
      <c r="AQ456" s="32" t="str">
        <f>IF(AP456="","",EDATE(Roster!$B456,12*AP456))</f>
        <v/>
      </c>
      <c r="AR456" t="str">
        <f>IF(AQ456="","",IF(AQ456&lt;DATE(YEAR(Setup!$C$5)+1,MONTH(Setup!$C$5),DAY(Setup!$C$5)),AQ456+451/1000,""))</f>
        <v/>
      </c>
      <c r="AS456" t="str">
        <f t="shared" si="53"/>
        <v/>
      </c>
      <c r="AT456" t="str">
        <f>IF(AS456="","",IF(ISNUMBER(Roster!$D456),Roster!$D456&gt;=AP456,FALSE))</f>
        <v/>
      </c>
      <c r="AU456" t="str">
        <f t="shared" si="54"/>
        <v/>
      </c>
      <c r="AV456" t="str">
        <f ca="1">IF(451&gt;$AV$2,"",SMALL($AR$6:$AR$505,451))</f>
        <v/>
      </c>
      <c r="AW456" t="str">
        <f t="shared" ca="1" si="55"/>
        <v/>
      </c>
    </row>
    <row r="457" spans="2:49" x14ac:dyDescent="0.2">
      <c r="B457" s="32" t="str">
        <f>IF(AND(ISNUMBER(Roster!$B457),Setup!$B$20="Yes",ISNUMBER(Setup!$C$20)),EDATE(Roster!$B457,12*Setup!$C$20),"")</f>
        <v/>
      </c>
      <c r="C457" s="32" t="str">
        <f>IF(AND(ISNUMBER(Roster!$B457),Setup!$B$21="Yes",ISNUMBER(Setup!$C$21)),EDATE(Roster!$B457,12*Setup!$C$21),"")</f>
        <v/>
      </c>
      <c r="D457" s="32" t="str">
        <f>IF(AND(ISNUMBER(Roster!$B457),Setup!$B$22="Yes",ISNUMBER(Setup!$C$22)),EDATE(Roster!$B457,12*Setup!$C$22),"")</f>
        <v/>
      </c>
      <c r="E457" s="32" t="str">
        <f>IF(AND(ISNUMBER(Roster!$B457),Setup!$B$23="Yes",ISNUMBER(Setup!$C$23)),EDATE(Roster!$B457,12*Setup!$C$23),"")</f>
        <v/>
      </c>
      <c r="F457" s="32" t="str">
        <f>IF(AND(ISNUMBER(Roster!$B457),Setup!$B$24="Yes",ISNUMBER(Setup!$C$24)),EDATE(Roster!$B457,12*Setup!$C$24),"")</f>
        <v/>
      </c>
      <c r="G457" s="32" t="str">
        <f>IF(AND(ISNUMBER(Roster!$B457),Setup!$B$25="Yes",ISNUMBER(Setup!$C$25)),EDATE(Roster!$B457,12*Setup!$C$25),"")</f>
        <v/>
      </c>
      <c r="H457" s="32" t="str">
        <f>IF(AND(ISNUMBER(Roster!$B457),Setup!$B$26="Yes",ISNUMBER(Setup!$C$26)),EDATE(Roster!$B457,12*Setup!$C$26),"")</f>
        <v/>
      </c>
      <c r="I457" s="32" t="str">
        <f>IF(AND(ISNUMBER(Roster!$B457),Setup!$B$27="Yes",ISNUMBER(Setup!$C$27)),EDATE(Roster!$B457,12*Setup!$C$27),"")</f>
        <v/>
      </c>
      <c r="J457" s="32" t="str">
        <f>IF(AND(ISNUMBER(Roster!$B457),Setup!$B$28="Yes",ISNUMBER(Setup!$C$28)),EDATE(Roster!$B457,12*Setup!$C$28),"")</f>
        <v/>
      </c>
      <c r="K457" s="32" t="str">
        <f>IF(AND(ISNUMBER(Roster!$B457),Setup!$B$29="Yes",ISNUMBER(Setup!$C$29)),EDATE(Roster!$B457,12*Setup!$C$29),"")</f>
        <v/>
      </c>
      <c r="L457" s="32" t="str">
        <f>IF(AND(ISNUMBER(Roster!$B457),Setup!$B$30="Yes",ISNUMBER(Setup!$C$30)),EDATE(Roster!$B457,12*Setup!$C$30),"")</f>
        <v/>
      </c>
      <c r="M457" s="32" t="str">
        <f>IF(AND(ISNUMBER(Roster!$B457),Setup!$B$31="Yes",ISNUMBER(Setup!$C$31)),EDATE(Roster!$B457,12*Setup!$C$31),"")</f>
        <v/>
      </c>
      <c r="N457" s="32" t="str">
        <f>IF(AND(ISNUMBER(Roster!$B457),Setup!$B$32="Yes",ISNUMBER(Setup!$C$32)),EDATE(Roster!$B457,12*Setup!$C$32),"")</f>
        <v/>
      </c>
      <c r="O457" s="32" t="str">
        <f>IF(AND(ISNUMBER(Roster!$B457),Setup!$B$33="Yes",ISNUMBER(Setup!$C$33)),EDATE(Roster!$B457,12*Setup!$C$33),"")</f>
        <v/>
      </c>
      <c r="P457" s="32" t="str">
        <f>IF(AND(ISNUMBER(Roster!$B457),Setup!$B$34="Yes",ISNUMBER(Setup!$C$34)),EDATE(Roster!$B457,12*Setup!$C$34),"")</f>
        <v/>
      </c>
      <c r="R457" t="str">
        <f>IF(B457="","",IF(B457&lt;Setup!$C$5-Setup!$C$6,"",IF(IF(ISNUMBER(Roster!$D457),Setup!$C$20&lt;=Roster!$D457,FALSE),"",IF(OR(IF(Setup!$C$15&lt;=Setup!$C$16,AND(MONTH(B457)&gt;=Setup!$C$15,MONTH(B457)&lt;=Setup!$C$16),OR(MONTH(B457)&gt;=Setup!$C$15,MONTH(B457)&lt;=Setup!$C$16)),IF(Setup!$C$15&lt;=Setup!$C$16,AND(MONTH(WORKDAY(B457,-(Setup!$C$13+Setup!$G$20),Setup!$C$39:$C$50))&gt;=Setup!$C$15,MONTH(WORKDAY(B457,-(Setup!$C$13+Setup!$G$20),Setup!$C$39:$C$50))&lt;=Setup!$C$16),OR(MONTH(WORKDAY(B457,-(Setup!$C$13+Setup!$G$20),Setup!$C$39:$C$50))&gt;=Setup!$C$15,MONTH(WORKDAY(B457,-(Setup!$C$13+Setup!$G$20),Setup!$C$39:$C$50))&lt;=Setup!$C$16))),WORKDAY(B457,-(Setup!$C$13+Setup!$G$20+Setup!$C$14),Setup!$C$39:$C$50),WORKDAY(B457,-(Setup!$C$13+Setup!$G$20),Setup!$C$39:$C$50))+(452*100+1)/10000000)))</f>
        <v/>
      </c>
      <c r="S457" t="str">
        <f>IF(C457="","",IF(C457&lt;Setup!$C$5-Setup!$C$6,"",IF(IF(ISNUMBER(Roster!$D457),Setup!$C$21&lt;=Roster!$D457,FALSE),"",IF(OR(IF(Setup!$C$15&lt;=Setup!$C$16,AND(MONTH(C457)&gt;=Setup!$C$15,MONTH(C457)&lt;=Setup!$C$16),OR(MONTH(C457)&gt;=Setup!$C$15,MONTH(C457)&lt;=Setup!$C$16)),IF(Setup!$C$15&lt;=Setup!$C$16,AND(MONTH(WORKDAY(C457,-(Setup!$C$13+Setup!$G$21),Setup!$C$39:$C$50))&gt;=Setup!$C$15,MONTH(WORKDAY(C457,-(Setup!$C$13+Setup!$G$21),Setup!$C$39:$C$50))&lt;=Setup!$C$16),OR(MONTH(WORKDAY(C457,-(Setup!$C$13+Setup!$G$21),Setup!$C$39:$C$50))&gt;=Setup!$C$15,MONTH(WORKDAY(C457,-(Setup!$C$13+Setup!$G$21),Setup!$C$39:$C$50))&lt;=Setup!$C$16))),WORKDAY(C457,-(Setup!$C$13+Setup!$G$21+Setup!$C$14),Setup!$C$39:$C$50),WORKDAY(C457,-(Setup!$C$13+Setup!$G$21),Setup!$C$39:$C$50))+(452*100+2)/10000000)))</f>
        <v/>
      </c>
      <c r="T457" t="str">
        <f>IF(D457="","",IF(D457&lt;Setup!$C$5-Setup!$C$6,"",IF(IF(ISNUMBER(Roster!$D457),Setup!$C$22&lt;=Roster!$D457,FALSE),"",IF(OR(IF(Setup!$C$15&lt;=Setup!$C$16,AND(MONTH(D457)&gt;=Setup!$C$15,MONTH(D457)&lt;=Setup!$C$16),OR(MONTH(D457)&gt;=Setup!$C$15,MONTH(D457)&lt;=Setup!$C$16)),IF(Setup!$C$15&lt;=Setup!$C$16,AND(MONTH(WORKDAY(D457,-(Setup!$C$13+Setup!$G$22),Setup!$C$39:$C$50))&gt;=Setup!$C$15,MONTH(WORKDAY(D457,-(Setup!$C$13+Setup!$G$22),Setup!$C$39:$C$50))&lt;=Setup!$C$16),OR(MONTH(WORKDAY(D457,-(Setup!$C$13+Setup!$G$22),Setup!$C$39:$C$50))&gt;=Setup!$C$15,MONTH(WORKDAY(D457,-(Setup!$C$13+Setup!$G$22),Setup!$C$39:$C$50))&lt;=Setup!$C$16))),WORKDAY(D457,-(Setup!$C$13+Setup!$G$22+Setup!$C$14),Setup!$C$39:$C$50),WORKDAY(D457,-(Setup!$C$13+Setup!$G$22),Setup!$C$39:$C$50))+(452*100+3)/10000000)))</f>
        <v/>
      </c>
      <c r="U457" t="str">
        <f>IF(E457="","",IF(E457&lt;Setup!$C$5-Setup!$C$6,"",IF(IF(ISNUMBER(Roster!$D457),Setup!$C$23&lt;=Roster!$D457,FALSE),"",IF(OR(IF(Setup!$C$15&lt;=Setup!$C$16,AND(MONTH(E457)&gt;=Setup!$C$15,MONTH(E457)&lt;=Setup!$C$16),OR(MONTH(E457)&gt;=Setup!$C$15,MONTH(E457)&lt;=Setup!$C$16)),IF(Setup!$C$15&lt;=Setup!$C$16,AND(MONTH(WORKDAY(E457,-(Setup!$C$13+Setup!$G$23),Setup!$C$39:$C$50))&gt;=Setup!$C$15,MONTH(WORKDAY(E457,-(Setup!$C$13+Setup!$G$23),Setup!$C$39:$C$50))&lt;=Setup!$C$16),OR(MONTH(WORKDAY(E457,-(Setup!$C$13+Setup!$G$23),Setup!$C$39:$C$50))&gt;=Setup!$C$15,MONTH(WORKDAY(E457,-(Setup!$C$13+Setup!$G$23),Setup!$C$39:$C$50))&lt;=Setup!$C$16))),WORKDAY(E457,-(Setup!$C$13+Setup!$G$23+Setup!$C$14),Setup!$C$39:$C$50),WORKDAY(E457,-(Setup!$C$13+Setup!$G$23),Setup!$C$39:$C$50))+(452*100+4)/10000000)))</f>
        <v/>
      </c>
      <c r="V457" t="str">
        <f>IF(F457="","",IF(F457&lt;Setup!$C$5-Setup!$C$6,"",IF(IF(ISNUMBER(Roster!$D457),Setup!$C$24&lt;=Roster!$D457,FALSE),"",IF(OR(IF(Setup!$C$15&lt;=Setup!$C$16,AND(MONTH(F457)&gt;=Setup!$C$15,MONTH(F457)&lt;=Setup!$C$16),OR(MONTH(F457)&gt;=Setup!$C$15,MONTH(F457)&lt;=Setup!$C$16)),IF(Setup!$C$15&lt;=Setup!$C$16,AND(MONTH(WORKDAY(F457,-(Setup!$C$13+Setup!$G$24),Setup!$C$39:$C$50))&gt;=Setup!$C$15,MONTH(WORKDAY(F457,-(Setup!$C$13+Setup!$G$24),Setup!$C$39:$C$50))&lt;=Setup!$C$16),OR(MONTH(WORKDAY(F457,-(Setup!$C$13+Setup!$G$24),Setup!$C$39:$C$50))&gt;=Setup!$C$15,MONTH(WORKDAY(F457,-(Setup!$C$13+Setup!$G$24),Setup!$C$39:$C$50))&lt;=Setup!$C$16))),WORKDAY(F457,-(Setup!$C$13+Setup!$G$24+Setup!$C$14),Setup!$C$39:$C$50),WORKDAY(F457,-(Setup!$C$13+Setup!$G$24),Setup!$C$39:$C$50))+(452*100+5)/10000000)))</f>
        <v/>
      </c>
      <c r="W457" t="str">
        <f>IF(G457="","",IF(G457&lt;Setup!$C$5-Setup!$C$6,"",IF(IF(ISNUMBER(Roster!$D457),Setup!$C$25&lt;=Roster!$D457,FALSE),"",IF(OR(IF(Setup!$C$15&lt;=Setup!$C$16,AND(MONTH(G457)&gt;=Setup!$C$15,MONTH(G457)&lt;=Setup!$C$16),OR(MONTH(G457)&gt;=Setup!$C$15,MONTH(G457)&lt;=Setup!$C$16)),IF(Setup!$C$15&lt;=Setup!$C$16,AND(MONTH(WORKDAY(G457,-(Setup!$C$13+Setup!$G$25),Setup!$C$39:$C$50))&gt;=Setup!$C$15,MONTH(WORKDAY(G457,-(Setup!$C$13+Setup!$G$25),Setup!$C$39:$C$50))&lt;=Setup!$C$16),OR(MONTH(WORKDAY(G457,-(Setup!$C$13+Setup!$G$25),Setup!$C$39:$C$50))&gt;=Setup!$C$15,MONTH(WORKDAY(G457,-(Setup!$C$13+Setup!$G$25),Setup!$C$39:$C$50))&lt;=Setup!$C$16))),WORKDAY(G457,-(Setup!$C$13+Setup!$G$25+Setup!$C$14),Setup!$C$39:$C$50),WORKDAY(G457,-(Setup!$C$13+Setup!$G$25),Setup!$C$39:$C$50))+(452*100+6)/10000000)))</f>
        <v/>
      </c>
      <c r="X457" t="str">
        <f>IF(H457="","",IF(H457&lt;Setup!$C$5-Setup!$C$6,"",IF(IF(ISNUMBER(Roster!$D457),Setup!$C$26&lt;=Roster!$D457,FALSE),"",IF(OR(IF(Setup!$C$15&lt;=Setup!$C$16,AND(MONTH(H457)&gt;=Setup!$C$15,MONTH(H457)&lt;=Setup!$C$16),OR(MONTH(H457)&gt;=Setup!$C$15,MONTH(H457)&lt;=Setup!$C$16)),IF(Setup!$C$15&lt;=Setup!$C$16,AND(MONTH(WORKDAY(H457,-(Setup!$C$13+Setup!$G$26),Setup!$C$39:$C$50))&gt;=Setup!$C$15,MONTH(WORKDAY(H457,-(Setup!$C$13+Setup!$G$26),Setup!$C$39:$C$50))&lt;=Setup!$C$16),OR(MONTH(WORKDAY(H457,-(Setup!$C$13+Setup!$G$26),Setup!$C$39:$C$50))&gt;=Setup!$C$15,MONTH(WORKDAY(H457,-(Setup!$C$13+Setup!$G$26),Setup!$C$39:$C$50))&lt;=Setup!$C$16))),WORKDAY(H457,-(Setup!$C$13+Setup!$G$26+Setup!$C$14),Setup!$C$39:$C$50),WORKDAY(H457,-(Setup!$C$13+Setup!$G$26),Setup!$C$39:$C$50))+(452*100+7)/10000000)))</f>
        <v/>
      </c>
      <c r="Y457" t="str">
        <f>IF(I457="","",IF(I457&lt;Setup!$C$5-Setup!$C$6,"",IF(IF(ISNUMBER(Roster!$D457),Setup!$C$27&lt;=Roster!$D457,FALSE),"",IF(OR(IF(Setup!$C$15&lt;=Setup!$C$16,AND(MONTH(I457)&gt;=Setup!$C$15,MONTH(I457)&lt;=Setup!$C$16),OR(MONTH(I457)&gt;=Setup!$C$15,MONTH(I457)&lt;=Setup!$C$16)),IF(Setup!$C$15&lt;=Setup!$C$16,AND(MONTH(WORKDAY(I457,-(Setup!$C$13+Setup!$G$27),Setup!$C$39:$C$50))&gt;=Setup!$C$15,MONTH(WORKDAY(I457,-(Setup!$C$13+Setup!$G$27),Setup!$C$39:$C$50))&lt;=Setup!$C$16),OR(MONTH(WORKDAY(I457,-(Setup!$C$13+Setup!$G$27),Setup!$C$39:$C$50))&gt;=Setup!$C$15,MONTH(WORKDAY(I457,-(Setup!$C$13+Setup!$G$27),Setup!$C$39:$C$50))&lt;=Setup!$C$16))),WORKDAY(I457,-(Setup!$C$13+Setup!$G$27+Setup!$C$14),Setup!$C$39:$C$50),WORKDAY(I457,-(Setup!$C$13+Setup!$G$27),Setup!$C$39:$C$50))+(452*100+8)/10000000)))</f>
        <v/>
      </c>
      <c r="Z457" t="str">
        <f>IF(J457="","",IF(J457&lt;Setup!$C$5-Setup!$C$6,"",IF(IF(ISNUMBER(Roster!$D457),Setup!$C$28&lt;=Roster!$D457,FALSE),"",IF(OR(IF(Setup!$C$15&lt;=Setup!$C$16,AND(MONTH(J457)&gt;=Setup!$C$15,MONTH(J457)&lt;=Setup!$C$16),OR(MONTH(J457)&gt;=Setup!$C$15,MONTH(J457)&lt;=Setup!$C$16)),IF(Setup!$C$15&lt;=Setup!$C$16,AND(MONTH(WORKDAY(J457,-(Setup!$C$13+Setup!$G$28),Setup!$C$39:$C$50))&gt;=Setup!$C$15,MONTH(WORKDAY(J457,-(Setup!$C$13+Setup!$G$28),Setup!$C$39:$C$50))&lt;=Setup!$C$16),OR(MONTH(WORKDAY(J457,-(Setup!$C$13+Setup!$G$28),Setup!$C$39:$C$50))&gt;=Setup!$C$15,MONTH(WORKDAY(J457,-(Setup!$C$13+Setup!$G$28),Setup!$C$39:$C$50))&lt;=Setup!$C$16))),WORKDAY(J457,-(Setup!$C$13+Setup!$G$28+Setup!$C$14),Setup!$C$39:$C$50),WORKDAY(J457,-(Setup!$C$13+Setup!$G$28),Setup!$C$39:$C$50))+(452*100+9)/10000000)))</f>
        <v/>
      </c>
      <c r="AA457" t="str">
        <f>IF(K457="","",IF(K457&lt;Setup!$C$5-Setup!$C$6,"",IF(IF(ISNUMBER(Roster!$D457),Setup!$C$29&lt;=Roster!$D457,FALSE),"",IF(OR(IF(Setup!$C$15&lt;=Setup!$C$16,AND(MONTH(K457)&gt;=Setup!$C$15,MONTH(K457)&lt;=Setup!$C$16),OR(MONTH(K457)&gt;=Setup!$C$15,MONTH(K457)&lt;=Setup!$C$16)),IF(Setup!$C$15&lt;=Setup!$C$16,AND(MONTH(WORKDAY(K457,-(Setup!$C$13+Setup!$G$29),Setup!$C$39:$C$50))&gt;=Setup!$C$15,MONTH(WORKDAY(K457,-(Setup!$C$13+Setup!$G$29),Setup!$C$39:$C$50))&lt;=Setup!$C$16),OR(MONTH(WORKDAY(K457,-(Setup!$C$13+Setup!$G$29),Setup!$C$39:$C$50))&gt;=Setup!$C$15,MONTH(WORKDAY(K457,-(Setup!$C$13+Setup!$G$29),Setup!$C$39:$C$50))&lt;=Setup!$C$16))),WORKDAY(K457,-(Setup!$C$13+Setup!$G$29+Setup!$C$14),Setup!$C$39:$C$50),WORKDAY(K457,-(Setup!$C$13+Setup!$G$29),Setup!$C$39:$C$50))+(452*100+10)/10000000)))</f>
        <v/>
      </c>
      <c r="AB457" t="str">
        <f>IF(L457="","",IF(L457&lt;Setup!$C$5-Setup!$C$6,"",IF(IF(ISNUMBER(Roster!$D457),Setup!$C$30&lt;=Roster!$D457,FALSE),"",IF(OR(IF(Setup!$C$15&lt;=Setup!$C$16,AND(MONTH(L457)&gt;=Setup!$C$15,MONTH(L457)&lt;=Setup!$C$16),OR(MONTH(L457)&gt;=Setup!$C$15,MONTH(L457)&lt;=Setup!$C$16)),IF(Setup!$C$15&lt;=Setup!$C$16,AND(MONTH(WORKDAY(L457,-(Setup!$C$13+Setup!$G$30),Setup!$C$39:$C$50))&gt;=Setup!$C$15,MONTH(WORKDAY(L457,-(Setup!$C$13+Setup!$G$30),Setup!$C$39:$C$50))&lt;=Setup!$C$16),OR(MONTH(WORKDAY(L457,-(Setup!$C$13+Setup!$G$30),Setup!$C$39:$C$50))&gt;=Setup!$C$15,MONTH(WORKDAY(L457,-(Setup!$C$13+Setup!$G$30),Setup!$C$39:$C$50))&lt;=Setup!$C$16))),WORKDAY(L457,-(Setup!$C$13+Setup!$G$30+Setup!$C$14),Setup!$C$39:$C$50),WORKDAY(L457,-(Setup!$C$13+Setup!$G$30),Setup!$C$39:$C$50))+(452*100+11)/10000000)))</f>
        <v/>
      </c>
      <c r="AC457" t="str">
        <f>IF(M457="","",IF(M457&lt;Setup!$C$5-Setup!$C$6,"",IF(IF(ISNUMBER(Roster!$D457),Setup!$C$31&lt;=Roster!$D457,FALSE),"",IF(OR(IF(Setup!$C$15&lt;=Setup!$C$16,AND(MONTH(M457)&gt;=Setup!$C$15,MONTH(M457)&lt;=Setup!$C$16),OR(MONTH(M457)&gt;=Setup!$C$15,MONTH(M457)&lt;=Setup!$C$16)),IF(Setup!$C$15&lt;=Setup!$C$16,AND(MONTH(WORKDAY(M457,-(Setup!$C$13+Setup!$G$31),Setup!$C$39:$C$50))&gt;=Setup!$C$15,MONTH(WORKDAY(M457,-(Setup!$C$13+Setup!$G$31),Setup!$C$39:$C$50))&lt;=Setup!$C$16),OR(MONTH(WORKDAY(M457,-(Setup!$C$13+Setup!$G$31),Setup!$C$39:$C$50))&gt;=Setup!$C$15,MONTH(WORKDAY(M457,-(Setup!$C$13+Setup!$G$31),Setup!$C$39:$C$50))&lt;=Setup!$C$16))),WORKDAY(M457,-(Setup!$C$13+Setup!$G$31+Setup!$C$14),Setup!$C$39:$C$50),WORKDAY(M457,-(Setup!$C$13+Setup!$G$31),Setup!$C$39:$C$50))+(452*100+12)/10000000)))</f>
        <v/>
      </c>
      <c r="AD457" t="str">
        <f>IF(N457="","",IF(N457&lt;Setup!$C$5-Setup!$C$6,"",IF(IF(ISNUMBER(Roster!$D457),Setup!$C$32&lt;=Roster!$D457,FALSE),"",IF(OR(IF(Setup!$C$15&lt;=Setup!$C$16,AND(MONTH(N457)&gt;=Setup!$C$15,MONTH(N457)&lt;=Setup!$C$16),OR(MONTH(N457)&gt;=Setup!$C$15,MONTH(N457)&lt;=Setup!$C$16)),IF(Setup!$C$15&lt;=Setup!$C$16,AND(MONTH(WORKDAY(N457,-(Setup!$C$13+Setup!$G$32),Setup!$C$39:$C$50))&gt;=Setup!$C$15,MONTH(WORKDAY(N457,-(Setup!$C$13+Setup!$G$32),Setup!$C$39:$C$50))&lt;=Setup!$C$16),OR(MONTH(WORKDAY(N457,-(Setup!$C$13+Setup!$G$32),Setup!$C$39:$C$50))&gt;=Setup!$C$15,MONTH(WORKDAY(N457,-(Setup!$C$13+Setup!$G$32),Setup!$C$39:$C$50))&lt;=Setup!$C$16))),WORKDAY(N457,-(Setup!$C$13+Setup!$G$32+Setup!$C$14),Setup!$C$39:$C$50),WORKDAY(N457,-(Setup!$C$13+Setup!$G$32),Setup!$C$39:$C$50))+(452*100+13)/10000000)))</f>
        <v/>
      </c>
      <c r="AE457" t="str">
        <f>IF(O457="","",IF(O457&lt;Setup!$C$5-Setup!$C$6,"",IF(IF(ISNUMBER(Roster!$D457),Setup!$C$33&lt;=Roster!$D457,FALSE),"",IF(OR(IF(Setup!$C$15&lt;=Setup!$C$16,AND(MONTH(O457)&gt;=Setup!$C$15,MONTH(O457)&lt;=Setup!$C$16),OR(MONTH(O457)&gt;=Setup!$C$15,MONTH(O457)&lt;=Setup!$C$16)),IF(Setup!$C$15&lt;=Setup!$C$16,AND(MONTH(WORKDAY(O457,-(Setup!$C$13+Setup!$G$33),Setup!$C$39:$C$50))&gt;=Setup!$C$15,MONTH(WORKDAY(O457,-(Setup!$C$13+Setup!$G$33),Setup!$C$39:$C$50))&lt;=Setup!$C$16),OR(MONTH(WORKDAY(O457,-(Setup!$C$13+Setup!$G$33),Setup!$C$39:$C$50))&gt;=Setup!$C$15,MONTH(WORKDAY(O457,-(Setup!$C$13+Setup!$G$33),Setup!$C$39:$C$50))&lt;=Setup!$C$16))),WORKDAY(O457,-(Setup!$C$13+Setup!$G$33+Setup!$C$14),Setup!$C$39:$C$50),WORKDAY(O457,-(Setup!$C$13+Setup!$G$33),Setup!$C$39:$C$50))+(452*100+14)/10000000)))</f>
        <v/>
      </c>
      <c r="AF457" t="str">
        <f>IF(P457="","",IF(P457&lt;Setup!$C$5-Setup!$C$6,"",IF(IF(ISNUMBER(Roster!$D457),Setup!$C$34&lt;=Roster!$D457,FALSE),"",IF(OR(IF(Setup!$C$15&lt;=Setup!$C$16,AND(MONTH(P457)&gt;=Setup!$C$15,MONTH(P457)&lt;=Setup!$C$16),OR(MONTH(P457)&gt;=Setup!$C$15,MONTH(P457)&lt;=Setup!$C$16)),IF(Setup!$C$15&lt;=Setup!$C$16,AND(MONTH(WORKDAY(P457,-(Setup!$C$13+Setup!$G$34),Setup!$C$39:$C$50))&gt;=Setup!$C$15,MONTH(WORKDAY(P457,-(Setup!$C$13+Setup!$G$34),Setup!$C$39:$C$50))&lt;=Setup!$C$16),OR(MONTH(WORKDAY(P457,-(Setup!$C$13+Setup!$G$34),Setup!$C$39:$C$50))&gt;=Setup!$C$15,MONTH(WORKDAY(P457,-(Setup!$C$13+Setup!$G$34),Setup!$C$39:$C$50))&lt;=Setup!$C$16))),WORKDAY(P457,-(Setup!$C$13+Setup!$G$34+Setup!$C$14),Setup!$C$39:$C$50),WORKDAY(P457,-(Setup!$C$13+Setup!$G$34),Setup!$C$39:$C$50))+(452*100+15)/10000000)))</f>
        <v/>
      </c>
      <c r="AH457" t="str">
        <f t="shared" si="51"/>
        <v/>
      </c>
      <c r="AI457" t="str">
        <f t="shared" si="52"/>
        <v/>
      </c>
      <c r="AP457" t="str">
        <f>IF(ISNUMBER(Roster!$B457),MAX(1,YEAR(Setup!$C$5)-YEAR(Roster!$B457)+IF(EDATE(Roster!$B457,12*(YEAR(Setup!$C$5)-YEAR(Roster!$B457)))&lt;Setup!$C$5,1,0)),"")</f>
        <v/>
      </c>
      <c r="AQ457" s="32" t="str">
        <f>IF(AP457="","",EDATE(Roster!$B457,12*AP457))</f>
        <v/>
      </c>
      <c r="AR457" t="str">
        <f>IF(AQ457="","",IF(AQ457&lt;DATE(YEAR(Setup!$C$5)+1,MONTH(Setup!$C$5),DAY(Setup!$C$5)),AQ457+452/1000,""))</f>
        <v/>
      </c>
      <c r="AS457" t="str">
        <f t="shared" si="53"/>
        <v/>
      </c>
      <c r="AT457" t="str">
        <f>IF(AS457="","",IF(ISNUMBER(Roster!$D457),Roster!$D457&gt;=AP457,FALSE))</f>
        <v/>
      </c>
      <c r="AU457" t="str">
        <f t="shared" si="54"/>
        <v/>
      </c>
      <c r="AV457" t="str">
        <f ca="1">IF(452&gt;$AV$2,"",SMALL($AR$6:$AR$505,452))</f>
        <v/>
      </c>
      <c r="AW457" t="str">
        <f t="shared" ca="1" si="55"/>
        <v/>
      </c>
    </row>
    <row r="458" spans="2:49" x14ac:dyDescent="0.2">
      <c r="B458" s="32" t="str">
        <f>IF(AND(ISNUMBER(Roster!$B458),Setup!$B$20="Yes",ISNUMBER(Setup!$C$20)),EDATE(Roster!$B458,12*Setup!$C$20),"")</f>
        <v/>
      </c>
      <c r="C458" s="32" t="str">
        <f>IF(AND(ISNUMBER(Roster!$B458),Setup!$B$21="Yes",ISNUMBER(Setup!$C$21)),EDATE(Roster!$B458,12*Setup!$C$21),"")</f>
        <v/>
      </c>
      <c r="D458" s="32" t="str">
        <f>IF(AND(ISNUMBER(Roster!$B458),Setup!$B$22="Yes",ISNUMBER(Setup!$C$22)),EDATE(Roster!$B458,12*Setup!$C$22),"")</f>
        <v/>
      </c>
      <c r="E458" s="32" t="str">
        <f>IF(AND(ISNUMBER(Roster!$B458),Setup!$B$23="Yes",ISNUMBER(Setup!$C$23)),EDATE(Roster!$B458,12*Setup!$C$23),"")</f>
        <v/>
      </c>
      <c r="F458" s="32" t="str">
        <f>IF(AND(ISNUMBER(Roster!$B458),Setup!$B$24="Yes",ISNUMBER(Setup!$C$24)),EDATE(Roster!$B458,12*Setup!$C$24),"")</f>
        <v/>
      </c>
      <c r="G458" s="32" t="str">
        <f>IF(AND(ISNUMBER(Roster!$B458),Setup!$B$25="Yes",ISNUMBER(Setup!$C$25)),EDATE(Roster!$B458,12*Setup!$C$25),"")</f>
        <v/>
      </c>
      <c r="H458" s="32" t="str">
        <f>IF(AND(ISNUMBER(Roster!$B458),Setup!$B$26="Yes",ISNUMBER(Setup!$C$26)),EDATE(Roster!$B458,12*Setup!$C$26),"")</f>
        <v/>
      </c>
      <c r="I458" s="32" t="str">
        <f>IF(AND(ISNUMBER(Roster!$B458),Setup!$B$27="Yes",ISNUMBER(Setup!$C$27)),EDATE(Roster!$B458,12*Setup!$C$27),"")</f>
        <v/>
      </c>
      <c r="J458" s="32" t="str">
        <f>IF(AND(ISNUMBER(Roster!$B458),Setup!$B$28="Yes",ISNUMBER(Setup!$C$28)),EDATE(Roster!$B458,12*Setup!$C$28),"")</f>
        <v/>
      </c>
      <c r="K458" s="32" t="str">
        <f>IF(AND(ISNUMBER(Roster!$B458),Setup!$B$29="Yes",ISNUMBER(Setup!$C$29)),EDATE(Roster!$B458,12*Setup!$C$29),"")</f>
        <v/>
      </c>
      <c r="L458" s="32" t="str">
        <f>IF(AND(ISNUMBER(Roster!$B458),Setup!$B$30="Yes",ISNUMBER(Setup!$C$30)),EDATE(Roster!$B458,12*Setup!$C$30),"")</f>
        <v/>
      </c>
      <c r="M458" s="32" t="str">
        <f>IF(AND(ISNUMBER(Roster!$B458),Setup!$B$31="Yes",ISNUMBER(Setup!$C$31)),EDATE(Roster!$B458,12*Setup!$C$31),"")</f>
        <v/>
      </c>
      <c r="N458" s="32" t="str">
        <f>IF(AND(ISNUMBER(Roster!$B458),Setup!$B$32="Yes",ISNUMBER(Setup!$C$32)),EDATE(Roster!$B458,12*Setup!$C$32),"")</f>
        <v/>
      </c>
      <c r="O458" s="32" t="str">
        <f>IF(AND(ISNUMBER(Roster!$B458),Setup!$B$33="Yes",ISNUMBER(Setup!$C$33)),EDATE(Roster!$B458,12*Setup!$C$33),"")</f>
        <v/>
      </c>
      <c r="P458" s="32" t="str">
        <f>IF(AND(ISNUMBER(Roster!$B458),Setup!$B$34="Yes",ISNUMBER(Setup!$C$34)),EDATE(Roster!$B458,12*Setup!$C$34),"")</f>
        <v/>
      </c>
      <c r="R458" t="str">
        <f>IF(B458="","",IF(B458&lt;Setup!$C$5-Setup!$C$6,"",IF(IF(ISNUMBER(Roster!$D458),Setup!$C$20&lt;=Roster!$D458,FALSE),"",IF(OR(IF(Setup!$C$15&lt;=Setup!$C$16,AND(MONTH(B458)&gt;=Setup!$C$15,MONTH(B458)&lt;=Setup!$C$16),OR(MONTH(B458)&gt;=Setup!$C$15,MONTH(B458)&lt;=Setup!$C$16)),IF(Setup!$C$15&lt;=Setup!$C$16,AND(MONTH(WORKDAY(B458,-(Setup!$C$13+Setup!$G$20),Setup!$C$39:$C$50))&gt;=Setup!$C$15,MONTH(WORKDAY(B458,-(Setup!$C$13+Setup!$G$20),Setup!$C$39:$C$50))&lt;=Setup!$C$16),OR(MONTH(WORKDAY(B458,-(Setup!$C$13+Setup!$G$20),Setup!$C$39:$C$50))&gt;=Setup!$C$15,MONTH(WORKDAY(B458,-(Setup!$C$13+Setup!$G$20),Setup!$C$39:$C$50))&lt;=Setup!$C$16))),WORKDAY(B458,-(Setup!$C$13+Setup!$G$20+Setup!$C$14),Setup!$C$39:$C$50),WORKDAY(B458,-(Setup!$C$13+Setup!$G$20),Setup!$C$39:$C$50))+(453*100+1)/10000000)))</f>
        <v/>
      </c>
      <c r="S458" t="str">
        <f>IF(C458="","",IF(C458&lt;Setup!$C$5-Setup!$C$6,"",IF(IF(ISNUMBER(Roster!$D458),Setup!$C$21&lt;=Roster!$D458,FALSE),"",IF(OR(IF(Setup!$C$15&lt;=Setup!$C$16,AND(MONTH(C458)&gt;=Setup!$C$15,MONTH(C458)&lt;=Setup!$C$16),OR(MONTH(C458)&gt;=Setup!$C$15,MONTH(C458)&lt;=Setup!$C$16)),IF(Setup!$C$15&lt;=Setup!$C$16,AND(MONTH(WORKDAY(C458,-(Setup!$C$13+Setup!$G$21),Setup!$C$39:$C$50))&gt;=Setup!$C$15,MONTH(WORKDAY(C458,-(Setup!$C$13+Setup!$G$21),Setup!$C$39:$C$50))&lt;=Setup!$C$16),OR(MONTH(WORKDAY(C458,-(Setup!$C$13+Setup!$G$21),Setup!$C$39:$C$50))&gt;=Setup!$C$15,MONTH(WORKDAY(C458,-(Setup!$C$13+Setup!$G$21),Setup!$C$39:$C$50))&lt;=Setup!$C$16))),WORKDAY(C458,-(Setup!$C$13+Setup!$G$21+Setup!$C$14),Setup!$C$39:$C$50),WORKDAY(C458,-(Setup!$C$13+Setup!$G$21),Setup!$C$39:$C$50))+(453*100+2)/10000000)))</f>
        <v/>
      </c>
      <c r="T458" t="str">
        <f>IF(D458="","",IF(D458&lt;Setup!$C$5-Setup!$C$6,"",IF(IF(ISNUMBER(Roster!$D458),Setup!$C$22&lt;=Roster!$D458,FALSE),"",IF(OR(IF(Setup!$C$15&lt;=Setup!$C$16,AND(MONTH(D458)&gt;=Setup!$C$15,MONTH(D458)&lt;=Setup!$C$16),OR(MONTH(D458)&gt;=Setup!$C$15,MONTH(D458)&lt;=Setup!$C$16)),IF(Setup!$C$15&lt;=Setup!$C$16,AND(MONTH(WORKDAY(D458,-(Setup!$C$13+Setup!$G$22),Setup!$C$39:$C$50))&gt;=Setup!$C$15,MONTH(WORKDAY(D458,-(Setup!$C$13+Setup!$G$22),Setup!$C$39:$C$50))&lt;=Setup!$C$16),OR(MONTH(WORKDAY(D458,-(Setup!$C$13+Setup!$G$22),Setup!$C$39:$C$50))&gt;=Setup!$C$15,MONTH(WORKDAY(D458,-(Setup!$C$13+Setup!$G$22),Setup!$C$39:$C$50))&lt;=Setup!$C$16))),WORKDAY(D458,-(Setup!$C$13+Setup!$G$22+Setup!$C$14),Setup!$C$39:$C$50),WORKDAY(D458,-(Setup!$C$13+Setup!$G$22),Setup!$C$39:$C$50))+(453*100+3)/10000000)))</f>
        <v/>
      </c>
      <c r="U458" t="str">
        <f>IF(E458="","",IF(E458&lt;Setup!$C$5-Setup!$C$6,"",IF(IF(ISNUMBER(Roster!$D458),Setup!$C$23&lt;=Roster!$D458,FALSE),"",IF(OR(IF(Setup!$C$15&lt;=Setup!$C$16,AND(MONTH(E458)&gt;=Setup!$C$15,MONTH(E458)&lt;=Setup!$C$16),OR(MONTH(E458)&gt;=Setup!$C$15,MONTH(E458)&lt;=Setup!$C$16)),IF(Setup!$C$15&lt;=Setup!$C$16,AND(MONTH(WORKDAY(E458,-(Setup!$C$13+Setup!$G$23),Setup!$C$39:$C$50))&gt;=Setup!$C$15,MONTH(WORKDAY(E458,-(Setup!$C$13+Setup!$G$23),Setup!$C$39:$C$50))&lt;=Setup!$C$16),OR(MONTH(WORKDAY(E458,-(Setup!$C$13+Setup!$G$23),Setup!$C$39:$C$50))&gt;=Setup!$C$15,MONTH(WORKDAY(E458,-(Setup!$C$13+Setup!$G$23),Setup!$C$39:$C$50))&lt;=Setup!$C$16))),WORKDAY(E458,-(Setup!$C$13+Setup!$G$23+Setup!$C$14),Setup!$C$39:$C$50),WORKDAY(E458,-(Setup!$C$13+Setup!$G$23),Setup!$C$39:$C$50))+(453*100+4)/10000000)))</f>
        <v/>
      </c>
      <c r="V458" t="str">
        <f>IF(F458="","",IF(F458&lt;Setup!$C$5-Setup!$C$6,"",IF(IF(ISNUMBER(Roster!$D458),Setup!$C$24&lt;=Roster!$D458,FALSE),"",IF(OR(IF(Setup!$C$15&lt;=Setup!$C$16,AND(MONTH(F458)&gt;=Setup!$C$15,MONTH(F458)&lt;=Setup!$C$16),OR(MONTH(F458)&gt;=Setup!$C$15,MONTH(F458)&lt;=Setup!$C$16)),IF(Setup!$C$15&lt;=Setup!$C$16,AND(MONTH(WORKDAY(F458,-(Setup!$C$13+Setup!$G$24),Setup!$C$39:$C$50))&gt;=Setup!$C$15,MONTH(WORKDAY(F458,-(Setup!$C$13+Setup!$G$24),Setup!$C$39:$C$50))&lt;=Setup!$C$16),OR(MONTH(WORKDAY(F458,-(Setup!$C$13+Setup!$G$24),Setup!$C$39:$C$50))&gt;=Setup!$C$15,MONTH(WORKDAY(F458,-(Setup!$C$13+Setup!$G$24),Setup!$C$39:$C$50))&lt;=Setup!$C$16))),WORKDAY(F458,-(Setup!$C$13+Setup!$G$24+Setup!$C$14),Setup!$C$39:$C$50),WORKDAY(F458,-(Setup!$C$13+Setup!$G$24),Setup!$C$39:$C$50))+(453*100+5)/10000000)))</f>
        <v/>
      </c>
      <c r="W458" t="str">
        <f>IF(G458="","",IF(G458&lt;Setup!$C$5-Setup!$C$6,"",IF(IF(ISNUMBER(Roster!$D458),Setup!$C$25&lt;=Roster!$D458,FALSE),"",IF(OR(IF(Setup!$C$15&lt;=Setup!$C$16,AND(MONTH(G458)&gt;=Setup!$C$15,MONTH(G458)&lt;=Setup!$C$16),OR(MONTH(G458)&gt;=Setup!$C$15,MONTH(G458)&lt;=Setup!$C$16)),IF(Setup!$C$15&lt;=Setup!$C$16,AND(MONTH(WORKDAY(G458,-(Setup!$C$13+Setup!$G$25),Setup!$C$39:$C$50))&gt;=Setup!$C$15,MONTH(WORKDAY(G458,-(Setup!$C$13+Setup!$G$25),Setup!$C$39:$C$50))&lt;=Setup!$C$16),OR(MONTH(WORKDAY(G458,-(Setup!$C$13+Setup!$G$25),Setup!$C$39:$C$50))&gt;=Setup!$C$15,MONTH(WORKDAY(G458,-(Setup!$C$13+Setup!$G$25),Setup!$C$39:$C$50))&lt;=Setup!$C$16))),WORKDAY(G458,-(Setup!$C$13+Setup!$G$25+Setup!$C$14),Setup!$C$39:$C$50),WORKDAY(G458,-(Setup!$C$13+Setup!$G$25),Setup!$C$39:$C$50))+(453*100+6)/10000000)))</f>
        <v/>
      </c>
      <c r="X458" t="str">
        <f>IF(H458="","",IF(H458&lt;Setup!$C$5-Setup!$C$6,"",IF(IF(ISNUMBER(Roster!$D458),Setup!$C$26&lt;=Roster!$D458,FALSE),"",IF(OR(IF(Setup!$C$15&lt;=Setup!$C$16,AND(MONTH(H458)&gt;=Setup!$C$15,MONTH(H458)&lt;=Setup!$C$16),OR(MONTH(H458)&gt;=Setup!$C$15,MONTH(H458)&lt;=Setup!$C$16)),IF(Setup!$C$15&lt;=Setup!$C$16,AND(MONTH(WORKDAY(H458,-(Setup!$C$13+Setup!$G$26),Setup!$C$39:$C$50))&gt;=Setup!$C$15,MONTH(WORKDAY(H458,-(Setup!$C$13+Setup!$G$26),Setup!$C$39:$C$50))&lt;=Setup!$C$16),OR(MONTH(WORKDAY(H458,-(Setup!$C$13+Setup!$G$26),Setup!$C$39:$C$50))&gt;=Setup!$C$15,MONTH(WORKDAY(H458,-(Setup!$C$13+Setup!$G$26),Setup!$C$39:$C$50))&lt;=Setup!$C$16))),WORKDAY(H458,-(Setup!$C$13+Setup!$G$26+Setup!$C$14),Setup!$C$39:$C$50),WORKDAY(H458,-(Setup!$C$13+Setup!$G$26),Setup!$C$39:$C$50))+(453*100+7)/10000000)))</f>
        <v/>
      </c>
      <c r="Y458" t="str">
        <f>IF(I458="","",IF(I458&lt;Setup!$C$5-Setup!$C$6,"",IF(IF(ISNUMBER(Roster!$D458),Setup!$C$27&lt;=Roster!$D458,FALSE),"",IF(OR(IF(Setup!$C$15&lt;=Setup!$C$16,AND(MONTH(I458)&gt;=Setup!$C$15,MONTH(I458)&lt;=Setup!$C$16),OR(MONTH(I458)&gt;=Setup!$C$15,MONTH(I458)&lt;=Setup!$C$16)),IF(Setup!$C$15&lt;=Setup!$C$16,AND(MONTH(WORKDAY(I458,-(Setup!$C$13+Setup!$G$27),Setup!$C$39:$C$50))&gt;=Setup!$C$15,MONTH(WORKDAY(I458,-(Setup!$C$13+Setup!$G$27),Setup!$C$39:$C$50))&lt;=Setup!$C$16),OR(MONTH(WORKDAY(I458,-(Setup!$C$13+Setup!$G$27),Setup!$C$39:$C$50))&gt;=Setup!$C$15,MONTH(WORKDAY(I458,-(Setup!$C$13+Setup!$G$27),Setup!$C$39:$C$50))&lt;=Setup!$C$16))),WORKDAY(I458,-(Setup!$C$13+Setup!$G$27+Setup!$C$14),Setup!$C$39:$C$50),WORKDAY(I458,-(Setup!$C$13+Setup!$G$27),Setup!$C$39:$C$50))+(453*100+8)/10000000)))</f>
        <v/>
      </c>
      <c r="Z458" t="str">
        <f>IF(J458="","",IF(J458&lt;Setup!$C$5-Setup!$C$6,"",IF(IF(ISNUMBER(Roster!$D458),Setup!$C$28&lt;=Roster!$D458,FALSE),"",IF(OR(IF(Setup!$C$15&lt;=Setup!$C$16,AND(MONTH(J458)&gt;=Setup!$C$15,MONTH(J458)&lt;=Setup!$C$16),OR(MONTH(J458)&gt;=Setup!$C$15,MONTH(J458)&lt;=Setup!$C$16)),IF(Setup!$C$15&lt;=Setup!$C$16,AND(MONTH(WORKDAY(J458,-(Setup!$C$13+Setup!$G$28),Setup!$C$39:$C$50))&gt;=Setup!$C$15,MONTH(WORKDAY(J458,-(Setup!$C$13+Setup!$G$28),Setup!$C$39:$C$50))&lt;=Setup!$C$16),OR(MONTH(WORKDAY(J458,-(Setup!$C$13+Setup!$G$28),Setup!$C$39:$C$50))&gt;=Setup!$C$15,MONTH(WORKDAY(J458,-(Setup!$C$13+Setup!$G$28),Setup!$C$39:$C$50))&lt;=Setup!$C$16))),WORKDAY(J458,-(Setup!$C$13+Setup!$G$28+Setup!$C$14),Setup!$C$39:$C$50),WORKDAY(J458,-(Setup!$C$13+Setup!$G$28),Setup!$C$39:$C$50))+(453*100+9)/10000000)))</f>
        <v/>
      </c>
      <c r="AA458" t="str">
        <f>IF(K458="","",IF(K458&lt;Setup!$C$5-Setup!$C$6,"",IF(IF(ISNUMBER(Roster!$D458),Setup!$C$29&lt;=Roster!$D458,FALSE),"",IF(OR(IF(Setup!$C$15&lt;=Setup!$C$16,AND(MONTH(K458)&gt;=Setup!$C$15,MONTH(K458)&lt;=Setup!$C$16),OR(MONTH(K458)&gt;=Setup!$C$15,MONTH(K458)&lt;=Setup!$C$16)),IF(Setup!$C$15&lt;=Setup!$C$16,AND(MONTH(WORKDAY(K458,-(Setup!$C$13+Setup!$G$29),Setup!$C$39:$C$50))&gt;=Setup!$C$15,MONTH(WORKDAY(K458,-(Setup!$C$13+Setup!$G$29),Setup!$C$39:$C$50))&lt;=Setup!$C$16),OR(MONTH(WORKDAY(K458,-(Setup!$C$13+Setup!$G$29),Setup!$C$39:$C$50))&gt;=Setup!$C$15,MONTH(WORKDAY(K458,-(Setup!$C$13+Setup!$G$29),Setup!$C$39:$C$50))&lt;=Setup!$C$16))),WORKDAY(K458,-(Setup!$C$13+Setup!$G$29+Setup!$C$14),Setup!$C$39:$C$50),WORKDAY(K458,-(Setup!$C$13+Setup!$G$29),Setup!$C$39:$C$50))+(453*100+10)/10000000)))</f>
        <v/>
      </c>
      <c r="AB458" t="str">
        <f>IF(L458="","",IF(L458&lt;Setup!$C$5-Setup!$C$6,"",IF(IF(ISNUMBER(Roster!$D458),Setup!$C$30&lt;=Roster!$D458,FALSE),"",IF(OR(IF(Setup!$C$15&lt;=Setup!$C$16,AND(MONTH(L458)&gt;=Setup!$C$15,MONTH(L458)&lt;=Setup!$C$16),OR(MONTH(L458)&gt;=Setup!$C$15,MONTH(L458)&lt;=Setup!$C$16)),IF(Setup!$C$15&lt;=Setup!$C$16,AND(MONTH(WORKDAY(L458,-(Setup!$C$13+Setup!$G$30),Setup!$C$39:$C$50))&gt;=Setup!$C$15,MONTH(WORKDAY(L458,-(Setup!$C$13+Setup!$G$30),Setup!$C$39:$C$50))&lt;=Setup!$C$16),OR(MONTH(WORKDAY(L458,-(Setup!$C$13+Setup!$G$30),Setup!$C$39:$C$50))&gt;=Setup!$C$15,MONTH(WORKDAY(L458,-(Setup!$C$13+Setup!$G$30),Setup!$C$39:$C$50))&lt;=Setup!$C$16))),WORKDAY(L458,-(Setup!$C$13+Setup!$G$30+Setup!$C$14),Setup!$C$39:$C$50),WORKDAY(L458,-(Setup!$C$13+Setup!$G$30),Setup!$C$39:$C$50))+(453*100+11)/10000000)))</f>
        <v/>
      </c>
      <c r="AC458" t="str">
        <f>IF(M458="","",IF(M458&lt;Setup!$C$5-Setup!$C$6,"",IF(IF(ISNUMBER(Roster!$D458),Setup!$C$31&lt;=Roster!$D458,FALSE),"",IF(OR(IF(Setup!$C$15&lt;=Setup!$C$16,AND(MONTH(M458)&gt;=Setup!$C$15,MONTH(M458)&lt;=Setup!$C$16),OR(MONTH(M458)&gt;=Setup!$C$15,MONTH(M458)&lt;=Setup!$C$16)),IF(Setup!$C$15&lt;=Setup!$C$16,AND(MONTH(WORKDAY(M458,-(Setup!$C$13+Setup!$G$31),Setup!$C$39:$C$50))&gt;=Setup!$C$15,MONTH(WORKDAY(M458,-(Setup!$C$13+Setup!$G$31),Setup!$C$39:$C$50))&lt;=Setup!$C$16),OR(MONTH(WORKDAY(M458,-(Setup!$C$13+Setup!$G$31),Setup!$C$39:$C$50))&gt;=Setup!$C$15,MONTH(WORKDAY(M458,-(Setup!$C$13+Setup!$G$31),Setup!$C$39:$C$50))&lt;=Setup!$C$16))),WORKDAY(M458,-(Setup!$C$13+Setup!$G$31+Setup!$C$14),Setup!$C$39:$C$50),WORKDAY(M458,-(Setup!$C$13+Setup!$G$31),Setup!$C$39:$C$50))+(453*100+12)/10000000)))</f>
        <v/>
      </c>
      <c r="AD458" t="str">
        <f>IF(N458="","",IF(N458&lt;Setup!$C$5-Setup!$C$6,"",IF(IF(ISNUMBER(Roster!$D458),Setup!$C$32&lt;=Roster!$D458,FALSE),"",IF(OR(IF(Setup!$C$15&lt;=Setup!$C$16,AND(MONTH(N458)&gt;=Setup!$C$15,MONTH(N458)&lt;=Setup!$C$16),OR(MONTH(N458)&gt;=Setup!$C$15,MONTH(N458)&lt;=Setup!$C$16)),IF(Setup!$C$15&lt;=Setup!$C$16,AND(MONTH(WORKDAY(N458,-(Setup!$C$13+Setup!$G$32),Setup!$C$39:$C$50))&gt;=Setup!$C$15,MONTH(WORKDAY(N458,-(Setup!$C$13+Setup!$G$32),Setup!$C$39:$C$50))&lt;=Setup!$C$16),OR(MONTH(WORKDAY(N458,-(Setup!$C$13+Setup!$G$32),Setup!$C$39:$C$50))&gt;=Setup!$C$15,MONTH(WORKDAY(N458,-(Setup!$C$13+Setup!$G$32),Setup!$C$39:$C$50))&lt;=Setup!$C$16))),WORKDAY(N458,-(Setup!$C$13+Setup!$G$32+Setup!$C$14),Setup!$C$39:$C$50),WORKDAY(N458,-(Setup!$C$13+Setup!$G$32),Setup!$C$39:$C$50))+(453*100+13)/10000000)))</f>
        <v/>
      </c>
      <c r="AE458" t="str">
        <f>IF(O458="","",IF(O458&lt;Setup!$C$5-Setup!$C$6,"",IF(IF(ISNUMBER(Roster!$D458),Setup!$C$33&lt;=Roster!$D458,FALSE),"",IF(OR(IF(Setup!$C$15&lt;=Setup!$C$16,AND(MONTH(O458)&gt;=Setup!$C$15,MONTH(O458)&lt;=Setup!$C$16),OR(MONTH(O458)&gt;=Setup!$C$15,MONTH(O458)&lt;=Setup!$C$16)),IF(Setup!$C$15&lt;=Setup!$C$16,AND(MONTH(WORKDAY(O458,-(Setup!$C$13+Setup!$G$33),Setup!$C$39:$C$50))&gt;=Setup!$C$15,MONTH(WORKDAY(O458,-(Setup!$C$13+Setup!$G$33),Setup!$C$39:$C$50))&lt;=Setup!$C$16),OR(MONTH(WORKDAY(O458,-(Setup!$C$13+Setup!$G$33),Setup!$C$39:$C$50))&gt;=Setup!$C$15,MONTH(WORKDAY(O458,-(Setup!$C$13+Setup!$G$33),Setup!$C$39:$C$50))&lt;=Setup!$C$16))),WORKDAY(O458,-(Setup!$C$13+Setup!$G$33+Setup!$C$14),Setup!$C$39:$C$50),WORKDAY(O458,-(Setup!$C$13+Setup!$G$33),Setup!$C$39:$C$50))+(453*100+14)/10000000)))</f>
        <v/>
      </c>
      <c r="AF458" t="str">
        <f>IF(P458="","",IF(P458&lt;Setup!$C$5-Setup!$C$6,"",IF(IF(ISNUMBER(Roster!$D458),Setup!$C$34&lt;=Roster!$D458,FALSE),"",IF(OR(IF(Setup!$C$15&lt;=Setup!$C$16,AND(MONTH(P458)&gt;=Setup!$C$15,MONTH(P458)&lt;=Setup!$C$16),OR(MONTH(P458)&gt;=Setup!$C$15,MONTH(P458)&lt;=Setup!$C$16)),IF(Setup!$C$15&lt;=Setup!$C$16,AND(MONTH(WORKDAY(P458,-(Setup!$C$13+Setup!$G$34),Setup!$C$39:$C$50))&gt;=Setup!$C$15,MONTH(WORKDAY(P458,-(Setup!$C$13+Setup!$G$34),Setup!$C$39:$C$50))&lt;=Setup!$C$16),OR(MONTH(WORKDAY(P458,-(Setup!$C$13+Setup!$G$34),Setup!$C$39:$C$50))&gt;=Setup!$C$15,MONTH(WORKDAY(P458,-(Setup!$C$13+Setup!$G$34),Setup!$C$39:$C$50))&lt;=Setup!$C$16))),WORKDAY(P458,-(Setup!$C$13+Setup!$G$34+Setup!$C$14),Setup!$C$39:$C$50),WORKDAY(P458,-(Setup!$C$13+Setup!$G$34),Setup!$C$39:$C$50))+(453*100+15)/10000000)))</f>
        <v/>
      </c>
      <c r="AH458" t="str">
        <f t="shared" si="51"/>
        <v/>
      </c>
      <c r="AI458" t="str">
        <f t="shared" si="52"/>
        <v/>
      </c>
      <c r="AP458" t="str">
        <f>IF(ISNUMBER(Roster!$B458),MAX(1,YEAR(Setup!$C$5)-YEAR(Roster!$B458)+IF(EDATE(Roster!$B458,12*(YEAR(Setup!$C$5)-YEAR(Roster!$B458)))&lt;Setup!$C$5,1,0)),"")</f>
        <v/>
      </c>
      <c r="AQ458" s="32" t="str">
        <f>IF(AP458="","",EDATE(Roster!$B458,12*AP458))</f>
        <v/>
      </c>
      <c r="AR458" t="str">
        <f>IF(AQ458="","",IF(AQ458&lt;DATE(YEAR(Setup!$C$5)+1,MONTH(Setup!$C$5),DAY(Setup!$C$5)),AQ458+453/1000,""))</f>
        <v/>
      </c>
      <c r="AS458" t="str">
        <f t="shared" si="53"/>
        <v/>
      </c>
      <c r="AT458" t="str">
        <f>IF(AS458="","",IF(ISNUMBER(Roster!$D458),Roster!$D458&gt;=AP458,FALSE))</f>
        <v/>
      </c>
      <c r="AU458" t="str">
        <f t="shared" si="54"/>
        <v/>
      </c>
      <c r="AV458" t="str">
        <f ca="1">IF(453&gt;$AV$2,"",SMALL($AR$6:$AR$505,453))</f>
        <v/>
      </c>
      <c r="AW458" t="str">
        <f t="shared" ca="1" si="55"/>
        <v/>
      </c>
    </row>
    <row r="459" spans="2:49" x14ac:dyDescent="0.2">
      <c r="B459" s="32" t="str">
        <f>IF(AND(ISNUMBER(Roster!$B459),Setup!$B$20="Yes",ISNUMBER(Setup!$C$20)),EDATE(Roster!$B459,12*Setup!$C$20),"")</f>
        <v/>
      </c>
      <c r="C459" s="32" t="str">
        <f>IF(AND(ISNUMBER(Roster!$B459),Setup!$B$21="Yes",ISNUMBER(Setup!$C$21)),EDATE(Roster!$B459,12*Setup!$C$21),"")</f>
        <v/>
      </c>
      <c r="D459" s="32" t="str">
        <f>IF(AND(ISNUMBER(Roster!$B459),Setup!$B$22="Yes",ISNUMBER(Setup!$C$22)),EDATE(Roster!$B459,12*Setup!$C$22),"")</f>
        <v/>
      </c>
      <c r="E459" s="32" t="str">
        <f>IF(AND(ISNUMBER(Roster!$B459),Setup!$B$23="Yes",ISNUMBER(Setup!$C$23)),EDATE(Roster!$B459,12*Setup!$C$23),"")</f>
        <v/>
      </c>
      <c r="F459" s="32" t="str">
        <f>IF(AND(ISNUMBER(Roster!$B459),Setup!$B$24="Yes",ISNUMBER(Setup!$C$24)),EDATE(Roster!$B459,12*Setup!$C$24),"")</f>
        <v/>
      </c>
      <c r="G459" s="32" t="str">
        <f>IF(AND(ISNUMBER(Roster!$B459),Setup!$B$25="Yes",ISNUMBER(Setup!$C$25)),EDATE(Roster!$B459,12*Setup!$C$25),"")</f>
        <v/>
      </c>
      <c r="H459" s="32" t="str">
        <f>IF(AND(ISNUMBER(Roster!$B459),Setup!$B$26="Yes",ISNUMBER(Setup!$C$26)),EDATE(Roster!$B459,12*Setup!$C$26),"")</f>
        <v/>
      </c>
      <c r="I459" s="32" t="str">
        <f>IF(AND(ISNUMBER(Roster!$B459),Setup!$B$27="Yes",ISNUMBER(Setup!$C$27)),EDATE(Roster!$B459,12*Setup!$C$27),"")</f>
        <v/>
      </c>
      <c r="J459" s="32" t="str">
        <f>IF(AND(ISNUMBER(Roster!$B459),Setup!$B$28="Yes",ISNUMBER(Setup!$C$28)),EDATE(Roster!$B459,12*Setup!$C$28),"")</f>
        <v/>
      </c>
      <c r="K459" s="32" t="str">
        <f>IF(AND(ISNUMBER(Roster!$B459),Setup!$B$29="Yes",ISNUMBER(Setup!$C$29)),EDATE(Roster!$B459,12*Setup!$C$29),"")</f>
        <v/>
      </c>
      <c r="L459" s="32" t="str">
        <f>IF(AND(ISNUMBER(Roster!$B459),Setup!$B$30="Yes",ISNUMBER(Setup!$C$30)),EDATE(Roster!$B459,12*Setup!$C$30),"")</f>
        <v/>
      </c>
      <c r="M459" s="32" t="str">
        <f>IF(AND(ISNUMBER(Roster!$B459),Setup!$B$31="Yes",ISNUMBER(Setup!$C$31)),EDATE(Roster!$B459,12*Setup!$C$31),"")</f>
        <v/>
      </c>
      <c r="N459" s="32" t="str">
        <f>IF(AND(ISNUMBER(Roster!$B459),Setup!$B$32="Yes",ISNUMBER(Setup!$C$32)),EDATE(Roster!$B459,12*Setup!$C$32),"")</f>
        <v/>
      </c>
      <c r="O459" s="32" t="str">
        <f>IF(AND(ISNUMBER(Roster!$B459),Setup!$B$33="Yes",ISNUMBER(Setup!$C$33)),EDATE(Roster!$B459,12*Setup!$C$33),"")</f>
        <v/>
      </c>
      <c r="P459" s="32" t="str">
        <f>IF(AND(ISNUMBER(Roster!$B459),Setup!$B$34="Yes",ISNUMBER(Setup!$C$34)),EDATE(Roster!$B459,12*Setup!$C$34),"")</f>
        <v/>
      </c>
      <c r="R459" t="str">
        <f>IF(B459="","",IF(B459&lt;Setup!$C$5-Setup!$C$6,"",IF(IF(ISNUMBER(Roster!$D459),Setup!$C$20&lt;=Roster!$D459,FALSE),"",IF(OR(IF(Setup!$C$15&lt;=Setup!$C$16,AND(MONTH(B459)&gt;=Setup!$C$15,MONTH(B459)&lt;=Setup!$C$16),OR(MONTH(B459)&gt;=Setup!$C$15,MONTH(B459)&lt;=Setup!$C$16)),IF(Setup!$C$15&lt;=Setup!$C$16,AND(MONTH(WORKDAY(B459,-(Setup!$C$13+Setup!$G$20),Setup!$C$39:$C$50))&gt;=Setup!$C$15,MONTH(WORKDAY(B459,-(Setup!$C$13+Setup!$G$20),Setup!$C$39:$C$50))&lt;=Setup!$C$16),OR(MONTH(WORKDAY(B459,-(Setup!$C$13+Setup!$G$20),Setup!$C$39:$C$50))&gt;=Setup!$C$15,MONTH(WORKDAY(B459,-(Setup!$C$13+Setup!$G$20),Setup!$C$39:$C$50))&lt;=Setup!$C$16))),WORKDAY(B459,-(Setup!$C$13+Setup!$G$20+Setup!$C$14),Setup!$C$39:$C$50),WORKDAY(B459,-(Setup!$C$13+Setup!$G$20),Setup!$C$39:$C$50))+(454*100+1)/10000000)))</f>
        <v/>
      </c>
      <c r="S459" t="str">
        <f>IF(C459="","",IF(C459&lt;Setup!$C$5-Setup!$C$6,"",IF(IF(ISNUMBER(Roster!$D459),Setup!$C$21&lt;=Roster!$D459,FALSE),"",IF(OR(IF(Setup!$C$15&lt;=Setup!$C$16,AND(MONTH(C459)&gt;=Setup!$C$15,MONTH(C459)&lt;=Setup!$C$16),OR(MONTH(C459)&gt;=Setup!$C$15,MONTH(C459)&lt;=Setup!$C$16)),IF(Setup!$C$15&lt;=Setup!$C$16,AND(MONTH(WORKDAY(C459,-(Setup!$C$13+Setup!$G$21),Setup!$C$39:$C$50))&gt;=Setup!$C$15,MONTH(WORKDAY(C459,-(Setup!$C$13+Setup!$G$21),Setup!$C$39:$C$50))&lt;=Setup!$C$16),OR(MONTH(WORKDAY(C459,-(Setup!$C$13+Setup!$G$21),Setup!$C$39:$C$50))&gt;=Setup!$C$15,MONTH(WORKDAY(C459,-(Setup!$C$13+Setup!$G$21),Setup!$C$39:$C$50))&lt;=Setup!$C$16))),WORKDAY(C459,-(Setup!$C$13+Setup!$G$21+Setup!$C$14),Setup!$C$39:$C$50),WORKDAY(C459,-(Setup!$C$13+Setup!$G$21),Setup!$C$39:$C$50))+(454*100+2)/10000000)))</f>
        <v/>
      </c>
      <c r="T459" t="str">
        <f>IF(D459="","",IF(D459&lt;Setup!$C$5-Setup!$C$6,"",IF(IF(ISNUMBER(Roster!$D459),Setup!$C$22&lt;=Roster!$D459,FALSE),"",IF(OR(IF(Setup!$C$15&lt;=Setup!$C$16,AND(MONTH(D459)&gt;=Setup!$C$15,MONTH(D459)&lt;=Setup!$C$16),OR(MONTH(D459)&gt;=Setup!$C$15,MONTH(D459)&lt;=Setup!$C$16)),IF(Setup!$C$15&lt;=Setup!$C$16,AND(MONTH(WORKDAY(D459,-(Setup!$C$13+Setup!$G$22),Setup!$C$39:$C$50))&gt;=Setup!$C$15,MONTH(WORKDAY(D459,-(Setup!$C$13+Setup!$G$22),Setup!$C$39:$C$50))&lt;=Setup!$C$16),OR(MONTH(WORKDAY(D459,-(Setup!$C$13+Setup!$G$22),Setup!$C$39:$C$50))&gt;=Setup!$C$15,MONTH(WORKDAY(D459,-(Setup!$C$13+Setup!$G$22),Setup!$C$39:$C$50))&lt;=Setup!$C$16))),WORKDAY(D459,-(Setup!$C$13+Setup!$G$22+Setup!$C$14),Setup!$C$39:$C$50),WORKDAY(D459,-(Setup!$C$13+Setup!$G$22),Setup!$C$39:$C$50))+(454*100+3)/10000000)))</f>
        <v/>
      </c>
      <c r="U459" t="str">
        <f>IF(E459="","",IF(E459&lt;Setup!$C$5-Setup!$C$6,"",IF(IF(ISNUMBER(Roster!$D459),Setup!$C$23&lt;=Roster!$D459,FALSE),"",IF(OR(IF(Setup!$C$15&lt;=Setup!$C$16,AND(MONTH(E459)&gt;=Setup!$C$15,MONTH(E459)&lt;=Setup!$C$16),OR(MONTH(E459)&gt;=Setup!$C$15,MONTH(E459)&lt;=Setup!$C$16)),IF(Setup!$C$15&lt;=Setup!$C$16,AND(MONTH(WORKDAY(E459,-(Setup!$C$13+Setup!$G$23),Setup!$C$39:$C$50))&gt;=Setup!$C$15,MONTH(WORKDAY(E459,-(Setup!$C$13+Setup!$G$23),Setup!$C$39:$C$50))&lt;=Setup!$C$16),OR(MONTH(WORKDAY(E459,-(Setup!$C$13+Setup!$G$23),Setup!$C$39:$C$50))&gt;=Setup!$C$15,MONTH(WORKDAY(E459,-(Setup!$C$13+Setup!$G$23),Setup!$C$39:$C$50))&lt;=Setup!$C$16))),WORKDAY(E459,-(Setup!$C$13+Setup!$G$23+Setup!$C$14),Setup!$C$39:$C$50),WORKDAY(E459,-(Setup!$C$13+Setup!$G$23),Setup!$C$39:$C$50))+(454*100+4)/10000000)))</f>
        <v/>
      </c>
      <c r="V459" t="str">
        <f>IF(F459="","",IF(F459&lt;Setup!$C$5-Setup!$C$6,"",IF(IF(ISNUMBER(Roster!$D459),Setup!$C$24&lt;=Roster!$D459,FALSE),"",IF(OR(IF(Setup!$C$15&lt;=Setup!$C$16,AND(MONTH(F459)&gt;=Setup!$C$15,MONTH(F459)&lt;=Setup!$C$16),OR(MONTH(F459)&gt;=Setup!$C$15,MONTH(F459)&lt;=Setup!$C$16)),IF(Setup!$C$15&lt;=Setup!$C$16,AND(MONTH(WORKDAY(F459,-(Setup!$C$13+Setup!$G$24),Setup!$C$39:$C$50))&gt;=Setup!$C$15,MONTH(WORKDAY(F459,-(Setup!$C$13+Setup!$G$24),Setup!$C$39:$C$50))&lt;=Setup!$C$16),OR(MONTH(WORKDAY(F459,-(Setup!$C$13+Setup!$G$24),Setup!$C$39:$C$50))&gt;=Setup!$C$15,MONTH(WORKDAY(F459,-(Setup!$C$13+Setup!$G$24),Setup!$C$39:$C$50))&lt;=Setup!$C$16))),WORKDAY(F459,-(Setup!$C$13+Setup!$G$24+Setup!$C$14),Setup!$C$39:$C$50),WORKDAY(F459,-(Setup!$C$13+Setup!$G$24),Setup!$C$39:$C$50))+(454*100+5)/10000000)))</f>
        <v/>
      </c>
      <c r="W459" t="str">
        <f>IF(G459="","",IF(G459&lt;Setup!$C$5-Setup!$C$6,"",IF(IF(ISNUMBER(Roster!$D459),Setup!$C$25&lt;=Roster!$D459,FALSE),"",IF(OR(IF(Setup!$C$15&lt;=Setup!$C$16,AND(MONTH(G459)&gt;=Setup!$C$15,MONTH(G459)&lt;=Setup!$C$16),OR(MONTH(G459)&gt;=Setup!$C$15,MONTH(G459)&lt;=Setup!$C$16)),IF(Setup!$C$15&lt;=Setup!$C$16,AND(MONTH(WORKDAY(G459,-(Setup!$C$13+Setup!$G$25),Setup!$C$39:$C$50))&gt;=Setup!$C$15,MONTH(WORKDAY(G459,-(Setup!$C$13+Setup!$G$25),Setup!$C$39:$C$50))&lt;=Setup!$C$16),OR(MONTH(WORKDAY(G459,-(Setup!$C$13+Setup!$G$25),Setup!$C$39:$C$50))&gt;=Setup!$C$15,MONTH(WORKDAY(G459,-(Setup!$C$13+Setup!$G$25),Setup!$C$39:$C$50))&lt;=Setup!$C$16))),WORKDAY(G459,-(Setup!$C$13+Setup!$G$25+Setup!$C$14),Setup!$C$39:$C$50),WORKDAY(G459,-(Setup!$C$13+Setup!$G$25),Setup!$C$39:$C$50))+(454*100+6)/10000000)))</f>
        <v/>
      </c>
      <c r="X459" t="str">
        <f>IF(H459="","",IF(H459&lt;Setup!$C$5-Setup!$C$6,"",IF(IF(ISNUMBER(Roster!$D459),Setup!$C$26&lt;=Roster!$D459,FALSE),"",IF(OR(IF(Setup!$C$15&lt;=Setup!$C$16,AND(MONTH(H459)&gt;=Setup!$C$15,MONTH(H459)&lt;=Setup!$C$16),OR(MONTH(H459)&gt;=Setup!$C$15,MONTH(H459)&lt;=Setup!$C$16)),IF(Setup!$C$15&lt;=Setup!$C$16,AND(MONTH(WORKDAY(H459,-(Setup!$C$13+Setup!$G$26),Setup!$C$39:$C$50))&gt;=Setup!$C$15,MONTH(WORKDAY(H459,-(Setup!$C$13+Setup!$G$26),Setup!$C$39:$C$50))&lt;=Setup!$C$16),OR(MONTH(WORKDAY(H459,-(Setup!$C$13+Setup!$G$26),Setup!$C$39:$C$50))&gt;=Setup!$C$15,MONTH(WORKDAY(H459,-(Setup!$C$13+Setup!$G$26),Setup!$C$39:$C$50))&lt;=Setup!$C$16))),WORKDAY(H459,-(Setup!$C$13+Setup!$G$26+Setup!$C$14),Setup!$C$39:$C$50),WORKDAY(H459,-(Setup!$C$13+Setup!$G$26),Setup!$C$39:$C$50))+(454*100+7)/10000000)))</f>
        <v/>
      </c>
      <c r="Y459" t="str">
        <f>IF(I459="","",IF(I459&lt;Setup!$C$5-Setup!$C$6,"",IF(IF(ISNUMBER(Roster!$D459),Setup!$C$27&lt;=Roster!$D459,FALSE),"",IF(OR(IF(Setup!$C$15&lt;=Setup!$C$16,AND(MONTH(I459)&gt;=Setup!$C$15,MONTH(I459)&lt;=Setup!$C$16),OR(MONTH(I459)&gt;=Setup!$C$15,MONTH(I459)&lt;=Setup!$C$16)),IF(Setup!$C$15&lt;=Setup!$C$16,AND(MONTH(WORKDAY(I459,-(Setup!$C$13+Setup!$G$27),Setup!$C$39:$C$50))&gt;=Setup!$C$15,MONTH(WORKDAY(I459,-(Setup!$C$13+Setup!$G$27),Setup!$C$39:$C$50))&lt;=Setup!$C$16),OR(MONTH(WORKDAY(I459,-(Setup!$C$13+Setup!$G$27),Setup!$C$39:$C$50))&gt;=Setup!$C$15,MONTH(WORKDAY(I459,-(Setup!$C$13+Setup!$G$27),Setup!$C$39:$C$50))&lt;=Setup!$C$16))),WORKDAY(I459,-(Setup!$C$13+Setup!$G$27+Setup!$C$14),Setup!$C$39:$C$50),WORKDAY(I459,-(Setup!$C$13+Setup!$G$27),Setup!$C$39:$C$50))+(454*100+8)/10000000)))</f>
        <v/>
      </c>
      <c r="Z459" t="str">
        <f>IF(J459="","",IF(J459&lt;Setup!$C$5-Setup!$C$6,"",IF(IF(ISNUMBER(Roster!$D459),Setup!$C$28&lt;=Roster!$D459,FALSE),"",IF(OR(IF(Setup!$C$15&lt;=Setup!$C$16,AND(MONTH(J459)&gt;=Setup!$C$15,MONTH(J459)&lt;=Setup!$C$16),OR(MONTH(J459)&gt;=Setup!$C$15,MONTH(J459)&lt;=Setup!$C$16)),IF(Setup!$C$15&lt;=Setup!$C$16,AND(MONTH(WORKDAY(J459,-(Setup!$C$13+Setup!$G$28),Setup!$C$39:$C$50))&gt;=Setup!$C$15,MONTH(WORKDAY(J459,-(Setup!$C$13+Setup!$G$28),Setup!$C$39:$C$50))&lt;=Setup!$C$16),OR(MONTH(WORKDAY(J459,-(Setup!$C$13+Setup!$G$28),Setup!$C$39:$C$50))&gt;=Setup!$C$15,MONTH(WORKDAY(J459,-(Setup!$C$13+Setup!$G$28),Setup!$C$39:$C$50))&lt;=Setup!$C$16))),WORKDAY(J459,-(Setup!$C$13+Setup!$G$28+Setup!$C$14),Setup!$C$39:$C$50),WORKDAY(J459,-(Setup!$C$13+Setup!$G$28),Setup!$C$39:$C$50))+(454*100+9)/10000000)))</f>
        <v/>
      </c>
      <c r="AA459" t="str">
        <f>IF(K459="","",IF(K459&lt;Setup!$C$5-Setup!$C$6,"",IF(IF(ISNUMBER(Roster!$D459),Setup!$C$29&lt;=Roster!$D459,FALSE),"",IF(OR(IF(Setup!$C$15&lt;=Setup!$C$16,AND(MONTH(K459)&gt;=Setup!$C$15,MONTH(K459)&lt;=Setup!$C$16),OR(MONTH(K459)&gt;=Setup!$C$15,MONTH(K459)&lt;=Setup!$C$16)),IF(Setup!$C$15&lt;=Setup!$C$16,AND(MONTH(WORKDAY(K459,-(Setup!$C$13+Setup!$G$29),Setup!$C$39:$C$50))&gt;=Setup!$C$15,MONTH(WORKDAY(K459,-(Setup!$C$13+Setup!$G$29),Setup!$C$39:$C$50))&lt;=Setup!$C$16),OR(MONTH(WORKDAY(K459,-(Setup!$C$13+Setup!$G$29),Setup!$C$39:$C$50))&gt;=Setup!$C$15,MONTH(WORKDAY(K459,-(Setup!$C$13+Setup!$G$29),Setup!$C$39:$C$50))&lt;=Setup!$C$16))),WORKDAY(K459,-(Setup!$C$13+Setup!$G$29+Setup!$C$14),Setup!$C$39:$C$50),WORKDAY(K459,-(Setup!$C$13+Setup!$G$29),Setup!$C$39:$C$50))+(454*100+10)/10000000)))</f>
        <v/>
      </c>
      <c r="AB459" t="str">
        <f>IF(L459="","",IF(L459&lt;Setup!$C$5-Setup!$C$6,"",IF(IF(ISNUMBER(Roster!$D459),Setup!$C$30&lt;=Roster!$D459,FALSE),"",IF(OR(IF(Setup!$C$15&lt;=Setup!$C$16,AND(MONTH(L459)&gt;=Setup!$C$15,MONTH(L459)&lt;=Setup!$C$16),OR(MONTH(L459)&gt;=Setup!$C$15,MONTH(L459)&lt;=Setup!$C$16)),IF(Setup!$C$15&lt;=Setup!$C$16,AND(MONTH(WORKDAY(L459,-(Setup!$C$13+Setup!$G$30),Setup!$C$39:$C$50))&gt;=Setup!$C$15,MONTH(WORKDAY(L459,-(Setup!$C$13+Setup!$G$30),Setup!$C$39:$C$50))&lt;=Setup!$C$16),OR(MONTH(WORKDAY(L459,-(Setup!$C$13+Setup!$G$30),Setup!$C$39:$C$50))&gt;=Setup!$C$15,MONTH(WORKDAY(L459,-(Setup!$C$13+Setup!$G$30),Setup!$C$39:$C$50))&lt;=Setup!$C$16))),WORKDAY(L459,-(Setup!$C$13+Setup!$G$30+Setup!$C$14),Setup!$C$39:$C$50),WORKDAY(L459,-(Setup!$C$13+Setup!$G$30),Setup!$C$39:$C$50))+(454*100+11)/10000000)))</f>
        <v/>
      </c>
      <c r="AC459" t="str">
        <f>IF(M459="","",IF(M459&lt;Setup!$C$5-Setup!$C$6,"",IF(IF(ISNUMBER(Roster!$D459),Setup!$C$31&lt;=Roster!$D459,FALSE),"",IF(OR(IF(Setup!$C$15&lt;=Setup!$C$16,AND(MONTH(M459)&gt;=Setup!$C$15,MONTH(M459)&lt;=Setup!$C$16),OR(MONTH(M459)&gt;=Setup!$C$15,MONTH(M459)&lt;=Setup!$C$16)),IF(Setup!$C$15&lt;=Setup!$C$16,AND(MONTH(WORKDAY(M459,-(Setup!$C$13+Setup!$G$31),Setup!$C$39:$C$50))&gt;=Setup!$C$15,MONTH(WORKDAY(M459,-(Setup!$C$13+Setup!$G$31),Setup!$C$39:$C$50))&lt;=Setup!$C$16),OR(MONTH(WORKDAY(M459,-(Setup!$C$13+Setup!$G$31),Setup!$C$39:$C$50))&gt;=Setup!$C$15,MONTH(WORKDAY(M459,-(Setup!$C$13+Setup!$G$31),Setup!$C$39:$C$50))&lt;=Setup!$C$16))),WORKDAY(M459,-(Setup!$C$13+Setup!$G$31+Setup!$C$14),Setup!$C$39:$C$50),WORKDAY(M459,-(Setup!$C$13+Setup!$G$31),Setup!$C$39:$C$50))+(454*100+12)/10000000)))</f>
        <v/>
      </c>
      <c r="AD459" t="str">
        <f>IF(N459="","",IF(N459&lt;Setup!$C$5-Setup!$C$6,"",IF(IF(ISNUMBER(Roster!$D459),Setup!$C$32&lt;=Roster!$D459,FALSE),"",IF(OR(IF(Setup!$C$15&lt;=Setup!$C$16,AND(MONTH(N459)&gt;=Setup!$C$15,MONTH(N459)&lt;=Setup!$C$16),OR(MONTH(N459)&gt;=Setup!$C$15,MONTH(N459)&lt;=Setup!$C$16)),IF(Setup!$C$15&lt;=Setup!$C$16,AND(MONTH(WORKDAY(N459,-(Setup!$C$13+Setup!$G$32),Setup!$C$39:$C$50))&gt;=Setup!$C$15,MONTH(WORKDAY(N459,-(Setup!$C$13+Setup!$G$32),Setup!$C$39:$C$50))&lt;=Setup!$C$16),OR(MONTH(WORKDAY(N459,-(Setup!$C$13+Setup!$G$32),Setup!$C$39:$C$50))&gt;=Setup!$C$15,MONTH(WORKDAY(N459,-(Setup!$C$13+Setup!$G$32),Setup!$C$39:$C$50))&lt;=Setup!$C$16))),WORKDAY(N459,-(Setup!$C$13+Setup!$G$32+Setup!$C$14),Setup!$C$39:$C$50),WORKDAY(N459,-(Setup!$C$13+Setup!$G$32),Setup!$C$39:$C$50))+(454*100+13)/10000000)))</f>
        <v/>
      </c>
      <c r="AE459" t="str">
        <f>IF(O459="","",IF(O459&lt;Setup!$C$5-Setup!$C$6,"",IF(IF(ISNUMBER(Roster!$D459),Setup!$C$33&lt;=Roster!$D459,FALSE),"",IF(OR(IF(Setup!$C$15&lt;=Setup!$C$16,AND(MONTH(O459)&gt;=Setup!$C$15,MONTH(O459)&lt;=Setup!$C$16),OR(MONTH(O459)&gt;=Setup!$C$15,MONTH(O459)&lt;=Setup!$C$16)),IF(Setup!$C$15&lt;=Setup!$C$16,AND(MONTH(WORKDAY(O459,-(Setup!$C$13+Setup!$G$33),Setup!$C$39:$C$50))&gt;=Setup!$C$15,MONTH(WORKDAY(O459,-(Setup!$C$13+Setup!$G$33),Setup!$C$39:$C$50))&lt;=Setup!$C$16),OR(MONTH(WORKDAY(O459,-(Setup!$C$13+Setup!$G$33),Setup!$C$39:$C$50))&gt;=Setup!$C$15,MONTH(WORKDAY(O459,-(Setup!$C$13+Setup!$G$33),Setup!$C$39:$C$50))&lt;=Setup!$C$16))),WORKDAY(O459,-(Setup!$C$13+Setup!$G$33+Setup!$C$14),Setup!$C$39:$C$50),WORKDAY(O459,-(Setup!$C$13+Setup!$G$33),Setup!$C$39:$C$50))+(454*100+14)/10000000)))</f>
        <v/>
      </c>
      <c r="AF459" t="str">
        <f>IF(P459="","",IF(P459&lt;Setup!$C$5-Setup!$C$6,"",IF(IF(ISNUMBER(Roster!$D459),Setup!$C$34&lt;=Roster!$D459,FALSE),"",IF(OR(IF(Setup!$C$15&lt;=Setup!$C$16,AND(MONTH(P459)&gt;=Setup!$C$15,MONTH(P459)&lt;=Setup!$C$16),OR(MONTH(P459)&gt;=Setup!$C$15,MONTH(P459)&lt;=Setup!$C$16)),IF(Setup!$C$15&lt;=Setup!$C$16,AND(MONTH(WORKDAY(P459,-(Setup!$C$13+Setup!$G$34),Setup!$C$39:$C$50))&gt;=Setup!$C$15,MONTH(WORKDAY(P459,-(Setup!$C$13+Setup!$G$34),Setup!$C$39:$C$50))&lt;=Setup!$C$16),OR(MONTH(WORKDAY(P459,-(Setup!$C$13+Setup!$G$34),Setup!$C$39:$C$50))&gt;=Setup!$C$15,MONTH(WORKDAY(P459,-(Setup!$C$13+Setup!$G$34),Setup!$C$39:$C$50))&lt;=Setup!$C$16))),WORKDAY(P459,-(Setup!$C$13+Setup!$G$34+Setup!$C$14),Setup!$C$39:$C$50),WORKDAY(P459,-(Setup!$C$13+Setup!$G$34),Setup!$C$39:$C$50))+(454*100+15)/10000000)))</f>
        <v/>
      </c>
      <c r="AH459" t="str">
        <f t="shared" si="51"/>
        <v/>
      </c>
      <c r="AI459" t="str">
        <f t="shared" si="52"/>
        <v/>
      </c>
      <c r="AP459" t="str">
        <f>IF(ISNUMBER(Roster!$B459),MAX(1,YEAR(Setup!$C$5)-YEAR(Roster!$B459)+IF(EDATE(Roster!$B459,12*(YEAR(Setup!$C$5)-YEAR(Roster!$B459)))&lt;Setup!$C$5,1,0)),"")</f>
        <v/>
      </c>
      <c r="AQ459" s="32" t="str">
        <f>IF(AP459="","",EDATE(Roster!$B459,12*AP459))</f>
        <v/>
      </c>
      <c r="AR459" t="str">
        <f>IF(AQ459="","",IF(AQ459&lt;DATE(YEAR(Setup!$C$5)+1,MONTH(Setup!$C$5),DAY(Setup!$C$5)),AQ459+454/1000,""))</f>
        <v/>
      </c>
      <c r="AS459" t="str">
        <f t="shared" si="53"/>
        <v/>
      </c>
      <c r="AT459" t="str">
        <f>IF(AS459="","",IF(ISNUMBER(Roster!$D459),Roster!$D459&gt;=AP459,FALSE))</f>
        <v/>
      </c>
      <c r="AU459" t="str">
        <f t="shared" si="54"/>
        <v/>
      </c>
      <c r="AV459" t="str">
        <f ca="1">IF(454&gt;$AV$2,"",SMALL($AR$6:$AR$505,454))</f>
        <v/>
      </c>
      <c r="AW459" t="str">
        <f t="shared" ca="1" si="55"/>
        <v/>
      </c>
    </row>
    <row r="460" spans="2:49" x14ac:dyDescent="0.2">
      <c r="B460" s="32" t="str">
        <f>IF(AND(ISNUMBER(Roster!$B460),Setup!$B$20="Yes",ISNUMBER(Setup!$C$20)),EDATE(Roster!$B460,12*Setup!$C$20),"")</f>
        <v/>
      </c>
      <c r="C460" s="32" t="str">
        <f>IF(AND(ISNUMBER(Roster!$B460),Setup!$B$21="Yes",ISNUMBER(Setup!$C$21)),EDATE(Roster!$B460,12*Setup!$C$21),"")</f>
        <v/>
      </c>
      <c r="D460" s="32" t="str">
        <f>IF(AND(ISNUMBER(Roster!$B460),Setup!$B$22="Yes",ISNUMBER(Setup!$C$22)),EDATE(Roster!$B460,12*Setup!$C$22),"")</f>
        <v/>
      </c>
      <c r="E460" s="32" t="str">
        <f>IF(AND(ISNUMBER(Roster!$B460),Setup!$B$23="Yes",ISNUMBER(Setup!$C$23)),EDATE(Roster!$B460,12*Setup!$C$23),"")</f>
        <v/>
      </c>
      <c r="F460" s="32" t="str">
        <f>IF(AND(ISNUMBER(Roster!$B460),Setup!$B$24="Yes",ISNUMBER(Setup!$C$24)),EDATE(Roster!$B460,12*Setup!$C$24),"")</f>
        <v/>
      </c>
      <c r="G460" s="32" t="str">
        <f>IF(AND(ISNUMBER(Roster!$B460),Setup!$B$25="Yes",ISNUMBER(Setup!$C$25)),EDATE(Roster!$B460,12*Setup!$C$25),"")</f>
        <v/>
      </c>
      <c r="H460" s="32" t="str">
        <f>IF(AND(ISNUMBER(Roster!$B460),Setup!$B$26="Yes",ISNUMBER(Setup!$C$26)),EDATE(Roster!$B460,12*Setup!$C$26),"")</f>
        <v/>
      </c>
      <c r="I460" s="32" t="str">
        <f>IF(AND(ISNUMBER(Roster!$B460),Setup!$B$27="Yes",ISNUMBER(Setup!$C$27)),EDATE(Roster!$B460,12*Setup!$C$27),"")</f>
        <v/>
      </c>
      <c r="J460" s="32" t="str">
        <f>IF(AND(ISNUMBER(Roster!$B460),Setup!$B$28="Yes",ISNUMBER(Setup!$C$28)),EDATE(Roster!$B460,12*Setup!$C$28),"")</f>
        <v/>
      </c>
      <c r="K460" s="32" t="str">
        <f>IF(AND(ISNUMBER(Roster!$B460),Setup!$B$29="Yes",ISNUMBER(Setup!$C$29)),EDATE(Roster!$B460,12*Setup!$C$29),"")</f>
        <v/>
      </c>
      <c r="L460" s="32" t="str">
        <f>IF(AND(ISNUMBER(Roster!$B460),Setup!$B$30="Yes",ISNUMBER(Setup!$C$30)),EDATE(Roster!$B460,12*Setup!$C$30),"")</f>
        <v/>
      </c>
      <c r="M460" s="32" t="str">
        <f>IF(AND(ISNUMBER(Roster!$B460),Setup!$B$31="Yes",ISNUMBER(Setup!$C$31)),EDATE(Roster!$B460,12*Setup!$C$31),"")</f>
        <v/>
      </c>
      <c r="N460" s="32" t="str">
        <f>IF(AND(ISNUMBER(Roster!$B460),Setup!$B$32="Yes",ISNUMBER(Setup!$C$32)),EDATE(Roster!$B460,12*Setup!$C$32),"")</f>
        <v/>
      </c>
      <c r="O460" s="32" t="str">
        <f>IF(AND(ISNUMBER(Roster!$B460),Setup!$B$33="Yes",ISNUMBER(Setup!$C$33)),EDATE(Roster!$B460,12*Setup!$C$33),"")</f>
        <v/>
      </c>
      <c r="P460" s="32" t="str">
        <f>IF(AND(ISNUMBER(Roster!$B460),Setup!$B$34="Yes",ISNUMBER(Setup!$C$34)),EDATE(Roster!$B460,12*Setup!$C$34),"")</f>
        <v/>
      </c>
      <c r="R460" t="str">
        <f>IF(B460="","",IF(B460&lt;Setup!$C$5-Setup!$C$6,"",IF(IF(ISNUMBER(Roster!$D460),Setup!$C$20&lt;=Roster!$D460,FALSE),"",IF(OR(IF(Setup!$C$15&lt;=Setup!$C$16,AND(MONTH(B460)&gt;=Setup!$C$15,MONTH(B460)&lt;=Setup!$C$16),OR(MONTH(B460)&gt;=Setup!$C$15,MONTH(B460)&lt;=Setup!$C$16)),IF(Setup!$C$15&lt;=Setup!$C$16,AND(MONTH(WORKDAY(B460,-(Setup!$C$13+Setup!$G$20),Setup!$C$39:$C$50))&gt;=Setup!$C$15,MONTH(WORKDAY(B460,-(Setup!$C$13+Setup!$G$20),Setup!$C$39:$C$50))&lt;=Setup!$C$16),OR(MONTH(WORKDAY(B460,-(Setup!$C$13+Setup!$G$20),Setup!$C$39:$C$50))&gt;=Setup!$C$15,MONTH(WORKDAY(B460,-(Setup!$C$13+Setup!$G$20),Setup!$C$39:$C$50))&lt;=Setup!$C$16))),WORKDAY(B460,-(Setup!$C$13+Setup!$G$20+Setup!$C$14),Setup!$C$39:$C$50),WORKDAY(B460,-(Setup!$C$13+Setup!$G$20),Setup!$C$39:$C$50))+(455*100+1)/10000000)))</f>
        <v/>
      </c>
      <c r="S460" t="str">
        <f>IF(C460="","",IF(C460&lt;Setup!$C$5-Setup!$C$6,"",IF(IF(ISNUMBER(Roster!$D460),Setup!$C$21&lt;=Roster!$D460,FALSE),"",IF(OR(IF(Setup!$C$15&lt;=Setup!$C$16,AND(MONTH(C460)&gt;=Setup!$C$15,MONTH(C460)&lt;=Setup!$C$16),OR(MONTH(C460)&gt;=Setup!$C$15,MONTH(C460)&lt;=Setup!$C$16)),IF(Setup!$C$15&lt;=Setup!$C$16,AND(MONTH(WORKDAY(C460,-(Setup!$C$13+Setup!$G$21),Setup!$C$39:$C$50))&gt;=Setup!$C$15,MONTH(WORKDAY(C460,-(Setup!$C$13+Setup!$G$21),Setup!$C$39:$C$50))&lt;=Setup!$C$16),OR(MONTH(WORKDAY(C460,-(Setup!$C$13+Setup!$G$21),Setup!$C$39:$C$50))&gt;=Setup!$C$15,MONTH(WORKDAY(C460,-(Setup!$C$13+Setup!$G$21),Setup!$C$39:$C$50))&lt;=Setup!$C$16))),WORKDAY(C460,-(Setup!$C$13+Setup!$G$21+Setup!$C$14),Setup!$C$39:$C$50),WORKDAY(C460,-(Setup!$C$13+Setup!$G$21),Setup!$C$39:$C$50))+(455*100+2)/10000000)))</f>
        <v/>
      </c>
      <c r="T460" t="str">
        <f>IF(D460="","",IF(D460&lt;Setup!$C$5-Setup!$C$6,"",IF(IF(ISNUMBER(Roster!$D460),Setup!$C$22&lt;=Roster!$D460,FALSE),"",IF(OR(IF(Setup!$C$15&lt;=Setup!$C$16,AND(MONTH(D460)&gt;=Setup!$C$15,MONTH(D460)&lt;=Setup!$C$16),OR(MONTH(D460)&gt;=Setup!$C$15,MONTH(D460)&lt;=Setup!$C$16)),IF(Setup!$C$15&lt;=Setup!$C$16,AND(MONTH(WORKDAY(D460,-(Setup!$C$13+Setup!$G$22),Setup!$C$39:$C$50))&gt;=Setup!$C$15,MONTH(WORKDAY(D460,-(Setup!$C$13+Setup!$G$22),Setup!$C$39:$C$50))&lt;=Setup!$C$16),OR(MONTH(WORKDAY(D460,-(Setup!$C$13+Setup!$G$22),Setup!$C$39:$C$50))&gt;=Setup!$C$15,MONTH(WORKDAY(D460,-(Setup!$C$13+Setup!$G$22),Setup!$C$39:$C$50))&lt;=Setup!$C$16))),WORKDAY(D460,-(Setup!$C$13+Setup!$G$22+Setup!$C$14),Setup!$C$39:$C$50),WORKDAY(D460,-(Setup!$C$13+Setup!$G$22),Setup!$C$39:$C$50))+(455*100+3)/10000000)))</f>
        <v/>
      </c>
      <c r="U460" t="str">
        <f>IF(E460="","",IF(E460&lt;Setup!$C$5-Setup!$C$6,"",IF(IF(ISNUMBER(Roster!$D460),Setup!$C$23&lt;=Roster!$D460,FALSE),"",IF(OR(IF(Setup!$C$15&lt;=Setup!$C$16,AND(MONTH(E460)&gt;=Setup!$C$15,MONTH(E460)&lt;=Setup!$C$16),OR(MONTH(E460)&gt;=Setup!$C$15,MONTH(E460)&lt;=Setup!$C$16)),IF(Setup!$C$15&lt;=Setup!$C$16,AND(MONTH(WORKDAY(E460,-(Setup!$C$13+Setup!$G$23),Setup!$C$39:$C$50))&gt;=Setup!$C$15,MONTH(WORKDAY(E460,-(Setup!$C$13+Setup!$G$23),Setup!$C$39:$C$50))&lt;=Setup!$C$16),OR(MONTH(WORKDAY(E460,-(Setup!$C$13+Setup!$G$23),Setup!$C$39:$C$50))&gt;=Setup!$C$15,MONTH(WORKDAY(E460,-(Setup!$C$13+Setup!$G$23),Setup!$C$39:$C$50))&lt;=Setup!$C$16))),WORKDAY(E460,-(Setup!$C$13+Setup!$G$23+Setup!$C$14),Setup!$C$39:$C$50),WORKDAY(E460,-(Setup!$C$13+Setup!$G$23),Setup!$C$39:$C$50))+(455*100+4)/10000000)))</f>
        <v/>
      </c>
      <c r="V460" t="str">
        <f>IF(F460="","",IF(F460&lt;Setup!$C$5-Setup!$C$6,"",IF(IF(ISNUMBER(Roster!$D460),Setup!$C$24&lt;=Roster!$D460,FALSE),"",IF(OR(IF(Setup!$C$15&lt;=Setup!$C$16,AND(MONTH(F460)&gt;=Setup!$C$15,MONTH(F460)&lt;=Setup!$C$16),OR(MONTH(F460)&gt;=Setup!$C$15,MONTH(F460)&lt;=Setup!$C$16)),IF(Setup!$C$15&lt;=Setup!$C$16,AND(MONTH(WORKDAY(F460,-(Setup!$C$13+Setup!$G$24),Setup!$C$39:$C$50))&gt;=Setup!$C$15,MONTH(WORKDAY(F460,-(Setup!$C$13+Setup!$G$24),Setup!$C$39:$C$50))&lt;=Setup!$C$16),OR(MONTH(WORKDAY(F460,-(Setup!$C$13+Setup!$G$24),Setup!$C$39:$C$50))&gt;=Setup!$C$15,MONTH(WORKDAY(F460,-(Setup!$C$13+Setup!$G$24),Setup!$C$39:$C$50))&lt;=Setup!$C$16))),WORKDAY(F460,-(Setup!$C$13+Setup!$G$24+Setup!$C$14),Setup!$C$39:$C$50),WORKDAY(F460,-(Setup!$C$13+Setup!$G$24),Setup!$C$39:$C$50))+(455*100+5)/10000000)))</f>
        <v/>
      </c>
      <c r="W460" t="str">
        <f>IF(G460="","",IF(G460&lt;Setup!$C$5-Setup!$C$6,"",IF(IF(ISNUMBER(Roster!$D460),Setup!$C$25&lt;=Roster!$D460,FALSE),"",IF(OR(IF(Setup!$C$15&lt;=Setup!$C$16,AND(MONTH(G460)&gt;=Setup!$C$15,MONTH(G460)&lt;=Setup!$C$16),OR(MONTH(G460)&gt;=Setup!$C$15,MONTH(G460)&lt;=Setup!$C$16)),IF(Setup!$C$15&lt;=Setup!$C$16,AND(MONTH(WORKDAY(G460,-(Setup!$C$13+Setup!$G$25),Setup!$C$39:$C$50))&gt;=Setup!$C$15,MONTH(WORKDAY(G460,-(Setup!$C$13+Setup!$G$25),Setup!$C$39:$C$50))&lt;=Setup!$C$16),OR(MONTH(WORKDAY(G460,-(Setup!$C$13+Setup!$G$25),Setup!$C$39:$C$50))&gt;=Setup!$C$15,MONTH(WORKDAY(G460,-(Setup!$C$13+Setup!$G$25),Setup!$C$39:$C$50))&lt;=Setup!$C$16))),WORKDAY(G460,-(Setup!$C$13+Setup!$G$25+Setup!$C$14),Setup!$C$39:$C$50),WORKDAY(G460,-(Setup!$C$13+Setup!$G$25),Setup!$C$39:$C$50))+(455*100+6)/10000000)))</f>
        <v/>
      </c>
      <c r="X460" t="str">
        <f>IF(H460="","",IF(H460&lt;Setup!$C$5-Setup!$C$6,"",IF(IF(ISNUMBER(Roster!$D460),Setup!$C$26&lt;=Roster!$D460,FALSE),"",IF(OR(IF(Setup!$C$15&lt;=Setup!$C$16,AND(MONTH(H460)&gt;=Setup!$C$15,MONTH(H460)&lt;=Setup!$C$16),OR(MONTH(H460)&gt;=Setup!$C$15,MONTH(H460)&lt;=Setup!$C$16)),IF(Setup!$C$15&lt;=Setup!$C$16,AND(MONTH(WORKDAY(H460,-(Setup!$C$13+Setup!$G$26),Setup!$C$39:$C$50))&gt;=Setup!$C$15,MONTH(WORKDAY(H460,-(Setup!$C$13+Setup!$G$26),Setup!$C$39:$C$50))&lt;=Setup!$C$16),OR(MONTH(WORKDAY(H460,-(Setup!$C$13+Setup!$G$26),Setup!$C$39:$C$50))&gt;=Setup!$C$15,MONTH(WORKDAY(H460,-(Setup!$C$13+Setup!$G$26),Setup!$C$39:$C$50))&lt;=Setup!$C$16))),WORKDAY(H460,-(Setup!$C$13+Setup!$G$26+Setup!$C$14),Setup!$C$39:$C$50),WORKDAY(H460,-(Setup!$C$13+Setup!$G$26),Setup!$C$39:$C$50))+(455*100+7)/10000000)))</f>
        <v/>
      </c>
      <c r="Y460" t="str">
        <f>IF(I460="","",IF(I460&lt;Setup!$C$5-Setup!$C$6,"",IF(IF(ISNUMBER(Roster!$D460),Setup!$C$27&lt;=Roster!$D460,FALSE),"",IF(OR(IF(Setup!$C$15&lt;=Setup!$C$16,AND(MONTH(I460)&gt;=Setup!$C$15,MONTH(I460)&lt;=Setup!$C$16),OR(MONTH(I460)&gt;=Setup!$C$15,MONTH(I460)&lt;=Setup!$C$16)),IF(Setup!$C$15&lt;=Setup!$C$16,AND(MONTH(WORKDAY(I460,-(Setup!$C$13+Setup!$G$27),Setup!$C$39:$C$50))&gt;=Setup!$C$15,MONTH(WORKDAY(I460,-(Setup!$C$13+Setup!$G$27),Setup!$C$39:$C$50))&lt;=Setup!$C$16),OR(MONTH(WORKDAY(I460,-(Setup!$C$13+Setup!$G$27),Setup!$C$39:$C$50))&gt;=Setup!$C$15,MONTH(WORKDAY(I460,-(Setup!$C$13+Setup!$G$27),Setup!$C$39:$C$50))&lt;=Setup!$C$16))),WORKDAY(I460,-(Setup!$C$13+Setup!$G$27+Setup!$C$14),Setup!$C$39:$C$50),WORKDAY(I460,-(Setup!$C$13+Setup!$G$27),Setup!$C$39:$C$50))+(455*100+8)/10000000)))</f>
        <v/>
      </c>
      <c r="Z460" t="str">
        <f>IF(J460="","",IF(J460&lt;Setup!$C$5-Setup!$C$6,"",IF(IF(ISNUMBER(Roster!$D460),Setup!$C$28&lt;=Roster!$D460,FALSE),"",IF(OR(IF(Setup!$C$15&lt;=Setup!$C$16,AND(MONTH(J460)&gt;=Setup!$C$15,MONTH(J460)&lt;=Setup!$C$16),OR(MONTH(J460)&gt;=Setup!$C$15,MONTH(J460)&lt;=Setup!$C$16)),IF(Setup!$C$15&lt;=Setup!$C$16,AND(MONTH(WORKDAY(J460,-(Setup!$C$13+Setup!$G$28),Setup!$C$39:$C$50))&gt;=Setup!$C$15,MONTH(WORKDAY(J460,-(Setup!$C$13+Setup!$G$28),Setup!$C$39:$C$50))&lt;=Setup!$C$16),OR(MONTH(WORKDAY(J460,-(Setup!$C$13+Setup!$G$28),Setup!$C$39:$C$50))&gt;=Setup!$C$15,MONTH(WORKDAY(J460,-(Setup!$C$13+Setup!$G$28),Setup!$C$39:$C$50))&lt;=Setup!$C$16))),WORKDAY(J460,-(Setup!$C$13+Setup!$G$28+Setup!$C$14),Setup!$C$39:$C$50),WORKDAY(J460,-(Setup!$C$13+Setup!$G$28),Setup!$C$39:$C$50))+(455*100+9)/10000000)))</f>
        <v/>
      </c>
      <c r="AA460" t="str">
        <f>IF(K460="","",IF(K460&lt;Setup!$C$5-Setup!$C$6,"",IF(IF(ISNUMBER(Roster!$D460),Setup!$C$29&lt;=Roster!$D460,FALSE),"",IF(OR(IF(Setup!$C$15&lt;=Setup!$C$16,AND(MONTH(K460)&gt;=Setup!$C$15,MONTH(K460)&lt;=Setup!$C$16),OR(MONTH(K460)&gt;=Setup!$C$15,MONTH(K460)&lt;=Setup!$C$16)),IF(Setup!$C$15&lt;=Setup!$C$16,AND(MONTH(WORKDAY(K460,-(Setup!$C$13+Setup!$G$29),Setup!$C$39:$C$50))&gt;=Setup!$C$15,MONTH(WORKDAY(K460,-(Setup!$C$13+Setup!$G$29),Setup!$C$39:$C$50))&lt;=Setup!$C$16),OR(MONTH(WORKDAY(K460,-(Setup!$C$13+Setup!$G$29),Setup!$C$39:$C$50))&gt;=Setup!$C$15,MONTH(WORKDAY(K460,-(Setup!$C$13+Setup!$G$29),Setup!$C$39:$C$50))&lt;=Setup!$C$16))),WORKDAY(K460,-(Setup!$C$13+Setup!$G$29+Setup!$C$14),Setup!$C$39:$C$50),WORKDAY(K460,-(Setup!$C$13+Setup!$G$29),Setup!$C$39:$C$50))+(455*100+10)/10000000)))</f>
        <v/>
      </c>
      <c r="AB460" t="str">
        <f>IF(L460="","",IF(L460&lt;Setup!$C$5-Setup!$C$6,"",IF(IF(ISNUMBER(Roster!$D460),Setup!$C$30&lt;=Roster!$D460,FALSE),"",IF(OR(IF(Setup!$C$15&lt;=Setup!$C$16,AND(MONTH(L460)&gt;=Setup!$C$15,MONTH(L460)&lt;=Setup!$C$16),OR(MONTH(L460)&gt;=Setup!$C$15,MONTH(L460)&lt;=Setup!$C$16)),IF(Setup!$C$15&lt;=Setup!$C$16,AND(MONTH(WORKDAY(L460,-(Setup!$C$13+Setup!$G$30),Setup!$C$39:$C$50))&gt;=Setup!$C$15,MONTH(WORKDAY(L460,-(Setup!$C$13+Setup!$G$30),Setup!$C$39:$C$50))&lt;=Setup!$C$16),OR(MONTH(WORKDAY(L460,-(Setup!$C$13+Setup!$G$30),Setup!$C$39:$C$50))&gt;=Setup!$C$15,MONTH(WORKDAY(L460,-(Setup!$C$13+Setup!$G$30),Setup!$C$39:$C$50))&lt;=Setup!$C$16))),WORKDAY(L460,-(Setup!$C$13+Setup!$G$30+Setup!$C$14),Setup!$C$39:$C$50),WORKDAY(L460,-(Setup!$C$13+Setup!$G$30),Setup!$C$39:$C$50))+(455*100+11)/10000000)))</f>
        <v/>
      </c>
      <c r="AC460" t="str">
        <f>IF(M460="","",IF(M460&lt;Setup!$C$5-Setup!$C$6,"",IF(IF(ISNUMBER(Roster!$D460),Setup!$C$31&lt;=Roster!$D460,FALSE),"",IF(OR(IF(Setup!$C$15&lt;=Setup!$C$16,AND(MONTH(M460)&gt;=Setup!$C$15,MONTH(M460)&lt;=Setup!$C$16),OR(MONTH(M460)&gt;=Setup!$C$15,MONTH(M460)&lt;=Setup!$C$16)),IF(Setup!$C$15&lt;=Setup!$C$16,AND(MONTH(WORKDAY(M460,-(Setup!$C$13+Setup!$G$31),Setup!$C$39:$C$50))&gt;=Setup!$C$15,MONTH(WORKDAY(M460,-(Setup!$C$13+Setup!$G$31),Setup!$C$39:$C$50))&lt;=Setup!$C$16),OR(MONTH(WORKDAY(M460,-(Setup!$C$13+Setup!$G$31),Setup!$C$39:$C$50))&gt;=Setup!$C$15,MONTH(WORKDAY(M460,-(Setup!$C$13+Setup!$G$31),Setup!$C$39:$C$50))&lt;=Setup!$C$16))),WORKDAY(M460,-(Setup!$C$13+Setup!$G$31+Setup!$C$14),Setup!$C$39:$C$50),WORKDAY(M460,-(Setup!$C$13+Setup!$G$31),Setup!$C$39:$C$50))+(455*100+12)/10000000)))</f>
        <v/>
      </c>
      <c r="AD460" t="str">
        <f>IF(N460="","",IF(N460&lt;Setup!$C$5-Setup!$C$6,"",IF(IF(ISNUMBER(Roster!$D460),Setup!$C$32&lt;=Roster!$D460,FALSE),"",IF(OR(IF(Setup!$C$15&lt;=Setup!$C$16,AND(MONTH(N460)&gt;=Setup!$C$15,MONTH(N460)&lt;=Setup!$C$16),OR(MONTH(N460)&gt;=Setup!$C$15,MONTH(N460)&lt;=Setup!$C$16)),IF(Setup!$C$15&lt;=Setup!$C$16,AND(MONTH(WORKDAY(N460,-(Setup!$C$13+Setup!$G$32),Setup!$C$39:$C$50))&gt;=Setup!$C$15,MONTH(WORKDAY(N460,-(Setup!$C$13+Setup!$G$32),Setup!$C$39:$C$50))&lt;=Setup!$C$16),OR(MONTH(WORKDAY(N460,-(Setup!$C$13+Setup!$G$32),Setup!$C$39:$C$50))&gt;=Setup!$C$15,MONTH(WORKDAY(N460,-(Setup!$C$13+Setup!$G$32),Setup!$C$39:$C$50))&lt;=Setup!$C$16))),WORKDAY(N460,-(Setup!$C$13+Setup!$G$32+Setup!$C$14),Setup!$C$39:$C$50),WORKDAY(N460,-(Setup!$C$13+Setup!$G$32),Setup!$C$39:$C$50))+(455*100+13)/10000000)))</f>
        <v/>
      </c>
      <c r="AE460" t="str">
        <f>IF(O460="","",IF(O460&lt;Setup!$C$5-Setup!$C$6,"",IF(IF(ISNUMBER(Roster!$D460),Setup!$C$33&lt;=Roster!$D460,FALSE),"",IF(OR(IF(Setup!$C$15&lt;=Setup!$C$16,AND(MONTH(O460)&gt;=Setup!$C$15,MONTH(O460)&lt;=Setup!$C$16),OR(MONTH(O460)&gt;=Setup!$C$15,MONTH(O460)&lt;=Setup!$C$16)),IF(Setup!$C$15&lt;=Setup!$C$16,AND(MONTH(WORKDAY(O460,-(Setup!$C$13+Setup!$G$33),Setup!$C$39:$C$50))&gt;=Setup!$C$15,MONTH(WORKDAY(O460,-(Setup!$C$13+Setup!$G$33),Setup!$C$39:$C$50))&lt;=Setup!$C$16),OR(MONTH(WORKDAY(O460,-(Setup!$C$13+Setup!$G$33),Setup!$C$39:$C$50))&gt;=Setup!$C$15,MONTH(WORKDAY(O460,-(Setup!$C$13+Setup!$G$33),Setup!$C$39:$C$50))&lt;=Setup!$C$16))),WORKDAY(O460,-(Setup!$C$13+Setup!$G$33+Setup!$C$14),Setup!$C$39:$C$50),WORKDAY(O460,-(Setup!$C$13+Setup!$G$33),Setup!$C$39:$C$50))+(455*100+14)/10000000)))</f>
        <v/>
      </c>
      <c r="AF460" t="str">
        <f>IF(P460="","",IF(P460&lt;Setup!$C$5-Setup!$C$6,"",IF(IF(ISNUMBER(Roster!$D460),Setup!$C$34&lt;=Roster!$D460,FALSE),"",IF(OR(IF(Setup!$C$15&lt;=Setup!$C$16,AND(MONTH(P460)&gt;=Setup!$C$15,MONTH(P460)&lt;=Setup!$C$16),OR(MONTH(P460)&gt;=Setup!$C$15,MONTH(P460)&lt;=Setup!$C$16)),IF(Setup!$C$15&lt;=Setup!$C$16,AND(MONTH(WORKDAY(P460,-(Setup!$C$13+Setup!$G$34),Setup!$C$39:$C$50))&gt;=Setup!$C$15,MONTH(WORKDAY(P460,-(Setup!$C$13+Setup!$G$34),Setup!$C$39:$C$50))&lt;=Setup!$C$16),OR(MONTH(WORKDAY(P460,-(Setup!$C$13+Setup!$G$34),Setup!$C$39:$C$50))&gt;=Setup!$C$15,MONTH(WORKDAY(P460,-(Setup!$C$13+Setup!$G$34),Setup!$C$39:$C$50))&lt;=Setup!$C$16))),WORKDAY(P460,-(Setup!$C$13+Setup!$G$34+Setup!$C$14),Setup!$C$39:$C$50),WORKDAY(P460,-(Setup!$C$13+Setup!$G$34),Setup!$C$39:$C$50))+(455*100+15)/10000000)))</f>
        <v/>
      </c>
      <c r="AH460" t="str">
        <f t="shared" si="51"/>
        <v/>
      </c>
      <c r="AI460" t="str">
        <f t="shared" si="52"/>
        <v/>
      </c>
      <c r="AP460" t="str">
        <f>IF(ISNUMBER(Roster!$B460),MAX(1,YEAR(Setup!$C$5)-YEAR(Roster!$B460)+IF(EDATE(Roster!$B460,12*(YEAR(Setup!$C$5)-YEAR(Roster!$B460)))&lt;Setup!$C$5,1,0)),"")</f>
        <v/>
      </c>
      <c r="AQ460" s="32" t="str">
        <f>IF(AP460="","",EDATE(Roster!$B460,12*AP460))</f>
        <v/>
      </c>
      <c r="AR460" t="str">
        <f>IF(AQ460="","",IF(AQ460&lt;DATE(YEAR(Setup!$C$5)+1,MONTH(Setup!$C$5),DAY(Setup!$C$5)),AQ460+455/1000,""))</f>
        <v/>
      </c>
      <c r="AS460" t="str">
        <f t="shared" si="53"/>
        <v/>
      </c>
      <c r="AT460" t="str">
        <f>IF(AS460="","",IF(ISNUMBER(Roster!$D460),Roster!$D460&gt;=AP460,FALSE))</f>
        <v/>
      </c>
      <c r="AU460" t="str">
        <f t="shared" si="54"/>
        <v/>
      </c>
      <c r="AV460" t="str">
        <f ca="1">IF(455&gt;$AV$2,"",SMALL($AR$6:$AR$505,455))</f>
        <v/>
      </c>
      <c r="AW460" t="str">
        <f t="shared" ca="1" si="55"/>
        <v/>
      </c>
    </row>
    <row r="461" spans="2:49" x14ac:dyDescent="0.2">
      <c r="B461" s="32" t="str">
        <f>IF(AND(ISNUMBER(Roster!$B461),Setup!$B$20="Yes",ISNUMBER(Setup!$C$20)),EDATE(Roster!$B461,12*Setup!$C$20),"")</f>
        <v/>
      </c>
      <c r="C461" s="32" t="str">
        <f>IF(AND(ISNUMBER(Roster!$B461),Setup!$B$21="Yes",ISNUMBER(Setup!$C$21)),EDATE(Roster!$B461,12*Setup!$C$21),"")</f>
        <v/>
      </c>
      <c r="D461" s="32" t="str">
        <f>IF(AND(ISNUMBER(Roster!$B461),Setup!$B$22="Yes",ISNUMBER(Setup!$C$22)),EDATE(Roster!$B461,12*Setup!$C$22),"")</f>
        <v/>
      </c>
      <c r="E461" s="32" t="str">
        <f>IF(AND(ISNUMBER(Roster!$B461),Setup!$B$23="Yes",ISNUMBER(Setup!$C$23)),EDATE(Roster!$B461,12*Setup!$C$23),"")</f>
        <v/>
      </c>
      <c r="F461" s="32" t="str">
        <f>IF(AND(ISNUMBER(Roster!$B461),Setup!$B$24="Yes",ISNUMBER(Setup!$C$24)),EDATE(Roster!$B461,12*Setup!$C$24),"")</f>
        <v/>
      </c>
      <c r="G461" s="32" t="str">
        <f>IF(AND(ISNUMBER(Roster!$B461),Setup!$B$25="Yes",ISNUMBER(Setup!$C$25)),EDATE(Roster!$B461,12*Setup!$C$25),"")</f>
        <v/>
      </c>
      <c r="H461" s="32" t="str">
        <f>IF(AND(ISNUMBER(Roster!$B461),Setup!$B$26="Yes",ISNUMBER(Setup!$C$26)),EDATE(Roster!$B461,12*Setup!$C$26),"")</f>
        <v/>
      </c>
      <c r="I461" s="32" t="str">
        <f>IF(AND(ISNUMBER(Roster!$B461),Setup!$B$27="Yes",ISNUMBER(Setup!$C$27)),EDATE(Roster!$B461,12*Setup!$C$27),"")</f>
        <v/>
      </c>
      <c r="J461" s="32" t="str">
        <f>IF(AND(ISNUMBER(Roster!$B461),Setup!$B$28="Yes",ISNUMBER(Setup!$C$28)),EDATE(Roster!$B461,12*Setup!$C$28),"")</f>
        <v/>
      </c>
      <c r="K461" s="32" t="str">
        <f>IF(AND(ISNUMBER(Roster!$B461),Setup!$B$29="Yes",ISNUMBER(Setup!$C$29)),EDATE(Roster!$B461,12*Setup!$C$29),"")</f>
        <v/>
      </c>
      <c r="L461" s="32" t="str">
        <f>IF(AND(ISNUMBER(Roster!$B461),Setup!$B$30="Yes",ISNUMBER(Setup!$C$30)),EDATE(Roster!$B461,12*Setup!$C$30),"")</f>
        <v/>
      </c>
      <c r="M461" s="32" t="str">
        <f>IF(AND(ISNUMBER(Roster!$B461),Setup!$B$31="Yes",ISNUMBER(Setup!$C$31)),EDATE(Roster!$B461,12*Setup!$C$31),"")</f>
        <v/>
      </c>
      <c r="N461" s="32" t="str">
        <f>IF(AND(ISNUMBER(Roster!$B461),Setup!$B$32="Yes",ISNUMBER(Setup!$C$32)),EDATE(Roster!$B461,12*Setup!$C$32),"")</f>
        <v/>
      </c>
      <c r="O461" s="32" t="str">
        <f>IF(AND(ISNUMBER(Roster!$B461),Setup!$B$33="Yes",ISNUMBER(Setup!$C$33)),EDATE(Roster!$B461,12*Setup!$C$33),"")</f>
        <v/>
      </c>
      <c r="P461" s="32" t="str">
        <f>IF(AND(ISNUMBER(Roster!$B461),Setup!$B$34="Yes",ISNUMBER(Setup!$C$34)),EDATE(Roster!$B461,12*Setup!$C$34),"")</f>
        <v/>
      </c>
      <c r="R461" t="str">
        <f>IF(B461="","",IF(B461&lt;Setup!$C$5-Setup!$C$6,"",IF(IF(ISNUMBER(Roster!$D461),Setup!$C$20&lt;=Roster!$D461,FALSE),"",IF(OR(IF(Setup!$C$15&lt;=Setup!$C$16,AND(MONTH(B461)&gt;=Setup!$C$15,MONTH(B461)&lt;=Setup!$C$16),OR(MONTH(B461)&gt;=Setup!$C$15,MONTH(B461)&lt;=Setup!$C$16)),IF(Setup!$C$15&lt;=Setup!$C$16,AND(MONTH(WORKDAY(B461,-(Setup!$C$13+Setup!$G$20),Setup!$C$39:$C$50))&gt;=Setup!$C$15,MONTH(WORKDAY(B461,-(Setup!$C$13+Setup!$G$20),Setup!$C$39:$C$50))&lt;=Setup!$C$16),OR(MONTH(WORKDAY(B461,-(Setup!$C$13+Setup!$G$20),Setup!$C$39:$C$50))&gt;=Setup!$C$15,MONTH(WORKDAY(B461,-(Setup!$C$13+Setup!$G$20),Setup!$C$39:$C$50))&lt;=Setup!$C$16))),WORKDAY(B461,-(Setup!$C$13+Setup!$G$20+Setup!$C$14),Setup!$C$39:$C$50),WORKDAY(B461,-(Setup!$C$13+Setup!$G$20),Setup!$C$39:$C$50))+(456*100+1)/10000000)))</f>
        <v/>
      </c>
      <c r="S461" t="str">
        <f>IF(C461="","",IF(C461&lt;Setup!$C$5-Setup!$C$6,"",IF(IF(ISNUMBER(Roster!$D461),Setup!$C$21&lt;=Roster!$D461,FALSE),"",IF(OR(IF(Setup!$C$15&lt;=Setup!$C$16,AND(MONTH(C461)&gt;=Setup!$C$15,MONTH(C461)&lt;=Setup!$C$16),OR(MONTH(C461)&gt;=Setup!$C$15,MONTH(C461)&lt;=Setup!$C$16)),IF(Setup!$C$15&lt;=Setup!$C$16,AND(MONTH(WORKDAY(C461,-(Setup!$C$13+Setup!$G$21),Setup!$C$39:$C$50))&gt;=Setup!$C$15,MONTH(WORKDAY(C461,-(Setup!$C$13+Setup!$G$21),Setup!$C$39:$C$50))&lt;=Setup!$C$16),OR(MONTH(WORKDAY(C461,-(Setup!$C$13+Setup!$G$21),Setup!$C$39:$C$50))&gt;=Setup!$C$15,MONTH(WORKDAY(C461,-(Setup!$C$13+Setup!$G$21),Setup!$C$39:$C$50))&lt;=Setup!$C$16))),WORKDAY(C461,-(Setup!$C$13+Setup!$G$21+Setup!$C$14),Setup!$C$39:$C$50),WORKDAY(C461,-(Setup!$C$13+Setup!$G$21),Setup!$C$39:$C$50))+(456*100+2)/10000000)))</f>
        <v/>
      </c>
      <c r="T461" t="str">
        <f>IF(D461="","",IF(D461&lt;Setup!$C$5-Setup!$C$6,"",IF(IF(ISNUMBER(Roster!$D461),Setup!$C$22&lt;=Roster!$D461,FALSE),"",IF(OR(IF(Setup!$C$15&lt;=Setup!$C$16,AND(MONTH(D461)&gt;=Setup!$C$15,MONTH(D461)&lt;=Setup!$C$16),OR(MONTH(D461)&gt;=Setup!$C$15,MONTH(D461)&lt;=Setup!$C$16)),IF(Setup!$C$15&lt;=Setup!$C$16,AND(MONTH(WORKDAY(D461,-(Setup!$C$13+Setup!$G$22),Setup!$C$39:$C$50))&gt;=Setup!$C$15,MONTH(WORKDAY(D461,-(Setup!$C$13+Setup!$G$22),Setup!$C$39:$C$50))&lt;=Setup!$C$16),OR(MONTH(WORKDAY(D461,-(Setup!$C$13+Setup!$G$22),Setup!$C$39:$C$50))&gt;=Setup!$C$15,MONTH(WORKDAY(D461,-(Setup!$C$13+Setup!$G$22),Setup!$C$39:$C$50))&lt;=Setup!$C$16))),WORKDAY(D461,-(Setup!$C$13+Setup!$G$22+Setup!$C$14),Setup!$C$39:$C$50),WORKDAY(D461,-(Setup!$C$13+Setup!$G$22),Setup!$C$39:$C$50))+(456*100+3)/10000000)))</f>
        <v/>
      </c>
      <c r="U461" t="str">
        <f>IF(E461="","",IF(E461&lt;Setup!$C$5-Setup!$C$6,"",IF(IF(ISNUMBER(Roster!$D461),Setup!$C$23&lt;=Roster!$D461,FALSE),"",IF(OR(IF(Setup!$C$15&lt;=Setup!$C$16,AND(MONTH(E461)&gt;=Setup!$C$15,MONTH(E461)&lt;=Setup!$C$16),OR(MONTH(E461)&gt;=Setup!$C$15,MONTH(E461)&lt;=Setup!$C$16)),IF(Setup!$C$15&lt;=Setup!$C$16,AND(MONTH(WORKDAY(E461,-(Setup!$C$13+Setup!$G$23),Setup!$C$39:$C$50))&gt;=Setup!$C$15,MONTH(WORKDAY(E461,-(Setup!$C$13+Setup!$G$23),Setup!$C$39:$C$50))&lt;=Setup!$C$16),OR(MONTH(WORKDAY(E461,-(Setup!$C$13+Setup!$G$23),Setup!$C$39:$C$50))&gt;=Setup!$C$15,MONTH(WORKDAY(E461,-(Setup!$C$13+Setup!$G$23),Setup!$C$39:$C$50))&lt;=Setup!$C$16))),WORKDAY(E461,-(Setup!$C$13+Setup!$G$23+Setup!$C$14),Setup!$C$39:$C$50),WORKDAY(E461,-(Setup!$C$13+Setup!$G$23),Setup!$C$39:$C$50))+(456*100+4)/10000000)))</f>
        <v/>
      </c>
      <c r="V461" t="str">
        <f>IF(F461="","",IF(F461&lt;Setup!$C$5-Setup!$C$6,"",IF(IF(ISNUMBER(Roster!$D461),Setup!$C$24&lt;=Roster!$D461,FALSE),"",IF(OR(IF(Setup!$C$15&lt;=Setup!$C$16,AND(MONTH(F461)&gt;=Setup!$C$15,MONTH(F461)&lt;=Setup!$C$16),OR(MONTH(F461)&gt;=Setup!$C$15,MONTH(F461)&lt;=Setup!$C$16)),IF(Setup!$C$15&lt;=Setup!$C$16,AND(MONTH(WORKDAY(F461,-(Setup!$C$13+Setup!$G$24),Setup!$C$39:$C$50))&gt;=Setup!$C$15,MONTH(WORKDAY(F461,-(Setup!$C$13+Setup!$G$24),Setup!$C$39:$C$50))&lt;=Setup!$C$16),OR(MONTH(WORKDAY(F461,-(Setup!$C$13+Setup!$G$24),Setup!$C$39:$C$50))&gt;=Setup!$C$15,MONTH(WORKDAY(F461,-(Setup!$C$13+Setup!$G$24),Setup!$C$39:$C$50))&lt;=Setup!$C$16))),WORKDAY(F461,-(Setup!$C$13+Setup!$G$24+Setup!$C$14),Setup!$C$39:$C$50),WORKDAY(F461,-(Setup!$C$13+Setup!$G$24),Setup!$C$39:$C$50))+(456*100+5)/10000000)))</f>
        <v/>
      </c>
      <c r="W461" t="str">
        <f>IF(G461="","",IF(G461&lt;Setup!$C$5-Setup!$C$6,"",IF(IF(ISNUMBER(Roster!$D461),Setup!$C$25&lt;=Roster!$D461,FALSE),"",IF(OR(IF(Setup!$C$15&lt;=Setup!$C$16,AND(MONTH(G461)&gt;=Setup!$C$15,MONTH(G461)&lt;=Setup!$C$16),OR(MONTH(G461)&gt;=Setup!$C$15,MONTH(G461)&lt;=Setup!$C$16)),IF(Setup!$C$15&lt;=Setup!$C$16,AND(MONTH(WORKDAY(G461,-(Setup!$C$13+Setup!$G$25),Setup!$C$39:$C$50))&gt;=Setup!$C$15,MONTH(WORKDAY(G461,-(Setup!$C$13+Setup!$G$25),Setup!$C$39:$C$50))&lt;=Setup!$C$16),OR(MONTH(WORKDAY(G461,-(Setup!$C$13+Setup!$G$25),Setup!$C$39:$C$50))&gt;=Setup!$C$15,MONTH(WORKDAY(G461,-(Setup!$C$13+Setup!$G$25),Setup!$C$39:$C$50))&lt;=Setup!$C$16))),WORKDAY(G461,-(Setup!$C$13+Setup!$G$25+Setup!$C$14),Setup!$C$39:$C$50),WORKDAY(G461,-(Setup!$C$13+Setup!$G$25),Setup!$C$39:$C$50))+(456*100+6)/10000000)))</f>
        <v/>
      </c>
      <c r="X461" t="str">
        <f>IF(H461="","",IF(H461&lt;Setup!$C$5-Setup!$C$6,"",IF(IF(ISNUMBER(Roster!$D461),Setup!$C$26&lt;=Roster!$D461,FALSE),"",IF(OR(IF(Setup!$C$15&lt;=Setup!$C$16,AND(MONTH(H461)&gt;=Setup!$C$15,MONTH(H461)&lt;=Setup!$C$16),OR(MONTH(H461)&gt;=Setup!$C$15,MONTH(H461)&lt;=Setup!$C$16)),IF(Setup!$C$15&lt;=Setup!$C$16,AND(MONTH(WORKDAY(H461,-(Setup!$C$13+Setup!$G$26),Setup!$C$39:$C$50))&gt;=Setup!$C$15,MONTH(WORKDAY(H461,-(Setup!$C$13+Setup!$G$26),Setup!$C$39:$C$50))&lt;=Setup!$C$16),OR(MONTH(WORKDAY(H461,-(Setup!$C$13+Setup!$G$26),Setup!$C$39:$C$50))&gt;=Setup!$C$15,MONTH(WORKDAY(H461,-(Setup!$C$13+Setup!$G$26),Setup!$C$39:$C$50))&lt;=Setup!$C$16))),WORKDAY(H461,-(Setup!$C$13+Setup!$G$26+Setup!$C$14),Setup!$C$39:$C$50),WORKDAY(H461,-(Setup!$C$13+Setup!$G$26),Setup!$C$39:$C$50))+(456*100+7)/10000000)))</f>
        <v/>
      </c>
      <c r="Y461" t="str">
        <f>IF(I461="","",IF(I461&lt;Setup!$C$5-Setup!$C$6,"",IF(IF(ISNUMBER(Roster!$D461),Setup!$C$27&lt;=Roster!$D461,FALSE),"",IF(OR(IF(Setup!$C$15&lt;=Setup!$C$16,AND(MONTH(I461)&gt;=Setup!$C$15,MONTH(I461)&lt;=Setup!$C$16),OR(MONTH(I461)&gt;=Setup!$C$15,MONTH(I461)&lt;=Setup!$C$16)),IF(Setup!$C$15&lt;=Setup!$C$16,AND(MONTH(WORKDAY(I461,-(Setup!$C$13+Setup!$G$27),Setup!$C$39:$C$50))&gt;=Setup!$C$15,MONTH(WORKDAY(I461,-(Setup!$C$13+Setup!$G$27),Setup!$C$39:$C$50))&lt;=Setup!$C$16),OR(MONTH(WORKDAY(I461,-(Setup!$C$13+Setup!$G$27),Setup!$C$39:$C$50))&gt;=Setup!$C$15,MONTH(WORKDAY(I461,-(Setup!$C$13+Setup!$G$27),Setup!$C$39:$C$50))&lt;=Setup!$C$16))),WORKDAY(I461,-(Setup!$C$13+Setup!$G$27+Setup!$C$14),Setup!$C$39:$C$50),WORKDAY(I461,-(Setup!$C$13+Setup!$G$27),Setup!$C$39:$C$50))+(456*100+8)/10000000)))</f>
        <v/>
      </c>
      <c r="Z461" t="str">
        <f>IF(J461="","",IF(J461&lt;Setup!$C$5-Setup!$C$6,"",IF(IF(ISNUMBER(Roster!$D461),Setup!$C$28&lt;=Roster!$D461,FALSE),"",IF(OR(IF(Setup!$C$15&lt;=Setup!$C$16,AND(MONTH(J461)&gt;=Setup!$C$15,MONTH(J461)&lt;=Setup!$C$16),OR(MONTH(J461)&gt;=Setup!$C$15,MONTH(J461)&lt;=Setup!$C$16)),IF(Setup!$C$15&lt;=Setup!$C$16,AND(MONTH(WORKDAY(J461,-(Setup!$C$13+Setup!$G$28),Setup!$C$39:$C$50))&gt;=Setup!$C$15,MONTH(WORKDAY(J461,-(Setup!$C$13+Setup!$G$28),Setup!$C$39:$C$50))&lt;=Setup!$C$16),OR(MONTH(WORKDAY(J461,-(Setup!$C$13+Setup!$G$28),Setup!$C$39:$C$50))&gt;=Setup!$C$15,MONTH(WORKDAY(J461,-(Setup!$C$13+Setup!$G$28),Setup!$C$39:$C$50))&lt;=Setup!$C$16))),WORKDAY(J461,-(Setup!$C$13+Setup!$G$28+Setup!$C$14),Setup!$C$39:$C$50),WORKDAY(J461,-(Setup!$C$13+Setup!$G$28),Setup!$C$39:$C$50))+(456*100+9)/10000000)))</f>
        <v/>
      </c>
      <c r="AA461" t="str">
        <f>IF(K461="","",IF(K461&lt;Setup!$C$5-Setup!$C$6,"",IF(IF(ISNUMBER(Roster!$D461),Setup!$C$29&lt;=Roster!$D461,FALSE),"",IF(OR(IF(Setup!$C$15&lt;=Setup!$C$16,AND(MONTH(K461)&gt;=Setup!$C$15,MONTH(K461)&lt;=Setup!$C$16),OR(MONTH(K461)&gt;=Setup!$C$15,MONTH(K461)&lt;=Setup!$C$16)),IF(Setup!$C$15&lt;=Setup!$C$16,AND(MONTH(WORKDAY(K461,-(Setup!$C$13+Setup!$G$29),Setup!$C$39:$C$50))&gt;=Setup!$C$15,MONTH(WORKDAY(K461,-(Setup!$C$13+Setup!$G$29),Setup!$C$39:$C$50))&lt;=Setup!$C$16),OR(MONTH(WORKDAY(K461,-(Setup!$C$13+Setup!$G$29),Setup!$C$39:$C$50))&gt;=Setup!$C$15,MONTH(WORKDAY(K461,-(Setup!$C$13+Setup!$G$29),Setup!$C$39:$C$50))&lt;=Setup!$C$16))),WORKDAY(K461,-(Setup!$C$13+Setup!$G$29+Setup!$C$14),Setup!$C$39:$C$50),WORKDAY(K461,-(Setup!$C$13+Setup!$G$29),Setup!$C$39:$C$50))+(456*100+10)/10000000)))</f>
        <v/>
      </c>
      <c r="AB461" t="str">
        <f>IF(L461="","",IF(L461&lt;Setup!$C$5-Setup!$C$6,"",IF(IF(ISNUMBER(Roster!$D461),Setup!$C$30&lt;=Roster!$D461,FALSE),"",IF(OR(IF(Setup!$C$15&lt;=Setup!$C$16,AND(MONTH(L461)&gt;=Setup!$C$15,MONTH(L461)&lt;=Setup!$C$16),OR(MONTH(L461)&gt;=Setup!$C$15,MONTH(L461)&lt;=Setup!$C$16)),IF(Setup!$C$15&lt;=Setup!$C$16,AND(MONTH(WORKDAY(L461,-(Setup!$C$13+Setup!$G$30),Setup!$C$39:$C$50))&gt;=Setup!$C$15,MONTH(WORKDAY(L461,-(Setup!$C$13+Setup!$G$30),Setup!$C$39:$C$50))&lt;=Setup!$C$16),OR(MONTH(WORKDAY(L461,-(Setup!$C$13+Setup!$G$30),Setup!$C$39:$C$50))&gt;=Setup!$C$15,MONTH(WORKDAY(L461,-(Setup!$C$13+Setup!$G$30),Setup!$C$39:$C$50))&lt;=Setup!$C$16))),WORKDAY(L461,-(Setup!$C$13+Setup!$G$30+Setup!$C$14),Setup!$C$39:$C$50),WORKDAY(L461,-(Setup!$C$13+Setup!$G$30),Setup!$C$39:$C$50))+(456*100+11)/10000000)))</f>
        <v/>
      </c>
      <c r="AC461" t="str">
        <f>IF(M461="","",IF(M461&lt;Setup!$C$5-Setup!$C$6,"",IF(IF(ISNUMBER(Roster!$D461),Setup!$C$31&lt;=Roster!$D461,FALSE),"",IF(OR(IF(Setup!$C$15&lt;=Setup!$C$16,AND(MONTH(M461)&gt;=Setup!$C$15,MONTH(M461)&lt;=Setup!$C$16),OR(MONTH(M461)&gt;=Setup!$C$15,MONTH(M461)&lt;=Setup!$C$16)),IF(Setup!$C$15&lt;=Setup!$C$16,AND(MONTH(WORKDAY(M461,-(Setup!$C$13+Setup!$G$31),Setup!$C$39:$C$50))&gt;=Setup!$C$15,MONTH(WORKDAY(M461,-(Setup!$C$13+Setup!$G$31),Setup!$C$39:$C$50))&lt;=Setup!$C$16),OR(MONTH(WORKDAY(M461,-(Setup!$C$13+Setup!$G$31),Setup!$C$39:$C$50))&gt;=Setup!$C$15,MONTH(WORKDAY(M461,-(Setup!$C$13+Setup!$G$31),Setup!$C$39:$C$50))&lt;=Setup!$C$16))),WORKDAY(M461,-(Setup!$C$13+Setup!$G$31+Setup!$C$14),Setup!$C$39:$C$50),WORKDAY(M461,-(Setup!$C$13+Setup!$G$31),Setup!$C$39:$C$50))+(456*100+12)/10000000)))</f>
        <v/>
      </c>
      <c r="AD461" t="str">
        <f>IF(N461="","",IF(N461&lt;Setup!$C$5-Setup!$C$6,"",IF(IF(ISNUMBER(Roster!$D461),Setup!$C$32&lt;=Roster!$D461,FALSE),"",IF(OR(IF(Setup!$C$15&lt;=Setup!$C$16,AND(MONTH(N461)&gt;=Setup!$C$15,MONTH(N461)&lt;=Setup!$C$16),OR(MONTH(N461)&gt;=Setup!$C$15,MONTH(N461)&lt;=Setup!$C$16)),IF(Setup!$C$15&lt;=Setup!$C$16,AND(MONTH(WORKDAY(N461,-(Setup!$C$13+Setup!$G$32),Setup!$C$39:$C$50))&gt;=Setup!$C$15,MONTH(WORKDAY(N461,-(Setup!$C$13+Setup!$G$32),Setup!$C$39:$C$50))&lt;=Setup!$C$16),OR(MONTH(WORKDAY(N461,-(Setup!$C$13+Setup!$G$32),Setup!$C$39:$C$50))&gt;=Setup!$C$15,MONTH(WORKDAY(N461,-(Setup!$C$13+Setup!$G$32),Setup!$C$39:$C$50))&lt;=Setup!$C$16))),WORKDAY(N461,-(Setup!$C$13+Setup!$G$32+Setup!$C$14),Setup!$C$39:$C$50),WORKDAY(N461,-(Setup!$C$13+Setup!$G$32),Setup!$C$39:$C$50))+(456*100+13)/10000000)))</f>
        <v/>
      </c>
      <c r="AE461" t="str">
        <f>IF(O461="","",IF(O461&lt;Setup!$C$5-Setup!$C$6,"",IF(IF(ISNUMBER(Roster!$D461),Setup!$C$33&lt;=Roster!$D461,FALSE),"",IF(OR(IF(Setup!$C$15&lt;=Setup!$C$16,AND(MONTH(O461)&gt;=Setup!$C$15,MONTH(O461)&lt;=Setup!$C$16),OR(MONTH(O461)&gt;=Setup!$C$15,MONTH(O461)&lt;=Setup!$C$16)),IF(Setup!$C$15&lt;=Setup!$C$16,AND(MONTH(WORKDAY(O461,-(Setup!$C$13+Setup!$G$33),Setup!$C$39:$C$50))&gt;=Setup!$C$15,MONTH(WORKDAY(O461,-(Setup!$C$13+Setup!$G$33),Setup!$C$39:$C$50))&lt;=Setup!$C$16),OR(MONTH(WORKDAY(O461,-(Setup!$C$13+Setup!$G$33),Setup!$C$39:$C$50))&gt;=Setup!$C$15,MONTH(WORKDAY(O461,-(Setup!$C$13+Setup!$G$33),Setup!$C$39:$C$50))&lt;=Setup!$C$16))),WORKDAY(O461,-(Setup!$C$13+Setup!$G$33+Setup!$C$14),Setup!$C$39:$C$50),WORKDAY(O461,-(Setup!$C$13+Setup!$G$33),Setup!$C$39:$C$50))+(456*100+14)/10000000)))</f>
        <v/>
      </c>
      <c r="AF461" t="str">
        <f>IF(P461="","",IF(P461&lt;Setup!$C$5-Setup!$C$6,"",IF(IF(ISNUMBER(Roster!$D461),Setup!$C$34&lt;=Roster!$D461,FALSE),"",IF(OR(IF(Setup!$C$15&lt;=Setup!$C$16,AND(MONTH(P461)&gt;=Setup!$C$15,MONTH(P461)&lt;=Setup!$C$16),OR(MONTH(P461)&gt;=Setup!$C$15,MONTH(P461)&lt;=Setup!$C$16)),IF(Setup!$C$15&lt;=Setup!$C$16,AND(MONTH(WORKDAY(P461,-(Setup!$C$13+Setup!$G$34),Setup!$C$39:$C$50))&gt;=Setup!$C$15,MONTH(WORKDAY(P461,-(Setup!$C$13+Setup!$G$34),Setup!$C$39:$C$50))&lt;=Setup!$C$16),OR(MONTH(WORKDAY(P461,-(Setup!$C$13+Setup!$G$34),Setup!$C$39:$C$50))&gt;=Setup!$C$15,MONTH(WORKDAY(P461,-(Setup!$C$13+Setup!$G$34),Setup!$C$39:$C$50))&lt;=Setup!$C$16))),WORKDAY(P461,-(Setup!$C$13+Setup!$G$34+Setup!$C$14),Setup!$C$39:$C$50),WORKDAY(P461,-(Setup!$C$13+Setup!$G$34),Setup!$C$39:$C$50))+(456*100+15)/10000000)))</f>
        <v/>
      </c>
      <c r="AH461" t="str">
        <f t="shared" si="51"/>
        <v/>
      </c>
      <c r="AI461" t="str">
        <f t="shared" si="52"/>
        <v/>
      </c>
      <c r="AP461" t="str">
        <f>IF(ISNUMBER(Roster!$B461),MAX(1,YEAR(Setup!$C$5)-YEAR(Roster!$B461)+IF(EDATE(Roster!$B461,12*(YEAR(Setup!$C$5)-YEAR(Roster!$B461)))&lt;Setup!$C$5,1,0)),"")</f>
        <v/>
      </c>
      <c r="AQ461" s="32" t="str">
        <f>IF(AP461="","",EDATE(Roster!$B461,12*AP461))</f>
        <v/>
      </c>
      <c r="AR461" t="str">
        <f>IF(AQ461="","",IF(AQ461&lt;DATE(YEAR(Setup!$C$5)+1,MONTH(Setup!$C$5),DAY(Setup!$C$5)),AQ461+456/1000,""))</f>
        <v/>
      </c>
      <c r="AS461" t="str">
        <f t="shared" si="53"/>
        <v/>
      </c>
      <c r="AT461" t="str">
        <f>IF(AS461="","",IF(ISNUMBER(Roster!$D461),Roster!$D461&gt;=AP461,FALSE))</f>
        <v/>
      </c>
      <c r="AU461" t="str">
        <f t="shared" si="54"/>
        <v/>
      </c>
      <c r="AV461" t="str">
        <f ca="1">IF(456&gt;$AV$2,"",SMALL($AR$6:$AR$505,456))</f>
        <v/>
      </c>
      <c r="AW461" t="str">
        <f t="shared" ca="1" si="55"/>
        <v/>
      </c>
    </row>
    <row r="462" spans="2:49" x14ac:dyDescent="0.2">
      <c r="B462" s="32" t="str">
        <f>IF(AND(ISNUMBER(Roster!$B462),Setup!$B$20="Yes",ISNUMBER(Setup!$C$20)),EDATE(Roster!$B462,12*Setup!$C$20),"")</f>
        <v/>
      </c>
      <c r="C462" s="32" t="str">
        <f>IF(AND(ISNUMBER(Roster!$B462),Setup!$B$21="Yes",ISNUMBER(Setup!$C$21)),EDATE(Roster!$B462,12*Setup!$C$21),"")</f>
        <v/>
      </c>
      <c r="D462" s="32" t="str">
        <f>IF(AND(ISNUMBER(Roster!$B462),Setup!$B$22="Yes",ISNUMBER(Setup!$C$22)),EDATE(Roster!$B462,12*Setup!$C$22),"")</f>
        <v/>
      </c>
      <c r="E462" s="32" t="str">
        <f>IF(AND(ISNUMBER(Roster!$B462),Setup!$B$23="Yes",ISNUMBER(Setup!$C$23)),EDATE(Roster!$B462,12*Setup!$C$23),"")</f>
        <v/>
      </c>
      <c r="F462" s="32" t="str">
        <f>IF(AND(ISNUMBER(Roster!$B462),Setup!$B$24="Yes",ISNUMBER(Setup!$C$24)),EDATE(Roster!$B462,12*Setup!$C$24),"")</f>
        <v/>
      </c>
      <c r="G462" s="32" t="str">
        <f>IF(AND(ISNUMBER(Roster!$B462),Setup!$B$25="Yes",ISNUMBER(Setup!$C$25)),EDATE(Roster!$B462,12*Setup!$C$25),"")</f>
        <v/>
      </c>
      <c r="H462" s="32" t="str">
        <f>IF(AND(ISNUMBER(Roster!$B462),Setup!$B$26="Yes",ISNUMBER(Setup!$C$26)),EDATE(Roster!$B462,12*Setup!$C$26),"")</f>
        <v/>
      </c>
      <c r="I462" s="32" t="str">
        <f>IF(AND(ISNUMBER(Roster!$B462),Setup!$B$27="Yes",ISNUMBER(Setup!$C$27)),EDATE(Roster!$B462,12*Setup!$C$27),"")</f>
        <v/>
      </c>
      <c r="J462" s="32" t="str">
        <f>IF(AND(ISNUMBER(Roster!$B462),Setup!$B$28="Yes",ISNUMBER(Setup!$C$28)),EDATE(Roster!$B462,12*Setup!$C$28),"")</f>
        <v/>
      </c>
      <c r="K462" s="32" t="str">
        <f>IF(AND(ISNUMBER(Roster!$B462),Setup!$B$29="Yes",ISNUMBER(Setup!$C$29)),EDATE(Roster!$B462,12*Setup!$C$29),"")</f>
        <v/>
      </c>
      <c r="L462" s="32" t="str">
        <f>IF(AND(ISNUMBER(Roster!$B462),Setup!$B$30="Yes",ISNUMBER(Setup!$C$30)),EDATE(Roster!$B462,12*Setup!$C$30),"")</f>
        <v/>
      </c>
      <c r="M462" s="32" t="str">
        <f>IF(AND(ISNUMBER(Roster!$B462),Setup!$B$31="Yes",ISNUMBER(Setup!$C$31)),EDATE(Roster!$B462,12*Setup!$C$31),"")</f>
        <v/>
      </c>
      <c r="N462" s="32" t="str">
        <f>IF(AND(ISNUMBER(Roster!$B462),Setup!$B$32="Yes",ISNUMBER(Setup!$C$32)),EDATE(Roster!$B462,12*Setup!$C$32),"")</f>
        <v/>
      </c>
      <c r="O462" s="32" t="str">
        <f>IF(AND(ISNUMBER(Roster!$B462),Setup!$B$33="Yes",ISNUMBER(Setup!$C$33)),EDATE(Roster!$B462,12*Setup!$C$33),"")</f>
        <v/>
      </c>
      <c r="P462" s="32" t="str">
        <f>IF(AND(ISNUMBER(Roster!$B462),Setup!$B$34="Yes",ISNUMBER(Setup!$C$34)),EDATE(Roster!$B462,12*Setup!$C$34),"")</f>
        <v/>
      </c>
      <c r="R462" t="str">
        <f>IF(B462="","",IF(B462&lt;Setup!$C$5-Setup!$C$6,"",IF(IF(ISNUMBER(Roster!$D462),Setup!$C$20&lt;=Roster!$D462,FALSE),"",IF(OR(IF(Setup!$C$15&lt;=Setup!$C$16,AND(MONTH(B462)&gt;=Setup!$C$15,MONTH(B462)&lt;=Setup!$C$16),OR(MONTH(B462)&gt;=Setup!$C$15,MONTH(B462)&lt;=Setup!$C$16)),IF(Setup!$C$15&lt;=Setup!$C$16,AND(MONTH(WORKDAY(B462,-(Setup!$C$13+Setup!$G$20),Setup!$C$39:$C$50))&gt;=Setup!$C$15,MONTH(WORKDAY(B462,-(Setup!$C$13+Setup!$G$20),Setup!$C$39:$C$50))&lt;=Setup!$C$16),OR(MONTH(WORKDAY(B462,-(Setup!$C$13+Setup!$G$20),Setup!$C$39:$C$50))&gt;=Setup!$C$15,MONTH(WORKDAY(B462,-(Setup!$C$13+Setup!$G$20),Setup!$C$39:$C$50))&lt;=Setup!$C$16))),WORKDAY(B462,-(Setup!$C$13+Setup!$G$20+Setup!$C$14),Setup!$C$39:$C$50),WORKDAY(B462,-(Setup!$C$13+Setup!$G$20),Setup!$C$39:$C$50))+(457*100+1)/10000000)))</f>
        <v/>
      </c>
      <c r="S462" t="str">
        <f>IF(C462="","",IF(C462&lt;Setup!$C$5-Setup!$C$6,"",IF(IF(ISNUMBER(Roster!$D462),Setup!$C$21&lt;=Roster!$D462,FALSE),"",IF(OR(IF(Setup!$C$15&lt;=Setup!$C$16,AND(MONTH(C462)&gt;=Setup!$C$15,MONTH(C462)&lt;=Setup!$C$16),OR(MONTH(C462)&gt;=Setup!$C$15,MONTH(C462)&lt;=Setup!$C$16)),IF(Setup!$C$15&lt;=Setup!$C$16,AND(MONTH(WORKDAY(C462,-(Setup!$C$13+Setup!$G$21),Setup!$C$39:$C$50))&gt;=Setup!$C$15,MONTH(WORKDAY(C462,-(Setup!$C$13+Setup!$G$21),Setup!$C$39:$C$50))&lt;=Setup!$C$16),OR(MONTH(WORKDAY(C462,-(Setup!$C$13+Setup!$G$21),Setup!$C$39:$C$50))&gt;=Setup!$C$15,MONTH(WORKDAY(C462,-(Setup!$C$13+Setup!$G$21),Setup!$C$39:$C$50))&lt;=Setup!$C$16))),WORKDAY(C462,-(Setup!$C$13+Setup!$G$21+Setup!$C$14),Setup!$C$39:$C$50),WORKDAY(C462,-(Setup!$C$13+Setup!$G$21),Setup!$C$39:$C$50))+(457*100+2)/10000000)))</f>
        <v/>
      </c>
      <c r="T462" t="str">
        <f>IF(D462="","",IF(D462&lt;Setup!$C$5-Setup!$C$6,"",IF(IF(ISNUMBER(Roster!$D462),Setup!$C$22&lt;=Roster!$D462,FALSE),"",IF(OR(IF(Setup!$C$15&lt;=Setup!$C$16,AND(MONTH(D462)&gt;=Setup!$C$15,MONTH(D462)&lt;=Setup!$C$16),OR(MONTH(D462)&gt;=Setup!$C$15,MONTH(D462)&lt;=Setup!$C$16)),IF(Setup!$C$15&lt;=Setup!$C$16,AND(MONTH(WORKDAY(D462,-(Setup!$C$13+Setup!$G$22),Setup!$C$39:$C$50))&gt;=Setup!$C$15,MONTH(WORKDAY(D462,-(Setup!$C$13+Setup!$G$22),Setup!$C$39:$C$50))&lt;=Setup!$C$16),OR(MONTH(WORKDAY(D462,-(Setup!$C$13+Setup!$G$22),Setup!$C$39:$C$50))&gt;=Setup!$C$15,MONTH(WORKDAY(D462,-(Setup!$C$13+Setup!$G$22),Setup!$C$39:$C$50))&lt;=Setup!$C$16))),WORKDAY(D462,-(Setup!$C$13+Setup!$G$22+Setup!$C$14),Setup!$C$39:$C$50),WORKDAY(D462,-(Setup!$C$13+Setup!$G$22),Setup!$C$39:$C$50))+(457*100+3)/10000000)))</f>
        <v/>
      </c>
      <c r="U462" t="str">
        <f>IF(E462="","",IF(E462&lt;Setup!$C$5-Setup!$C$6,"",IF(IF(ISNUMBER(Roster!$D462),Setup!$C$23&lt;=Roster!$D462,FALSE),"",IF(OR(IF(Setup!$C$15&lt;=Setup!$C$16,AND(MONTH(E462)&gt;=Setup!$C$15,MONTH(E462)&lt;=Setup!$C$16),OR(MONTH(E462)&gt;=Setup!$C$15,MONTH(E462)&lt;=Setup!$C$16)),IF(Setup!$C$15&lt;=Setup!$C$16,AND(MONTH(WORKDAY(E462,-(Setup!$C$13+Setup!$G$23),Setup!$C$39:$C$50))&gt;=Setup!$C$15,MONTH(WORKDAY(E462,-(Setup!$C$13+Setup!$G$23),Setup!$C$39:$C$50))&lt;=Setup!$C$16),OR(MONTH(WORKDAY(E462,-(Setup!$C$13+Setup!$G$23),Setup!$C$39:$C$50))&gt;=Setup!$C$15,MONTH(WORKDAY(E462,-(Setup!$C$13+Setup!$G$23),Setup!$C$39:$C$50))&lt;=Setup!$C$16))),WORKDAY(E462,-(Setup!$C$13+Setup!$G$23+Setup!$C$14),Setup!$C$39:$C$50),WORKDAY(E462,-(Setup!$C$13+Setup!$G$23),Setup!$C$39:$C$50))+(457*100+4)/10000000)))</f>
        <v/>
      </c>
      <c r="V462" t="str">
        <f>IF(F462="","",IF(F462&lt;Setup!$C$5-Setup!$C$6,"",IF(IF(ISNUMBER(Roster!$D462),Setup!$C$24&lt;=Roster!$D462,FALSE),"",IF(OR(IF(Setup!$C$15&lt;=Setup!$C$16,AND(MONTH(F462)&gt;=Setup!$C$15,MONTH(F462)&lt;=Setup!$C$16),OR(MONTH(F462)&gt;=Setup!$C$15,MONTH(F462)&lt;=Setup!$C$16)),IF(Setup!$C$15&lt;=Setup!$C$16,AND(MONTH(WORKDAY(F462,-(Setup!$C$13+Setup!$G$24),Setup!$C$39:$C$50))&gt;=Setup!$C$15,MONTH(WORKDAY(F462,-(Setup!$C$13+Setup!$G$24),Setup!$C$39:$C$50))&lt;=Setup!$C$16),OR(MONTH(WORKDAY(F462,-(Setup!$C$13+Setup!$G$24),Setup!$C$39:$C$50))&gt;=Setup!$C$15,MONTH(WORKDAY(F462,-(Setup!$C$13+Setup!$G$24),Setup!$C$39:$C$50))&lt;=Setup!$C$16))),WORKDAY(F462,-(Setup!$C$13+Setup!$G$24+Setup!$C$14),Setup!$C$39:$C$50),WORKDAY(F462,-(Setup!$C$13+Setup!$G$24),Setup!$C$39:$C$50))+(457*100+5)/10000000)))</f>
        <v/>
      </c>
      <c r="W462" t="str">
        <f>IF(G462="","",IF(G462&lt;Setup!$C$5-Setup!$C$6,"",IF(IF(ISNUMBER(Roster!$D462),Setup!$C$25&lt;=Roster!$D462,FALSE),"",IF(OR(IF(Setup!$C$15&lt;=Setup!$C$16,AND(MONTH(G462)&gt;=Setup!$C$15,MONTH(G462)&lt;=Setup!$C$16),OR(MONTH(G462)&gt;=Setup!$C$15,MONTH(G462)&lt;=Setup!$C$16)),IF(Setup!$C$15&lt;=Setup!$C$16,AND(MONTH(WORKDAY(G462,-(Setup!$C$13+Setup!$G$25),Setup!$C$39:$C$50))&gt;=Setup!$C$15,MONTH(WORKDAY(G462,-(Setup!$C$13+Setup!$G$25),Setup!$C$39:$C$50))&lt;=Setup!$C$16),OR(MONTH(WORKDAY(G462,-(Setup!$C$13+Setup!$G$25),Setup!$C$39:$C$50))&gt;=Setup!$C$15,MONTH(WORKDAY(G462,-(Setup!$C$13+Setup!$G$25),Setup!$C$39:$C$50))&lt;=Setup!$C$16))),WORKDAY(G462,-(Setup!$C$13+Setup!$G$25+Setup!$C$14),Setup!$C$39:$C$50),WORKDAY(G462,-(Setup!$C$13+Setup!$G$25),Setup!$C$39:$C$50))+(457*100+6)/10000000)))</f>
        <v/>
      </c>
      <c r="X462" t="str">
        <f>IF(H462="","",IF(H462&lt;Setup!$C$5-Setup!$C$6,"",IF(IF(ISNUMBER(Roster!$D462),Setup!$C$26&lt;=Roster!$D462,FALSE),"",IF(OR(IF(Setup!$C$15&lt;=Setup!$C$16,AND(MONTH(H462)&gt;=Setup!$C$15,MONTH(H462)&lt;=Setup!$C$16),OR(MONTH(H462)&gt;=Setup!$C$15,MONTH(H462)&lt;=Setup!$C$16)),IF(Setup!$C$15&lt;=Setup!$C$16,AND(MONTH(WORKDAY(H462,-(Setup!$C$13+Setup!$G$26),Setup!$C$39:$C$50))&gt;=Setup!$C$15,MONTH(WORKDAY(H462,-(Setup!$C$13+Setup!$G$26),Setup!$C$39:$C$50))&lt;=Setup!$C$16),OR(MONTH(WORKDAY(H462,-(Setup!$C$13+Setup!$G$26),Setup!$C$39:$C$50))&gt;=Setup!$C$15,MONTH(WORKDAY(H462,-(Setup!$C$13+Setup!$G$26),Setup!$C$39:$C$50))&lt;=Setup!$C$16))),WORKDAY(H462,-(Setup!$C$13+Setup!$G$26+Setup!$C$14),Setup!$C$39:$C$50),WORKDAY(H462,-(Setup!$C$13+Setup!$G$26),Setup!$C$39:$C$50))+(457*100+7)/10000000)))</f>
        <v/>
      </c>
      <c r="Y462" t="str">
        <f>IF(I462="","",IF(I462&lt;Setup!$C$5-Setup!$C$6,"",IF(IF(ISNUMBER(Roster!$D462),Setup!$C$27&lt;=Roster!$D462,FALSE),"",IF(OR(IF(Setup!$C$15&lt;=Setup!$C$16,AND(MONTH(I462)&gt;=Setup!$C$15,MONTH(I462)&lt;=Setup!$C$16),OR(MONTH(I462)&gt;=Setup!$C$15,MONTH(I462)&lt;=Setup!$C$16)),IF(Setup!$C$15&lt;=Setup!$C$16,AND(MONTH(WORKDAY(I462,-(Setup!$C$13+Setup!$G$27),Setup!$C$39:$C$50))&gt;=Setup!$C$15,MONTH(WORKDAY(I462,-(Setup!$C$13+Setup!$G$27),Setup!$C$39:$C$50))&lt;=Setup!$C$16),OR(MONTH(WORKDAY(I462,-(Setup!$C$13+Setup!$G$27),Setup!$C$39:$C$50))&gt;=Setup!$C$15,MONTH(WORKDAY(I462,-(Setup!$C$13+Setup!$G$27),Setup!$C$39:$C$50))&lt;=Setup!$C$16))),WORKDAY(I462,-(Setup!$C$13+Setup!$G$27+Setup!$C$14),Setup!$C$39:$C$50),WORKDAY(I462,-(Setup!$C$13+Setup!$G$27),Setup!$C$39:$C$50))+(457*100+8)/10000000)))</f>
        <v/>
      </c>
      <c r="Z462" t="str">
        <f>IF(J462="","",IF(J462&lt;Setup!$C$5-Setup!$C$6,"",IF(IF(ISNUMBER(Roster!$D462),Setup!$C$28&lt;=Roster!$D462,FALSE),"",IF(OR(IF(Setup!$C$15&lt;=Setup!$C$16,AND(MONTH(J462)&gt;=Setup!$C$15,MONTH(J462)&lt;=Setup!$C$16),OR(MONTH(J462)&gt;=Setup!$C$15,MONTH(J462)&lt;=Setup!$C$16)),IF(Setup!$C$15&lt;=Setup!$C$16,AND(MONTH(WORKDAY(J462,-(Setup!$C$13+Setup!$G$28),Setup!$C$39:$C$50))&gt;=Setup!$C$15,MONTH(WORKDAY(J462,-(Setup!$C$13+Setup!$G$28),Setup!$C$39:$C$50))&lt;=Setup!$C$16),OR(MONTH(WORKDAY(J462,-(Setup!$C$13+Setup!$G$28),Setup!$C$39:$C$50))&gt;=Setup!$C$15,MONTH(WORKDAY(J462,-(Setup!$C$13+Setup!$G$28),Setup!$C$39:$C$50))&lt;=Setup!$C$16))),WORKDAY(J462,-(Setup!$C$13+Setup!$G$28+Setup!$C$14),Setup!$C$39:$C$50),WORKDAY(J462,-(Setup!$C$13+Setup!$G$28),Setup!$C$39:$C$50))+(457*100+9)/10000000)))</f>
        <v/>
      </c>
      <c r="AA462" t="str">
        <f>IF(K462="","",IF(K462&lt;Setup!$C$5-Setup!$C$6,"",IF(IF(ISNUMBER(Roster!$D462),Setup!$C$29&lt;=Roster!$D462,FALSE),"",IF(OR(IF(Setup!$C$15&lt;=Setup!$C$16,AND(MONTH(K462)&gt;=Setup!$C$15,MONTH(K462)&lt;=Setup!$C$16),OR(MONTH(K462)&gt;=Setup!$C$15,MONTH(K462)&lt;=Setup!$C$16)),IF(Setup!$C$15&lt;=Setup!$C$16,AND(MONTH(WORKDAY(K462,-(Setup!$C$13+Setup!$G$29),Setup!$C$39:$C$50))&gt;=Setup!$C$15,MONTH(WORKDAY(K462,-(Setup!$C$13+Setup!$G$29),Setup!$C$39:$C$50))&lt;=Setup!$C$16),OR(MONTH(WORKDAY(K462,-(Setup!$C$13+Setup!$G$29),Setup!$C$39:$C$50))&gt;=Setup!$C$15,MONTH(WORKDAY(K462,-(Setup!$C$13+Setup!$G$29),Setup!$C$39:$C$50))&lt;=Setup!$C$16))),WORKDAY(K462,-(Setup!$C$13+Setup!$G$29+Setup!$C$14),Setup!$C$39:$C$50),WORKDAY(K462,-(Setup!$C$13+Setup!$G$29),Setup!$C$39:$C$50))+(457*100+10)/10000000)))</f>
        <v/>
      </c>
      <c r="AB462" t="str">
        <f>IF(L462="","",IF(L462&lt;Setup!$C$5-Setup!$C$6,"",IF(IF(ISNUMBER(Roster!$D462),Setup!$C$30&lt;=Roster!$D462,FALSE),"",IF(OR(IF(Setup!$C$15&lt;=Setup!$C$16,AND(MONTH(L462)&gt;=Setup!$C$15,MONTH(L462)&lt;=Setup!$C$16),OR(MONTH(L462)&gt;=Setup!$C$15,MONTH(L462)&lt;=Setup!$C$16)),IF(Setup!$C$15&lt;=Setup!$C$16,AND(MONTH(WORKDAY(L462,-(Setup!$C$13+Setup!$G$30),Setup!$C$39:$C$50))&gt;=Setup!$C$15,MONTH(WORKDAY(L462,-(Setup!$C$13+Setup!$G$30),Setup!$C$39:$C$50))&lt;=Setup!$C$16),OR(MONTH(WORKDAY(L462,-(Setup!$C$13+Setup!$G$30),Setup!$C$39:$C$50))&gt;=Setup!$C$15,MONTH(WORKDAY(L462,-(Setup!$C$13+Setup!$G$30),Setup!$C$39:$C$50))&lt;=Setup!$C$16))),WORKDAY(L462,-(Setup!$C$13+Setup!$G$30+Setup!$C$14),Setup!$C$39:$C$50),WORKDAY(L462,-(Setup!$C$13+Setup!$G$30),Setup!$C$39:$C$50))+(457*100+11)/10000000)))</f>
        <v/>
      </c>
      <c r="AC462" t="str">
        <f>IF(M462="","",IF(M462&lt;Setup!$C$5-Setup!$C$6,"",IF(IF(ISNUMBER(Roster!$D462),Setup!$C$31&lt;=Roster!$D462,FALSE),"",IF(OR(IF(Setup!$C$15&lt;=Setup!$C$16,AND(MONTH(M462)&gt;=Setup!$C$15,MONTH(M462)&lt;=Setup!$C$16),OR(MONTH(M462)&gt;=Setup!$C$15,MONTH(M462)&lt;=Setup!$C$16)),IF(Setup!$C$15&lt;=Setup!$C$16,AND(MONTH(WORKDAY(M462,-(Setup!$C$13+Setup!$G$31),Setup!$C$39:$C$50))&gt;=Setup!$C$15,MONTH(WORKDAY(M462,-(Setup!$C$13+Setup!$G$31),Setup!$C$39:$C$50))&lt;=Setup!$C$16),OR(MONTH(WORKDAY(M462,-(Setup!$C$13+Setup!$G$31),Setup!$C$39:$C$50))&gt;=Setup!$C$15,MONTH(WORKDAY(M462,-(Setup!$C$13+Setup!$G$31),Setup!$C$39:$C$50))&lt;=Setup!$C$16))),WORKDAY(M462,-(Setup!$C$13+Setup!$G$31+Setup!$C$14),Setup!$C$39:$C$50),WORKDAY(M462,-(Setup!$C$13+Setup!$G$31),Setup!$C$39:$C$50))+(457*100+12)/10000000)))</f>
        <v/>
      </c>
      <c r="AD462" t="str">
        <f>IF(N462="","",IF(N462&lt;Setup!$C$5-Setup!$C$6,"",IF(IF(ISNUMBER(Roster!$D462),Setup!$C$32&lt;=Roster!$D462,FALSE),"",IF(OR(IF(Setup!$C$15&lt;=Setup!$C$16,AND(MONTH(N462)&gt;=Setup!$C$15,MONTH(N462)&lt;=Setup!$C$16),OR(MONTH(N462)&gt;=Setup!$C$15,MONTH(N462)&lt;=Setup!$C$16)),IF(Setup!$C$15&lt;=Setup!$C$16,AND(MONTH(WORKDAY(N462,-(Setup!$C$13+Setup!$G$32),Setup!$C$39:$C$50))&gt;=Setup!$C$15,MONTH(WORKDAY(N462,-(Setup!$C$13+Setup!$G$32),Setup!$C$39:$C$50))&lt;=Setup!$C$16),OR(MONTH(WORKDAY(N462,-(Setup!$C$13+Setup!$G$32),Setup!$C$39:$C$50))&gt;=Setup!$C$15,MONTH(WORKDAY(N462,-(Setup!$C$13+Setup!$G$32),Setup!$C$39:$C$50))&lt;=Setup!$C$16))),WORKDAY(N462,-(Setup!$C$13+Setup!$G$32+Setup!$C$14),Setup!$C$39:$C$50),WORKDAY(N462,-(Setup!$C$13+Setup!$G$32),Setup!$C$39:$C$50))+(457*100+13)/10000000)))</f>
        <v/>
      </c>
      <c r="AE462" t="str">
        <f>IF(O462="","",IF(O462&lt;Setup!$C$5-Setup!$C$6,"",IF(IF(ISNUMBER(Roster!$D462),Setup!$C$33&lt;=Roster!$D462,FALSE),"",IF(OR(IF(Setup!$C$15&lt;=Setup!$C$16,AND(MONTH(O462)&gt;=Setup!$C$15,MONTH(O462)&lt;=Setup!$C$16),OR(MONTH(O462)&gt;=Setup!$C$15,MONTH(O462)&lt;=Setup!$C$16)),IF(Setup!$C$15&lt;=Setup!$C$16,AND(MONTH(WORKDAY(O462,-(Setup!$C$13+Setup!$G$33),Setup!$C$39:$C$50))&gt;=Setup!$C$15,MONTH(WORKDAY(O462,-(Setup!$C$13+Setup!$G$33),Setup!$C$39:$C$50))&lt;=Setup!$C$16),OR(MONTH(WORKDAY(O462,-(Setup!$C$13+Setup!$G$33),Setup!$C$39:$C$50))&gt;=Setup!$C$15,MONTH(WORKDAY(O462,-(Setup!$C$13+Setup!$G$33),Setup!$C$39:$C$50))&lt;=Setup!$C$16))),WORKDAY(O462,-(Setup!$C$13+Setup!$G$33+Setup!$C$14),Setup!$C$39:$C$50),WORKDAY(O462,-(Setup!$C$13+Setup!$G$33),Setup!$C$39:$C$50))+(457*100+14)/10000000)))</f>
        <v/>
      </c>
      <c r="AF462" t="str">
        <f>IF(P462="","",IF(P462&lt;Setup!$C$5-Setup!$C$6,"",IF(IF(ISNUMBER(Roster!$D462),Setup!$C$34&lt;=Roster!$D462,FALSE),"",IF(OR(IF(Setup!$C$15&lt;=Setup!$C$16,AND(MONTH(P462)&gt;=Setup!$C$15,MONTH(P462)&lt;=Setup!$C$16),OR(MONTH(P462)&gt;=Setup!$C$15,MONTH(P462)&lt;=Setup!$C$16)),IF(Setup!$C$15&lt;=Setup!$C$16,AND(MONTH(WORKDAY(P462,-(Setup!$C$13+Setup!$G$34),Setup!$C$39:$C$50))&gt;=Setup!$C$15,MONTH(WORKDAY(P462,-(Setup!$C$13+Setup!$G$34),Setup!$C$39:$C$50))&lt;=Setup!$C$16),OR(MONTH(WORKDAY(P462,-(Setup!$C$13+Setup!$G$34),Setup!$C$39:$C$50))&gt;=Setup!$C$15,MONTH(WORKDAY(P462,-(Setup!$C$13+Setup!$G$34),Setup!$C$39:$C$50))&lt;=Setup!$C$16))),WORKDAY(P462,-(Setup!$C$13+Setup!$G$34+Setup!$C$14),Setup!$C$39:$C$50),WORKDAY(P462,-(Setup!$C$13+Setup!$G$34),Setup!$C$39:$C$50))+(457*100+15)/10000000)))</f>
        <v/>
      </c>
      <c r="AH462" t="str">
        <f t="shared" si="51"/>
        <v/>
      </c>
      <c r="AI462" t="str">
        <f t="shared" si="52"/>
        <v/>
      </c>
      <c r="AP462" t="str">
        <f>IF(ISNUMBER(Roster!$B462),MAX(1,YEAR(Setup!$C$5)-YEAR(Roster!$B462)+IF(EDATE(Roster!$B462,12*(YEAR(Setup!$C$5)-YEAR(Roster!$B462)))&lt;Setup!$C$5,1,0)),"")</f>
        <v/>
      </c>
      <c r="AQ462" s="32" t="str">
        <f>IF(AP462="","",EDATE(Roster!$B462,12*AP462))</f>
        <v/>
      </c>
      <c r="AR462" t="str">
        <f>IF(AQ462="","",IF(AQ462&lt;DATE(YEAR(Setup!$C$5)+1,MONTH(Setup!$C$5),DAY(Setup!$C$5)),AQ462+457/1000,""))</f>
        <v/>
      </c>
      <c r="AS462" t="str">
        <f t="shared" si="53"/>
        <v/>
      </c>
      <c r="AT462" t="str">
        <f>IF(AS462="","",IF(ISNUMBER(Roster!$D462),Roster!$D462&gt;=AP462,FALSE))</f>
        <v/>
      </c>
      <c r="AU462" t="str">
        <f t="shared" si="54"/>
        <v/>
      </c>
      <c r="AV462" t="str">
        <f ca="1">IF(457&gt;$AV$2,"",SMALL($AR$6:$AR$505,457))</f>
        <v/>
      </c>
      <c r="AW462" t="str">
        <f t="shared" ca="1" si="55"/>
        <v/>
      </c>
    </row>
    <row r="463" spans="2:49" x14ac:dyDescent="0.2">
      <c r="B463" s="32" t="str">
        <f>IF(AND(ISNUMBER(Roster!$B463),Setup!$B$20="Yes",ISNUMBER(Setup!$C$20)),EDATE(Roster!$B463,12*Setup!$C$20),"")</f>
        <v/>
      </c>
      <c r="C463" s="32" t="str">
        <f>IF(AND(ISNUMBER(Roster!$B463),Setup!$B$21="Yes",ISNUMBER(Setup!$C$21)),EDATE(Roster!$B463,12*Setup!$C$21),"")</f>
        <v/>
      </c>
      <c r="D463" s="32" t="str">
        <f>IF(AND(ISNUMBER(Roster!$B463),Setup!$B$22="Yes",ISNUMBER(Setup!$C$22)),EDATE(Roster!$B463,12*Setup!$C$22),"")</f>
        <v/>
      </c>
      <c r="E463" s="32" t="str">
        <f>IF(AND(ISNUMBER(Roster!$B463),Setup!$B$23="Yes",ISNUMBER(Setup!$C$23)),EDATE(Roster!$B463,12*Setup!$C$23),"")</f>
        <v/>
      </c>
      <c r="F463" s="32" t="str">
        <f>IF(AND(ISNUMBER(Roster!$B463),Setup!$B$24="Yes",ISNUMBER(Setup!$C$24)),EDATE(Roster!$B463,12*Setup!$C$24),"")</f>
        <v/>
      </c>
      <c r="G463" s="32" t="str">
        <f>IF(AND(ISNUMBER(Roster!$B463),Setup!$B$25="Yes",ISNUMBER(Setup!$C$25)),EDATE(Roster!$B463,12*Setup!$C$25),"")</f>
        <v/>
      </c>
      <c r="H463" s="32" t="str">
        <f>IF(AND(ISNUMBER(Roster!$B463),Setup!$B$26="Yes",ISNUMBER(Setup!$C$26)),EDATE(Roster!$B463,12*Setup!$C$26),"")</f>
        <v/>
      </c>
      <c r="I463" s="32" t="str">
        <f>IF(AND(ISNUMBER(Roster!$B463),Setup!$B$27="Yes",ISNUMBER(Setup!$C$27)),EDATE(Roster!$B463,12*Setup!$C$27),"")</f>
        <v/>
      </c>
      <c r="J463" s="32" t="str">
        <f>IF(AND(ISNUMBER(Roster!$B463),Setup!$B$28="Yes",ISNUMBER(Setup!$C$28)),EDATE(Roster!$B463,12*Setup!$C$28),"")</f>
        <v/>
      </c>
      <c r="K463" s="32" t="str">
        <f>IF(AND(ISNUMBER(Roster!$B463),Setup!$B$29="Yes",ISNUMBER(Setup!$C$29)),EDATE(Roster!$B463,12*Setup!$C$29),"")</f>
        <v/>
      </c>
      <c r="L463" s="32" t="str">
        <f>IF(AND(ISNUMBER(Roster!$B463),Setup!$B$30="Yes",ISNUMBER(Setup!$C$30)),EDATE(Roster!$B463,12*Setup!$C$30),"")</f>
        <v/>
      </c>
      <c r="M463" s="32" t="str">
        <f>IF(AND(ISNUMBER(Roster!$B463),Setup!$B$31="Yes",ISNUMBER(Setup!$C$31)),EDATE(Roster!$B463,12*Setup!$C$31),"")</f>
        <v/>
      </c>
      <c r="N463" s="32" t="str">
        <f>IF(AND(ISNUMBER(Roster!$B463),Setup!$B$32="Yes",ISNUMBER(Setup!$C$32)),EDATE(Roster!$B463,12*Setup!$C$32),"")</f>
        <v/>
      </c>
      <c r="O463" s="32" t="str">
        <f>IF(AND(ISNUMBER(Roster!$B463),Setup!$B$33="Yes",ISNUMBER(Setup!$C$33)),EDATE(Roster!$B463,12*Setup!$C$33),"")</f>
        <v/>
      </c>
      <c r="P463" s="32" t="str">
        <f>IF(AND(ISNUMBER(Roster!$B463),Setup!$B$34="Yes",ISNUMBER(Setup!$C$34)),EDATE(Roster!$B463,12*Setup!$C$34),"")</f>
        <v/>
      </c>
      <c r="R463" t="str">
        <f>IF(B463="","",IF(B463&lt;Setup!$C$5-Setup!$C$6,"",IF(IF(ISNUMBER(Roster!$D463),Setup!$C$20&lt;=Roster!$D463,FALSE),"",IF(OR(IF(Setup!$C$15&lt;=Setup!$C$16,AND(MONTH(B463)&gt;=Setup!$C$15,MONTH(B463)&lt;=Setup!$C$16),OR(MONTH(B463)&gt;=Setup!$C$15,MONTH(B463)&lt;=Setup!$C$16)),IF(Setup!$C$15&lt;=Setup!$C$16,AND(MONTH(WORKDAY(B463,-(Setup!$C$13+Setup!$G$20),Setup!$C$39:$C$50))&gt;=Setup!$C$15,MONTH(WORKDAY(B463,-(Setup!$C$13+Setup!$G$20),Setup!$C$39:$C$50))&lt;=Setup!$C$16),OR(MONTH(WORKDAY(B463,-(Setup!$C$13+Setup!$G$20),Setup!$C$39:$C$50))&gt;=Setup!$C$15,MONTH(WORKDAY(B463,-(Setup!$C$13+Setup!$G$20),Setup!$C$39:$C$50))&lt;=Setup!$C$16))),WORKDAY(B463,-(Setup!$C$13+Setup!$G$20+Setup!$C$14),Setup!$C$39:$C$50),WORKDAY(B463,-(Setup!$C$13+Setup!$G$20),Setup!$C$39:$C$50))+(458*100+1)/10000000)))</f>
        <v/>
      </c>
      <c r="S463" t="str">
        <f>IF(C463="","",IF(C463&lt;Setup!$C$5-Setup!$C$6,"",IF(IF(ISNUMBER(Roster!$D463),Setup!$C$21&lt;=Roster!$D463,FALSE),"",IF(OR(IF(Setup!$C$15&lt;=Setup!$C$16,AND(MONTH(C463)&gt;=Setup!$C$15,MONTH(C463)&lt;=Setup!$C$16),OR(MONTH(C463)&gt;=Setup!$C$15,MONTH(C463)&lt;=Setup!$C$16)),IF(Setup!$C$15&lt;=Setup!$C$16,AND(MONTH(WORKDAY(C463,-(Setup!$C$13+Setup!$G$21),Setup!$C$39:$C$50))&gt;=Setup!$C$15,MONTH(WORKDAY(C463,-(Setup!$C$13+Setup!$G$21),Setup!$C$39:$C$50))&lt;=Setup!$C$16),OR(MONTH(WORKDAY(C463,-(Setup!$C$13+Setup!$G$21),Setup!$C$39:$C$50))&gt;=Setup!$C$15,MONTH(WORKDAY(C463,-(Setup!$C$13+Setup!$G$21),Setup!$C$39:$C$50))&lt;=Setup!$C$16))),WORKDAY(C463,-(Setup!$C$13+Setup!$G$21+Setup!$C$14),Setup!$C$39:$C$50),WORKDAY(C463,-(Setup!$C$13+Setup!$G$21),Setup!$C$39:$C$50))+(458*100+2)/10000000)))</f>
        <v/>
      </c>
      <c r="T463" t="str">
        <f>IF(D463="","",IF(D463&lt;Setup!$C$5-Setup!$C$6,"",IF(IF(ISNUMBER(Roster!$D463),Setup!$C$22&lt;=Roster!$D463,FALSE),"",IF(OR(IF(Setup!$C$15&lt;=Setup!$C$16,AND(MONTH(D463)&gt;=Setup!$C$15,MONTH(D463)&lt;=Setup!$C$16),OR(MONTH(D463)&gt;=Setup!$C$15,MONTH(D463)&lt;=Setup!$C$16)),IF(Setup!$C$15&lt;=Setup!$C$16,AND(MONTH(WORKDAY(D463,-(Setup!$C$13+Setup!$G$22),Setup!$C$39:$C$50))&gt;=Setup!$C$15,MONTH(WORKDAY(D463,-(Setup!$C$13+Setup!$G$22),Setup!$C$39:$C$50))&lt;=Setup!$C$16),OR(MONTH(WORKDAY(D463,-(Setup!$C$13+Setup!$G$22),Setup!$C$39:$C$50))&gt;=Setup!$C$15,MONTH(WORKDAY(D463,-(Setup!$C$13+Setup!$G$22),Setup!$C$39:$C$50))&lt;=Setup!$C$16))),WORKDAY(D463,-(Setup!$C$13+Setup!$G$22+Setup!$C$14),Setup!$C$39:$C$50),WORKDAY(D463,-(Setup!$C$13+Setup!$G$22),Setup!$C$39:$C$50))+(458*100+3)/10000000)))</f>
        <v/>
      </c>
      <c r="U463" t="str">
        <f>IF(E463="","",IF(E463&lt;Setup!$C$5-Setup!$C$6,"",IF(IF(ISNUMBER(Roster!$D463),Setup!$C$23&lt;=Roster!$D463,FALSE),"",IF(OR(IF(Setup!$C$15&lt;=Setup!$C$16,AND(MONTH(E463)&gt;=Setup!$C$15,MONTH(E463)&lt;=Setup!$C$16),OR(MONTH(E463)&gt;=Setup!$C$15,MONTH(E463)&lt;=Setup!$C$16)),IF(Setup!$C$15&lt;=Setup!$C$16,AND(MONTH(WORKDAY(E463,-(Setup!$C$13+Setup!$G$23),Setup!$C$39:$C$50))&gt;=Setup!$C$15,MONTH(WORKDAY(E463,-(Setup!$C$13+Setup!$G$23),Setup!$C$39:$C$50))&lt;=Setup!$C$16),OR(MONTH(WORKDAY(E463,-(Setup!$C$13+Setup!$G$23),Setup!$C$39:$C$50))&gt;=Setup!$C$15,MONTH(WORKDAY(E463,-(Setup!$C$13+Setup!$G$23),Setup!$C$39:$C$50))&lt;=Setup!$C$16))),WORKDAY(E463,-(Setup!$C$13+Setup!$G$23+Setup!$C$14),Setup!$C$39:$C$50),WORKDAY(E463,-(Setup!$C$13+Setup!$G$23),Setup!$C$39:$C$50))+(458*100+4)/10000000)))</f>
        <v/>
      </c>
      <c r="V463" t="str">
        <f>IF(F463="","",IF(F463&lt;Setup!$C$5-Setup!$C$6,"",IF(IF(ISNUMBER(Roster!$D463),Setup!$C$24&lt;=Roster!$D463,FALSE),"",IF(OR(IF(Setup!$C$15&lt;=Setup!$C$16,AND(MONTH(F463)&gt;=Setup!$C$15,MONTH(F463)&lt;=Setup!$C$16),OR(MONTH(F463)&gt;=Setup!$C$15,MONTH(F463)&lt;=Setup!$C$16)),IF(Setup!$C$15&lt;=Setup!$C$16,AND(MONTH(WORKDAY(F463,-(Setup!$C$13+Setup!$G$24),Setup!$C$39:$C$50))&gt;=Setup!$C$15,MONTH(WORKDAY(F463,-(Setup!$C$13+Setup!$G$24),Setup!$C$39:$C$50))&lt;=Setup!$C$16),OR(MONTH(WORKDAY(F463,-(Setup!$C$13+Setup!$G$24),Setup!$C$39:$C$50))&gt;=Setup!$C$15,MONTH(WORKDAY(F463,-(Setup!$C$13+Setup!$G$24),Setup!$C$39:$C$50))&lt;=Setup!$C$16))),WORKDAY(F463,-(Setup!$C$13+Setup!$G$24+Setup!$C$14),Setup!$C$39:$C$50),WORKDAY(F463,-(Setup!$C$13+Setup!$G$24),Setup!$C$39:$C$50))+(458*100+5)/10000000)))</f>
        <v/>
      </c>
      <c r="W463" t="str">
        <f>IF(G463="","",IF(G463&lt;Setup!$C$5-Setup!$C$6,"",IF(IF(ISNUMBER(Roster!$D463),Setup!$C$25&lt;=Roster!$D463,FALSE),"",IF(OR(IF(Setup!$C$15&lt;=Setup!$C$16,AND(MONTH(G463)&gt;=Setup!$C$15,MONTH(G463)&lt;=Setup!$C$16),OR(MONTH(G463)&gt;=Setup!$C$15,MONTH(G463)&lt;=Setup!$C$16)),IF(Setup!$C$15&lt;=Setup!$C$16,AND(MONTH(WORKDAY(G463,-(Setup!$C$13+Setup!$G$25),Setup!$C$39:$C$50))&gt;=Setup!$C$15,MONTH(WORKDAY(G463,-(Setup!$C$13+Setup!$G$25),Setup!$C$39:$C$50))&lt;=Setup!$C$16),OR(MONTH(WORKDAY(G463,-(Setup!$C$13+Setup!$G$25),Setup!$C$39:$C$50))&gt;=Setup!$C$15,MONTH(WORKDAY(G463,-(Setup!$C$13+Setup!$G$25),Setup!$C$39:$C$50))&lt;=Setup!$C$16))),WORKDAY(G463,-(Setup!$C$13+Setup!$G$25+Setup!$C$14),Setup!$C$39:$C$50),WORKDAY(G463,-(Setup!$C$13+Setup!$G$25),Setup!$C$39:$C$50))+(458*100+6)/10000000)))</f>
        <v/>
      </c>
      <c r="X463" t="str">
        <f>IF(H463="","",IF(H463&lt;Setup!$C$5-Setup!$C$6,"",IF(IF(ISNUMBER(Roster!$D463),Setup!$C$26&lt;=Roster!$D463,FALSE),"",IF(OR(IF(Setup!$C$15&lt;=Setup!$C$16,AND(MONTH(H463)&gt;=Setup!$C$15,MONTH(H463)&lt;=Setup!$C$16),OR(MONTH(H463)&gt;=Setup!$C$15,MONTH(H463)&lt;=Setup!$C$16)),IF(Setup!$C$15&lt;=Setup!$C$16,AND(MONTH(WORKDAY(H463,-(Setup!$C$13+Setup!$G$26),Setup!$C$39:$C$50))&gt;=Setup!$C$15,MONTH(WORKDAY(H463,-(Setup!$C$13+Setup!$G$26),Setup!$C$39:$C$50))&lt;=Setup!$C$16),OR(MONTH(WORKDAY(H463,-(Setup!$C$13+Setup!$G$26),Setup!$C$39:$C$50))&gt;=Setup!$C$15,MONTH(WORKDAY(H463,-(Setup!$C$13+Setup!$G$26),Setup!$C$39:$C$50))&lt;=Setup!$C$16))),WORKDAY(H463,-(Setup!$C$13+Setup!$G$26+Setup!$C$14),Setup!$C$39:$C$50),WORKDAY(H463,-(Setup!$C$13+Setup!$G$26),Setup!$C$39:$C$50))+(458*100+7)/10000000)))</f>
        <v/>
      </c>
      <c r="Y463" t="str">
        <f>IF(I463="","",IF(I463&lt;Setup!$C$5-Setup!$C$6,"",IF(IF(ISNUMBER(Roster!$D463),Setup!$C$27&lt;=Roster!$D463,FALSE),"",IF(OR(IF(Setup!$C$15&lt;=Setup!$C$16,AND(MONTH(I463)&gt;=Setup!$C$15,MONTH(I463)&lt;=Setup!$C$16),OR(MONTH(I463)&gt;=Setup!$C$15,MONTH(I463)&lt;=Setup!$C$16)),IF(Setup!$C$15&lt;=Setup!$C$16,AND(MONTH(WORKDAY(I463,-(Setup!$C$13+Setup!$G$27),Setup!$C$39:$C$50))&gt;=Setup!$C$15,MONTH(WORKDAY(I463,-(Setup!$C$13+Setup!$G$27),Setup!$C$39:$C$50))&lt;=Setup!$C$16),OR(MONTH(WORKDAY(I463,-(Setup!$C$13+Setup!$G$27),Setup!$C$39:$C$50))&gt;=Setup!$C$15,MONTH(WORKDAY(I463,-(Setup!$C$13+Setup!$G$27),Setup!$C$39:$C$50))&lt;=Setup!$C$16))),WORKDAY(I463,-(Setup!$C$13+Setup!$G$27+Setup!$C$14),Setup!$C$39:$C$50),WORKDAY(I463,-(Setup!$C$13+Setup!$G$27),Setup!$C$39:$C$50))+(458*100+8)/10000000)))</f>
        <v/>
      </c>
      <c r="Z463" t="str">
        <f>IF(J463="","",IF(J463&lt;Setup!$C$5-Setup!$C$6,"",IF(IF(ISNUMBER(Roster!$D463),Setup!$C$28&lt;=Roster!$D463,FALSE),"",IF(OR(IF(Setup!$C$15&lt;=Setup!$C$16,AND(MONTH(J463)&gt;=Setup!$C$15,MONTH(J463)&lt;=Setup!$C$16),OR(MONTH(J463)&gt;=Setup!$C$15,MONTH(J463)&lt;=Setup!$C$16)),IF(Setup!$C$15&lt;=Setup!$C$16,AND(MONTH(WORKDAY(J463,-(Setup!$C$13+Setup!$G$28),Setup!$C$39:$C$50))&gt;=Setup!$C$15,MONTH(WORKDAY(J463,-(Setup!$C$13+Setup!$G$28),Setup!$C$39:$C$50))&lt;=Setup!$C$16),OR(MONTH(WORKDAY(J463,-(Setup!$C$13+Setup!$G$28),Setup!$C$39:$C$50))&gt;=Setup!$C$15,MONTH(WORKDAY(J463,-(Setup!$C$13+Setup!$G$28),Setup!$C$39:$C$50))&lt;=Setup!$C$16))),WORKDAY(J463,-(Setup!$C$13+Setup!$G$28+Setup!$C$14),Setup!$C$39:$C$50),WORKDAY(J463,-(Setup!$C$13+Setup!$G$28),Setup!$C$39:$C$50))+(458*100+9)/10000000)))</f>
        <v/>
      </c>
      <c r="AA463" t="str">
        <f>IF(K463="","",IF(K463&lt;Setup!$C$5-Setup!$C$6,"",IF(IF(ISNUMBER(Roster!$D463),Setup!$C$29&lt;=Roster!$D463,FALSE),"",IF(OR(IF(Setup!$C$15&lt;=Setup!$C$16,AND(MONTH(K463)&gt;=Setup!$C$15,MONTH(K463)&lt;=Setup!$C$16),OR(MONTH(K463)&gt;=Setup!$C$15,MONTH(K463)&lt;=Setup!$C$16)),IF(Setup!$C$15&lt;=Setup!$C$16,AND(MONTH(WORKDAY(K463,-(Setup!$C$13+Setup!$G$29),Setup!$C$39:$C$50))&gt;=Setup!$C$15,MONTH(WORKDAY(K463,-(Setup!$C$13+Setup!$G$29),Setup!$C$39:$C$50))&lt;=Setup!$C$16),OR(MONTH(WORKDAY(K463,-(Setup!$C$13+Setup!$G$29),Setup!$C$39:$C$50))&gt;=Setup!$C$15,MONTH(WORKDAY(K463,-(Setup!$C$13+Setup!$G$29),Setup!$C$39:$C$50))&lt;=Setup!$C$16))),WORKDAY(K463,-(Setup!$C$13+Setup!$G$29+Setup!$C$14),Setup!$C$39:$C$50),WORKDAY(K463,-(Setup!$C$13+Setup!$G$29),Setup!$C$39:$C$50))+(458*100+10)/10000000)))</f>
        <v/>
      </c>
      <c r="AB463" t="str">
        <f>IF(L463="","",IF(L463&lt;Setup!$C$5-Setup!$C$6,"",IF(IF(ISNUMBER(Roster!$D463),Setup!$C$30&lt;=Roster!$D463,FALSE),"",IF(OR(IF(Setup!$C$15&lt;=Setup!$C$16,AND(MONTH(L463)&gt;=Setup!$C$15,MONTH(L463)&lt;=Setup!$C$16),OR(MONTH(L463)&gt;=Setup!$C$15,MONTH(L463)&lt;=Setup!$C$16)),IF(Setup!$C$15&lt;=Setup!$C$16,AND(MONTH(WORKDAY(L463,-(Setup!$C$13+Setup!$G$30),Setup!$C$39:$C$50))&gt;=Setup!$C$15,MONTH(WORKDAY(L463,-(Setup!$C$13+Setup!$G$30),Setup!$C$39:$C$50))&lt;=Setup!$C$16),OR(MONTH(WORKDAY(L463,-(Setup!$C$13+Setup!$G$30),Setup!$C$39:$C$50))&gt;=Setup!$C$15,MONTH(WORKDAY(L463,-(Setup!$C$13+Setup!$G$30),Setup!$C$39:$C$50))&lt;=Setup!$C$16))),WORKDAY(L463,-(Setup!$C$13+Setup!$G$30+Setup!$C$14),Setup!$C$39:$C$50),WORKDAY(L463,-(Setup!$C$13+Setup!$G$30),Setup!$C$39:$C$50))+(458*100+11)/10000000)))</f>
        <v/>
      </c>
      <c r="AC463" t="str">
        <f>IF(M463="","",IF(M463&lt;Setup!$C$5-Setup!$C$6,"",IF(IF(ISNUMBER(Roster!$D463),Setup!$C$31&lt;=Roster!$D463,FALSE),"",IF(OR(IF(Setup!$C$15&lt;=Setup!$C$16,AND(MONTH(M463)&gt;=Setup!$C$15,MONTH(M463)&lt;=Setup!$C$16),OR(MONTH(M463)&gt;=Setup!$C$15,MONTH(M463)&lt;=Setup!$C$16)),IF(Setup!$C$15&lt;=Setup!$C$16,AND(MONTH(WORKDAY(M463,-(Setup!$C$13+Setup!$G$31),Setup!$C$39:$C$50))&gt;=Setup!$C$15,MONTH(WORKDAY(M463,-(Setup!$C$13+Setup!$G$31),Setup!$C$39:$C$50))&lt;=Setup!$C$16),OR(MONTH(WORKDAY(M463,-(Setup!$C$13+Setup!$G$31),Setup!$C$39:$C$50))&gt;=Setup!$C$15,MONTH(WORKDAY(M463,-(Setup!$C$13+Setup!$G$31),Setup!$C$39:$C$50))&lt;=Setup!$C$16))),WORKDAY(M463,-(Setup!$C$13+Setup!$G$31+Setup!$C$14),Setup!$C$39:$C$50),WORKDAY(M463,-(Setup!$C$13+Setup!$G$31),Setup!$C$39:$C$50))+(458*100+12)/10000000)))</f>
        <v/>
      </c>
      <c r="AD463" t="str">
        <f>IF(N463="","",IF(N463&lt;Setup!$C$5-Setup!$C$6,"",IF(IF(ISNUMBER(Roster!$D463),Setup!$C$32&lt;=Roster!$D463,FALSE),"",IF(OR(IF(Setup!$C$15&lt;=Setup!$C$16,AND(MONTH(N463)&gt;=Setup!$C$15,MONTH(N463)&lt;=Setup!$C$16),OR(MONTH(N463)&gt;=Setup!$C$15,MONTH(N463)&lt;=Setup!$C$16)),IF(Setup!$C$15&lt;=Setup!$C$16,AND(MONTH(WORKDAY(N463,-(Setup!$C$13+Setup!$G$32),Setup!$C$39:$C$50))&gt;=Setup!$C$15,MONTH(WORKDAY(N463,-(Setup!$C$13+Setup!$G$32),Setup!$C$39:$C$50))&lt;=Setup!$C$16),OR(MONTH(WORKDAY(N463,-(Setup!$C$13+Setup!$G$32),Setup!$C$39:$C$50))&gt;=Setup!$C$15,MONTH(WORKDAY(N463,-(Setup!$C$13+Setup!$G$32),Setup!$C$39:$C$50))&lt;=Setup!$C$16))),WORKDAY(N463,-(Setup!$C$13+Setup!$G$32+Setup!$C$14),Setup!$C$39:$C$50),WORKDAY(N463,-(Setup!$C$13+Setup!$G$32),Setup!$C$39:$C$50))+(458*100+13)/10000000)))</f>
        <v/>
      </c>
      <c r="AE463" t="str">
        <f>IF(O463="","",IF(O463&lt;Setup!$C$5-Setup!$C$6,"",IF(IF(ISNUMBER(Roster!$D463),Setup!$C$33&lt;=Roster!$D463,FALSE),"",IF(OR(IF(Setup!$C$15&lt;=Setup!$C$16,AND(MONTH(O463)&gt;=Setup!$C$15,MONTH(O463)&lt;=Setup!$C$16),OR(MONTH(O463)&gt;=Setup!$C$15,MONTH(O463)&lt;=Setup!$C$16)),IF(Setup!$C$15&lt;=Setup!$C$16,AND(MONTH(WORKDAY(O463,-(Setup!$C$13+Setup!$G$33),Setup!$C$39:$C$50))&gt;=Setup!$C$15,MONTH(WORKDAY(O463,-(Setup!$C$13+Setup!$G$33),Setup!$C$39:$C$50))&lt;=Setup!$C$16),OR(MONTH(WORKDAY(O463,-(Setup!$C$13+Setup!$G$33),Setup!$C$39:$C$50))&gt;=Setup!$C$15,MONTH(WORKDAY(O463,-(Setup!$C$13+Setup!$G$33),Setup!$C$39:$C$50))&lt;=Setup!$C$16))),WORKDAY(O463,-(Setup!$C$13+Setup!$G$33+Setup!$C$14),Setup!$C$39:$C$50),WORKDAY(O463,-(Setup!$C$13+Setup!$G$33),Setup!$C$39:$C$50))+(458*100+14)/10000000)))</f>
        <v/>
      </c>
      <c r="AF463" t="str">
        <f>IF(P463="","",IF(P463&lt;Setup!$C$5-Setup!$C$6,"",IF(IF(ISNUMBER(Roster!$D463),Setup!$C$34&lt;=Roster!$D463,FALSE),"",IF(OR(IF(Setup!$C$15&lt;=Setup!$C$16,AND(MONTH(P463)&gt;=Setup!$C$15,MONTH(P463)&lt;=Setup!$C$16),OR(MONTH(P463)&gt;=Setup!$C$15,MONTH(P463)&lt;=Setup!$C$16)),IF(Setup!$C$15&lt;=Setup!$C$16,AND(MONTH(WORKDAY(P463,-(Setup!$C$13+Setup!$G$34),Setup!$C$39:$C$50))&gt;=Setup!$C$15,MONTH(WORKDAY(P463,-(Setup!$C$13+Setup!$G$34),Setup!$C$39:$C$50))&lt;=Setup!$C$16),OR(MONTH(WORKDAY(P463,-(Setup!$C$13+Setup!$G$34),Setup!$C$39:$C$50))&gt;=Setup!$C$15,MONTH(WORKDAY(P463,-(Setup!$C$13+Setup!$G$34),Setup!$C$39:$C$50))&lt;=Setup!$C$16))),WORKDAY(P463,-(Setup!$C$13+Setup!$G$34+Setup!$C$14),Setup!$C$39:$C$50),WORKDAY(P463,-(Setup!$C$13+Setup!$G$34),Setup!$C$39:$C$50))+(458*100+15)/10000000)))</f>
        <v/>
      </c>
      <c r="AH463" t="str">
        <f t="shared" si="51"/>
        <v/>
      </c>
      <c r="AI463" t="str">
        <f t="shared" si="52"/>
        <v/>
      </c>
      <c r="AP463" t="str">
        <f>IF(ISNUMBER(Roster!$B463),MAX(1,YEAR(Setup!$C$5)-YEAR(Roster!$B463)+IF(EDATE(Roster!$B463,12*(YEAR(Setup!$C$5)-YEAR(Roster!$B463)))&lt;Setup!$C$5,1,0)),"")</f>
        <v/>
      </c>
      <c r="AQ463" s="32" t="str">
        <f>IF(AP463="","",EDATE(Roster!$B463,12*AP463))</f>
        <v/>
      </c>
      <c r="AR463" t="str">
        <f>IF(AQ463="","",IF(AQ463&lt;DATE(YEAR(Setup!$C$5)+1,MONTH(Setup!$C$5),DAY(Setup!$C$5)),AQ463+458/1000,""))</f>
        <v/>
      </c>
      <c r="AS463" t="str">
        <f t="shared" si="53"/>
        <v/>
      </c>
      <c r="AT463" t="str">
        <f>IF(AS463="","",IF(ISNUMBER(Roster!$D463),Roster!$D463&gt;=AP463,FALSE))</f>
        <v/>
      </c>
      <c r="AU463" t="str">
        <f t="shared" si="54"/>
        <v/>
      </c>
      <c r="AV463" t="str">
        <f ca="1">IF(458&gt;$AV$2,"",SMALL($AR$6:$AR$505,458))</f>
        <v/>
      </c>
      <c r="AW463" t="str">
        <f t="shared" ca="1" si="55"/>
        <v/>
      </c>
    </row>
    <row r="464" spans="2:49" x14ac:dyDescent="0.2">
      <c r="B464" s="32" t="str">
        <f>IF(AND(ISNUMBER(Roster!$B464),Setup!$B$20="Yes",ISNUMBER(Setup!$C$20)),EDATE(Roster!$B464,12*Setup!$C$20),"")</f>
        <v/>
      </c>
      <c r="C464" s="32" t="str">
        <f>IF(AND(ISNUMBER(Roster!$B464),Setup!$B$21="Yes",ISNUMBER(Setup!$C$21)),EDATE(Roster!$B464,12*Setup!$C$21),"")</f>
        <v/>
      </c>
      <c r="D464" s="32" t="str">
        <f>IF(AND(ISNUMBER(Roster!$B464),Setup!$B$22="Yes",ISNUMBER(Setup!$C$22)),EDATE(Roster!$B464,12*Setup!$C$22),"")</f>
        <v/>
      </c>
      <c r="E464" s="32" t="str">
        <f>IF(AND(ISNUMBER(Roster!$B464),Setup!$B$23="Yes",ISNUMBER(Setup!$C$23)),EDATE(Roster!$B464,12*Setup!$C$23),"")</f>
        <v/>
      </c>
      <c r="F464" s="32" t="str">
        <f>IF(AND(ISNUMBER(Roster!$B464),Setup!$B$24="Yes",ISNUMBER(Setup!$C$24)),EDATE(Roster!$B464,12*Setup!$C$24),"")</f>
        <v/>
      </c>
      <c r="G464" s="32" t="str">
        <f>IF(AND(ISNUMBER(Roster!$B464),Setup!$B$25="Yes",ISNUMBER(Setup!$C$25)),EDATE(Roster!$B464,12*Setup!$C$25),"")</f>
        <v/>
      </c>
      <c r="H464" s="32" t="str">
        <f>IF(AND(ISNUMBER(Roster!$B464),Setup!$B$26="Yes",ISNUMBER(Setup!$C$26)),EDATE(Roster!$B464,12*Setup!$C$26),"")</f>
        <v/>
      </c>
      <c r="I464" s="32" t="str">
        <f>IF(AND(ISNUMBER(Roster!$B464),Setup!$B$27="Yes",ISNUMBER(Setup!$C$27)),EDATE(Roster!$B464,12*Setup!$C$27),"")</f>
        <v/>
      </c>
      <c r="J464" s="32" t="str">
        <f>IF(AND(ISNUMBER(Roster!$B464),Setup!$B$28="Yes",ISNUMBER(Setup!$C$28)),EDATE(Roster!$B464,12*Setup!$C$28),"")</f>
        <v/>
      </c>
      <c r="K464" s="32" t="str">
        <f>IF(AND(ISNUMBER(Roster!$B464),Setup!$B$29="Yes",ISNUMBER(Setup!$C$29)),EDATE(Roster!$B464,12*Setup!$C$29),"")</f>
        <v/>
      </c>
      <c r="L464" s="32" t="str">
        <f>IF(AND(ISNUMBER(Roster!$B464),Setup!$B$30="Yes",ISNUMBER(Setup!$C$30)),EDATE(Roster!$B464,12*Setup!$C$30),"")</f>
        <v/>
      </c>
      <c r="M464" s="32" t="str">
        <f>IF(AND(ISNUMBER(Roster!$B464),Setup!$B$31="Yes",ISNUMBER(Setup!$C$31)),EDATE(Roster!$B464,12*Setup!$C$31),"")</f>
        <v/>
      </c>
      <c r="N464" s="32" t="str">
        <f>IF(AND(ISNUMBER(Roster!$B464),Setup!$B$32="Yes",ISNUMBER(Setup!$C$32)),EDATE(Roster!$B464,12*Setup!$C$32),"")</f>
        <v/>
      </c>
      <c r="O464" s="32" t="str">
        <f>IF(AND(ISNUMBER(Roster!$B464),Setup!$B$33="Yes",ISNUMBER(Setup!$C$33)),EDATE(Roster!$B464,12*Setup!$C$33),"")</f>
        <v/>
      </c>
      <c r="P464" s="32" t="str">
        <f>IF(AND(ISNUMBER(Roster!$B464),Setup!$B$34="Yes",ISNUMBER(Setup!$C$34)),EDATE(Roster!$B464,12*Setup!$C$34),"")</f>
        <v/>
      </c>
      <c r="R464" t="str">
        <f>IF(B464="","",IF(B464&lt;Setup!$C$5-Setup!$C$6,"",IF(IF(ISNUMBER(Roster!$D464),Setup!$C$20&lt;=Roster!$D464,FALSE),"",IF(OR(IF(Setup!$C$15&lt;=Setup!$C$16,AND(MONTH(B464)&gt;=Setup!$C$15,MONTH(B464)&lt;=Setup!$C$16),OR(MONTH(B464)&gt;=Setup!$C$15,MONTH(B464)&lt;=Setup!$C$16)),IF(Setup!$C$15&lt;=Setup!$C$16,AND(MONTH(WORKDAY(B464,-(Setup!$C$13+Setup!$G$20),Setup!$C$39:$C$50))&gt;=Setup!$C$15,MONTH(WORKDAY(B464,-(Setup!$C$13+Setup!$G$20),Setup!$C$39:$C$50))&lt;=Setup!$C$16),OR(MONTH(WORKDAY(B464,-(Setup!$C$13+Setup!$G$20),Setup!$C$39:$C$50))&gt;=Setup!$C$15,MONTH(WORKDAY(B464,-(Setup!$C$13+Setup!$G$20),Setup!$C$39:$C$50))&lt;=Setup!$C$16))),WORKDAY(B464,-(Setup!$C$13+Setup!$G$20+Setup!$C$14),Setup!$C$39:$C$50),WORKDAY(B464,-(Setup!$C$13+Setup!$G$20),Setup!$C$39:$C$50))+(459*100+1)/10000000)))</f>
        <v/>
      </c>
      <c r="S464" t="str">
        <f>IF(C464="","",IF(C464&lt;Setup!$C$5-Setup!$C$6,"",IF(IF(ISNUMBER(Roster!$D464),Setup!$C$21&lt;=Roster!$D464,FALSE),"",IF(OR(IF(Setup!$C$15&lt;=Setup!$C$16,AND(MONTH(C464)&gt;=Setup!$C$15,MONTH(C464)&lt;=Setup!$C$16),OR(MONTH(C464)&gt;=Setup!$C$15,MONTH(C464)&lt;=Setup!$C$16)),IF(Setup!$C$15&lt;=Setup!$C$16,AND(MONTH(WORKDAY(C464,-(Setup!$C$13+Setup!$G$21),Setup!$C$39:$C$50))&gt;=Setup!$C$15,MONTH(WORKDAY(C464,-(Setup!$C$13+Setup!$G$21),Setup!$C$39:$C$50))&lt;=Setup!$C$16),OR(MONTH(WORKDAY(C464,-(Setup!$C$13+Setup!$G$21),Setup!$C$39:$C$50))&gt;=Setup!$C$15,MONTH(WORKDAY(C464,-(Setup!$C$13+Setup!$G$21),Setup!$C$39:$C$50))&lt;=Setup!$C$16))),WORKDAY(C464,-(Setup!$C$13+Setup!$G$21+Setup!$C$14),Setup!$C$39:$C$50),WORKDAY(C464,-(Setup!$C$13+Setup!$G$21),Setup!$C$39:$C$50))+(459*100+2)/10000000)))</f>
        <v/>
      </c>
      <c r="T464" t="str">
        <f>IF(D464="","",IF(D464&lt;Setup!$C$5-Setup!$C$6,"",IF(IF(ISNUMBER(Roster!$D464),Setup!$C$22&lt;=Roster!$D464,FALSE),"",IF(OR(IF(Setup!$C$15&lt;=Setup!$C$16,AND(MONTH(D464)&gt;=Setup!$C$15,MONTH(D464)&lt;=Setup!$C$16),OR(MONTH(D464)&gt;=Setup!$C$15,MONTH(D464)&lt;=Setup!$C$16)),IF(Setup!$C$15&lt;=Setup!$C$16,AND(MONTH(WORKDAY(D464,-(Setup!$C$13+Setup!$G$22),Setup!$C$39:$C$50))&gt;=Setup!$C$15,MONTH(WORKDAY(D464,-(Setup!$C$13+Setup!$G$22),Setup!$C$39:$C$50))&lt;=Setup!$C$16),OR(MONTH(WORKDAY(D464,-(Setup!$C$13+Setup!$G$22),Setup!$C$39:$C$50))&gt;=Setup!$C$15,MONTH(WORKDAY(D464,-(Setup!$C$13+Setup!$G$22),Setup!$C$39:$C$50))&lt;=Setup!$C$16))),WORKDAY(D464,-(Setup!$C$13+Setup!$G$22+Setup!$C$14),Setup!$C$39:$C$50),WORKDAY(D464,-(Setup!$C$13+Setup!$G$22),Setup!$C$39:$C$50))+(459*100+3)/10000000)))</f>
        <v/>
      </c>
      <c r="U464" t="str">
        <f>IF(E464="","",IF(E464&lt;Setup!$C$5-Setup!$C$6,"",IF(IF(ISNUMBER(Roster!$D464),Setup!$C$23&lt;=Roster!$D464,FALSE),"",IF(OR(IF(Setup!$C$15&lt;=Setup!$C$16,AND(MONTH(E464)&gt;=Setup!$C$15,MONTH(E464)&lt;=Setup!$C$16),OR(MONTH(E464)&gt;=Setup!$C$15,MONTH(E464)&lt;=Setup!$C$16)),IF(Setup!$C$15&lt;=Setup!$C$16,AND(MONTH(WORKDAY(E464,-(Setup!$C$13+Setup!$G$23),Setup!$C$39:$C$50))&gt;=Setup!$C$15,MONTH(WORKDAY(E464,-(Setup!$C$13+Setup!$G$23),Setup!$C$39:$C$50))&lt;=Setup!$C$16),OR(MONTH(WORKDAY(E464,-(Setup!$C$13+Setup!$G$23),Setup!$C$39:$C$50))&gt;=Setup!$C$15,MONTH(WORKDAY(E464,-(Setup!$C$13+Setup!$G$23),Setup!$C$39:$C$50))&lt;=Setup!$C$16))),WORKDAY(E464,-(Setup!$C$13+Setup!$G$23+Setup!$C$14),Setup!$C$39:$C$50),WORKDAY(E464,-(Setup!$C$13+Setup!$G$23),Setup!$C$39:$C$50))+(459*100+4)/10000000)))</f>
        <v/>
      </c>
      <c r="V464" t="str">
        <f>IF(F464="","",IF(F464&lt;Setup!$C$5-Setup!$C$6,"",IF(IF(ISNUMBER(Roster!$D464),Setup!$C$24&lt;=Roster!$D464,FALSE),"",IF(OR(IF(Setup!$C$15&lt;=Setup!$C$16,AND(MONTH(F464)&gt;=Setup!$C$15,MONTH(F464)&lt;=Setup!$C$16),OR(MONTH(F464)&gt;=Setup!$C$15,MONTH(F464)&lt;=Setup!$C$16)),IF(Setup!$C$15&lt;=Setup!$C$16,AND(MONTH(WORKDAY(F464,-(Setup!$C$13+Setup!$G$24),Setup!$C$39:$C$50))&gt;=Setup!$C$15,MONTH(WORKDAY(F464,-(Setup!$C$13+Setup!$G$24),Setup!$C$39:$C$50))&lt;=Setup!$C$16),OR(MONTH(WORKDAY(F464,-(Setup!$C$13+Setup!$G$24),Setup!$C$39:$C$50))&gt;=Setup!$C$15,MONTH(WORKDAY(F464,-(Setup!$C$13+Setup!$G$24),Setup!$C$39:$C$50))&lt;=Setup!$C$16))),WORKDAY(F464,-(Setup!$C$13+Setup!$G$24+Setup!$C$14),Setup!$C$39:$C$50),WORKDAY(F464,-(Setup!$C$13+Setup!$G$24),Setup!$C$39:$C$50))+(459*100+5)/10000000)))</f>
        <v/>
      </c>
      <c r="W464" t="str">
        <f>IF(G464="","",IF(G464&lt;Setup!$C$5-Setup!$C$6,"",IF(IF(ISNUMBER(Roster!$D464),Setup!$C$25&lt;=Roster!$D464,FALSE),"",IF(OR(IF(Setup!$C$15&lt;=Setup!$C$16,AND(MONTH(G464)&gt;=Setup!$C$15,MONTH(G464)&lt;=Setup!$C$16),OR(MONTH(G464)&gt;=Setup!$C$15,MONTH(G464)&lt;=Setup!$C$16)),IF(Setup!$C$15&lt;=Setup!$C$16,AND(MONTH(WORKDAY(G464,-(Setup!$C$13+Setup!$G$25),Setup!$C$39:$C$50))&gt;=Setup!$C$15,MONTH(WORKDAY(G464,-(Setup!$C$13+Setup!$G$25),Setup!$C$39:$C$50))&lt;=Setup!$C$16),OR(MONTH(WORKDAY(G464,-(Setup!$C$13+Setup!$G$25),Setup!$C$39:$C$50))&gt;=Setup!$C$15,MONTH(WORKDAY(G464,-(Setup!$C$13+Setup!$G$25),Setup!$C$39:$C$50))&lt;=Setup!$C$16))),WORKDAY(G464,-(Setup!$C$13+Setup!$G$25+Setup!$C$14),Setup!$C$39:$C$50),WORKDAY(G464,-(Setup!$C$13+Setup!$G$25),Setup!$C$39:$C$50))+(459*100+6)/10000000)))</f>
        <v/>
      </c>
      <c r="X464" t="str">
        <f>IF(H464="","",IF(H464&lt;Setup!$C$5-Setup!$C$6,"",IF(IF(ISNUMBER(Roster!$D464),Setup!$C$26&lt;=Roster!$D464,FALSE),"",IF(OR(IF(Setup!$C$15&lt;=Setup!$C$16,AND(MONTH(H464)&gt;=Setup!$C$15,MONTH(H464)&lt;=Setup!$C$16),OR(MONTH(H464)&gt;=Setup!$C$15,MONTH(H464)&lt;=Setup!$C$16)),IF(Setup!$C$15&lt;=Setup!$C$16,AND(MONTH(WORKDAY(H464,-(Setup!$C$13+Setup!$G$26),Setup!$C$39:$C$50))&gt;=Setup!$C$15,MONTH(WORKDAY(H464,-(Setup!$C$13+Setup!$G$26),Setup!$C$39:$C$50))&lt;=Setup!$C$16),OR(MONTH(WORKDAY(H464,-(Setup!$C$13+Setup!$G$26),Setup!$C$39:$C$50))&gt;=Setup!$C$15,MONTH(WORKDAY(H464,-(Setup!$C$13+Setup!$G$26),Setup!$C$39:$C$50))&lt;=Setup!$C$16))),WORKDAY(H464,-(Setup!$C$13+Setup!$G$26+Setup!$C$14),Setup!$C$39:$C$50),WORKDAY(H464,-(Setup!$C$13+Setup!$G$26),Setup!$C$39:$C$50))+(459*100+7)/10000000)))</f>
        <v/>
      </c>
      <c r="Y464" t="str">
        <f>IF(I464="","",IF(I464&lt;Setup!$C$5-Setup!$C$6,"",IF(IF(ISNUMBER(Roster!$D464),Setup!$C$27&lt;=Roster!$D464,FALSE),"",IF(OR(IF(Setup!$C$15&lt;=Setup!$C$16,AND(MONTH(I464)&gt;=Setup!$C$15,MONTH(I464)&lt;=Setup!$C$16),OR(MONTH(I464)&gt;=Setup!$C$15,MONTH(I464)&lt;=Setup!$C$16)),IF(Setup!$C$15&lt;=Setup!$C$16,AND(MONTH(WORKDAY(I464,-(Setup!$C$13+Setup!$G$27),Setup!$C$39:$C$50))&gt;=Setup!$C$15,MONTH(WORKDAY(I464,-(Setup!$C$13+Setup!$G$27),Setup!$C$39:$C$50))&lt;=Setup!$C$16),OR(MONTH(WORKDAY(I464,-(Setup!$C$13+Setup!$G$27),Setup!$C$39:$C$50))&gt;=Setup!$C$15,MONTH(WORKDAY(I464,-(Setup!$C$13+Setup!$G$27),Setup!$C$39:$C$50))&lt;=Setup!$C$16))),WORKDAY(I464,-(Setup!$C$13+Setup!$G$27+Setup!$C$14),Setup!$C$39:$C$50),WORKDAY(I464,-(Setup!$C$13+Setup!$G$27),Setup!$C$39:$C$50))+(459*100+8)/10000000)))</f>
        <v/>
      </c>
      <c r="Z464" t="str">
        <f>IF(J464="","",IF(J464&lt;Setup!$C$5-Setup!$C$6,"",IF(IF(ISNUMBER(Roster!$D464),Setup!$C$28&lt;=Roster!$D464,FALSE),"",IF(OR(IF(Setup!$C$15&lt;=Setup!$C$16,AND(MONTH(J464)&gt;=Setup!$C$15,MONTH(J464)&lt;=Setup!$C$16),OR(MONTH(J464)&gt;=Setup!$C$15,MONTH(J464)&lt;=Setup!$C$16)),IF(Setup!$C$15&lt;=Setup!$C$16,AND(MONTH(WORKDAY(J464,-(Setup!$C$13+Setup!$G$28),Setup!$C$39:$C$50))&gt;=Setup!$C$15,MONTH(WORKDAY(J464,-(Setup!$C$13+Setup!$G$28),Setup!$C$39:$C$50))&lt;=Setup!$C$16),OR(MONTH(WORKDAY(J464,-(Setup!$C$13+Setup!$G$28),Setup!$C$39:$C$50))&gt;=Setup!$C$15,MONTH(WORKDAY(J464,-(Setup!$C$13+Setup!$G$28),Setup!$C$39:$C$50))&lt;=Setup!$C$16))),WORKDAY(J464,-(Setup!$C$13+Setup!$G$28+Setup!$C$14),Setup!$C$39:$C$50),WORKDAY(J464,-(Setup!$C$13+Setup!$G$28),Setup!$C$39:$C$50))+(459*100+9)/10000000)))</f>
        <v/>
      </c>
      <c r="AA464" t="str">
        <f>IF(K464="","",IF(K464&lt;Setup!$C$5-Setup!$C$6,"",IF(IF(ISNUMBER(Roster!$D464),Setup!$C$29&lt;=Roster!$D464,FALSE),"",IF(OR(IF(Setup!$C$15&lt;=Setup!$C$16,AND(MONTH(K464)&gt;=Setup!$C$15,MONTH(K464)&lt;=Setup!$C$16),OR(MONTH(K464)&gt;=Setup!$C$15,MONTH(K464)&lt;=Setup!$C$16)),IF(Setup!$C$15&lt;=Setup!$C$16,AND(MONTH(WORKDAY(K464,-(Setup!$C$13+Setup!$G$29),Setup!$C$39:$C$50))&gt;=Setup!$C$15,MONTH(WORKDAY(K464,-(Setup!$C$13+Setup!$G$29),Setup!$C$39:$C$50))&lt;=Setup!$C$16),OR(MONTH(WORKDAY(K464,-(Setup!$C$13+Setup!$G$29),Setup!$C$39:$C$50))&gt;=Setup!$C$15,MONTH(WORKDAY(K464,-(Setup!$C$13+Setup!$G$29),Setup!$C$39:$C$50))&lt;=Setup!$C$16))),WORKDAY(K464,-(Setup!$C$13+Setup!$G$29+Setup!$C$14),Setup!$C$39:$C$50),WORKDAY(K464,-(Setup!$C$13+Setup!$G$29),Setup!$C$39:$C$50))+(459*100+10)/10000000)))</f>
        <v/>
      </c>
      <c r="AB464" t="str">
        <f>IF(L464="","",IF(L464&lt;Setup!$C$5-Setup!$C$6,"",IF(IF(ISNUMBER(Roster!$D464),Setup!$C$30&lt;=Roster!$D464,FALSE),"",IF(OR(IF(Setup!$C$15&lt;=Setup!$C$16,AND(MONTH(L464)&gt;=Setup!$C$15,MONTH(L464)&lt;=Setup!$C$16),OR(MONTH(L464)&gt;=Setup!$C$15,MONTH(L464)&lt;=Setup!$C$16)),IF(Setup!$C$15&lt;=Setup!$C$16,AND(MONTH(WORKDAY(L464,-(Setup!$C$13+Setup!$G$30),Setup!$C$39:$C$50))&gt;=Setup!$C$15,MONTH(WORKDAY(L464,-(Setup!$C$13+Setup!$G$30),Setup!$C$39:$C$50))&lt;=Setup!$C$16),OR(MONTH(WORKDAY(L464,-(Setup!$C$13+Setup!$G$30),Setup!$C$39:$C$50))&gt;=Setup!$C$15,MONTH(WORKDAY(L464,-(Setup!$C$13+Setup!$G$30),Setup!$C$39:$C$50))&lt;=Setup!$C$16))),WORKDAY(L464,-(Setup!$C$13+Setup!$G$30+Setup!$C$14),Setup!$C$39:$C$50),WORKDAY(L464,-(Setup!$C$13+Setup!$G$30),Setup!$C$39:$C$50))+(459*100+11)/10000000)))</f>
        <v/>
      </c>
      <c r="AC464" t="str">
        <f>IF(M464="","",IF(M464&lt;Setup!$C$5-Setup!$C$6,"",IF(IF(ISNUMBER(Roster!$D464),Setup!$C$31&lt;=Roster!$D464,FALSE),"",IF(OR(IF(Setup!$C$15&lt;=Setup!$C$16,AND(MONTH(M464)&gt;=Setup!$C$15,MONTH(M464)&lt;=Setup!$C$16),OR(MONTH(M464)&gt;=Setup!$C$15,MONTH(M464)&lt;=Setup!$C$16)),IF(Setup!$C$15&lt;=Setup!$C$16,AND(MONTH(WORKDAY(M464,-(Setup!$C$13+Setup!$G$31),Setup!$C$39:$C$50))&gt;=Setup!$C$15,MONTH(WORKDAY(M464,-(Setup!$C$13+Setup!$G$31),Setup!$C$39:$C$50))&lt;=Setup!$C$16),OR(MONTH(WORKDAY(M464,-(Setup!$C$13+Setup!$G$31),Setup!$C$39:$C$50))&gt;=Setup!$C$15,MONTH(WORKDAY(M464,-(Setup!$C$13+Setup!$G$31),Setup!$C$39:$C$50))&lt;=Setup!$C$16))),WORKDAY(M464,-(Setup!$C$13+Setup!$G$31+Setup!$C$14),Setup!$C$39:$C$50),WORKDAY(M464,-(Setup!$C$13+Setup!$G$31),Setup!$C$39:$C$50))+(459*100+12)/10000000)))</f>
        <v/>
      </c>
      <c r="AD464" t="str">
        <f>IF(N464="","",IF(N464&lt;Setup!$C$5-Setup!$C$6,"",IF(IF(ISNUMBER(Roster!$D464),Setup!$C$32&lt;=Roster!$D464,FALSE),"",IF(OR(IF(Setup!$C$15&lt;=Setup!$C$16,AND(MONTH(N464)&gt;=Setup!$C$15,MONTH(N464)&lt;=Setup!$C$16),OR(MONTH(N464)&gt;=Setup!$C$15,MONTH(N464)&lt;=Setup!$C$16)),IF(Setup!$C$15&lt;=Setup!$C$16,AND(MONTH(WORKDAY(N464,-(Setup!$C$13+Setup!$G$32),Setup!$C$39:$C$50))&gt;=Setup!$C$15,MONTH(WORKDAY(N464,-(Setup!$C$13+Setup!$G$32),Setup!$C$39:$C$50))&lt;=Setup!$C$16),OR(MONTH(WORKDAY(N464,-(Setup!$C$13+Setup!$G$32),Setup!$C$39:$C$50))&gt;=Setup!$C$15,MONTH(WORKDAY(N464,-(Setup!$C$13+Setup!$G$32),Setup!$C$39:$C$50))&lt;=Setup!$C$16))),WORKDAY(N464,-(Setup!$C$13+Setup!$G$32+Setup!$C$14),Setup!$C$39:$C$50),WORKDAY(N464,-(Setup!$C$13+Setup!$G$32),Setup!$C$39:$C$50))+(459*100+13)/10000000)))</f>
        <v/>
      </c>
      <c r="AE464" t="str">
        <f>IF(O464="","",IF(O464&lt;Setup!$C$5-Setup!$C$6,"",IF(IF(ISNUMBER(Roster!$D464),Setup!$C$33&lt;=Roster!$D464,FALSE),"",IF(OR(IF(Setup!$C$15&lt;=Setup!$C$16,AND(MONTH(O464)&gt;=Setup!$C$15,MONTH(O464)&lt;=Setup!$C$16),OR(MONTH(O464)&gt;=Setup!$C$15,MONTH(O464)&lt;=Setup!$C$16)),IF(Setup!$C$15&lt;=Setup!$C$16,AND(MONTH(WORKDAY(O464,-(Setup!$C$13+Setup!$G$33),Setup!$C$39:$C$50))&gt;=Setup!$C$15,MONTH(WORKDAY(O464,-(Setup!$C$13+Setup!$G$33),Setup!$C$39:$C$50))&lt;=Setup!$C$16),OR(MONTH(WORKDAY(O464,-(Setup!$C$13+Setup!$G$33),Setup!$C$39:$C$50))&gt;=Setup!$C$15,MONTH(WORKDAY(O464,-(Setup!$C$13+Setup!$G$33),Setup!$C$39:$C$50))&lt;=Setup!$C$16))),WORKDAY(O464,-(Setup!$C$13+Setup!$G$33+Setup!$C$14),Setup!$C$39:$C$50),WORKDAY(O464,-(Setup!$C$13+Setup!$G$33),Setup!$C$39:$C$50))+(459*100+14)/10000000)))</f>
        <v/>
      </c>
      <c r="AF464" t="str">
        <f>IF(P464="","",IF(P464&lt;Setup!$C$5-Setup!$C$6,"",IF(IF(ISNUMBER(Roster!$D464),Setup!$C$34&lt;=Roster!$D464,FALSE),"",IF(OR(IF(Setup!$C$15&lt;=Setup!$C$16,AND(MONTH(P464)&gt;=Setup!$C$15,MONTH(P464)&lt;=Setup!$C$16),OR(MONTH(P464)&gt;=Setup!$C$15,MONTH(P464)&lt;=Setup!$C$16)),IF(Setup!$C$15&lt;=Setup!$C$16,AND(MONTH(WORKDAY(P464,-(Setup!$C$13+Setup!$G$34),Setup!$C$39:$C$50))&gt;=Setup!$C$15,MONTH(WORKDAY(P464,-(Setup!$C$13+Setup!$G$34),Setup!$C$39:$C$50))&lt;=Setup!$C$16),OR(MONTH(WORKDAY(P464,-(Setup!$C$13+Setup!$G$34),Setup!$C$39:$C$50))&gt;=Setup!$C$15,MONTH(WORKDAY(P464,-(Setup!$C$13+Setup!$G$34),Setup!$C$39:$C$50))&lt;=Setup!$C$16))),WORKDAY(P464,-(Setup!$C$13+Setup!$G$34+Setup!$C$14),Setup!$C$39:$C$50),WORKDAY(P464,-(Setup!$C$13+Setup!$G$34),Setup!$C$39:$C$50))+(459*100+15)/10000000)))</f>
        <v/>
      </c>
      <c r="AH464" t="str">
        <f t="shared" si="51"/>
        <v/>
      </c>
      <c r="AI464" t="str">
        <f t="shared" si="52"/>
        <v/>
      </c>
      <c r="AP464" t="str">
        <f>IF(ISNUMBER(Roster!$B464),MAX(1,YEAR(Setup!$C$5)-YEAR(Roster!$B464)+IF(EDATE(Roster!$B464,12*(YEAR(Setup!$C$5)-YEAR(Roster!$B464)))&lt;Setup!$C$5,1,0)),"")</f>
        <v/>
      </c>
      <c r="AQ464" s="32" t="str">
        <f>IF(AP464="","",EDATE(Roster!$B464,12*AP464))</f>
        <v/>
      </c>
      <c r="AR464" t="str">
        <f>IF(AQ464="","",IF(AQ464&lt;DATE(YEAR(Setup!$C$5)+1,MONTH(Setup!$C$5),DAY(Setup!$C$5)),AQ464+459/1000,""))</f>
        <v/>
      </c>
      <c r="AS464" t="str">
        <f t="shared" si="53"/>
        <v/>
      </c>
      <c r="AT464" t="str">
        <f>IF(AS464="","",IF(ISNUMBER(Roster!$D464),Roster!$D464&gt;=AP464,FALSE))</f>
        <v/>
      </c>
      <c r="AU464" t="str">
        <f t="shared" si="54"/>
        <v/>
      </c>
      <c r="AV464" t="str">
        <f ca="1">IF(459&gt;$AV$2,"",SMALL($AR$6:$AR$505,459))</f>
        <v/>
      </c>
      <c r="AW464" t="str">
        <f t="shared" ca="1" si="55"/>
        <v/>
      </c>
    </row>
    <row r="465" spans="2:49" x14ac:dyDescent="0.2">
      <c r="B465" s="32" t="str">
        <f>IF(AND(ISNUMBER(Roster!$B465),Setup!$B$20="Yes",ISNUMBER(Setup!$C$20)),EDATE(Roster!$B465,12*Setup!$C$20),"")</f>
        <v/>
      </c>
      <c r="C465" s="32" t="str">
        <f>IF(AND(ISNUMBER(Roster!$B465),Setup!$B$21="Yes",ISNUMBER(Setup!$C$21)),EDATE(Roster!$B465,12*Setup!$C$21),"")</f>
        <v/>
      </c>
      <c r="D465" s="32" t="str">
        <f>IF(AND(ISNUMBER(Roster!$B465),Setup!$B$22="Yes",ISNUMBER(Setup!$C$22)),EDATE(Roster!$B465,12*Setup!$C$22),"")</f>
        <v/>
      </c>
      <c r="E465" s="32" t="str">
        <f>IF(AND(ISNUMBER(Roster!$B465),Setup!$B$23="Yes",ISNUMBER(Setup!$C$23)),EDATE(Roster!$B465,12*Setup!$C$23),"")</f>
        <v/>
      </c>
      <c r="F465" s="32" t="str">
        <f>IF(AND(ISNUMBER(Roster!$B465),Setup!$B$24="Yes",ISNUMBER(Setup!$C$24)),EDATE(Roster!$B465,12*Setup!$C$24),"")</f>
        <v/>
      </c>
      <c r="G465" s="32" t="str">
        <f>IF(AND(ISNUMBER(Roster!$B465),Setup!$B$25="Yes",ISNUMBER(Setup!$C$25)),EDATE(Roster!$B465,12*Setup!$C$25),"")</f>
        <v/>
      </c>
      <c r="H465" s="32" t="str">
        <f>IF(AND(ISNUMBER(Roster!$B465),Setup!$B$26="Yes",ISNUMBER(Setup!$C$26)),EDATE(Roster!$B465,12*Setup!$C$26),"")</f>
        <v/>
      </c>
      <c r="I465" s="32" t="str">
        <f>IF(AND(ISNUMBER(Roster!$B465),Setup!$B$27="Yes",ISNUMBER(Setup!$C$27)),EDATE(Roster!$B465,12*Setup!$C$27),"")</f>
        <v/>
      </c>
      <c r="J465" s="32" t="str">
        <f>IF(AND(ISNUMBER(Roster!$B465),Setup!$B$28="Yes",ISNUMBER(Setup!$C$28)),EDATE(Roster!$B465,12*Setup!$C$28),"")</f>
        <v/>
      </c>
      <c r="K465" s="32" t="str">
        <f>IF(AND(ISNUMBER(Roster!$B465),Setup!$B$29="Yes",ISNUMBER(Setup!$C$29)),EDATE(Roster!$B465,12*Setup!$C$29),"")</f>
        <v/>
      </c>
      <c r="L465" s="32" t="str">
        <f>IF(AND(ISNUMBER(Roster!$B465),Setup!$B$30="Yes",ISNUMBER(Setup!$C$30)),EDATE(Roster!$B465,12*Setup!$C$30),"")</f>
        <v/>
      </c>
      <c r="M465" s="32" t="str">
        <f>IF(AND(ISNUMBER(Roster!$B465),Setup!$B$31="Yes",ISNUMBER(Setup!$C$31)),EDATE(Roster!$B465,12*Setup!$C$31),"")</f>
        <v/>
      </c>
      <c r="N465" s="32" t="str">
        <f>IF(AND(ISNUMBER(Roster!$B465),Setup!$B$32="Yes",ISNUMBER(Setup!$C$32)),EDATE(Roster!$B465,12*Setup!$C$32),"")</f>
        <v/>
      </c>
      <c r="O465" s="32" t="str">
        <f>IF(AND(ISNUMBER(Roster!$B465),Setup!$B$33="Yes",ISNUMBER(Setup!$C$33)),EDATE(Roster!$B465,12*Setup!$C$33),"")</f>
        <v/>
      </c>
      <c r="P465" s="32" t="str">
        <f>IF(AND(ISNUMBER(Roster!$B465),Setup!$B$34="Yes",ISNUMBER(Setup!$C$34)),EDATE(Roster!$B465,12*Setup!$C$34),"")</f>
        <v/>
      </c>
      <c r="R465" t="str">
        <f>IF(B465="","",IF(B465&lt;Setup!$C$5-Setup!$C$6,"",IF(IF(ISNUMBER(Roster!$D465),Setup!$C$20&lt;=Roster!$D465,FALSE),"",IF(OR(IF(Setup!$C$15&lt;=Setup!$C$16,AND(MONTH(B465)&gt;=Setup!$C$15,MONTH(B465)&lt;=Setup!$C$16),OR(MONTH(B465)&gt;=Setup!$C$15,MONTH(B465)&lt;=Setup!$C$16)),IF(Setup!$C$15&lt;=Setup!$C$16,AND(MONTH(WORKDAY(B465,-(Setup!$C$13+Setup!$G$20),Setup!$C$39:$C$50))&gt;=Setup!$C$15,MONTH(WORKDAY(B465,-(Setup!$C$13+Setup!$G$20),Setup!$C$39:$C$50))&lt;=Setup!$C$16),OR(MONTH(WORKDAY(B465,-(Setup!$C$13+Setup!$G$20),Setup!$C$39:$C$50))&gt;=Setup!$C$15,MONTH(WORKDAY(B465,-(Setup!$C$13+Setup!$G$20),Setup!$C$39:$C$50))&lt;=Setup!$C$16))),WORKDAY(B465,-(Setup!$C$13+Setup!$G$20+Setup!$C$14),Setup!$C$39:$C$50),WORKDAY(B465,-(Setup!$C$13+Setup!$G$20),Setup!$C$39:$C$50))+(460*100+1)/10000000)))</f>
        <v/>
      </c>
      <c r="S465" t="str">
        <f>IF(C465="","",IF(C465&lt;Setup!$C$5-Setup!$C$6,"",IF(IF(ISNUMBER(Roster!$D465),Setup!$C$21&lt;=Roster!$D465,FALSE),"",IF(OR(IF(Setup!$C$15&lt;=Setup!$C$16,AND(MONTH(C465)&gt;=Setup!$C$15,MONTH(C465)&lt;=Setup!$C$16),OR(MONTH(C465)&gt;=Setup!$C$15,MONTH(C465)&lt;=Setup!$C$16)),IF(Setup!$C$15&lt;=Setup!$C$16,AND(MONTH(WORKDAY(C465,-(Setup!$C$13+Setup!$G$21),Setup!$C$39:$C$50))&gt;=Setup!$C$15,MONTH(WORKDAY(C465,-(Setup!$C$13+Setup!$G$21),Setup!$C$39:$C$50))&lt;=Setup!$C$16),OR(MONTH(WORKDAY(C465,-(Setup!$C$13+Setup!$G$21),Setup!$C$39:$C$50))&gt;=Setup!$C$15,MONTH(WORKDAY(C465,-(Setup!$C$13+Setup!$G$21),Setup!$C$39:$C$50))&lt;=Setup!$C$16))),WORKDAY(C465,-(Setup!$C$13+Setup!$G$21+Setup!$C$14),Setup!$C$39:$C$50),WORKDAY(C465,-(Setup!$C$13+Setup!$G$21),Setup!$C$39:$C$50))+(460*100+2)/10000000)))</f>
        <v/>
      </c>
      <c r="T465" t="str">
        <f>IF(D465="","",IF(D465&lt;Setup!$C$5-Setup!$C$6,"",IF(IF(ISNUMBER(Roster!$D465),Setup!$C$22&lt;=Roster!$D465,FALSE),"",IF(OR(IF(Setup!$C$15&lt;=Setup!$C$16,AND(MONTH(D465)&gt;=Setup!$C$15,MONTH(D465)&lt;=Setup!$C$16),OR(MONTH(D465)&gt;=Setup!$C$15,MONTH(D465)&lt;=Setup!$C$16)),IF(Setup!$C$15&lt;=Setup!$C$16,AND(MONTH(WORKDAY(D465,-(Setup!$C$13+Setup!$G$22),Setup!$C$39:$C$50))&gt;=Setup!$C$15,MONTH(WORKDAY(D465,-(Setup!$C$13+Setup!$G$22),Setup!$C$39:$C$50))&lt;=Setup!$C$16),OR(MONTH(WORKDAY(D465,-(Setup!$C$13+Setup!$G$22),Setup!$C$39:$C$50))&gt;=Setup!$C$15,MONTH(WORKDAY(D465,-(Setup!$C$13+Setup!$G$22),Setup!$C$39:$C$50))&lt;=Setup!$C$16))),WORKDAY(D465,-(Setup!$C$13+Setup!$G$22+Setup!$C$14),Setup!$C$39:$C$50),WORKDAY(D465,-(Setup!$C$13+Setup!$G$22),Setup!$C$39:$C$50))+(460*100+3)/10000000)))</f>
        <v/>
      </c>
      <c r="U465" t="str">
        <f>IF(E465="","",IF(E465&lt;Setup!$C$5-Setup!$C$6,"",IF(IF(ISNUMBER(Roster!$D465),Setup!$C$23&lt;=Roster!$D465,FALSE),"",IF(OR(IF(Setup!$C$15&lt;=Setup!$C$16,AND(MONTH(E465)&gt;=Setup!$C$15,MONTH(E465)&lt;=Setup!$C$16),OR(MONTH(E465)&gt;=Setup!$C$15,MONTH(E465)&lt;=Setup!$C$16)),IF(Setup!$C$15&lt;=Setup!$C$16,AND(MONTH(WORKDAY(E465,-(Setup!$C$13+Setup!$G$23),Setup!$C$39:$C$50))&gt;=Setup!$C$15,MONTH(WORKDAY(E465,-(Setup!$C$13+Setup!$G$23),Setup!$C$39:$C$50))&lt;=Setup!$C$16),OR(MONTH(WORKDAY(E465,-(Setup!$C$13+Setup!$G$23),Setup!$C$39:$C$50))&gt;=Setup!$C$15,MONTH(WORKDAY(E465,-(Setup!$C$13+Setup!$G$23),Setup!$C$39:$C$50))&lt;=Setup!$C$16))),WORKDAY(E465,-(Setup!$C$13+Setup!$G$23+Setup!$C$14),Setup!$C$39:$C$50),WORKDAY(E465,-(Setup!$C$13+Setup!$G$23),Setup!$C$39:$C$50))+(460*100+4)/10000000)))</f>
        <v/>
      </c>
      <c r="V465" t="str">
        <f>IF(F465="","",IF(F465&lt;Setup!$C$5-Setup!$C$6,"",IF(IF(ISNUMBER(Roster!$D465),Setup!$C$24&lt;=Roster!$D465,FALSE),"",IF(OR(IF(Setup!$C$15&lt;=Setup!$C$16,AND(MONTH(F465)&gt;=Setup!$C$15,MONTH(F465)&lt;=Setup!$C$16),OR(MONTH(F465)&gt;=Setup!$C$15,MONTH(F465)&lt;=Setup!$C$16)),IF(Setup!$C$15&lt;=Setup!$C$16,AND(MONTH(WORKDAY(F465,-(Setup!$C$13+Setup!$G$24),Setup!$C$39:$C$50))&gt;=Setup!$C$15,MONTH(WORKDAY(F465,-(Setup!$C$13+Setup!$G$24),Setup!$C$39:$C$50))&lt;=Setup!$C$16),OR(MONTH(WORKDAY(F465,-(Setup!$C$13+Setup!$G$24),Setup!$C$39:$C$50))&gt;=Setup!$C$15,MONTH(WORKDAY(F465,-(Setup!$C$13+Setup!$G$24),Setup!$C$39:$C$50))&lt;=Setup!$C$16))),WORKDAY(F465,-(Setup!$C$13+Setup!$G$24+Setup!$C$14),Setup!$C$39:$C$50),WORKDAY(F465,-(Setup!$C$13+Setup!$G$24),Setup!$C$39:$C$50))+(460*100+5)/10000000)))</f>
        <v/>
      </c>
      <c r="W465" t="str">
        <f>IF(G465="","",IF(G465&lt;Setup!$C$5-Setup!$C$6,"",IF(IF(ISNUMBER(Roster!$D465),Setup!$C$25&lt;=Roster!$D465,FALSE),"",IF(OR(IF(Setup!$C$15&lt;=Setup!$C$16,AND(MONTH(G465)&gt;=Setup!$C$15,MONTH(G465)&lt;=Setup!$C$16),OR(MONTH(G465)&gt;=Setup!$C$15,MONTH(G465)&lt;=Setup!$C$16)),IF(Setup!$C$15&lt;=Setup!$C$16,AND(MONTH(WORKDAY(G465,-(Setup!$C$13+Setup!$G$25),Setup!$C$39:$C$50))&gt;=Setup!$C$15,MONTH(WORKDAY(G465,-(Setup!$C$13+Setup!$G$25),Setup!$C$39:$C$50))&lt;=Setup!$C$16),OR(MONTH(WORKDAY(G465,-(Setup!$C$13+Setup!$G$25),Setup!$C$39:$C$50))&gt;=Setup!$C$15,MONTH(WORKDAY(G465,-(Setup!$C$13+Setup!$G$25),Setup!$C$39:$C$50))&lt;=Setup!$C$16))),WORKDAY(G465,-(Setup!$C$13+Setup!$G$25+Setup!$C$14),Setup!$C$39:$C$50),WORKDAY(G465,-(Setup!$C$13+Setup!$G$25),Setup!$C$39:$C$50))+(460*100+6)/10000000)))</f>
        <v/>
      </c>
      <c r="X465" t="str">
        <f>IF(H465="","",IF(H465&lt;Setup!$C$5-Setup!$C$6,"",IF(IF(ISNUMBER(Roster!$D465),Setup!$C$26&lt;=Roster!$D465,FALSE),"",IF(OR(IF(Setup!$C$15&lt;=Setup!$C$16,AND(MONTH(H465)&gt;=Setup!$C$15,MONTH(H465)&lt;=Setup!$C$16),OR(MONTH(H465)&gt;=Setup!$C$15,MONTH(H465)&lt;=Setup!$C$16)),IF(Setup!$C$15&lt;=Setup!$C$16,AND(MONTH(WORKDAY(H465,-(Setup!$C$13+Setup!$G$26),Setup!$C$39:$C$50))&gt;=Setup!$C$15,MONTH(WORKDAY(H465,-(Setup!$C$13+Setup!$G$26),Setup!$C$39:$C$50))&lt;=Setup!$C$16),OR(MONTH(WORKDAY(H465,-(Setup!$C$13+Setup!$G$26),Setup!$C$39:$C$50))&gt;=Setup!$C$15,MONTH(WORKDAY(H465,-(Setup!$C$13+Setup!$G$26),Setup!$C$39:$C$50))&lt;=Setup!$C$16))),WORKDAY(H465,-(Setup!$C$13+Setup!$G$26+Setup!$C$14),Setup!$C$39:$C$50),WORKDAY(H465,-(Setup!$C$13+Setup!$G$26),Setup!$C$39:$C$50))+(460*100+7)/10000000)))</f>
        <v/>
      </c>
      <c r="Y465" t="str">
        <f>IF(I465="","",IF(I465&lt;Setup!$C$5-Setup!$C$6,"",IF(IF(ISNUMBER(Roster!$D465),Setup!$C$27&lt;=Roster!$D465,FALSE),"",IF(OR(IF(Setup!$C$15&lt;=Setup!$C$16,AND(MONTH(I465)&gt;=Setup!$C$15,MONTH(I465)&lt;=Setup!$C$16),OR(MONTH(I465)&gt;=Setup!$C$15,MONTH(I465)&lt;=Setup!$C$16)),IF(Setup!$C$15&lt;=Setup!$C$16,AND(MONTH(WORKDAY(I465,-(Setup!$C$13+Setup!$G$27),Setup!$C$39:$C$50))&gt;=Setup!$C$15,MONTH(WORKDAY(I465,-(Setup!$C$13+Setup!$G$27),Setup!$C$39:$C$50))&lt;=Setup!$C$16),OR(MONTH(WORKDAY(I465,-(Setup!$C$13+Setup!$G$27),Setup!$C$39:$C$50))&gt;=Setup!$C$15,MONTH(WORKDAY(I465,-(Setup!$C$13+Setup!$G$27),Setup!$C$39:$C$50))&lt;=Setup!$C$16))),WORKDAY(I465,-(Setup!$C$13+Setup!$G$27+Setup!$C$14),Setup!$C$39:$C$50),WORKDAY(I465,-(Setup!$C$13+Setup!$G$27),Setup!$C$39:$C$50))+(460*100+8)/10000000)))</f>
        <v/>
      </c>
      <c r="Z465" t="str">
        <f>IF(J465="","",IF(J465&lt;Setup!$C$5-Setup!$C$6,"",IF(IF(ISNUMBER(Roster!$D465),Setup!$C$28&lt;=Roster!$D465,FALSE),"",IF(OR(IF(Setup!$C$15&lt;=Setup!$C$16,AND(MONTH(J465)&gt;=Setup!$C$15,MONTH(J465)&lt;=Setup!$C$16),OR(MONTH(J465)&gt;=Setup!$C$15,MONTH(J465)&lt;=Setup!$C$16)),IF(Setup!$C$15&lt;=Setup!$C$16,AND(MONTH(WORKDAY(J465,-(Setup!$C$13+Setup!$G$28),Setup!$C$39:$C$50))&gt;=Setup!$C$15,MONTH(WORKDAY(J465,-(Setup!$C$13+Setup!$G$28),Setup!$C$39:$C$50))&lt;=Setup!$C$16),OR(MONTH(WORKDAY(J465,-(Setup!$C$13+Setup!$G$28),Setup!$C$39:$C$50))&gt;=Setup!$C$15,MONTH(WORKDAY(J465,-(Setup!$C$13+Setup!$G$28),Setup!$C$39:$C$50))&lt;=Setup!$C$16))),WORKDAY(J465,-(Setup!$C$13+Setup!$G$28+Setup!$C$14),Setup!$C$39:$C$50),WORKDAY(J465,-(Setup!$C$13+Setup!$G$28),Setup!$C$39:$C$50))+(460*100+9)/10000000)))</f>
        <v/>
      </c>
      <c r="AA465" t="str">
        <f>IF(K465="","",IF(K465&lt;Setup!$C$5-Setup!$C$6,"",IF(IF(ISNUMBER(Roster!$D465),Setup!$C$29&lt;=Roster!$D465,FALSE),"",IF(OR(IF(Setup!$C$15&lt;=Setup!$C$16,AND(MONTH(K465)&gt;=Setup!$C$15,MONTH(K465)&lt;=Setup!$C$16),OR(MONTH(K465)&gt;=Setup!$C$15,MONTH(K465)&lt;=Setup!$C$16)),IF(Setup!$C$15&lt;=Setup!$C$16,AND(MONTH(WORKDAY(K465,-(Setup!$C$13+Setup!$G$29),Setup!$C$39:$C$50))&gt;=Setup!$C$15,MONTH(WORKDAY(K465,-(Setup!$C$13+Setup!$G$29),Setup!$C$39:$C$50))&lt;=Setup!$C$16),OR(MONTH(WORKDAY(K465,-(Setup!$C$13+Setup!$G$29),Setup!$C$39:$C$50))&gt;=Setup!$C$15,MONTH(WORKDAY(K465,-(Setup!$C$13+Setup!$G$29),Setup!$C$39:$C$50))&lt;=Setup!$C$16))),WORKDAY(K465,-(Setup!$C$13+Setup!$G$29+Setup!$C$14),Setup!$C$39:$C$50),WORKDAY(K465,-(Setup!$C$13+Setup!$G$29),Setup!$C$39:$C$50))+(460*100+10)/10000000)))</f>
        <v/>
      </c>
      <c r="AB465" t="str">
        <f>IF(L465="","",IF(L465&lt;Setup!$C$5-Setup!$C$6,"",IF(IF(ISNUMBER(Roster!$D465),Setup!$C$30&lt;=Roster!$D465,FALSE),"",IF(OR(IF(Setup!$C$15&lt;=Setup!$C$16,AND(MONTH(L465)&gt;=Setup!$C$15,MONTH(L465)&lt;=Setup!$C$16),OR(MONTH(L465)&gt;=Setup!$C$15,MONTH(L465)&lt;=Setup!$C$16)),IF(Setup!$C$15&lt;=Setup!$C$16,AND(MONTH(WORKDAY(L465,-(Setup!$C$13+Setup!$G$30),Setup!$C$39:$C$50))&gt;=Setup!$C$15,MONTH(WORKDAY(L465,-(Setup!$C$13+Setup!$G$30),Setup!$C$39:$C$50))&lt;=Setup!$C$16),OR(MONTH(WORKDAY(L465,-(Setup!$C$13+Setup!$G$30),Setup!$C$39:$C$50))&gt;=Setup!$C$15,MONTH(WORKDAY(L465,-(Setup!$C$13+Setup!$G$30),Setup!$C$39:$C$50))&lt;=Setup!$C$16))),WORKDAY(L465,-(Setup!$C$13+Setup!$G$30+Setup!$C$14),Setup!$C$39:$C$50),WORKDAY(L465,-(Setup!$C$13+Setup!$G$30),Setup!$C$39:$C$50))+(460*100+11)/10000000)))</f>
        <v/>
      </c>
      <c r="AC465" t="str">
        <f>IF(M465="","",IF(M465&lt;Setup!$C$5-Setup!$C$6,"",IF(IF(ISNUMBER(Roster!$D465),Setup!$C$31&lt;=Roster!$D465,FALSE),"",IF(OR(IF(Setup!$C$15&lt;=Setup!$C$16,AND(MONTH(M465)&gt;=Setup!$C$15,MONTH(M465)&lt;=Setup!$C$16),OR(MONTH(M465)&gt;=Setup!$C$15,MONTH(M465)&lt;=Setup!$C$16)),IF(Setup!$C$15&lt;=Setup!$C$16,AND(MONTH(WORKDAY(M465,-(Setup!$C$13+Setup!$G$31),Setup!$C$39:$C$50))&gt;=Setup!$C$15,MONTH(WORKDAY(M465,-(Setup!$C$13+Setup!$G$31),Setup!$C$39:$C$50))&lt;=Setup!$C$16),OR(MONTH(WORKDAY(M465,-(Setup!$C$13+Setup!$G$31),Setup!$C$39:$C$50))&gt;=Setup!$C$15,MONTH(WORKDAY(M465,-(Setup!$C$13+Setup!$G$31),Setup!$C$39:$C$50))&lt;=Setup!$C$16))),WORKDAY(M465,-(Setup!$C$13+Setup!$G$31+Setup!$C$14),Setup!$C$39:$C$50),WORKDAY(M465,-(Setup!$C$13+Setup!$G$31),Setup!$C$39:$C$50))+(460*100+12)/10000000)))</f>
        <v/>
      </c>
      <c r="AD465" t="str">
        <f>IF(N465="","",IF(N465&lt;Setup!$C$5-Setup!$C$6,"",IF(IF(ISNUMBER(Roster!$D465),Setup!$C$32&lt;=Roster!$D465,FALSE),"",IF(OR(IF(Setup!$C$15&lt;=Setup!$C$16,AND(MONTH(N465)&gt;=Setup!$C$15,MONTH(N465)&lt;=Setup!$C$16),OR(MONTH(N465)&gt;=Setup!$C$15,MONTH(N465)&lt;=Setup!$C$16)),IF(Setup!$C$15&lt;=Setup!$C$16,AND(MONTH(WORKDAY(N465,-(Setup!$C$13+Setup!$G$32),Setup!$C$39:$C$50))&gt;=Setup!$C$15,MONTH(WORKDAY(N465,-(Setup!$C$13+Setup!$G$32),Setup!$C$39:$C$50))&lt;=Setup!$C$16),OR(MONTH(WORKDAY(N465,-(Setup!$C$13+Setup!$G$32),Setup!$C$39:$C$50))&gt;=Setup!$C$15,MONTH(WORKDAY(N465,-(Setup!$C$13+Setup!$G$32),Setup!$C$39:$C$50))&lt;=Setup!$C$16))),WORKDAY(N465,-(Setup!$C$13+Setup!$G$32+Setup!$C$14),Setup!$C$39:$C$50),WORKDAY(N465,-(Setup!$C$13+Setup!$G$32),Setup!$C$39:$C$50))+(460*100+13)/10000000)))</f>
        <v/>
      </c>
      <c r="AE465" t="str">
        <f>IF(O465="","",IF(O465&lt;Setup!$C$5-Setup!$C$6,"",IF(IF(ISNUMBER(Roster!$D465),Setup!$C$33&lt;=Roster!$D465,FALSE),"",IF(OR(IF(Setup!$C$15&lt;=Setup!$C$16,AND(MONTH(O465)&gt;=Setup!$C$15,MONTH(O465)&lt;=Setup!$C$16),OR(MONTH(O465)&gt;=Setup!$C$15,MONTH(O465)&lt;=Setup!$C$16)),IF(Setup!$C$15&lt;=Setup!$C$16,AND(MONTH(WORKDAY(O465,-(Setup!$C$13+Setup!$G$33),Setup!$C$39:$C$50))&gt;=Setup!$C$15,MONTH(WORKDAY(O465,-(Setup!$C$13+Setup!$G$33),Setup!$C$39:$C$50))&lt;=Setup!$C$16),OR(MONTH(WORKDAY(O465,-(Setup!$C$13+Setup!$G$33),Setup!$C$39:$C$50))&gt;=Setup!$C$15,MONTH(WORKDAY(O465,-(Setup!$C$13+Setup!$G$33),Setup!$C$39:$C$50))&lt;=Setup!$C$16))),WORKDAY(O465,-(Setup!$C$13+Setup!$G$33+Setup!$C$14),Setup!$C$39:$C$50),WORKDAY(O465,-(Setup!$C$13+Setup!$G$33),Setup!$C$39:$C$50))+(460*100+14)/10000000)))</f>
        <v/>
      </c>
      <c r="AF465" t="str">
        <f>IF(P465="","",IF(P465&lt;Setup!$C$5-Setup!$C$6,"",IF(IF(ISNUMBER(Roster!$D465),Setup!$C$34&lt;=Roster!$D465,FALSE),"",IF(OR(IF(Setup!$C$15&lt;=Setup!$C$16,AND(MONTH(P465)&gt;=Setup!$C$15,MONTH(P465)&lt;=Setup!$C$16),OR(MONTH(P465)&gt;=Setup!$C$15,MONTH(P465)&lt;=Setup!$C$16)),IF(Setup!$C$15&lt;=Setup!$C$16,AND(MONTH(WORKDAY(P465,-(Setup!$C$13+Setup!$G$34),Setup!$C$39:$C$50))&gt;=Setup!$C$15,MONTH(WORKDAY(P465,-(Setup!$C$13+Setup!$G$34),Setup!$C$39:$C$50))&lt;=Setup!$C$16),OR(MONTH(WORKDAY(P465,-(Setup!$C$13+Setup!$G$34),Setup!$C$39:$C$50))&gt;=Setup!$C$15,MONTH(WORKDAY(P465,-(Setup!$C$13+Setup!$G$34),Setup!$C$39:$C$50))&lt;=Setup!$C$16))),WORKDAY(P465,-(Setup!$C$13+Setup!$G$34+Setup!$C$14),Setup!$C$39:$C$50),WORKDAY(P465,-(Setup!$C$13+Setup!$G$34),Setup!$C$39:$C$50))+(460*100+15)/10000000)))</f>
        <v/>
      </c>
      <c r="AH465" t="str">
        <f t="shared" si="51"/>
        <v/>
      </c>
      <c r="AI465" t="str">
        <f t="shared" si="52"/>
        <v/>
      </c>
      <c r="AP465" t="str">
        <f>IF(ISNUMBER(Roster!$B465),MAX(1,YEAR(Setup!$C$5)-YEAR(Roster!$B465)+IF(EDATE(Roster!$B465,12*(YEAR(Setup!$C$5)-YEAR(Roster!$B465)))&lt;Setup!$C$5,1,0)),"")</f>
        <v/>
      </c>
      <c r="AQ465" s="32" t="str">
        <f>IF(AP465="","",EDATE(Roster!$B465,12*AP465))</f>
        <v/>
      </c>
      <c r="AR465" t="str">
        <f>IF(AQ465="","",IF(AQ465&lt;DATE(YEAR(Setup!$C$5)+1,MONTH(Setup!$C$5),DAY(Setup!$C$5)),AQ465+460/1000,""))</f>
        <v/>
      </c>
      <c r="AS465" t="str">
        <f t="shared" si="53"/>
        <v/>
      </c>
      <c r="AT465" t="str">
        <f>IF(AS465="","",IF(ISNUMBER(Roster!$D465),Roster!$D465&gt;=AP465,FALSE))</f>
        <v/>
      </c>
      <c r="AU465" t="str">
        <f t="shared" si="54"/>
        <v/>
      </c>
      <c r="AV465" t="str">
        <f ca="1">IF(460&gt;$AV$2,"",SMALL($AR$6:$AR$505,460))</f>
        <v/>
      </c>
      <c r="AW465" t="str">
        <f t="shared" ca="1" si="55"/>
        <v/>
      </c>
    </row>
    <row r="466" spans="2:49" x14ac:dyDescent="0.2">
      <c r="B466" s="32" t="str">
        <f>IF(AND(ISNUMBER(Roster!$B466),Setup!$B$20="Yes",ISNUMBER(Setup!$C$20)),EDATE(Roster!$B466,12*Setup!$C$20),"")</f>
        <v/>
      </c>
      <c r="C466" s="32" t="str">
        <f>IF(AND(ISNUMBER(Roster!$B466),Setup!$B$21="Yes",ISNUMBER(Setup!$C$21)),EDATE(Roster!$B466,12*Setup!$C$21),"")</f>
        <v/>
      </c>
      <c r="D466" s="32" t="str">
        <f>IF(AND(ISNUMBER(Roster!$B466),Setup!$B$22="Yes",ISNUMBER(Setup!$C$22)),EDATE(Roster!$B466,12*Setup!$C$22),"")</f>
        <v/>
      </c>
      <c r="E466" s="32" t="str">
        <f>IF(AND(ISNUMBER(Roster!$B466),Setup!$B$23="Yes",ISNUMBER(Setup!$C$23)),EDATE(Roster!$B466,12*Setup!$C$23),"")</f>
        <v/>
      </c>
      <c r="F466" s="32" t="str">
        <f>IF(AND(ISNUMBER(Roster!$B466),Setup!$B$24="Yes",ISNUMBER(Setup!$C$24)),EDATE(Roster!$B466,12*Setup!$C$24),"")</f>
        <v/>
      </c>
      <c r="G466" s="32" t="str">
        <f>IF(AND(ISNUMBER(Roster!$B466),Setup!$B$25="Yes",ISNUMBER(Setup!$C$25)),EDATE(Roster!$B466,12*Setup!$C$25),"")</f>
        <v/>
      </c>
      <c r="H466" s="32" t="str">
        <f>IF(AND(ISNUMBER(Roster!$B466),Setup!$B$26="Yes",ISNUMBER(Setup!$C$26)),EDATE(Roster!$B466,12*Setup!$C$26),"")</f>
        <v/>
      </c>
      <c r="I466" s="32" t="str">
        <f>IF(AND(ISNUMBER(Roster!$B466),Setup!$B$27="Yes",ISNUMBER(Setup!$C$27)),EDATE(Roster!$B466,12*Setup!$C$27),"")</f>
        <v/>
      </c>
      <c r="J466" s="32" t="str">
        <f>IF(AND(ISNUMBER(Roster!$B466),Setup!$B$28="Yes",ISNUMBER(Setup!$C$28)),EDATE(Roster!$B466,12*Setup!$C$28),"")</f>
        <v/>
      </c>
      <c r="K466" s="32" t="str">
        <f>IF(AND(ISNUMBER(Roster!$B466),Setup!$B$29="Yes",ISNUMBER(Setup!$C$29)),EDATE(Roster!$B466,12*Setup!$C$29),"")</f>
        <v/>
      </c>
      <c r="L466" s="32" t="str">
        <f>IF(AND(ISNUMBER(Roster!$B466),Setup!$B$30="Yes",ISNUMBER(Setup!$C$30)),EDATE(Roster!$B466,12*Setup!$C$30),"")</f>
        <v/>
      </c>
      <c r="M466" s="32" t="str">
        <f>IF(AND(ISNUMBER(Roster!$B466),Setup!$B$31="Yes",ISNUMBER(Setup!$C$31)),EDATE(Roster!$B466,12*Setup!$C$31),"")</f>
        <v/>
      </c>
      <c r="N466" s="32" t="str">
        <f>IF(AND(ISNUMBER(Roster!$B466),Setup!$B$32="Yes",ISNUMBER(Setup!$C$32)),EDATE(Roster!$B466,12*Setup!$C$32),"")</f>
        <v/>
      </c>
      <c r="O466" s="32" t="str">
        <f>IF(AND(ISNUMBER(Roster!$B466),Setup!$B$33="Yes",ISNUMBER(Setup!$C$33)),EDATE(Roster!$B466,12*Setup!$C$33),"")</f>
        <v/>
      </c>
      <c r="P466" s="32" t="str">
        <f>IF(AND(ISNUMBER(Roster!$B466),Setup!$B$34="Yes",ISNUMBER(Setup!$C$34)),EDATE(Roster!$B466,12*Setup!$C$34),"")</f>
        <v/>
      </c>
      <c r="R466" t="str">
        <f>IF(B466="","",IF(B466&lt;Setup!$C$5-Setup!$C$6,"",IF(IF(ISNUMBER(Roster!$D466),Setup!$C$20&lt;=Roster!$D466,FALSE),"",IF(OR(IF(Setup!$C$15&lt;=Setup!$C$16,AND(MONTH(B466)&gt;=Setup!$C$15,MONTH(B466)&lt;=Setup!$C$16),OR(MONTH(B466)&gt;=Setup!$C$15,MONTH(B466)&lt;=Setup!$C$16)),IF(Setup!$C$15&lt;=Setup!$C$16,AND(MONTH(WORKDAY(B466,-(Setup!$C$13+Setup!$G$20),Setup!$C$39:$C$50))&gt;=Setup!$C$15,MONTH(WORKDAY(B466,-(Setup!$C$13+Setup!$G$20),Setup!$C$39:$C$50))&lt;=Setup!$C$16),OR(MONTH(WORKDAY(B466,-(Setup!$C$13+Setup!$G$20),Setup!$C$39:$C$50))&gt;=Setup!$C$15,MONTH(WORKDAY(B466,-(Setup!$C$13+Setup!$G$20),Setup!$C$39:$C$50))&lt;=Setup!$C$16))),WORKDAY(B466,-(Setup!$C$13+Setup!$G$20+Setup!$C$14),Setup!$C$39:$C$50),WORKDAY(B466,-(Setup!$C$13+Setup!$G$20),Setup!$C$39:$C$50))+(461*100+1)/10000000)))</f>
        <v/>
      </c>
      <c r="S466" t="str">
        <f>IF(C466="","",IF(C466&lt;Setup!$C$5-Setup!$C$6,"",IF(IF(ISNUMBER(Roster!$D466),Setup!$C$21&lt;=Roster!$D466,FALSE),"",IF(OR(IF(Setup!$C$15&lt;=Setup!$C$16,AND(MONTH(C466)&gt;=Setup!$C$15,MONTH(C466)&lt;=Setup!$C$16),OR(MONTH(C466)&gt;=Setup!$C$15,MONTH(C466)&lt;=Setup!$C$16)),IF(Setup!$C$15&lt;=Setup!$C$16,AND(MONTH(WORKDAY(C466,-(Setup!$C$13+Setup!$G$21),Setup!$C$39:$C$50))&gt;=Setup!$C$15,MONTH(WORKDAY(C466,-(Setup!$C$13+Setup!$G$21),Setup!$C$39:$C$50))&lt;=Setup!$C$16),OR(MONTH(WORKDAY(C466,-(Setup!$C$13+Setup!$G$21),Setup!$C$39:$C$50))&gt;=Setup!$C$15,MONTH(WORKDAY(C466,-(Setup!$C$13+Setup!$G$21),Setup!$C$39:$C$50))&lt;=Setup!$C$16))),WORKDAY(C466,-(Setup!$C$13+Setup!$G$21+Setup!$C$14),Setup!$C$39:$C$50),WORKDAY(C466,-(Setup!$C$13+Setup!$G$21),Setup!$C$39:$C$50))+(461*100+2)/10000000)))</f>
        <v/>
      </c>
      <c r="T466" t="str">
        <f>IF(D466="","",IF(D466&lt;Setup!$C$5-Setup!$C$6,"",IF(IF(ISNUMBER(Roster!$D466),Setup!$C$22&lt;=Roster!$D466,FALSE),"",IF(OR(IF(Setup!$C$15&lt;=Setup!$C$16,AND(MONTH(D466)&gt;=Setup!$C$15,MONTH(D466)&lt;=Setup!$C$16),OR(MONTH(D466)&gt;=Setup!$C$15,MONTH(D466)&lt;=Setup!$C$16)),IF(Setup!$C$15&lt;=Setup!$C$16,AND(MONTH(WORKDAY(D466,-(Setup!$C$13+Setup!$G$22),Setup!$C$39:$C$50))&gt;=Setup!$C$15,MONTH(WORKDAY(D466,-(Setup!$C$13+Setup!$G$22),Setup!$C$39:$C$50))&lt;=Setup!$C$16),OR(MONTH(WORKDAY(D466,-(Setup!$C$13+Setup!$G$22),Setup!$C$39:$C$50))&gt;=Setup!$C$15,MONTH(WORKDAY(D466,-(Setup!$C$13+Setup!$G$22),Setup!$C$39:$C$50))&lt;=Setup!$C$16))),WORKDAY(D466,-(Setup!$C$13+Setup!$G$22+Setup!$C$14),Setup!$C$39:$C$50),WORKDAY(D466,-(Setup!$C$13+Setup!$G$22),Setup!$C$39:$C$50))+(461*100+3)/10000000)))</f>
        <v/>
      </c>
      <c r="U466" t="str">
        <f>IF(E466="","",IF(E466&lt;Setup!$C$5-Setup!$C$6,"",IF(IF(ISNUMBER(Roster!$D466),Setup!$C$23&lt;=Roster!$D466,FALSE),"",IF(OR(IF(Setup!$C$15&lt;=Setup!$C$16,AND(MONTH(E466)&gt;=Setup!$C$15,MONTH(E466)&lt;=Setup!$C$16),OR(MONTH(E466)&gt;=Setup!$C$15,MONTH(E466)&lt;=Setup!$C$16)),IF(Setup!$C$15&lt;=Setup!$C$16,AND(MONTH(WORKDAY(E466,-(Setup!$C$13+Setup!$G$23),Setup!$C$39:$C$50))&gt;=Setup!$C$15,MONTH(WORKDAY(E466,-(Setup!$C$13+Setup!$G$23),Setup!$C$39:$C$50))&lt;=Setup!$C$16),OR(MONTH(WORKDAY(E466,-(Setup!$C$13+Setup!$G$23),Setup!$C$39:$C$50))&gt;=Setup!$C$15,MONTH(WORKDAY(E466,-(Setup!$C$13+Setup!$G$23),Setup!$C$39:$C$50))&lt;=Setup!$C$16))),WORKDAY(E466,-(Setup!$C$13+Setup!$G$23+Setup!$C$14),Setup!$C$39:$C$50),WORKDAY(E466,-(Setup!$C$13+Setup!$G$23),Setup!$C$39:$C$50))+(461*100+4)/10000000)))</f>
        <v/>
      </c>
      <c r="V466" t="str">
        <f>IF(F466="","",IF(F466&lt;Setup!$C$5-Setup!$C$6,"",IF(IF(ISNUMBER(Roster!$D466),Setup!$C$24&lt;=Roster!$D466,FALSE),"",IF(OR(IF(Setup!$C$15&lt;=Setup!$C$16,AND(MONTH(F466)&gt;=Setup!$C$15,MONTH(F466)&lt;=Setup!$C$16),OR(MONTH(F466)&gt;=Setup!$C$15,MONTH(F466)&lt;=Setup!$C$16)),IF(Setup!$C$15&lt;=Setup!$C$16,AND(MONTH(WORKDAY(F466,-(Setup!$C$13+Setup!$G$24),Setup!$C$39:$C$50))&gt;=Setup!$C$15,MONTH(WORKDAY(F466,-(Setup!$C$13+Setup!$G$24),Setup!$C$39:$C$50))&lt;=Setup!$C$16),OR(MONTH(WORKDAY(F466,-(Setup!$C$13+Setup!$G$24),Setup!$C$39:$C$50))&gt;=Setup!$C$15,MONTH(WORKDAY(F466,-(Setup!$C$13+Setup!$G$24),Setup!$C$39:$C$50))&lt;=Setup!$C$16))),WORKDAY(F466,-(Setup!$C$13+Setup!$G$24+Setup!$C$14),Setup!$C$39:$C$50),WORKDAY(F466,-(Setup!$C$13+Setup!$G$24),Setup!$C$39:$C$50))+(461*100+5)/10000000)))</f>
        <v/>
      </c>
      <c r="W466" t="str">
        <f>IF(G466="","",IF(G466&lt;Setup!$C$5-Setup!$C$6,"",IF(IF(ISNUMBER(Roster!$D466),Setup!$C$25&lt;=Roster!$D466,FALSE),"",IF(OR(IF(Setup!$C$15&lt;=Setup!$C$16,AND(MONTH(G466)&gt;=Setup!$C$15,MONTH(G466)&lt;=Setup!$C$16),OR(MONTH(G466)&gt;=Setup!$C$15,MONTH(G466)&lt;=Setup!$C$16)),IF(Setup!$C$15&lt;=Setup!$C$16,AND(MONTH(WORKDAY(G466,-(Setup!$C$13+Setup!$G$25),Setup!$C$39:$C$50))&gt;=Setup!$C$15,MONTH(WORKDAY(G466,-(Setup!$C$13+Setup!$G$25),Setup!$C$39:$C$50))&lt;=Setup!$C$16),OR(MONTH(WORKDAY(G466,-(Setup!$C$13+Setup!$G$25),Setup!$C$39:$C$50))&gt;=Setup!$C$15,MONTH(WORKDAY(G466,-(Setup!$C$13+Setup!$G$25),Setup!$C$39:$C$50))&lt;=Setup!$C$16))),WORKDAY(G466,-(Setup!$C$13+Setup!$G$25+Setup!$C$14),Setup!$C$39:$C$50),WORKDAY(G466,-(Setup!$C$13+Setup!$G$25),Setup!$C$39:$C$50))+(461*100+6)/10000000)))</f>
        <v/>
      </c>
      <c r="X466" t="str">
        <f>IF(H466="","",IF(H466&lt;Setup!$C$5-Setup!$C$6,"",IF(IF(ISNUMBER(Roster!$D466),Setup!$C$26&lt;=Roster!$D466,FALSE),"",IF(OR(IF(Setup!$C$15&lt;=Setup!$C$16,AND(MONTH(H466)&gt;=Setup!$C$15,MONTH(H466)&lt;=Setup!$C$16),OR(MONTH(H466)&gt;=Setup!$C$15,MONTH(H466)&lt;=Setup!$C$16)),IF(Setup!$C$15&lt;=Setup!$C$16,AND(MONTH(WORKDAY(H466,-(Setup!$C$13+Setup!$G$26),Setup!$C$39:$C$50))&gt;=Setup!$C$15,MONTH(WORKDAY(H466,-(Setup!$C$13+Setup!$G$26),Setup!$C$39:$C$50))&lt;=Setup!$C$16),OR(MONTH(WORKDAY(H466,-(Setup!$C$13+Setup!$G$26),Setup!$C$39:$C$50))&gt;=Setup!$C$15,MONTH(WORKDAY(H466,-(Setup!$C$13+Setup!$G$26),Setup!$C$39:$C$50))&lt;=Setup!$C$16))),WORKDAY(H466,-(Setup!$C$13+Setup!$G$26+Setup!$C$14),Setup!$C$39:$C$50),WORKDAY(H466,-(Setup!$C$13+Setup!$G$26),Setup!$C$39:$C$50))+(461*100+7)/10000000)))</f>
        <v/>
      </c>
      <c r="Y466" t="str">
        <f>IF(I466="","",IF(I466&lt;Setup!$C$5-Setup!$C$6,"",IF(IF(ISNUMBER(Roster!$D466),Setup!$C$27&lt;=Roster!$D466,FALSE),"",IF(OR(IF(Setup!$C$15&lt;=Setup!$C$16,AND(MONTH(I466)&gt;=Setup!$C$15,MONTH(I466)&lt;=Setup!$C$16),OR(MONTH(I466)&gt;=Setup!$C$15,MONTH(I466)&lt;=Setup!$C$16)),IF(Setup!$C$15&lt;=Setup!$C$16,AND(MONTH(WORKDAY(I466,-(Setup!$C$13+Setup!$G$27),Setup!$C$39:$C$50))&gt;=Setup!$C$15,MONTH(WORKDAY(I466,-(Setup!$C$13+Setup!$G$27),Setup!$C$39:$C$50))&lt;=Setup!$C$16),OR(MONTH(WORKDAY(I466,-(Setup!$C$13+Setup!$G$27),Setup!$C$39:$C$50))&gt;=Setup!$C$15,MONTH(WORKDAY(I466,-(Setup!$C$13+Setup!$G$27),Setup!$C$39:$C$50))&lt;=Setup!$C$16))),WORKDAY(I466,-(Setup!$C$13+Setup!$G$27+Setup!$C$14),Setup!$C$39:$C$50),WORKDAY(I466,-(Setup!$C$13+Setup!$G$27),Setup!$C$39:$C$50))+(461*100+8)/10000000)))</f>
        <v/>
      </c>
      <c r="Z466" t="str">
        <f>IF(J466="","",IF(J466&lt;Setup!$C$5-Setup!$C$6,"",IF(IF(ISNUMBER(Roster!$D466),Setup!$C$28&lt;=Roster!$D466,FALSE),"",IF(OR(IF(Setup!$C$15&lt;=Setup!$C$16,AND(MONTH(J466)&gt;=Setup!$C$15,MONTH(J466)&lt;=Setup!$C$16),OR(MONTH(J466)&gt;=Setup!$C$15,MONTH(J466)&lt;=Setup!$C$16)),IF(Setup!$C$15&lt;=Setup!$C$16,AND(MONTH(WORKDAY(J466,-(Setup!$C$13+Setup!$G$28),Setup!$C$39:$C$50))&gt;=Setup!$C$15,MONTH(WORKDAY(J466,-(Setup!$C$13+Setup!$G$28),Setup!$C$39:$C$50))&lt;=Setup!$C$16),OR(MONTH(WORKDAY(J466,-(Setup!$C$13+Setup!$G$28),Setup!$C$39:$C$50))&gt;=Setup!$C$15,MONTH(WORKDAY(J466,-(Setup!$C$13+Setup!$G$28),Setup!$C$39:$C$50))&lt;=Setup!$C$16))),WORKDAY(J466,-(Setup!$C$13+Setup!$G$28+Setup!$C$14),Setup!$C$39:$C$50),WORKDAY(J466,-(Setup!$C$13+Setup!$G$28),Setup!$C$39:$C$50))+(461*100+9)/10000000)))</f>
        <v/>
      </c>
      <c r="AA466" t="str">
        <f>IF(K466="","",IF(K466&lt;Setup!$C$5-Setup!$C$6,"",IF(IF(ISNUMBER(Roster!$D466),Setup!$C$29&lt;=Roster!$D466,FALSE),"",IF(OR(IF(Setup!$C$15&lt;=Setup!$C$16,AND(MONTH(K466)&gt;=Setup!$C$15,MONTH(K466)&lt;=Setup!$C$16),OR(MONTH(K466)&gt;=Setup!$C$15,MONTH(K466)&lt;=Setup!$C$16)),IF(Setup!$C$15&lt;=Setup!$C$16,AND(MONTH(WORKDAY(K466,-(Setup!$C$13+Setup!$G$29),Setup!$C$39:$C$50))&gt;=Setup!$C$15,MONTH(WORKDAY(K466,-(Setup!$C$13+Setup!$G$29),Setup!$C$39:$C$50))&lt;=Setup!$C$16),OR(MONTH(WORKDAY(K466,-(Setup!$C$13+Setup!$G$29),Setup!$C$39:$C$50))&gt;=Setup!$C$15,MONTH(WORKDAY(K466,-(Setup!$C$13+Setup!$G$29),Setup!$C$39:$C$50))&lt;=Setup!$C$16))),WORKDAY(K466,-(Setup!$C$13+Setup!$G$29+Setup!$C$14),Setup!$C$39:$C$50),WORKDAY(K466,-(Setup!$C$13+Setup!$G$29),Setup!$C$39:$C$50))+(461*100+10)/10000000)))</f>
        <v/>
      </c>
      <c r="AB466" t="str">
        <f>IF(L466="","",IF(L466&lt;Setup!$C$5-Setup!$C$6,"",IF(IF(ISNUMBER(Roster!$D466),Setup!$C$30&lt;=Roster!$D466,FALSE),"",IF(OR(IF(Setup!$C$15&lt;=Setup!$C$16,AND(MONTH(L466)&gt;=Setup!$C$15,MONTH(L466)&lt;=Setup!$C$16),OR(MONTH(L466)&gt;=Setup!$C$15,MONTH(L466)&lt;=Setup!$C$16)),IF(Setup!$C$15&lt;=Setup!$C$16,AND(MONTH(WORKDAY(L466,-(Setup!$C$13+Setup!$G$30),Setup!$C$39:$C$50))&gt;=Setup!$C$15,MONTH(WORKDAY(L466,-(Setup!$C$13+Setup!$G$30),Setup!$C$39:$C$50))&lt;=Setup!$C$16),OR(MONTH(WORKDAY(L466,-(Setup!$C$13+Setup!$G$30),Setup!$C$39:$C$50))&gt;=Setup!$C$15,MONTH(WORKDAY(L466,-(Setup!$C$13+Setup!$G$30),Setup!$C$39:$C$50))&lt;=Setup!$C$16))),WORKDAY(L466,-(Setup!$C$13+Setup!$G$30+Setup!$C$14),Setup!$C$39:$C$50),WORKDAY(L466,-(Setup!$C$13+Setup!$G$30),Setup!$C$39:$C$50))+(461*100+11)/10000000)))</f>
        <v/>
      </c>
      <c r="AC466" t="str">
        <f>IF(M466="","",IF(M466&lt;Setup!$C$5-Setup!$C$6,"",IF(IF(ISNUMBER(Roster!$D466),Setup!$C$31&lt;=Roster!$D466,FALSE),"",IF(OR(IF(Setup!$C$15&lt;=Setup!$C$16,AND(MONTH(M466)&gt;=Setup!$C$15,MONTH(M466)&lt;=Setup!$C$16),OR(MONTH(M466)&gt;=Setup!$C$15,MONTH(M466)&lt;=Setup!$C$16)),IF(Setup!$C$15&lt;=Setup!$C$16,AND(MONTH(WORKDAY(M466,-(Setup!$C$13+Setup!$G$31),Setup!$C$39:$C$50))&gt;=Setup!$C$15,MONTH(WORKDAY(M466,-(Setup!$C$13+Setup!$G$31),Setup!$C$39:$C$50))&lt;=Setup!$C$16),OR(MONTH(WORKDAY(M466,-(Setup!$C$13+Setup!$G$31),Setup!$C$39:$C$50))&gt;=Setup!$C$15,MONTH(WORKDAY(M466,-(Setup!$C$13+Setup!$G$31),Setup!$C$39:$C$50))&lt;=Setup!$C$16))),WORKDAY(M466,-(Setup!$C$13+Setup!$G$31+Setup!$C$14),Setup!$C$39:$C$50),WORKDAY(M466,-(Setup!$C$13+Setup!$G$31),Setup!$C$39:$C$50))+(461*100+12)/10000000)))</f>
        <v/>
      </c>
      <c r="AD466" t="str">
        <f>IF(N466="","",IF(N466&lt;Setup!$C$5-Setup!$C$6,"",IF(IF(ISNUMBER(Roster!$D466),Setup!$C$32&lt;=Roster!$D466,FALSE),"",IF(OR(IF(Setup!$C$15&lt;=Setup!$C$16,AND(MONTH(N466)&gt;=Setup!$C$15,MONTH(N466)&lt;=Setup!$C$16),OR(MONTH(N466)&gt;=Setup!$C$15,MONTH(N466)&lt;=Setup!$C$16)),IF(Setup!$C$15&lt;=Setup!$C$16,AND(MONTH(WORKDAY(N466,-(Setup!$C$13+Setup!$G$32),Setup!$C$39:$C$50))&gt;=Setup!$C$15,MONTH(WORKDAY(N466,-(Setup!$C$13+Setup!$G$32),Setup!$C$39:$C$50))&lt;=Setup!$C$16),OR(MONTH(WORKDAY(N466,-(Setup!$C$13+Setup!$G$32),Setup!$C$39:$C$50))&gt;=Setup!$C$15,MONTH(WORKDAY(N466,-(Setup!$C$13+Setup!$G$32),Setup!$C$39:$C$50))&lt;=Setup!$C$16))),WORKDAY(N466,-(Setup!$C$13+Setup!$G$32+Setup!$C$14),Setup!$C$39:$C$50),WORKDAY(N466,-(Setup!$C$13+Setup!$G$32),Setup!$C$39:$C$50))+(461*100+13)/10000000)))</f>
        <v/>
      </c>
      <c r="AE466" t="str">
        <f>IF(O466="","",IF(O466&lt;Setup!$C$5-Setup!$C$6,"",IF(IF(ISNUMBER(Roster!$D466),Setup!$C$33&lt;=Roster!$D466,FALSE),"",IF(OR(IF(Setup!$C$15&lt;=Setup!$C$16,AND(MONTH(O466)&gt;=Setup!$C$15,MONTH(O466)&lt;=Setup!$C$16),OR(MONTH(O466)&gt;=Setup!$C$15,MONTH(O466)&lt;=Setup!$C$16)),IF(Setup!$C$15&lt;=Setup!$C$16,AND(MONTH(WORKDAY(O466,-(Setup!$C$13+Setup!$G$33),Setup!$C$39:$C$50))&gt;=Setup!$C$15,MONTH(WORKDAY(O466,-(Setup!$C$13+Setup!$G$33),Setup!$C$39:$C$50))&lt;=Setup!$C$16),OR(MONTH(WORKDAY(O466,-(Setup!$C$13+Setup!$G$33),Setup!$C$39:$C$50))&gt;=Setup!$C$15,MONTH(WORKDAY(O466,-(Setup!$C$13+Setup!$G$33),Setup!$C$39:$C$50))&lt;=Setup!$C$16))),WORKDAY(O466,-(Setup!$C$13+Setup!$G$33+Setup!$C$14),Setup!$C$39:$C$50),WORKDAY(O466,-(Setup!$C$13+Setup!$G$33),Setup!$C$39:$C$50))+(461*100+14)/10000000)))</f>
        <v/>
      </c>
      <c r="AF466" t="str">
        <f>IF(P466="","",IF(P466&lt;Setup!$C$5-Setup!$C$6,"",IF(IF(ISNUMBER(Roster!$D466),Setup!$C$34&lt;=Roster!$D466,FALSE),"",IF(OR(IF(Setup!$C$15&lt;=Setup!$C$16,AND(MONTH(P466)&gt;=Setup!$C$15,MONTH(P466)&lt;=Setup!$C$16),OR(MONTH(P466)&gt;=Setup!$C$15,MONTH(P466)&lt;=Setup!$C$16)),IF(Setup!$C$15&lt;=Setup!$C$16,AND(MONTH(WORKDAY(P466,-(Setup!$C$13+Setup!$G$34),Setup!$C$39:$C$50))&gt;=Setup!$C$15,MONTH(WORKDAY(P466,-(Setup!$C$13+Setup!$G$34),Setup!$C$39:$C$50))&lt;=Setup!$C$16),OR(MONTH(WORKDAY(P466,-(Setup!$C$13+Setup!$G$34),Setup!$C$39:$C$50))&gt;=Setup!$C$15,MONTH(WORKDAY(P466,-(Setup!$C$13+Setup!$G$34),Setup!$C$39:$C$50))&lt;=Setup!$C$16))),WORKDAY(P466,-(Setup!$C$13+Setup!$G$34+Setup!$C$14),Setup!$C$39:$C$50),WORKDAY(P466,-(Setup!$C$13+Setup!$G$34),Setup!$C$39:$C$50))+(461*100+15)/10000000)))</f>
        <v/>
      </c>
      <c r="AH466" t="str">
        <f t="shared" si="51"/>
        <v/>
      </c>
      <c r="AI466" t="str">
        <f t="shared" si="52"/>
        <v/>
      </c>
      <c r="AP466" t="str">
        <f>IF(ISNUMBER(Roster!$B466),MAX(1,YEAR(Setup!$C$5)-YEAR(Roster!$B466)+IF(EDATE(Roster!$B466,12*(YEAR(Setup!$C$5)-YEAR(Roster!$B466)))&lt;Setup!$C$5,1,0)),"")</f>
        <v/>
      </c>
      <c r="AQ466" s="32" t="str">
        <f>IF(AP466="","",EDATE(Roster!$B466,12*AP466))</f>
        <v/>
      </c>
      <c r="AR466" t="str">
        <f>IF(AQ466="","",IF(AQ466&lt;DATE(YEAR(Setup!$C$5)+1,MONTH(Setup!$C$5),DAY(Setup!$C$5)),AQ466+461/1000,""))</f>
        <v/>
      </c>
      <c r="AS466" t="str">
        <f t="shared" si="53"/>
        <v/>
      </c>
      <c r="AT466" t="str">
        <f>IF(AS466="","",IF(ISNUMBER(Roster!$D466),Roster!$D466&gt;=AP466,FALSE))</f>
        <v/>
      </c>
      <c r="AU466" t="str">
        <f t="shared" si="54"/>
        <v/>
      </c>
      <c r="AV466" t="str">
        <f ca="1">IF(461&gt;$AV$2,"",SMALL($AR$6:$AR$505,461))</f>
        <v/>
      </c>
      <c r="AW466" t="str">
        <f t="shared" ca="1" si="55"/>
        <v/>
      </c>
    </row>
    <row r="467" spans="2:49" x14ac:dyDescent="0.2">
      <c r="B467" s="32" t="str">
        <f>IF(AND(ISNUMBER(Roster!$B467),Setup!$B$20="Yes",ISNUMBER(Setup!$C$20)),EDATE(Roster!$B467,12*Setup!$C$20),"")</f>
        <v/>
      </c>
      <c r="C467" s="32" t="str">
        <f>IF(AND(ISNUMBER(Roster!$B467),Setup!$B$21="Yes",ISNUMBER(Setup!$C$21)),EDATE(Roster!$B467,12*Setup!$C$21),"")</f>
        <v/>
      </c>
      <c r="D467" s="32" t="str">
        <f>IF(AND(ISNUMBER(Roster!$B467),Setup!$B$22="Yes",ISNUMBER(Setup!$C$22)),EDATE(Roster!$B467,12*Setup!$C$22),"")</f>
        <v/>
      </c>
      <c r="E467" s="32" t="str">
        <f>IF(AND(ISNUMBER(Roster!$B467),Setup!$B$23="Yes",ISNUMBER(Setup!$C$23)),EDATE(Roster!$B467,12*Setup!$C$23),"")</f>
        <v/>
      </c>
      <c r="F467" s="32" t="str">
        <f>IF(AND(ISNUMBER(Roster!$B467),Setup!$B$24="Yes",ISNUMBER(Setup!$C$24)),EDATE(Roster!$B467,12*Setup!$C$24),"")</f>
        <v/>
      </c>
      <c r="G467" s="32" t="str">
        <f>IF(AND(ISNUMBER(Roster!$B467),Setup!$B$25="Yes",ISNUMBER(Setup!$C$25)),EDATE(Roster!$B467,12*Setup!$C$25),"")</f>
        <v/>
      </c>
      <c r="H467" s="32" t="str">
        <f>IF(AND(ISNUMBER(Roster!$B467),Setup!$B$26="Yes",ISNUMBER(Setup!$C$26)),EDATE(Roster!$B467,12*Setup!$C$26),"")</f>
        <v/>
      </c>
      <c r="I467" s="32" t="str">
        <f>IF(AND(ISNUMBER(Roster!$B467),Setup!$B$27="Yes",ISNUMBER(Setup!$C$27)),EDATE(Roster!$B467,12*Setup!$C$27),"")</f>
        <v/>
      </c>
      <c r="J467" s="32" t="str">
        <f>IF(AND(ISNUMBER(Roster!$B467),Setup!$B$28="Yes",ISNUMBER(Setup!$C$28)),EDATE(Roster!$B467,12*Setup!$C$28),"")</f>
        <v/>
      </c>
      <c r="K467" s="32" t="str">
        <f>IF(AND(ISNUMBER(Roster!$B467),Setup!$B$29="Yes",ISNUMBER(Setup!$C$29)),EDATE(Roster!$B467,12*Setup!$C$29),"")</f>
        <v/>
      </c>
      <c r="L467" s="32" t="str">
        <f>IF(AND(ISNUMBER(Roster!$B467),Setup!$B$30="Yes",ISNUMBER(Setup!$C$30)),EDATE(Roster!$B467,12*Setup!$C$30),"")</f>
        <v/>
      </c>
      <c r="M467" s="32" t="str">
        <f>IF(AND(ISNUMBER(Roster!$B467),Setup!$B$31="Yes",ISNUMBER(Setup!$C$31)),EDATE(Roster!$B467,12*Setup!$C$31),"")</f>
        <v/>
      </c>
      <c r="N467" s="32" t="str">
        <f>IF(AND(ISNUMBER(Roster!$B467),Setup!$B$32="Yes",ISNUMBER(Setup!$C$32)),EDATE(Roster!$B467,12*Setup!$C$32),"")</f>
        <v/>
      </c>
      <c r="O467" s="32" t="str">
        <f>IF(AND(ISNUMBER(Roster!$B467),Setup!$B$33="Yes",ISNUMBER(Setup!$C$33)),EDATE(Roster!$B467,12*Setup!$C$33),"")</f>
        <v/>
      </c>
      <c r="P467" s="32" t="str">
        <f>IF(AND(ISNUMBER(Roster!$B467),Setup!$B$34="Yes",ISNUMBER(Setup!$C$34)),EDATE(Roster!$B467,12*Setup!$C$34),"")</f>
        <v/>
      </c>
      <c r="R467" t="str">
        <f>IF(B467="","",IF(B467&lt;Setup!$C$5-Setup!$C$6,"",IF(IF(ISNUMBER(Roster!$D467),Setup!$C$20&lt;=Roster!$D467,FALSE),"",IF(OR(IF(Setup!$C$15&lt;=Setup!$C$16,AND(MONTH(B467)&gt;=Setup!$C$15,MONTH(B467)&lt;=Setup!$C$16),OR(MONTH(B467)&gt;=Setup!$C$15,MONTH(B467)&lt;=Setup!$C$16)),IF(Setup!$C$15&lt;=Setup!$C$16,AND(MONTH(WORKDAY(B467,-(Setup!$C$13+Setup!$G$20),Setup!$C$39:$C$50))&gt;=Setup!$C$15,MONTH(WORKDAY(B467,-(Setup!$C$13+Setup!$G$20),Setup!$C$39:$C$50))&lt;=Setup!$C$16),OR(MONTH(WORKDAY(B467,-(Setup!$C$13+Setup!$G$20),Setup!$C$39:$C$50))&gt;=Setup!$C$15,MONTH(WORKDAY(B467,-(Setup!$C$13+Setup!$G$20),Setup!$C$39:$C$50))&lt;=Setup!$C$16))),WORKDAY(B467,-(Setup!$C$13+Setup!$G$20+Setup!$C$14),Setup!$C$39:$C$50),WORKDAY(B467,-(Setup!$C$13+Setup!$G$20),Setup!$C$39:$C$50))+(462*100+1)/10000000)))</f>
        <v/>
      </c>
      <c r="S467" t="str">
        <f>IF(C467="","",IF(C467&lt;Setup!$C$5-Setup!$C$6,"",IF(IF(ISNUMBER(Roster!$D467),Setup!$C$21&lt;=Roster!$D467,FALSE),"",IF(OR(IF(Setup!$C$15&lt;=Setup!$C$16,AND(MONTH(C467)&gt;=Setup!$C$15,MONTH(C467)&lt;=Setup!$C$16),OR(MONTH(C467)&gt;=Setup!$C$15,MONTH(C467)&lt;=Setup!$C$16)),IF(Setup!$C$15&lt;=Setup!$C$16,AND(MONTH(WORKDAY(C467,-(Setup!$C$13+Setup!$G$21),Setup!$C$39:$C$50))&gt;=Setup!$C$15,MONTH(WORKDAY(C467,-(Setup!$C$13+Setup!$G$21),Setup!$C$39:$C$50))&lt;=Setup!$C$16),OR(MONTH(WORKDAY(C467,-(Setup!$C$13+Setup!$G$21),Setup!$C$39:$C$50))&gt;=Setup!$C$15,MONTH(WORKDAY(C467,-(Setup!$C$13+Setup!$G$21),Setup!$C$39:$C$50))&lt;=Setup!$C$16))),WORKDAY(C467,-(Setup!$C$13+Setup!$G$21+Setup!$C$14),Setup!$C$39:$C$50),WORKDAY(C467,-(Setup!$C$13+Setup!$G$21),Setup!$C$39:$C$50))+(462*100+2)/10000000)))</f>
        <v/>
      </c>
      <c r="T467" t="str">
        <f>IF(D467="","",IF(D467&lt;Setup!$C$5-Setup!$C$6,"",IF(IF(ISNUMBER(Roster!$D467),Setup!$C$22&lt;=Roster!$D467,FALSE),"",IF(OR(IF(Setup!$C$15&lt;=Setup!$C$16,AND(MONTH(D467)&gt;=Setup!$C$15,MONTH(D467)&lt;=Setup!$C$16),OR(MONTH(D467)&gt;=Setup!$C$15,MONTH(D467)&lt;=Setup!$C$16)),IF(Setup!$C$15&lt;=Setup!$C$16,AND(MONTH(WORKDAY(D467,-(Setup!$C$13+Setup!$G$22),Setup!$C$39:$C$50))&gt;=Setup!$C$15,MONTH(WORKDAY(D467,-(Setup!$C$13+Setup!$G$22),Setup!$C$39:$C$50))&lt;=Setup!$C$16),OR(MONTH(WORKDAY(D467,-(Setup!$C$13+Setup!$G$22),Setup!$C$39:$C$50))&gt;=Setup!$C$15,MONTH(WORKDAY(D467,-(Setup!$C$13+Setup!$G$22),Setup!$C$39:$C$50))&lt;=Setup!$C$16))),WORKDAY(D467,-(Setup!$C$13+Setup!$G$22+Setup!$C$14),Setup!$C$39:$C$50),WORKDAY(D467,-(Setup!$C$13+Setup!$G$22),Setup!$C$39:$C$50))+(462*100+3)/10000000)))</f>
        <v/>
      </c>
      <c r="U467" t="str">
        <f>IF(E467="","",IF(E467&lt;Setup!$C$5-Setup!$C$6,"",IF(IF(ISNUMBER(Roster!$D467),Setup!$C$23&lt;=Roster!$D467,FALSE),"",IF(OR(IF(Setup!$C$15&lt;=Setup!$C$16,AND(MONTH(E467)&gt;=Setup!$C$15,MONTH(E467)&lt;=Setup!$C$16),OR(MONTH(E467)&gt;=Setup!$C$15,MONTH(E467)&lt;=Setup!$C$16)),IF(Setup!$C$15&lt;=Setup!$C$16,AND(MONTH(WORKDAY(E467,-(Setup!$C$13+Setup!$G$23),Setup!$C$39:$C$50))&gt;=Setup!$C$15,MONTH(WORKDAY(E467,-(Setup!$C$13+Setup!$G$23),Setup!$C$39:$C$50))&lt;=Setup!$C$16),OR(MONTH(WORKDAY(E467,-(Setup!$C$13+Setup!$G$23),Setup!$C$39:$C$50))&gt;=Setup!$C$15,MONTH(WORKDAY(E467,-(Setup!$C$13+Setup!$G$23),Setup!$C$39:$C$50))&lt;=Setup!$C$16))),WORKDAY(E467,-(Setup!$C$13+Setup!$G$23+Setup!$C$14),Setup!$C$39:$C$50),WORKDAY(E467,-(Setup!$C$13+Setup!$G$23),Setup!$C$39:$C$50))+(462*100+4)/10000000)))</f>
        <v/>
      </c>
      <c r="V467" t="str">
        <f>IF(F467="","",IF(F467&lt;Setup!$C$5-Setup!$C$6,"",IF(IF(ISNUMBER(Roster!$D467),Setup!$C$24&lt;=Roster!$D467,FALSE),"",IF(OR(IF(Setup!$C$15&lt;=Setup!$C$16,AND(MONTH(F467)&gt;=Setup!$C$15,MONTH(F467)&lt;=Setup!$C$16),OR(MONTH(F467)&gt;=Setup!$C$15,MONTH(F467)&lt;=Setup!$C$16)),IF(Setup!$C$15&lt;=Setup!$C$16,AND(MONTH(WORKDAY(F467,-(Setup!$C$13+Setup!$G$24),Setup!$C$39:$C$50))&gt;=Setup!$C$15,MONTH(WORKDAY(F467,-(Setup!$C$13+Setup!$G$24),Setup!$C$39:$C$50))&lt;=Setup!$C$16),OR(MONTH(WORKDAY(F467,-(Setup!$C$13+Setup!$G$24),Setup!$C$39:$C$50))&gt;=Setup!$C$15,MONTH(WORKDAY(F467,-(Setup!$C$13+Setup!$G$24),Setup!$C$39:$C$50))&lt;=Setup!$C$16))),WORKDAY(F467,-(Setup!$C$13+Setup!$G$24+Setup!$C$14),Setup!$C$39:$C$50),WORKDAY(F467,-(Setup!$C$13+Setup!$G$24),Setup!$C$39:$C$50))+(462*100+5)/10000000)))</f>
        <v/>
      </c>
      <c r="W467" t="str">
        <f>IF(G467="","",IF(G467&lt;Setup!$C$5-Setup!$C$6,"",IF(IF(ISNUMBER(Roster!$D467),Setup!$C$25&lt;=Roster!$D467,FALSE),"",IF(OR(IF(Setup!$C$15&lt;=Setup!$C$16,AND(MONTH(G467)&gt;=Setup!$C$15,MONTH(G467)&lt;=Setup!$C$16),OR(MONTH(G467)&gt;=Setup!$C$15,MONTH(G467)&lt;=Setup!$C$16)),IF(Setup!$C$15&lt;=Setup!$C$16,AND(MONTH(WORKDAY(G467,-(Setup!$C$13+Setup!$G$25),Setup!$C$39:$C$50))&gt;=Setup!$C$15,MONTH(WORKDAY(G467,-(Setup!$C$13+Setup!$G$25),Setup!$C$39:$C$50))&lt;=Setup!$C$16),OR(MONTH(WORKDAY(G467,-(Setup!$C$13+Setup!$G$25),Setup!$C$39:$C$50))&gt;=Setup!$C$15,MONTH(WORKDAY(G467,-(Setup!$C$13+Setup!$G$25),Setup!$C$39:$C$50))&lt;=Setup!$C$16))),WORKDAY(G467,-(Setup!$C$13+Setup!$G$25+Setup!$C$14),Setup!$C$39:$C$50),WORKDAY(G467,-(Setup!$C$13+Setup!$G$25),Setup!$C$39:$C$50))+(462*100+6)/10000000)))</f>
        <v/>
      </c>
      <c r="X467" t="str">
        <f>IF(H467="","",IF(H467&lt;Setup!$C$5-Setup!$C$6,"",IF(IF(ISNUMBER(Roster!$D467),Setup!$C$26&lt;=Roster!$D467,FALSE),"",IF(OR(IF(Setup!$C$15&lt;=Setup!$C$16,AND(MONTH(H467)&gt;=Setup!$C$15,MONTH(H467)&lt;=Setup!$C$16),OR(MONTH(H467)&gt;=Setup!$C$15,MONTH(H467)&lt;=Setup!$C$16)),IF(Setup!$C$15&lt;=Setup!$C$16,AND(MONTH(WORKDAY(H467,-(Setup!$C$13+Setup!$G$26),Setup!$C$39:$C$50))&gt;=Setup!$C$15,MONTH(WORKDAY(H467,-(Setup!$C$13+Setup!$G$26),Setup!$C$39:$C$50))&lt;=Setup!$C$16),OR(MONTH(WORKDAY(H467,-(Setup!$C$13+Setup!$G$26),Setup!$C$39:$C$50))&gt;=Setup!$C$15,MONTH(WORKDAY(H467,-(Setup!$C$13+Setup!$G$26),Setup!$C$39:$C$50))&lt;=Setup!$C$16))),WORKDAY(H467,-(Setup!$C$13+Setup!$G$26+Setup!$C$14),Setup!$C$39:$C$50),WORKDAY(H467,-(Setup!$C$13+Setup!$G$26),Setup!$C$39:$C$50))+(462*100+7)/10000000)))</f>
        <v/>
      </c>
      <c r="Y467" t="str">
        <f>IF(I467="","",IF(I467&lt;Setup!$C$5-Setup!$C$6,"",IF(IF(ISNUMBER(Roster!$D467),Setup!$C$27&lt;=Roster!$D467,FALSE),"",IF(OR(IF(Setup!$C$15&lt;=Setup!$C$16,AND(MONTH(I467)&gt;=Setup!$C$15,MONTH(I467)&lt;=Setup!$C$16),OR(MONTH(I467)&gt;=Setup!$C$15,MONTH(I467)&lt;=Setup!$C$16)),IF(Setup!$C$15&lt;=Setup!$C$16,AND(MONTH(WORKDAY(I467,-(Setup!$C$13+Setup!$G$27),Setup!$C$39:$C$50))&gt;=Setup!$C$15,MONTH(WORKDAY(I467,-(Setup!$C$13+Setup!$G$27),Setup!$C$39:$C$50))&lt;=Setup!$C$16),OR(MONTH(WORKDAY(I467,-(Setup!$C$13+Setup!$G$27),Setup!$C$39:$C$50))&gt;=Setup!$C$15,MONTH(WORKDAY(I467,-(Setup!$C$13+Setup!$G$27),Setup!$C$39:$C$50))&lt;=Setup!$C$16))),WORKDAY(I467,-(Setup!$C$13+Setup!$G$27+Setup!$C$14),Setup!$C$39:$C$50),WORKDAY(I467,-(Setup!$C$13+Setup!$G$27),Setup!$C$39:$C$50))+(462*100+8)/10000000)))</f>
        <v/>
      </c>
      <c r="Z467" t="str">
        <f>IF(J467="","",IF(J467&lt;Setup!$C$5-Setup!$C$6,"",IF(IF(ISNUMBER(Roster!$D467),Setup!$C$28&lt;=Roster!$D467,FALSE),"",IF(OR(IF(Setup!$C$15&lt;=Setup!$C$16,AND(MONTH(J467)&gt;=Setup!$C$15,MONTH(J467)&lt;=Setup!$C$16),OR(MONTH(J467)&gt;=Setup!$C$15,MONTH(J467)&lt;=Setup!$C$16)),IF(Setup!$C$15&lt;=Setup!$C$16,AND(MONTH(WORKDAY(J467,-(Setup!$C$13+Setup!$G$28),Setup!$C$39:$C$50))&gt;=Setup!$C$15,MONTH(WORKDAY(J467,-(Setup!$C$13+Setup!$G$28),Setup!$C$39:$C$50))&lt;=Setup!$C$16),OR(MONTH(WORKDAY(J467,-(Setup!$C$13+Setup!$G$28),Setup!$C$39:$C$50))&gt;=Setup!$C$15,MONTH(WORKDAY(J467,-(Setup!$C$13+Setup!$G$28),Setup!$C$39:$C$50))&lt;=Setup!$C$16))),WORKDAY(J467,-(Setup!$C$13+Setup!$G$28+Setup!$C$14),Setup!$C$39:$C$50),WORKDAY(J467,-(Setup!$C$13+Setup!$G$28),Setup!$C$39:$C$50))+(462*100+9)/10000000)))</f>
        <v/>
      </c>
      <c r="AA467" t="str">
        <f>IF(K467="","",IF(K467&lt;Setup!$C$5-Setup!$C$6,"",IF(IF(ISNUMBER(Roster!$D467),Setup!$C$29&lt;=Roster!$D467,FALSE),"",IF(OR(IF(Setup!$C$15&lt;=Setup!$C$16,AND(MONTH(K467)&gt;=Setup!$C$15,MONTH(K467)&lt;=Setup!$C$16),OR(MONTH(K467)&gt;=Setup!$C$15,MONTH(K467)&lt;=Setup!$C$16)),IF(Setup!$C$15&lt;=Setup!$C$16,AND(MONTH(WORKDAY(K467,-(Setup!$C$13+Setup!$G$29),Setup!$C$39:$C$50))&gt;=Setup!$C$15,MONTH(WORKDAY(K467,-(Setup!$C$13+Setup!$G$29),Setup!$C$39:$C$50))&lt;=Setup!$C$16),OR(MONTH(WORKDAY(K467,-(Setup!$C$13+Setup!$G$29),Setup!$C$39:$C$50))&gt;=Setup!$C$15,MONTH(WORKDAY(K467,-(Setup!$C$13+Setup!$G$29),Setup!$C$39:$C$50))&lt;=Setup!$C$16))),WORKDAY(K467,-(Setup!$C$13+Setup!$G$29+Setup!$C$14),Setup!$C$39:$C$50),WORKDAY(K467,-(Setup!$C$13+Setup!$G$29),Setup!$C$39:$C$50))+(462*100+10)/10000000)))</f>
        <v/>
      </c>
      <c r="AB467" t="str">
        <f>IF(L467="","",IF(L467&lt;Setup!$C$5-Setup!$C$6,"",IF(IF(ISNUMBER(Roster!$D467),Setup!$C$30&lt;=Roster!$D467,FALSE),"",IF(OR(IF(Setup!$C$15&lt;=Setup!$C$16,AND(MONTH(L467)&gt;=Setup!$C$15,MONTH(L467)&lt;=Setup!$C$16),OR(MONTH(L467)&gt;=Setup!$C$15,MONTH(L467)&lt;=Setup!$C$16)),IF(Setup!$C$15&lt;=Setup!$C$16,AND(MONTH(WORKDAY(L467,-(Setup!$C$13+Setup!$G$30),Setup!$C$39:$C$50))&gt;=Setup!$C$15,MONTH(WORKDAY(L467,-(Setup!$C$13+Setup!$G$30),Setup!$C$39:$C$50))&lt;=Setup!$C$16),OR(MONTH(WORKDAY(L467,-(Setup!$C$13+Setup!$G$30),Setup!$C$39:$C$50))&gt;=Setup!$C$15,MONTH(WORKDAY(L467,-(Setup!$C$13+Setup!$G$30),Setup!$C$39:$C$50))&lt;=Setup!$C$16))),WORKDAY(L467,-(Setup!$C$13+Setup!$G$30+Setup!$C$14),Setup!$C$39:$C$50),WORKDAY(L467,-(Setup!$C$13+Setup!$G$30),Setup!$C$39:$C$50))+(462*100+11)/10000000)))</f>
        <v/>
      </c>
      <c r="AC467" t="str">
        <f>IF(M467="","",IF(M467&lt;Setup!$C$5-Setup!$C$6,"",IF(IF(ISNUMBER(Roster!$D467),Setup!$C$31&lt;=Roster!$D467,FALSE),"",IF(OR(IF(Setup!$C$15&lt;=Setup!$C$16,AND(MONTH(M467)&gt;=Setup!$C$15,MONTH(M467)&lt;=Setup!$C$16),OR(MONTH(M467)&gt;=Setup!$C$15,MONTH(M467)&lt;=Setup!$C$16)),IF(Setup!$C$15&lt;=Setup!$C$16,AND(MONTH(WORKDAY(M467,-(Setup!$C$13+Setup!$G$31),Setup!$C$39:$C$50))&gt;=Setup!$C$15,MONTH(WORKDAY(M467,-(Setup!$C$13+Setup!$G$31),Setup!$C$39:$C$50))&lt;=Setup!$C$16),OR(MONTH(WORKDAY(M467,-(Setup!$C$13+Setup!$G$31),Setup!$C$39:$C$50))&gt;=Setup!$C$15,MONTH(WORKDAY(M467,-(Setup!$C$13+Setup!$G$31),Setup!$C$39:$C$50))&lt;=Setup!$C$16))),WORKDAY(M467,-(Setup!$C$13+Setup!$G$31+Setup!$C$14),Setup!$C$39:$C$50),WORKDAY(M467,-(Setup!$C$13+Setup!$G$31),Setup!$C$39:$C$50))+(462*100+12)/10000000)))</f>
        <v/>
      </c>
      <c r="AD467" t="str">
        <f>IF(N467="","",IF(N467&lt;Setup!$C$5-Setup!$C$6,"",IF(IF(ISNUMBER(Roster!$D467),Setup!$C$32&lt;=Roster!$D467,FALSE),"",IF(OR(IF(Setup!$C$15&lt;=Setup!$C$16,AND(MONTH(N467)&gt;=Setup!$C$15,MONTH(N467)&lt;=Setup!$C$16),OR(MONTH(N467)&gt;=Setup!$C$15,MONTH(N467)&lt;=Setup!$C$16)),IF(Setup!$C$15&lt;=Setup!$C$16,AND(MONTH(WORKDAY(N467,-(Setup!$C$13+Setup!$G$32),Setup!$C$39:$C$50))&gt;=Setup!$C$15,MONTH(WORKDAY(N467,-(Setup!$C$13+Setup!$G$32),Setup!$C$39:$C$50))&lt;=Setup!$C$16),OR(MONTH(WORKDAY(N467,-(Setup!$C$13+Setup!$G$32),Setup!$C$39:$C$50))&gt;=Setup!$C$15,MONTH(WORKDAY(N467,-(Setup!$C$13+Setup!$G$32),Setup!$C$39:$C$50))&lt;=Setup!$C$16))),WORKDAY(N467,-(Setup!$C$13+Setup!$G$32+Setup!$C$14),Setup!$C$39:$C$50),WORKDAY(N467,-(Setup!$C$13+Setup!$G$32),Setup!$C$39:$C$50))+(462*100+13)/10000000)))</f>
        <v/>
      </c>
      <c r="AE467" t="str">
        <f>IF(O467="","",IF(O467&lt;Setup!$C$5-Setup!$C$6,"",IF(IF(ISNUMBER(Roster!$D467),Setup!$C$33&lt;=Roster!$D467,FALSE),"",IF(OR(IF(Setup!$C$15&lt;=Setup!$C$16,AND(MONTH(O467)&gt;=Setup!$C$15,MONTH(O467)&lt;=Setup!$C$16),OR(MONTH(O467)&gt;=Setup!$C$15,MONTH(O467)&lt;=Setup!$C$16)),IF(Setup!$C$15&lt;=Setup!$C$16,AND(MONTH(WORKDAY(O467,-(Setup!$C$13+Setup!$G$33),Setup!$C$39:$C$50))&gt;=Setup!$C$15,MONTH(WORKDAY(O467,-(Setup!$C$13+Setup!$G$33),Setup!$C$39:$C$50))&lt;=Setup!$C$16),OR(MONTH(WORKDAY(O467,-(Setup!$C$13+Setup!$G$33),Setup!$C$39:$C$50))&gt;=Setup!$C$15,MONTH(WORKDAY(O467,-(Setup!$C$13+Setup!$G$33),Setup!$C$39:$C$50))&lt;=Setup!$C$16))),WORKDAY(O467,-(Setup!$C$13+Setup!$G$33+Setup!$C$14),Setup!$C$39:$C$50),WORKDAY(O467,-(Setup!$C$13+Setup!$G$33),Setup!$C$39:$C$50))+(462*100+14)/10000000)))</f>
        <v/>
      </c>
      <c r="AF467" t="str">
        <f>IF(P467="","",IF(P467&lt;Setup!$C$5-Setup!$C$6,"",IF(IF(ISNUMBER(Roster!$D467),Setup!$C$34&lt;=Roster!$D467,FALSE),"",IF(OR(IF(Setup!$C$15&lt;=Setup!$C$16,AND(MONTH(P467)&gt;=Setup!$C$15,MONTH(P467)&lt;=Setup!$C$16),OR(MONTH(P467)&gt;=Setup!$C$15,MONTH(P467)&lt;=Setup!$C$16)),IF(Setup!$C$15&lt;=Setup!$C$16,AND(MONTH(WORKDAY(P467,-(Setup!$C$13+Setup!$G$34),Setup!$C$39:$C$50))&gt;=Setup!$C$15,MONTH(WORKDAY(P467,-(Setup!$C$13+Setup!$G$34),Setup!$C$39:$C$50))&lt;=Setup!$C$16),OR(MONTH(WORKDAY(P467,-(Setup!$C$13+Setup!$G$34),Setup!$C$39:$C$50))&gt;=Setup!$C$15,MONTH(WORKDAY(P467,-(Setup!$C$13+Setup!$G$34),Setup!$C$39:$C$50))&lt;=Setup!$C$16))),WORKDAY(P467,-(Setup!$C$13+Setup!$G$34+Setup!$C$14),Setup!$C$39:$C$50),WORKDAY(P467,-(Setup!$C$13+Setup!$G$34),Setup!$C$39:$C$50))+(462*100+15)/10000000)))</f>
        <v/>
      </c>
      <c r="AH467" t="str">
        <f t="shared" si="51"/>
        <v/>
      </c>
      <c r="AI467" t="str">
        <f t="shared" si="52"/>
        <v/>
      </c>
      <c r="AP467" t="str">
        <f>IF(ISNUMBER(Roster!$B467),MAX(1,YEAR(Setup!$C$5)-YEAR(Roster!$B467)+IF(EDATE(Roster!$B467,12*(YEAR(Setup!$C$5)-YEAR(Roster!$B467)))&lt;Setup!$C$5,1,0)),"")</f>
        <v/>
      </c>
      <c r="AQ467" s="32" t="str">
        <f>IF(AP467="","",EDATE(Roster!$B467,12*AP467))</f>
        <v/>
      </c>
      <c r="AR467" t="str">
        <f>IF(AQ467="","",IF(AQ467&lt;DATE(YEAR(Setup!$C$5)+1,MONTH(Setup!$C$5),DAY(Setup!$C$5)),AQ467+462/1000,""))</f>
        <v/>
      </c>
      <c r="AS467" t="str">
        <f t="shared" si="53"/>
        <v/>
      </c>
      <c r="AT467" t="str">
        <f>IF(AS467="","",IF(ISNUMBER(Roster!$D467),Roster!$D467&gt;=AP467,FALSE))</f>
        <v/>
      </c>
      <c r="AU467" t="str">
        <f t="shared" si="54"/>
        <v/>
      </c>
      <c r="AV467" t="str">
        <f ca="1">IF(462&gt;$AV$2,"",SMALL($AR$6:$AR$505,462))</f>
        <v/>
      </c>
      <c r="AW467" t="str">
        <f t="shared" ca="1" si="55"/>
        <v/>
      </c>
    </row>
    <row r="468" spans="2:49" x14ac:dyDescent="0.2">
      <c r="B468" s="32" t="str">
        <f>IF(AND(ISNUMBER(Roster!$B468),Setup!$B$20="Yes",ISNUMBER(Setup!$C$20)),EDATE(Roster!$B468,12*Setup!$C$20),"")</f>
        <v/>
      </c>
      <c r="C468" s="32" t="str">
        <f>IF(AND(ISNUMBER(Roster!$B468),Setup!$B$21="Yes",ISNUMBER(Setup!$C$21)),EDATE(Roster!$B468,12*Setup!$C$21),"")</f>
        <v/>
      </c>
      <c r="D468" s="32" t="str">
        <f>IF(AND(ISNUMBER(Roster!$B468),Setup!$B$22="Yes",ISNUMBER(Setup!$C$22)),EDATE(Roster!$B468,12*Setup!$C$22),"")</f>
        <v/>
      </c>
      <c r="E468" s="32" t="str">
        <f>IF(AND(ISNUMBER(Roster!$B468),Setup!$B$23="Yes",ISNUMBER(Setup!$C$23)),EDATE(Roster!$B468,12*Setup!$C$23),"")</f>
        <v/>
      </c>
      <c r="F468" s="32" t="str">
        <f>IF(AND(ISNUMBER(Roster!$B468),Setup!$B$24="Yes",ISNUMBER(Setup!$C$24)),EDATE(Roster!$B468,12*Setup!$C$24),"")</f>
        <v/>
      </c>
      <c r="G468" s="32" t="str">
        <f>IF(AND(ISNUMBER(Roster!$B468),Setup!$B$25="Yes",ISNUMBER(Setup!$C$25)),EDATE(Roster!$B468,12*Setup!$C$25),"")</f>
        <v/>
      </c>
      <c r="H468" s="32" t="str">
        <f>IF(AND(ISNUMBER(Roster!$B468),Setup!$B$26="Yes",ISNUMBER(Setup!$C$26)),EDATE(Roster!$B468,12*Setup!$C$26),"")</f>
        <v/>
      </c>
      <c r="I468" s="32" t="str">
        <f>IF(AND(ISNUMBER(Roster!$B468),Setup!$B$27="Yes",ISNUMBER(Setup!$C$27)),EDATE(Roster!$B468,12*Setup!$C$27),"")</f>
        <v/>
      </c>
      <c r="J468" s="32" t="str">
        <f>IF(AND(ISNUMBER(Roster!$B468),Setup!$B$28="Yes",ISNUMBER(Setup!$C$28)),EDATE(Roster!$B468,12*Setup!$C$28),"")</f>
        <v/>
      </c>
      <c r="K468" s="32" t="str">
        <f>IF(AND(ISNUMBER(Roster!$B468),Setup!$B$29="Yes",ISNUMBER(Setup!$C$29)),EDATE(Roster!$B468,12*Setup!$C$29),"")</f>
        <v/>
      </c>
      <c r="L468" s="32" t="str">
        <f>IF(AND(ISNUMBER(Roster!$B468),Setup!$B$30="Yes",ISNUMBER(Setup!$C$30)),EDATE(Roster!$B468,12*Setup!$C$30),"")</f>
        <v/>
      </c>
      <c r="M468" s="32" t="str">
        <f>IF(AND(ISNUMBER(Roster!$B468),Setup!$B$31="Yes",ISNUMBER(Setup!$C$31)),EDATE(Roster!$B468,12*Setup!$C$31),"")</f>
        <v/>
      </c>
      <c r="N468" s="32" t="str">
        <f>IF(AND(ISNUMBER(Roster!$B468),Setup!$B$32="Yes",ISNUMBER(Setup!$C$32)),EDATE(Roster!$B468,12*Setup!$C$32),"")</f>
        <v/>
      </c>
      <c r="O468" s="32" t="str">
        <f>IF(AND(ISNUMBER(Roster!$B468),Setup!$B$33="Yes",ISNUMBER(Setup!$C$33)),EDATE(Roster!$B468,12*Setup!$C$33),"")</f>
        <v/>
      </c>
      <c r="P468" s="32" t="str">
        <f>IF(AND(ISNUMBER(Roster!$B468),Setup!$B$34="Yes",ISNUMBER(Setup!$C$34)),EDATE(Roster!$B468,12*Setup!$C$34),"")</f>
        <v/>
      </c>
      <c r="R468" t="str">
        <f>IF(B468="","",IF(B468&lt;Setup!$C$5-Setup!$C$6,"",IF(IF(ISNUMBER(Roster!$D468),Setup!$C$20&lt;=Roster!$D468,FALSE),"",IF(OR(IF(Setup!$C$15&lt;=Setup!$C$16,AND(MONTH(B468)&gt;=Setup!$C$15,MONTH(B468)&lt;=Setup!$C$16),OR(MONTH(B468)&gt;=Setup!$C$15,MONTH(B468)&lt;=Setup!$C$16)),IF(Setup!$C$15&lt;=Setup!$C$16,AND(MONTH(WORKDAY(B468,-(Setup!$C$13+Setup!$G$20),Setup!$C$39:$C$50))&gt;=Setup!$C$15,MONTH(WORKDAY(B468,-(Setup!$C$13+Setup!$G$20),Setup!$C$39:$C$50))&lt;=Setup!$C$16),OR(MONTH(WORKDAY(B468,-(Setup!$C$13+Setup!$G$20),Setup!$C$39:$C$50))&gt;=Setup!$C$15,MONTH(WORKDAY(B468,-(Setup!$C$13+Setup!$G$20),Setup!$C$39:$C$50))&lt;=Setup!$C$16))),WORKDAY(B468,-(Setup!$C$13+Setup!$G$20+Setup!$C$14),Setup!$C$39:$C$50),WORKDAY(B468,-(Setup!$C$13+Setup!$G$20),Setup!$C$39:$C$50))+(463*100+1)/10000000)))</f>
        <v/>
      </c>
      <c r="S468" t="str">
        <f>IF(C468="","",IF(C468&lt;Setup!$C$5-Setup!$C$6,"",IF(IF(ISNUMBER(Roster!$D468),Setup!$C$21&lt;=Roster!$D468,FALSE),"",IF(OR(IF(Setup!$C$15&lt;=Setup!$C$16,AND(MONTH(C468)&gt;=Setup!$C$15,MONTH(C468)&lt;=Setup!$C$16),OR(MONTH(C468)&gt;=Setup!$C$15,MONTH(C468)&lt;=Setup!$C$16)),IF(Setup!$C$15&lt;=Setup!$C$16,AND(MONTH(WORKDAY(C468,-(Setup!$C$13+Setup!$G$21),Setup!$C$39:$C$50))&gt;=Setup!$C$15,MONTH(WORKDAY(C468,-(Setup!$C$13+Setup!$G$21),Setup!$C$39:$C$50))&lt;=Setup!$C$16),OR(MONTH(WORKDAY(C468,-(Setup!$C$13+Setup!$G$21),Setup!$C$39:$C$50))&gt;=Setup!$C$15,MONTH(WORKDAY(C468,-(Setup!$C$13+Setup!$G$21),Setup!$C$39:$C$50))&lt;=Setup!$C$16))),WORKDAY(C468,-(Setup!$C$13+Setup!$G$21+Setup!$C$14),Setup!$C$39:$C$50),WORKDAY(C468,-(Setup!$C$13+Setup!$G$21),Setup!$C$39:$C$50))+(463*100+2)/10000000)))</f>
        <v/>
      </c>
      <c r="T468" t="str">
        <f>IF(D468="","",IF(D468&lt;Setup!$C$5-Setup!$C$6,"",IF(IF(ISNUMBER(Roster!$D468),Setup!$C$22&lt;=Roster!$D468,FALSE),"",IF(OR(IF(Setup!$C$15&lt;=Setup!$C$16,AND(MONTH(D468)&gt;=Setup!$C$15,MONTH(D468)&lt;=Setup!$C$16),OR(MONTH(D468)&gt;=Setup!$C$15,MONTH(D468)&lt;=Setup!$C$16)),IF(Setup!$C$15&lt;=Setup!$C$16,AND(MONTH(WORKDAY(D468,-(Setup!$C$13+Setup!$G$22),Setup!$C$39:$C$50))&gt;=Setup!$C$15,MONTH(WORKDAY(D468,-(Setup!$C$13+Setup!$G$22),Setup!$C$39:$C$50))&lt;=Setup!$C$16),OR(MONTH(WORKDAY(D468,-(Setup!$C$13+Setup!$G$22),Setup!$C$39:$C$50))&gt;=Setup!$C$15,MONTH(WORKDAY(D468,-(Setup!$C$13+Setup!$G$22),Setup!$C$39:$C$50))&lt;=Setup!$C$16))),WORKDAY(D468,-(Setup!$C$13+Setup!$G$22+Setup!$C$14),Setup!$C$39:$C$50),WORKDAY(D468,-(Setup!$C$13+Setup!$G$22),Setup!$C$39:$C$50))+(463*100+3)/10000000)))</f>
        <v/>
      </c>
      <c r="U468" t="str">
        <f>IF(E468="","",IF(E468&lt;Setup!$C$5-Setup!$C$6,"",IF(IF(ISNUMBER(Roster!$D468),Setup!$C$23&lt;=Roster!$D468,FALSE),"",IF(OR(IF(Setup!$C$15&lt;=Setup!$C$16,AND(MONTH(E468)&gt;=Setup!$C$15,MONTH(E468)&lt;=Setup!$C$16),OR(MONTH(E468)&gt;=Setup!$C$15,MONTH(E468)&lt;=Setup!$C$16)),IF(Setup!$C$15&lt;=Setup!$C$16,AND(MONTH(WORKDAY(E468,-(Setup!$C$13+Setup!$G$23),Setup!$C$39:$C$50))&gt;=Setup!$C$15,MONTH(WORKDAY(E468,-(Setup!$C$13+Setup!$G$23),Setup!$C$39:$C$50))&lt;=Setup!$C$16),OR(MONTH(WORKDAY(E468,-(Setup!$C$13+Setup!$G$23),Setup!$C$39:$C$50))&gt;=Setup!$C$15,MONTH(WORKDAY(E468,-(Setup!$C$13+Setup!$G$23),Setup!$C$39:$C$50))&lt;=Setup!$C$16))),WORKDAY(E468,-(Setup!$C$13+Setup!$G$23+Setup!$C$14),Setup!$C$39:$C$50),WORKDAY(E468,-(Setup!$C$13+Setup!$G$23),Setup!$C$39:$C$50))+(463*100+4)/10000000)))</f>
        <v/>
      </c>
      <c r="V468" t="str">
        <f>IF(F468="","",IF(F468&lt;Setup!$C$5-Setup!$C$6,"",IF(IF(ISNUMBER(Roster!$D468),Setup!$C$24&lt;=Roster!$D468,FALSE),"",IF(OR(IF(Setup!$C$15&lt;=Setup!$C$16,AND(MONTH(F468)&gt;=Setup!$C$15,MONTH(F468)&lt;=Setup!$C$16),OR(MONTH(F468)&gt;=Setup!$C$15,MONTH(F468)&lt;=Setup!$C$16)),IF(Setup!$C$15&lt;=Setup!$C$16,AND(MONTH(WORKDAY(F468,-(Setup!$C$13+Setup!$G$24),Setup!$C$39:$C$50))&gt;=Setup!$C$15,MONTH(WORKDAY(F468,-(Setup!$C$13+Setup!$G$24),Setup!$C$39:$C$50))&lt;=Setup!$C$16),OR(MONTH(WORKDAY(F468,-(Setup!$C$13+Setup!$G$24),Setup!$C$39:$C$50))&gt;=Setup!$C$15,MONTH(WORKDAY(F468,-(Setup!$C$13+Setup!$G$24),Setup!$C$39:$C$50))&lt;=Setup!$C$16))),WORKDAY(F468,-(Setup!$C$13+Setup!$G$24+Setup!$C$14),Setup!$C$39:$C$50),WORKDAY(F468,-(Setup!$C$13+Setup!$G$24),Setup!$C$39:$C$50))+(463*100+5)/10000000)))</f>
        <v/>
      </c>
      <c r="W468" t="str">
        <f>IF(G468="","",IF(G468&lt;Setup!$C$5-Setup!$C$6,"",IF(IF(ISNUMBER(Roster!$D468),Setup!$C$25&lt;=Roster!$D468,FALSE),"",IF(OR(IF(Setup!$C$15&lt;=Setup!$C$16,AND(MONTH(G468)&gt;=Setup!$C$15,MONTH(G468)&lt;=Setup!$C$16),OR(MONTH(G468)&gt;=Setup!$C$15,MONTH(G468)&lt;=Setup!$C$16)),IF(Setup!$C$15&lt;=Setup!$C$16,AND(MONTH(WORKDAY(G468,-(Setup!$C$13+Setup!$G$25),Setup!$C$39:$C$50))&gt;=Setup!$C$15,MONTH(WORKDAY(G468,-(Setup!$C$13+Setup!$G$25),Setup!$C$39:$C$50))&lt;=Setup!$C$16),OR(MONTH(WORKDAY(G468,-(Setup!$C$13+Setup!$G$25),Setup!$C$39:$C$50))&gt;=Setup!$C$15,MONTH(WORKDAY(G468,-(Setup!$C$13+Setup!$G$25),Setup!$C$39:$C$50))&lt;=Setup!$C$16))),WORKDAY(G468,-(Setup!$C$13+Setup!$G$25+Setup!$C$14),Setup!$C$39:$C$50),WORKDAY(G468,-(Setup!$C$13+Setup!$G$25),Setup!$C$39:$C$50))+(463*100+6)/10000000)))</f>
        <v/>
      </c>
      <c r="X468" t="str">
        <f>IF(H468="","",IF(H468&lt;Setup!$C$5-Setup!$C$6,"",IF(IF(ISNUMBER(Roster!$D468),Setup!$C$26&lt;=Roster!$D468,FALSE),"",IF(OR(IF(Setup!$C$15&lt;=Setup!$C$16,AND(MONTH(H468)&gt;=Setup!$C$15,MONTH(H468)&lt;=Setup!$C$16),OR(MONTH(H468)&gt;=Setup!$C$15,MONTH(H468)&lt;=Setup!$C$16)),IF(Setup!$C$15&lt;=Setup!$C$16,AND(MONTH(WORKDAY(H468,-(Setup!$C$13+Setup!$G$26),Setup!$C$39:$C$50))&gt;=Setup!$C$15,MONTH(WORKDAY(H468,-(Setup!$C$13+Setup!$G$26),Setup!$C$39:$C$50))&lt;=Setup!$C$16),OR(MONTH(WORKDAY(H468,-(Setup!$C$13+Setup!$G$26),Setup!$C$39:$C$50))&gt;=Setup!$C$15,MONTH(WORKDAY(H468,-(Setup!$C$13+Setup!$G$26),Setup!$C$39:$C$50))&lt;=Setup!$C$16))),WORKDAY(H468,-(Setup!$C$13+Setup!$G$26+Setup!$C$14),Setup!$C$39:$C$50),WORKDAY(H468,-(Setup!$C$13+Setup!$G$26),Setup!$C$39:$C$50))+(463*100+7)/10000000)))</f>
        <v/>
      </c>
      <c r="Y468" t="str">
        <f>IF(I468="","",IF(I468&lt;Setup!$C$5-Setup!$C$6,"",IF(IF(ISNUMBER(Roster!$D468),Setup!$C$27&lt;=Roster!$D468,FALSE),"",IF(OR(IF(Setup!$C$15&lt;=Setup!$C$16,AND(MONTH(I468)&gt;=Setup!$C$15,MONTH(I468)&lt;=Setup!$C$16),OR(MONTH(I468)&gt;=Setup!$C$15,MONTH(I468)&lt;=Setup!$C$16)),IF(Setup!$C$15&lt;=Setup!$C$16,AND(MONTH(WORKDAY(I468,-(Setup!$C$13+Setup!$G$27),Setup!$C$39:$C$50))&gt;=Setup!$C$15,MONTH(WORKDAY(I468,-(Setup!$C$13+Setup!$G$27),Setup!$C$39:$C$50))&lt;=Setup!$C$16),OR(MONTH(WORKDAY(I468,-(Setup!$C$13+Setup!$G$27),Setup!$C$39:$C$50))&gt;=Setup!$C$15,MONTH(WORKDAY(I468,-(Setup!$C$13+Setup!$G$27),Setup!$C$39:$C$50))&lt;=Setup!$C$16))),WORKDAY(I468,-(Setup!$C$13+Setup!$G$27+Setup!$C$14),Setup!$C$39:$C$50),WORKDAY(I468,-(Setup!$C$13+Setup!$G$27),Setup!$C$39:$C$50))+(463*100+8)/10000000)))</f>
        <v/>
      </c>
      <c r="Z468" t="str">
        <f>IF(J468="","",IF(J468&lt;Setup!$C$5-Setup!$C$6,"",IF(IF(ISNUMBER(Roster!$D468),Setup!$C$28&lt;=Roster!$D468,FALSE),"",IF(OR(IF(Setup!$C$15&lt;=Setup!$C$16,AND(MONTH(J468)&gt;=Setup!$C$15,MONTH(J468)&lt;=Setup!$C$16),OR(MONTH(J468)&gt;=Setup!$C$15,MONTH(J468)&lt;=Setup!$C$16)),IF(Setup!$C$15&lt;=Setup!$C$16,AND(MONTH(WORKDAY(J468,-(Setup!$C$13+Setup!$G$28),Setup!$C$39:$C$50))&gt;=Setup!$C$15,MONTH(WORKDAY(J468,-(Setup!$C$13+Setup!$G$28),Setup!$C$39:$C$50))&lt;=Setup!$C$16),OR(MONTH(WORKDAY(J468,-(Setup!$C$13+Setup!$G$28),Setup!$C$39:$C$50))&gt;=Setup!$C$15,MONTH(WORKDAY(J468,-(Setup!$C$13+Setup!$G$28),Setup!$C$39:$C$50))&lt;=Setup!$C$16))),WORKDAY(J468,-(Setup!$C$13+Setup!$G$28+Setup!$C$14),Setup!$C$39:$C$50),WORKDAY(J468,-(Setup!$C$13+Setup!$G$28),Setup!$C$39:$C$50))+(463*100+9)/10000000)))</f>
        <v/>
      </c>
      <c r="AA468" t="str">
        <f>IF(K468="","",IF(K468&lt;Setup!$C$5-Setup!$C$6,"",IF(IF(ISNUMBER(Roster!$D468),Setup!$C$29&lt;=Roster!$D468,FALSE),"",IF(OR(IF(Setup!$C$15&lt;=Setup!$C$16,AND(MONTH(K468)&gt;=Setup!$C$15,MONTH(K468)&lt;=Setup!$C$16),OR(MONTH(K468)&gt;=Setup!$C$15,MONTH(K468)&lt;=Setup!$C$16)),IF(Setup!$C$15&lt;=Setup!$C$16,AND(MONTH(WORKDAY(K468,-(Setup!$C$13+Setup!$G$29),Setup!$C$39:$C$50))&gt;=Setup!$C$15,MONTH(WORKDAY(K468,-(Setup!$C$13+Setup!$G$29),Setup!$C$39:$C$50))&lt;=Setup!$C$16),OR(MONTH(WORKDAY(K468,-(Setup!$C$13+Setup!$G$29),Setup!$C$39:$C$50))&gt;=Setup!$C$15,MONTH(WORKDAY(K468,-(Setup!$C$13+Setup!$G$29),Setup!$C$39:$C$50))&lt;=Setup!$C$16))),WORKDAY(K468,-(Setup!$C$13+Setup!$G$29+Setup!$C$14),Setup!$C$39:$C$50),WORKDAY(K468,-(Setup!$C$13+Setup!$G$29),Setup!$C$39:$C$50))+(463*100+10)/10000000)))</f>
        <v/>
      </c>
      <c r="AB468" t="str">
        <f>IF(L468="","",IF(L468&lt;Setup!$C$5-Setup!$C$6,"",IF(IF(ISNUMBER(Roster!$D468),Setup!$C$30&lt;=Roster!$D468,FALSE),"",IF(OR(IF(Setup!$C$15&lt;=Setup!$C$16,AND(MONTH(L468)&gt;=Setup!$C$15,MONTH(L468)&lt;=Setup!$C$16),OR(MONTH(L468)&gt;=Setup!$C$15,MONTH(L468)&lt;=Setup!$C$16)),IF(Setup!$C$15&lt;=Setup!$C$16,AND(MONTH(WORKDAY(L468,-(Setup!$C$13+Setup!$G$30),Setup!$C$39:$C$50))&gt;=Setup!$C$15,MONTH(WORKDAY(L468,-(Setup!$C$13+Setup!$G$30),Setup!$C$39:$C$50))&lt;=Setup!$C$16),OR(MONTH(WORKDAY(L468,-(Setup!$C$13+Setup!$G$30),Setup!$C$39:$C$50))&gt;=Setup!$C$15,MONTH(WORKDAY(L468,-(Setup!$C$13+Setup!$G$30),Setup!$C$39:$C$50))&lt;=Setup!$C$16))),WORKDAY(L468,-(Setup!$C$13+Setup!$G$30+Setup!$C$14),Setup!$C$39:$C$50),WORKDAY(L468,-(Setup!$C$13+Setup!$G$30),Setup!$C$39:$C$50))+(463*100+11)/10000000)))</f>
        <v/>
      </c>
      <c r="AC468" t="str">
        <f>IF(M468="","",IF(M468&lt;Setup!$C$5-Setup!$C$6,"",IF(IF(ISNUMBER(Roster!$D468),Setup!$C$31&lt;=Roster!$D468,FALSE),"",IF(OR(IF(Setup!$C$15&lt;=Setup!$C$16,AND(MONTH(M468)&gt;=Setup!$C$15,MONTH(M468)&lt;=Setup!$C$16),OR(MONTH(M468)&gt;=Setup!$C$15,MONTH(M468)&lt;=Setup!$C$16)),IF(Setup!$C$15&lt;=Setup!$C$16,AND(MONTH(WORKDAY(M468,-(Setup!$C$13+Setup!$G$31),Setup!$C$39:$C$50))&gt;=Setup!$C$15,MONTH(WORKDAY(M468,-(Setup!$C$13+Setup!$G$31),Setup!$C$39:$C$50))&lt;=Setup!$C$16),OR(MONTH(WORKDAY(M468,-(Setup!$C$13+Setup!$G$31),Setup!$C$39:$C$50))&gt;=Setup!$C$15,MONTH(WORKDAY(M468,-(Setup!$C$13+Setup!$G$31),Setup!$C$39:$C$50))&lt;=Setup!$C$16))),WORKDAY(M468,-(Setup!$C$13+Setup!$G$31+Setup!$C$14),Setup!$C$39:$C$50),WORKDAY(M468,-(Setup!$C$13+Setup!$G$31),Setup!$C$39:$C$50))+(463*100+12)/10000000)))</f>
        <v/>
      </c>
      <c r="AD468" t="str">
        <f>IF(N468="","",IF(N468&lt;Setup!$C$5-Setup!$C$6,"",IF(IF(ISNUMBER(Roster!$D468),Setup!$C$32&lt;=Roster!$D468,FALSE),"",IF(OR(IF(Setup!$C$15&lt;=Setup!$C$16,AND(MONTH(N468)&gt;=Setup!$C$15,MONTH(N468)&lt;=Setup!$C$16),OR(MONTH(N468)&gt;=Setup!$C$15,MONTH(N468)&lt;=Setup!$C$16)),IF(Setup!$C$15&lt;=Setup!$C$16,AND(MONTH(WORKDAY(N468,-(Setup!$C$13+Setup!$G$32),Setup!$C$39:$C$50))&gt;=Setup!$C$15,MONTH(WORKDAY(N468,-(Setup!$C$13+Setup!$G$32),Setup!$C$39:$C$50))&lt;=Setup!$C$16),OR(MONTH(WORKDAY(N468,-(Setup!$C$13+Setup!$G$32),Setup!$C$39:$C$50))&gt;=Setup!$C$15,MONTH(WORKDAY(N468,-(Setup!$C$13+Setup!$G$32),Setup!$C$39:$C$50))&lt;=Setup!$C$16))),WORKDAY(N468,-(Setup!$C$13+Setup!$G$32+Setup!$C$14),Setup!$C$39:$C$50),WORKDAY(N468,-(Setup!$C$13+Setup!$G$32),Setup!$C$39:$C$50))+(463*100+13)/10000000)))</f>
        <v/>
      </c>
      <c r="AE468" t="str">
        <f>IF(O468="","",IF(O468&lt;Setup!$C$5-Setup!$C$6,"",IF(IF(ISNUMBER(Roster!$D468),Setup!$C$33&lt;=Roster!$D468,FALSE),"",IF(OR(IF(Setup!$C$15&lt;=Setup!$C$16,AND(MONTH(O468)&gt;=Setup!$C$15,MONTH(O468)&lt;=Setup!$C$16),OR(MONTH(O468)&gt;=Setup!$C$15,MONTH(O468)&lt;=Setup!$C$16)),IF(Setup!$C$15&lt;=Setup!$C$16,AND(MONTH(WORKDAY(O468,-(Setup!$C$13+Setup!$G$33),Setup!$C$39:$C$50))&gt;=Setup!$C$15,MONTH(WORKDAY(O468,-(Setup!$C$13+Setup!$G$33),Setup!$C$39:$C$50))&lt;=Setup!$C$16),OR(MONTH(WORKDAY(O468,-(Setup!$C$13+Setup!$G$33),Setup!$C$39:$C$50))&gt;=Setup!$C$15,MONTH(WORKDAY(O468,-(Setup!$C$13+Setup!$G$33),Setup!$C$39:$C$50))&lt;=Setup!$C$16))),WORKDAY(O468,-(Setup!$C$13+Setup!$G$33+Setup!$C$14),Setup!$C$39:$C$50),WORKDAY(O468,-(Setup!$C$13+Setup!$G$33),Setup!$C$39:$C$50))+(463*100+14)/10000000)))</f>
        <v/>
      </c>
      <c r="AF468" t="str">
        <f>IF(P468="","",IF(P468&lt;Setup!$C$5-Setup!$C$6,"",IF(IF(ISNUMBER(Roster!$D468),Setup!$C$34&lt;=Roster!$D468,FALSE),"",IF(OR(IF(Setup!$C$15&lt;=Setup!$C$16,AND(MONTH(P468)&gt;=Setup!$C$15,MONTH(P468)&lt;=Setup!$C$16),OR(MONTH(P468)&gt;=Setup!$C$15,MONTH(P468)&lt;=Setup!$C$16)),IF(Setup!$C$15&lt;=Setup!$C$16,AND(MONTH(WORKDAY(P468,-(Setup!$C$13+Setup!$G$34),Setup!$C$39:$C$50))&gt;=Setup!$C$15,MONTH(WORKDAY(P468,-(Setup!$C$13+Setup!$G$34),Setup!$C$39:$C$50))&lt;=Setup!$C$16),OR(MONTH(WORKDAY(P468,-(Setup!$C$13+Setup!$G$34),Setup!$C$39:$C$50))&gt;=Setup!$C$15,MONTH(WORKDAY(P468,-(Setup!$C$13+Setup!$G$34),Setup!$C$39:$C$50))&lt;=Setup!$C$16))),WORKDAY(P468,-(Setup!$C$13+Setup!$G$34+Setup!$C$14),Setup!$C$39:$C$50),WORKDAY(P468,-(Setup!$C$13+Setup!$G$34),Setup!$C$39:$C$50))+(463*100+15)/10000000)))</f>
        <v/>
      </c>
      <c r="AH468" t="str">
        <f t="shared" si="51"/>
        <v/>
      </c>
      <c r="AI468" t="str">
        <f t="shared" si="52"/>
        <v/>
      </c>
      <c r="AP468" t="str">
        <f>IF(ISNUMBER(Roster!$B468),MAX(1,YEAR(Setup!$C$5)-YEAR(Roster!$B468)+IF(EDATE(Roster!$B468,12*(YEAR(Setup!$C$5)-YEAR(Roster!$B468)))&lt;Setup!$C$5,1,0)),"")</f>
        <v/>
      </c>
      <c r="AQ468" s="32" t="str">
        <f>IF(AP468="","",EDATE(Roster!$B468,12*AP468))</f>
        <v/>
      </c>
      <c r="AR468" t="str">
        <f>IF(AQ468="","",IF(AQ468&lt;DATE(YEAR(Setup!$C$5)+1,MONTH(Setup!$C$5),DAY(Setup!$C$5)),AQ468+463/1000,""))</f>
        <v/>
      </c>
      <c r="AS468" t="str">
        <f t="shared" si="53"/>
        <v/>
      </c>
      <c r="AT468" t="str">
        <f>IF(AS468="","",IF(ISNUMBER(Roster!$D468),Roster!$D468&gt;=AP468,FALSE))</f>
        <v/>
      </c>
      <c r="AU468" t="str">
        <f t="shared" si="54"/>
        <v/>
      </c>
      <c r="AV468" t="str">
        <f ca="1">IF(463&gt;$AV$2,"",SMALL($AR$6:$AR$505,463))</f>
        <v/>
      </c>
      <c r="AW468" t="str">
        <f t="shared" ca="1" si="55"/>
        <v/>
      </c>
    </row>
    <row r="469" spans="2:49" x14ac:dyDescent="0.2">
      <c r="B469" s="32" t="str">
        <f>IF(AND(ISNUMBER(Roster!$B469),Setup!$B$20="Yes",ISNUMBER(Setup!$C$20)),EDATE(Roster!$B469,12*Setup!$C$20),"")</f>
        <v/>
      </c>
      <c r="C469" s="32" t="str">
        <f>IF(AND(ISNUMBER(Roster!$B469),Setup!$B$21="Yes",ISNUMBER(Setup!$C$21)),EDATE(Roster!$B469,12*Setup!$C$21),"")</f>
        <v/>
      </c>
      <c r="D469" s="32" t="str">
        <f>IF(AND(ISNUMBER(Roster!$B469),Setup!$B$22="Yes",ISNUMBER(Setup!$C$22)),EDATE(Roster!$B469,12*Setup!$C$22),"")</f>
        <v/>
      </c>
      <c r="E469" s="32" t="str">
        <f>IF(AND(ISNUMBER(Roster!$B469),Setup!$B$23="Yes",ISNUMBER(Setup!$C$23)),EDATE(Roster!$B469,12*Setup!$C$23),"")</f>
        <v/>
      </c>
      <c r="F469" s="32" t="str">
        <f>IF(AND(ISNUMBER(Roster!$B469),Setup!$B$24="Yes",ISNUMBER(Setup!$C$24)),EDATE(Roster!$B469,12*Setup!$C$24),"")</f>
        <v/>
      </c>
      <c r="G469" s="32" t="str">
        <f>IF(AND(ISNUMBER(Roster!$B469),Setup!$B$25="Yes",ISNUMBER(Setup!$C$25)),EDATE(Roster!$B469,12*Setup!$C$25),"")</f>
        <v/>
      </c>
      <c r="H469" s="32" t="str">
        <f>IF(AND(ISNUMBER(Roster!$B469),Setup!$B$26="Yes",ISNUMBER(Setup!$C$26)),EDATE(Roster!$B469,12*Setup!$C$26),"")</f>
        <v/>
      </c>
      <c r="I469" s="32" t="str">
        <f>IF(AND(ISNUMBER(Roster!$B469),Setup!$B$27="Yes",ISNUMBER(Setup!$C$27)),EDATE(Roster!$B469,12*Setup!$C$27),"")</f>
        <v/>
      </c>
      <c r="J469" s="32" t="str">
        <f>IF(AND(ISNUMBER(Roster!$B469),Setup!$B$28="Yes",ISNUMBER(Setup!$C$28)),EDATE(Roster!$B469,12*Setup!$C$28),"")</f>
        <v/>
      </c>
      <c r="K469" s="32" t="str">
        <f>IF(AND(ISNUMBER(Roster!$B469),Setup!$B$29="Yes",ISNUMBER(Setup!$C$29)),EDATE(Roster!$B469,12*Setup!$C$29),"")</f>
        <v/>
      </c>
      <c r="L469" s="32" t="str">
        <f>IF(AND(ISNUMBER(Roster!$B469),Setup!$B$30="Yes",ISNUMBER(Setup!$C$30)),EDATE(Roster!$B469,12*Setup!$C$30),"")</f>
        <v/>
      </c>
      <c r="M469" s="32" t="str">
        <f>IF(AND(ISNUMBER(Roster!$B469),Setup!$B$31="Yes",ISNUMBER(Setup!$C$31)),EDATE(Roster!$B469,12*Setup!$C$31),"")</f>
        <v/>
      </c>
      <c r="N469" s="32" t="str">
        <f>IF(AND(ISNUMBER(Roster!$B469),Setup!$B$32="Yes",ISNUMBER(Setup!$C$32)),EDATE(Roster!$B469,12*Setup!$C$32),"")</f>
        <v/>
      </c>
      <c r="O469" s="32" t="str">
        <f>IF(AND(ISNUMBER(Roster!$B469),Setup!$B$33="Yes",ISNUMBER(Setup!$C$33)),EDATE(Roster!$B469,12*Setup!$C$33),"")</f>
        <v/>
      </c>
      <c r="P469" s="32" t="str">
        <f>IF(AND(ISNUMBER(Roster!$B469),Setup!$B$34="Yes",ISNUMBER(Setup!$C$34)),EDATE(Roster!$B469,12*Setup!$C$34),"")</f>
        <v/>
      </c>
      <c r="R469" t="str">
        <f>IF(B469="","",IF(B469&lt;Setup!$C$5-Setup!$C$6,"",IF(IF(ISNUMBER(Roster!$D469),Setup!$C$20&lt;=Roster!$D469,FALSE),"",IF(OR(IF(Setup!$C$15&lt;=Setup!$C$16,AND(MONTH(B469)&gt;=Setup!$C$15,MONTH(B469)&lt;=Setup!$C$16),OR(MONTH(B469)&gt;=Setup!$C$15,MONTH(B469)&lt;=Setup!$C$16)),IF(Setup!$C$15&lt;=Setup!$C$16,AND(MONTH(WORKDAY(B469,-(Setup!$C$13+Setup!$G$20),Setup!$C$39:$C$50))&gt;=Setup!$C$15,MONTH(WORKDAY(B469,-(Setup!$C$13+Setup!$G$20),Setup!$C$39:$C$50))&lt;=Setup!$C$16),OR(MONTH(WORKDAY(B469,-(Setup!$C$13+Setup!$G$20),Setup!$C$39:$C$50))&gt;=Setup!$C$15,MONTH(WORKDAY(B469,-(Setup!$C$13+Setup!$G$20),Setup!$C$39:$C$50))&lt;=Setup!$C$16))),WORKDAY(B469,-(Setup!$C$13+Setup!$G$20+Setup!$C$14),Setup!$C$39:$C$50),WORKDAY(B469,-(Setup!$C$13+Setup!$G$20),Setup!$C$39:$C$50))+(464*100+1)/10000000)))</f>
        <v/>
      </c>
      <c r="S469" t="str">
        <f>IF(C469="","",IF(C469&lt;Setup!$C$5-Setup!$C$6,"",IF(IF(ISNUMBER(Roster!$D469),Setup!$C$21&lt;=Roster!$D469,FALSE),"",IF(OR(IF(Setup!$C$15&lt;=Setup!$C$16,AND(MONTH(C469)&gt;=Setup!$C$15,MONTH(C469)&lt;=Setup!$C$16),OR(MONTH(C469)&gt;=Setup!$C$15,MONTH(C469)&lt;=Setup!$C$16)),IF(Setup!$C$15&lt;=Setup!$C$16,AND(MONTH(WORKDAY(C469,-(Setup!$C$13+Setup!$G$21),Setup!$C$39:$C$50))&gt;=Setup!$C$15,MONTH(WORKDAY(C469,-(Setup!$C$13+Setup!$G$21),Setup!$C$39:$C$50))&lt;=Setup!$C$16),OR(MONTH(WORKDAY(C469,-(Setup!$C$13+Setup!$G$21),Setup!$C$39:$C$50))&gt;=Setup!$C$15,MONTH(WORKDAY(C469,-(Setup!$C$13+Setup!$G$21),Setup!$C$39:$C$50))&lt;=Setup!$C$16))),WORKDAY(C469,-(Setup!$C$13+Setup!$G$21+Setup!$C$14),Setup!$C$39:$C$50),WORKDAY(C469,-(Setup!$C$13+Setup!$G$21),Setup!$C$39:$C$50))+(464*100+2)/10000000)))</f>
        <v/>
      </c>
      <c r="T469" t="str">
        <f>IF(D469="","",IF(D469&lt;Setup!$C$5-Setup!$C$6,"",IF(IF(ISNUMBER(Roster!$D469),Setup!$C$22&lt;=Roster!$D469,FALSE),"",IF(OR(IF(Setup!$C$15&lt;=Setup!$C$16,AND(MONTH(D469)&gt;=Setup!$C$15,MONTH(D469)&lt;=Setup!$C$16),OR(MONTH(D469)&gt;=Setup!$C$15,MONTH(D469)&lt;=Setup!$C$16)),IF(Setup!$C$15&lt;=Setup!$C$16,AND(MONTH(WORKDAY(D469,-(Setup!$C$13+Setup!$G$22),Setup!$C$39:$C$50))&gt;=Setup!$C$15,MONTH(WORKDAY(D469,-(Setup!$C$13+Setup!$G$22),Setup!$C$39:$C$50))&lt;=Setup!$C$16),OR(MONTH(WORKDAY(D469,-(Setup!$C$13+Setup!$G$22),Setup!$C$39:$C$50))&gt;=Setup!$C$15,MONTH(WORKDAY(D469,-(Setup!$C$13+Setup!$G$22),Setup!$C$39:$C$50))&lt;=Setup!$C$16))),WORKDAY(D469,-(Setup!$C$13+Setup!$G$22+Setup!$C$14),Setup!$C$39:$C$50),WORKDAY(D469,-(Setup!$C$13+Setup!$G$22),Setup!$C$39:$C$50))+(464*100+3)/10000000)))</f>
        <v/>
      </c>
      <c r="U469" t="str">
        <f>IF(E469="","",IF(E469&lt;Setup!$C$5-Setup!$C$6,"",IF(IF(ISNUMBER(Roster!$D469),Setup!$C$23&lt;=Roster!$D469,FALSE),"",IF(OR(IF(Setup!$C$15&lt;=Setup!$C$16,AND(MONTH(E469)&gt;=Setup!$C$15,MONTH(E469)&lt;=Setup!$C$16),OR(MONTH(E469)&gt;=Setup!$C$15,MONTH(E469)&lt;=Setup!$C$16)),IF(Setup!$C$15&lt;=Setup!$C$16,AND(MONTH(WORKDAY(E469,-(Setup!$C$13+Setup!$G$23),Setup!$C$39:$C$50))&gt;=Setup!$C$15,MONTH(WORKDAY(E469,-(Setup!$C$13+Setup!$G$23),Setup!$C$39:$C$50))&lt;=Setup!$C$16),OR(MONTH(WORKDAY(E469,-(Setup!$C$13+Setup!$G$23),Setup!$C$39:$C$50))&gt;=Setup!$C$15,MONTH(WORKDAY(E469,-(Setup!$C$13+Setup!$G$23),Setup!$C$39:$C$50))&lt;=Setup!$C$16))),WORKDAY(E469,-(Setup!$C$13+Setup!$G$23+Setup!$C$14),Setup!$C$39:$C$50),WORKDAY(E469,-(Setup!$C$13+Setup!$G$23),Setup!$C$39:$C$50))+(464*100+4)/10000000)))</f>
        <v/>
      </c>
      <c r="V469" t="str">
        <f>IF(F469="","",IF(F469&lt;Setup!$C$5-Setup!$C$6,"",IF(IF(ISNUMBER(Roster!$D469),Setup!$C$24&lt;=Roster!$D469,FALSE),"",IF(OR(IF(Setup!$C$15&lt;=Setup!$C$16,AND(MONTH(F469)&gt;=Setup!$C$15,MONTH(F469)&lt;=Setup!$C$16),OR(MONTH(F469)&gt;=Setup!$C$15,MONTH(F469)&lt;=Setup!$C$16)),IF(Setup!$C$15&lt;=Setup!$C$16,AND(MONTH(WORKDAY(F469,-(Setup!$C$13+Setup!$G$24),Setup!$C$39:$C$50))&gt;=Setup!$C$15,MONTH(WORKDAY(F469,-(Setup!$C$13+Setup!$G$24),Setup!$C$39:$C$50))&lt;=Setup!$C$16),OR(MONTH(WORKDAY(F469,-(Setup!$C$13+Setup!$G$24),Setup!$C$39:$C$50))&gt;=Setup!$C$15,MONTH(WORKDAY(F469,-(Setup!$C$13+Setup!$G$24),Setup!$C$39:$C$50))&lt;=Setup!$C$16))),WORKDAY(F469,-(Setup!$C$13+Setup!$G$24+Setup!$C$14),Setup!$C$39:$C$50),WORKDAY(F469,-(Setup!$C$13+Setup!$G$24),Setup!$C$39:$C$50))+(464*100+5)/10000000)))</f>
        <v/>
      </c>
      <c r="W469" t="str">
        <f>IF(G469="","",IF(G469&lt;Setup!$C$5-Setup!$C$6,"",IF(IF(ISNUMBER(Roster!$D469),Setup!$C$25&lt;=Roster!$D469,FALSE),"",IF(OR(IF(Setup!$C$15&lt;=Setup!$C$16,AND(MONTH(G469)&gt;=Setup!$C$15,MONTH(G469)&lt;=Setup!$C$16),OR(MONTH(G469)&gt;=Setup!$C$15,MONTH(G469)&lt;=Setup!$C$16)),IF(Setup!$C$15&lt;=Setup!$C$16,AND(MONTH(WORKDAY(G469,-(Setup!$C$13+Setup!$G$25),Setup!$C$39:$C$50))&gt;=Setup!$C$15,MONTH(WORKDAY(G469,-(Setup!$C$13+Setup!$G$25),Setup!$C$39:$C$50))&lt;=Setup!$C$16),OR(MONTH(WORKDAY(G469,-(Setup!$C$13+Setup!$G$25),Setup!$C$39:$C$50))&gt;=Setup!$C$15,MONTH(WORKDAY(G469,-(Setup!$C$13+Setup!$G$25),Setup!$C$39:$C$50))&lt;=Setup!$C$16))),WORKDAY(G469,-(Setup!$C$13+Setup!$G$25+Setup!$C$14),Setup!$C$39:$C$50),WORKDAY(G469,-(Setup!$C$13+Setup!$G$25),Setup!$C$39:$C$50))+(464*100+6)/10000000)))</f>
        <v/>
      </c>
      <c r="X469" t="str">
        <f>IF(H469="","",IF(H469&lt;Setup!$C$5-Setup!$C$6,"",IF(IF(ISNUMBER(Roster!$D469),Setup!$C$26&lt;=Roster!$D469,FALSE),"",IF(OR(IF(Setup!$C$15&lt;=Setup!$C$16,AND(MONTH(H469)&gt;=Setup!$C$15,MONTH(H469)&lt;=Setup!$C$16),OR(MONTH(H469)&gt;=Setup!$C$15,MONTH(H469)&lt;=Setup!$C$16)),IF(Setup!$C$15&lt;=Setup!$C$16,AND(MONTH(WORKDAY(H469,-(Setup!$C$13+Setup!$G$26),Setup!$C$39:$C$50))&gt;=Setup!$C$15,MONTH(WORKDAY(H469,-(Setup!$C$13+Setup!$G$26),Setup!$C$39:$C$50))&lt;=Setup!$C$16),OR(MONTH(WORKDAY(H469,-(Setup!$C$13+Setup!$G$26),Setup!$C$39:$C$50))&gt;=Setup!$C$15,MONTH(WORKDAY(H469,-(Setup!$C$13+Setup!$G$26),Setup!$C$39:$C$50))&lt;=Setup!$C$16))),WORKDAY(H469,-(Setup!$C$13+Setup!$G$26+Setup!$C$14),Setup!$C$39:$C$50),WORKDAY(H469,-(Setup!$C$13+Setup!$G$26),Setup!$C$39:$C$50))+(464*100+7)/10000000)))</f>
        <v/>
      </c>
      <c r="Y469" t="str">
        <f>IF(I469="","",IF(I469&lt;Setup!$C$5-Setup!$C$6,"",IF(IF(ISNUMBER(Roster!$D469),Setup!$C$27&lt;=Roster!$D469,FALSE),"",IF(OR(IF(Setup!$C$15&lt;=Setup!$C$16,AND(MONTH(I469)&gt;=Setup!$C$15,MONTH(I469)&lt;=Setup!$C$16),OR(MONTH(I469)&gt;=Setup!$C$15,MONTH(I469)&lt;=Setup!$C$16)),IF(Setup!$C$15&lt;=Setup!$C$16,AND(MONTH(WORKDAY(I469,-(Setup!$C$13+Setup!$G$27),Setup!$C$39:$C$50))&gt;=Setup!$C$15,MONTH(WORKDAY(I469,-(Setup!$C$13+Setup!$G$27),Setup!$C$39:$C$50))&lt;=Setup!$C$16),OR(MONTH(WORKDAY(I469,-(Setup!$C$13+Setup!$G$27),Setup!$C$39:$C$50))&gt;=Setup!$C$15,MONTH(WORKDAY(I469,-(Setup!$C$13+Setup!$G$27),Setup!$C$39:$C$50))&lt;=Setup!$C$16))),WORKDAY(I469,-(Setup!$C$13+Setup!$G$27+Setup!$C$14),Setup!$C$39:$C$50),WORKDAY(I469,-(Setup!$C$13+Setup!$G$27),Setup!$C$39:$C$50))+(464*100+8)/10000000)))</f>
        <v/>
      </c>
      <c r="Z469" t="str">
        <f>IF(J469="","",IF(J469&lt;Setup!$C$5-Setup!$C$6,"",IF(IF(ISNUMBER(Roster!$D469),Setup!$C$28&lt;=Roster!$D469,FALSE),"",IF(OR(IF(Setup!$C$15&lt;=Setup!$C$16,AND(MONTH(J469)&gt;=Setup!$C$15,MONTH(J469)&lt;=Setup!$C$16),OR(MONTH(J469)&gt;=Setup!$C$15,MONTH(J469)&lt;=Setup!$C$16)),IF(Setup!$C$15&lt;=Setup!$C$16,AND(MONTH(WORKDAY(J469,-(Setup!$C$13+Setup!$G$28),Setup!$C$39:$C$50))&gt;=Setup!$C$15,MONTH(WORKDAY(J469,-(Setup!$C$13+Setup!$G$28),Setup!$C$39:$C$50))&lt;=Setup!$C$16),OR(MONTH(WORKDAY(J469,-(Setup!$C$13+Setup!$G$28),Setup!$C$39:$C$50))&gt;=Setup!$C$15,MONTH(WORKDAY(J469,-(Setup!$C$13+Setup!$G$28),Setup!$C$39:$C$50))&lt;=Setup!$C$16))),WORKDAY(J469,-(Setup!$C$13+Setup!$G$28+Setup!$C$14),Setup!$C$39:$C$50),WORKDAY(J469,-(Setup!$C$13+Setup!$G$28),Setup!$C$39:$C$50))+(464*100+9)/10000000)))</f>
        <v/>
      </c>
      <c r="AA469" t="str">
        <f>IF(K469="","",IF(K469&lt;Setup!$C$5-Setup!$C$6,"",IF(IF(ISNUMBER(Roster!$D469),Setup!$C$29&lt;=Roster!$D469,FALSE),"",IF(OR(IF(Setup!$C$15&lt;=Setup!$C$16,AND(MONTH(K469)&gt;=Setup!$C$15,MONTH(K469)&lt;=Setup!$C$16),OR(MONTH(K469)&gt;=Setup!$C$15,MONTH(K469)&lt;=Setup!$C$16)),IF(Setup!$C$15&lt;=Setup!$C$16,AND(MONTH(WORKDAY(K469,-(Setup!$C$13+Setup!$G$29),Setup!$C$39:$C$50))&gt;=Setup!$C$15,MONTH(WORKDAY(K469,-(Setup!$C$13+Setup!$G$29),Setup!$C$39:$C$50))&lt;=Setup!$C$16),OR(MONTH(WORKDAY(K469,-(Setup!$C$13+Setup!$G$29),Setup!$C$39:$C$50))&gt;=Setup!$C$15,MONTH(WORKDAY(K469,-(Setup!$C$13+Setup!$G$29),Setup!$C$39:$C$50))&lt;=Setup!$C$16))),WORKDAY(K469,-(Setup!$C$13+Setup!$G$29+Setup!$C$14),Setup!$C$39:$C$50),WORKDAY(K469,-(Setup!$C$13+Setup!$G$29),Setup!$C$39:$C$50))+(464*100+10)/10000000)))</f>
        <v/>
      </c>
      <c r="AB469" t="str">
        <f>IF(L469="","",IF(L469&lt;Setup!$C$5-Setup!$C$6,"",IF(IF(ISNUMBER(Roster!$D469),Setup!$C$30&lt;=Roster!$D469,FALSE),"",IF(OR(IF(Setup!$C$15&lt;=Setup!$C$16,AND(MONTH(L469)&gt;=Setup!$C$15,MONTH(L469)&lt;=Setup!$C$16),OR(MONTH(L469)&gt;=Setup!$C$15,MONTH(L469)&lt;=Setup!$C$16)),IF(Setup!$C$15&lt;=Setup!$C$16,AND(MONTH(WORKDAY(L469,-(Setup!$C$13+Setup!$G$30),Setup!$C$39:$C$50))&gt;=Setup!$C$15,MONTH(WORKDAY(L469,-(Setup!$C$13+Setup!$G$30),Setup!$C$39:$C$50))&lt;=Setup!$C$16),OR(MONTH(WORKDAY(L469,-(Setup!$C$13+Setup!$G$30),Setup!$C$39:$C$50))&gt;=Setup!$C$15,MONTH(WORKDAY(L469,-(Setup!$C$13+Setup!$G$30),Setup!$C$39:$C$50))&lt;=Setup!$C$16))),WORKDAY(L469,-(Setup!$C$13+Setup!$G$30+Setup!$C$14),Setup!$C$39:$C$50),WORKDAY(L469,-(Setup!$C$13+Setup!$G$30),Setup!$C$39:$C$50))+(464*100+11)/10000000)))</f>
        <v/>
      </c>
      <c r="AC469" t="str">
        <f>IF(M469="","",IF(M469&lt;Setup!$C$5-Setup!$C$6,"",IF(IF(ISNUMBER(Roster!$D469),Setup!$C$31&lt;=Roster!$D469,FALSE),"",IF(OR(IF(Setup!$C$15&lt;=Setup!$C$16,AND(MONTH(M469)&gt;=Setup!$C$15,MONTH(M469)&lt;=Setup!$C$16),OR(MONTH(M469)&gt;=Setup!$C$15,MONTH(M469)&lt;=Setup!$C$16)),IF(Setup!$C$15&lt;=Setup!$C$16,AND(MONTH(WORKDAY(M469,-(Setup!$C$13+Setup!$G$31),Setup!$C$39:$C$50))&gt;=Setup!$C$15,MONTH(WORKDAY(M469,-(Setup!$C$13+Setup!$G$31),Setup!$C$39:$C$50))&lt;=Setup!$C$16),OR(MONTH(WORKDAY(M469,-(Setup!$C$13+Setup!$G$31),Setup!$C$39:$C$50))&gt;=Setup!$C$15,MONTH(WORKDAY(M469,-(Setup!$C$13+Setup!$G$31),Setup!$C$39:$C$50))&lt;=Setup!$C$16))),WORKDAY(M469,-(Setup!$C$13+Setup!$G$31+Setup!$C$14),Setup!$C$39:$C$50),WORKDAY(M469,-(Setup!$C$13+Setup!$G$31),Setup!$C$39:$C$50))+(464*100+12)/10000000)))</f>
        <v/>
      </c>
      <c r="AD469" t="str">
        <f>IF(N469="","",IF(N469&lt;Setup!$C$5-Setup!$C$6,"",IF(IF(ISNUMBER(Roster!$D469),Setup!$C$32&lt;=Roster!$D469,FALSE),"",IF(OR(IF(Setup!$C$15&lt;=Setup!$C$16,AND(MONTH(N469)&gt;=Setup!$C$15,MONTH(N469)&lt;=Setup!$C$16),OR(MONTH(N469)&gt;=Setup!$C$15,MONTH(N469)&lt;=Setup!$C$16)),IF(Setup!$C$15&lt;=Setup!$C$16,AND(MONTH(WORKDAY(N469,-(Setup!$C$13+Setup!$G$32),Setup!$C$39:$C$50))&gt;=Setup!$C$15,MONTH(WORKDAY(N469,-(Setup!$C$13+Setup!$G$32),Setup!$C$39:$C$50))&lt;=Setup!$C$16),OR(MONTH(WORKDAY(N469,-(Setup!$C$13+Setup!$G$32),Setup!$C$39:$C$50))&gt;=Setup!$C$15,MONTH(WORKDAY(N469,-(Setup!$C$13+Setup!$G$32),Setup!$C$39:$C$50))&lt;=Setup!$C$16))),WORKDAY(N469,-(Setup!$C$13+Setup!$G$32+Setup!$C$14),Setup!$C$39:$C$50),WORKDAY(N469,-(Setup!$C$13+Setup!$G$32),Setup!$C$39:$C$50))+(464*100+13)/10000000)))</f>
        <v/>
      </c>
      <c r="AE469" t="str">
        <f>IF(O469="","",IF(O469&lt;Setup!$C$5-Setup!$C$6,"",IF(IF(ISNUMBER(Roster!$D469),Setup!$C$33&lt;=Roster!$D469,FALSE),"",IF(OR(IF(Setup!$C$15&lt;=Setup!$C$16,AND(MONTH(O469)&gt;=Setup!$C$15,MONTH(O469)&lt;=Setup!$C$16),OR(MONTH(O469)&gt;=Setup!$C$15,MONTH(O469)&lt;=Setup!$C$16)),IF(Setup!$C$15&lt;=Setup!$C$16,AND(MONTH(WORKDAY(O469,-(Setup!$C$13+Setup!$G$33),Setup!$C$39:$C$50))&gt;=Setup!$C$15,MONTH(WORKDAY(O469,-(Setup!$C$13+Setup!$G$33),Setup!$C$39:$C$50))&lt;=Setup!$C$16),OR(MONTH(WORKDAY(O469,-(Setup!$C$13+Setup!$G$33),Setup!$C$39:$C$50))&gt;=Setup!$C$15,MONTH(WORKDAY(O469,-(Setup!$C$13+Setup!$G$33),Setup!$C$39:$C$50))&lt;=Setup!$C$16))),WORKDAY(O469,-(Setup!$C$13+Setup!$G$33+Setup!$C$14),Setup!$C$39:$C$50),WORKDAY(O469,-(Setup!$C$13+Setup!$G$33),Setup!$C$39:$C$50))+(464*100+14)/10000000)))</f>
        <v/>
      </c>
      <c r="AF469" t="str">
        <f>IF(P469="","",IF(P469&lt;Setup!$C$5-Setup!$C$6,"",IF(IF(ISNUMBER(Roster!$D469),Setup!$C$34&lt;=Roster!$D469,FALSE),"",IF(OR(IF(Setup!$C$15&lt;=Setup!$C$16,AND(MONTH(P469)&gt;=Setup!$C$15,MONTH(P469)&lt;=Setup!$C$16),OR(MONTH(P469)&gt;=Setup!$C$15,MONTH(P469)&lt;=Setup!$C$16)),IF(Setup!$C$15&lt;=Setup!$C$16,AND(MONTH(WORKDAY(P469,-(Setup!$C$13+Setup!$G$34),Setup!$C$39:$C$50))&gt;=Setup!$C$15,MONTH(WORKDAY(P469,-(Setup!$C$13+Setup!$G$34),Setup!$C$39:$C$50))&lt;=Setup!$C$16),OR(MONTH(WORKDAY(P469,-(Setup!$C$13+Setup!$G$34),Setup!$C$39:$C$50))&gt;=Setup!$C$15,MONTH(WORKDAY(P469,-(Setup!$C$13+Setup!$G$34),Setup!$C$39:$C$50))&lt;=Setup!$C$16))),WORKDAY(P469,-(Setup!$C$13+Setup!$G$34+Setup!$C$14),Setup!$C$39:$C$50),WORKDAY(P469,-(Setup!$C$13+Setup!$G$34),Setup!$C$39:$C$50))+(464*100+15)/10000000)))</f>
        <v/>
      </c>
      <c r="AH469" t="str">
        <f t="shared" si="51"/>
        <v/>
      </c>
      <c r="AI469" t="str">
        <f t="shared" si="52"/>
        <v/>
      </c>
      <c r="AP469" t="str">
        <f>IF(ISNUMBER(Roster!$B469),MAX(1,YEAR(Setup!$C$5)-YEAR(Roster!$B469)+IF(EDATE(Roster!$B469,12*(YEAR(Setup!$C$5)-YEAR(Roster!$B469)))&lt;Setup!$C$5,1,0)),"")</f>
        <v/>
      </c>
      <c r="AQ469" s="32" t="str">
        <f>IF(AP469="","",EDATE(Roster!$B469,12*AP469))</f>
        <v/>
      </c>
      <c r="AR469" t="str">
        <f>IF(AQ469="","",IF(AQ469&lt;DATE(YEAR(Setup!$C$5)+1,MONTH(Setup!$C$5),DAY(Setup!$C$5)),AQ469+464/1000,""))</f>
        <v/>
      </c>
      <c r="AS469" t="str">
        <f t="shared" si="53"/>
        <v/>
      </c>
      <c r="AT469" t="str">
        <f>IF(AS469="","",IF(ISNUMBER(Roster!$D469),Roster!$D469&gt;=AP469,FALSE))</f>
        <v/>
      </c>
      <c r="AU469" t="str">
        <f t="shared" si="54"/>
        <v/>
      </c>
      <c r="AV469" t="str">
        <f ca="1">IF(464&gt;$AV$2,"",SMALL($AR$6:$AR$505,464))</f>
        <v/>
      </c>
      <c r="AW469" t="str">
        <f t="shared" ca="1" si="55"/>
        <v/>
      </c>
    </row>
    <row r="470" spans="2:49" x14ac:dyDescent="0.2">
      <c r="B470" s="32" t="str">
        <f>IF(AND(ISNUMBER(Roster!$B470),Setup!$B$20="Yes",ISNUMBER(Setup!$C$20)),EDATE(Roster!$B470,12*Setup!$C$20),"")</f>
        <v/>
      </c>
      <c r="C470" s="32" t="str">
        <f>IF(AND(ISNUMBER(Roster!$B470),Setup!$B$21="Yes",ISNUMBER(Setup!$C$21)),EDATE(Roster!$B470,12*Setup!$C$21),"")</f>
        <v/>
      </c>
      <c r="D470" s="32" t="str">
        <f>IF(AND(ISNUMBER(Roster!$B470),Setup!$B$22="Yes",ISNUMBER(Setup!$C$22)),EDATE(Roster!$B470,12*Setup!$C$22),"")</f>
        <v/>
      </c>
      <c r="E470" s="32" t="str">
        <f>IF(AND(ISNUMBER(Roster!$B470),Setup!$B$23="Yes",ISNUMBER(Setup!$C$23)),EDATE(Roster!$B470,12*Setup!$C$23),"")</f>
        <v/>
      </c>
      <c r="F470" s="32" t="str">
        <f>IF(AND(ISNUMBER(Roster!$B470),Setup!$B$24="Yes",ISNUMBER(Setup!$C$24)),EDATE(Roster!$B470,12*Setup!$C$24),"")</f>
        <v/>
      </c>
      <c r="G470" s="32" t="str">
        <f>IF(AND(ISNUMBER(Roster!$B470),Setup!$B$25="Yes",ISNUMBER(Setup!$C$25)),EDATE(Roster!$B470,12*Setup!$C$25),"")</f>
        <v/>
      </c>
      <c r="H470" s="32" t="str">
        <f>IF(AND(ISNUMBER(Roster!$B470),Setup!$B$26="Yes",ISNUMBER(Setup!$C$26)),EDATE(Roster!$B470,12*Setup!$C$26),"")</f>
        <v/>
      </c>
      <c r="I470" s="32" t="str">
        <f>IF(AND(ISNUMBER(Roster!$B470),Setup!$B$27="Yes",ISNUMBER(Setup!$C$27)),EDATE(Roster!$B470,12*Setup!$C$27),"")</f>
        <v/>
      </c>
      <c r="J470" s="32" t="str">
        <f>IF(AND(ISNUMBER(Roster!$B470),Setup!$B$28="Yes",ISNUMBER(Setup!$C$28)),EDATE(Roster!$B470,12*Setup!$C$28),"")</f>
        <v/>
      </c>
      <c r="K470" s="32" t="str">
        <f>IF(AND(ISNUMBER(Roster!$B470),Setup!$B$29="Yes",ISNUMBER(Setup!$C$29)),EDATE(Roster!$B470,12*Setup!$C$29),"")</f>
        <v/>
      </c>
      <c r="L470" s="32" t="str">
        <f>IF(AND(ISNUMBER(Roster!$B470),Setup!$B$30="Yes",ISNUMBER(Setup!$C$30)),EDATE(Roster!$B470,12*Setup!$C$30),"")</f>
        <v/>
      </c>
      <c r="M470" s="32" t="str">
        <f>IF(AND(ISNUMBER(Roster!$B470),Setup!$B$31="Yes",ISNUMBER(Setup!$C$31)),EDATE(Roster!$B470,12*Setup!$C$31),"")</f>
        <v/>
      </c>
      <c r="N470" s="32" t="str">
        <f>IF(AND(ISNUMBER(Roster!$B470),Setup!$B$32="Yes",ISNUMBER(Setup!$C$32)),EDATE(Roster!$B470,12*Setup!$C$32),"")</f>
        <v/>
      </c>
      <c r="O470" s="32" t="str">
        <f>IF(AND(ISNUMBER(Roster!$B470),Setup!$B$33="Yes",ISNUMBER(Setup!$C$33)),EDATE(Roster!$B470,12*Setup!$C$33),"")</f>
        <v/>
      </c>
      <c r="P470" s="32" t="str">
        <f>IF(AND(ISNUMBER(Roster!$B470),Setup!$B$34="Yes",ISNUMBER(Setup!$C$34)),EDATE(Roster!$B470,12*Setup!$C$34),"")</f>
        <v/>
      </c>
      <c r="R470" t="str">
        <f>IF(B470="","",IF(B470&lt;Setup!$C$5-Setup!$C$6,"",IF(IF(ISNUMBER(Roster!$D470),Setup!$C$20&lt;=Roster!$D470,FALSE),"",IF(OR(IF(Setup!$C$15&lt;=Setup!$C$16,AND(MONTH(B470)&gt;=Setup!$C$15,MONTH(B470)&lt;=Setup!$C$16),OR(MONTH(B470)&gt;=Setup!$C$15,MONTH(B470)&lt;=Setup!$C$16)),IF(Setup!$C$15&lt;=Setup!$C$16,AND(MONTH(WORKDAY(B470,-(Setup!$C$13+Setup!$G$20),Setup!$C$39:$C$50))&gt;=Setup!$C$15,MONTH(WORKDAY(B470,-(Setup!$C$13+Setup!$G$20),Setup!$C$39:$C$50))&lt;=Setup!$C$16),OR(MONTH(WORKDAY(B470,-(Setup!$C$13+Setup!$G$20),Setup!$C$39:$C$50))&gt;=Setup!$C$15,MONTH(WORKDAY(B470,-(Setup!$C$13+Setup!$G$20),Setup!$C$39:$C$50))&lt;=Setup!$C$16))),WORKDAY(B470,-(Setup!$C$13+Setup!$G$20+Setup!$C$14),Setup!$C$39:$C$50),WORKDAY(B470,-(Setup!$C$13+Setup!$G$20),Setup!$C$39:$C$50))+(465*100+1)/10000000)))</f>
        <v/>
      </c>
      <c r="S470" t="str">
        <f>IF(C470="","",IF(C470&lt;Setup!$C$5-Setup!$C$6,"",IF(IF(ISNUMBER(Roster!$D470),Setup!$C$21&lt;=Roster!$D470,FALSE),"",IF(OR(IF(Setup!$C$15&lt;=Setup!$C$16,AND(MONTH(C470)&gt;=Setup!$C$15,MONTH(C470)&lt;=Setup!$C$16),OR(MONTH(C470)&gt;=Setup!$C$15,MONTH(C470)&lt;=Setup!$C$16)),IF(Setup!$C$15&lt;=Setup!$C$16,AND(MONTH(WORKDAY(C470,-(Setup!$C$13+Setup!$G$21),Setup!$C$39:$C$50))&gt;=Setup!$C$15,MONTH(WORKDAY(C470,-(Setup!$C$13+Setup!$G$21),Setup!$C$39:$C$50))&lt;=Setup!$C$16),OR(MONTH(WORKDAY(C470,-(Setup!$C$13+Setup!$G$21),Setup!$C$39:$C$50))&gt;=Setup!$C$15,MONTH(WORKDAY(C470,-(Setup!$C$13+Setup!$G$21),Setup!$C$39:$C$50))&lt;=Setup!$C$16))),WORKDAY(C470,-(Setup!$C$13+Setup!$G$21+Setup!$C$14),Setup!$C$39:$C$50),WORKDAY(C470,-(Setup!$C$13+Setup!$G$21),Setup!$C$39:$C$50))+(465*100+2)/10000000)))</f>
        <v/>
      </c>
      <c r="T470" t="str">
        <f>IF(D470="","",IF(D470&lt;Setup!$C$5-Setup!$C$6,"",IF(IF(ISNUMBER(Roster!$D470),Setup!$C$22&lt;=Roster!$D470,FALSE),"",IF(OR(IF(Setup!$C$15&lt;=Setup!$C$16,AND(MONTH(D470)&gt;=Setup!$C$15,MONTH(D470)&lt;=Setup!$C$16),OR(MONTH(D470)&gt;=Setup!$C$15,MONTH(D470)&lt;=Setup!$C$16)),IF(Setup!$C$15&lt;=Setup!$C$16,AND(MONTH(WORKDAY(D470,-(Setup!$C$13+Setup!$G$22),Setup!$C$39:$C$50))&gt;=Setup!$C$15,MONTH(WORKDAY(D470,-(Setup!$C$13+Setup!$G$22),Setup!$C$39:$C$50))&lt;=Setup!$C$16),OR(MONTH(WORKDAY(D470,-(Setup!$C$13+Setup!$G$22),Setup!$C$39:$C$50))&gt;=Setup!$C$15,MONTH(WORKDAY(D470,-(Setup!$C$13+Setup!$G$22),Setup!$C$39:$C$50))&lt;=Setup!$C$16))),WORKDAY(D470,-(Setup!$C$13+Setup!$G$22+Setup!$C$14),Setup!$C$39:$C$50),WORKDAY(D470,-(Setup!$C$13+Setup!$G$22),Setup!$C$39:$C$50))+(465*100+3)/10000000)))</f>
        <v/>
      </c>
      <c r="U470" t="str">
        <f>IF(E470="","",IF(E470&lt;Setup!$C$5-Setup!$C$6,"",IF(IF(ISNUMBER(Roster!$D470),Setup!$C$23&lt;=Roster!$D470,FALSE),"",IF(OR(IF(Setup!$C$15&lt;=Setup!$C$16,AND(MONTH(E470)&gt;=Setup!$C$15,MONTH(E470)&lt;=Setup!$C$16),OR(MONTH(E470)&gt;=Setup!$C$15,MONTH(E470)&lt;=Setup!$C$16)),IF(Setup!$C$15&lt;=Setup!$C$16,AND(MONTH(WORKDAY(E470,-(Setup!$C$13+Setup!$G$23),Setup!$C$39:$C$50))&gt;=Setup!$C$15,MONTH(WORKDAY(E470,-(Setup!$C$13+Setup!$G$23),Setup!$C$39:$C$50))&lt;=Setup!$C$16),OR(MONTH(WORKDAY(E470,-(Setup!$C$13+Setup!$G$23),Setup!$C$39:$C$50))&gt;=Setup!$C$15,MONTH(WORKDAY(E470,-(Setup!$C$13+Setup!$G$23),Setup!$C$39:$C$50))&lt;=Setup!$C$16))),WORKDAY(E470,-(Setup!$C$13+Setup!$G$23+Setup!$C$14),Setup!$C$39:$C$50),WORKDAY(E470,-(Setup!$C$13+Setup!$G$23),Setup!$C$39:$C$50))+(465*100+4)/10000000)))</f>
        <v/>
      </c>
      <c r="V470" t="str">
        <f>IF(F470="","",IF(F470&lt;Setup!$C$5-Setup!$C$6,"",IF(IF(ISNUMBER(Roster!$D470),Setup!$C$24&lt;=Roster!$D470,FALSE),"",IF(OR(IF(Setup!$C$15&lt;=Setup!$C$16,AND(MONTH(F470)&gt;=Setup!$C$15,MONTH(F470)&lt;=Setup!$C$16),OR(MONTH(F470)&gt;=Setup!$C$15,MONTH(F470)&lt;=Setup!$C$16)),IF(Setup!$C$15&lt;=Setup!$C$16,AND(MONTH(WORKDAY(F470,-(Setup!$C$13+Setup!$G$24),Setup!$C$39:$C$50))&gt;=Setup!$C$15,MONTH(WORKDAY(F470,-(Setup!$C$13+Setup!$G$24),Setup!$C$39:$C$50))&lt;=Setup!$C$16),OR(MONTH(WORKDAY(F470,-(Setup!$C$13+Setup!$G$24),Setup!$C$39:$C$50))&gt;=Setup!$C$15,MONTH(WORKDAY(F470,-(Setup!$C$13+Setup!$G$24),Setup!$C$39:$C$50))&lt;=Setup!$C$16))),WORKDAY(F470,-(Setup!$C$13+Setup!$G$24+Setup!$C$14),Setup!$C$39:$C$50),WORKDAY(F470,-(Setup!$C$13+Setup!$G$24),Setup!$C$39:$C$50))+(465*100+5)/10000000)))</f>
        <v/>
      </c>
      <c r="W470" t="str">
        <f>IF(G470="","",IF(G470&lt;Setup!$C$5-Setup!$C$6,"",IF(IF(ISNUMBER(Roster!$D470),Setup!$C$25&lt;=Roster!$D470,FALSE),"",IF(OR(IF(Setup!$C$15&lt;=Setup!$C$16,AND(MONTH(G470)&gt;=Setup!$C$15,MONTH(G470)&lt;=Setup!$C$16),OR(MONTH(G470)&gt;=Setup!$C$15,MONTH(G470)&lt;=Setup!$C$16)),IF(Setup!$C$15&lt;=Setup!$C$16,AND(MONTH(WORKDAY(G470,-(Setup!$C$13+Setup!$G$25),Setup!$C$39:$C$50))&gt;=Setup!$C$15,MONTH(WORKDAY(G470,-(Setup!$C$13+Setup!$G$25),Setup!$C$39:$C$50))&lt;=Setup!$C$16),OR(MONTH(WORKDAY(G470,-(Setup!$C$13+Setup!$G$25),Setup!$C$39:$C$50))&gt;=Setup!$C$15,MONTH(WORKDAY(G470,-(Setup!$C$13+Setup!$G$25),Setup!$C$39:$C$50))&lt;=Setup!$C$16))),WORKDAY(G470,-(Setup!$C$13+Setup!$G$25+Setup!$C$14),Setup!$C$39:$C$50),WORKDAY(G470,-(Setup!$C$13+Setup!$G$25),Setup!$C$39:$C$50))+(465*100+6)/10000000)))</f>
        <v/>
      </c>
      <c r="X470" t="str">
        <f>IF(H470="","",IF(H470&lt;Setup!$C$5-Setup!$C$6,"",IF(IF(ISNUMBER(Roster!$D470),Setup!$C$26&lt;=Roster!$D470,FALSE),"",IF(OR(IF(Setup!$C$15&lt;=Setup!$C$16,AND(MONTH(H470)&gt;=Setup!$C$15,MONTH(H470)&lt;=Setup!$C$16),OR(MONTH(H470)&gt;=Setup!$C$15,MONTH(H470)&lt;=Setup!$C$16)),IF(Setup!$C$15&lt;=Setup!$C$16,AND(MONTH(WORKDAY(H470,-(Setup!$C$13+Setup!$G$26),Setup!$C$39:$C$50))&gt;=Setup!$C$15,MONTH(WORKDAY(H470,-(Setup!$C$13+Setup!$G$26),Setup!$C$39:$C$50))&lt;=Setup!$C$16),OR(MONTH(WORKDAY(H470,-(Setup!$C$13+Setup!$G$26),Setup!$C$39:$C$50))&gt;=Setup!$C$15,MONTH(WORKDAY(H470,-(Setup!$C$13+Setup!$G$26),Setup!$C$39:$C$50))&lt;=Setup!$C$16))),WORKDAY(H470,-(Setup!$C$13+Setup!$G$26+Setup!$C$14),Setup!$C$39:$C$50),WORKDAY(H470,-(Setup!$C$13+Setup!$G$26),Setup!$C$39:$C$50))+(465*100+7)/10000000)))</f>
        <v/>
      </c>
      <c r="Y470" t="str">
        <f>IF(I470="","",IF(I470&lt;Setup!$C$5-Setup!$C$6,"",IF(IF(ISNUMBER(Roster!$D470),Setup!$C$27&lt;=Roster!$D470,FALSE),"",IF(OR(IF(Setup!$C$15&lt;=Setup!$C$16,AND(MONTH(I470)&gt;=Setup!$C$15,MONTH(I470)&lt;=Setup!$C$16),OR(MONTH(I470)&gt;=Setup!$C$15,MONTH(I470)&lt;=Setup!$C$16)),IF(Setup!$C$15&lt;=Setup!$C$16,AND(MONTH(WORKDAY(I470,-(Setup!$C$13+Setup!$G$27),Setup!$C$39:$C$50))&gt;=Setup!$C$15,MONTH(WORKDAY(I470,-(Setup!$C$13+Setup!$G$27),Setup!$C$39:$C$50))&lt;=Setup!$C$16),OR(MONTH(WORKDAY(I470,-(Setup!$C$13+Setup!$G$27),Setup!$C$39:$C$50))&gt;=Setup!$C$15,MONTH(WORKDAY(I470,-(Setup!$C$13+Setup!$G$27),Setup!$C$39:$C$50))&lt;=Setup!$C$16))),WORKDAY(I470,-(Setup!$C$13+Setup!$G$27+Setup!$C$14),Setup!$C$39:$C$50),WORKDAY(I470,-(Setup!$C$13+Setup!$G$27),Setup!$C$39:$C$50))+(465*100+8)/10000000)))</f>
        <v/>
      </c>
      <c r="Z470" t="str">
        <f>IF(J470="","",IF(J470&lt;Setup!$C$5-Setup!$C$6,"",IF(IF(ISNUMBER(Roster!$D470),Setup!$C$28&lt;=Roster!$D470,FALSE),"",IF(OR(IF(Setup!$C$15&lt;=Setup!$C$16,AND(MONTH(J470)&gt;=Setup!$C$15,MONTH(J470)&lt;=Setup!$C$16),OR(MONTH(J470)&gt;=Setup!$C$15,MONTH(J470)&lt;=Setup!$C$16)),IF(Setup!$C$15&lt;=Setup!$C$16,AND(MONTH(WORKDAY(J470,-(Setup!$C$13+Setup!$G$28),Setup!$C$39:$C$50))&gt;=Setup!$C$15,MONTH(WORKDAY(J470,-(Setup!$C$13+Setup!$G$28),Setup!$C$39:$C$50))&lt;=Setup!$C$16),OR(MONTH(WORKDAY(J470,-(Setup!$C$13+Setup!$G$28),Setup!$C$39:$C$50))&gt;=Setup!$C$15,MONTH(WORKDAY(J470,-(Setup!$C$13+Setup!$G$28),Setup!$C$39:$C$50))&lt;=Setup!$C$16))),WORKDAY(J470,-(Setup!$C$13+Setup!$G$28+Setup!$C$14),Setup!$C$39:$C$50),WORKDAY(J470,-(Setup!$C$13+Setup!$G$28),Setup!$C$39:$C$50))+(465*100+9)/10000000)))</f>
        <v/>
      </c>
      <c r="AA470" t="str">
        <f>IF(K470="","",IF(K470&lt;Setup!$C$5-Setup!$C$6,"",IF(IF(ISNUMBER(Roster!$D470),Setup!$C$29&lt;=Roster!$D470,FALSE),"",IF(OR(IF(Setup!$C$15&lt;=Setup!$C$16,AND(MONTH(K470)&gt;=Setup!$C$15,MONTH(K470)&lt;=Setup!$C$16),OR(MONTH(K470)&gt;=Setup!$C$15,MONTH(K470)&lt;=Setup!$C$16)),IF(Setup!$C$15&lt;=Setup!$C$16,AND(MONTH(WORKDAY(K470,-(Setup!$C$13+Setup!$G$29),Setup!$C$39:$C$50))&gt;=Setup!$C$15,MONTH(WORKDAY(K470,-(Setup!$C$13+Setup!$G$29),Setup!$C$39:$C$50))&lt;=Setup!$C$16),OR(MONTH(WORKDAY(K470,-(Setup!$C$13+Setup!$G$29),Setup!$C$39:$C$50))&gt;=Setup!$C$15,MONTH(WORKDAY(K470,-(Setup!$C$13+Setup!$G$29),Setup!$C$39:$C$50))&lt;=Setup!$C$16))),WORKDAY(K470,-(Setup!$C$13+Setup!$G$29+Setup!$C$14),Setup!$C$39:$C$50),WORKDAY(K470,-(Setup!$C$13+Setup!$G$29),Setup!$C$39:$C$50))+(465*100+10)/10000000)))</f>
        <v/>
      </c>
      <c r="AB470" t="str">
        <f>IF(L470="","",IF(L470&lt;Setup!$C$5-Setup!$C$6,"",IF(IF(ISNUMBER(Roster!$D470),Setup!$C$30&lt;=Roster!$D470,FALSE),"",IF(OR(IF(Setup!$C$15&lt;=Setup!$C$16,AND(MONTH(L470)&gt;=Setup!$C$15,MONTH(L470)&lt;=Setup!$C$16),OR(MONTH(L470)&gt;=Setup!$C$15,MONTH(L470)&lt;=Setup!$C$16)),IF(Setup!$C$15&lt;=Setup!$C$16,AND(MONTH(WORKDAY(L470,-(Setup!$C$13+Setup!$G$30),Setup!$C$39:$C$50))&gt;=Setup!$C$15,MONTH(WORKDAY(L470,-(Setup!$C$13+Setup!$G$30),Setup!$C$39:$C$50))&lt;=Setup!$C$16),OR(MONTH(WORKDAY(L470,-(Setup!$C$13+Setup!$G$30),Setup!$C$39:$C$50))&gt;=Setup!$C$15,MONTH(WORKDAY(L470,-(Setup!$C$13+Setup!$G$30),Setup!$C$39:$C$50))&lt;=Setup!$C$16))),WORKDAY(L470,-(Setup!$C$13+Setup!$G$30+Setup!$C$14),Setup!$C$39:$C$50),WORKDAY(L470,-(Setup!$C$13+Setup!$G$30),Setup!$C$39:$C$50))+(465*100+11)/10000000)))</f>
        <v/>
      </c>
      <c r="AC470" t="str">
        <f>IF(M470="","",IF(M470&lt;Setup!$C$5-Setup!$C$6,"",IF(IF(ISNUMBER(Roster!$D470),Setup!$C$31&lt;=Roster!$D470,FALSE),"",IF(OR(IF(Setup!$C$15&lt;=Setup!$C$16,AND(MONTH(M470)&gt;=Setup!$C$15,MONTH(M470)&lt;=Setup!$C$16),OR(MONTH(M470)&gt;=Setup!$C$15,MONTH(M470)&lt;=Setup!$C$16)),IF(Setup!$C$15&lt;=Setup!$C$16,AND(MONTH(WORKDAY(M470,-(Setup!$C$13+Setup!$G$31),Setup!$C$39:$C$50))&gt;=Setup!$C$15,MONTH(WORKDAY(M470,-(Setup!$C$13+Setup!$G$31),Setup!$C$39:$C$50))&lt;=Setup!$C$16),OR(MONTH(WORKDAY(M470,-(Setup!$C$13+Setup!$G$31),Setup!$C$39:$C$50))&gt;=Setup!$C$15,MONTH(WORKDAY(M470,-(Setup!$C$13+Setup!$G$31),Setup!$C$39:$C$50))&lt;=Setup!$C$16))),WORKDAY(M470,-(Setup!$C$13+Setup!$G$31+Setup!$C$14),Setup!$C$39:$C$50),WORKDAY(M470,-(Setup!$C$13+Setup!$G$31),Setup!$C$39:$C$50))+(465*100+12)/10000000)))</f>
        <v/>
      </c>
      <c r="AD470" t="str">
        <f>IF(N470="","",IF(N470&lt;Setup!$C$5-Setup!$C$6,"",IF(IF(ISNUMBER(Roster!$D470),Setup!$C$32&lt;=Roster!$D470,FALSE),"",IF(OR(IF(Setup!$C$15&lt;=Setup!$C$16,AND(MONTH(N470)&gt;=Setup!$C$15,MONTH(N470)&lt;=Setup!$C$16),OR(MONTH(N470)&gt;=Setup!$C$15,MONTH(N470)&lt;=Setup!$C$16)),IF(Setup!$C$15&lt;=Setup!$C$16,AND(MONTH(WORKDAY(N470,-(Setup!$C$13+Setup!$G$32),Setup!$C$39:$C$50))&gt;=Setup!$C$15,MONTH(WORKDAY(N470,-(Setup!$C$13+Setup!$G$32),Setup!$C$39:$C$50))&lt;=Setup!$C$16),OR(MONTH(WORKDAY(N470,-(Setup!$C$13+Setup!$G$32),Setup!$C$39:$C$50))&gt;=Setup!$C$15,MONTH(WORKDAY(N470,-(Setup!$C$13+Setup!$G$32),Setup!$C$39:$C$50))&lt;=Setup!$C$16))),WORKDAY(N470,-(Setup!$C$13+Setup!$G$32+Setup!$C$14),Setup!$C$39:$C$50),WORKDAY(N470,-(Setup!$C$13+Setup!$G$32),Setup!$C$39:$C$50))+(465*100+13)/10000000)))</f>
        <v/>
      </c>
      <c r="AE470" t="str">
        <f>IF(O470="","",IF(O470&lt;Setup!$C$5-Setup!$C$6,"",IF(IF(ISNUMBER(Roster!$D470),Setup!$C$33&lt;=Roster!$D470,FALSE),"",IF(OR(IF(Setup!$C$15&lt;=Setup!$C$16,AND(MONTH(O470)&gt;=Setup!$C$15,MONTH(O470)&lt;=Setup!$C$16),OR(MONTH(O470)&gt;=Setup!$C$15,MONTH(O470)&lt;=Setup!$C$16)),IF(Setup!$C$15&lt;=Setup!$C$16,AND(MONTH(WORKDAY(O470,-(Setup!$C$13+Setup!$G$33),Setup!$C$39:$C$50))&gt;=Setup!$C$15,MONTH(WORKDAY(O470,-(Setup!$C$13+Setup!$G$33),Setup!$C$39:$C$50))&lt;=Setup!$C$16),OR(MONTH(WORKDAY(O470,-(Setup!$C$13+Setup!$G$33),Setup!$C$39:$C$50))&gt;=Setup!$C$15,MONTH(WORKDAY(O470,-(Setup!$C$13+Setup!$G$33),Setup!$C$39:$C$50))&lt;=Setup!$C$16))),WORKDAY(O470,-(Setup!$C$13+Setup!$G$33+Setup!$C$14),Setup!$C$39:$C$50),WORKDAY(O470,-(Setup!$C$13+Setup!$G$33),Setup!$C$39:$C$50))+(465*100+14)/10000000)))</f>
        <v/>
      </c>
      <c r="AF470" t="str">
        <f>IF(P470="","",IF(P470&lt;Setup!$C$5-Setup!$C$6,"",IF(IF(ISNUMBER(Roster!$D470),Setup!$C$34&lt;=Roster!$D470,FALSE),"",IF(OR(IF(Setup!$C$15&lt;=Setup!$C$16,AND(MONTH(P470)&gt;=Setup!$C$15,MONTH(P470)&lt;=Setup!$C$16),OR(MONTH(P470)&gt;=Setup!$C$15,MONTH(P470)&lt;=Setup!$C$16)),IF(Setup!$C$15&lt;=Setup!$C$16,AND(MONTH(WORKDAY(P470,-(Setup!$C$13+Setup!$G$34),Setup!$C$39:$C$50))&gt;=Setup!$C$15,MONTH(WORKDAY(P470,-(Setup!$C$13+Setup!$G$34),Setup!$C$39:$C$50))&lt;=Setup!$C$16),OR(MONTH(WORKDAY(P470,-(Setup!$C$13+Setup!$G$34),Setup!$C$39:$C$50))&gt;=Setup!$C$15,MONTH(WORKDAY(P470,-(Setup!$C$13+Setup!$G$34),Setup!$C$39:$C$50))&lt;=Setup!$C$16))),WORKDAY(P470,-(Setup!$C$13+Setup!$G$34+Setup!$C$14),Setup!$C$39:$C$50),WORKDAY(P470,-(Setup!$C$13+Setup!$G$34),Setup!$C$39:$C$50))+(465*100+15)/10000000)))</f>
        <v/>
      </c>
      <c r="AH470" t="str">
        <f t="shared" si="51"/>
        <v/>
      </c>
      <c r="AI470" t="str">
        <f t="shared" si="52"/>
        <v/>
      </c>
      <c r="AP470" t="str">
        <f>IF(ISNUMBER(Roster!$B470),MAX(1,YEAR(Setup!$C$5)-YEAR(Roster!$B470)+IF(EDATE(Roster!$B470,12*(YEAR(Setup!$C$5)-YEAR(Roster!$B470)))&lt;Setup!$C$5,1,0)),"")</f>
        <v/>
      </c>
      <c r="AQ470" s="32" t="str">
        <f>IF(AP470="","",EDATE(Roster!$B470,12*AP470))</f>
        <v/>
      </c>
      <c r="AR470" t="str">
        <f>IF(AQ470="","",IF(AQ470&lt;DATE(YEAR(Setup!$C$5)+1,MONTH(Setup!$C$5),DAY(Setup!$C$5)),AQ470+465/1000,""))</f>
        <v/>
      </c>
      <c r="AS470" t="str">
        <f t="shared" si="53"/>
        <v/>
      </c>
      <c r="AT470" t="str">
        <f>IF(AS470="","",IF(ISNUMBER(Roster!$D470),Roster!$D470&gt;=AP470,FALSE))</f>
        <v/>
      </c>
      <c r="AU470" t="str">
        <f t="shared" si="54"/>
        <v/>
      </c>
      <c r="AV470" t="str">
        <f ca="1">IF(465&gt;$AV$2,"",SMALL($AR$6:$AR$505,465))</f>
        <v/>
      </c>
      <c r="AW470" t="str">
        <f t="shared" ca="1" si="55"/>
        <v/>
      </c>
    </row>
    <row r="471" spans="2:49" x14ac:dyDescent="0.2">
      <c r="B471" s="32" t="str">
        <f>IF(AND(ISNUMBER(Roster!$B471),Setup!$B$20="Yes",ISNUMBER(Setup!$C$20)),EDATE(Roster!$B471,12*Setup!$C$20),"")</f>
        <v/>
      </c>
      <c r="C471" s="32" t="str">
        <f>IF(AND(ISNUMBER(Roster!$B471),Setup!$B$21="Yes",ISNUMBER(Setup!$C$21)),EDATE(Roster!$B471,12*Setup!$C$21),"")</f>
        <v/>
      </c>
      <c r="D471" s="32" t="str">
        <f>IF(AND(ISNUMBER(Roster!$B471),Setup!$B$22="Yes",ISNUMBER(Setup!$C$22)),EDATE(Roster!$B471,12*Setup!$C$22),"")</f>
        <v/>
      </c>
      <c r="E471" s="32" t="str">
        <f>IF(AND(ISNUMBER(Roster!$B471),Setup!$B$23="Yes",ISNUMBER(Setup!$C$23)),EDATE(Roster!$B471,12*Setup!$C$23),"")</f>
        <v/>
      </c>
      <c r="F471" s="32" t="str">
        <f>IF(AND(ISNUMBER(Roster!$B471),Setup!$B$24="Yes",ISNUMBER(Setup!$C$24)),EDATE(Roster!$B471,12*Setup!$C$24),"")</f>
        <v/>
      </c>
      <c r="G471" s="32" t="str">
        <f>IF(AND(ISNUMBER(Roster!$B471),Setup!$B$25="Yes",ISNUMBER(Setup!$C$25)),EDATE(Roster!$B471,12*Setup!$C$25),"")</f>
        <v/>
      </c>
      <c r="H471" s="32" t="str">
        <f>IF(AND(ISNUMBER(Roster!$B471),Setup!$B$26="Yes",ISNUMBER(Setup!$C$26)),EDATE(Roster!$B471,12*Setup!$C$26),"")</f>
        <v/>
      </c>
      <c r="I471" s="32" t="str">
        <f>IF(AND(ISNUMBER(Roster!$B471),Setup!$B$27="Yes",ISNUMBER(Setup!$C$27)),EDATE(Roster!$B471,12*Setup!$C$27),"")</f>
        <v/>
      </c>
      <c r="J471" s="32" t="str">
        <f>IF(AND(ISNUMBER(Roster!$B471),Setup!$B$28="Yes",ISNUMBER(Setup!$C$28)),EDATE(Roster!$B471,12*Setup!$C$28),"")</f>
        <v/>
      </c>
      <c r="K471" s="32" t="str">
        <f>IF(AND(ISNUMBER(Roster!$B471),Setup!$B$29="Yes",ISNUMBER(Setup!$C$29)),EDATE(Roster!$B471,12*Setup!$C$29),"")</f>
        <v/>
      </c>
      <c r="L471" s="32" t="str">
        <f>IF(AND(ISNUMBER(Roster!$B471),Setup!$B$30="Yes",ISNUMBER(Setup!$C$30)),EDATE(Roster!$B471,12*Setup!$C$30),"")</f>
        <v/>
      </c>
      <c r="M471" s="32" t="str">
        <f>IF(AND(ISNUMBER(Roster!$B471),Setup!$B$31="Yes",ISNUMBER(Setup!$C$31)),EDATE(Roster!$B471,12*Setup!$C$31),"")</f>
        <v/>
      </c>
      <c r="N471" s="32" t="str">
        <f>IF(AND(ISNUMBER(Roster!$B471),Setup!$B$32="Yes",ISNUMBER(Setup!$C$32)),EDATE(Roster!$B471,12*Setup!$C$32),"")</f>
        <v/>
      </c>
      <c r="O471" s="32" t="str">
        <f>IF(AND(ISNUMBER(Roster!$B471),Setup!$B$33="Yes",ISNUMBER(Setup!$C$33)),EDATE(Roster!$B471,12*Setup!$C$33),"")</f>
        <v/>
      </c>
      <c r="P471" s="32" t="str">
        <f>IF(AND(ISNUMBER(Roster!$B471),Setup!$B$34="Yes",ISNUMBER(Setup!$C$34)),EDATE(Roster!$B471,12*Setup!$C$34),"")</f>
        <v/>
      </c>
      <c r="R471" t="str">
        <f>IF(B471="","",IF(B471&lt;Setup!$C$5-Setup!$C$6,"",IF(IF(ISNUMBER(Roster!$D471),Setup!$C$20&lt;=Roster!$D471,FALSE),"",IF(OR(IF(Setup!$C$15&lt;=Setup!$C$16,AND(MONTH(B471)&gt;=Setup!$C$15,MONTH(B471)&lt;=Setup!$C$16),OR(MONTH(B471)&gt;=Setup!$C$15,MONTH(B471)&lt;=Setup!$C$16)),IF(Setup!$C$15&lt;=Setup!$C$16,AND(MONTH(WORKDAY(B471,-(Setup!$C$13+Setup!$G$20),Setup!$C$39:$C$50))&gt;=Setup!$C$15,MONTH(WORKDAY(B471,-(Setup!$C$13+Setup!$G$20),Setup!$C$39:$C$50))&lt;=Setup!$C$16),OR(MONTH(WORKDAY(B471,-(Setup!$C$13+Setup!$G$20),Setup!$C$39:$C$50))&gt;=Setup!$C$15,MONTH(WORKDAY(B471,-(Setup!$C$13+Setup!$G$20),Setup!$C$39:$C$50))&lt;=Setup!$C$16))),WORKDAY(B471,-(Setup!$C$13+Setup!$G$20+Setup!$C$14),Setup!$C$39:$C$50),WORKDAY(B471,-(Setup!$C$13+Setup!$G$20),Setup!$C$39:$C$50))+(466*100+1)/10000000)))</f>
        <v/>
      </c>
      <c r="S471" t="str">
        <f>IF(C471="","",IF(C471&lt;Setup!$C$5-Setup!$C$6,"",IF(IF(ISNUMBER(Roster!$D471),Setup!$C$21&lt;=Roster!$D471,FALSE),"",IF(OR(IF(Setup!$C$15&lt;=Setup!$C$16,AND(MONTH(C471)&gt;=Setup!$C$15,MONTH(C471)&lt;=Setup!$C$16),OR(MONTH(C471)&gt;=Setup!$C$15,MONTH(C471)&lt;=Setup!$C$16)),IF(Setup!$C$15&lt;=Setup!$C$16,AND(MONTH(WORKDAY(C471,-(Setup!$C$13+Setup!$G$21),Setup!$C$39:$C$50))&gt;=Setup!$C$15,MONTH(WORKDAY(C471,-(Setup!$C$13+Setup!$G$21),Setup!$C$39:$C$50))&lt;=Setup!$C$16),OR(MONTH(WORKDAY(C471,-(Setup!$C$13+Setup!$G$21),Setup!$C$39:$C$50))&gt;=Setup!$C$15,MONTH(WORKDAY(C471,-(Setup!$C$13+Setup!$G$21),Setup!$C$39:$C$50))&lt;=Setup!$C$16))),WORKDAY(C471,-(Setup!$C$13+Setup!$G$21+Setup!$C$14),Setup!$C$39:$C$50),WORKDAY(C471,-(Setup!$C$13+Setup!$G$21),Setup!$C$39:$C$50))+(466*100+2)/10000000)))</f>
        <v/>
      </c>
      <c r="T471" t="str">
        <f>IF(D471="","",IF(D471&lt;Setup!$C$5-Setup!$C$6,"",IF(IF(ISNUMBER(Roster!$D471),Setup!$C$22&lt;=Roster!$D471,FALSE),"",IF(OR(IF(Setup!$C$15&lt;=Setup!$C$16,AND(MONTH(D471)&gt;=Setup!$C$15,MONTH(D471)&lt;=Setup!$C$16),OR(MONTH(D471)&gt;=Setup!$C$15,MONTH(D471)&lt;=Setup!$C$16)),IF(Setup!$C$15&lt;=Setup!$C$16,AND(MONTH(WORKDAY(D471,-(Setup!$C$13+Setup!$G$22),Setup!$C$39:$C$50))&gt;=Setup!$C$15,MONTH(WORKDAY(D471,-(Setup!$C$13+Setup!$G$22),Setup!$C$39:$C$50))&lt;=Setup!$C$16),OR(MONTH(WORKDAY(D471,-(Setup!$C$13+Setup!$G$22),Setup!$C$39:$C$50))&gt;=Setup!$C$15,MONTH(WORKDAY(D471,-(Setup!$C$13+Setup!$G$22),Setup!$C$39:$C$50))&lt;=Setup!$C$16))),WORKDAY(D471,-(Setup!$C$13+Setup!$G$22+Setup!$C$14),Setup!$C$39:$C$50),WORKDAY(D471,-(Setup!$C$13+Setup!$G$22),Setup!$C$39:$C$50))+(466*100+3)/10000000)))</f>
        <v/>
      </c>
      <c r="U471" t="str">
        <f>IF(E471="","",IF(E471&lt;Setup!$C$5-Setup!$C$6,"",IF(IF(ISNUMBER(Roster!$D471),Setup!$C$23&lt;=Roster!$D471,FALSE),"",IF(OR(IF(Setup!$C$15&lt;=Setup!$C$16,AND(MONTH(E471)&gt;=Setup!$C$15,MONTH(E471)&lt;=Setup!$C$16),OR(MONTH(E471)&gt;=Setup!$C$15,MONTH(E471)&lt;=Setup!$C$16)),IF(Setup!$C$15&lt;=Setup!$C$16,AND(MONTH(WORKDAY(E471,-(Setup!$C$13+Setup!$G$23),Setup!$C$39:$C$50))&gt;=Setup!$C$15,MONTH(WORKDAY(E471,-(Setup!$C$13+Setup!$G$23),Setup!$C$39:$C$50))&lt;=Setup!$C$16),OR(MONTH(WORKDAY(E471,-(Setup!$C$13+Setup!$G$23),Setup!$C$39:$C$50))&gt;=Setup!$C$15,MONTH(WORKDAY(E471,-(Setup!$C$13+Setup!$G$23),Setup!$C$39:$C$50))&lt;=Setup!$C$16))),WORKDAY(E471,-(Setup!$C$13+Setup!$G$23+Setup!$C$14),Setup!$C$39:$C$50),WORKDAY(E471,-(Setup!$C$13+Setup!$G$23),Setup!$C$39:$C$50))+(466*100+4)/10000000)))</f>
        <v/>
      </c>
      <c r="V471" t="str">
        <f>IF(F471="","",IF(F471&lt;Setup!$C$5-Setup!$C$6,"",IF(IF(ISNUMBER(Roster!$D471),Setup!$C$24&lt;=Roster!$D471,FALSE),"",IF(OR(IF(Setup!$C$15&lt;=Setup!$C$16,AND(MONTH(F471)&gt;=Setup!$C$15,MONTH(F471)&lt;=Setup!$C$16),OR(MONTH(F471)&gt;=Setup!$C$15,MONTH(F471)&lt;=Setup!$C$16)),IF(Setup!$C$15&lt;=Setup!$C$16,AND(MONTH(WORKDAY(F471,-(Setup!$C$13+Setup!$G$24),Setup!$C$39:$C$50))&gt;=Setup!$C$15,MONTH(WORKDAY(F471,-(Setup!$C$13+Setup!$G$24),Setup!$C$39:$C$50))&lt;=Setup!$C$16),OR(MONTH(WORKDAY(F471,-(Setup!$C$13+Setup!$G$24),Setup!$C$39:$C$50))&gt;=Setup!$C$15,MONTH(WORKDAY(F471,-(Setup!$C$13+Setup!$G$24),Setup!$C$39:$C$50))&lt;=Setup!$C$16))),WORKDAY(F471,-(Setup!$C$13+Setup!$G$24+Setup!$C$14),Setup!$C$39:$C$50),WORKDAY(F471,-(Setup!$C$13+Setup!$G$24),Setup!$C$39:$C$50))+(466*100+5)/10000000)))</f>
        <v/>
      </c>
      <c r="W471" t="str">
        <f>IF(G471="","",IF(G471&lt;Setup!$C$5-Setup!$C$6,"",IF(IF(ISNUMBER(Roster!$D471),Setup!$C$25&lt;=Roster!$D471,FALSE),"",IF(OR(IF(Setup!$C$15&lt;=Setup!$C$16,AND(MONTH(G471)&gt;=Setup!$C$15,MONTH(G471)&lt;=Setup!$C$16),OR(MONTH(G471)&gt;=Setup!$C$15,MONTH(G471)&lt;=Setup!$C$16)),IF(Setup!$C$15&lt;=Setup!$C$16,AND(MONTH(WORKDAY(G471,-(Setup!$C$13+Setup!$G$25),Setup!$C$39:$C$50))&gt;=Setup!$C$15,MONTH(WORKDAY(G471,-(Setup!$C$13+Setup!$G$25),Setup!$C$39:$C$50))&lt;=Setup!$C$16),OR(MONTH(WORKDAY(G471,-(Setup!$C$13+Setup!$G$25),Setup!$C$39:$C$50))&gt;=Setup!$C$15,MONTH(WORKDAY(G471,-(Setup!$C$13+Setup!$G$25),Setup!$C$39:$C$50))&lt;=Setup!$C$16))),WORKDAY(G471,-(Setup!$C$13+Setup!$G$25+Setup!$C$14),Setup!$C$39:$C$50),WORKDAY(G471,-(Setup!$C$13+Setup!$G$25),Setup!$C$39:$C$50))+(466*100+6)/10000000)))</f>
        <v/>
      </c>
      <c r="X471" t="str">
        <f>IF(H471="","",IF(H471&lt;Setup!$C$5-Setup!$C$6,"",IF(IF(ISNUMBER(Roster!$D471),Setup!$C$26&lt;=Roster!$D471,FALSE),"",IF(OR(IF(Setup!$C$15&lt;=Setup!$C$16,AND(MONTH(H471)&gt;=Setup!$C$15,MONTH(H471)&lt;=Setup!$C$16),OR(MONTH(H471)&gt;=Setup!$C$15,MONTH(H471)&lt;=Setup!$C$16)),IF(Setup!$C$15&lt;=Setup!$C$16,AND(MONTH(WORKDAY(H471,-(Setup!$C$13+Setup!$G$26),Setup!$C$39:$C$50))&gt;=Setup!$C$15,MONTH(WORKDAY(H471,-(Setup!$C$13+Setup!$G$26),Setup!$C$39:$C$50))&lt;=Setup!$C$16),OR(MONTH(WORKDAY(H471,-(Setup!$C$13+Setup!$G$26),Setup!$C$39:$C$50))&gt;=Setup!$C$15,MONTH(WORKDAY(H471,-(Setup!$C$13+Setup!$G$26),Setup!$C$39:$C$50))&lt;=Setup!$C$16))),WORKDAY(H471,-(Setup!$C$13+Setup!$G$26+Setup!$C$14),Setup!$C$39:$C$50),WORKDAY(H471,-(Setup!$C$13+Setup!$G$26),Setup!$C$39:$C$50))+(466*100+7)/10000000)))</f>
        <v/>
      </c>
      <c r="Y471" t="str">
        <f>IF(I471="","",IF(I471&lt;Setup!$C$5-Setup!$C$6,"",IF(IF(ISNUMBER(Roster!$D471),Setup!$C$27&lt;=Roster!$D471,FALSE),"",IF(OR(IF(Setup!$C$15&lt;=Setup!$C$16,AND(MONTH(I471)&gt;=Setup!$C$15,MONTH(I471)&lt;=Setup!$C$16),OR(MONTH(I471)&gt;=Setup!$C$15,MONTH(I471)&lt;=Setup!$C$16)),IF(Setup!$C$15&lt;=Setup!$C$16,AND(MONTH(WORKDAY(I471,-(Setup!$C$13+Setup!$G$27),Setup!$C$39:$C$50))&gt;=Setup!$C$15,MONTH(WORKDAY(I471,-(Setup!$C$13+Setup!$G$27),Setup!$C$39:$C$50))&lt;=Setup!$C$16),OR(MONTH(WORKDAY(I471,-(Setup!$C$13+Setup!$G$27),Setup!$C$39:$C$50))&gt;=Setup!$C$15,MONTH(WORKDAY(I471,-(Setup!$C$13+Setup!$G$27),Setup!$C$39:$C$50))&lt;=Setup!$C$16))),WORKDAY(I471,-(Setup!$C$13+Setup!$G$27+Setup!$C$14),Setup!$C$39:$C$50),WORKDAY(I471,-(Setup!$C$13+Setup!$G$27),Setup!$C$39:$C$50))+(466*100+8)/10000000)))</f>
        <v/>
      </c>
      <c r="Z471" t="str">
        <f>IF(J471="","",IF(J471&lt;Setup!$C$5-Setup!$C$6,"",IF(IF(ISNUMBER(Roster!$D471),Setup!$C$28&lt;=Roster!$D471,FALSE),"",IF(OR(IF(Setup!$C$15&lt;=Setup!$C$16,AND(MONTH(J471)&gt;=Setup!$C$15,MONTH(J471)&lt;=Setup!$C$16),OR(MONTH(J471)&gt;=Setup!$C$15,MONTH(J471)&lt;=Setup!$C$16)),IF(Setup!$C$15&lt;=Setup!$C$16,AND(MONTH(WORKDAY(J471,-(Setup!$C$13+Setup!$G$28),Setup!$C$39:$C$50))&gt;=Setup!$C$15,MONTH(WORKDAY(J471,-(Setup!$C$13+Setup!$G$28),Setup!$C$39:$C$50))&lt;=Setup!$C$16),OR(MONTH(WORKDAY(J471,-(Setup!$C$13+Setup!$G$28),Setup!$C$39:$C$50))&gt;=Setup!$C$15,MONTH(WORKDAY(J471,-(Setup!$C$13+Setup!$G$28),Setup!$C$39:$C$50))&lt;=Setup!$C$16))),WORKDAY(J471,-(Setup!$C$13+Setup!$G$28+Setup!$C$14),Setup!$C$39:$C$50),WORKDAY(J471,-(Setup!$C$13+Setup!$G$28),Setup!$C$39:$C$50))+(466*100+9)/10000000)))</f>
        <v/>
      </c>
      <c r="AA471" t="str">
        <f>IF(K471="","",IF(K471&lt;Setup!$C$5-Setup!$C$6,"",IF(IF(ISNUMBER(Roster!$D471),Setup!$C$29&lt;=Roster!$D471,FALSE),"",IF(OR(IF(Setup!$C$15&lt;=Setup!$C$16,AND(MONTH(K471)&gt;=Setup!$C$15,MONTH(K471)&lt;=Setup!$C$16),OR(MONTH(K471)&gt;=Setup!$C$15,MONTH(K471)&lt;=Setup!$C$16)),IF(Setup!$C$15&lt;=Setup!$C$16,AND(MONTH(WORKDAY(K471,-(Setup!$C$13+Setup!$G$29),Setup!$C$39:$C$50))&gt;=Setup!$C$15,MONTH(WORKDAY(K471,-(Setup!$C$13+Setup!$G$29),Setup!$C$39:$C$50))&lt;=Setup!$C$16),OR(MONTH(WORKDAY(K471,-(Setup!$C$13+Setup!$G$29),Setup!$C$39:$C$50))&gt;=Setup!$C$15,MONTH(WORKDAY(K471,-(Setup!$C$13+Setup!$G$29),Setup!$C$39:$C$50))&lt;=Setup!$C$16))),WORKDAY(K471,-(Setup!$C$13+Setup!$G$29+Setup!$C$14),Setup!$C$39:$C$50),WORKDAY(K471,-(Setup!$C$13+Setup!$G$29),Setup!$C$39:$C$50))+(466*100+10)/10000000)))</f>
        <v/>
      </c>
      <c r="AB471" t="str">
        <f>IF(L471="","",IF(L471&lt;Setup!$C$5-Setup!$C$6,"",IF(IF(ISNUMBER(Roster!$D471),Setup!$C$30&lt;=Roster!$D471,FALSE),"",IF(OR(IF(Setup!$C$15&lt;=Setup!$C$16,AND(MONTH(L471)&gt;=Setup!$C$15,MONTH(L471)&lt;=Setup!$C$16),OR(MONTH(L471)&gt;=Setup!$C$15,MONTH(L471)&lt;=Setup!$C$16)),IF(Setup!$C$15&lt;=Setup!$C$16,AND(MONTH(WORKDAY(L471,-(Setup!$C$13+Setup!$G$30),Setup!$C$39:$C$50))&gt;=Setup!$C$15,MONTH(WORKDAY(L471,-(Setup!$C$13+Setup!$G$30),Setup!$C$39:$C$50))&lt;=Setup!$C$16),OR(MONTH(WORKDAY(L471,-(Setup!$C$13+Setup!$G$30),Setup!$C$39:$C$50))&gt;=Setup!$C$15,MONTH(WORKDAY(L471,-(Setup!$C$13+Setup!$G$30),Setup!$C$39:$C$50))&lt;=Setup!$C$16))),WORKDAY(L471,-(Setup!$C$13+Setup!$G$30+Setup!$C$14),Setup!$C$39:$C$50),WORKDAY(L471,-(Setup!$C$13+Setup!$G$30),Setup!$C$39:$C$50))+(466*100+11)/10000000)))</f>
        <v/>
      </c>
      <c r="AC471" t="str">
        <f>IF(M471="","",IF(M471&lt;Setup!$C$5-Setup!$C$6,"",IF(IF(ISNUMBER(Roster!$D471),Setup!$C$31&lt;=Roster!$D471,FALSE),"",IF(OR(IF(Setup!$C$15&lt;=Setup!$C$16,AND(MONTH(M471)&gt;=Setup!$C$15,MONTH(M471)&lt;=Setup!$C$16),OR(MONTH(M471)&gt;=Setup!$C$15,MONTH(M471)&lt;=Setup!$C$16)),IF(Setup!$C$15&lt;=Setup!$C$16,AND(MONTH(WORKDAY(M471,-(Setup!$C$13+Setup!$G$31),Setup!$C$39:$C$50))&gt;=Setup!$C$15,MONTH(WORKDAY(M471,-(Setup!$C$13+Setup!$G$31),Setup!$C$39:$C$50))&lt;=Setup!$C$16),OR(MONTH(WORKDAY(M471,-(Setup!$C$13+Setup!$G$31),Setup!$C$39:$C$50))&gt;=Setup!$C$15,MONTH(WORKDAY(M471,-(Setup!$C$13+Setup!$G$31),Setup!$C$39:$C$50))&lt;=Setup!$C$16))),WORKDAY(M471,-(Setup!$C$13+Setup!$G$31+Setup!$C$14),Setup!$C$39:$C$50),WORKDAY(M471,-(Setup!$C$13+Setup!$G$31),Setup!$C$39:$C$50))+(466*100+12)/10000000)))</f>
        <v/>
      </c>
      <c r="AD471" t="str">
        <f>IF(N471="","",IF(N471&lt;Setup!$C$5-Setup!$C$6,"",IF(IF(ISNUMBER(Roster!$D471),Setup!$C$32&lt;=Roster!$D471,FALSE),"",IF(OR(IF(Setup!$C$15&lt;=Setup!$C$16,AND(MONTH(N471)&gt;=Setup!$C$15,MONTH(N471)&lt;=Setup!$C$16),OR(MONTH(N471)&gt;=Setup!$C$15,MONTH(N471)&lt;=Setup!$C$16)),IF(Setup!$C$15&lt;=Setup!$C$16,AND(MONTH(WORKDAY(N471,-(Setup!$C$13+Setup!$G$32),Setup!$C$39:$C$50))&gt;=Setup!$C$15,MONTH(WORKDAY(N471,-(Setup!$C$13+Setup!$G$32),Setup!$C$39:$C$50))&lt;=Setup!$C$16),OR(MONTH(WORKDAY(N471,-(Setup!$C$13+Setup!$G$32),Setup!$C$39:$C$50))&gt;=Setup!$C$15,MONTH(WORKDAY(N471,-(Setup!$C$13+Setup!$G$32),Setup!$C$39:$C$50))&lt;=Setup!$C$16))),WORKDAY(N471,-(Setup!$C$13+Setup!$G$32+Setup!$C$14),Setup!$C$39:$C$50),WORKDAY(N471,-(Setup!$C$13+Setup!$G$32),Setup!$C$39:$C$50))+(466*100+13)/10000000)))</f>
        <v/>
      </c>
      <c r="AE471" t="str">
        <f>IF(O471="","",IF(O471&lt;Setup!$C$5-Setup!$C$6,"",IF(IF(ISNUMBER(Roster!$D471),Setup!$C$33&lt;=Roster!$D471,FALSE),"",IF(OR(IF(Setup!$C$15&lt;=Setup!$C$16,AND(MONTH(O471)&gt;=Setup!$C$15,MONTH(O471)&lt;=Setup!$C$16),OR(MONTH(O471)&gt;=Setup!$C$15,MONTH(O471)&lt;=Setup!$C$16)),IF(Setup!$C$15&lt;=Setup!$C$16,AND(MONTH(WORKDAY(O471,-(Setup!$C$13+Setup!$G$33),Setup!$C$39:$C$50))&gt;=Setup!$C$15,MONTH(WORKDAY(O471,-(Setup!$C$13+Setup!$G$33),Setup!$C$39:$C$50))&lt;=Setup!$C$16),OR(MONTH(WORKDAY(O471,-(Setup!$C$13+Setup!$G$33),Setup!$C$39:$C$50))&gt;=Setup!$C$15,MONTH(WORKDAY(O471,-(Setup!$C$13+Setup!$G$33),Setup!$C$39:$C$50))&lt;=Setup!$C$16))),WORKDAY(O471,-(Setup!$C$13+Setup!$G$33+Setup!$C$14),Setup!$C$39:$C$50),WORKDAY(O471,-(Setup!$C$13+Setup!$G$33),Setup!$C$39:$C$50))+(466*100+14)/10000000)))</f>
        <v/>
      </c>
      <c r="AF471" t="str">
        <f>IF(P471="","",IF(P471&lt;Setup!$C$5-Setup!$C$6,"",IF(IF(ISNUMBER(Roster!$D471),Setup!$C$34&lt;=Roster!$D471,FALSE),"",IF(OR(IF(Setup!$C$15&lt;=Setup!$C$16,AND(MONTH(P471)&gt;=Setup!$C$15,MONTH(P471)&lt;=Setup!$C$16),OR(MONTH(P471)&gt;=Setup!$C$15,MONTH(P471)&lt;=Setup!$C$16)),IF(Setup!$C$15&lt;=Setup!$C$16,AND(MONTH(WORKDAY(P471,-(Setup!$C$13+Setup!$G$34),Setup!$C$39:$C$50))&gt;=Setup!$C$15,MONTH(WORKDAY(P471,-(Setup!$C$13+Setup!$G$34),Setup!$C$39:$C$50))&lt;=Setup!$C$16),OR(MONTH(WORKDAY(P471,-(Setup!$C$13+Setup!$G$34),Setup!$C$39:$C$50))&gt;=Setup!$C$15,MONTH(WORKDAY(P471,-(Setup!$C$13+Setup!$G$34),Setup!$C$39:$C$50))&lt;=Setup!$C$16))),WORKDAY(P471,-(Setup!$C$13+Setup!$G$34+Setup!$C$14),Setup!$C$39:$C$50),WORKDAY(P471,-(Setup!$C$13+Setup!$G$34),Setup!$C$39:$C$50))+(466*100+15)/10000000)))</f>
        <v/>
      </c>
      <c r="AH471" t="str">
        <f t="shared" si="51"/>
        <v/>
      </c>
      <c r="AI471" t="str">
        <f t="shared" si="52"/>
        <v/>
      </c>
      <c r="AP471" t="str">
        <f>IF(ISNUMBER(Roster!$B471),MAX(1,YEAR(Setup!$C$5)-YEAR(Roster!$B471)+IF(EDATE(Roster!$B471,12*(YEAR(Setup!$C$5)-YEAR(Roster!$B471)))&lt;Setup!$C$5,1,0)),"")</f>
        <v/>
      </c>
      <c r="AQ471" s="32" t="str">
        <f>IF(AP471="","",EDATE(Roster!$B471,12*AP471))</f>
        <v/>
      </c>
      <c r="AR471" t="str">
        <f>IF(AQ471="","",IF(AQ471&lt;DATE(YEAR(Setup!$C$5)+1,MONTH(Setup!$C$5),DAY(Setup!$C$5)),AQ471+466/1000,""))</f>
        <v/>
      </c>
      <c r="AS471" t="str">
        <f t="shared" si="53"/>
        <v/>
      </c>
      <c r="AT471" t="str">
        <f>IF(AS471="","",IF(ISNUMBER(Roster!$D471),Roster!$D471&gt;=AP471,FALSE))</f>
        <v/>
      </c>
      <c r="AU471" t="str">
        <f t="shared" si="54"/>
        <v/>
      </c>
      <c r="AV471" t="str">
        <f ca="1">IF(466&gt;$AV$2,"",SMALL($AR$6:$AR$505,466))</f>
        <v/>
      </c>
      <c r="AW471" t="str">
        <f t="shared" ca="1" si="55"/>
        <v/>
      </c>
    </row>
    <row r="472" spans="2:49" x14ac:dyDescent="0.2">
      <c r="B472" s="32" t="str">
        <f>IF(AND(ISNUMBER(Roster!$B472),Setup!$B$20="Yes",ISNUMBER(Setup!$C$20)),EDATE(Roster!$B472,12*Setup!$C$20),"")</f>
        <v/>
      </c>
      <c r="C472" s="32" t="str">
        <f>IF(AND(ISNUMBER(Roster!$B472),Setup!$B$21="Yes",ISNUMBER(Setup!$C$21)),EDATE(Roster!$B472,12*Setup!$C$21),"")</f>
        <v/>
      </c>
      <c r="D472" s="32" t="str">
        <f>IF(AND(ISNUMBER(Roster!$B472),Setup!$B$22="Yes",ISNUMBER(Setup!$C$22)),EDATE(Roster!$B472,12*Setup!$C$22),"")</f>
        <v/>
      </c>
      <c r="E472" s="32" t="str">
        <f>IF(AND(ISNUMBER(Roster!$B472),Setup!$B$23="Yes",ISNUMBER(Setup!$C$23)),EDATE(Roster!$B472,12*Setup!$C$23),"")</f>
        <v/>
      </c>
      <c r="F472" s="32" t="str">
        <f>IF(AND(ISNUMBER(Roster!$B472),Setup!$B$24="Yes",ISNUMBER(Setup!$C$24)),EDATE(Roster!$B472,12*Setup!$C$24),"")</f>
        <v/>
      </c>
      <c r="G472" s="32" t="str">
        <f>IF(AND(ISNUMBER(Roster!$B472),Setup!$B$25="Yes",ISNUMBER(Setup!$C$25)),EDATE(Roster!$B472,12*Setup!$C$25),"")</f>
        <v/>
      </c>
      <c r="H472" s="32" t="str">
        <f>IF(AND(ISNUMBER(Roster!$B472),Setup!$B$26="Yes",ISNUMBER(Setup!$C$26)),EDATE(Roster!$B472,12*Setup!$C$26),"")</f>
        <v/>
      </c>
      <c r="I472" s="32" t="str">
        <f>IF(AND(ISNUMBER(Roster!$B472),Setup!$B$27="Yes",ISNUMBER(Setup!$C$27)),EDATE(Roster!$B472,12*Setup!$C$27),"")</f>
        <v/>
      </c>
      <c r="J472" s="32" t="str">
        <f>IF(AND(ISNUMBER(Roster!$B472),Setup!$B$28="Yes",ISNUMBER(Setup!$C$28)),EDATE(Roster!$B472,12*Setup!$C$28),"")</f>
        <v/>
      </c>
      <c r="K472" s="32" t="str">
        <f>IF(AND(ISNUMBER(Roster!$B472),Setup!$B$29="Yes",ISNUMBER(Setup!$C$29)),EDATE(Roster!$B472,12*Setup!$C$29),"")</f>
        <v/>
      </c>
      <c r="L472" s="32" t="str">
        <f>IF(AND(ISNUMBER(Roster!$B472),Setup!$B$30="Yes",ISNUMBER(Setup!$C$30)),EDATE(Roster!$B472,12*Setup!$C$30),"")</f>
        <v/>
      </c>
      <c r="M472" s="32" t="str">
        <f>IF(AND(ISNUMBER(Roster!$B472),Setup!$B$31="Yes",ISNUMBER(Setup!$C$31)),EDATE(Roster!$B472,12*Setup!$C$31),"")</f>
        <v/>
      </c>
      <c r="N472" s="32" t="str">
        <f>IF(AND(ISNUMBER(Roster!$B472),Setup!$B$32="Yes",ISNUMBER(Setup!$C$32)),EDATE(Roster!$B472,12*Setup!$C$32),"")</f>
        <v/>
      </c>
      <c r="O472" s="32" t="str">
        <f>IF(AND(ISNUMBER(Roster!$B472),Setup!$B$33="Yes",ISNUMBER(Setup!$C$33)),EDATE(Roster!$B472,12*Setup!$C$33),"")</f>
        <v/>
      </c>
      <c r="P472" s="32" t="str">
        <f>IF(AND(ISNUMBER(Roster!$B472),Setup!$B$34="Yes",ISNUMBER(Setup!$C$34)),EDATE(Roster!$B472,12*Setup!$C$34),"")</f>
        <v/>
      </c>
      <c r="R472" t="str">
        <f>IF(B472="","",IF(B472&lt;Setup!$C$5-Setup!$C$6,"",IF(IF(ISNUMBER(Roster!$D472),Setup!$C$20&lt;=Roster!$D472,FALSE),"",IF(OR(IF(Setup!$C$15&lt;=Setup!$C$16,AND(MONTH(B472)&gt;=Setup!$C$15,MONTH(B472)&lt;=Setup!$C$16),OR(MONTH(B472)&gt;=Setup!$C$15,MONTH(B472)&lt;=Setup!$C$16)),IF(Setup!$C$15&lt;=Setup!$C$16,AND(MONTH(WORKDAY(B472,-(Setup!$C$13+Setup!$G$20),Setup!$C$39:$C$50))&gt;=Setup!$C$15,MONTH(WORKDAY(B472,-(Setup!$C$13+Setup!$G$20),Setup!$C$39:$C$50))&lt;=Setup!$C$16),OR(MONTH(WORKDAY(B472,-(Setup!$C$13+Setup!$G$20),Setup!$C$39:$C$50))&gt;=Setup!$C$15,MONTH(WORKDAY(B472,-(Setup!$C$13+Setup!$G$20),Setup!$C$39:$C$50))&lt;=Setup!$C$16))),WORKDAY(B472,-(Setup!$C$13+Setup!$G$20+Setup!$C$14),Setup!$C$39:$C$50),WORKDAY(B472,-(Setup!$C$13+Setup!$G$20),Setup!$C$39:$C$50))+(467*100+1)/10000000)))</f>
        <v/>
      </c>
      <c r="S472" t="str">
        <f>IF(C472="","",IF(C472&lt;Setup!$C$5-Setup!$C$6,"",IF(IF(ISNUMBER(Roster!$D472),Setup!$C$21&lt;=Roster!$D472,FALSE),"",IF(OR(IF(Setup!$C$15&lt;=Setup!$C$16,AND(MONTH(C472)&gt;=Setup!$C$15,MONTH(C472)&lt;=Setup!$C$16),OR(MONTH(C472)&gt;=Setup!$C$15,MONTH(C472)&lt;=Setup!$C$16)),IF(Setup!$C$15&lt;=Setup!$C$16,AND(MONTH(WORKDAY(C472,-(Setup!$C$13+Setup!$G$21),Setup!$C$39:$C$50))&gt;=Setup!$C$15,MONTH(WORKDAY(C472,-(Setup!$C$13+Setup!$G$21),Setup!$C$39:$C$50))&lt;=Setup!$C$16),OR(MONTH(WORKDAY(C472,-(Setup!$C$13+Setup!$G$21),Setup!$C$39:$C$50))&gt;=Setup!$C$15,MONTH(WORKDAY(C472,-(Setup!$C$13+Setup!$G$21),Setup!$C$39:$C$50))&lt;=Setup!$C$16))),WORKDAY(C472,-(Setup!$C$13+Setup!$G$21+Setup!$C$14),Setup!$C$39:$C$50),WORKDAY(C472,-(Setup!$C$13+Setup!$G$21),Setup!$C$39:$C$50))+(467*100+2)/10000000)))</f>
        <v/>
      </c>
      <c r="T472" t="str">
        <f>IF(D472="","",IF(D472&lt;Setup!$C$5-Setup!$C$6,"",IF(IF(ISNUMBER(Roster!$D472),Setup!$C$22&lt;=Roster!$D472,FALSE),"",IF(OR(IF(Setup!$C$15&lt;=Setup!$C$16,AND(MONTH(D472)&gt;=Setup!$C$15,MONTH(D472)&lt;=Setup!$C$16),OR(MONTH(D472)&gt;=Setup!$C$15,MONTH(D472)&lt;=Setup!$C$16)),IF(Setup!$C$15&lt;=Setup!$C$16,AND(MONTH(WORKDAY(D472,-(Setup!$C$13+Setup!$G$22),Setup!$C$39:$C$50))&gt;=Setup!$C$15,MONTH(WORKDAY(D472,-(Setup!$C$13+Setup!$G$22),Setup!$C$39:$C$50))&lt;=Setup!$C$16),OR(MONTH(WORKDAY(D472,-(Setup!$C$13+Setup!$G$22),Setup!$C$39:$C$50))&gt;=Setup!$C$15,MONTH(WORKDAY(D472,-(Setup!$C$13+Setup!$G$22),Setup!$C$39:$C$50))&lt;=Setup!$C$16))),WORKDAY(D472,-(Setup!$C$13+Setup!$G$22+Setup!$C$14),Setup!$C$39:$C$50),WORKDAY(D472,-(Setup!$C$13+Setup!$G$22),Setup!$C$39:$C$50))+(467*100+3)/10000000)))</f>
        <v/>
      </c>
      <c r="U472" t="str">
        <f>IF(E472="","",IF(E472&lt;Setup!$C$5-Setup!$C$6,"",IF(IF(ISNUMBER(Roster!$D472),Setup!$C$23&lt;=Roster!$D472,FALSE),"",IF(OR(IF(Setup!$C$15&lt;=Setup!$C$16,AND(MONTH(E472)&gt;=Setup!$C$15,MONTH(E472)&lt;=Setup!$C$16),OR(MONTH(E472)&gt;=Setup!$C$15,MONTH(E472)&lt;=Setup!$C$16)),IF(Setup!$C$15&lt;=Setup!$C$16,AND(MONTH(WORKDAY(E472,-(Setup!$C$13+Setup!$G$23),Setup!$C$39:$C$50))&gt;=Setup!$C$15,MONTH(WORKDAY(E472,-(Setup!$C$13+Setup!$G$23),Setup!$C$39:$C$50))&lt;=Setup!$C$16),OR(MONTH(WORKDAY(E472,-(Setup!$C$13+Setup!$G$23),Setup!$C$39:$C$50))&gt;=Setup!$C$15,MONTH(WORKDAY(E472,-(Setup!$C$13+Setup!$G$23),Setup!$C$39:$C$50))&lt;=Setup!$C$16))),WORKDAY(E472,-(Setup!$C$13+Setup!$G$23+Setup!$C$14),Setup!$C$39:$C$50),WORKDAY(E472,-(Setup!$C$13+Setup!$G$23),Setup!$C$39:$C$50))+(467*100+4)/10000000)))</f>
        <v/>
      </c>
      <c r="V472" t="str">
        <f>IF(F472="","",IF(F472&lt;Setup!$C$5-Setup!$C$6,"",IF(IF(ISNUMBER(Roster!$D472),Setup!$C$24&lt;=Roster!$D472,FALSE),"",IF(OR(IF(Setup!$C$15&lt;=Setup!$C$16,AND(MONTH(F472)&gt;=Setup!$C$15,MONTH(F472)&lt;=Setup!$C$16),OR(MONTH(F472)&gt;=Setup!$C$15,MONTH(F472)&lt;=Setup!$C$16)),IF(Setup!$C$15&lt;=Setup!$C$16,AND(MONTH(WORKDAY(F472,-(Setup!$C$13+Setup!$G$24),Setup!$C$39:$C$50))&gt;=Setup!$C$15,MONTH(WORKDAY(F472,-(Setup!$C$13+Setup!$G$24),Setup!$C$39:$C$50))&lt;=Setup!$C$16),OR(MONTH(WORKDAY(F472,-(Setup!$C$13+Setup!$G$24),Setup!$C$39:$C$50))&gt;=Setup!$C$15,MONTH(WORKDAY(F472,-(Setup!$C$13+Setup!$G$24),Setup!$C$39:$C$50))&lt;=Setup!$C$16))),WORKDAY(F472,-(Setup!$C$13+Setup!$G$24+Setup!$C$14),Setup!$C$39:$C$50),WORKDAY(F472,-(Setup!$C$13+Setup!$G$24),Setup!$C$39:$C$50))+(467*100+5)/10000000)))</f>
        <v/>
      </c>
      <c r="W472" t="str">
        <f>IF(G472="","",IF(G472&lt;Setup!$C$5-Setup!$C$6,"",IF(IF(ISNUMBER(Roster!$D472),Setup!$C$25&lt;=Roster!$D472,FALSE),"",IF(OR(IF(Setup!$C$15&lt;=Setup!$C$16,AND(MONTH(G472)&gt;=Setup!$C$15,MONTH(G472)&lt;=Setup!$C$16),OR(MONTH(G472)&gt;=Setup!$C$15,MONTH(G472)&lt;=Setup!$C$16)),IF(Setup!$C$15&lt;=Setup!$C$16,AND(MONTH(WORKDAY(G472,-(Setup!$C$13+Setup!$G$25),Setup!$C$39:$C$50))&gt;=Setup!$C$15,MONTH(WORKDAY(G472,-(Setup!$C$13+Setup!$G$25),Setup!$C$39:$C$50))&lt;=Setup!$C$16),OR(MONTH(WORKDAY(G472,-(Setup!$C$13+Setup!$G$25),Setup!$C$39:$C$50))&gt;=Setup!$C$15,MONTH(WORKDAY(G472,-(Setup!$C$13+Setup!$G$25),Setup!$C$39:$C$50))&lt;=Setup!$C$16))),WORKDAY(G472,-(Setup!$C$13+Setup!$G$25+Setup!$C$14),Setup!$C$39:$C$50),WORKDAY(G472,-(Setup!$C$13+Setup!$G$25),Setup!$C$39:$C$50))+(467*100+6)/10000000)))</f>
        <v/>
      </c>
      <c r="X472" t="str">
        <f>IF(H472="","",IF(H472&lt;Setup!$C$5-Setup!$C$6,"",IF(IF(ISNUMBER(Roster!$D472),Setup!$C$26&lt;=Roster!$D472,FALSE),"",IF(OR(IF(Setup!$C$15&lt;=Setup!$C$16,AND(MONTH(H472)&gt;=Setup!$C$15,MONTH(H472)&lt;=Setup!$C$16),OR(MONTH(H472)&gt;=Setup!$C$15,MONTH(H472)&lt;=Setup!$C$16)),IF(Setup!$C$15&lt;=Setup!$C$16,AND(MONTH(WORKDAY(H472,-(Setup!$C$13+Setup!$G$26),Setup!$C$39:$C$50))&gt;=Setup!$C$15,MONTH(WORKDAY(H472,-(Setup!$C$13+Setup!$G$26),Setup!$C$39:$C$50))&lt;=Setup!$C$16),OR(MONTH(WORKDAY(H472,-(Setup!$C$13+Setup!$G$26),Setup!$C$39:$C$50))&gt;=Setup!$C$15,MONTH(WORKDAY(H472,-(Setup!$C$13+Setup!$G$26),Setup!$C$39:$C$50))&lt;=Setup!$C$16))),WORKDAY(H472,-(Setup!$C$13+Setup!$G$26+Setup!$C$14),Setup!$C$39:$C$50),WORKDAY(H472,-(Setup!$C$13+Setup!$G$26),Setup!$C$39:$C$50))+(467*100+7)/10000000)))</f>
        <v/>
      </c>
      <c r="Y472" t="str">
        <f>IF(I472="","",IF(I472&lt;Setup!$C$5-Setup!$C$6,"",IF(IF(ISNUMBER(Roster!$D472),Setup!$C$27&lt;=Roster!$D472,FALSE),"",IF(OR(IF(Setup!$C$15&lt;=Setup!$C$16,AND(MONTH(I472)&gt;=Setup!$C$15,MONTH(I472)&lt;=Setup!$C$16),OR(MONTH(I472)&gt;=Setup!$C$15,MONTH(I472)&lt;=Setup!$C$16)),IF(Setup!$C$15&lt;=Setup!$C$16,AND(MONTH(WORKDAY(I472,-(Setup!$C$13+Setup!$G$27),Setup!$C$39:$C$50))&gt;=Setup!$C$15,MONTH(WORKDAY(I472,-(Setup!$C$13+Setup!$G$27),Setup!$C$39:$C$50))&lt;=Setup!$C$16),OR(MONTH(WORKDAY(I472,-(Setup!$C$13+Setup!$G$27),Setup!$C$39:$C$50))&gt;=Setup!$C$15,MONTH(WORKDAY(I472,-(Setup!$C$13+Setup!$G$27),Setup!$C$39:$C$50))&lt;=Setup!$C$16))),WORKDAY(I472,-(Setup!$C$13+Setup!$G$27+Setup!$C$14),Setup!$C$39:$C$50),WORKDAY(I472,-(Setup!$C$13+Setup!$G$27),Setup!$C$39:$C$50))+(467*100+8)/10000000)))</f>
        <v/>
      </c>
      <c r="Z472" t="str">
        <f>IF(J472="","",IF(J472&lt;Setup!$C$5-Setup!$C$6,"",IF(IF(ISNUMBER(Roster!$D472),Setup!$C$28&lt;=Roster!$D472,FALSE),"",IF(OR(IF(Setup!$C$15&lt;=Setup!$C$16,AND(MONTH(J472)&gt;=Setup!$C$15,MONTH(J472)&lt;=Setup!$C$16),OR(MONTH(J472)&gt;=Setup!$C$15,MONTH(J472)&lt;=Setup!$C$16)),IF(Setup!$C$15&lt;=Setup!$C$16,AND(MONTH(WORKDAY(J472,-(Setup!$C$13+Setup!$G$28),Setup!$C$39:$C$50))&gt;=Setup!$C$15,MONTH(WORKDAY(J472,-(Setup!$C$13+Setup!$G$28),Setup!$C$39:$C$50))&lt;=Setup!$C$16),OR(MONTH(WORKDAY(J472,-(Setup!$C$13+Setup!$G$28),Setup!$C$39:$C$50))&gt;=Setup!$C$15,MONTH(WORKDAY(J472,-(Setup!$C$13+Setup!$G$28),Setup!$C$39:$C$50))&lt;=Setup!$C$16))),WORKDAY(J472,-(Setup!$C$13+Setup!$G$28+Setup!$C$14),Setup!$C$39:$C$50),WORKDAY(J472,-(Setup!$C$13+Setup!$G$28),Setup!$C$39:$C$50))+(467*100+9)/10000000)))</f>
        <v/>
      </c>
      <c r="AA472" t="str">
        <f>IF(K472="","",IF(K472&lt;Setup!$C$5-Setup!$C$6,"",IF(IF(ISNUMBER(Roster!$D472),Setup!$C$29&lt;=Roster!$D472,FALSE),"",IF(OR(IF(Setup!$C$15&lt;=Setup!$C$16,AND(MONTH(K472)&gt;=Setup!$C$15,MONTH(K472)&lt;=Setup!$C$16),OR(MONTH(K472)&gt;=Setup!$C$15,MONTH(K472)&lt;=Setup!$C$16)),IF(Setup!$C$15&lt;=Setup!$C$16,AND(MONTH(WORKDAY(K472,-(Setup!$C$13+Setup!$G$29),Setup!$C$39:$C$50))&gt;=Setup!$C$15,MONTH(WORKDAY(K472,-(Setup!$C$13+Setup!$G$29),Setup!$C$39:$C$50))&lt;=Setup!$C$16),OR(MONTH(WORKDAY(K472,-(Setup!$C$13+Setup!$G$29),Setup!$C$39:$C$50))&gt;=Setup!$C$15,MONTH(WORKDAY(K472,-(Setup!$C$13+Setup!$G$29),Setup!$C$39:$C$50))&lt;=Setup!$C$16))),WORKDAY(K472,-(Setup!$C$13+Setup!$G$29+Setup!$C$14),Setup!$C$39:$C$50),WORKDAY(K472,-(Setup!$C$13+Setup!$G$29),Setup!$C$39:$C$50))+(467*100+10)/10000000)))</f>
        <v/>
      </c>
      <c r="AB472" t="str">
        <f>IF(L472="","",IF(L472&lt;Setup!$C$5-Setup!$C$6,"",IF(IF(ISNUMBER(Roster!$D472),Setup!$C$30&lt;=Roster!$D472,FALSE),"",IF(OR(IF(Setup!$C$15&lt;=Setup!$C$16,AND(MONTH(L472)&gt;=Setup!$C$15,MONTH(L472)&lt;=Setup!$C$16),OR(MONTH(L472)&gt;=Setup!$C$15,MONTH(L472)&lt;=Setup!$C$16)),IF(Setup!$C$15&lt;=Setup!$C$16,AND(MONTH(WORKDAY(L472,-(Setup!$C$13+Setup!$G$30),Setup!$C$39:$C$50))&gt;=Setup!$C$15,MONTH(WORKDAY(L472,-(Setup!$C$13+Setup!$G$30),Setup!$C$39:$C$50))&lt;=Setup!$C$16),OR(MONTH(WORKDAY(L472,-(Setup!$C$13+Setup!$G$30),Setup!$C$39:$C$50))&gt;=Setup!$C$15,MONTH(WORKDAY(L472,-(Setup!$C$13+Setup!$G$30),Setup!$C$39:$C$50))&lt;=Setup!$C$16))),WORKDAY(L472,-(Setup!$C$13+Setup!$G$30+Setup!$C$14),Setup!$C$39:$C$50),WORKDAY(L472,-(Setup!$C$13+Setup!$G$30),Setup!$C$39:$C$50))+(467*100+11)/10000000)))</f>
        <v/>
      </c>
      <c r="AC472" t="str">
        <f>IF(M472="","",IF(M472&lt;Setup!$C$5-Setup!$C$6,"",IF(IF(ISNUMBER(Roster!$D472),Setup!$C$31&lt;=Roster!$D472,FALSE),"",IF(OR(IF(Setup!$C$15&lt;=Setup!$C$16,AND(MONTH(M472)&gt;=Setup!$C$15,MONTH(M472)&lt;=Setup!$C$16),OR(MONTH(M472)&gt;=Setup!$C$15,MONTH(M472)&lt;=Setup!$C$16)),IF(Setup!$C$15&lt;=Setup!$C$16,AND(MONTH(WORKDAY(M472,-(Setup!$C$13+Setup!$G$31),Setup!$C$39:$C$50))&gt;=Setup!$C$15,MONTH(WORKDAY(M472,-(Setup!$C$13+Setup!$G$31),Setup!$C$39:$C$50))&lt;=Setup!$C$16),OR(MONTH(WORKDAY(M472,-(Setup!$C$13+Setup!$G$31),Setup!$C$39:$C$50))&gt;=Setup!$C$15,MONTH(WORKDAY(M472,-(Setup!$C$13+Setup!$G$31),Setup!$C$39:$C$50))&lt;=Setup!$C$16))),WORKDAY(M472,-(Setup!$C$13+Setup!$G$31+Setup!$C$14),Setup!$C$39:$C$50),WORKDAY(M472,-(Setup!$C$13+Setup!$G$31),Setup!$C$39:$C$50))+(467*100+12)/10000000)))</f>
        <v/>
      </c>
      <c r="AD472" t="str">
        <f>IF(N472="","",IF(N472&lt;Setup!$C$5-Setup!$C$6,"",IF(IF(ISNUMBER(Roster!$D472),Setup!$C$32&lt;=Roster!$D472,FALSE),"",IF(OR(IF(Setup!$C$15&lt;=Setup!$C$16,AND(MONTH(N472)&gt;=Setup!$C$15,MONTH(N472)&lt;=Setup!$C$16),OR(MONTH(N472)&gt;=Setup!$C$15,MONTH(N472)&lt;=Setup!$C$16)),IF(Setup!$C$15&lt;=Setup!$C$16,AND(MONTH(WORKDAY(N472,-(Setup!$C$13+Setup!$G$32),Setup!$C$39:$C$50))&gt;=Setup!$C$15,MONTH(WORKDAY(N472,-(Setup!$C$13+Setup!$G$32),Setup!$C$39:$C$50))&lt;=Setup!$C$16),OR(MONTH(WORKDAY(N472,-(Setup!$C$13+Setup!$G$32),Setup!$C$39:$C$50))&gt;=Setup!$C$15,MONTH(WORKDAY(N472,-(Setup!$C$13+Setup!$G$32),Setup!$C$39:$C$50))&lt;=Setup!$C$16))),WORKDAY(N472,-(Setup!$C$13+Setup!$G$32+Setup!$C$14),Setup!$C$39:$C$50),WORKDAY(N472,-(Setup!$C$13+Setup!$G$32),Setup!$C$39:$C$50))+(467*100+13)/10000000)))</f>
        <v/>
      </c>
      <c r="AE472" t="str">
        <f>IF(O472="","",IF(O472&lt;Setup!$C$5-Setup!$C$6,"",IF(IF(ISNUMBER(Roster!$D472),Setup!$C$33&lt;=Roster!$D472,FALSE),"",IF(OR(IF(Setup!$C$15&lt;=Setup!$C$16,AND(MONTH(O472)&gt;=Setup!$C$15,MONTH(O472)&lt;=Setup!$C$16),OR(MONTH(O472)&gt;=Setup!$C$15,MONTH(O472)&lt;=Setup!$C$16)),IF(Setup!$C$15&lt;=Setup!$C$16,AND(MONTH(WORKDAY(O472,-(Setup!$C$13+Setup!$G$33),Setup!$C$39:$C$50))&gt;=Setup!$C$15,MONTH(WORKDAY(O472,-(Setup!$C$13+Setup!$G$33),Setup!$C$39:$C$50))&lt;=Setup!$C$16),OR(MONTH(WORKDAY(O472,-(Setup!$C$13+Setup!$G$33),Setup!$C$39:$C$50))&gt;=Setup!$C$15,MONTH(WORKDAY(O472,-(Setup!$C$13+Setup!$G$33),Setup!$C$39:$C$50))&lt;=Setup!$C$16))),WORKDAY(O472,-(Setup!$C$13+Setup!$G$33+Setup!$C$14),Setup!$C$39:$C$50),WORKDAY(O472,-(Setup!$C$13+Setup!$G$33),Setup!$C$39:$C$50))+(467*100+14)/10000000)))</f>
        <v/>
      </c>
      <c r="AF472" t="str">
        <f>IF(P472="","",IF(P472&lt;Setup!$C$5-Setup!$C$6,"",IF(IF(ISNUMBER(Roster!$D472),Setup!$C$34&lt;=Roster!$D472,FALSE),"",IF(OR(IF(Setup!$C$15&lt;=Setup!$C$16,AND(MONTH(P472)&gt;=Setup!$C$15,MONTH(P472)&lt;=Setup!$C$16),OR(MONTH(P472)&gt;=Setup!$C$15,MONTH(P472)&lt;=Setup!$C$16)),IF(Setup!$C$15&lt;=Setup!$C$16,AND(MONTH(WORKDAY(P472,-(Setup!$C$13+Setup!$G$34),Setup!$C$39:$C$50))&gt;=Setup!$C$15,MONTH(WORKDAY(P472,-(Setup!$C$13+Setup!$G$34),Setup!$C$39:$C$50))&lt;=Setup!$C$16),OR(MONTH(WORKDAY(P472,-(Setup!$C$13+Setup!$G$34),Setup!$C$39:$C$50))&gt;=Setup!$C$15,MONTH(WORKDAY(P472,-(Setup!$C$13+Setup!$G$34),Setup!$C$39:$C$50))&lt;=Setup!$C$16))),WORKDAY(P472,-(Setup!$C$13+Setup!$G$34+Setup!$C$14),Setup!$C$39:$C$50),WORKDAY(P472,-(Setup!$C$13+Setup!$G$34),Setup!$C$39:$C$50))+(467*100+15)/10000000)))</f>
        <v/>
      </c>
      <c r="AH472" t="str">
        <f t="shared" si="51"/>
        <v/>
      </c>
      <c r="AI472" t="str">
        <f t="shared" si="52"/>
        <v/>
      </c>
      <c r="AP472" t="str">
        <f>IF(ISNUMBER(Roster!$B472),MAX(1,YEAR(Setup!$C$5)-YEAR(Roster!$B472)+IF(EDATE(Roster!$B472,12*(YEAR(Setup!$C$5)-YEAR(Roster!$B472)))&lt;Setup!$C$5,1,0)),"")</f>
        <v/>
      </c>
      <c r="AQ472" s="32" t="str">
        <f>IF(AP472="","",EDATE(Roster!$B472,12*AP472))</f>
        <v/>
      </c>
      <c r="AR472" t="str">
        <f>IF(AQ472="","",IF(AQ472&lt;DATE(YEAR(Setup!$C$5)+1,MONTH(Setup!$C$5),DAY(Setup!$C$5)),AQ472+467/1000,""))</f>
        <v/>
      </c>
      <c r="AS472" t="str">
        <f t="shared" si="53"/>
        <v/>
      </c>
      <c r="AT472" t="str">
        <f>IF(AS472="","",IF(ISNUMBER(Roster!$D472),Roster!$D472&gt;=AP472,FALSE))</f>
        <v/>
      </c>
      <c r="AU472" t="str">
        <f t="shared" si="54"/>
        <v/>
      </c>
      <c r="AV472" t="str">
        <f ca="1">IF(467&gt;$AV$2,"",SMALL($AR$6:$AR$505,467))</f>
        <v/>
      </c>
      <c r="AW472" t="str">
        <f t="shared" ca="1" si="55"/>
        <v/>
      </c>
    </row>
    <row r="473" spans="2:49" x14ac:dyDescent="0.2">
      <c r="B473" s="32" t="str">
        <f>IF(AND(ISNUMBER(Roster!$B473),Setup!$B$20="Yes",ISNUMBER(Setup!$C$20)),EDATE(Roster!$B473,12*Setup!$C$20),"")</f>
        <v/>
      </c>
      <c r="C473" s="32" t="str">
        <f>IF(AND(ISNUMBER(Roster!$B473),Setup!$B$21="Yes",ISNUMBER(Setup!$C$21)),EDATE(Roster!$B473,12*Setup!$C$21),"")</f>
        <v/>
      </c>
      <c r="D473" s="32" t="str">
        <f>IF(AND(ISNUMBER(Roster!$B473),Setup!$B$22="Yes",ISNUMBER(Setup!$C$22)),EDATE(Roster!$B473,12*Setup!$C$22),"")</f>
        <v/>
      </c>
      <c r="E473" s="32" t="str">
        <f>IF(AND(ISNUMBER(Roster!$B473),Setup!$B$23="Yes",ISNUMBER(Setup!$C$23)),EDATE(Roster!$B473,12*Setup!$C$23),"")</f>
        <v/>
      </c>
      <c r="F473" s="32" t="str">
        <f>IF(AND(ISNUMBER(Roster!$B473),Setup!$B$24="Yes",ISNUMBER(Setup!$C$24)),EDATE(Roster!$B473,12*Setup!$C$24),"")</f>
        <v/>
      </c>
      <c r="G473" s="32" t="str">
        <f>IF(AND(ISNUMBER(Roster!$B473),Setup!$B$25="Yes",ISNUMBER(Setup!$C$25)),EDATE(Roster!$B473,12*Setup!$C$25),"")</f>
        <v/>
      </c>
      <c r="H473" s="32" t="str">
        <f>IF(AND(ISNUMBER(Roster!$B473),Setup!$B$26="Yes",ISNUMBER(Setup!$C$26)),EDATE(Roster!$B473,12*Setup!$C$26),"")</f>
        <v/>
      </c>
      <c r="I473" s="32" t="str">
        <f>IF(AND(ISNUMBER(Roster!$B473),Setup!$B$27="Yes",ISNUMBER(Setup!$C$27)),EDATE(Roster!$B473,12*Setup!$C$27),"")</f>
        <v/>
      </c>
      <c r="J473" s="32" t="str">
        <f>IF(AND(ISNUMBER(Roster!$B473),Setup!$B$28="Yes",ISNUMBER(Setup!$C$28)),EDATE(Roster!$B473,12*Setup!$C$28),"")</f>
        <v/>
      </c>
      <c r="K473" s="32" t="str">
        <f>IF(AND(ISNUMBER(Roster!$B473),Setup!$B$29="Yes",ISNUMBER(Setup!$C$29)),EDATE(Roster!$B473,12*Setup!$C$29),"")</f>
        <v/>
      </c>
      <c r="L473" s="32" t="str">
        <f>IF(AND(ISNUMBER(Roster!$B473),Setup!$B$30="Yes",ISNUMBER(Setup!$C$30)),EDATE(Roster!$B473,12*Setup!$C$30),"")</f>
        <v/>
      </c>
      <c r="M473" s="32" t="str">
        <f>IF(AND(ISNUMBER(Roster!$B473),Setup!$B$31="Yes",ISNUMBER(Setup!$C$31)),EDATE(Roster!$B473,12*Setup!$C$31),"")</f>
        <v/>
      </c>
      <c r="N473" s="32" t="str">
        <f>IF(AND(ISNUMBER(Roster!$B473),Setup!$B$32="Yes",ISNUMBER(Setup!$C$32)),EDATE(Roster!$B473,12*Setup!$C$32),"")</f>
        <v/>
      </c>
      <c r="O473" s="32" t="str">
        <f>IF(AND(ISNUMBER(Roster!$B473),Setup!$B$33="Yes",ISNUMBER(Setup!$C$33)),EDATE(Roster!$B473,12*Setup!$C$33),"")</f>
        <v/>
      </c>
      <c r="P473" s="32" t="str">
        <f>IF(AND(ISNUMBER(Roster!$B473),Setup!$B$34="Yes",ISNUMBER(Setup!$C$34)),EDATE(Roster!$B473,12*Setup!$C$34),"")</f>
        <v/>
      </c>
      <c r="R473" t="str">
        <f>IF(B473="","",IF(B473&lt;Setup!$C$5-Setup!$C$6,"",IF(IF(ISNUMBER(Roster!$D473),Setup!$C$20&lt;=Roster!$D473,FALSE),"",IF(OR(IF(Setup!$C$15&lt;=Setup!$C$16,AND(MONTH(B473)&gt;=Setup!$C$15,MONTH(B473)&lt;=Setup!$C$16),OR(MONTH(B473)&gt;=Setup!$C$15,MONTH(B473)&lt;=Setup!$C$16)),IF(Setup!$C$15&lt;=Setup!$C$16,AND(MONTH(WORKDAY(B473,-(Setup!$C$13+Setup!$G$20),Setup!$C$39:$C$50))&gt;=Setup!$C$15,MONTH(WORKDAY(B473,-(Setup!$C$13+Setup!$G$20),Setup!$C$39:$C$50))&lt;=Setup!$C$16),OR(MONTH(WORKDAY(B473,-(Setup!$C$13+Setup!$G$20),Setup!$C$39:$C$50))&gt;=Setup!$C$15,MONTH(WORKDAY(B473,-(Setup!$C$13+Setup!$G$20),Setup!$C$39:$C$50))&lt;=Setup!$C$16))),WORKDAY(B473,-(Setup!$C$13+Setup!$G$20+Setup!$C$14),Setup!$C$39:$C$50),WORKDAY(B473,-(Setup!$C$13+Setup!$G$20),Setup!$C$39:$C$50))+(468*100+1)/10000000)))</f>
        <v/>
      </c>
      <c r="S473" t="str">
        <f>IF(C473="","",IF(C473&lt;Setup!$C$5-Setup!$C$6,"",IF(IF(ISNUMBER(Roster!$D473),Setup!$C$21&lt;=Roster!$D473,FALSE),"",IF(OR(IF(Setup!$C$15&lt;=Setup!$C$16,AND(MONTH(C473)&gt;=Setup!$C$15,MONTH(C473)&lt;=Setup!$C$16),OR(MONTH(C473)&gt;=Setup!$C$15,MONTH(C473)&lt;=Setup!$C$16)),IF(Setup!$C$15&lt;=Setup!$C$16,AND(MONTH(WORKDAY(C473,-(Setup!$C$13+Setup!$G$21),Setup!$C$39:$C$50))&gt;=Setup!$C$15,MONTH(WORKDAY(C473,-(Setup!$C$13+Setup!$G$21),Setup!$C$39:$C$50))&lt;=Setup!$C$16),OR(MONTH(WORKDAY(C473,-(Setup!$C$13+Setup!$G$21),Setup!$C$39:$C$50))&gt;=Setup!$C$15,MONTH(WORKDAY(C473,-(Setup!$C$13+Setup!$G$21),Setup!$C$39:$C$50))&lt;=Setup!$C$16))),WORKDAY(C473,-(Setup!$C$13+Setup!$G$21+Setup!$C$14),Setup!$C$39:$C$50),WORKDAY(C473,-(Setup!$C$13+Setup!$G$21),Setup!$C$39:$C$50))+(468*100+2)/10000000)))</f>
        <v/>
      </c>
      <c r="T473" t="str">
        <f>IF(D473="","",IF(D473&lt;Setup!$C$5-Setup!$C$6,"",IF(IF(ISNUMBER(Roster!$D473),Setup!$C$22&lt;=Roster!$D473,FALSE),"",IF(OR(IF(Setup!$C$15&lt;=Setup!$C$16,AND(MONTH(D473)&gt;=Setup!$C$15,MONTH(D473)&lt;=Setup!$C$16),OR(MONTH(D473)&gt;=Setup!$C$15,MONTH(D473)&lt;=Setup!$C$16)),IF(Setup!$C$15&lt;=Setup!$C$16,AND(MONTH(WORKDAY(D473,-(Setup!$C$13+Setup!$G$22),Setup!$C$39:$C$50))&gt;=Setup!$C$15,MONTH(WORKDAY(D473,-(Setup!$C$13+Setup!$G$22),Setup!$C$39:$C$50))&lt;=Setup!$C$16),OR(MONTH(WORKDAY(D473,-(Setup!$C$13+Setup!$G$22),Setup!$C$39:$C$50))&gt;=Setup!$C$15,MONTH(WORKDAY(D473,-(Setup!$C$13+Setup!$G$22),Setup!$C$39:$C$50))&lt;=Setup!$C$16))),WORKDAY(D473,-(Setup!$C$13+Setup!$G$22+Setup!$C$14),Setup!$C$39:$C$50),WORKDAY(D473,-(Setup!$C$13+Setup!$G$22),Setup!$C$39:$C$50))+(468*100+3)/10000000)))</f>
        <v/>
      </c>
      <c r="U473" t="str">
        <f>IF(E473="","",IF(E473&lt;Setup!$C$5-Setup!$C$6,"",IF(IF(ISNUMBER(Roster!$D473),Setup!$C$23&lt;=Roster!$D473,FALSE),"",IF(OR(IF(Setup!$C$15&lt;=Setup!$C$16,AND(MONTH(E473)&gt;=Setup!$C$15,MONTH(E473)&lt;=Setup!$C$16),OR(MONTH(E473)&gt;=Setup!$C$15,MONTH(E473)&lt;=Setup!$C$16)),IF(Setup!$C$15&lt;=Setup!$C$16,AND(MONTH(WORKDAY(E473,-(Setup!$C$13+Setup!$G$23),Setup!$C$39:$C$50))&gt;=Setup!$C$15,MONTH(WORKDAY(E473,-(Setup!$C$13+Setup!$G$23),Setup!$C$39:$C$50))&lt;=Setup!$C$16),OR(MONTH(WORKDAY(E473,-(Setup!$C$13+Setup!$G$23),Setup!$C$39:$C$50))&gt;=Setup!$C$15,MONTH(WORKDAY(E473,-(Setup!$C$13+Setup!$G$23),Setup!$C$39:$C$50))&lt;=Setup!$C$16))),WORKDAY(E473,-(Setup!$C$13+Setup!$G$23+Setup!$C$14),Setup!$C$39:$C$50),WORKDAY(E473,-(Setup!$C$13+Setup!$G$23),Setup!$C$39:$C$50))+(468*100+4)/10000000)))</f>
        <v/>
      </c>
      <c r="V473" t="str">
        <f>IF(F473="","",IF(F473&lt;Setup!$C$5-Setup!$C$6,"",IF(IF(ISNUMBER(Roster!$D473),Setup!$C$24&lt;=Roster!$D473,FALSE),"",IF(OR(IF(Setup!$C$15&lt;=Setup!$C$16,AND(MONTH(F473)&gt;=Setup!$C$15,MONTH(F473)&lt;=Setup!$C$16),OR(MONTH(F473)&gt;=Setup!$C$15,MONTH(F473)&lt;=Setup!$C$16)),IF(Setup!$C$15&lt;=Setup!$C$16,AND(MONTH(WORKDAY(F473,-(Setup!$C$13+Setup!$G$24),Setup!$C$39:$C$50))&gt;=Setup!$C$15,MONTH(WORKDAY(F473,-(Setup!$C$13+Setup!$G$24),Setup!$C$39:$C$50))&lt;=Setup!$C$16),OR(MONTH(WORKDAY(F473,-(Setup!$C$13+Setup!$G$24),Setup!$C$39:$C$50))&gt;=Setup!$C$15,MONTH(WORKDAY(F473,-(Setup!$C$13+Setup!$G$24),Setup!$C$39:$C$50))&lt;=Setup!$C$16))),WORKDAY(F473,-(Setup!$C$13+Setup!$G$24+Setup!$C$14),Setup!$C$39:$C$50),WORKDAY(F473,-(Setup!$C$13+Setup!$G$24),Setup!$C$39:$C$50))+(468*100+5)/10000000)))</f>
        <v/>
      </c>
      <c r="W473" t="str">
        <f>IF(G473="","",IF(G473&lt;Setup!$C$5-Setup!$C$6,"",IF(IF(ISNUMBER(Roster!$D473),Setup!$C$25&lt;=Roster!$D473,FALSE),"",IF(OR(IF(Setup!$C$15&lt;=Setup!$C$16,AND(MONTH(G473)&gt;=Setup!$C$15,MONTH(G473)&lt;=Setup!$C$16),OR(MONTH(G473)&gt;=Setup!$C$15,MONTH(G473)&lt;=Setup!$C$16)),IF(Setup!$C$15&lt;=Setup!$C$16,AND(MONTH(WORKDAY(G473,-(Setup!$C$13+Setup!$G$25),Setup!$C$39:$C$50))&gt;=Setup!$C$15,MONTH(WORKDAY(G473,-(Setup!$C$13+Setup!$G$25),Setup!$C$39:$C$50))&lt;=Setup!$C$16),OR(MONTH(WORKDAY(G473,-(Setup!$C$13+Setup!$G$25),Setup!$C$39:$C$50))&gt;=Setup!$C$15,MONTH(WORKDAY(G473,-(Setup!$C$13+Setup!$G$25),Setup!$C$39:$C$50))&lt;=Setup!$C$16))),WORKDAY(G473,-(Setup!$C$13+Setup!$G$25+Setup!$C$14),Setup!$C$39:$C$50),WORKDAY(G473,-(Setup!$C$13+Setup!$G$25),Setup!$C$39:$C$50))+(468*100+6)/10000000)))</f>
        <v/>
      </c>
      <c r="X473" t="str">
        <f>IF(H473="","",IF(H473&lt;Setup!$C$5-Setup!$C$6,"",IF(IF(ISNUMBER(Roster!$D473),Setup!$C$26&lt;=Roster!$D473,FALSE),"",IF(OR(IF(Setup!$C$15&lt;=Setup!$C$16,AND(MONTH(H473)&gt;=Setup!$C$15,MONTH(H473)&lt;=Setup!$C$16),OR(MONTH(H473)&gt;=Setup!$C$15,MONTH(H473)&lt;=Setup!$C$16)),IF(Setup!$C$15&lt;=Setup!$C$16,AND(MONTH(WORKDAY(H473,-(Setup!$C$13+Setup!$G$26),Setup!$C$39:$C$50))&gt;=Setup!$C$15,MONTH(WORKDAY(H473,-(Setup!$C$13+Setup!$G$26),Setup!$C$39:$C$50))&lt;=Setup!$C$16),OR(MONTH(WORKDAY(H473,-(Setup!$C$13+Setup!$G$26),Setup!$C$39:$C$50))&gt;=Setup!$C$15,MONTH(WORKDAY(H473,-(Setup!$C$13+Setup!$G$26),Setup!$C$39:$C$50))&lt;=Setup!$C$16))),WORKDAY(H473,-(Setup!$C$13+Setup!$G$26+Setup!$C$14),Setup!$C$39:$C$50),WORKDAY(H473,-(Setup!$C$13+Setup!$G$26),Setup!$C$39:$C$50))+(468*100+7)/10000000)))</f>
        <v/>
      </c>
      <c r="Y473" t="str">
        <f>IF(I473="","",IF(I473&lt;Setup!$C$5-Setup!$C$6,"",IF(IF(ISNUMBER(Roster!$D473),Setup!$C$27&lt;=Roster!$D473,FALSE),"",IF(OR(IF(Setup!$C$15&lt;=Setup!$C$16,AND(MONTH(I473)&gt;=Setup!$C$15,MONTH(I473)&lt;=Setup!$C$16),OR(MONTH(I473)&gt;=Setup!$C$15,MONTH(I473)&lt;=Setup!$C$16)),IF(Setup!$C$15&lt;=Setup!$C$16,AND(MONTH(WORKDAY(I473,-(Setup!$C$13+Setup!$G$27),Setup!$C$39:$C$50))&gt;=Setup!$C$15,MONTH(WORKDAY(I473,-(Setup!$C$13+Setup!$G$27),Setup!$C$39:$C$50))&lt;=Setup!$C$16),OR(MONTH(WORKDAY(I473,-(Setup!$C$13+Setup!$G$27),Setup!$C$39:$C$50))&gt;=Setup!$C$15,MONTH(WORKDAY(I473,-(Setup!$C$13+Setup!$G$27),Setup!$C$39:$C$50))&lt;=Setup!$C$16))),WORKDAY(I473,-(Setup!$C$13+Setup!$G$27+Setup!$C$14),Setup!$C$39:$C$50),WORKDAY(I473,-(Setup!$C$13+Setup!$G$27),Setup!$C$39:$C$50))+(468*100+8)/10000000)))</f>
        <v/>
      </c>
      <c r="Z473" t="str">
        <f>IF(J473="","",IF(J473&lt;Setup!$C$5-Setup!$C$6,"",IF(IF(ISNUMBER(Roster!$D473),Setup!$C$28&lt;=Roster!$D473,FALSE),"",IF(OR(IF(Setup!$C$15&lt;=Setup!$C$16,AND(MONTH(J473)&gt;=Setup!$C$15,MONTH(J473)&lt;=Setup!$C$16),OR(MONTH(J473)&gt;=Setup!$C$15,MONTH(J473)&lt;=Setup!$C$16)),IF(Setup!$C$15&lt;=Setup!$C$16,AND(MONTH(WORKDAY(J473,-(Setup!$C$13+Setup!$G$28),Setup!$C$39:$C$50))&gt;=Setup!$C$15,MONTH(WORKDAY(J473,-(Setup!$C$13+Setup!$G$28),Setup!$C$39:$C$50))&lt;=Setup!$C$16),OR(MONTH(WORKDAY(J473,-(Setup!$C$13+Setup!$G$28),Setup!$C$39:$C$50))&gt;=Setup!$C$15,MONTH(WORKDAY(J473,-(Setup!$C$13+Setup!$G$28),Setup!$C$39:$C$50))&lt;=Setup!$C$16))),WORKDAY(J473,-(Setup!$C$13+Setup!$G$28+Setup!$C$14),Setup!$C$39:$C$50),WORKDAY(J473,-(Setup!$C$13+Setup!$G$28),Setup!$C$39:$C$50))+(468*100+9)/10000000)))</f>
        <v/>
      </c>
      <c r="AA473" t="str">
        <f>IF(K473="","",IF(K473&lt;Setup!$C$5-Setup!$C$6,"",IF(IF(ISNUMBER(Roster!$D473),Setup!$C$29&lt;=Roster!$D473,FALSE),"",IF(OR(IF(Setup!$C$15&lt;=Setup!$C$16,AND(MONTH(K473)&gt;=Setup!$C$15,MONTH(K473)&lt;=Setup!$C$16),OR(MONTH(K473)&gt;=Setup!$C$15,MONTH(K473)&lt;=Setup!$C$16)),IF(Setup!$C$15&lt;=Setup!$C$16,AND(MONTH(WORKDAY(K473,-(Setup!$C$13+Setup!$G$29),Setup!$C$39:$C$50))&gt;=Setup!$C$15,MONTH(WORKDAY(K473,-(Setup!$C$13+Setup!$G$29),Setup!$C$39:$C$50))&lt;=Setup!$C$16),OR(MONTH(WORKDAY(K473,-(Setup!$C$13+Setup!$G$29),Setup!$C$39:$C$50))&gt;=Setup!$C$15,MONTH(WORKDAY(K473,-(Setup!$C$13+Setup!$G$29),Setup!$C$39:$C$50))&lt;=Setup!$C$16))),WORKDAY(K473,-(Setup!$C$13+Setup!$G$29+Setup!$C$14),Setup!$C$39:$C$50),WORKDAY(K473,-(Setup!$C$13+Setup!$G$29),Setup!$C$39:$C$50))+(468*100+10)/10000000)))</f>
        <v/>
      </c>
      <c r="AB473" t="str">
        <f>IF(L473="","",IF(L473&lt;Setup!$C$5-Setup!$C$6,"",IF(IF(ISNUMBER(Roster!$D473),Setup!$C$30&lt;=Roster!$D473,FALSE),"",IF(OR(IF(Setup!$C$15&lt;=Setup!$C$16,AND(MONTH(L473)&gt;=Setup!$C$15,MONTH(L473)&lt;=Setup!$C$16),OR(MONTH(L473)&gt;=Setup!$C$15,MONTH(L473)&lt;=Setup!$C$16)),IF(Setup!$C$15&lt;=Setup!$C$16,AND(MONTH(WORKDAY(L473,-(Setup!$C$13+Setup!$G$30),Setup!$C$39:$C$50))&gt;=Setup!$C$15,MONTH(WORKDAY(L473,-(Setup!$C$13+Setup!$G$30),Setup!$C$39:$C$50))&lt;=Setup!$C$16),OR(MONTH(WORKDAY(L473,-(Setup!$C$13+Setup!$G$30),Setup!$C$39:$C$50))&gt;=Setup!$C$15,MONTH(WORKDAY(L473,-(Setup!$C$13+Setup!$G$30),Setup!$C$39:$C$50))&lt;=Setup!$C$16))),WORKDAY(L473,-(Setup!$C$13+Setup!$G$30+Setup!$C$14),Setup!$C$39:$C$50),WORKDAY(L473,-(Setup!$C$13+Setup!$G$30),Setup!$C$39:$C$50))+(468*100+11)/10000000)))</f>
        <v/>
      </c>
      <c r="AC473" t="str">
        <f>IF(M473="","",IF(M473&lt;Setup!$C$5-Setup!$C$6,"",IF(IF(ISNUMBER(Roster!$D473),Setup!$C$31&lt;=Roster!$D473,FALSE),"",IF(OR(IF(Setup!$C$15&lt;=Setup!$C$16,AND(MONTH(M473)&gt;=Setup!$C$15,MONTH(M473)&lt;=Setup!$C$16),OR(MONTH(M473)&gt;=Setup!$C$15,MONTH(M473)&lt;=Setup!$C$16)),IF(Setup!$C$15&lt;=Setup!$C$16,AND(MONTH(WORKDAY(M473,-(Setup!$C$13+Setup!$G$31),Setup!$C$39:$C$50))&gt;=Setup!$C$15,MONTH(WORKDAY(M473,-(Setup!$C$13+Setup!$G$31),Setup!$C$39:$C$50))&lt;=Setup!$C$16),OR(MONTH(WORKDAY(M473,-(Setup!$C$13+Setup!$G$31),Setup!$C$39:$C$50))&gt;=Setup!$C$15,MONTH(WORKDAY(M473,-(Setup!$C$13+Setup!$G$31),Setup!$C$39:$C$50))&lt;=Setup!$C$16))),WORKDAY(M473,-(Setup!$C$13+Setup!$G$31+Setup!$C$14),Setup!$C$39:$C$50),WORKDAY(M473,-(Setup!$C$13+Setup!$G$31),Setup!$C$39:$C$50))+(468*100+12)/10000000)))</f>
        <v/>
      </c>
      <c r="AD473" t="str">
        <f>IF(N473="","",IF(N473&lt;Setup!$C$5-Setup!$C$6,"",IF(IF(ISNUMBER(Roster!$D473),Setup!$C$32&lt;=Roster!$D473,FALSE),"",IF(OR(IF(Setup!$C$15&lt;=Setup!$C$16,AND(MONTH(N473)&gt;=Setup!$C$15,MONTH(N473)&lt;=Setup!$C$16),OR(MONTH(N473)&gt;=Setup!$C$15,MONTH(N473)&lt;=Setup!$C$16)),IF(Setup!$C$15&lt;=Setup!$C$16,AND(MONTH(WORKDAY(N473,-(Setup!$C$13+Setup!$G$32),Setup!$C$39:$C$50))&gt;=Setup!$C$15,MONTH(WORKDAY(N473,-(Setup!$C$13+Setup!$G$32),Setup!$C$39:$C$50))&lt;=Setup!$C$16),OR(MONTH(WORKDAY(N473,-(Setup!$C$13+Setup!$G$32),Setup!$C$39:$C$50))&gt;=Setup!$C$15,MONTH(WORKDAY(N473,-(Setup!$C$13+Setup!$G$32),Setup!$C$39:$C$50))&lt;=Setup!$C$16))),WORKDAY(N473,-(Setup!$C$13+Setup!$G$32+Setup!$C$14),Setup!$C$39:$C$50),WORKDAY(N473,-(Setup!$C$13+Setup!$G$32),Setup!$C$39:$C$50))+(468*100+13)/10000000)))</f>
        <v/>
      </c>
      <c r="AE473" t="str">
        <f>IF(O473="","",IF(O473&lt;Setup!$C$5-Setup!$C$6,"",IF(IF(ISNUMBER(Roster!$D473),Setup!$C$33&lt;=Roster!$D473,FALSE),"",IF(OR(IF(Setup!$C$15&lt;=Setup!$C$16,AND(MONTH(O473)&gt;=Setup!$C$15,MONTH(O473)&lt;=Setup!$C$16),OR(MONTH(O473)&gt;=Setup!$C$15,MONTH(O473)&lt;=Setup!$C$16)),IF(Setup!$C$15&lt;=Setup!$C$16,AND(MONTH(WORKDAY(O473,-(Setup!$C$13+Setup!$G$33),Setup!$C$39:$C$50))&gt;=Setup!$C$15,MONTH(WORKDAY(O473,-(Setup!$C$13+Setup!$G$33),Setup!$C$39:$C$50))&lt;=Setup!$C$16),OR(MONTH(WORKDAY(O473,-(Setup!$C$13+Setup!$G$33),Setup!$C$39:$C$50))&gt;=Setup!$C$15,MONTH(WORKDAY(O473,-(Setup!$C$13+Setup!$G$33),Setup!$C$39:$C$50))&lt;=Setup!$C$16))),WORKDAY(O473,-(Setup!$C$13+Setup!$G$33+Setup!$C$14),Setup!$C$39:$C$50),WORKDAY(O473,-(Setup!$C$13+Setup!$G$33),Setup!$C$39:$C$50))+(468*100+14)/10000000)))</f>
        <v/>
      </c>
      <c r="AF473" t="str">
        <f>IF(P473="","",IF(P473&lt;Setup!$C$5-Setup!$C$6,"",IF(IF(ISNUMBER(Roster!$D473),Setup!$C$34&lt;=Roster!$D473,FALSE),"",IF(OR(IF(Setup!$C$15&lt;=Setup!$C$16,AND(MONTH(P473)&gt;=Setup!$C$15,MONTH(P473)&lt;=Setup!$C$16),OR(MONTH(P473)&gt;=Setup!$C$15,MONTH(P473)&lt;=Setup!$C$16)),IF(Setup!$C$15&lt;=Setup!$C$16,AND(MONTH(WORKDAY(P473,-(Setup!$C$13+Setup!$G$34),Setup!$C$39:$C$50))&gt;=Setup!$C$15,MONTH(WORKDAY(P473,-(Setup!$C$13+Setup!$G$34),Setup!$C$39:$C$50))&lt;=Setup!$C$16),OR(MONTH(WORKDAY(P473,-(Setup!$C$13+Setup!$G$34),Setup!$C$39:$C$50))&gt;=Setup!$C$15,MONTH(WORKDAY(P473,-(Setup!$C$13+Setup!$G$34),Setup!$C$39:$C$50))&lt;=Setup!$C$16))),WORKDAY(P473,-(Setup!$C$13+Setup!$G$34+Setup!$C$14),Setup!$C$39:$C$50),WORKDAY(P473,-(Setup!$C$13+Setup!$G$34),Setup!$C$39:$C$50))+(468*100+15)/10000000)))</f>
        <v/>
      </c>
      <c r="AH473" t="str">
        <f t="shared" si="51"/>
        <v/>
      </c>
      <c r="AI473" t="str">
        <f t="shared" si="52"/>
        <v/>
      </c>
      <c r="AP473" t="str">
        <f>IF(ISNUMBER(Roster!$B473),MAX(1,YEAR(Setup!$C$5)-YEAR(Roster!$B473)+IF(EDATE(Roster!$B473,12*(YEAR(Setup!$C$5)-YEAR(Roster!$B473)))&lt;Setup!$C$5,1,0)),"")</f>
        <v/>
      </c>
      <c r="AQ473" s="32" t="str">
        <f>IF(AP473="","",EDATE(Roster!$B473,12*AP473))</f>
        <v/>
      </c>
      <c r="AR473" t="str">
        <f>IF(AQ473="","",IF(AQ473&lt;DATE(YEAR(Setup!$C$5)+1,MONTH(Setup!$C$5),DAY(Setup!$C$5)),AQ473+468/1000,""))</f>
        <v/>
      </c>
      <c r="AS473" t="str">
        <f t="shared" si="53"/>
        <v/>
      </c>
      <c r="AT473" t="str">
        <f>IF(AS473="","",IF(ISNUMBER(Roster!$D473),Roster!$D473&gt;=AP473,FALSE))</f>
        <v/>
      </c>
      <c r="AU473" t="str">
        <f t="shared" si="54"/>
        <v/>
      </c>
      <c r="AV473" t="str">
        <f ca="1">IF(468&gt;$AV$2,"",SMALL($AR$6:$AR$505,468))</f>
        <v/>
      </c>
      <c r="AW473" t="str">
        <f t="shared" ca="1" si="55"/>
        <v/>
      </c>
    </row>
    <row r="474" spans="2:49" x14ac:dyDescent="0.2">
      <c r="B474" s="32" t="str">
        <f>IF(AND(ISNUMBER(Roster!$B474),Setup!$B$20="Yes",ISNUMBER(Setup!$C$20)),EDATE(Roster!$B474,12*Setup!$C$20),"")</f>
        <v/>
      </c>
      <c r="C474" s="32" t="str">
        <f>IF(AND(ISNUMBER(Roster!$B474),Setup!$B$21="Yes",ISNUMBER(Setup!$C$21)),EDATE(Roster!$B474,12*Setup!$C$21),"")</f>
        <v/>
      </c>
      <c r="D474" s="32" t="str">
        <f>IF(AND(ISNUMBER(Roster!$B474),Setup!$B$22="Yes",ISNUMBER(Setup!$C$22)),EDATE(Roster!$B474,12*Setup!$C$22),"")</f>
        <v/>
      </c>
      <c r="E474" s="32" t="str">
        <f>IF(AND(ISNUMBER(Roster!$B474),Setup!$B$23="Yes",ISNUMBER(Setup!$C$23)),EDATE(Roster!$B474,12*Setup!$C$23),"")</f>
        <v/>
      </c>
      <c r="F474" s="32" t="str">
        <f>IF(AND(ISNUMBER(Roster!$B474),Setup!$B$24="Yes",ISNUMBER(Setup!$C$24)),EDATE(Roster!$B474,12*Setup!$C$24),"")</f>
        <v/>
      </c>
      <c r="G474" s="32" t="str">
        <f>IF(AND(ISNUMBER(Roster!$B474),Setup!$B$25="Yes",ISNUMBER(Setup!$C$25)),EDATE(Roster!$B474,12*Setup!$C$25),"")</f>
        <v/>
      </c>
      <c r="H474" s="32" t="str">
        <f>IF(AND(ISNUMBER(Roster!$B474),Setup!$B$26="Yes",ISNUMBER(Setup!$C$26)),EDATE(Roster!$B474,12*Setup!$C$26),"")</f>
        <v/>
      </c>
      <c r="I474" s="32" t="str">
        <f>IF(AND(ISNUMBER(Roster!$B474),Setup!$B$27="Yes",ISNUMBER(Setup!$C$27)),EDATE(Roster!$B474,12*Setup!$C$27),"")</f>
        <v/>
      </c>
      <c r="J474" s="32" t="str">
        <f>IF(AND(ISNUMBER(Roster!$B474),Setup!$B$28="Yes",ISNUMBER(Setup!$C$28)),EDATE(Roster!$B474,12*Setup!$C$28),"")</f>
        <v/>
      </c>
      <c r="K474" s="32" t="str">
        <f>IF(AND(ISNUMBER(Roster!$B474),Setup!$B$29="Yes",ISNUMBER(Setup!$C$29)),EDATE(Roster!$B474,12*Setup!$C$29),"")</f>
        <v/>
      </c>
      <c r="L474" s="32" t="str">
        <f>IF(AND(ISNUMBER(Roster!$B474),Setup!$B$30="Yes",ISNUMBER(Setup!$C$30)),EDATE(Roster!$B474,12*Setup!$C$30),"")</f>
        <v/>
      </c>
      <c r="M474" s="32" t="str">
        <f>IF(AND(ISNUMBER(Roster!$B474),Setup!$B$31="Yes",ISNUMBER(Setup!$C$31)),EDATE(Roster!$B474,12*Setup!$C$31),"")</f>
        <v/>
      </c>
      <c r="N474" s="32" t="str">
        <f>IF(AND(ISNUMBER(Roster!$B474),Setup!$B$32="Yes",ISNUMBER(Setup!$C$32)),EDATE(Roster!$B474,12*Setup!$C$32),"")</f>
        <v/>
      </c>
      <c r="O474" s="32" t="str">
        <f>IF(AND(ISNUMBER(Roster!$B474),Setup!$B$33="Yes",ISNUMBER(Setup!$C$33)),EDATE(Roster!$B474,12*Setup!$C$33),"")</f>
        <v/>
      </c>
      <c r="P474" s="32" t="str">
        <f>IF(AND(ISNUMBER(Roster!$B474),Setup!$B$34="Yes",ISNUMBER(Setup!$C$34)),EDATE(Roster!$B474,12*Setup!$C$34),"")</f>
        <v/>
      </c>
      <c r="R474" t="str">
        <f>IF(B474="","",IF(B474&lt;Setup!$C$5-Setup!$C$6,"",IF(IF(ISNUMBER(Roster!$D474),Setup!$C$20&lt;=Roster!$D474,FALSE),"",IF(OR(IF(Setup!$C$15&lt;=Setup!$C$16,AND(MONTH(B474)&gt;=Setup!$C$15,MONTH(B474)&lt;=Setup!$C$16),OR(MONTH(B474)&gt;=Setup!$C$15,MONTH(B474)&lt;=Setup!$C$16)),IF(Setup!$C$15&lt;=Setup!$C$16,AND(MONTH(WORKDAY(B474,-(Setup!$C$13+Setup!$G$20),Setup!$C$39:$C$50))&gt;=Setup!$C$15,MONTH(WORKDAY(B474,-(Setup!$C$13+Setup!$G$20),Setup!$C$39:$C$50))&lt;=Setup!$C$16),OR(MONTH(WORKDAY(B474,-(Setup!$C$13+Setup!$G$20),Setup!$C$39:$C$50))&gt;=Setup!$C$15,MONTH(WORKDAY(B474,-(Setup!$C$13+Setup!$G$20),Setup!$C$39:$C$50))&lt;=Setup!$C$16))),WORKDAY(B474,-(Setup!$C$13+Setup!$G$20+Setup!$C$14),Setup!$C$39:$C$50),WORKDAY(B474,-(Setup!$C$13+Setup!$G$20),Setup!$C$39:$C$50))+(469*100+1)/10000000)))</f>
        <v/>
      </c>
      <c r="S474" t="str">
        <f>IF(C474="","",IF(C474&lt;Setup!$C$5-Setup!$C$6,"",IF(IF(ISNUMBER(Roster!$D474),Setup!$C$21&lt;=Roster!$D474,FALSE),"",IF(OR(IF(Setup!$C$15&lt;=Setup!$C$16,AND(MONTH(C474)&gt;=Setup!$C$15,MONTH(C474)&lt;=Setup!$C$16),OR(MONTH(C474)&gt;=Setup!$C$15,MONTH(C474)&lt;=Setup!$C$16)),IF(Setup!$C$15&lt;=Setup!$C$16,AND(MONTH(WORKDAY(C474,-(Setup!$C$13+Setup!$G$21),Setup!$C$39:$C$50))&gt;=Setup!$C$15,MONTH(WORKDAY(C474,-(Setup!$C$13+Setup!$G$21),Setup!$C$39:$C$50))&lt;=Setup!$C$16),OR(MONTH(WORKDAY(C474,-(Setup!$C$13+Setup!$G$21),Setup!$C$39:$C$50))&gt;=Setup!$C$15,MONTH(WORKDAY(C474,-(Setup!$C$13+Setup!$G$21),Setup!$C$39:$C$50))&lt;=Setup!$C$16))),WORKDAY(C474,-(Setup!$C$13+Setup!$G$21+Setup!$C$14),Setup!$C$39:$C$50),WORKDAY(C474,-(Setup!$C$13+Setup!$G$21),Setup!$C$39:$C$50))+(469*100+2)/10000000)))</f>
        <v/>
      </c>
      <c r="T474" t="str">
        <f>IF(D474="","",IF(D474&lt;Setup!$C$5-Setup!$C$6,"",IF(IF(ISNUMBER(Roster!$D474),Setup!$C$22&lt;=Roster!$D474,FALSE),"",IF(OR(IF(Setup!$C$15&lt;=Setup!$C$16,AND(MONTH(D474)&gt;=Setup!$C$15,MONTH(D474)&lt;=Setup!$C$16),OR(MONTH(D474)&gt;=Setup!$C$15,MONTH(D474)&lt;=Setup!$C$16)),IF(Setup!$C$15&lt;=Setup!$C$16,AND(MONTH(WORKDAY(D474,-(Setup!$C$13+Setup!$G$22),Setup!$C$39:$C$50))&gt;=Setup!$C$15,MONTH(WORKDAY(D474,-(Setup!$C$13+Setup!$G$22),Setup!$C$39:$C$50))&lt;=Setup!$C$16),OR(MONTH(WORKDAY(D474,-(Setup!$C$13+Setup!$G$22),Setup!$C$39:$C$50))&gt;=Setup!$C$15,MONTH(WORKDAY(D474,-(Setup!$C$13+Setup!$G$22),Setup!$C$39:$C$50))&lt;=Setup!$C$16))),WORKDAY(D474,-(Setup!$C$13+Setup!$G$22+Setup!$C$14),Setup!$C$39:$C$50),WORKDAY(D474,-(Setup!$C$13+Setup!$G$22),Setup!$C$39:$C$50))+(469*100+3)/10000000)))</f>
        <v/>
      </c>
      <c r="U474" t="str">
        <f>IF(E474="","",IF(E474&lt;Setup!$C$5-Setup!$C$6,"",IF(IF(ISNUMBER(Roster!$D474),Setup!$C$23&lt;=Roster!$D474,FALSE),"",IF(OR(IF(Setup!$C$15&lt;=Setup!$C$16,AND(MONTH(E474)&gt;=Setup!$C$15,MONTH(E474)&lt;=Setup!$C$16),OR(MONTH(E474)&gt;=Setup!$C$15,MONTH(E474)&lt;=Setup!$C$16)),IF(Setup!$C$15&lt;=Setup!$C$16,AND(MONTH(WORKDAY(E474,-(Setup!$C$13+Setup!$G$23),Setup!$C$39:$C$50))&gt;=Setup!$C$15,MONTH(WORKDAY(E474,-(Setup!$C$13+Setup!$G$23),Setup!$C$39:$C$50))&lt;=Setup!$C$16),OR(MONTH(WORKDAY(E474,-(Setup!$C$13+Setup!$G$23),Setup!$C$39:$C$50))&gt;=Setup!$C$15,MONTH(WORKDAY(E474,-(Setup!$C$13+Setup!$G$23),Setup!$C$39:$C$50))&lt;=Setup!$C$16))),WORKDAY(E474,-(Setup!$C$13+Setup!$G$23+Setup!$C$14),Setup!$C$39:$C$50),WORKDAY(E474,-(Setup!$C$13+Setup!$G$23),Setup!$C$39:$C$50))+(469*100+4)/10000000)))</f>
        <v/>
      </c>
      <c r="V474" t="str">
        <f>IF(F474="","",IF(F474&lt;Setup!$C$5-Setup!$C$6,"",IF(IF(ISNUMBER(Roster!$D474),Setup!$C$24&lt;=Roster!$D474,FALSE),"",IF(OR(IF(Setup!$C$15&lt;=Setup!$C$16,AND(MONTH(F474)&gt;=Setup!$C$15,MONTH(F474)&lt;=Setup!$C$16),OR(MONTH(F474)&gt;=Setup!$C$15,MONTH(F474)&lt;=Setup!$C$16)),IF(Setup!$C$15&lt;=Setup!$C$16,AND(MONTH(WORKDAY(F474,-(Setup!$C$13+Setup!$G$24),Setup!$C$39:$C$50))&gt;=Setup!$C$15,MONTH(WORKDAY(F474,-(Setup!$C$13+Setup!$G$24),Setup!$C$39:$C$50))&lt;=Setup!$C$16),OR(MONTH(WORKDAY(F474,-(Setup!$C$13+Setup!$G$24),Setup!$C$39:$C$50))&gt;=Setup!$C$15,MONTH(WORKDAY(F474,-(Setup!$C$13+Setup!$G$24),Setup!$C$39:$C$50))&lt;=Setup!$C$16))),WORKDAY(F474,-(Setup!$C$13+Setup!$G$24+Setup!$C$14),Setup!$C$39:$C$50),WORKDAY(F474,-(Setup!$C$13+Setup!$G$24),Setup!$C$39:$C$50))+(469*100+5)/10000000)))</f>
        <v/>
      </c>
      <c r="W474" t="str">
        <f>IF(G474="","",IF(G474&lt;Setup!$C$5-Setup!$C$6,"",IF(IF(ISNUMBER(Roster!$D474),Setup!$C$25&lt;=Roster!$D474,FALSE),"",IF(OR(IF(Setup!$C$15&lt;=Setup!$C$16,AND(MONTH(G474)&gt;=Setup!$C$15,MONTH(G474)&lt;=Setup!$C$16),OR(MONTH(G474)&gt;=Setup!$C$15,MONTH(G474)&lt;=Setup!$C$16)),IF(Setup!$C$15&lt;=Setup!$C$16,AND(MONTH(WORKDAY(G474,-(Setup!$C$13+Setup!$G$25),Setup!$C$39:$C$50))&gt;=Setup!$C$15,MONTH(WORKDAY(G474,-(Setup!$C$13+Setup!$G$25),Setup!$C$39:$C$50))&lt;=Setup!$C$16),OR(MONTH(WORKDAY(G474,-(Setup!$C$13+Setup!$G$25),Setup!$C$39:$C$50))&gt;=Setup!$C$15,MONTH(WORKDAY(G474,-(Setup!$C$13+Setup!$G$25),Setup!$C$39:$C$50))&lt;=Setup!$C$16))),WORKDAY(G474,-(Setup!$C$13+Setup!$G$25+Setup!$C$14),Setup!$C$39:$C$50),WORKDAY(G474,-(Setup!$C$13+Setup!$G$25),Setup!$C$39:$C$50))+(469*100+6)/10000000)))</f>
        <v/>
      </c>
      <c r="X474" t="str">
        <f>IF(H474="","",IF(H474&lt;Setup!$C$5-Setup!$C$6,"",IF(IF(ISNUMBER(Roster!$D474),Setup!$C$26&lt;=Roster!$D474,FALSE),"",IF(OR(IF(Setup!$C$15&lt;=Setup!$C$16,AND(MONTH(H474)&gt;=Setup!$C$15,MONTH(H474)&lt;=Setup!$C$16),OR(MONTH(H474)&gt;=Setup!$C$15,MONTH(H474)&lt;=Setup!$C$16)),IF(Setup!$C$15&lt;=Setup!$C$16,AND(MONTH(WORKDAY(H474,-(Setup!$C$13+Setup!$G$26),Setup!$C$39:$C$50))&gt;=Setup!$C$15,MONTH(WORKDAY(H474,-(Setup!$C$13+Setup!$G$26),Setup!$C$39:$C$50))&lt;=Setup!$C$16),OR(MONTH(WORKDAY(H474,-(Setup!$C$13+Setup!$G$26),Setup!$C$39:$C$50))&gt;=Setup!$C$15,MONTH(WORKDAY(H474,-(Setup!$C$13+Setup!$G$26),Setup!$C$39:$C$50))&lt;=Setup!$C$16))),WORKDAY(H474,-(Setup!$C$13+Setup!$G$26+Setup!$C$14),Setup!$C$39:$C$50),WORKDAY(H474,-(Setup!$C$13+Setup!$G$26),Setup!$C$39:$C$50))+(469*100+7)/10000000)))</f>
        <v/>
      </c>
      <c r="Y474" t="str">
        <f>IF(I474="","",IF(I474&lt;Setup!$C$5-Setup!$C$6,"",IF(IF(ISNUMBER(Roster!$D474),Setup!$C$27&lt;=Roster!$D474,FALSE),"",IF(OR(IF(Setup!$C$15&lt;=Setup!$C$16,AND(MONTH(I474)&gt;=Setup!$C$15,MONTH(I474)&lt;=Setup!$C$16),OR(MONTH(I474)&gt;=Setup!$C$15,MONTH(I474)&lt;=Setup!$C$16)),IF(Setup!$C$15&lt;=Setup!$C$16,AND(MONTH(WORKDAY(I474,-(Setup!$C$13+Setup!$G$27),Setup!$C$39:$C$50))&gt;=Setup!$C$15,MONTH(WORKDAY(I474,-(Setup!$C$13+Setup!$G$27),Setup!$C$39:$C$50))&lt;=Setup!$C$16),OR(MONTH(WORKDAY(I474,-(Setup!$C$13+Setup!$G$27),Setup!$C$39:$C$50))&gt;=Setup!$C$15,MONTH(WORKDAY(I474,-(Setup!$C$13+Setup!$G$27),Setup!$C$39:$C$50))&lt;=Setup!$C$16))),WORKDAY(I474,-(Setup!$C$13+Setup!$G$27+Setup!$C$14),Setup!$C$39:$C$50),WORKDAY(I474,-(Setup!$C$13+Setup!$G$27),Setup!$C$39:$C$50))+(469*100+8)/10000000)))</f>
        <v/>
      </c>
      <c r="Z474" t="str">
        <f>IF(J474="","",IF(J474&lt;Setup!$C$5-Setup!$C$6,"",IF(IF(ISNUMBER(Roster!$D474),Setup!$C$28&lt;=Roster!$D474,FALSE),"",IF(OR(IF(Setup!$C$15&lt;=Setup!$C$16,AND(MONTH(J474)&gt;=Setup!$C$15,MONTH(J474)&lt;=Setup!$C$16),OR(MONTH(J474)&gt;=Setup!$C$15,MONTH(J474)&lt;=Setup!$C$16)),IF(Setup!$C$15&lt;=Setup!$C$16,AND(MONTH(WORKDAY(J474,-(Setup!$C$13+Setup!$G$28),Setup!$C$39:$C$50))&gt;=Setup!$C$15,MONTH(WORKDAY(J474,-(Setup!$C$13+Setup!$G$28),Setup!$C$39:$C$50))&lt;=Setup!$C$16),OR(MONTH(WORKDAY(J474,-(Setup!$C$13+Setup!$G$28),Setup!$C$39:$C$50))&gt;=Setup!$C$15,MONTH(WORKDAY(J474,-(Setup!$C$13+Setup!$G$28),Setup!$C$39:$C$50))&lt;=Setup!$C$16))),WORKDAY(J474,-(Setup!$C$13+Setup!$G$28+Setup!$C$14),Setup!$C$39:$C$50),WORKDAY(J474,-(Setup!$C$13+Setup!$G$28),Setup!$C$39:$C$50))+(469*100+9)/10000000)))</f>
        <v/>
      </c>
      <c r="AA474" t="str">
        <f>IF(K474="","",IF(K474&lt;Setup!$C$5-Setup!$C$6,"",IF(IF(ISNUMBER(Roster!$D474),Setup!$C$29&lt;=Roster!$D474,FALSE),"",IF(OR(IF(Setup!$C$15&lt;=Setup!$C$16,AND(MONTH(K474)&gt;=Setup!$C$15,MONTH(K474)&lt;=Setup!$C$16),OR(MONTH(K474)&gt;=Setup!$C$15,MONTH(K474)&lt;=Setup!$C$16)),IF(Setup!$C$15&lt;=Setup!$C$16,AND(MONTH(WORKDAY(K474,-(Setup!$C$13+Setup!$G$29),Setup!$C$39:$C$50))&gt;=Setup!$C$15,MONTH(WORKDAY(K474,-(Setup!$C$13+Setup!$G$29),Setup!$C$39:$C$50))&lt;=Setup!$C$16),OR(MONTH(WORKDAY(K474,-(Setup!$C$13+Setup!$G$29),Setup!$C$39:$C$50))&gt;=Setup!$C$15,MONTH(WORKDAY(K474,-(Setup!$C$13+Setup!$G$29),Setup!$C$39:$C$50))&lt;=Setup!$C$16))),WORKDAY(K474,-(Setup!$C$13+Setup!$G$29+Setup!$C$14),Setup!$C$39:$C$50),WORKDAY(K474,-(Setup!$C$13+Setup!$G$29),Setup!$C$39:$C$50))+(469*100+10)/10000000)))</f>
        <v/>
      </c>
      <c r="AB474" t="str">
        <f>IF(L474="","",IF(L474&lt;Setup!$C$5-Setup!$C$6,"",IF(IF(ISNUMBER(Roster!$D474),Setup!$C$30&lt;=Roster!$D474,FALSE),"",IF(OR(IF(Setup!$C$15&lt;=Setup!$C$16,AND(MONTH(L474)&gt;=Setup!$C$15,MONTH(L474)&lt;=Setup!$C$16),OR(MONTH(L474)&gt;=Setup!$C$15,MONTH(L474)&lt;=Setup!$C$16)),IF(Setup!$C$15&lt;=Setup!$C$16,AND(MONTH(WORKDAY(L474,-(Setup!$C$13+Setup!$G$30),Setup!$C$39:$C$50))&gt;=Setup!$C$15,MONTH(WORKDAY(L474,-(Setup!$C$13+Setup!$G$30),Setup!$C$39:$C$50))&lt;=Setup!$C$16),OR(MONTH(WORKDAY(L474,-(Setup!$C$13+Setup!$G$30),Setup!$C$39:$C$50))&gt;=Setup!$C$15,MONTH(WORKDAY(L474,-(Setup!$C$13+Setup!$G$30),Setup!$C$39:$C$50))&lt;=Setup!$C$16))),WORKDAY(L474,-(Setup!$C$13+Setup!$G$30+Setup!$C$14),Setup!$C$39:$C$50),WORKDAY(L474,-(Setup!$C$13+Setup!$G$30),Setup!$C$39:$C$50))+(469*100+11)/10000000)))</f>
        <v/>
      </c>
      <c r="AC474" t="str">
        <f>IF(M474="","",IF(M474&lt;Setup!$C$5-Setup!$C$6,"",IF(IF(ISNUMBER(Roster!$D474),Setup!$C$31&lt;=Roster!$D474,FALSE),"",IF(OR(IF(Setup!$C$15&lt;=Setup!$C$16,AND(MONTH(M474)&gt;=Setup!$C$15,MONTH(M474)&lt;=Setup!$C$16),OR(MONTH(M474)&gt;=Setup!$C$15,MONTH(M474)&lt;=Setup!$C$16)),IF(Setup!$C$15&lt;=Setup!$C$16,AND(MONTH(WORKDAY(M474,-(Setup!$C$13+Setup!$G$31),Setup!$C$39:$C$50))&gt;=Setup!$C$15,MONTH(WORKDAY(M474,-(Setup!$C$13+Setup!$G$31),Setup!$C$39:$C$50))&lt;=Setup!$C$16),OR(MONTH(WORKDAY(M474,-(Setup!$C$13+Setup!$G$31),Setup!$C$39:$C$50))&gt;=Setup!$C$15,MONTH(WORKDAY(M474,-(Setup!$C$13+Setup!$G$31),Setup!$C$39:$C$50))&lt;=Setup!$C$16))),WORKDAY(M474,-(Setup!$C$13+Setup!$G$31+Setup!$C$14),Setup!$C$39:$C$50),WORKDAY(M474,-(Setup!$C$13+Setup!$G$31),Setup!$C$39:$C$50))+(469*100+12)/10000000)))</f>
        <v/>
      </c>
      <c r="AD474" t="str">
        <f>IF(N474="","",IF(N474&lt;Setup!$C$5-Setup!$C$6,"",IF(IF(ISNUMBER(Roster!$D474),Setup!$C$32&lt;=Roster!$D474,FALSE),"",IF(OR(IF(Setup!$C$15&lt;=Setup!$C$16,AND(MONTH(N474)&gt;=Setup!$C$15,MONTH(N474)&lt;=Setup!$C$16),OR(MONTH(N474)&gt;=Setup!$C$15,MONTH(N474)&lt;=Setup!$C$16)),IF(Setup!$C$15&lt;=Setup!$C$16,AND(MONTH(WORKDAY(N474,-(Setup!$C$13+Setup!$G$32),Setup!$C$39:$C$50))&gt;=Setup!$C$15,MONTH(WORKDAY(N474,-(Setup!$C$13+Setup!$G$32),Setup!$C$39:$C$50))&lt;=Setup!$C$16),OR(MONTH(WORKDAY(N474,-(Setup!$C$13+Setup!$G$32),Setup!$C$39:$C$50))&gt;=Setup!$C$15,MONTH(WORKDAY(N474,-(Setup!$C$13+Setup!$G$32),Setup!$C$39:$C$50))&lt;=Setup!$C$16))),WORKDAY(N474,-(Setup!$C$13+Setup!$G$32+Setup!$C$14),Setup!$C$39:$C$50),WORKDAY(N474,-(Setup!$C$13+Setup!$G$32),Setup!$C$39:$C$50))+(469*100+13)/10000000)))</f>
        <v/>
      </c>
      <c r="AE474" t="str">
        <f>IF(O474="","",IF(O474&lt;Setup!$C$5-Setup!$C$6,"",IF(IF(ISNUMBER(Roster!$D474),Setup!$C$33&lt;=Roster!$D474,FALSE),"",IF(OR(IF(Setup!$C$15&lt;=Setup!$C$16,AND(MONTH(O474)&gt;=Setup!$C$15,MONTH(O474)&lt;=Setup!$C$16),OR(MONTH(O474)&gt;=Setup!$C$15,MONTH(O474)&lt;=Setup!$C$16)),IF(Setup!$C$15&lt;=Setup!$C$16,AND(MONTH(WORKDAY(O474,-(Setup!$C$13+Setup!$G$33),Setup!$C$39:$C$50))&gt;=Setup!$C$15,MONTH(WORKDAY(O474,-(Setup!$C$13+Setup!$G$33),Setup!$C$39:$C$50))&lt;=Setup!$C$16),OR(MONTH(WORKDAY(O474,-(Setup!$C$13+Setup!$G$33),Setup!$C$39:$C$50))&gt;=Setup!$C$15,MONTH(WORKDAY(O474,-(Setup!$C$13+Setup!$G$33),Setup!$C$39:$C$50))&lt;=Setup!$C$16))),WORKDAY(O474,-(Setup!$C$13+Setup!$G$33+Setup!$C$14),Setup!$C$39:$C$50),WORKDAY(O474,-(Setup!$C$13+Setup!$G$33),Setup!$C$39:$C$50))+(469*100+14)/10000000)))</f>
        <v/>
      </c>
      <c r="AF474" t="str">
        <f>IF(P474="","",IF(P474&lt;Setup!$C$5-Setup!$C$6,"",IF(IF(ISNUMBER(Roster!$D474),Setup!$C$34&lt;=Roster!$D474,FALSE),"",IF(OR(IF(Setup!$C$15&lt;=Setup!$C$16,AND(MONTH(P474)&gt;=Setup!$C$15,MONTH(P474)&lt;=Setup!$C$16),OR(MONTH(P474)&gt;=Setup!$C$15,MONTH(P474)&lt;=Setup!$C$16)),IF(Setup!$C$15&lt;=Setup!$C$16,AND(MONTH(WORKDAY(P474,-(Setup!$C$13+Setup!$G$34),Setup!$C$39:$C$50))&gt;=Setup!$C$15,MONTH(WORKDAY(P474,-(Setup!$C$13+Setup!$G$34),Setup!$C$39:$C$50))&lt;=Setup!$C$16),OR(MONTH(WORKDAY(P474,-(Setup!$C$13+Setup!$G$34),Setup!$C$39:$C$50))&gt;=Setup!$C$15,MONTH(WORKDAY(P474,-(Setup!$C$13+Setup!$G$34),Setup!$C$39:$C$50))&lt;=Setup!$C$16))),WORKDAY(P474,-(Setup!$C$13+Setup!$G$34+Setup!$C$14),Setup!$C$39:$C$50),WORKDAY(P474,-(Setup!$C$13+Setup!$G$34),Setup!$C$39:$C$50))+(469*100+15)/10000000)))</f>
        <v/>
      </c>
      <c r="AH474" t="str">
        <f t="shared" si="51"/>
        <v/>
      </c>
      <c r="AI474" t="str">
        <f t="shared" si="52"/>
        <v/>
      </c>
      <c r="AP474" t="str">
        <f>IF(ISNUMBER(Roster!$B474),MAX(1,YEAR(Setup!$C$5)-YEAR(Roster!$B474)+IF(EDATE(Roster!$B474,12*(YEAR(Setup!$C$5)-YEAR(Roster!$B474)))&lt;Setup!$C$5,1,0)),"")</f>
        <v/>
      </c>
      <c r="AQ474" s="32" t="str">
        <f>IF(AP474="","",EDATE(Roster!$B474,12*AP474))</f>
        <v/>
      </c>
      <c r="AR474" t="str">
        <f>IF(AQ474="","",IF(AQ474&lt;DATE(YEAR(Setup!$C$5)+1,MONTH(Setup!$C$5),DAY(Setup!$C$5)),AQ474+469/1000,""))</f>
        <v/>
      </c>
      <c r="AS474" t="str">
        <f t="shared" si="53"/>
        <v/>
      </c>
      <c r="AT474" t="str">
        <f>IF(AS474="","",IF(ISNUMBER(Roster!$D474),Roster!$D474&gt;=AP474,FALSE))</f>
        <v/>
      </c>
      <c r="AU474" t="str">
        <f t="shared" si="54"/>
        <v/>
      </c>
      <c r="AV474" t="str">
        <f ca="1">IF(469&gt;$AV$2,"",SMALL($AR$6:$AR$505,469))</f>
        <v/>
      </c>
      <c r="AW474" t="str">
        <f t="shared" ca="1" si="55"/>
        <v/>
      </c>
    </row>
    <row r="475" spans="2:49" x14ac:dyDescent="0.2">
      <c r="B475" s="32" t="str">
        <f>IF(AND(ISNUMBER(Roster!$B475),Setup!$B$20="Yes",ISNUMBER(Setup!$C$20)),EDATE(Roster!$B475,12*Setup!$C$20),"")</f>
        <v/>
      </c>
      <c r="C475" s="32" t="str">
        <f>IF(AND(ISNUMBER(Roster!$B475),Setup!$B$21="Yes",ISNUMBER(Setup!$C$21)),EDATE(Roster!$B475,12*Setup!$C$21),"")</f>
        <v/>
      </c>
      <c r="D475" s="32" t="str">
        <f>IF(AND(ISNUMBER(Roster!$B475),Setup!$B$22="Yes",ISNUMBER(Setup!$C$22)),EDATE(Roster!$B475,12*Setup!$C$22),"")</f>
        <v/>
      </c>
      <c r="E475" s="32" t="str">
        <f>IF(AND(ISNUMBER(Roster!$B475),Setup!$B$23="Yes",ISNUMBER(Setup!$C$23)),EDATE(Roster!$B475,12*Setup!$C$23),"")</f>
        <v/>
      </c>
      <c r="F475" s="32" t="str">
        <f>IF(AND(ISNUMBER(Roster!$B475),Setup!$B$24="Yes",ISNUMBER(Setup!$C$24)),EDATE(Roster!$B475,12*Setup!$C$24),"")</f>
        <v/>
      </c>
      <c r="G475" s="32" t="str">
        <f>IF(AND(ISNUMBER(Roster!$B475),Setup!$B$25="Yes",ISNUMBER(Setup!$C$25)),EDATE(Roster!$B475,12*Setup!$C$25),"")</f>
        <v/>
      </c>
      <c r="H475" s="32" t="str">
        <f>IF(AND(ISNUMBER(Roster!$B475),Setup!$B$26="Yes",ISNUMBER(Setup!$C$26)),EDATE(Roster!$B475,12*Setup!$C$26),"")</f>
        <v/>
      </c>
      <c r="I475" s="32" t="str">
        <f>IF(AND(ISNUMBER(Roster!$B475),Setup!$B$27="Yes",ISNUMBER(Setup!$C$27)),EDATE(Roster!$B475,12*Setup!$C$27),"")</f>
        <v/>
      </c>
      <c r="J475" s="32" t="str">
        <f>IF(AND(ISNUMBER(Roster!$B475),Setup!$B$28="Yes",ISNUMBER(Setup!$C$28)),EDATE(Roster!$B475,12*Setup!$C$28),"")</f>
        <v/>
      </c>
      <c r="K475" s="32" t="str">
        <f>IF(AND(ISNUMBER(Roster!$B475),Setup!$B$29="Yes",ISNUMBER(Setup!$C$29)),EDATE(Roster!$B475,12*Setup!$C$29),"")</f>
        <v/>
      </c>
      <c r="L475" s="32" t="str">
        <f>IF(AND(ISNUMBER(Roster!$B475),Setup!$B$30="Yes",ISNUMBER(Setup!$C$30)),EDATE(Roster!$B475,12*Setup!$C$30),"")</f>
        <v/>
      </c>
      <c r="M475" s="32" t="str">
        <f>IF(AND(ISNUMBER(Roster!$B475),Setup!$B$31="Yes",ISNUMBER(Setup!$C$31)),EDATE(Roster!$B475,12*Setup!$C$31),"")</f>
        <v/>
      </c>
      <c r="N475" s="32" t="str">
        <f>IF(AND(ISNUMBER(Roster!$B475),Setup!$B$32="Yes",ISNUMBER(Setup!$C$32)),EDATE(Roster!$B475,12*Setup!$C$32),"")</f>
        <v/>
      </c>
      <c r="O475" s="32" t="str">
        <f>IF(AND(ISNUMBER(Roster!$B475),Setup!$B$33="Yes",ISNUMBER(Setup!$C$33)),EDATE(Roster!$B475,12*Setup!$C$33),"")</f>
        <v/>
      </c>
      <c r="P475" s="32" t="str">
        <f>IF(AND(ISNUMBER(Roster!$B475),Setup!$B$34="Yes",ISNUMBER(Setup!$C$34)),EDATE(Roster!$B475,12*Setup!$C$34),"")</f>
        <v/>
      </c>
      <c r="R475" t="str">
        <f>IF(B475="","",IF(B475&lt;Setup!$C$5-Setup!$C$6,"",IF(IF(ISNUMBER(Roster!$D475),Setup!$C$20&lt;=Roster!$D475,FALSE),"",IF(OR(IF(Setup!$C$15&lt;=Setup!$C$16,AND(MONTH(B475)&gt;=Setup!$C$15,MONTH(B475)&lt;=Setup!$C$16),OR(MONTH(B475)&gt;=Setup!$C$15,MONTH(B475)&lt;=Setup!$C$16)),IF(Setup!$C$15&lt;=Setup!$C$16,AND(MONTH(WORKDAY(B475,-(Setup!$C$13+Setup!$G$20),Setup!$C$39:$C$50))&gt;=Setup!$C$15,MONTH(WORKDAY(B475,-(Setup!$C$13+Setup!$G$20),Setup!$C$39:$C$50))&lt;=Setup!$C$16),OR(MONTH(WORKDAY(B475,-(Setup!$C$13+Setup!$G$20),Setup!$C$39:$C$50))&gt;=Setup!$C$15,MONTH(WORKDAY(B475,-(Setup!$C$13+Setup!$G$20),Setup!$C$39:$C$50))&lt;=Setup!$C$16))),WORKDAY(B475,-(Setup!$C$13+Setup!$G$20+Setup!$C$14),Setup!$C$39:$C$50),WORKDAY(B475,-(Setup!$C$13+Setup!$G$20),Setup!$C$39:$C$50))+(470*100+1)/10000000)))</f>
        <v/>
      </c>
      <c r="S475" t="str">
        <f>IF(C475="","",IF(C475&lt;Setup!$C$5-Setup!$C$6,"",IF(IF(ISNUMBER(Roster!$D475),Setup!$C$21&lt;=Roster!$D475,FALSE),"",IF(OR(IF(Setup!$C$15&lt;=Setup!$C$16,AND(MONTH(C475)&gt;=Setup!$C$15,MONTH(C475)&lt;=Setup!$C$16),OR(MONTH(C475)&gt;=Setup!$C$15,MONTH(C475)&lt;=Setup!$C$16)),IF(Setup!$C$15&lt;=Setup!$C$16,AND(MONTH(WORKDAY(C475,-(Setup!$C$13+Setup!$G$21),Setup!$C$39:$C$50))&gt;=Setup!$C$15,MONTH(WORKDAY(C475,-(Setup!$C$13+Setup!$G$21),Setup!$C$39:$C$50))&lt;=Setup!$C$16),OR(MONTH(WORKDAY(C475,-(Setup!$C$13+Setup!$G$21),Setup!$C$39:$C$50))&gt;=Setup!$C$15,MONTH(WORKDAY(C475,-(Setup!$C$13+Setup!$G$21),Setup!$C$39:$C$50))&lt;=Setup!$C$16))),WORKDAY(C475,-(Setup!$C$13+Setup!$G$21+Setup!$C$14),Setup!$C$39:$C$50),WORKDAY(C475,-(Setup!$C$13+Setup!$G$21),Setup!$C$39:$C$50))+(470*100+2)/10000000)))</f>
        <v/>
      </c>
      <c r="T475" t="str">
        <f>IF(D475="","",IF(D475&lt;Setup!$C$5-Setup!$C$6,"",IF(IF(ISNUMBER(Roster!$D475),Setup!$C$22&lt;=Roster!$D475,FALSE),"",IF(OR(IF(Setup!$C$15&lt;=Setup!$C$16,AND(MONTH(D475)&gt;=Setup!$C$15,MONTH(D475)&lt;=Setup!$C$16),OR(MONTH(D475)&gt;=Setup!$C$15,MONTH(D475)&lt;=Setup!$C$16)),IF(Setup!$C$15&lt;=Setup!$C$16,AND(MONTH(WORKDAY(D475,-(Setup!$C$13+Setup!$G$22),Setup!$C$39:$C$50))&gt;=Setup!$C$15,MONTH(WORKDAY(D475,-(Setup!$C$13+Setup!$G$22),Setup!$C$39:$C$50))&lt;=Setup!$C$16),OR(MONTH(WORKDAY(D475,-(Setup!$C$13+Setup!$G$22),Setup!$C$39:$C$50))&gt;=Setup!$C$15,MONTH(WORKDAY(D475,-(Setup!$C$13+Setup!$G$22),Setup!$C$39:$C$50))&lt;=Setup!$C$16))),WORKDAY(D475,-(Setup!$C$13+Setup!$G$22+Setup!$C$14),Setup!$C$39:$C$50),WORKDAY(D475,-(Setup!$C$13+Setup!$G$22),Setup!$C$39:$C$50))+(470*100+3)/10000000)))</f>
        <v/>
      </c>
      <c r="U475" t="str">
        <f>IF(E475="","",IF(E475&lt;Setup!$C$5-Setup!$C$6,"",IF(IF(ISNUMBER(Roster!$D475),Setup!$C$23&lt;=Roster!$D475,FALSE),"",IF(OR(IF(Setup!$C$15&lt;=Setup!$C$16,AND(MONTH(E475)&gt;=Setup!$C$15,MONTH(E475)&lt;=Setup!$C$16),OR(MONTH(E475)&gt;=Setup!$C$15,MONTH(E475)&lt;=Setup!$C$16)),IF(Setup!$C$15&lt;=Setup!$C$16,AND(MONTH(WORKDAY(E475,-(Setup!$C$13+Setup!$G$23),Setup!$C$39:$C$50))&gt;=Setup!$C$15,MONTH(WORKDAY(E475,-(Setup!$C$13+Setup!$G$23),Setup!$C$39:$C$50))&lt;=Setup!$C$16),OR(MONTH(WORKDAY(E475,-(Setup!$C$13+Setup!$G$23),Setup!$C$39:$C$50))&gt;=Setup!$C$15,MONTH(WORKDAY(E475,-(Setup!$C$13+Setup!$G$23),Setup!$C$39:$C$50))&lt;=Setup!$C$16))),WORKDAY(E475,-(Setup!$C$13+Setup!$G$23+Setup!$C$14),Setup!$C$39:$C$50),WORKDAY(E475,-(Setup!$C$13+Setup!$G$23),Setup!$C$39:$C$50))+(470*100+4)/10000000)))</f>
        <v/>
      </c>
      <c r="V475" t="str">
        <f>IF(F475="","",IF(F475&lt;Setup!$C$5-Setup!$C$6,"",IF(IF(ISNUMBER(Roster!$D475),Setup!$C$24&lt;=Roster!$D475,FALSE),"",IF(OR(IF(Setup!$C$15&lt;=Setup!$C$16,AND(MONTH(F475)&gt;=Setup!$C$15,MONTH(F475)&lt;=Setup!$C$16),OR(MONTH(F475)&gt;=Setup!$C$15,MONTH(F475)&lt;=Setup!$C$16)),IF(Setup!$C$15&lt;=Setup!$C$16,AND(MONTH(WORKDAY(F475,-(Setup!$C$13+Setup!$G$24),Setup!$C$39:$C$50))&gt;=Setup!$C$15,MONTH(WORKDAY(F475,-(Setup!$C$13+Setup!$G$24),Setup!$C$39:$C$50))&lt;=Setup!$C$16),OR(MONTH(WORKDAY(F475,-(Setup!$C$13+Setup!$G$24),Setup!$C$39:$C$50))&gt;=Setup!$C$15,MONTH(WORKDAY(F475,-(Setup!$C$13+Setup!$G$24),Setup!$C$39:$C$50))&lt;=Setup!$C$16))),WORKDAY(F475,-(Setup!$C$13+Setup!$G$24+Setup!$C$14),Setup!$C$39:$C$50),WORKDAY(F475,-(Setup!$C$13+Setup!$G$24),Setup!$C$39:$C$50))+(470*100+5)/10000000)))</f>
        <v/>
      </c>
      <c r="W475" t="str">
        <f>IF(G475="","",IF(G475&lt;Setup!$C$5-Setup!$C$6,"",IF(IF(ISNUMBER(Roster!$D475),Setup!$C$25&lt;=Roster!$D475,FALSE),"",IF(OR(IF(Setup!$C$15&lt;=Setup!$C$16,AND(MONTH(G475)&gt;=Setup!$C$15,MONTH(G475)&lt;=Setup!$C$16),OR(MONTH(G475)&gt;=Setup!$C$15,MONTH(G475)&lt;=Setup!$C$16)),IF(Setup!$C$15&lt;=Setup!$C$16,AND(MONTH(WORKDAY(G475,-(Setup!$C$13+Setup!$G$25),Setup!$C$39:$C$50))&gt;=Setup!$C$15,MONTH(WORKDAY(G475,-(Setup!$C$13+Setup!$G$25),Setup!$C$39:$C$50))&lt;=Setup!$C$16),OR(MONTH(WORKDAY(G475,-(Setup!$C$13+Setup!$G$25),Setup!$C$39:$C$50))&gt;=Setup!$C$15,MONTH(WORKDAY(G475,-(Setup!$C$13+Setup!$G$25),Setup!$C$39:$C$50))&lt;=Setup!$C$16))),WORKDAY(G475,-(Setup!$C$13+Setup!$G$25+Setup!$C$14),Setup!$C$39:$C$50),WORKDAY(G475,-(Setup!$C$13+Setup!$G$25),Setup!$C$39:$C$50))+(470*100+6)/10000000)))</f>
        <v/>
      </c>
      <c r="X475" t="str">
        <f>IF(H475="","",IF(H475&lt;Setup!$C$5-Setup!$C$6,"",IF(IF(ISNUMBER(Roster!$D475),Setup!$C$26&lt;=Roster!$D475,FALSE),"",IF(OR(IF(Setup!$C$15&lt;=Setup!$C$16,AND(MONTH(H475)&gt;=Setup!$C$15,MONTH(H475)&lt;=Setup!$C$16),OR(MONTH(H475)&gt;=Setup!$C$15,MONTH(H475)&lt;=Setup!$C$16)),IF(Setup!$C$15&lt;=Setup!$C$16,AND(MONTH(WORKDAY(H475,-(Setup!$C$13+Setup!$G$26),Setup!$C$39:$C$50))&gt;=Setup!$C$15,MONTH(WORKDAY(H475,-(Setup!$C$13+Setup!$G$26),Setup!$C$39:$C$50))&lt;=Setup!$C$16),OR(MONTH(WORKDAY(H475,-(Setup!$C$13+Setup!$G$26),Setup!$C$39:$C$50))&gt;=Setup!$C$15,MONTH(WORKDAY(H475,-(Setup!$C$13+Setup!$G$26),Setup!$C$39:$C$50))&lt;=Setup!$C$16))),WORKDAY(H475,-(Setup!$C$13+Setup!$G$26+Setup!$C$14),Setup!$C$39:$C$50),WORKDAY(H475,-(Setup!$C$13+Setup!$G$26),Setup!$C$39:$C$50))+(470*100+7)/10000000)))</f>
        <v/>
      </c>
      <c r="Y475" t="str">
        <f>IF(I475="","",IF(I475&lt;Setup!$C$5-Setup!$C$6,"",IF(IF(ISNUMBER(Roster!$D475),Setup!$C$27&lt;=Roster!$D475,FALSE),"",IF(OR(IF(Setup!$C$15&lt;=Setup!$C$16,AND(MONTH(I475)&gt;=Setup!$C$15,MONTH(I475)&lt;=Setup!$C$16),OR(MONTH(I475)&gt;=Setup!$C$15,MONTH(I475)&lt;=Setup!$C$16)),IF(Setup!$C$15&lt;=Setup!$C$16,AND(MONTH(WORKDAY(I475,-(Setup!$C$13+Setup!$G$27),Setup!$C$39:$C$50))&gt;=Setup!$C$15,MONTH(WORKDAY(I475,-(Setup!$C$13+Setup!$G$27),Setup!$C$39:$C$50))&lt;=Setup!$C$16),OR(MONTH(WORKDAY(I475,-(Setup!$C$13+Setup!$G$27),Setup!$C$39:$C$50))&gt;=Setup!$C$15,MONTH(WORKDAY(I475,-(Setup!$C$13+Setup!$G$27),Setup!$C$39:$C$50))&lt;=Setup!$C$16))),WORKDAY(I475,-(Setup!$C$13+Setup!$G$27+Setup!$C$14),Setup!$C$39:$C$50),WORKDAY(I475,-(Setup!$C$13+Setup!$G$27),Setup!$C$39:$C$50))+(470*100+8)/10000000)))</f>
        <v/>
      </c>
      <c r="Z475" t="str">
        <f>IF(J475="","",IF(J475&lt;Setup!$C$5-Setup!$C$6,"",IF(IF(ISNUMBER(Roster!$D475),Setup!$C$28&lt;=Roster!$D475,FALSE),"",IF(OR(IF(Setup!$C$15&lt;=Setup!$C$16,AND(MONTH(J475)&gt;=Setup!$C$15,MONTH(J475)&lt;=Setup!$C$16),OR(MONTH(J475)&gt;=Setup!$C$15,MONTH(J475)&lt;=Setup!$C$16)),IF(Setup!$C$15&lt;=Setup!$C$16,AND(MONTH(WORKDAY(J475,-(Setup!$C$13+Setup!$G$28),Setup!$C$39:$C$50))&gt;=Setup!$C$15,MONTH(WORKDAY(J475,-(Setup!$C$13+Setup!$G$28),Setup!$C$39:$C$50))&lt;=Setup!$C$16),OR(MONTH(WORKDAY(J475,-(Setup!$C$13+Setup!$G$28),Setup!$C$39:$C$50))&gt;=Setup!$C$15,MONTH(WORKDAY(J475,-(Setup!$C$13+Setup!$G$28),Setup!$C$39:$C$50))&lt;=Setup!$C$16))),WORKDAY(J475,-(Setup!$C$13+Setup!$G$28+Setup!$C$14),Setup!$C$39:$C$50),WORKDAY(J475,-(Setup!$C$13+Setup!$G$28),Setup!$C$39:$C$50))+(470*100+9)/10000000)))</f>
        <v/>
      </c>
      <c r="AA475" t="str">
        <f>IF(K475="","",IF(K475&lt;Setup!$C$5-Setup!$C$6,"",IF(IF(ISNUMBER(Roster!$D475),Setup!$C$29&lt;=Roster!$D475,FALSE),"",IF(OR(IF(Setup!$C$15&lt;=Setup!$C$16,AND(MONTH(K475)&gt;=Setup!$C$15,MONTH(K475)&lt;=Setup!$C$16),OR(MONTH(K475)&gt;=Setup!$C$15,MONTH(K475)&lt;=Setup!$C$16)),IF(Setup!$C$15&lt;=Setup!$C$16,AND(MONTH(WORKDAY(K475,-(Setup!$C$13+Setup!$G$29),Setup!$C$39:$C$50))&gt;=Setup!$C$15,MONTH(WORKDAY(K475,-(Setup!$C$13+Setup!$G$29),Setup!$C$39:$C$50))&lt;=Setup!$C$16),OR(MONTH(WORKDAY(K475,-(Setup!$C$13+Setup!$G$29),Setup!$C$39:$C$50))&gt;=Setup!$C$15,MONTH(WORKDAY(K475,-(Setup!$C$13+Setup!$G$29),Setup!$C$39:$C$50))&lt;=Setup!$C$16))),WORKDAY(K475,-(Setup!$C$13+Setup!$G$29+Setup!$C$14),Setup!$C$39:$C$50),WORKDAY(K475,-(Setup!$C$13+Setup!$G$29),Setup!$C$39:$C$50))+(470*100+10)/10000000)))</f>
        <v/>
      </c>
      <c r="AB475" t="str">
        <f>IF(L475="","",IF(L475&lt;Setup!$C$5-Setup!$C$6,"",IF(IF(ISNUMBER(Roster!$D475),Setup!$C$30&lt;=Roster!$D475,FALSE),"",IF(OR(IF(Setup!$C$15&lt;=Setup!$C$16,AND(MONTH(L475)&gt;=Setup!$C$15,MONTH(L475)&lt;=Setup!$C$16),OR(MONTH(L475)&gt;=Setup!$C$15,MONTH(L475)&lt;=Setup!$C$16)),IF(Setup!$C$15&lt;=Setup!$C$16,AND(MONTH(WORKDAY(L475,-(Setup!$C$13+Setup!$G$30),Setup!$C$39:$C$50))&gt;=Setup!$C$15,MONTH(WORKDAY(L475,-(Setup!$C$13+Setup!$G$30),Setup!$C$39:$C$50))&lt;=Setup!$C$16),OR(MONTH(WORKDAY(L475,-(Setup!$C$13+Setup!$G$30),Setup!$C$39:$C$50))&gt;=Setup!$C$15,MONTH(WORKDAY(L475,-(Setup!$C$13+Setup!$G$30),Setup!$C$39:$C$50))&lt;=Setup!$C$16))),WORKDAY(L475,-(Setup!$C$13+Setup!$G$30+Setup!$C$14),Setup!$C$39:$C$50),WORKDAY(L475,-(Setup!$C$13+Setup!$G$30),Setup!$C$39:$C$50))+(470*100+11)/10000000)))</f>
        <v/>
      </c>
      <c r="AC475" t="str">
        <f>IF(M475="","",IF(M475&lt;Setup!$C$5-Setup!$C$6,"",IF(IF(ISNUMBER(Roster!$D475),Setup!$C$31&lt;=Roster!$D475,FALSE),"",IF(OR(IF(Setup!$C$15&lt;=Setup!$C$16,AND(MONTH(M475)&gt;=Setup!$C$15,MONTH(M475)&lt;=Setup!$C$16),OR(MONTH(M475)&gt;=Setup!$C$15,MONTH(M475)&lt;=Setup!$C$16)),IF(Setup!$C$15&lt;=Setup!$C$16,AND(MONTH(WORKDAY(M475,-(Setup!$C$13+Setup!$G$31),Setup!$C$39:$C$50))&gt;=Setup!$C$15,MONTH(WORKDAY(M475,-(Setup!$C$13+Setup!$G$31),Setup!$C$39:$C$50))&lt;=Setup!$C$16),OR(MONTH(WORKDAY(M475,-(Setup!$C$13+Setup!$G$31),Setup!$C$39:$C$50))&gt;=Setup!$C$15,MONTH(WORKDAY(M475,-(Setup!$C$13+Setup!$G$31),Setup!$C$39:$C$50))&lt;=Setup!$C$16))),WORKDAY(M475,-(Setup!$C$13+Setup!$G$31+Setup!$C$14),Setup!$C$39:$C$50),WORKDAY(M475,-(Setup!$C$13+Setup!$G$31),Setup!$C$39:$C$50))+(470*100+12)/10000000)))</f>
        <v/>
      </c>
      <c r="AD475" t="str">
        <f>IF(N475="","",IF(N475&lt;Setup!$C$5-Setup!$C$6,"",IF(IF(ISNUMBER(Roster!$D475),Setup!$C$32&lt;=Roster!$D475,FALSE),"",IF(OR(IF(Setup!$C$15&lt;=Setup!$C$16,AND(MONTH(N475)&gt;=Setup!$C$15,MONTH(N475)&lt;=Setup!$C$16),OR(MONTH(N475)&gt;=Setup!$C$15,MONTH(N475)&lt;=Setup!$C$16)),IF(Setup!$C$15&lt;=Setup!$C$16,AND(MONTH(WORKDAY(N475,-(Setup!$C$13+Setup!$G$32),Setup!$C$39:$C$50))&gt;=Setup!$C$15,MONTH(WORKDAY(N475,-(Setup!$C$13+Setup!$G$32),Setup!$C$39:$C$50))&lt;=Setup!$C$16),OR(MONTH(WORKDAY(N475,-(Setup!$C$13+Setup!$G$32),Setup!$C$39:$C$50))&gt;=Setup!$C$15,MONTH(WORKDAY(N475,-(Setup!$C$13+Setup!$G$32),Setup!$C$39:$C$50))&lt;=Setup!$C$16))),WORKDAY(N475,-(Setup!$C$13+Setup!$G$32+Setup!$C$14),Setup!$C$39:$C$50),WORKDAY(N475,-(Setup!$C$13+Setup!$G$32),Setup!$C$39:$C$50))+(470*100+13)/10000000)))</f>
        <v/>
      </c>
      <c r="AE475" t="str">
        <f>IF(O475="","",IF(O475&lt;Setup!$C$5-Setup!$C$6,"",IF(IF(ISNUMBER(Roster!$D475),Setup!$C$33&lt;=Roster!$D475,FALSE),"",IF(OR(IF(Setup!$C$15&lt;=Setup!$C$16,AND(MONTH(O475)&gt;=Setup!$C$15,MONTH(O475)&lt;=Setup!$C$16),OR(MONTH(O475)&gt;=Setup!$C$15,MONTH(O475)&lt;=Setup!$C$16)),IF(Setup!$C$15&lt;=Setup!$C$16,AND(MONTH(WORKDAY(O475,-(Setup!$C$13+Setup!$G$33),Setup!$C$39:$C$50))&gt;=Setup!$C$15,MONTH(WORKDAY(O475,-(Setup!$C$13+Setup!$G$33),Setup!$C$39:$C$50))&lt;=Setup!$C$16),OR(MONTH(WORKDAY(O475,-(Setup!$C$13+Setup!$G$33),Setup!$C$39:$C$50))&gt;=Setup!$C$15,MONTH(WORKDAY(O475,-(Setup!$C$13+Setup!$G$33),Setup!$C$39:$C$50))&lt;=Setup!$C$16))),WORKDAY(O475,-(Setup!$C$13+Setup!$G$33+Setup!$C$14),Setup!$C$39:$C$50),WORKDAY(O475,-(Setup!$C$13+Setup!$G$33),Setup!$C$39:$C$50))+(470*100+14)/10000000)))</f>
        <v/>
      </c>
      <c r="AF475" t="str">
        <f>IF(P475="","",IF(P475&lt;Setup!$C$5-Setup!$C$6,"",IF(IF(ISNUMBER(Roster!$D475),Setup!$C$34&lt;=Roster!$D475,FALSE),"",IF(OR(IF(Setup!$C$15&lt;=Setup!$C$16,AND(MONTH(P475)&gt;=Setup!$C$15,MONTH(P475)&lt;=Setup!$C$16),OR(MONTH(P475)&gt;=Setup!$C$15,MONTH(P475)&lt;=Setup!$C$16)),IF(Setup!$C$15&lt;=Setup!$C$16,AND(MONTH(WORKDAY(P475,-(Setup!$C$13+Setup!$G$34),Setup!$C$39:$C$50))&gt;=Setup!$C$15,MONTH(WORKDAY(P475,-(Setup!$C$13+Setup!$G$34),Setup!$C$39:$C$50))&lt;=Setup!$C$16),OR(MONTH(WORKDAY(P475,-(Setup!$C$13+Setup!$G$34),Setup!$C$39:$C$50))&gt;=Setup!$C$15,MONTH(WORKDAY(P475,-(Setup!$C$13+Setup!$G$34),Setup!$C$39:$C$50))&lt;=Setup!$C$16))),WORKDAY(P475,-(Setup!$C$13+Setup!$G$34+Setup!$C$14),Setup!$C$39:$C$50),WORKDAY(P475,-(Setup!$C$13+Setup!$G$34),Setup!$C$39:$C$50))+(470*100+15)/10000000)))</f>
        <v/>
      </c>
      <c r="AH475" t="str">
        <f t="shared" si="51"/>
        <v/>
      </c>
      <c r="AI475" t="str">
        <f t="shared" si="52"/>
        <v/>
      </c>
      <c r="AP475" t="str">
        <f>IF(ISNUMBER(Roster!$B475),MAX(1,YEAR(Setup!$C$5)-YEAR(Roster!$B475)+IF(EDATE(Roster!$B475,12*(YEAR(Setup!$C$5)-YEAR(Roster!$B475)))&lt;Setup!$C$5,1,0)),"")</f>
        <v/>
      </c>
      <c r="AQ475" s="32" t="str">
        <f>IF(AP475="","",EDATE(Roster!$B475,12*AP475))</f>
        <v/>
      </c>
      <c r="AR475" t="str">
        <f>IF(AQ475="","",IF(AQ475&lt;DATE(YEAR(Setup!$C$5)+1,MONTH(Setup!$C$5),DAY(Setup!$C$5)),AQ475+470/1000,""))</f>
        <v/>
      </c>
      <c r="AS475" t="str">
        <f t="shared" si="53"/>
        <v/>
      </c>
      <c r="AT475" t="str">
        <f>IF(AS475="","",IF(ISNUMBER(Roster!$D475),Roster!$D475&gt;=AP475,FALSE))</f>
        <v/>
      </c>
      <c r="AU475" t="str">
        <f t="shared" si="54"/>
        <v/>
      </c>
      <c r="AV475" t="str">
        <f ca="1">IF(470&gt;$AV$2,"",SMALL($AR$6:$AR$505,470))</f>
        <v/>
      </c>
      <c r="AW475" t="str">
        <f t="shared" ca="1" si="55"/>
        <v/>
      </c>
    </row>
    <row r="476" spans="2:49" x14ac:dyDescent="0.2">
      <c r="B476" s="32" t="str">
        <f>IF(AND(ISNUMBER(Roster!$B476),Setup!$B$20="Yes",ISNUMBER(Setup!$C$20)),EDATE(Roster!$B476,12*Setup!$C$20),"")</f>
        <v/>
      </c>
      <c r="C476" s="32" t="str">
        <f>IF(AND(ISNUMBER(Roster!$B476),Setup!$B$21="Yes",ISNUMBER(Setup!$C$21)),EDATE(Roster!$B476,12*Setup!$C$21),"")</f>
        <v/>
      </c>
      <c r="D476" s="32" t="str">
        <f>IF(AND(ISNUMBER(Roster!$B476),Setup!$B$22="Yes",ISNUMBER(Setup!$C$22)),EDATE(Roster!$B476,12*Setup!$C$22),"")</f>
        <v/>
      </c>
      <c r="E476" s="32" t="str">
        <f>IF(AND(ISNUMBER(Roster!$B476),Setup!$B$23="Yes",ISNUMBER(Setup!$C$23)),EDATE(Roster!$B476,12*Setup!$C$23),"")</f>
        <v/>
      </c>
      <c r="F476" s="32" t="str">
        <f>IF(AND(ISNUMBER(Roster!$B476),Setup!$B$24="Yes",ISNUMBER(Setup!$C$24)),EDATE(Roster!$B476,12*Setup!$C$24),"")</f>
        <v/>
      </c>
      <c r="G476" s="32" t="str">
        <f>IF(AND(ISNUMBER(Roster!$B476),Setup!$B$25="Yes",ISNUMBER(Setup!$C$25)),EDATE(Roster!$B476,12*Setup!$C$25),"")</f>
        <v/>
      </c>
      <c r="H476" s="32" t="str">
        <f>IF(AND(ISNUMBER(Roster!$B476),Setup!$B$26="Yes",ISNUMBER(Setup!$C$26)),EDATE(Roster!$B476,12*Setup!$C$26),"")</f>
        <v/>
      </c>
      <c r="I476" s="32" t="str">
        <f>IF(AND(ISNUMBER(Roster!$B476),Setup!$B$27="Yes",ISNUMBER(Setup!$C$27)),EDATE(Roster!$B476,12*Setup!$C$27),"")</f>
        <v/>
      </c>
      <c r="J476" s="32" t="str">
        <f>IF(AND(ISNUMBER(Roster!$B476),Setup!$B$28="Yes",ISNUMBER(Setup!$C$28)),EDATE(Roster!$B476,12*Setup!$C$28),"")</f>
        <v/>
      </c>
      <c r="K476" s="32" t="str">
        <f>IF(AND(ISNUMBER(Roster!$B476),Setup!$B$29="Yes",ISNUMBER(Setup!$C$29)),EDATE(Roster!$B476,12*Setup!$C$29),"")</f>
        <v/>
      </c>
      <c r="L476" s="32" t="str">
        <f>IF(AND(ISNUMBER(Roster!$B476),Setup!$B$30="Yes",ISNUMBER(Setup!$C$30)),EDATE(Roster!$B476,12*Setup!$C$30),"")</f>
        <v/>
      </c>
      <c r="M476" s="32" t="str">
        <f>IF(AND(ISNUMBER(Roster!$B476),Setup!$B$31="Yes",ISNUMBER(Setup!$C$31)),EDATE(Roster!$B476,12*Setup!$C$31),"")</f>
        <v/>
      </c>
      <c r="N476" s="32" t="str">
        <f>IF(AND(ISNUMBER(Roster!$B476),Setup!$B$32="Yes",ISNUMBER(Setup!$C$32)),EDATE(Roster!$B476,12*Setup!$C$32),"")</f>
        <v/>
      </c>
      <c r="O476" s="32" t="str">
        <f>IF(AND(ISNUMBER(Roster!$B476),Setup!$B$33="Yes",ISNUMBER(Setup!$C$33)),EDATE(Roster!$B476,12*Setup!$C$33),"")</f>
        <v/>
      </c>
      <c r="P476" s="32" t="str">
        <f>IF(AND(ISNUMBER(Roster!$B476),Setup!$B$34="Yes",ISNUMBER(Setup!$C$34)),EDATE(Roster!$B476,12*Setup!$C$34),"")</f>
        <v/>
      </c>
      <c r="R476" t="str">
        <f>IF(B476="","",IF(B476&lt;Setup!$C$5-Setup!$C$6,"",IF(IF(ISNUMBER(Roster!$D476),Setup!$C$20&lt;=Roster!$D476,FALSE),"",IF(OR(IF(Setup!$C$15&lt;=Setup!$C$16,AND(MONTH(B476)&gt;=Setup!$C$15,MONTH(B476)&lt;=Setup!$C$16),OR(MONTH(B476)&gt;=Setup!$C$15,MONTH(B476)&lt;=Setup!$C$16)),IF(Setup!$C$15&lt;=Setup!$C$16,AND(MONTH(WORKDAY(B476,-(Setup!$C$13+Setup!$G$20),Setup!$C$39:$C$50))&gt;=Setup!$C$15,MONTH(WORKDAY(B476,-(Setup!$C$13+Setup!$G$20),Setup!$C$39:$C$50))&lt;=Setup!$C$16),OR(MONTH(WORKDAY(B476,-(Setup!$C$13+Setup!$G$20),Setup!$C$39:$C$50))&gt;=Setup!$C$15,MONTH(WORKDAY(B476,-(Setup!$C$13+Setup!$G$20),Setup!$C$39:$C$50))&lt;=Setup!$C$16))),WORKDAY(B476,-(Setup!$C$13+Setup!$G$20+Setup!$C$14),Setup!$C$39:$C$50),WORKDAY(B476,-(Setup!$C$13+Setup!$G$20),Setup!$C$39:$C$50))+(471*100+1)/10000000)))</f>
        <v/>
      </c>
      <c r="S476" t="str">
        <f>IF(C476="","",IF(C476&lt;Setup!$C$5-Setup!$C$6,"",IF(IF(ISNUMBER(Roster!$D476),Setup!$C$21&lt;=Roster!$D476,FALSE),"",IF(OR(IF(Setup!$C$15&lt;=Setup!$C$16,AND(MONTH(C476)&gt;=Setup!$C$15,MONTH(C476)&lt;=Setup!$C$16),OR(MONTH(C476)&gt;=Setup!$C$15,MONTH(C476)&lt;=Setup!$C$16)),IF(Setup!$C$15&lt;=Setup!$C$16,AND(MONTH(WORKDAY(C476,-(Setup!$C$13+Setup!$G$21),Setup!$C$39:$C$50))&gt;=Setup!$C$15,MONTH(WORKDAY(C476,-(Setup!$C$13+Setup!$G$21),Setup!$C$39:$C$50))&lt;=Setup!$C$16),OR(MONTH(WORKDAY(C476,-(Setup!$C$13+Setup!$G$21),Setup!$C$39:$C$50))&gt;=Setup!$C$15,MONTH(WORKDAY(C476,-(Setup!$C$13+Setup!$G$21),Setup!$C$39:$C$50))&lt;=Setup!$C$16))),WORKDAY(C476,-(Setup!$C$13+Setup!$G$21+Setup!$C$14),Setup!$C$39:$C$50),WORKDAY(C476,-(Setup!$C$13+Setup!$G$21),Setup!$C$39:$C$50))+(471*100+2)/10000000)))</f>
        <v/>
      </c>
      <c r="T476" t="str">
        <f>IF(D476="","",IF(D476&lt;Setup!$C$5-Setup!$C$6,"",IF(IF(ISNUMBER(Roster!$D476),Setup!$C$22&lt;=Roster!$D476,FALSE),"",IF(OR(IF(Setup!$C$15&lt;=Setup!$C$16,AND(MONTH(D476)&gt;=Setup!$C$15,MONTH(D476)&lt;=Setup!$C$16),OR(MONTH(D476)&gt;=Setup!$C$15,MONTH(D476)&lt;=Setup!$C$16)),IF(Setup!$C$15&lt;=Setup!$C$16,AND(MONTH(WORKDAY(D476,-(Setup!$C$13+Setup!$G$22),Setup!$C$39:$C$50))&gt;=Setup!$C$15,MONTH(WORKDAY(D476,-(Setup!$C$13+Setup!$G$22),Setup!$C$39:$C$50))&lt;=Setup!$C$16),OR(MONTH(WORKDAY(D476,-(Setup!$C$13+Setup!$G$22),Setup!$C$39:$C$50))&gt;=Setup!$C$15,MONTH(WORKDAY(D476,-(Setup!$C$13+Setup!$G$22),Setup!$C$39:$C$50))&lt;=Setup!$C$16))),WORKDAY(D476,-(Setup!$C$13+Setup!$G$22+Setup!$C$14),Setup!$C$39:$C$50),WORKDAY(D476,-(Setup!$C$13+Setup!$G$22),Setup!$C$39:$C$50))+(471*100+3)/10000000)))</f>
        <v/>
      </c>
      <c r="U476" t="str">
        <f>IF(E476="","",IF(E476&lt;Setup!$C$5-Setup!$C$6,"",IF(IF(ISNUMBER(Roster!$D476),Setup!$C$23&lt;=Roster!$D476,FALSE),"",IF(OR(IF(Setup!$C$15&lt;=Setup!$C$16,AND(MONTH(E476)&gt;=Setup!$C$15,MONTH(E476)&lt;=Setup!$C$16),OR(MONTH(E476)&gt;=Setup!$C$15,MONTH(E476)&lt;=Setup!$C$16)),IF(Setup!$C$15&lt;=Setup!$C$16,AND(MONTH(WORKDAY(E476,-(Setup!$C$13+Setup!$G$23),Setup!$C$39:$C$50))&gt;=Setup!$C$15,MONTH(WORKDAY(E476,-(Setup!$C$13+Setup!$G$23),Setup!$C$39:$C$50))&lt;=Setup!$C$16),OR(MONTH(WORKDAY(E476,-(Setup!$C$13+Setup!$G$23),Setup!$C$39:$C$50))&gt;=Setup!$C$15,MONTH(WORKDAY(E476,-(Setup!$C$13+Setup!$G$23),Setup!$C$39:$C$50))&lt;=Setup!$C$16))),WORKDAY(E476,-(Setup!$C$13+Setup!$G$23+Setup!$C$14),Setup!$C$39:$C$50),WORKDAY(E476,-(Setup!$C$13+Setup!$G$23),Setup!$C$39:$C$50))+(471*100+4)/10000000)))</f>
        <v/>
      </c>
      <c r="V476" t="str">
        <f>IF(F476="","",IF(F476&lt;Setup!$C$5-Setup!$C$6,"",IF(IF(ISNUMBER(Roster!$D476),Setup!$C$24&lt;=Roster!$D476,FALSE),"",IF(OR(IF(Setup!$C$15&lt;=Setup!$C$16,AND(MONTH(F476)&gt;=Setup!$C$15,MONTH(F476)&lt;=Setup!$C$16),OR(MONTH(F476)&gt;=Setup!$C$15,MONTH(F476)&lt;=Setup!$C$16)),IF(Setup!$C$15&lt;=Setup!$C$16,AND(MONTH(WORKDAY(F476,-(Setup!$C$13+Setup!$G$24),Setup!$C$39:$C$50))&gt;=Setup!$C$15,MONTH(WORKDAY(F476,-(Setup!$C$13+Setup!$G$24),Setup!$C$39:$C$50))&lt;=Setup!$C$16),OR(MONTH(WORKDAY(F476,-(Setup!$C$13+Setup!$G$24),Setup!$C$39:$C$50))&gt;=Setup!$C$15,MONTH(WORKDAY(F476,-(Setup!$C$13+Setup!$G$24),Setup!$C$39:$C$50))&lt;=Setup!$C$16))),WORKDAY(F476,-(Setup!$C$13+Setup!$G$24+Setup!$C$14),Setup!$C$39:$C$50),WORKDAY(F476,-(Setup!$C$13+Setup!$G$24),Setup!$C$39:$C$50))+(471*100+5)/10000000)))</f>
        <v/>
      </c>
      <c r="W476" t="str">
        <f>IF(G476="","",IF(G476&lt;Setup!$C$5-Setup!$C$6,"",IF(IF(ISNUMBER(Roster!$D476),Setup!$C$25&lt;=Roster!$D476,FALSE),"",IF(OR(IF(Setup!$C$15&lt;=Setup!$C$16,AND(MONTH(G476)&gt;=Setup!$C$15,MONTH(G476)&lt;=Setup!$C$16),OR(MONTH(G476)&gt;=Setup!$C$15,MONTH(G476)&lt;=Setup!$C$16)),IF(Setup!$C$15&lt;=Setup!$C$16,AND(MONTH(WORKDAY(G476,-(Setup!$C$13+Setup!$G$25),Setup!$C$39:$C$50))&gt;=Setup!$C$15,MONTH(WORKDAY(G476,-(Setup!$C$13+Setup!$G$25),Setup!$C$39:$C$50))&lt;=Setup!$C$16),OR(MONTH(WORKDAY(G476,-(Setup!$C$13+Setup!$G$25),Setup!$C$39:$C$50))&gt;=Setup!$C$15,MONTH(WORKDAY(G476,-(Setup!$C$13+Setup!$G$25),Setup!$C$39:$C$50))&lt;=Setup!$C$16))),WORKDAY(G476,-(Setup!$C$13+Setup!$G$25+Setup!$C$14),Setup!$C$39:$C$50),WORKDAY(G476,-(Setup!$C$13+Setup!$G$25),Setup!$C$39:$C$50))+(471*100+6)/10000000)))</f>
        <v/>
      </c>
      <c r="X476" t="str">
        <f>IF(H476="","",IF(H476&lt;Setup!$C$5-Setup!$C$6,"",IF(IF(ISNUMBER(Roster!$D476),Setup!$C$26&lt;=Roster!$D476,FALSE),"",IF(OR(IF(Setup!$C$15&lt;=Setup!$C$16,AND(MONTH(H476)&gt;=Setup!$C$15,MONTH(H476)&lt;=Setup!$C$16),OR(MONTH(H476)&gt;=Setup!$C$15,MONTH(H476)&lt;=Setup!$C$16)),IF(Setup!$C$15&lt;=Setup!$C$16,AND(MONTH(WORKDAY(H476,-(Setup!$C$13+Setup!$G$26),Setup!$C$39:$C$50))&gt;=Setup!$C$15,MONTH(WORKDAY(H476,-(Setup!$C$13+Setup!$G$26),Setup!$C$39:$C$50))&lt;=Setup!$C$16),OR(MONTH(WORKDAY(H476,-(Setup!$C$13+Setup!$G$26),Setup!$C$39:$C$50))&gt;=Setup!$C$15,MONTH(WORKDAY(H476,-(Setup!$C$13+Setup!$G$26),Setup!$C$39:$C$50))&lt;=Setup!$C$16))),WORKDAY(H476,-(Setup!$C$13+Setup!$G$26+Setup!$C$14),Setup!$C$39:$C$50),WORKDAY(H476,-(Setup!$C$13+Setup!$G$26),Setup!$C$39:$C$50))+(471*100+7)/10000000)))</f>
        <v/>
      </c>
      <c r="Y476" t="str">
        <f>IF(I476="","",IF(I476&lt;Setup!$C$5-Setup!$C$6,"",IF(IF(ISNUMBER(Roster!$D476),Setup!$C$27&lt;=Roster!$D476,FALSE),"",IF(OR(IF(Setup!$C$15&lt;=Setup!$C$16,AND(MONTH(I476)&gt;=Setup!$C$15,MONTH(I476)&lt;=Setup!$C$16),OR(MONTH(I476)&gt;=Setup!$C$15,MONTH(I476)&lt;=Setup!$C$16)),IF(Setup!$C$15&lt;=Setup!$C$16,AND(MONTH(WORKDAY(I476,-(Setup!$C$13+Setup!$G$27),Setup!$C$39:$C$50))&gt;=Setup!$C$15,MONTH(WORKDAY(I476,-(Setup!$C$13+Setup!$G$27),Setup!$C$39:$C$50))&lt;=Setup!$C$16),OR(MONTH(WORKDAY(I476,-(Setup!$C$13+Setup!$G$27),Setup!$C$39:$C$50))&gt;=Setup!$C$15,MONTH(WORKDAY(I476,-(Setup!$C$13+Setup!$G$27),Setup!$C$39:$C$50))&lt;=Setup!$C$16))),WORKDAY(I476,-(Setup!$C$13+Setup!$G$27+Setup!$C$14),Setup!$C$39:$C$50),WORKDAY(I476,-(Setup!$C$13+Setup!$G$27),Setup!$C$39:$C$50))+(471*100+8)/10000000)))</f>
        <v/>
      </c>
      <c r="Z476" t="str">
        <f>IF(J476="","",IF(J476&lt;Setup!$C$5-Setup!$C$6,"",IF(IF(ISNUMBER(Roster!$D476),Setup!$C$28&lt;=Roster!$D476,FALSE),"",IF(OR(IF(Setup!$C$15&lt;=Setup!$C$16,AND(MONTH(J476)&gt;=Setup!$C$15,MONTH(J476)&lt;=Setup!$C$16),OR(MONTH(J476)&gt;=Setup!$C$15,MONTH(J476)&lt;=Setup!$C$16)),IF(Setup!$C$15&lt;=Setup!$C$16,AND(MONTH(WORKDAY(J476,-(Setup!$C$13+Setup!$G$28),Setup!$C$39:$C$50))&gt;=Setup!$C$15,MONTH(WORKDAY(J476,-(Setup!$C$13+Setup!$G$28),Setup!$C$39:$C$50))&lt;=Setup!$C$16),OR(MONTH(WORKDAY(J476,-(Setup!$C$13+Setup!$G$28),Setup!$C$39:$C$50))&gt;=Setup!$C$15,MONTH(WORKDAY(J476,-(Setup!$C$13+Setup!$G$28),Setup!$C$39:$C$50))&lt;=Setup!$C$16))),WORKDAY(J476,-(Setup!$C$13+Setup!$G$28+Setup!$C$14),Setup!$C$39:$C$50),WORKDAY(J476,-(Setup!$C$13+Setup!$G$28),Setup!$C$39:$C$50))+(471*100+9)/10000000)))</f>
        <v/>
      </c>
      <c r="AA476" t="str">
        <f>IF(K476="","",IF(K476&lt;Setup!$C$5-Setup!$C$6,"",IF(IF(ISNUMBER(Roster!$D476),Setup!$C$29&lt;=Roster!$D476,FALSE),"",IF(OR(IF(Setup!$C$15&lt;=Setup!$C$16,AND(MONTH(K476)&gt;=Setup!$C$15,MONTH(K476)&lt;=Setup!$C$16),OR(MONTH(K476)&gt;=Setup!$C$15,MONTH(K476)&lt;=Setup!$C$16)),IF(Setup!$C$15&lt;=Setup!$C$16,AND(MONTH(WORKDAY(K476,-(Setup!$C$13+Setup!$G$29),Setup!$C$39:$C$50))&gt;=Setup!$C$15,MONTH(WORKDAY(K476,-(Setup!$C$13+Setup!$G$29),Setup!$C$39:$C$50))&lt;=Setup!$C$16),OR(MONTH(WORKDAY(K476,-(Setup!$C$13+Setup!$G$29),Setup!$C$39:$C$50))&gt;=Setup!$C$15,MONTH(WORKDAY(K476,-(Setup!$C$13+Setup!$G$29),Setup!$C$39:$C$50))&lt;=Setup!$C$16))),WORKDAY(K476,-(Setup!$C$13+Setup!$G$29+Setup!$C$14),Setup!$C$39:$C$50),WORKDAY(K476,-(Setup!$C$13+Setup!$G$29),Setup!$C$39:$C$50))+(471*100+10)/10000000)))</f>
        <v/>
      </c>
      <c r="AB476" t="str">
        <f>IF(L476="","",IF(L476&lt;Setup!$C$5-Setup!$C$6,"",IF(IF(ISNUMBER(Roster!$D476),Setup!$C$30&lt;=Roster!$D476,FALSE),"",IF(OR(IF(Setup!$C$15&lt;=Setup!$C$16,AND(MONTH(L476)&gt;=Setup!$C$15,MONTH(L476)&lt;=Setup!$C$16),OR(MONTH(L476)&gt;=Setup!$C$15,MONTH(L476)&lt;=Setup!$C$16)),IF(Setup!$C$15&lt;=Setup!$C$16,AND(MONTH(WORKDAY(L476,-(Setup!$C$13+Setup!$G$30),Setup!$C$39:$C$50))&gt;=Setup!$C$15,MONTH(WORKDAY(L476,-(Setup!$C$13+Setup!$G$30),Setup!$C$39:$C$50))&lt;=Setup!$C$16),OR(MONTH(WORKDAY(L476,-(Setup!$C$13+Setup!$G$30),Setup!$C$39:$C$50))&gt;=Setup!$C$15,MONTH(WORKDAY(L476,-(Setup!$C$13+Setup!$G$30),Setup!$C$39:$C$50))&lt;=Setup!$C$16))),WORKDAY(L476,-(Setup!$C$13+Setup!$G$30+Setup!$C$14),Setup!$C$39:$C$50),WORKDAY(L476,-(Setup!$C$13+Setup!$G$30),Setup!$C$39:$C$50))+(471*100+11)/10000000)))</f>
        <v/>
      </c>
      <c r="AC476" t="str">
        <f>IF(M476="","",IF(M476&lt;Setup!$C$5-Setup!$C$6,"",IF(IF(ISNUMBER(Roster!$D476),Setup!$C$31&lt;=Roster!$D476,FALSE),"",IF(OR(IF(Setup!$C$15&lt;=Setup!$C$16,AND(MONTH(M476)&gt;=Setup!$C$15,MONTH(M476)&lt;=Setup!$C$16),OR(MONTH(M476)&gt;=Setup!$C$15,MONTH(M476)&lt;=Setup!$C$16)),IF(Setup!$C$15&lt;=Setup!$C$16,AND(MONTH(WORKDAY(M476,-(Setup!$C$13+Setup!$G$31),Setup!$C$39:$C$50))&gt;=Setup!$C$15,MONTH(WORKDAY(M476,-(Setup!$C$13+Setup!$G$31),Setup!$C$39:$C$50))&lt;=Setup!$C$16),OR(MONTH(WORKDAY(M476,-(Setup!$C$13+Setup!$G$31),Setup!$C$39:$C$50))&gt;=Setup!$C$15,MONTH(WORKDAY(M476,-(Setup!$C$13+Setup!$G$31),Setup!$C$39:$C$50))&lt;=Setup!$C$16))),WORKDAY(M476,-(Setup!$C$13+Setup!$G$31+Setup!$C$14),Setup!$C$39:$C$50),WORKDAY(M476,-(Setup!$C$13+Setup!$G$31),Setup!$C$39:$C$50))+(471*100+12)/10000000)))</f>
        <v/>
      </c>
      <c r="AD476" t="str">
        <f>IF(N476="","",IF(N476&lt;Setup!$C$5-Setup!$C$6,"",IF(IF(ISNUMBER(Roster!$D476),Setup!$C$32&lt;=Roster!$D476,FALSE),"",IF(OR(IF(Setup!$C$15&lt;=Setup!$C$16,AND(MONTH(N476)&gt;=Setup!$C$15,MONTH(N476)&lt;=Setup!$C$16),OR(MONTH(N476)&gt;=Setup!$C$15,MONTH(N476)&lt;=Setup!$C$16)),IF(Setup!$C$15&lt;=Setup!$C$16,AND(MONTH(WORKDAY(N476,-(Setup!$C$13+Setup!$G$32),Setup!$C$39:$C$50))&gt;=Setup!$C$15,MONTH(WORKDAY(N476,-(Setup!$C$13+Setup!$G$32),Setup!$C$39:$C$50))&lt;=Setup!$C$16),OR(MONTH(WORKDAY(N476,-(Setup!$C$13+Setup!$G$32),Setup!$C$39:$C$50))&gt;=Setup!$C$15,MONTH(WORKDAY(N476,-(Setup!$C$13+Setup!$G$32),Setup!$C$39:$C$50))&lt;=Setup!$C$16))),WORKDAY(N476,-(Setup!$C$13+Setup!$G$32+Setup!$C$14),Setup!$C$39:$C$50),WORKDAY(N476,-(Setup!$C$13+Setup!$G$32),Setup!$C$39:$C$50))+(471*100+13)/10000000)))</f>
        <v/>
      </c>
      <c r="AE476" t="str">
        <f>IF(O476="","",IF(O476&lt;Setup!$C$5-Setup!$C$6,"",IF(IF(ISNUMBER(Roster!$D476),Setup!$C$33&lt;=Roster!$D476,FALSE),"",IF(OR(IF(Setup!$C$15&lt;=Setup!$C$16,AND(MONTH(O476)&gt;=Setup!$C$15,MONTH(O476)&lt;=Setup!$C$16),OR(MONTH(O476)&gt;=Setup!$C$15,MONTH(O476)&lt;=Setup!$C$16)),IF(Setup!$C$15&lt;=Setup!$C$16,AND(MONTH(WORKDAY(O476,-(Setup!$C$13+Setup!$G$33),Setup!$C$39:$C$50))&gt;=Setup!$C$15,MONTH(WORKDAY(O476,-(Setup!$C$13+Setup!$G$33),Setup!$C$39:$C$50))&lt;=Setup!$C$16),OR(MONTH(WORKDAY(O476,-(Setup!$C$13+Setup!$G$33),Setup!$C$39:$C$50))&gt;=Setup!$C$15,MONTH(WORKDAY(O476,-(Setup!$C$13+Setup!$G$33),Setup!$C$39:$C$50))&lt;=Setup!$C$16))),WORKDAY(O476,-(Setup!$C$13+Setup!$G$33+Setup!$C$14),Setup!$C$39:$C$50),WORKDAY(O476,-(Setup!$C$13+Setup!$G$33),Setup!$C$39:$C$50))+(471*100+14)/10000000)))</f>
        <v/>
      </c>
      <c r="AF476" t="str">
        <f>IF(P476="","",IF(P476&lt;Setup!$C$5-Setup!$C$6,"",IF(IF(ISNUMBER(Roster!$D476),Setup!$C$34&lt;=Roster!$D476,FALSE),"",IF(OR(IF(Setup!$C$15&lt;=Setup!$C$16,AND(MONTH(P476)&gt;=Setup!$C$15,MONTH(P476)&lt;=Setup!$C$16),OR(MONTH(P476)&gt;=Setup!$C$15,MONTH(P476)&lt;=Setup!$C$16)),IF(Setup!$C$15&lt;=Setup!$C$16,AND(MONTH(WORKDAY(P476,-(Setup!$C$13+Setup!$G$34),Setup!$C$39:$C$50))&gt;=Setup!$C$15,MONTH(WORKDAY(P476,-(Setup!$C$13+Setup!$G$34),Setup!$C$39:$C$50))&lt;=Setup!$C$16),OR(MONTH(WORKDAY(P476,-(Setup!$C$13+Setup!$G$34),Setup!$C$39:$C$50))&gt;=Setup!$C$15,MONTH(WORKDAY(P476,-(Setup!$C$13+Setup!$G$34),Setup!$C$39:$C$50))&lt;=Setup!$C$16))),WORKDAY(P476,-(Setup!$C$13+Setup!$G$34+Setup!$C$14),Setup!$C$39:$C$50),WORKDAY(P476,-(Setup!$C$13+Setup!$G$34),Setup!$C$39:$C$50))+(471*100+15)/10000000)))</f>
        <v/>
      </c>
      <c r="AH476" t="str">
        <f t="shared" si="51"/>
        <v/>
      </c>
      <c r="AI476" t="str">
        <f t="shared" si="52"/>
        <v/>
      </c>
      <c r="AP476" t="str">
        <f>IF(ISNUMBER(Roster!$B476),MAX(1,YEAR(Setup!$C$5)-YEAR(Roster!$B476)+IF(EDATE(Roster!$B476,12*(YEAR(Setup!$C$5)-YEAR(Roster!$B476)))&lt;Setup!$C$5,1,0)),"")</f>
        <v/>
      </c>
      <c r="AQ476" s="32" t="str">
        <f>IF(AP476="","",EDATE(Roster!$B476,12*AP476))</f>
        <v/>
      </c>
      <c r="AR476" t="str">
        <f>IF(AQ476="","",IF(AQ476&lt;DATE(YEAR(Setup!$C$5)+1,MONTH(Setup!$C$5),DAY(Setup!$C$5)),AQ476+471/1000,""))</f>
        <v/>
      </c>
      <c r="AS476" t="str">
        <f t="shared" si="53"/>
        <v/>
      </c>
      <c r="AT476" t="str">
        <f>IF(AS476="","",IF(ISNUMBER(Roster!$D476),Roster!$D476&gt;=AP476,FALSE))</f>
        <v/>
      </c>
      <c r="AU476" t="str">
        <f t="shared" si="54"/>
        <v/>
      </c>
      <c r="AV476" t="str">
        <f ca="1">IF(471&gt;$AV$2,"",SMALL($AR$6:$AR$505,471))</f>
        <v/>
      </c>
      <c r="AW476" t="str">
        <f t="shared" ca="1" si="55"/>
        <v/>
      </c>
    </row>
    <row r="477" spans="2:49" x14ac:dyDescent="0.2">
      <c r="B477" s="32" t="str">
        <f>IF(AND(ISNUMBER(Roster!$B477),Setup!$B$20="Yes",ISNUMBER(Setup!$C$20)),EDATE(Roster!$B477,12*Setup!$C$20),"")</f>
        <v/>
      </c>
      <c r="C477" s="32" t="str">
        <f>IF(AND(ISNUMBER(Roster!$B477),Setup!$B$21="Yes",ISNUMBER(Setup!$C$21)),EDATE(Roster!$B477,12*Setup!$C$21),"")</f>
        <v/>
      </c>
      <c r="D477" s="32" t="str">
        <f>IF(AND(ISNUMBER(Roster!$B477),Setup!$B$22="Yes",ISNUMBER(Setup!$C$22)),EDATE(Roster!$B477,12*Setup!$C$22),"")</f>
        <v/>
      </c>
      <c r="E477" s="32" t="str">
        <f>IF(AND(ISNUMBER(Roster!$B477),Setup!$B$23="Yes",ISNUMBER(Setup!$C$23)),EDATE(Roster!$B477,12*Setup!$C$23),"")</f>
        <v/>
      </c>
      <c r="F477" s="32" t="str">
        <f>IF(AND(ISNUMBER(Roster!$B477),Setup!$B$24="Yes",ISNUMBER(Setup!$C$24)),EDATE(Roster!$B477,12*Setup!$C$24),"")</f>
        <v/>
      </c>
      <c r="G477" s="32" t="str">
        <f>IF(AND(ISNUMBER(Roster!$B477),Setup!$B$25="Yes",ISNUMBER(Setup!$C$25)),EDATE(Roster!$B477,12*Setup!$C$25),"")</f>
        <v/>
      </c>
      <c r="H477" s="32" t="str">
        <f>IF(AND(ISNUMBER(Roster!$B477),Setup!$B$26="Yes",ISNUMBER(Setup!$C$26)),EDATE(Roster!$B477,12*Setup!$C$26),"")</f>
        <v/>
      </c>
      <c r="I477" s="32" t="str">
        <f>IF(AND(ISNUMBER(Roster!$B477),Setup!$B$27="Yes",ISNUMBER(Setup!$C$27)),EDATE(Roster!$B477,12*Setup!$C$27),"")</f>
        <v/>
      </c>
      <c r="J477" s="32" t="str">
        <f>IF(AND(ISNUMBER(Roster!$B477),Setup!$B$28="Yes",ISNUMBER(Setup!$C$28)),EDATE(Roster!$B477,12*Setup!$C$28),"")</f>
        <v/>
      </c>
      <c r="K477" s="32" t="str">
        <f>IF(AND(ISNUMBER(Roster!$B477),Setup!$B$29="Yes",ISNUMBER(Setup!$C$29)),EDATE(Roster!$B477,12*Setup!$C$29),"")</f>
        <v/>
      </c>
      <c r="L477" s="32" t="str">
        <f>IF(AND(ISNUMBER(Roster!$B477),Setup!$B$30="Yes",ISNUMBER(Setup!$C$30)),EDATE(Roster!$B477,12*Setup!$C$30),"")</f>
        <v/>
      </c>
      <c r="M477" s="32" t="str">
        <f>IF(AND(ISNUMBER(Roster!$B477),Setup!$B$31="Yes",ISNUMBER(Setup!$C$31)),EDATE(Roster!$B477,12*Setup!$C$31),"")</f>
        <v/>
      </c>
      <c r="N477" s="32" t="str">
        <f>IF(AND(ISNUMBER(Roster!$B477),Setup!$B$32="Yes",ISNUMBER(Setup!$C$32)),EDATE(Roster!$B477,12*Setup!$C$32),"")</f>
        <v/>
      </c>
      <c r="O477" s="32" t="str">
        <f>IF(AND(ISNUMBER(Roster!$B477),Setup!$B$33="Yes",ISNUMBER(Setup!$C$33)),EDATE(Roster!$B477,12*Setup!$C$33),"")</f>
        <v/>
      </c>
      <c r="P477" s="32" t="str">
        <f>IF(AND(ISNUMBER(Roster!$B477),Setup!$B$34="Yes",ISNUMBER(Setup!$C$34)),EDATE(Roster!$B477,12*Setup!$C$34),"")</f>
        <v/>
      </c>
      <c r="R477" t="str">
        <f>IF(B477="","",IF(B477&lt;Setup!$C$5-Setup!$C$6,"",IF(IF(ISNUMBER(Roster!$D477),Setup!$C$20&lt;=Roster!$D477,FALSE),"",IF(OR(IF(Setup!$C$15&lt;=Setup!$C$16,AND(MONTH(B477)&gt;=Setup!$C$15,MONTH(B477)&lt;=Setup!$C$16),OR(MONTH(B477)&gt;=Setup!$C$15,MONTH(B477)&lt;=Setup!$C$16)),IF(Setup!$C$15&lt;=Setup!$C$16,AND(MONTH(WORKDAY(B477,-(Setup!$C$13+Setup!$G$20),Setup!$C$39:$C$50))&gt;=Setup!$C$15,MONTH(WORKDAY(B477,-(Setup!$C$13+Setup!$G$20),Setup!$C$39:$C$50))&lt;=Setup!$C$16),OR(MONTH(WORKDAY(B477,-(Setup!$C$13+Setup!$G$20),Setup!$C$39:$C$50))&gt;=Setup!$C$15,MONTH(WORKDAY(B477,-(Setup!$C$13+Setup!$G$20),Setup!$C$39:$C$50))&lt;=Setup!$C$16))),WORKDAY(B477,-(Setup!$C$13+Setup!$G$20+Setup!$C$14),Setup!$C$39:$C$50),WORKDAY(B477,-(Setup!$C$13+Setup!$G$20),Setup!$C$39:$C$50))+(472*100+1)/10000000)))</f>
        <v/>
      </c>
      <c r="S477" t="str">
        <f>IF(C477="","",IF(C477&lt;Setup!$C$5-Setup!$C$6,"",IF(IF(ISNUMBER(Roster!$D477),Setup!$C$21&lt;=Roster!$D477,FALSE),"",IF(OR(IF(Setup!$C$15&lt;=Setup!$C$16,AND(MONTH(C477)&gt;=Setup!$C$15,MONTH(C477)&lt;=Setup!$C$16),OR(MONTH(C477)&gt;=Setup!$C$15,MONTH(C477)&lt;=Setup!$C$16)),IF(Setup!$C$15&lt;=Setup!$C$16,AND(MONTH(WORKDAY(C477,-(Setup!$C$13+Setup!$G$21),Setup!$C$39:$C$50))&gt;=Setup!$C$15,MONTH(WORKDAY(C477,-(Setup!$C$13+Setup!$G$21),Setup!$C$39:$C$50))&lt;=Setup!$C$16),OR(MONTH(WORKDAY(C477,-(Setup!$C$13+Setup!$G$21),Setup!$C$39:$C$50))&gt;=Setup!$C$15,MONTH(WORKDAY(C477,-(Setup!$C$13+Setup!$G$21),Setup!$C$39:$C$50))&lt;=Setup!$C$16))),WORKDAY(C477,-(Setup!$C$13+Setup!$G$21+Setup!$C$14),Setup!$C$39:$C$50),WORKDAY(C477,-(Setup!$C$13+Setup!$G$21),Setup!$C$39:$C$50))+(472*100+2)/10000000)))</f>
        <v/>
      </c>
      <c r="T477" t="str">
        <f>IF(D477="","",IF(D477&lt;Setup!$C$5-Setup!$C$6,"",IF(IF(ISNUMBER(Roster!$D477),Setup!$C$22&lt;=Roster!$D477,FALSE),"",IF(OR(IF(Setup!$C$15&lt;=Setup!$C$16,AND(MONTH(D477)&gt;=Setup!$C$15,MONTH(D477)&lt;=Setup!$C$16),OR(MONTH(D477)&gt;=Setup!$C$15,MONTH(D477)&lt;=Setup!$C$16)),IF(Setup!$C$15&lt;=Setup!$C$16,AND(MONTH(WORKDAY(D477,-(Setup!$C$13+Setup!$G$22),Setup!$C$39:$C$50))&gt;=Setup!$C$15,MONTH(WORKDAY(D477,-(Setup!$C$13+Setup!$G$22),Setup!$C$39:$C$50))&lt;=Setup!$C$16),OR(MONTH(WORKDAY(D477,-(Setup!$C$13+Setup!$G$22),Setup!$C$39:$C$50))&gt;=Setup!$C$15,MONTH(WORKDAY(D477,-(Setup!$C$13+Setup!$G$22),Setup!$C$39:$C$50))&lt;=Setup!$C$16))),WORKDAY(D477,-(Setup!$C$13+Setup!$G$22+Setup!$C$14),Setup!$C$39:$C$50),WORKDAY(D477,-(Setup!$C$13+Setup!$G$22),Setup!$C$39:$C$50))+(472*100+3)/10000000)))</f>
        <v/>
      </c>
      <c r="U477" t="str">
        <f>IF(E477="","",IF(E477&lt;Setup!$C$5-Setup!$C$6,"",IF(IF(ISNUMBER(Roster!$D477),Setup!$C$23&lt;=Roster!$D477,FALSE),"",IF(OR(IF(Setup!$C$15&lt;=Setup!$C$16,AND(MONTH(E477)&gt;=Setup!$C$15,MONTH(E477)&lt;=Setup!$C$16),OR(MONTH(E477)&gt;=Setup!$C$15,MONTH(E477)&lt;=Setup!$C$16)),IF(Setup!$C$15&lt;=Setup!$C$16,AND(MONTH(WORKDAY(E477,-(Setup!$C$13+Setup!$G$23),Setup!$C$39:$C$50))&gt;=Setup!$C$15,MONTH(WORKDAY(E477,-(Setup!$C$13+Setup!$G$23),Setup!$C$39:$C$50))&lt;=Setup!$C$16),OR(MONTH(WORKDAY(E477,-(Setup!$C$13+Setup!$G$23),Setup!$C$39:$C$50))&gt;=Setup!$C$15,MONTH(WORKDAY(E477,-(Setup!$C$13+Setup!$G$23),Setup!$C$39:$C$50))&lt;=Setup!$C$16))),WORKDAY(E477,-(Setup!$C$13+Setup!$G$23+Setup!$C$14),Setup!$C$39:$C$50),WORKDAY(E477,-(Setup!$C$13+Setup!$G$23),Setup!$C$39:$C$50))+(472*100+4)/10000000)))</f>
        <v/>
      </c>
      <c r="V477" t="str">
        <f>IF(F477="","",IF(F477&lt;Setup!$C$5-Setup!$C$6,"",IF(IF(ISNUMBER(Roster!$D477),Setup!$C$24&lt;=Roster!$D477,FALSE),"",IF(OR(IF(Setup!$C$15&lt;=Setup!$C$16,AND(MONTH(F477)&gt;=Setup!$C$15,MONTH(F477)&lt;=Setup!$C$16),OR(MONTH(F477)&gt;=Setup!$C$15,MONTH(F477)&lt;=Setup!$C$16)),IF(Setup!$C$15&lt;=Setup!$C$16,AND(MONTH(WORKDAY(F477,-(Setup!$C$13+Setup!$G$24),Setup!$C$39:$C$50))&gt;=Setup!$C$15,MONTH(WORKDAY(F477,-(Setup!$C$13+Setup!$G$24),Setup!$C$39:$C$50))&lt;=Setup!$C$16),OR(MONTH(WORKDAY(F477,-(Setup!$C$13+Setup!$G$24),Setup!$C$39:$C$50))&gt;=Setup!$C$15,MONTH(WORKDAY(F477,-(Setup!$C$13+Setup!$G$24),Setup!$C$39:$C$50))&lt;=Setup!$C$16))),WORKDAY(F477,-(Setup!$C$13+Setup!$G$24+Setup!$C$14),Setup!$C$39:$C$50),WORKDAY(F477,-(Setup!$C$13+Setup!$G$24),Setup!$C$39:$C$50))+(472*100+5)/10000000)))</f>
        <v/>
      </c>
      <c r="W477" t="str">
        <f>IF(G477="","",IF(G477&lt;Setup!$C$5-Setup!$C$6,"",IF(IF(ISNUMBER(Roster!$D477),Setup!$C$25&lt;=Roster!$D477,FALSE),"",IF(OR(IF(Setup!$C$15&lt;=Setup!$C$16,AND(MONTH(G477)&gt;=Setup!$C$15,MONTH(G477)&lt;=Setup!$C$16),OR(MONTH(G477)&gt;=Setup!$C$15,MONTH(G477)&lt;=Setup!$C$16)),IF(Setup!$C$15&lt;=Setup!$C$16,AND(MONTH(WORKDAY(G477,-(Setup!$C$13+Setup!$G$25),Setup!$C$39:$C$50))&gt;=Setup!$C$15,MONTH(WORKDAY(G477,-(Setup!$C$13+Setup!$G$25),Setup!$C$39:$C$50))&lt;=Setup!$C$16),OR(MONTH(WORKDAY(G477,-(Setup!$C$13+Setup!$G$25),Setup!$C$39:$C$50))&gt;=Setup!$C$15,MONTH(WORKDAY(G477,-(Setup!$C$13+Setup!$G$25),Setup!$C$39:$C$50))&lt;=Setup!$C$16))),WORKDAY(G477,-(Setup!$C$13+Setup!$G$25+Setup!$C$14),Setup!$C$39:$C$50),WORKDAY(G477,-(Setup!$C$13+Setup!$G$25),Setup!$C$39:$C$50))+(472*100+6)/10000000)))</f>
        <v/>
      </c>
      <c r="X477" t="str">
        <f>IF(H477="","",IF(H477&lt;Setup!$C$5-Setup!$C$6,"",IF(IF(ISNUMBER(Roster!$D477),Setup!$C$26&lt;=Roster!$D477,FALSE),"",IF(OR(IF(Setup!$C$15&lt;=Setup!$C$16,AND(MONTH(H477)&gt;=Setup!$C$15,MONTH(H477)&lt;=Setup!$C$16),OR(MONTH(H477)&gt;=Setup!$C$15,MONTH(H477)&lt;=Setup!$C$16)),IF(Setup!$C$15&lt;=Setup!$C$16,AND(MONTH(WORKDAY(H477,-(Setup!$C$13+Setup!$G$26),Setup!$C$39:$C$50))&gt;=Setup!$C$15,MONTH(WORKDAY(H477,-(Setup!$C$13+Setup!$G$26),Setup!$C$39:$C$50))&lt;=Setup!$C$16),OR(MONTH(WORKDAY(H477,-(Setup!$C$13+Setup!$G$26),Setup!$C$39:$C$50))&gt;=Setup!$C$15,MONTH(WORKDAY(H477,-(Setup!$C$13+Setup!$G$26),Setup!$C$39:$C$50))&lt;=Setup!$C$16))),WORKDAY(H477,-(Setup!$C$13+Setup!$G$26+Setup!$C$14),Setup!$C$39:$C$50),WORKDAY(H477,-(Setup!$C$13+Setup!$G$26),Setup!$C$39:$C$50))+(472*100+7)/10000000)))</f>
        <v/>
      </c>
      <c r="Y477" t="str">
        <f>IF(I477="","",IF(I477&lt;Setup!$C$5-Setup!$C$6,"",IF(IF(ISNUMBER(Roster!$D477),Setup!$C$27&lt;=Roster!$D477,FALSE),"",IF(OR(IF(Setup!$C$15&lt;=Setup!$C$16,AND(MONTH(I477)&gt;=Setup!$C$15,MONTH(I477)&lt;=Setup!$C$16),OR(MONTH(I477)&gt;=Setup!$C$15,MONTH(I477)&lt;=Setup!$C$16)),IF(Setup!$C$15&lt;=Setup!$C$16,AND(MONTH(WORKDAY(I477,-(Setup!$C$13+Setup!$G$27),Setup!$C$39:$C$50))&gt;=Setup!$C$15,MONTH(WORKDAY(I477,-(Setup!$C$13+Setup!$G$27),Setup!$C$39:$C$50))&lt;=Setup!$C$16),OR(MONTH(WORKDAY(I477,-(Setup!$C$13+Setup!$G$27),Setup!$C$39:$C$50))&gt;=Setup!$C$15,MONTH(WORKDAY(I477,-(Setup!$C$13+Setup!$G$27),Setup!$C$39:$C$50))&lt;=Setup!$C$16))),WORKDAY(I477,-(Setup!$C$13+Setup!$G$27+Setup!$C$14),Setup!$C$39:$C$50),WORKDAY(I477,-(Setup!$C$13+Setup!$G$27),Setup!$C$39:$C$50))+(472*100+8)/10000000)))</f>
        <v/>
      </c>
      <c r="Z477" t="str">
        <f>IF(J477="","",IF(J477&lt;Setup!$C$5-Setup!$C$6,"",IF(IF(ISNUMBER(Roster!$D477),Setup!$C$28&lt;=Roster!$D477,FALSE),"",IF(OR(IF(Setup!$C$15&lt;=Setup!$C$16,AND(MONTH(J477)&gt;=Setup!$C$15,MONTH(J477)&lt;=Setup!$C$16),OR(MONTH(J477)&gt;=Setup!$C$15,MONTH(J477)&lt;=Setup!$C$16)),IF(Setup!$C$15&lt;=Setup!$C$16,AND(MONTH(WORKDAY(J477,-(Setup!$C$13+Setup!$G$28),Setup!$C$39:$C$50))&gt;=Setup!$C$15,MONTH(WORKDAY(J477,-(Setup!$C$13+Setup!$G$28),Setup!$C$39:$C$50))&lt;=Setup!$C$16),OR(MONTH(WORKDAY(J477,-(Setup!$C$13+Setup!$G$28),Setup!$C$39:$C$50))&gt;=Setup!$C$15,MONTH(WORKDAY(J477,-(Setup!$C$13+Setup!$G$28),Setup!$C$39:$C$50))&lt;=Setup!$C$16))),WORKDAY(J477,-(Setup!$C$13+Setup!$G$28+Setup!$C$14),Setup!$C$39:$C$50),WORKDAY(J477,-(Setup!$C$13+Setup!$G$28),Setup!$C$39:$C$50))+(472*100+9)/10000000)))</f>
        <v/>
      </c>
      <c r="AA477" t="str">
        <f>IF(K477="","",IF(K477&lt;Setup!$C$5-Setup!$C$6,"",IF(IF(ISNUMBER(Roster!$D477),Setup!$C$29&lt;=Roster!$D477,FALSE),"",IF(OR(IF(Setup!$C$15&lt;=Setup!$C$16,AND(MONTH(K477)&gt;=Setup!$C$15,MONTH(K477)&lt;=Setup!$C$16),OR(MONTH(K477)&gt;=Setup!$C$15,MONTH(K477)&lt;=Setup!$C$16)),IF(Setup!$C$15&lt;=Setup!$C$16,AND(MONTH(WORKDAY(K477,-(Setup!$C$13+Setup!$G$29),Setup!$C$39:$C$50))&gt;=Setup!$C$15,MONTH(WORKDAY(K477,-(Setup!$C$13+Setup!$G$29),Setup!$C$39:$C$50))&lt;=Setup!$C$16),OR(MONTH(WORKDAY(K477,-(Setup!$C$13+Setup!$G$29),Setup!$C$39:$C$50))&gt;=Setup!$C$15,MONTH(WORKDAY(K477,-(Setup!$C$13+Setup!$G$29),Setup!$C$39:$C$50))&lt;=Setup!$C$16))),WORKDAY(K477,-(Setup!$C$13+Setup!$G$29+Setup!$C$14),Setup!$C$39:$C$50),WORKDAY(K477,-(Setup!$C$13+Setup!$G$29),Setup!$C$39:$C$50))+(472*100+10)/10000000)))</f>
        <v/>
      </c>
      <c r="AB477" t="str">
        <f>IF(L477="","",IF(L477&lt;Setup!$C$5-Setup!$C$6,"",IF(IF(ISNUMBER(Roster!$D477),Setup!$C$30&lt;=Roster!$D477,FALSE),"",IF(OR(IF(Setup!$C$15&lt;=Setup!$C$16,AND(MONTH(L477)&gt;=Setup!$C$15,MONTH(L477)&lt;=Setup!$C$16),OR(MONTH(L477)&gt;=Setup!$C$15,MONTH(L477)&lt;=Setup!$C$16)),IF(Setup!$C$15&lt;=Setup!$C$16,AND(MONTH(WORKDAY(L477,-(Setup!$C$13+Setup!$G$30),Setup!$C$39:$C$50))&gt;=Setup!$C$15,MONTH(WORKDAY(L477,-(Setup!$C$13+Setup!$G$30),Setup!$C$39:$C$50))&lt;=Setup!$C$16),OR(MONTH(WORKDAY(L477,-(Setup!$C$13+Setup!$G$30),Setup!$C$39:$C$50))&gt;=Setup!$C$15,MONTH(WORKDAY(L477,-(Setup!$C$13+Setup!$G$30),Setup!$C$39:$C$50))&lt;=Setup!$C$16))),WORKDAY(L477,-(Setup!$C$13+Setup!$G$30+Setup!$C$14),Setup!$C$39:$C$50),WORKDAY(L477,-(Setup!$C$13+Setup!$G$30),Setup!$C$39:$C$50))+(472*100+11)/10000000)))</f>
        <v/>
      </c>
      <c r="AC477" t="str">
        <f>IF(M477="","",IF(M477&lt;Setup!$C$5-Setup!$C$6,"",IF(IF(ISNUMBER(Roster!$D477),Setup!$C$31&lt;=Roster!$D477,FALSE),"",IF(OR(IF(Setup!$C$15&lt;=Setup!$C$16,AND(MONTH(M477)&gt;=Setup!$C$15,MONTH(M477)&lt;=Setup!$C$16),OR(MONTH(M477)&gt;=Setup!$C$15,MONTH(M477)&lt;=Setup!$C$16)),IF(Setup!$C$15&lt;=Setup!$C$16,AND(MONTH(WORKDAY(M477,-(Setup!$C$13+Setup!$G$31),Setup!$C$39:$C$50))&gt;=Setup!$C$15,MONTH(WORKDAY(M477,-(Setup!$C$13+Setup!$G$31),Setup!$C$39:$C$50))&lt;=Setup!$C$16),OR(MONTH(WORKDAY(M477,-(Setup!$C$13+Setup!$G$31),Setup!$C$39:$C$50))&gt;=Setup!$C$15,MONTH(WORKDAY(M477,-(Setup!$C$13+Setup!$G$31),Setup!$C$39:$C$50))&lt;=Setup!$C$16))),WORKDAY(M477,-(Setup!$C$13+Setup!$G$31+Setup!$C$14),Setup!$C$39:$C$50),WORKDAY(M477,-(Setup!$C$13+Setup!$G$31),Setup!$C$39:$C$50))+(472*100+12)/10000000)))</f>
        <v/>
      </c>
      <c r="AD477" t="str">
        <f>IF(N477="","",IF(N477&lt;Setup!$C$5-Setup!$C$6,"",IF(IF(ISNUMBER(Roster!$D477),Setup!$C$32&lt;=Roster!$D477,FALSE),"",IF(OR(IF(Setup!$C$15&lt;=Setup!$C$16,AND(MONTH(N477)&gt;=Setup!$C$15,MONTH(N477)&lt;=Setup!$C$16),OR(MONTH(N477)&gt;=Setup!$C$15,MONTH(N477)&lt;=Setup!$C$16)),IF(Setup!$C$15&lt;=Setup!$C$16,AND(MONTH(WORKDAY(N477,-(Setup!$C$13+Setup!$G$32),Setup!$C$39:$C$50))&gt;=Setup!$C$15,MONTH(WORKDAY(N477,-(Setup!$C$13+Setup!$G$32),Setup!$C$39:$C$50))&lt;=Setup!$C$16),OR(MONTH(WORKDAY(N477,-(Setup!$C$13+Setup!$G$32),Setup!$C$39:$C$50))&gt;=Setup!$C$15,MONTH(WORKDAY(N477,-(Setup!$C$13+Setup!$G$32),Setup!$C$39:$C$50))&lt;=Setup!$C$16))),WORKDAY(N477,-(Setup!$C$13+Setup!$G$32+Setup!$C$14),Setup!$C$39:$C$50),WORKDAY(N477,-(Setup!$C$13+Setup!$G$32),Setup!$C$39:$C$50))+(472*100+13)/10000000)))</f>
        <v/>
      </c>
      <c r="AE477" t="str">
        <f>IF(O477="","",IF(O477&lt;Setup!$C$5-Setup!$C$6,"",IF(IF(ISNUMBER(Roster!$D477),Setup!$C$33&lt;=Roster!$D477,FALSE),"",IF(OR(IF(Setup!$C$15&lt;=Setup!$C$16,AND(MONTH(O477)&gt;=Setup!$C$15,MONTH(O477)&lt;=Setup!$C$16),OR(MONTH(O477)&gt;=Setup!$C$15,MONTH(O477)&lt;=Setup!$C$16)),IF(Setup!$C$15&lt;=Setup!$C$16,AND(MONTH(WORKDAY(O477,-(Setup!$C$13+Setup!$G$33),Setup!$C$39:$C$50))&gt;=Setup!$C$15,MONTH(WORKDAY(O477,-(Setup!$C$13+Setup!$G$33),Setup!$C$39:$C$50))&lt;=Setup!$C$16),OR(MONTH(WORKDAY(O477,-(Setup!$C$13+Setup!$G$33),Setup!$C$39:$C$50))&gt;=Setup!$C$15,MONTH(WORKDAY(O477,-(Setup!$C$13+Setup!$G$33),Setup!$C$39:$C$50))&lt;=Setup!$C$16))),WORKDAY(O477,-(Setup!$C$13+Setup!$G$33+Setup!$C$14),Setup!$C$39:$C$50),WORKDAY(O477,-(Setup!$C$13+Setup!$G$33),Setup!$C$39:$C$50))+(472*100+14)/10000000)))</f>
        <v/>
      </c>
      <c r="AF477" t="str">
        <f>IF(P477="","",IF(P477&lt;Setup!$C$5-Setup!$C$6,"",IF(IF(ISNUMBER(Roster!$D477),Setup!$C$34&lt;=Roster!$D477,FALSE),"",IF(OR(IF(Setup!$C$15&lt;=Setup!$C$16,AND(MONTH(P477)&gt;=Setup!$C$15,MONTH(P477)&lt;=Setup!$C$16),OR(MONTH(P477)&gt;=Setup!$C$15,MONTH(P477)&lt;=Setup!$C$16)),IF(Setup!$C$15&lt;=Setup!$C$16,AND(MONTH(WORKDAY(P477,-(Setup!$C$13+Setup!$G$34),Setup!$C$39:$C$50))&gt;=Setup!$C$15,MONTH(WORKDAY(P477,-(Setup!$C$13+Setup!$G$34),Setup!$C$39:$C$50))&lt;=Setup!$C$16),OR(MONTH(WORKDAY(P477,-(Setup!$C$13+Setup!$G$34),Setup!$C$39:$C$50))&gt;=Setup!$C$15,MONTH(WORKDAY(P477,-(Setup!$C$13+Setup!$G$34),Setup!$C$39:$C$50))&lt;=Setup!$C$16))),WORKDAY(P477,-(Setup!$C$13+Setup!$G$34+Setup!$C$14),Setup!$C$39:$C$50),WORKDAY(P477,-(Setup!$C$13+Setup!$G$34),Setup!$C$39:$C$50))+(472*100+15)/10000000)))</f>
        <v/>
      </c>
      <c r="AH477" t="str">
        <f t="shared" si="51"/>
        <v/>
      </c>
      <c r="AI477" t="str">
        <f t="shared" si="52"/>
        <v/>
      </c>
      <c r="AP477" t="str">
        <f>IF(ISNUMBER(Roster!$B477),MAX(1,YEAR(Setup!$C$5)-YEAR(Roster!$B477)+IF(EDATE(Roster!$B477,12*(YEAR(Setup!$C$5)-YEAR(Roster!$B477)))&lt;Setup!$C$5,1,0)),"")</f>
        <v/>
      </c>
      <c r="AQ477" s="32" t="str">
        <f>IF(AP477="","",EDATE(Roster!$B477,12*AP477))</f>
        <v/>
      </c>
      <c r="AR477" t="str">
        <f>IF(AQ477="","",IF(AQ477&lt;DATE(YEAR(Setup!$C$5)+1,MONTH(Setup!$C$5),DAY(Setup!$C$5)),AQ477+472/1000,""))</f>
        <v/>
      </c>
      <c r="AS477" t="str">
        <f t="shared" si="53"/>
        <v/>
      </c>
      <c r="AT477" t="str">
        <f>IF(AS477="","",IF(ISNUMBER(Roster!$D477),Roster!$D477&gt;=AP477,FALSE))</f>
        <v/>
      </c>
      <c r="AU477" t="str">
        <f t="shared" si="54"/>
        <v/>
      </c>
      <c r="AV477" t="str">
        <f ca="1">IF(472&gt;$AV$2,"",SMALL($AR$6:$AR$505,472))</f>
        <v/>
      </c>
      <c r="AW477" t="str">
        <f t="shared" ca="1" si="55"/>
        <v/>
      </c>
    </row>
    <row r="478" spans="2:49" x14ac:dyDescent="0.2">
      <c r="B478" s="32" t="str">
        <f>IF(AND(ISNUMBER(Roster!$B478),Setup!$B$20="Yes",ISNUMBER(Setup!$C$20)),EDATE(Roster!$B478,12*Setup!$C$20),"")</f>
        <v/>
      </c>
      <c r="C478" s="32" t="str">
        <f>IF(AND(ISNUMBER(Roster!$B478),Setup!$B$21="Yes",ISNUMBER(Setup!$C$21)),EDATE(Roster!$B478,12*Setup!$C$21),"")</f>
        <v/>
      </c>
      <c r="D478" s="32" t="str">
        <f>IF(AND(ISNUMBER(Roster!$B478),Setup!$B$22="Yes",ISNUMBER(Setup!$C$22)),EDATE(Roster!$B478,12*Setup!$C$22),"")</f>
        <v/>
      </c>
      <c r="E478" s="32" t="str">
        <f>IF(AND(ISNUMBER(Roster!$B478),Setup!$B$23="Yes",ISNUMBER(Setup!$C$23)),EDATE(Roster!$B478,12*Setup!$C$23),"")</f>
        <v/>
      </c>
      <c r="F478" s="32" t="str">
        <f>IF(AND(ISNUMBER(Roster!$B478),Setup!$B$24="Yes",ISNUMBER(Setup!$C$24)),EDATE(Roster!$B478,12*Setup!$C$24),"")</f>
        <v/>
      </c>
      <c r="G478" s="32" t="str">
        <f>IF(AND(ISNUMBER(Roster!$B478),Setup!$B$25="Yes",ISNUMBER(Setup!$C$25)),EDATE(Roster!$B478,12*Setup!$C$25),"")</f>
        <v/>
      </c>
      <c r="H478" s="32" t="str">
        <f>IF(AND(ISNUMBER(Roster!$B478),Setup!$B$26="Yes",ISNUMBER(Setup!$C$26)),EDATE(Roster!$B478,12*Setup!$C$26),"")</f>
        <v/>
      </c>
      <c r="I478" s="32" t="str">
        <f>IF(AND(ISNUMBER(Roster!$B478),Setup!$B$27="Yes",ISNUMBER(Setup!$C$27)),EDATE(Roster!$B478,12*Setup!$C$27),"")</f>
        <v/>
      </c>
      <c r="J478" s="32" t="str">
        <f>IF(AND(ISNUMBER(Roster!$B478),Setup!$B$28="Yes",ISNUMBER(Setup!$C$28)),EDATE(Roster!$B478,12*Setup!$C$28),"")</f>
        <v/>
      </c>
      <c r="K478" s="32" t="str">
        <f>IF(AND(ISNUMBER(Roster!$B478),Setup!$B$29="Yes",ISNUMBER(Setup!$C$29)),EDATE(Roster!$B478,12*Setup!$C$29),"")</f>
        <v/>
      </c>
      <c r="L478" s="32" t="str">
        <f>IF(AND(ISNUMBER(Roster!$B478),Setup!$B$30="Yes",ISNUMBER(Setup!$C$30)),EDATE(Roster!$B478,12*Setup!$C$30),"")</f>
        <v/>
      </c>
      <c r="M478" s="32" t="str">
        <f>IF(AND(ISNUMBER(Roster!$B478),Setup!$B$31="Yes",ISNUMBER(Setup!$C$31)),EDATE(Roster!$B478,12*Setup!$C$31),"")</f>
        <v/>
      </c>
      <c r="N478" s="32" t="str">
        <f>IF(AND(ISNUMBER(Roster!$B478),Setup!$B$32="Yes",ISNUMBER(Setup!$C$32)),EDATE(Roster!$B478,12*Setup!$C$32),"")</f>
        <v/>
      </c>
      <c r="O478" s="32" t="str">
        <f>IF(AND(ISNUMBER(Roster!$B478),Setup!$B$33="Yes",ISNUMBER(Setup!$C$33)),EDATE(Roster!$B478,12*Setup!$C$33),"")</f>
        <v/>
      </c>
      <c r="P478" s="32" t="str">
        <f>IF(AND(ISNUMBER(Roster!$B478),Setup!$B$34="Yes",ISNUMBER(Setup!$C$34)),EDATE(Roster!$B478,12*Setup!$C$34),"")</f>
        <v/>
      </c>
      <c r="R478" t="str">
        <f>IF(B478="","",IF(B478&lt;Setup!$C$5-Setup!$C$6,"",IF(IF(ISNUMBER(Roster!$D478),Setup!$C$20&lt;=Roster!$D478,FALSE),"",IF(OR(IF(Setup!$C$15&lt;=Setup!$C$16,AND(MONTH(B478)&gt;=Setup!$C$15,MONTH(B478)&lt;=Setup!$C$16),OR(MONTH(B478)&gt;=Setup!$C$15,MONTH(B478)&lt;=Setup!$C$16)),IF(Setup!$C$15&lt;=Setup!$C$16,AND(MONTH(WORKDAY(B478,-(Setup!$C$13+Setup!$G$20),Setup!$C$39:$C$50))&gt;=Setup!$C$15,MONTH(WORKDAY(B478,-(Setup!$C$13+Setup!$G$20),Setup!$C$39:$C$50))&lt;=Setup!$C$16),OR(MONTH(WORKDAY(B478,-(Setup!$C$13+Setup!$G$20),Setup!$C$39:$C$50))&gt;=Setup!$C$15,MONTH(WORKDAY(B478,-(Setup!$C$13+Setup!$G$20),Setup!$C$39:$C$50))&lt;=Setup!$C$16))),WORKDAY(B478,-(Setup!$C$13+Setup!$G$20+Setup!$C$14),Setup!$C$39:$C$50),WORKDAY(B478,-(Setup!$C$13+Setup!$G$20),Setup!$C$39:$C$50))+(473*100+1)/10000000)))</f>
        <v/>
      </c>
      <c r="S478" t="str">
        <f>IF(C478="","",IF(C478&lt;Setup!$C$5-Setup!$C$6,"",IF(IF(ISNUMBER(Roster!$D478),Setup!$C$21&lt;=Roster!$D478,FALSE),"",IF(OR(IF(Setup!$C$15&lt;=Setup!$C$16,AND(MONTH(C478)&gt;=Setup!$C$15,MONTH(C478)&lt;=Setup!$C$16),OR(MONTH(C478)&gt;=Setup!$C$15,MONTH(C478)&lt;=Setup!$C$16)),IF(Setup!$C$15&lt;=Setup!$C$16,AND(MONTH(WORKDAY(C478,-(Setup!$C$13+Setup!$G$21),Setup!$C$39:$C$50))&gt;=Setup!$C$15,MONTH(WORKDAY(C478,-(Setup!$C$13+Setup!$G$21),Setup!$C$39:$C$50))&lt;=Setup!$C$16),OR(MONTH(WORKDAY(C478,-(Setup!$C$13+Setup!$G$21),Setup!$C$39:$C$50))&gt;=Setup!$C$15,MONTH(WORKDAY(C478,-(Setup!$C$13+Setup!$G$21),Setup!$C$39:$C$50))&lt;=Setup!$C$16))),WORKDAY(C478,-(Setup!$C$13+Setup!$G$21+Setup!$C$14),Setup!$C$39:$C$50),WORKDAY(C478,-(Setup!$C$13+Setup!$G$21),Setup!$C$39:$C$50))+(473*100+2)/10000000)))</f>
        <v/>
      </c>
      <c r="T478" t="str">
        <f>IF(D478="","",IF(D478&lt;Setup!$C$5-Setup!$C$6,"",IF(IF(ISNUMBER(Roster!$D478),Setup!$C$22&lt;=Roster!$D478,FALSE),"",IF(OR(IF(Setup!$C$15&lt;=Setup!$C$16,AND(MONTH(D478)&gt;=Setup!$C$15,MONTH(D478)&lt;=Setup!$C$16),OR(MONTH(D478)&gt;=Setup!$C$15,MONTH(D478)&lt;=Setup!$C$16)),IF(Setup!$C$15&lt;=Setup!$C$16,AND(MONTH(WORKDAY(D478,-(Setup!$C$13+Setup!$G$22),Setup!$C$39:$C$50))&gt;=Setup!$C$15,MONTH(WORKDAY(D478,-(Setup!$C$13+Setup!$G$22),Setup!$C$39:$C$50))&lt;=Setup!$C$16),OR(MONTH(WORKDAY(D478,-(Setup!$C$13+Setup!$G$22),Setup!$C$39:$C$50))&gt;=Setup!$C$15,MONTH(WORKDAY(D478,-(Setup!$C$13+Setup!$G$22),Setup!$C$39:$C$50))&lt;=Setup!$C$16))),WORKDAY(D478,-(Setup!$C$13+Setup!$G$22+Setup!$C$14),Setup!$C$39:$C$50),WORKDAY(D478,-(Setup!$C$13+Setup!$G$22),Setup!$C$39:$C$50))+(473*100+3)/10000000)))</f>
        <v/>
      </c>
      <c r="U478" t="str">
        <f>IF(E478="","",IF(E478&lt;Setup!$C$5-Setup!$C$6,"",IF(IF(ISNUMBER(Roster!$D478),Setup!$C$23&lt;=Roster!$D478,FALSE),"",IF(OR(IF(Setup!$C$15&lt;=Setup!$C$16,AND(MONTH(E478)&gt;=Setup!$C$15,MONTH(E478)&lt;=Setup!$C$16),OR(MONTH(E478)&gt;=Setup!$C$15,MONTH(E478)&lt;=Setup!$C$16)),IF(Setup!$C$15&lt;=Setup!$C$16,AND(MONTH(WORKDAY(E478,-(Setup!$C$13+Setup!$G$23),Setup!$C$39:$C$50))&gt;=Setup!$C$15,MONTH(WORKDAY(E478,-(Setup!$C$13+Setup!$G$23),Setup!$C$39:$C$50))&lt;=Setup!$C$16),OR(MONTH(WORKDAY(E478,-(Setup!$C$13+Setup!$G$23),Setup!$C$39:$C$50))&gt;=Setup!$C$15,MONTH(WORKDAY(E478,-(Setup!$C$13+Setup!$G$23),Setup!$C$39:$C$50))&lt;=Setup!$C$16))),WORKDAY(E478,-(Setup!$C$13+Setup!$G$23+Setup!$C$14),Setup!$C$39:$C$50),WORKDAY(E478,-(Setup!$C$13+Setup!$G$23),Setup!$C$39:$C$50))+(473*100+4)/10000000)))</f>
        <v/>
      </c>
      <c r="V478" t="str">
        <f>IF(F478="","",IF(F478&lt;Setup!$C$5-Setup!$C$6,"",IF(IF(ISNUMBER(Roster!$D478),Setup!$C$24&lt;=Roster!$D478,FALSE),"",IF(OR(IF(Setup!$C$15&lt;=Setup!$C$16,AND(MONTH(F478)&gt;=Setup!$C$15,MONTH(F478)&lt;=Setup!$C$16),OR(MONTH(F478)&gt;=Setup!$C$15,MONTH(F478)&lt;=Setup!$C$16)),IF(Setup!$C$15&lt;=Setup!$C$16,AND(MONTH(WORKDAY(F478,-(Setup!$C$13+Setup!$G$24),Setup!$C$39:$C$50))&gt;=Setup!$C$15,MONTH(WORKDAY(F478,-(Setup!$C$13+Setup!$G$24),Setup!$C$39:$C$50))&lt;=Setup!$C$16),OR(MONTH(WORKDAY(F478,-(Setup!$C$13+Setup!$G$24),Setup!$C$39:$C$50))&gt;=Setup!$C$15,MONTH(WORKDAY(F478,-(Setup!$C$13+Setup!$G$24),Setup!$C$39:$C$50))&lt;=Setup!$C$16))),WORKDAY(F478,-(Setup!$C$13+Setup!$G$24+Setup!$C$14),Setup!$C$39:$C$50),WORKDAY(F478,-(Setup!$C$13+Setup!$G$24),Setup!$C$39:$C$50))+(473*100+5)/10000000)))</f>
        <v/>
      </c>
      <c r="W478" t="str">
        <f>IF(G478="","",IF(G478&lt;Setup!$C$5-Setup!$C$6,"",IF(IF(ISNUMBER(Roster!$D478),Setup!$C$25&lt;=Roster!$D478,FALSE),"",IF(OR(IF(Setup!$C$15&lt;=Setup!$C$16,AND(MONTH(G478)&gt;=Setup!$C$15,MONTH(G478)&lt;=Setup!$C$16),OR(MONTH(G478)&gt;=Setup!$C$15,MONTH(G478)&lt;=Setup!$C$16)),IF(Setup!$C$15&lt;=Setup!$C$16,AND(MONTH(WORKDAY(G478,-(Setup!$C$13+Setup!$G$25),Setup!$C$39:$C$50))&gt;=Setup!$C$15,MONTH(WORKDAY(G478,-(Setup!$C$13+Setup!$G$25),Setup!$C$39:$C$50))&lt;=Setup!$C$16),OR(MONTH(WORKDAY(G478,-(Setup!$C$13+Setup!$G$25),Setup!$C$39:$C$50))&gt;=Setup!$C$15,MONTH(WORKDAY(G478,-(Setup!$C$13+Setup!$G$25),Setup!$C$39:$C$50))&lt;=Setup!$C$16))),WORKDAY(G478,-(Setup!$C$13+Setup!$G$25+Setup!$C$14),Setup!$C$39:$C$50),WORKDAY(G478,-(Setup!$C$13+Setup!$G$25),Setup!$C$39:$C$50))+(473*100+6)/10000000)))</f>
        <v/>
      </c>
      <c r="X478" t="str">
        <f>IF(H478="","",IF(H478&lt;Setup!$C$5-Setup!$C$6,"",IF(IF(ISNUMBER(Roster!$D478),Setup!$C$26&lt;=Roster!$D478,FALSE),"",IF(OR(IF(Setup!$C$15&lt;=Setup!$C$16,AND(MONTH(H478)&gt;=Setup!$C$15,MONTH(H478)&lt;=Setup!$C$16),OR(MONTH(H478)&gt;=Setup!$C$15,MONTH(H478)&lt;=Setup!$C$16)),IF(Setup!$C$15&lt;=Setup!$C$16,AND(MONTH(WORKDAY(H478,-(Setup!$C$13+Setup!$G$26),Setup!$C$39:$C$50))&gt;=Setup!$C$15,MONTH(WORKDAY(H478,-(Setup!$C$13+Setup!$G$26),Setup!$C$39:$C$50))&lt;=Setup!$C$16),OR(MONTH(WORKDAY(H478,-(Setup!$C$13+Setup!$G$26),Setup!$C$39:$C$50))&gt;=Setup!$C$15,MONTH(WORKDAY(H478,-(Setup!$C$13+Setup!$G$26),Setup!$C$39:$C$50))&lt;=Setup!$C$16))),WORKDAY(H478,-(Setup!$C$13+Setup!$G$26+Setup!$C$14),Setup!$C$39:$C$50),WORKDAY(H478,-(Setup!$C$13+Setup!$G$26),Setup!$C$39:$C$50))+(473*100+7)/10000000)))</f>
        <v/>
      </c>
      <c r="Y478" t="str">
        <f>IF(I478="","",IF(I478&lt;Setup!$C$5-Setup!$C$6,"",IF(IF(ISNUMBER(Roster!$D478),Setup!$C$27&lt;=Roster!$D478,FALSE),"",IF(OR(IF(Setup!$C$15&lt;=Setup!$C$16,AND(MONTH(I478)&gt;=Setup!$C$15,MONTH(I478)&lt;=Setup!$C$16),OR(MONTH(I478)&gt;=Setup!$C$15,MONTH(I478)&lt;=Setup!$C$16)),IF(Setup!$C$15&lt;=Setup!$C$16,AND(MONTH(WORKDAY(I478,-(Setup!$C$13+Setup!$G$27),Setup!$C$39:$C$50))&gt;=Setup!$C$15,MONTH(WORKDAY(I478,-(Setup!$C$13+Setup!$G$27),Setup!$C$39:$C$50))&lt;=Setup!$C$16),OR(MONTH(WORKDAY(I478,-(Setup!$C$13+Setup!$G$27),Setup!$C$39:$C$50))&gt;=Setup!$C$15,MONTH(WORKDAY(I478,-(Setup!$C$13+Setup!$G$27),Setup!$C$39:$C$50))&lt;=Setup!$C$16))),WORKDAY(I478,-(Setup!$C$13+Setup!$G$27+Setup!$C$14),Setup!$C$39:$C$50),WORKDAY(I478,-(Setup!$C$13+Setup!$G$27),Setup!$C$39:$C$50))+(473*100+8)/10000000)))</f>
        <v/>
      </c>
      <c r="Z478" t="str">
        <f>IF(J478="","",IF(J478&lt;Setup!$C$5-Setup!$C$6,"",IF(IF(ISNUMBER(Roster!$D478),Setup!$C$28&lt;=Roster!$D478,FALSE),"",IF(OR(IF(Setup!$C$15&lt;=Setup!$C$16,AND(MONTH(J478)&gt;=Setup!$C$15,MONTH(J478)&lt;=Setup!$C$16),OR(MONTH(J478)&gt;=Setup!$C$15,MONTH(J478)&lt;=Setup!$C$16)),IF(Setup!$C$15&lt;=Setup!$C$16,AND(MONTH(WORKDAY(J478,-(Setup!$C$13+Setup!$G$28),Setup!$C$39:$C$50))&gt;=Setup!$C$15,MONTH(WORKDAY(J478,-(Setup!$C$13+Setup!$G$28),Setup!$C$39:$C$50))&lt;=Setup!$C$16),OR(MONTH(WORKDAY(J478,-(Setup!$C$13+Setup!$G$28),Setup!$C$39:$C$50))&gt;=Setup!$C$15,MONTH(WORKDAY(J478,-(Setup!$C$13+Setup!$G$28),Setup!$C$39:$C$50))&lt;=Setup!$C$16))),WORKDAY(J478,-(Setup!$C$13+Setup!$G$28+Setup!$C$14),Setup!$C$39:$C$50),WORKDAY(J478,-(Setup!$C$13+Setup!$G$28),Setup!$C$39:$C$50))+(473*100+9)/10000000)))</f>
        <v/>
      </c>
      <c r="AA478" t="str">
        <f>IF(K478="","",IF(K478&lt;Setup!$C$5-Setup!$C$6,"",IF(IF(ISNUMBER(Roster!$D478),Setup!$C$29&lt;=Roster!$D478,FALSE),"",IF(OR(IF(Setup!$C$15&lt;=Setup!$C$16,AND(MONTH(K478)&gt;=Setup!$C$15,MONTH(K478)&lt;=Setup!$C$16),OR(MONTH(K478)&gt;=Setup!$C$15,MONTH(K478)&lt;=Setup!$C$16)),IF(Setup!$C$15&lt;=Setup!$C$16,AND(MONTH(WORKDAY(K478,-(Setup!$C$13+Setup!$G$29),Setup!$C$39:$C$50))&gt;=Setup!$C$15,MONTH(WORKDAY(K478,-(Setup!$C$13+Setup!$G$29),Setup!$C$39:$C$50))&lt;=Setup!$C$16),OR(MONTH(WORKDAY(K478,-(Setup!$C$13+Setup!$G$29),Setup!$C$39:$C$50))&gt;=Setup!$C$15,MONTH(WORKDAY(K478,-(Setup!$C$13+Setup!$G$29),Setup!$C$39:$C$50))&lt;=Setup!$C$16))),WORKDAY(K478,-(Setup!$C$13+Setup!$G$29+Setup!$C$14),Setup!$C$39:$C$50),WORKDAY(K478,-(Setup!$C$13+Setup!$G$29),Setup!$C$39:$C$50))+(473*100+10)/10000000)))</f>
        <v/>
      </c>
      <c r="AB478" t="str">
        <f>IF(L478="","",IF(L478&lt;Setup!$C$5-Setup!$C$6,"",IF(IF(ISNUMBER(Roster!$D478),Setup!$C$30&lt;=Roster!$D478,FALSE),"",IF(OR(IF(Setup!$C$15&lt;=Setup!$C$16,AND(MONTH(L478)&gt;=Setup!$C$15,MONTH(L478)&lt;=Setup!$C$16),OR(MONTH(L478)&gt;=Setup!$C$15,MONTH(L478)&lt;=Setup!$C$16)),IF(Setup!$C$15&lt;=Setup!$C$16,AND(MONTH(WORKDAY(L478,-(Setup!$C$13+Setup!$G$30),Setup!$C$39:$C$50))&gt;=Setup!$C$15,MONTH(WORKDAY(L478,-(Setup!$C$13+Setup!$G$30),Setup!$C$39:$C$50))&lt;=Setup!$C$16),OR(MONTH(WORKDAY(L478,-(Setup!$C$13+Setup!$G$30),Setup!$C$39:$C$50))&gt;=Setup!$C$15,MONTH(WORKDAY(L478,-(Setup!$C$13+Setup!$G$30),Setup!$C$39:$C$50))&lt;=Setup!$C$16))),WORKDAY(L478,-(Setup!$C$13+Setup!$G$30+Setup!$C$14),Setup!$C$39:$C$50),WORKDAY(L478,-(Setup!$C$13+Setup!$G$30),Setup!$C$39:$C$50))+(473*100+11)/10000000)))</f>
        <v/>
      </c>
      <c r="AC478" t="str">
        <f>IF(M478="","",IF(M478&lt;Setup!$C$5-Setup!$C$6,"",IF(IF(ISNUMBER(Roster!$D478),Setup!$C$31&lt;=Roster!$D478,FALSE),"",IF(OR(IF(Setup!$C$15&lt;=Setup!$C$16,AND(MONTH(M478)&gt;=Setup!$C$15,MONTH(M478)&lt;=Setup!$C$16),OR(MONTH(M478)&gt;=Setup!$C$15,MONTH(M478)&lt;=Setup!$C$16)),IF(Setup!$C$15&lt;=Setup!$C$16,AND(MONTH(WORKDAY(M478,-(Setup!$C$13+Setup!$G$31),Setup!$C$39:$C$50))&gt;=Setup!$C$15,MONTH(WORKDAY(M478,-(Setup!$C$13+Setup!$G$31),Setup!$C$39:$C$50))&lt;=Setup!$C$16),OR(MONTH(WORKDAY(M478,-(Setup!$C$13+Setup!$G$31),Setup!$C$39:$C$50))&gt;=Setup!$C$15,MONTH(WORKDAY(M478,-(Setup!$C$13+Setup!$G$31),Setup!$C$39:$C$50))&lt;=Setup!$C$16))),WORKDAY(M478,-(Setup!$C$13+Setup!$G$31+Setup!$C$14),Setup!$C$39:$C$50),WORKDAY(M478,-(Setup!$C$13+Setup!$G$31),Setup!$C$39:$C$50))+(473*100+12)/10000000)))</f>
        <v/>
      </c>
      <c r="AD478" t="str">
        <f>IF(N478="","",IF(N478&lt;Setup!$C$5-Setup!$C$6,"",IF(IF(ISNUMBER(Roster!$D478),Setup!$C$32&lt;=Roster!$D478,FALSE),"",IF(OR(IF(Setup!$C$15&lt;=Setup!$C$16,AND(MONTH(N478)&gt;=Setup!$C$15,MONTH(N478)&lt;=Setup!$C$16),OR(MONTH(N478)&gt;=Setup!$C$15,MONTH(N478)&lt;=Setup!$C$16)),IF(Setup!$C$15&lt;=Setup!$C$16,AND(MONTH(WORKDAY(N478,-(Setup!$C$13+Setup!$G$32),Setup!$C$39:$C$50))&gt;=Setup!$C$15,MONTH(WORKDAY(N478,-(Setup!$C$13+Setup!$G$32),Setup!$C$39:$C$50))&lt;=Setup!$C$16),OR(MONTH(WORKDAY(N478,-(Setup!$C$13+Setup!$G$32),Setup!$C$39:$C$50))&gt;=Setup!$C$15,MONTH(WORKDAY(N478,-(Setup!$C$13+Setup!$G$32),Setup!$C$39:$C$50))&lt;=Setup!$C$16))),WORKDAY(N478,-(Setup!$C$13+Setup!$G$32+Setup!$C$14),Setup!$C$39:$C$50),WORKDAY(N478,-(Setup!$C$13+Setup!$G$32),Setup!$C$39:$C$50))+(473*100+13)/10000000)))</f>
        <v/>
      </c>
      <c r="AE478" t="str">
        <f>IF(O478="","",IF(O478&lt;Setup!$C$5-Setup!$C$6,"",IF(IF(ISNUMBER(Roster!$D478),Setup!$C$33&lt;=Roster!$D478,FALSE),"",IF(OR(IF(Setup!$C$15&lt;=Setup!$C$16,AND(MONTH(O478)&gt;=Setup!$C$15,MONTH(O478)&lt;=Setup!$C$16),OR(MONTH(O478)&gt;=Setup!$C$15,MONTH(O478)&lt;=Setup!$C$16)),IF(Setup!$C$15&lt;=Setup!$C$16,AND(MONTH(WORKDAY(O478,-(Setup!$C$13+Setup!$G$33),Setup!$C$39:$C$50))&gt;=Setup!$C$15,MONTH(WORKDAY(O478,-(Setup!$C$13+Setup!$G$33),Setup!$C$39:$C$50))&lt;=Setup!$C$16),OR(MONTH(WORKDAY(O478,-(Setup!$C$13+Setup!$G$33),Setup!$C$39:$C$50))&gt;=Setup!$C$15,MONTH(WORKDAY(O478,-(Setup!$C$13+Setup!$G$33),Setup!$C$39:$C$50))&lt;=Setup!$C$16))),WORKDAY(O478,-(Setup!$C$13+Setup!$G$33+Setup!$C$14),Setup!$C$39:$C$50),WORKDAY(O478,-(Setup!$C$13+Setup!$G$33),Setup!$C$39:$C$50))+(473*100+14)/10000000)))</f>
        <v/>
      </c>
      <c r="AF478" t="str">
        <f>IF(P478="","",IF(P478&lt;Setup!$C$5-Setup!$C$6,"",IF(IF(ISNUMBER(Roster!$D478),Setup!$C$34&lt;=Roster!$D478,FALSE),"",IF(OR(IF(Setup!$C$15&lt;=Setup!$C$16,AND(MONTH(P478)&gt;=Setup!$C$15,MONTH(P478)&lt;=Setup!$C$16),OR(MONTH(P478)&gt;=Setup!$C$15,MONTH(P478)&lt;=Setup!$C$16)),IF(Setup!$C$15&lt;=Setup!$C$16,AND(MONTH(WORKDAY(P478,-(Setup!$C$13+Setup!$G$34),Setup!$C$39:$C$50))&gt;=Setup!$C$15,MONTH(WORKDAY(P478,-(Setup!$C$13+Setup!$G$34),Setup!$C$39:$C$50))&lt;=Setup!$C$16),OR(MONTH(WORKDAY(P478,-(Setup!$C$13+Setup!$G$34),Setup!$C$39:$C$50))&gt;=Setup!$C$15,MONTH(WORKDAY(P478,-(Setup!$C$13+Setup!$G$34),Setup!$C$39:$C$50))&lt;=Setup!$C$16))),WORKDAY(P478,-(Setup!$C$13+Setup!$G$34+Setup!$C$14),Setup!$C$39:$C$50),WORKDAY(P478,-(Setup!$C$13+Setup!$G$34),Setup!$C$39:$C$50))+(473*100+15)/10000000)))</f>
        <v/>
      </c>
      <c r="AH478" t="str">
        <f t="shared" si="51"/>
        <v/>
      </c>
      <c r="AI478" t="str">
        <f t="shared" si="52"/>
        <v/>
      </c>
      <c r="AP478" t="str">
        <f>IF(ISNUMBER(Roster!$B478),MAX(1,YEAR(Setup!$C$5)-YEAR(Roster!$B478)+IF(EDATE(Roster!$B478,12*(YEAR(Setup!$C$5)-YEAR(Roster!$B478)))&lt;Setup!$C$5,1,0)),"")</f>
        <v/>
      </c>
      <c r="AQ478" s="32" t="str">
        <f>IF(AP478="","",EDATE(Roster!$B478,12*AP478))</f>
        <v/>
      </c>
      <c r="AR478" t="str">
        <f>IF(AQ478="","",IF(AQ478&lt;DATE(YEAR(Setup!$C$5)+1,MONTH(Setup!$C$5),DAY(Setup!$C$5)),AQ478+473/1000,""))</f>
        <v/>
      </c>
      <c r="AS478" t="str">
        <f t="shared" si="53"/>
        <v/>
      </c>
      <c r="AT478" t="str">
        <f>IF(AS478="","",IF(ISNUMBER(Roster!$D478),Roster!$D478&gt;=AP478,FALSE))</f>
        <v/>
      </c>
      <c r="AU478" t="str">
        <f t="shared" si="54"/>
        <v/>
      </c>
      <c r="AV478" t="str">
        <f ca="1">IF(473&gt;$AV$2,"",SMALL($AR$6:$AR$505,473))</f>
        <v/>
      </c>
      <c r="AW478" t="str">
        <f t="shared" ca="1" si="55"/>
        <v/>
      </c>
    </row>
    <row r="479" spans="2:49" x14ac:dyDescent="0.2">
      <c r="B479" s="32" t="str">
        <f>IF(AND(ISNUMBER(Roster!$B479),Setup!$B$20="Yes",ISNUMBER(Setup!$C$20)),EDATE(Roster!$B479,12*Setup!$C$20),"")</f>
        <v/>
      </c>
      <c r="C479" s="32" t="str">
        <f>IF(AND(ISNUMBER(Roster!$B479),Setup!$B$21="Yes",ISNUMBER(Setup!$C$21)),EDATE(Roster!$B479,12*Setup!$C$21),"")</f>
        <v/>
      </c>
      <c r="D479" s="32" t="str">
        <f>IF(AND(ISNUMBER(Roster!$B479),Setup!$B$22="Yes",ISNUMBER(Setup!$C$22)),EDATE(Roster!$B479,12*Setup!$C$22),"")</f>
        <v/>
      </c>
      <c r="E479" s="32" t="str">
        <f>IF(AND(ISNUMBER(Roster!$B479),Setup!$B$23="Yes",ISNUMBER(Setup!$C$23)),EDATE(Roster!$B479,12*Setup!$C$23),"")</f>
        <v/>
      </c>
      <c r="F479" s="32" t="str">
        <f>IF(AND(ISNUMBER(Roster!$B479),Setup!$B$24="Yes",ISNUMBER(Setup!$C$24)),EDATE(Roster!$B479,12*Setup!$C$24),"")</f>
        <v/>
      </c>
      <c r="G479" s="32" t="str">
        <f>IF(AND(ISNUMBER(Roster!$B479),Setup!$B$25="Yes",ISNUMBER(Setup!$C$25)),EDATE(Roster!$B479,12*Setup!$C$25),"")</f>
        <v/>
      </c>
      <c r="H479" s="32" t="str">
        <f>IF(AND(ISNUMBER(Roster!$B479),Setup!$B$26="Yes",ISNUMBER(Setup!$C$26)),EDATE(Roster!$B479,12*Setup!$C$26),"")</f>
        <v/>
      </c>
      <c r="I479" s="32" t="str">
        <f>IF(AND(ISNUMBER(Roster!$B479),Setup!$B$27="Yes",ISNUMBER(Setup!$C$27)),EDATE(Roster!$B479,12*Setup!$C$27),"")</f>
        <v/>
      </c>
      <c r="J479" s="32" t="str">
        <f>IF(AND(ISNUMBER(Roster!$B479),Setup!$B$28="Yes",ISNUMBER(Setup!$C$28)),EDATE(Roster!$B479,12*Setup!$C$28),"")</f>
        <v/>
      </c>
      <c r="K479" s="32" t="str">
        <f>IF(AND(ISNUMBER(Roster!$B479),Setup!$B$29="Yes",ISNUMBER(Setup!$C$29)),EDATE(Roster!$B479,12*Setup!$C$29),"")</f>
        <v/>
      </c>
      <c r="L479" s="32" t="str">
        <f>IF(AND(ISNUMBER(Roster!$B479),Setup!$B$30="Yes",ISNUMBER(Setup!$C$30)),EDATE(Roster!$B479,12*Setup!$C$30),"")</f>
        <v/>
      </c>
      <c r="M479" s="32" t="str">
        <f>IF(AND(ISNUMBER(Roster!$B479),Setup!$B$31="Yes",ISNUMBER(Setup!$C$31)),EDATE(Roster!$B479,12*Setup!$C$31),"")</f>
        <v/>
      </c>
      <c r="N479" s="32" t="str">
        <f>IF(AND(ISNUMBER(Roster!$B479),Setup!$B$32="Yes",ISNUMBER(Setup!$C$32)),EDATE(Roster!$B479,12*Setup!$C$32),"")</f>
        <v/>
      </c>
      <c r="O479" s="32" t="str">
        <f>IF(AND(ISNUMBER(Roster!$B479),Setup!$B$33="Yes",ISNUMBER(Setup!$C$33)),EDATE(Roster!$B479,12*Setup!$C$33),"")</f>
        <v/>
      </c>
      <c r="P479" s="32" t="str">
        <f>IF(AND(ISNUMBER(Roster!$B479),Setup!$B$34="Yes",ISNUMBER(Setup!$C$34)),EDATE(Roster!$B479,12*Setup!$C$34),"")</f>
        <v/>
      </c>
      <c r="R479" t="str">
        <f>IF(B479="","",IF(B479&lt;Setup!$C$5-Setup!$C$6,"",IF(IF(ISNUMBER(Roster!$D479),Setup!$C$20&lt;=Roster!$D479,FALSE),"",IF(OR(IF(Setup!$C$15&lt;=Setup!$C$16,AND(MONTH(B479)&gt;=Setup!$C$15,MONTH(B479)&lt;=Setup!$C$16),OR(MONTH(B479)&gt;=Setup!$C$15,MONTH(B479)&lt;=Setup!$C$16)),IF(Setup!$C$15&lt;=Setup!$C$16,AND(MONTH(WORKDAY(B479,-(Setup!$C$13+Setup!$G$20),Setup!$C$39:$C$50))&gt;=Setup!$C$15,MONTH(WORKDAY(B479,-(Setup!$C$13+Setup!$G$20),Setup!$C$39:$C$50))&lt;=Setup!$C$16),OR(MONTH(WORKDAY(B479,-(Setup!$C$13+Setup!$G$20),Setup!$C$39:$C$50))&gt;=Setup!$C$15,MONTH(WORKDAY(B479,-(Setup!$C$13+Setup!$G$20),Setup!$C$39:$C$50))&lt;=Setup!$C$16))),WORKDAY(B479,-(Setup!$C$13+Setup!$G$20+Setup!$C$14),Setup!$C$39:$C$50),WORKDAY(B479,-(Setup!$C$13+Setup!$G$20),Setup!$C$39:$C$50))+(474*100+1)/10000000)))</f>
        <v/>
      </c>
      <c r="S479" t="str">
        <f>IF(C479="","",IF(C479&lt;Setup!$C$5-Setup!$C$6,"",IF(IF(ISNUMBER(Roster!$D479),Setup!$C$21&lt;=Roster!$D479,FALSE),"",IF(OR(IF(Setup!$C$15&lt;=Setup!$C$16,AND(MONTH(C479)&gt;=Setup!$C$15,MONTH(C479)&lt;=Setup!$C$16),OR(MONTH(C479)&gt;=Setup!$C$15,MONTH(C479)&lt;=Setup!$C$16)),IF(Setup!$C$15&lt;=Setup!$C$16,AND(MONTH(WORKDAY(C479,-(Setup!$C$13+Setup!$G$21),Setup!$C$39:$C$50))&gt;=Setup!$C$15,MONTH(WORKDAY(C479,-(Setup!$C$13+Setup!$G$21),Setup!$C$39:$C$50))&lt;=Setup!$C$16),OR(MONTH(WORKDAY(C479,-(Setup!$C$13+Setup!$G$21),Setup!$C$39:$C$50))&gt;=Setup!$C$15,MONTH(WORKDAY(C479,-(Setup!$C$13+Setup!$G$21),Setup!$C$39:$C$50))&lt;=Setup!$C$16))),WORKDAY(C479,-(Setup!$C$13+Setup!$G$21+Setup!$C$14),Setup!$C$39:$C$50),WORKDAY(C479,-(Setup!$C$13+Setup!$G$21),Setup!$C$39:$C$50))+(474*100+2)/10000000)))</f>
        <v/>
      </c>
      <c r="T479" t="str">
        <f>IF(D479="","",IF(D479&lt;Setup!$C$5-Setup!$C$6,"",IF(IF(ISNUMBER(Roster!$D479),Setup!$C$22&lt;=Roster!$D479,FALSE),"",IF(OR(IF(Setup!$C$15&lt;=Setup!$C$16,AND(MONTH(D479)&gt;=Setup!$C$15,MONTH(D479)&lt;=Setup!$C$16),OR(MONTH(D479)&gt;=Setup!$C$15,MONTH(D479)&lt;=Setup!$C$16)),IF(Setup!$C$15&lt;=Setup!$C$16,AND(MONTH(WORKDAY(D479,-(Setup!$C$13+Setup!$G$22),Setup!$C$39:$C$50))&gt;=Setup!$C$15,MONTH(WORKDAY(D479,-(Setup!$C$13+Setup!$G$22),Setup!$C$39:$C$50))&lt;=Setup!$C$16),OR(MONTH(WORKDAY(D479,-(Setup!$C$13+Setup!$G$22),Setup!$C$39:$C$50))&gt;=Setup!$C$15,MONTH(WORKDAY(D479,-(Setup!$C$13+Setup!$G$22),Setup!$C$39:$C$50))&lt;=Setup!$C$16))),WORKDAY(D479,-(Setup!$C$13+Setup!$G$22+Setup!$C$14),Setup!$C$39:$C$50),WORKDAY(D479,-(Setup!$C$13+Setup!$G$22),Setup!$C$39:$C$50))+(474*100+3)/10000000)))</f>
        <v/>
      </c>
      <c r="U479" t="str">
        <f>IF(E479="","",IF(E479&lt;Setup!$C$5-Setup!$C$6,"",IF(IF(ISNUMBER(Roster!$D479),Setup!$C$23&lt;=Roster!$D479,FALSE),"",IF(OR(IF(Setup!$C$15&lt;=Setup!$C$16,AND(MONTH(E479)&gt;=Setup!$C$15,MONTH(E479)&lt;=Setup!$C$16),OR(MONTH(E479)&gt;=Setup!$C$15,MONTH(E479)&lt;=Setup!$C$16)),IF(Setup!$C$15&lt;=Setup!$C$16,AND(MONTH(WORKDAY(E479,-(Setup!$C$13+Setup!$G$23),Setup!$C$39:$C$50))&gt;=Setup!$C$15,MONTH(WORKDAY(E479,-(Setup!$C$13+Setup!$G$23),Setup!$C$39:$C$50))&lt;=Setup!$C$16),OR(MONTH(WORKDAY(E479,-(Setup!$C$13+Setup!$G$23),Setup!$C$39:$C$50))&gt;=Setup!$C$15,MONTH(WORKDAY(E479,-(Setup!$C$13+Setup!$G$23),Setup!$C$39:$C$50))&lt;=Setup!$C$16))),WORKDAY(E479,-(Setup!$C$13+Setup!$G$23+Setup!$C$14),Setup!$C$39:$C$50),WORKDAY(E479,-(Setup!$C$13+Setup!$G$23),Setup!$C$39:$C$50))+(474*100+4)/10000000)))</f>
        <v/>
      </c>
      <c r="V479" t="str">
        <f>IF(F479="","",IF(F479&lt;Setup!$C$5-Setup!$C$6,"",IF(IF(ISNUMBER(Roster!$D479),Setup!$C$24&lt;=Roster!$D479,FALSE),"",IF(OR(IF(Setup!$C$15&lt;=Setup!$C$16,AND(MONTH(F479)&gt;=Setup!$C$15,MONTH(F479)&lt;=Setup!$C$16),OR(MONTH(F479)&gt;=Setup!$C$15,MONTH(F479)&lt;=Setup!$C$16)),IF(Setup!$C$15&lt;=Setup!$C$16,AND(MONTH(WORKDAY(F479,-(Setup!$C$13+Setup!$G$24),Setup!$C$39:$C$50))&gt;=Setup!$C$15,MONTH(WORKDAY(F479,-(Setup!$C$13+Setup!$G$24),Setup!$C$39:$C$50))&lt;=Setup!$C$16),OR(MONTH(WORKDAY(F479,-(Setup!$C$13+Setup!$G$24),Setup!$C$39:$C$50))&gt;=Setup!$C$15,MONTH(WORKDAY(F479,-(Setup!$C$13+Setup!$G$24),Setup!$C$39:$C$50))&lt;=Setup!$C$16))),WORKDAY(F479,-(Setup!$C$13+Setup!$G$24+Setup!$C$14),Setup!$C$39:$C$50),WORKDAY(F479,-(Setup!$C$13+Setup!$G$24),Setup!$C$39:$C$50))+(474*100+5)/10000000)))</f>
        <v/>
      </c>
      <c r="W479" t="str">
        <f>IF(G479="","",IF(G479&lt;Setup!$C$5-Setup!$C$6,"",IF(IF(ISNUMBER(Roster!$D479),Setup!$C$25&lt;=Roster!$D479,FALSE),"",IF(OR(IF(Setup!$C$15&lt;=Setup!$C$16,AND(MONTH(G479)&gt;=Setup!$C$15,MONTH(G479)&lt;=Setup!$C$16),OR(MONTH(G479)&gt;=Setup!$C$15,MONTH(G479)&lt;=Setup!$C$16)),IF(Setup!$C$15&lt;=Setup!$C$16,AND(MONTH(WORKDAY(G479,-(Setup!$C$13+Setup!$G$25),Setup!$C$39:$C$50))&gt;=Setup!$C$15,MONTH(WORKDAY(G479,-(Setup!$C$13+Setup!$G$25),Setup!$C$39:$C$50))&lt;=Setup!$C$16),OR(MONTH(WORKDAY(G479,-(Setup!$C$13+Setup!$G$25),Setup!$C$39:$C$50))&gt;=Setup!$C$15,MONTH(WORKDAY(G479,-(Setup!$C$13+Setup!$G$25),Setup!$C$39:$C$50))&lt;=Setup!$C$16))),WORKDAY(G479,-(Setup!$C$13+Setup!$G$25+Setup!$C$14),Setup!$C$39:$C$50),WORKDAY(G479,-(Setup!$C$13+Setup!$G$25),Setup!$C$39:$C$50))+(474*100+6)/10000000)))</f>
        <v/>
      </c>
      <c r="X479" t="str">
        <f>IF(H479="","",IF(H479&lt;Setup!$C$5-Setup!$C$6,"",IF(IF(ISNUMBER(Roster!$D479),Setup!$C$26&lt;=Roster!$D479,FALSE),"",IF(OR(IF(Setup!$C$15&lt;=Setup!$C$16,AND(MONTH(H479)&gt;=Setup!$C$15,MONTH(H479)&lt;=Setup!$C$16),OR(MONTH(H479)&gt;=Setup!$C$15,MONTH(H479)&lt;=Setup!$C$16)),IF(Setup!$C$15&lt;=Setup!$C$16,AND(MONTH(WORKDAY(H479,-(Setup!$C$13+Setup!$G$26),Setup!$C$39:$C$50))&gt;=Setup!$C$15,MONTH(WORKDAY(H479,-(Setup!$C$13+Setup!$G$26),Setup!$C$39:$C$50))&lt;=Setup!$C$16),OR(MONTH(WORKDAY(H479,-(Setup!$C$13+Setup!$G$26),Setup!$C$39:$C$50))&gt;=Setup!$C$15,MONTH(WORKDAY(H479,-(Setup!$C$13+Setup!$G$26),Setup!$C$39:$C$50))&lt;=Setup!$C$16))),WORKDAY(H479,-(Setup!$C$13+Setup!$G$26+Setup!$C$14),Setup!$C$39:$C$50),WORKDAY(H479,-(Setup!$C$13+Setup!$G$26),Setup!$C$39:$C$50))+(474*100+7)/10000000)))</f>
        <v/>
      </c>
      <c r="Y479" t="str">
        <f>IF(I479="","",IF(I479&lt;Setup!$C$5-Setup!$C$6,"",IF(IF(ISNUMBER(Roster!$D479),Setup!$C$27&lt;=Roster!$D479,FALSE),"",IF(OR(IF(Setup!$C$15&lt;=Setup!$C$16,AND(MONTH(I479)&gt;=Setup!$C$15,MONTH(I479)&lt;=Setup!$C$16),OR(MONTH(I479)&gt;=Setup!$C$15,MONTH(I479)&lt;=Setup!$C$16)),IF(Setup!$C$15&lt;=Setup!$C$16,AND(MONTH(WORKDAY(I479,-(Setup!$C$13+Setup!$G$27),Setup!$C$39:$C$50))&gt;=Setup!$C$15,MONTH(WORKDAY(I479,-(Setup!$C$13+Setup!$G$27),Setup!$C$39:$C$50))&lt;=Setup!$C$16),OR(MONTH(WORKDAY(I479,-(Setup!$C$13+Setup!$G$27),Setup!$C$39:$C$50))&gt;=Setup!$C$15,MONTH(WORKDAY(I479,-(Setup!$C$13+Setup!$G$27),Setup!$C$39:$C$50))&lt;=Setup!$C$16))),WORKDAY(I479,-(Setup!$C$13+Setup!$G$27+Setup!$C$14),Setup!$C$39:$C$50),WORKDAY(I479,-(Setup!$C$13+Setup!$G$27),Setup!$C$39:$C$50))+(474*100+8)/10000000)))</f>
        <v/>
      </c>
      <c r="Z479" t="str">
        <f>IF(J479="","",IF(J479&lt;Setup!$C$5-Setup!$C$6,"",IF(IF(ISNUMBER(Roster!$D479),Setup!$C$28&lt;=Roster!$D479,FALSE),"",IF(OR(IF(Setup!$C$15&lt;=Setup!$C$16,AND(MONTH(J479)&gt;=Setup!$C$15,MONTH(J479)&lt;=Setup!$C$16),OR(MONTH(J479)&gt;=Setup!$C$15,MONTH(J479)&lt;=Setup!$C$16)),IF(Setup!$C$15&lt;=Setup!$C$16,AND(MONTH(WORKDAY(J479,-(Setup!$C$13+Setup!$G$28),Setup!$C$39:$C$50))&gt;=Setup!$C$15,MONTH(WORKDAY(J479,-(Setup!$C$13+Setup!$G$28),Setup!$C$39:$C$50))&lt;=Setup!$C$16),OR(MONTH(WORKDAY(J479,-(Setup!$C$13+Setup!$G$28),Setup!$C$39:$C$50))&gt;=Setup!$C$15,MONTH(WORKDAY(J479,-(Setup!$C$13+Setup!$G$28),Setup!$C$39:$C$50))&lt;=Setup!$C$16))),WORKDAY(J479,-(Setup!$C$13+Setup!$G$28+Setup!$C$14),Setup!$C$39:$C$50),WORKDAY(J479,-(Setup!$C$13+Setup!$G$28),Setup!$C$39:$C$50))+(474*100+9)/10000000)))</f>
        <v/>
      </c>
      <c r="AA479" t="str">
        <f>IF(K479="","",IF(K479&lt;Setup!$C$5-Setup!$C$6,"",IF(IF(ISNUMBER(Roster!$D479),Setup!$C$29&lt;=Roster!$D479,FALSE),"",IF(OR(IF(Setup!$C$15&lt;=Setup!$C$16,AND(MONTH(K479)&gt;=Setup!$C$15,MONTH(K479)&lt;=Setup!$C$16),OR(MONTH(K479)&gt;=Setup!$C$15,MONTH(K479)&lt;=Setup!$C$16)),IF(Setup!$C$15&lt;=Setup!$C$16,AND(MONTH(WORKDAY(K479,-(Setup!$C$13+Setup!$G$29),Setup!$C$39:$C$50))&gt;=Setup!$C$15,MONTH(WORKDAY(K479,-(Setup!$C$13+Setup!$G$29),Setup!$C$39:$C$50))&lt;=Setup!$C$16),OR(MONTH(WORKDAY(K479,-(Setup!$C$13+Setup!$G$29),Setup!$C$39:$C$50))&gt;=Setup!$C$15,MONTH(WORKDAY(K479,-(Setup!$C$13+Setup!$G$29),Setup!$C$39:$C$50))&lt;=Setup!$C$16))),WORKDAY(K479,-(Setup!$C$13+Setup!$G$29+Setup!$C$14),Setup!$C$39:$C$50),WORKDAY(K479,-(Setup!$C$13+Setup!$G$29),Setup!$C$39:$C$50))+(474*100+10)/10000000)))</f>
        <v/>
      </c>
      <c r="AB479" t="str">
        <f>IF(L479="","",IF(L479&lt;Setup!$C$5-Setup!$C$6,"",IF(IF(ISNUMBER(Roster!$D479),Setup!$C$30&lt;=Roster!$D479,FALSE),"",IF(OR(IF(Setup!$C$15&lt;=Setup!$C$16,AND(MONTH(L479)&gt;=Setup!$C$15,MONTH(L479)&lt;=Setup!$C$16),OR(MONTH(L479)&gt;=Setup!$C$15,MONTH(L479)&lt;=Setup!$C$16)),IF(Setup!$C$15&lt;=Setup!$C$16,AND(MONTH(WORKDAY(L479,-(Setup!$C$13+Setup!$G$30),Setup!$C$39:$C$50))&gt;=Setup!$C$15,MONTH(WORKDAY(L479,-(Setup!$C$13+Setup!$G$30),Setup!$C$39:$C$50))&lt;=Setup!$C$16),OR(MONTH(WORKDAY(L479,-(Setup!$C$13+Setup!$G$30),Setup!$C$39:$C$50))&gt;=Setup!$C$15,MONTH(WORKDAY(L479,-(Setup!$C$13+Setup!$G$30),Setup!$C$39:$C$50))&lt;=Setup!$C$16))),WORKDAY(L479,-(Setup!$C$13+Setup!$G$30+Setup!$C$14),Setup!$C$39:$C$50),WORKDAY(L479,-(Setup!$C$13+Setup!$G$30),Setup!$C$39:$C$50))+(474*100+11)/10000000)))</f>
        <v/>
      </c>
      <c r="AC479" t="str">
        <f>IF(M479="","",IF(M479&lt;Setup!$C$5-Setup!$C$6,"",IF(IF(ISNUMBER(Roster!$D479),Setup!$C$31&lt;=Roster!$D479,FALSE),"",IF(OR(IF(Setup!$C$15&lt;=Setup!$C$16,AND(MONTH(M479)&gt;=Setup!$C$15,MONTH(M479)&lt;=Setup!$C$16),OR(MONTH(M479)&gt;=Setup!$C$15,MONTH(M479)&lt;=Setup!$C$16)),IF(Setup!$C$15&lt;=Setup!$C$16,AND(MONTH(WORKDAY(M479,-(Setup!$C$13+Setup!$G$31),Setup!$C$39:$C$50))&gt;=Setup!$C$15,MONTH(WORKDAY(M479,-(Setup!$C$13+Setup!$G$31),Setup!$C$39:$C$50))&lt;=Setup!$C$16),OR(MONTH(WORKDAY(M479,-(Setup!$C$13+Setup!$G$31),Setup!$C$39:$C$50))&gt;=Setup!$C$15,MONTH(WORKDAY(M479,-(Setup!$C$13+Setup!$G$31),Setup!$C$39:$C$50))&lt;=Setup!$C$16))),WORKDAY(M479,-(Setup!$C$13+Setup!$G$31+Setup!$C$14),Setup!$C$39:$C$50),WORKDAY(M479,-(Setup!$C$13+Setup!$G$31),Setup!$C$39:$C$50))+(474*100+12)/10000000)))</f>
        <v/>
      </c>
      <c r="AD479" t="str">
        <f>IF(N479="","",IF(N479&lt;Setup!$C$5-Setup!$C$6,"",IF(IF(ISNUMBER(Roster!$D479),Setup!$C$32&lt;=Roster!$D479,FALSE),"",IF(OR(IF(Setup!$C$15&lt;=Setup!$C$16,AND(MONTH(N479)&gt;=Setup!$C$15,MONTH(N479)&lt;=Setup!$C$16),OR(MONTH(N479)&gt;=Setup!$C$15,MONTH(N479)&lt;=Setup!$C$16)),IF(Setup!$C$15&lt;=Setup!$C$16,AND(MONTH(WORKDAY(N479,-(Setup!$C$13+Setup!$G$32),Setup!$C$39:$C$50))&gt;=Setup!$C$15,MONTH(WORKDAY(N479,-(Setup!$C$13+Setup!$G$32),Setup!$C$39:$C$50))&lt;=Setup!$C$16),OR(MONTH(WORKDAY(N479,-(Setup!$C$13+Setup!$G$32),Setup!$C$39:$C$50))&gt;=Setup!$C$15,MONTH(WORKDAY(N479,-(Setup!$C$13+Setup!$G$32),Setup!$C$39:$C$50))&lt;=Setup!$C$16))),WORKDAY(N479,-(Setup!$C$13+Setup!$G$32+Setup!$C$14),Setup!$C$39:$C$50),WORKDAY(N479,-(Setup!$C$13+Setup!$G$32),Setup!$C$39:$C$50))+(474*100+13)/10000000)))</f>
        <v/>
      </c>
      <c r="AE479" t="str">
        <f>IF(O479="","",IF(O479&lt;Setup!$C$5-Setup!$C$6,"",IF(IF(ISNUMBER(Roster!$D479),Setup!$C$33&lt;=Roster!$D479,FALSE),"",IF(OR(IF(Setup!$C$15&lt;=Setup!$C$16,AND(MONTH(O479)&gt;=Setup!$C$15,MONTH(O479)&lt;=Setup!$C$16),OR(MONTH(O479)&gt;=Setup!$C$15,MONTH(O479)&lt;=Setup!$C$16)),IF(Setup!$C$15&lt;=Setup!$C$16,AND(MONTH(WORKDAY(O479,-(Setup!$C$13+Setup!$G$33),Setup!$C$39:$C$50))&gt;=Setup!$C$15,MONTH(WORKDAY(O479,-(Setup!$C$13+Setup!$G$33),Setup!$C$39:$C$50))&lt;=Setup!$C$16),OR(MONTH(WORKDAY(O479,-(Setup!$C$13+Setup!$G$33),Setup!$C$39:$C$50))&gt;=Setup!$C$15,MONTH(WORKDAY(O479,-(Setup!$C$13+Setup!$G$33),Setup!$C$39:$C$50))&lt;=Setup!$C$16))),WORKDAY(O479,-(Setup!$C$13+Setup!$G$33+Setup!$C$14),Setup!$C$39:$C$50),WORKDAY(O479,-(Setup!$C$13+Setup!$G$33),Setup!$C$39:$C$50))+(474*100+14)/10000000)))</f>
        <v/>
      </c>
      <c r="AF479" t="str">
        <f>IF(P479="","",IF(P479&lt;Setup!$C$5-Setup!$C$6,"",IF(IF(ISNUMBER(Roster!$D479),Setup!$C$34&lt;=Roster!$D479,FALSE),"",IF(OR(IF(Setup!$C$15&lt;=Setup!$C$16,AND(MONTH(P479)&gt;=Setup!$C$15,MONTH(P479)&lt;=Setup!$C$16),OR(MONTH(P479)&gt;=Setup!$C$15,MONTH(P479)&lt;=Setup!$C$16)),IF(Setup!$C$15&lt;=Setup!$C$16,AND(MONTH(WORKDAY(P479,-(Setup!$C$13+Setup!$G$34),Setup!$C$39:$C$50))&gt;=Setup!$C$15,MONTH(WORKDAY(P479,-(Setup!$C$13+Setup!$G$34),Setup!$C$39:$C$50))&lt;=Setup!$C$16),OR(MONTH(WORKDAY(P479,-(Setup!$C$13+Setup!$G$34),Setup!$C$39:$C$50))&gt;=Setup!$C$15,MONTH(WORKDAY(P479,-(Setup!$C$13+Setup!$G$34),Setup!$C$39:$C$50))&lt;=Setup!$C$16))),WORKDAY(P479,-(Setup!$C$13+Setup!$G$34+Setup!$C$14),Setup!$C$39:$C$50),WORKDAY(P479,-(Setup!$C$13+Setup!$G$34),Setup!$C$39:$C$50))+(474*100+15)/10000000)))</f>
        <v/>
      </c>
      <c r="AH479" t="str">
        <f t="shared" si="51"/>
        <v/>
      </c>
      <c r="AI479" t="str">
        <f t="shared" si="52"/>
        <v/>
      </c>
      <c r="AP479" t="str">
        <f>IF(ISNUMBER(Roster!$B479),MAX(1,YEAR(Setup!$C$5)-YEAR(Roster!$B479)+IF(EDATE(Roster!$B479,12*(YEAR(Setup!$C$5)-YEAR(Roster!$B479)))&lt;Setup!$C$5,1,0)),"")</f>
        <v/>
      </c>
      <c r="AQ479" s="32" t="str">
        <f>IF(AP479="","",EDATE(Roster!$B479,12*AP479))</f>
        <v/>
      </c>
      <c r="AR479" t="str">
        <f>IF(AQ479="","",IF(AQ479&lt;DATE(YEAR(Setup!$C$5)+1,MONTH(Setup!$C$5),DAY(Setup!$C$5)),AQ479+474/1000,""))</f>
        <v/>
      </c>
      <c r="AS479" t="str">
        <f t="shared" si="53"/>
        <v/>
      </c>
      <c r="AT479" t="str">
        <f>IF(AS479="","",IF(ISNUMBER(Roster!$D479),Roster!$D479&gt;=AP479,FALSE))</f>
        <v/>
      </c>
      <c r="AU479" t="str">
        <f t="shared" si="54"/>
        <v/>
      </c>
      <c r="AV479" t="str">
        <f ca="1">IF(474&gt;$AV$2,"",SMALL($AR$6:$AR$505,474))</f>
        <v/>
      </c>
      <c r="AW479" t="str">
        <f t="shared" ca="1" si="55"/>
        <v/>
      </c>
    </row>
    <row r="480" spans="2:49" x14ac:dyDescent="0.2">
      <c r="B480" s="32" t="str">
        <f>IF(AND(ISNUMBER(Roster!$B480),Setup!$B$20="Yes",ISNUMBER(Setup!$C$20)),EDATE(Roster!$B480,12*Setup!$C$20),"")</f>
        <v/>
      </c>
      <c r="C480" s="32" t="str">
        <f>IF(AND(ISNUMBER(Roster!$B480),Setup!$B$21="Yes",ISNUMBER(Setup!$C$21)),EDATE(Roster!$B480,12*Setup!$C$21),"")</f>
        <v/>
      </c>
      <c r="D480" s="32" t="str">
        <f>IF(AND(ISNUMBER(Roster!$B480),Setup!$B$22="Yes",ISNUMBER(Setup!$C$22)),EDATE(Roster!$B480,12*Setup!$C$22),"")</f>
        <v/>
      </c>
      <c r="E480" s="32" t="str">
        <f>IF(AND(ISNUMBER(Roster!$B480),Setup!$B$23="Yes",ISNUMBER(Setup!$C$23)),EDATE(Roster!$B480,12*Setup!$C$23),"")</f>
        <v/>
      </c>
      <c r="F480" s="32" t="str">
        <f>IF(AND(ISNUMBER(Roster!$B480),Setup!$B$24="Yes",ISNUMBER(Setup!$C$24)),EDATE(Roster!$B480,12*Setup!$C$24),"")</f>
        <v/>
      </c>
      <c r="G480" s="32" t="str">
        <f>IF(AND(ISNUMBER(Roster!$B480),Setup!$B$25="Yes",ISNUMBER(Setup!$C$25)),EDATE(Roster!$B480,12*Setup!$C$25),"")</f>
        <v/>
      </c>
      <c r="H480" s="32" t="str">
        <f>IF(AND(ISNUMBER(Roster!$B480),Setup!$B$26="Yes",ISNUMBER(Setup!$C$26)),EDATE(Roster!$B480,12*Setup!$C$26),"")</f>
        <v/>
      </c>
      <c r="I480" s="32" t="str">
        <f>IF(AND(ISNUMBER(Roster!$B480),Setup!$B$27="Yes",ISNUMBER(Setup!$C$27)),EDATE(Roster!$B480,12*Setup!$C$27),"")</f>
        <v/>
      </c>
      <c r="J480" s="32" t="str">
        <f>IF(AND(ISNUMBER(Roster!$B480),Setup!$B$28="Yes",ISNUMBER(Setup!$C$28)),EDATE(Roster!$B480,12*Setup!$C$28),"")</f>
        <v/>
      </c>
      <c r="K480" s="32" t="str">
        <f>IF(AND(ISNUMBER(Roster!$B480),Setup!$B$29="Yes",ISNUMBER(Setup!$C$29)),EDATE(Roster!$B480,12*Setup!$C$29),"")</f>
        <v/>
      </c>
      <c r="L480" s="32" t="str">
        <f>IF(AND(ISNUMBER(Roster!$B480),Setup!$B$30="Yes",ISNUMBER(Setup!$C$30)),EDATE(Roster!$B480,12*Setup!$C$30),"")</f>
        <v/>
      </c>
      <c r="M480" s="32" t="str">
        <f>IF(AND(ISNUMBER(Roster!$B480),Setup!$B$31="Yes",ISNUMBER(Setup!$C$31)),EDATE(Roster!$B480,12*Setup!$C$31),"")</f>
        <v/>
      </c>
      <c r="N480" s="32" t="str">
        <f>IF(AND(ISNUMBER(Roster!$B480),Setup!$B$32="Yes",ISNUMBER(Setup!$C$32)),EDATE(Roster!$B480,12*Setup!$C$32),"")</f>
        <v/>
      </c>
      <c r="O480" s="32" t="str">
        <f>IF(AND(ISNUMBER(Roster!$B480),Setup!$B$33="Yes",ISNUMBER(Setup!$C$33)),EDATE(Roster!$B480,12*Setup!$C$33),"")</f>
        <v/>
      </c>
      <c r="P480" s="32" t="str">
        <f>IF(AND(ISNUMBER(Roster!$B480),Setup!$B$34="Yes",ISNUMBER(Setup!$C$34)),EDATE(Roster!$B480,12*Setup!$C$34),"")</f>
        <v/>
      </c>
      <c r="R480" t="str">
        <f>IF(B480="","",IF(B480&lt;Setup!$C$5-Setup!$C$6,"",IF(IF(ISNUMBER(Roster!$D480),Setup!$C$20&lt;=Roster!$D480,FALSE),"",IF(OR(IF(Setup!$C$15&lt;=Setup!$C$16,AND(MONTH(B480)&gt;=Setup!$C$15,MONTH(B480)&lt;=Setup!$C$16),OR(MONTH(B480)&gt;=Setup!$C$15,MONTH(B480)&lt;=Setup!$C$16)),IF(Setup!$C$15&lt;=Setup!$C$16,AND(MONTH(WORKDAY(B480,-(Setup!$C$13+Setup!$G$20),Setup!$C$39:$C$50))&gt;=Setup!$C$15,MONTH(WORKDAY(B480,-(Setup!$C$13+Setup!$G$20),Setup!$C$39:$C$50))&lt;=Setup!$C$16),OR(MONTH(WORKDAY(B480,-(Setup!$C$13+Setup!$G$20),Setup!$C$39:$C$50))&gt;=Setup!$C$15,MONTH(WORKDAY(B480,-(Setup!$C$13+Setup!$G$20),Setup!$C$39:$C$50))&lt;=Setup!$C$16))),WORKDAY(B480,-(Setup!$C$13+Setup!$G$20+Setup!$C$14),Setup!$C$39:$C$50),WORKDAY(B480,-(Setup!$C$13+Setup!$G$20),Setup!$C$39:$C$50))+(475*100+1)/10000000)))</f>
        <v/>
      </c>
      <c r="S480" t="str">
        <f>IF(C480="","",IF(C480&lt;Setup!$C$5-Setup!$C$6,"",IF(IF(ISNUMBER(Roster!$D480),Setup!$C$21&lt;=Roster!$D480,FALSE),"",IF(OR(IF(Setup!$C$15&lt;=Setup!$C$16,AND(MONTH(C480)&gt;=Setup!$C$15,MONTH(C480)&lt;=Setup!$C$16),OR(MONTH(C480)&gt;=Setup!$C$15,MONTH(C480)&lt;=Setup!$C$16)),IF(Setup!$C$15&lt;=Setup!$C$16,AND(MONTH(WORKDAY(C480,-(Setup!$C$13+Setup!$G$21),Setup!$C$39:$C$50))&gt;=Setup!$C$15,MONTH(WORKDAY(C480,-(Setup!$C$13+Setup!$G$21),Setup!$C$39:$C$50))&lt;=Setup!$C$16),OR(MONTH(WORKDAY(C480,-(Setup!$C$13+Setup!$G$21),Setup!$C$39:$C$50))&gt;=Setup!$C$15,MONTH(WORKDAY(C480,-(Setup!$C$13+Setup!$G$21),Setup!$C$39:$C$50))&lt;=Setup!$C$16))),WORKDAY(C480,-(Setup!$C$13+Setup!$G$21+Setup!$C$14),Setup!$C$39:$C$50),WORKDAY(C480,-(Setup!$C$13+Setup!$G$21),Setup!$C$39:$C$50))+(475*100+2)/10000000)))</f>
        <v/>
      </c>
      <c r="T480" t="str">
        <f>IF(D480="","",IF(D480&lt;Setup!$C$5-Setup!$C$6,"",IF(IF(ISNUMBER(Roster!$D480),Setup!$C$22&lt;=Roster!$D480,FALSE),"",IF(OR(IF(Setup!$C$15&lt;=Setup!$C$16,AND(MONTH(D480)&gt;=Setup!$C$15,MONTH(D480)&lt;=Setup!$C$16),OR(MONTH(D480)&gt;=Setup!$C$15,MONTH(D480)&lt;=Setup!$C$16)),IF(Setup!$C$15&lt;=Setup!$C$16,AND(MONTH(WORKDAY(D480,-(Setup!$C$13+Setup!$G$22),Setup!$C$39:$C$50))&gt;=Setup!$C$15,MONTH(WORKDAY(D480,-(Setup!$C$13+Setup!$G$22),Setup!$C$39:$C$50))&lt;=Setup!$C$16),OR(MONTH(WORKDAY(D480,-(Setup!$C$13+Setup!$G$22),Setup!$C$39:$C$50))&gt;=Setup!$C$15,MONTH(WORKDAY(D480,-(Setup!$C$13+Setup!$G$22),Setup!$C$39:$C$50))&lt;=Setup!$C$16))),WORKDAY(D480,-(Setup!$C$13+Setup!$G$22+Setup!$C$14),Setup!$C$39:$C$50),WORKDAY(D480,-(Setup!$C$13+Setup!$G$22),Setup!$C$39:$C$50))+(475*100+3)/10000000)))</f>
        <v/>
      </c>
      <c r="U480" t="str">
        <f>IF(E480="","",IF(E480&lt;Setup!$C$5-Setup!$C$6,"",IF(IF(ISNUMBER(Roster!$D480),Setup!$C$23&lt;=Roster!$D480,FALSE),"",IF(OR(IF(Setup!$C$15&lt;=Setup!$C$16,AND(MONTH(E480)&gt;=Setup!$C$15,MONTH(E480)&lt;=Setup!$C$16),OR(MONTH(E480)&gt;=Setup!$C$15,MONTH(E480)&lt;=Setup!$C$16)),IF(Setup!$C$15&lt;=Setup!$C$16,AND(MONTH(WORKDAY(E480,-(Setup!$C$13+Setup!$G$23),Setup!$C$39:$C$50))&gt;=Setup!$C$15,MONTH(WORKDAY(E480,-(Setup!$C$13+Setup!$G$23),Setup!$C$39:$C$50))&lt;=Setup!$C$16),OR(MONTH(WORKDAY(E480,-(Setup!$C$13+Setup!$G$23),Setup!$C$39:$C$50))&gt;=Setup!$C$15,MONTH(WORKDAY(E480,-(Setup!$C$13+Setup!$G$23),Setup!$C$39:$C$50))&lt;=Setup!$C$16))),WORKDAY(E480,-(Setup!$C$13+Setup!$G$23+Setup!$C$14),Setup!$C$39:$C$50),WORKDAY(E480,-(Setup!$C$13+Setup!$G$23),Setup!$C$39:$C$50))+(475*100+4)/10000000)))</f>
        <v/>
      </c>
      <c r="V480" t="str">
        <f>IF(F480="","",IF(F480&lt;Setup!$C$5-Setup!$C$6,"",IF(IF(ISNUMBER(Roster!$D480),Setup!$C$24&lt;=Roster!$D480,FALSE),"",IF(OR(IF(Setup!$C$15&lt;=Setup!$C$16,AND(MONTH(F480)&gt;=Setup!$C$15,MONTH(F480)&lt;=Setup!$C$16),OR(MONTH(F480)&gt;=Setup!$C$15,MONTH(F480)&lt;=Setup!$C$16)),IF(Setup!$C$15&lt;=Setup!$C$16,AND(MONTH(WORKDAY(F480,-(Setup!$C$13+Setup!$G$24),Setup!$C$39:$C$50))&gt;=Setup!$C$15,MONTH(WORKDAY(F480,-(Setup!$C$13+Setup!$G$24),Setup!$C$39:$C$50))&lt;=Setup!$C$16),OR(MONTH(WORKDAY(F480,-(Setup!$C$13+Setup!$G$24),Setup!$C$39:$C$50))&gt;=Setup!$C$15,MONTH(WORKDAY(F480,-(Setup!$C$13+Setup!$G$24),Setup!$C$39:$C$50))&lt;=Setup!$C$16))),WORKDAY(F480,-(Setup!$C$13+Setup!$G$24+Setup!$C$14),Setup!$C$39:$C$50),WORKDAY(F480,-(Setup!$C$13+Setup!$G$24),Setup!$C$39:$C$50))+(475*100+5)/10000000)))</f>
        <v/>
      </c>
      <c r="W480" t="str">
        <f>IF(G480="","",IF(G480&lt;Setup!$C$5-Setup!$C$6,"",IF(IF(ISNUMBER(Roster!$D480),Setup!$C$25&lt;=Roster!$D480,FALSE),"",IF(OR(IF(Setup!$C$15&lt;=Setup!$C$16,AND(MONTH(G480)&gt;=Setup!$C$15,MONTH(G480)&lt;=Setup!$C$16),OR(MONTH(G480)&gt;=Setup!$C$15,MONTH(G480)&lt;=Setup!$C$16)),IF(Setup!$C$15&lt;=Setup!$C$16,AND(MONTH(WORKDAY(G480,-(Setup!$C$13+Setup!$G$25),Setup!$C$39:$C$50))&gt;=Setup!$C$15,MONTH(WORKDAY(G480,-(Setup!$C$13+Setup!$G$25),Setup!$C$39:$C$50))&lt;=Setup!$C$16),OR(MONTH(WORKDAY(G480,-(Setup!$C$13+Setup!$G$25),Setup!$C$39:$C$50))&gt;=Setup!$C$15,MONTH(WORKDAY(G480,-(Setup!$C$13+Setup!$G$25),Setup!$C$39:$C$50))&lt;=Setup!$C$16))),WORKDAY(G480,-(Setup!$C$13+Setup!$G$25+Setup!$C$14),Setup!$C$39:$C$50),WORKDAY(G480,-(Setup!$C$13+Setup!$G$25),Setup!$C$39:$C$50))+(475*100+6)/10000000)))</f>
        <v/>
      </c>
      <c r="X480" t="str">
        <f>IF(H480="","",IF(H480&lt;Setup!$C$5-Setup!$C$6,"",IF(IF(ISNUMBER(Roster!$D480),Setup!$C$26&lt;=Roster!$D480,FALSE),"",IF(OR(IF(Setup!$C$15&lt;=Setup!$C$16,AND(MONTH(H480)&gt;=Setup!$C$15,MONTH(H480)&lt;=Setup!$C$16),OR(MONTH(H480)&gt;=Setup!$C$15,MONTH(H480)&lt;=Setup!$C$16)),IF(Setup!$C$15&lt;=Setup!$C$16,AND(MONTH(WORKDAY(H480,-(Setup!$C$13+Setup!$G$26),Setup!$C$39:$C$50))&gt;=Setup!$C$15,MONTH(WORKDAY(H480,-(Setup!$C$13+Setup!$G$26),Setup!$C$39:$C$50))&lt;=Setup!$C$16),OR(MONTH(WORKDAY(H480,-(Setup!$C$13+Setup!$G$26),Setup!$C$39:$C$50))&gt;=Setup!$C$15,MONTH(WORKDAY(H480,-(Setup!$C$13+Setup!$G$26),Setup!$C$39:$C$50))&lt;=Setup!$C$16))),WORKDAY(H480,-(Setup!$C$13+Setup!$G$26+Setup!$C$14),Setup!$C$39:$C$50),WORKDAY(H480,-(Setup!$C$13+Setup!$G$26),Setup!$C$39:$C$50))+(475*100+7)/10000000)))</f>
        <v/>
      </c>
      <c r="Y480" t="str">
        <f>IF(I480="","",IF(I480&lt;Setup!$C$5-Setup!$C$6,"",IF(IF(ISNUMBER(Roster!$D480),Setup!$C$27&lt;=Roster!$D480,FALSE),"",IF(OR(IF(Setup!$C$15&lt;=Setup!$C$16,AND(MONTH(I480)&gt;=Setup!$C$15,MONTH(I480)&lt;=Setup!$C$16),OR(MONTH(I480)&gt;=Setup!$C$15,MONTH(I480)&lt;=Setup!$C$16)),IF(Setup!$C$15&lt;=Setup!$C$16,AND(MONTH(WORKDAY(I480,-(Setup!$C$13+Setup!$G$27),Setup!$C$39:$C$50))&gt;=Setup!$C$15,MONTH(WORKDAY(I480,-(Setup!$C$13+Setup!$G$27),Setup!$C$39:$C$50))&lt;=Setup!$C$16),OR(MONTH(WORKDAY(I480,-(Setup!$C$13+Setup!$G$27),Setup!$C$39:$C$50))&gt;=Setup!$C$15,MONTH(WORKDAY(I480,-(Setup!$C$13+Setup!$G$27),Setup!$C$39:$C$50))&lt;=Setup!$C$16))),WORKDAY(I480,-(Setup!$C$13+Setup!$G$27+Setup!$C$14),Setup!$C$39:$C$50),WORKDAY(I480,-(Setup!$C$13+Setup!$G$27),Setup!$C$39:$C$50))+(475*100+8)/10000000)))</f>
        <v/>
      </c>
      <c r="Z480" t="str">
        <f>IF(J480="","",IF(J480&lt;Setup!$C$5-Setup!$C$6,"",IF(IF(ISNUMBER(Roster!$D480),Setup!$C$28&lt;=Roster!$D480,FALSE),"",IF(OR(IF(Setup!$C$15&lt;=Setup!$C$16,AND(MONTH(J480)&gt;=Setup!$C$15,MONTH(J480)&lt;=Setup!$C$16),OR(MONTH(J480)&gt;=Setup!$C$15,MONTH(J480)&lt;=Setup!$C$16)),IF(Setup!$C$15&lt;=Setup!$C$16,AND(MONTH(WORKDAY(J480,-(Setup!$C$13+Setup!$G$28),Setup!$C$39:$C$50))&gt;=Setup!$C$15,MONTH(WORKDAY(J480,-(Setup!$C$13+Setup!$G$28),Setup!$C$39:$C$50))&lt;=Setup!$C$16),OR(MONTH(WORKDAY(J480,-(Setup!$C$13+Setup!$G$28),Setup!$C$39:$C$50))&gt;=Setup!$C$15,MONTH(WORKDAY(J480,-(Setup!$C$13+Setup!$G$28),Setup!$C$39:$C$50))&lt;=Setup!$C$16))),WORKDAY(J480,-(Setup!$C$13+Setup!$G$28+Setup!$C$14),Setup!$C$39:$C$50),WORKDAY(J480,-(Setup!$C$13+Setup!$G$28),Setup!$C$39:$C$50))+(475*100+9)/10000000)))</f>
        <v/>
      </c>
      <c r="AA480" t="str">
        <f>IF(K480="","",IF(K480&lt;Setup!$C$5-Setup!$C$6,"",IF(IF(ISNUMBER(Roster!$D480),Setup!$C$29&lt;=Roster!$D480,FALSE),"",IF(OR(IF(Setup!$C$15&lt;=Setup!$C$16,AND(MONTH(K480)&gt;=Setup!$C$15,MONTH(K480)&lt;=Setup!$C$16),OR(MONTH(K480)&gt;=Setup!$C$15,MONTH(K480)&lt;=Setup!$C$16)),IF(Setup!$C$15&lt;=Setup!$C$16,AND(MONTH(WORKDAY(K480,-(Setup!$C$13+Setup!$G$29),Setup!$C$39:$C$50))&gt;=Setup!$C$15,MONTH(WORKDAY(K480,-(Setup!$C$13+Setup!$G$29),Setup!$C$39:$C$50))&lt;=Setup!$C$16),OR(MONTH(WORKDAY(K480,-(Setup!$C$13+Setup!$G$29),Setup!$C$39:$C$50))&gt;=Setup!$C$15,MONTH(WORKDAY(K480,-(Setup!$C$13+Setup!$G$29),Setup!$C$39:$C$50))&lt;=Setup!$C$16))),WORKDAY(K480,-(Setup!$C$13+Setup!$G$29+Setup!$C$14),Setup!$C$39:$C$50),WORKDAY(K480,-(Setup!$C$13+Setup!$G$29),Setup!$C$39:$C$50))+(475*100+10)/10000000)))</f>
        <v/>
      </c>
      <c r="AB480" t="str">
        <f>IF(L480="","",IF(L480&lt;Setup!$C$5-Setup!$C$6,"",IF(IF(ISNUMBER(Roster!$D480),Setup!$C$30&lt;=Roster!$D480,FALSE),"",IF(OR(IF(Setup!$C$15&lt;=Setup!$C$16,AND(MONTH(L480)&gt;=Setup!$C$15,MONTH(L480)&lt;=Setup!$C$16),OR(MONTH(L480)&gt;=Setup!$C$15,MONTH(L480)&lt;=Setup!$C$16)),IF(Setup!$C$15&lt;=Setup!$C$16,AND(MONTH(WORKDAY(L480,-(Setup!$C$13+Setup!$G$30),Setup!$C$39:$C$50))&gt;=Setup!$C$15,MONTH(WORKDAY(L480,-(Setup!$C$13+Setup!$G$30),Setup!$C$39:$C$50))&lt;=Setup!$C$16),OR(MONTH(WORKDAY(L480,-(Setup!$C$13+Setup!$G$30),Setup!$C$39:$C$50))&gt;=Setup!$C$15,MONTH(WORKDAY(L480,-(Setup!$C$13+Setup!$G$30),Setup!$C$39:$C$50))&lt;=Setup!$C$16))),WORKDAY(L480,-(Setup!$C$13+Setup!$G$30+Setup!$C$14),Setup!$C$39:$C$50),WORKDAY(L480,-(Setup!$C$13+Setup!$G$30),Setup!$C$39:$C$50))+(475*100+11)/10000000)))</f>
        <v/>
      </c>
      <c r="AC480" t="str">
        <f>IF(M480="","",IF(M480&lt;Setup!$C$5-Setup!$C$6,"",IF(IF(ISNUMBER(Roster!$D480),Setup!$C$31&lt;=Roster!$D480,FALSE),"",IF(OR(IF(Setup!$C$15&lt;=Setup!$C$16,AND(MONTH(M480)&gt;=Setup!$C$15,MONTH(M480)&lt;=Setup!$C$16),OR(MONTH(M480)&gt;=Setup!$C$15,MONTH(M480)&lt;=Setup!$C$16)),IF(Setup!$C$15&lt;=Setup!$C$16,AND(MONTH(WORKDAY(M480,-(Setup!$C$13+Setup!$G$31),Setup!$C$39:$C$50))&gt;=Setup!$C$15,MONTH(WORKDAY(M480,-(Setup!$C$13+Setup!$G$31),Setup!$C$39:$C$50))&lt;=Setup!$C$16),OR(MONTH(WORKDAY(M480,-(Setup!$C$13+Setup!$G$31),Setup!$C$39:$C$50))&gt;=Setup!$C$15,MONTH(WORKDAY(M480,-(Setup!$C$13+Setup!$G$31),Setup!$C$39:$C$50))&lt;=Setup!$C$16))),WORKDAY(M480,-(Setup!$C$13+Setup!$G$31+Setup!$C$14),Setup!$C$39:$C$50),WORKDAY(M480,-(Setup!$C$13+Setup!$G$31),Setup!$C$39:$C$50))+(475*100+12)/10000000)))</f>
        <v/>
      </c>
      <c r="AD480" t="str">
        <f>IF(N480="","",IF(N480&lt;Setup!$C$5-Setup!$C$6,"",IF(IF(ISNUMBER(Roster!$D480),Setup!$C$32&lt;=Roster!$D480,FALSE),"",IF(OR(IF(Setup!$C$15&lt;=Setup!$C$16,AND(MONTH(N480)&gt;=Setup!$C$15,MONTH(N480)&lt;=Setup!$C$16),OR(MONTH(N480)&gt;=Setup!$C$15,MONTH(N480)&lt;=Setup!$C$16)),IF(Setup!$C$15&lt;=Setup!$C$16,AND(MONTH(WORKDAY(N480,-(Setup!$C$13+Setup!$G$32),Setup!$C$39:$C$50))&gt;=Setup!$C$15,MONTH(WORKDAY(N480,-(Setup!$C$13+Setup!$G$32),Setup!$C$39:$C$50))&lt;=Setup!$C$16),OR(MONTH(WORKDAY(N480,-(Setup!$C$13+Setup!$G$32),Setup!$C$39:$C$50))&gt;=Setup!$C$15,MONTH(WORKDAY(N480,-(Setup!$C$13+Setup!$G$32),Setup!$C$39:$C$50))&lt;=Setup!$C$16))),WORKDAY(N480,-(Setup!$C$13+Setup!$G$32+Setup!$C$14),Setup!$C$39:$C$50),WORKDAY(N480,-(Setup!$C$13+Setup!$G$32),Setup!$C$39:$C$50))+(475*100+13)/10000000)))</f>
        <v/>
      </c>
      <c r="AE480" t="str">
        <f>IF(O480="","",IF(O480&lt;Setup!$C$5-Setup!$C$6,"",IF(IF(ISNUMBER(Roster!$D480),Setup!$C$33&lt;=Roster!$D480,FALSE),"",IF(OR(IF(Setup!$C$15&lt;=Setup!$C$16,AND(MONTH(O480)&gt;=Setup!$C$15,MONTH(O480)&lt;=Setup!$C$16),OR(MONTH(O480)&gt;=Setup!$C$15,MONTH(O480)&lt;=Setup!$C$16)),IF(Setup!$C$15&lt;=Setup!$C$16,AND(MONTH(WORKDAY(O480,-(Setup!$C$13+Setup!$G$33),Setup!$C$39:$C$50))&gt;=Setup!$C$15,MONTH(WORKDAY(O480,-(Setup!$C$13+Setup!$G$33),Setup!$C$39:$C$50))&lt;=Setup!$C$16),OR(MONTH(WORKDAY(O480,-(Setup!$C$13+Setup!$G$33),Setup!$C$39:$C$50))&gt;=Setup!$C$15,MONTH(WORKDAY(O480,-(Setup!$C$13+Setup!$G$33),Setup!$C$39:$C$50))&lt;=Setup!$C$16))),WORKDAY(O480,-(Setup!$C$13+Setup!$G$33+Setup!$C$14),Setup!$C$39:$C$50),WORKDAY(O480,-(Setup!$C$13+Setup!$G$33),Setup!$C$39:$C$50))+(475*100+14)/10000000)))</f>
        <v/>
      </c>
      <c r="AF480" t="str">
        <f>IF(P480="","",IF(P480&lt;Setup!$C$5-Setup!$C$6,"",IF(IF(ISNUMBER(Roster!$D480),Setup!$C$34&lt;=Roster!$D480,FALSE),"",IF(OR(IF(Setup!$C$15&lt;=Setup!$C$16,AND(MONTH(P480)&gt;=Setup!$C$15,MONTH(P480)&lt;=Setup!$C$16),OR(MONTH(P480)&gt;=Setup!$C$15,MONTH(P480)&lt;=Setup!$C$16)),IF(Setup!$C$15&lt;=Setup!$C$16,AND(MONTH(WORKDAY(P480,-(Setup!$C$13+Setup!$G$34),Setup!$C$39:$C$50))&gt;=Setup!$C$15,MONTH(WORKDAY(P480,-(Setup!$C$13+Setup!$G$34),Setup!$C$39:$C$50))&lt;=Setup!$C$16),OR(MONTH(WORKDAY(P480,-(Setup!$C$13+Setup!$G$34),Setup!$C$39:$C$50))&gt;=Setup!$C$15,MONTH(WORKDAY(P480,-(Setup!$C$13+Setup!$G$34),Setup!$C$39:$C$50))&lt;=Setup!$C$16))),WORKDAY(P480,-(Setup!$C$13+Setup!$G$34+Setup!$C$14),Setup!$C$39:$C$50),WORKDAY(P480,-(Setup!$C$13+Setup!$G$34),Setup!$C$39:$C$50))+(475*100+15)/10000000)))</f>
        <v/>
      </c>
      <c r="AH480" t="str">
        <f t="shared" si="51"/>
        <v/>
      </c>
      <c r="AI480" t="str">
        <f t="shared" si="52"/>
        <v/>
      </c>
      <c r="AP480" t="str">
        <f>IF(ISNUMBER(Roster!$B480),MAX(1,YEAR(Setup!$C$5)-YEAR(Roster!$B480)+IF(EDATE(Roster!$B480,12*(YEAR(Setup!$C$5)-YEAR(Roster!$B480)))&lt;Setup!$C$5,1,0)),"")</f>
        <v/>
      </c>
      <c r="AQ480" s="32" t="str">
        <f>IF(AP480="","",EDATE(Roster!$B480,12*AP480))</f>
        <v/>
      </c>
      <c r="AR480" t="str">
        <f>IF(AQ480="","",IF(AQ480&lt;DATE(YEAR(Setup!$C$5)+1,MONTH(Setup!$C$5),DAY(Setup!$C$5)),AQ480+475/1000,""))</f>
        <v/>
      </c>
      <c r="AS480" t="str">
        <f t="shared" si="53"/>
        <v/>
      </c>
      <c r="AT480" t="str">
        <f>IF(AS480="","",IF(ISNUMBER(Roster!$D480),Roster!$D480&gt;=AP480,FALSE))</f>
        <v/>
      </c>
      <c r="AU480" t="str">
        <f t="shared" si="54"/>
        <v/>
      </c>
      <c r="AV480" t="str">
        <f ca="1">IF(475&gt;$AV$2,"",SMALL($AR$6:$AR$505,475))</f>
        <v/>
      </c>
      <c r="AW480" t="str">
        <f t="shared" ca="1" si="55"/>
        <v/>
      </c>
    </row>
    <row r="481" spans="2:49" x14ac:dyDescent="0.2">
      <c r="B481" s="32" t="str">
        <f>IF(AND(ISNUMBER(Roster!$B481),Setup!$B$20="Yes",ISNUMBER(Setup!$C$20)),EDATE(Roster!$B481,12*Setup!$C$20),"")</f>
        <v/>
      </c>
      <c r="C481" s="32" t="str">
        <f>IF(AND(ISNUMBER(Roster!$B481),Setup!$B$21="Yes",ISNUMBER(Setup!$C$21)),EDATE(Roster!$B481,12*Setup!$C$21),"")</f>
        <v/>
      </c>
      <c r="D481" s="32" t="str">
        <f>IF(AND(ISNUMBER(Roster!$B481),Setup!$B$22="Yes",ISNUMBER(Setup!$C$22)),EDATE(Roster!$B481,12*Setup!$C$22),"")</f>
        <v/>
      </c>
      <c r="E481" s="32" t="str">
        <f>IF(AND(ISNUMBER(Roster!$B481),Setup!$B$23="Yes",ISNUMBER(Setup!$C$23)),EDATE(Roster!$B481,12*Setup!$C$23),"")</f>
        <v/>
      </c>
      <c r="F481" s="32" t="str">
        <f>IF(AND(ISNUMBER(Roster!$B481),Setup!$B$24="Yes",ISNUMBER(Setup!$C$24)),EDATE(Roster!$B481,12*Setup!$C$24),"")</f>
        <v/>
      </c>
      <c r="G481" s="32" t="str">
        <f>IF(AND(ISNUMBER(Roster!$B481),Setup!$B$25="Yes",ISNUMBER(Setup!$C$25)),EDATE(Roster!$B481,12*Setup!$C$25),"")</f>
        <v/>
      </c>
      <c r="H481" s="32" t="str">
        <f>IF(AND(ISNUMBER(Roster!$B481),Setup!$B$26="Yes",ISNUMBER(Setup!$C$26)),EDATE(Roster!$B481,12*Setup!$C$26),"")</f>
        <v/>
      </c>
      <c r="I481" s="32" t="str">
        <f>IF(AND(ISNUMBER(Roster!$B481),Setup!$B$27="Yes",ISNUMBER(Setup!$C$27)),EDATE(Roster!$B481,12*Setup!$C$27),"")</f>
        <v/>
      </c>
      <c r="J481" s="32" t="str">
        <f>IF(AND(ISNUMBER(Roster!$B481),Setup!$B$28="Yes",ISNUMBER(Setup!$C$28)),EDATE(Roster!$B481,12*Setup!$C$28),"")</f>
        <v/>
      </c>
      <c r="K481" s="32" t="str">
        <f>IF(AND(ISNUMBER(Roster!$B481),Setup!$B$29="Yes",ISNUMBER(Setup!$C$29)),EDATE(Roster!$B481,12*Setup!$C$29),"")</f>
        <v/>
      </c>
      <c r="L481" s="32" t="str">
        <f>IF(AND(ISNUMBER(Roster!$B481),Setup!$B$30="Yes",ISNUMBER(Setup!$C$30)),EDATE(Roster!$B481,12*Setup!$C$30),"")</f>
        <v/>
      </c>
      <c r="M481" s="32" t="str">
        <f>IF(AND(ISNUMBER(Roster!$B481),Setup!$B$31="Yes",ISNUMBER(Setup!$C$31)),EDATE(Roster!$B481,12*Setup!$C$31),"")</f>
        <v/>
      </c>
      <c r="N481" s="32" t="str">
        <f>IF(AND(ISNUMBER(Roster!$B481),Setup!$B$32="Yes",ISNUMBER(Setup!$C$32)),EDATE(Roster!$B481,12*Setup!$C$32),"")</f>
        <v/>
      </c>
      <c r="O481" s="32" t="str">
        <f>IF(AND(ISNUMBER(Roster!$B481),Setup!$B$33="Yes",ISNUMBER(Setup!$C$33)),EDATE(Roster!$B481,12*Setup!$C$33),"")</f>
        <v/>
      </c>
      <c r="P481" s="32" t="str">
        <f>IF(AND(ISNUMBER(Roster!$B481),Setup!$B$34="Yes",ISNUMBER(Setup!$C$34)),EDATE(Roster!$B481,12*Setup!$C$34),"")</f>
        <v/>
      </c>
      <c r="R481" t="str">
        <f>IF(B481="","",IF(B481&lt;Setup!$C$5-Setup!$C$6,"",IF(IF(ISNUMBER(Roster!$D481),Setup!$C$20&lt;=Roster!$D481,FALSE),"",IF(OR(IF(Setup!$C$15&lt;=Setup!$C$16,AND(MONTH(B481)&gt;=Setup!$C$15,MONTH(B481)&lt;=Setup!$C$16),OR(MONTH(B481)&gt;=Setup!$C$15,MONTH(B481)&lt;=Setup!$C$16)),IF(Setup!$C$15&lt;=Setup!$C$16,AND(MONTH(WORKDAY(B481,-(Setup!$C$13+Setup!$G$20),Setup!$C$39:$C$50))&gt;=Setup!$C$15,MONTH(WORKDAY(B481,-(Setup!$C$13+Setup!$G$20),Setup!$C$39:$C$50))&lt;=Setup!$C$16),OR(MONTH(WORKDAY(B481,-(Setup!$C$13+Setup!$G$20),Setup!$C$39:$C$50))&gt;=Setup!$C$15,MONTH(WORKDAY(B481,-(Setup!$C$13+Setup!$G$20),Setup!$C$39:$C$50))&lt;=Setup!$C$16))),WORKDAY(B481,-(Setup!$C$13+Setup!$G$20+Setup!$C$14),Setup!$C$39:$C$50),WORKDAY(B481,-(Setup!$C$13+Setup!$G$20),Setup!$C$39:$C$50))+(476*100+1)/10000000)))</f>
        <v/>
      </c>
      <c r="S481" t="str">
        <f>IF(C481="","",IF(C481&lt;Setup!$C$5-Setup!$C$6,"",IF(IF(ISNUMBER(Roster!$D481),Setup!$C$21&lt;=Roster!$D481,FALSE),"",IF(OR(IF(Setup!$C$15&lt;=Setup!$C$16,AND(MONTH(C481)&gt;=Setup!$C$15,MONTH(C481)&lt;=Setup!$C$16),OR(MONTH(C481)&gt;=Setup!$C$15,MONTH(C481)&lt;=Setup!$C$16)),IF(Setup!$C$15&lt;=Setup!$C$16,AND(MONTH(WORKDAY(C481,-(Setup!$C$13+Setup!$G$21),Setup!$C$39:$C$50))&gt;=Setup!$C$15,MONTH(WORKDAY(C481,-(Setup!$C$13+Setup!$G$21),Setup!$C$39:$C$50))&lt;=Setup!$C$16),OR(MONTH(WORKDAY(C481,-(Setup!$C$13+Setup!$G$21),Setup!$C$39:$C$50))&gt;=Setup!$C$15,MONTH(WORKDAY(C481,-(Setup!$C$13+Setup!$G$21),Setup!$C$39:$C$50))&lt;=Setup!$C$16))),WORKDAY(C481,-(Setup!$C$13+Setup!$G$21+Setup!$C$14),Setup!$C$39:$C$50),WORKDAY(C481,-(Setup!$C$13+Setup!$G$21),Setup!$C$39:$C$50))+(476*100+2)/10000000)))</f>
        <v/>
      </c>
      <c r="T481" t="str">
        <f>IF(D481="","",IF(D481&lt;Setup!$C$5-Setup!$C$6,"",IF(IF(ISNUMBER(Roster!$D481),Setup!$C$22&lt;=Roster!$D481,FALSE),"",IF(OR(IF(Setup!$C$15&lt;=Setup!$C$16,AND(MONTH(D481)&gt;=Setup!$C$15,MONTH(D481)&lt;=Setup!$C$16),OR(MONTH(D481)&gt;=Setup!$C$15,MONTH(D481)&lt;=Setup!$C$16)),IF(Setup!$C$15&lt;=Setup!$C$16,AND(MONTH(WORKDAY(D481,-(Setup!$C$13+Setup!$G$22),Setup!$C$39:$C$50))&gt;=Setup!$C$15,MONTH(WORKDAY(D481,-(Setup!$C$13+Setup!$G$22),Setup!$C$39:$C$50))&lt;=Setup!$C$16),OR(MONTH(WORKDAY(D481,-(Setup!$C$13+Setup!$G$22),Setup!$C$39:$C$50))&gt;=Setup!$C$15,MONTH(WORKDAY(D481,-(Setup!$C$13+Setup!$G$22),Setup!$C$39:$C$50))&lt;=Setup!$C$16))),WORKDAY(D481,-(Setup!$C$13+Setup!$G$22+Setup!$C$14),Setup!$C$39:$C$50),WORKDAY(D481,-(Setup!$C$13+Setup!$G$22),Setup!$C$39:$C$50))+(476*100+3)/10000000)))</f>
        <v/>
      </c>
      <c r="U481" t="str">
        <f>IF(E481="","",IF(E481&lt;Setup!$C$5-Setup!$C$6,"",IF(IF(ISNUMBER(Roster!$D481),Setup!$C$23&lt;=Roster!$D481,FALSE),"",IF(OR(IF(Setup!$C$15&lt;=Setup!$C$16,AND(MONTH(E481)&gt;=Setup!$C$15,MONTH(E481)&lt;=Setup!$C$16),OR(MONTH(E481)&gt;=Setup!$C$15,MONTH(E481)&lt;=Setup!$C$16)),IF(Setup!$C$15&lt;=Setup!$C$16,AND(MONTH(WORKDAY(E481,-(Setup!$C$13+Setup!$G$23),Setup!$C$39:$C$50))&gt;=Setup!$C$15,MONTH(WORKDAY(E481,-(Setup!$C$13+Setup!$G$23),Setup!$C$39:$C$50))&lt;=Setup!$C$16),OR(MONTH(WORKDAY(E481,-(Setup!$C$13+Setup!$G$23),Setup!$C$39:$C$50))&gt;=Setup!$C$15,MONTH(WORKDAY(E481,-(Setup!$C$13+Setup!$G$23),Setup!$C$39:$C$50))&lt;=Setup!$C$16))),WORKDAY(E481,-(Setup!$C$13+Setup!$G$23+Setup!$C$14),Setup!$C$39:$C$50),WORKDAY(E481,-(Setup!$C$13+Setup!$G$23),Setup!$C$39:$C$50))+(476*100+4)/10000000)))</f>
        <v/>
      </c>
      <c r="V481" t="str">
        <f>IF(F481="","",IF(F481&lt;Setup!$C$5-Setup!$C$6,"",IF(IF(ISNUMBER(Roster!$D481),Setup!$C$24&lt;=Roster!$D481,FALSE),"",IF(OR(IF(Setup!$C$15&lt;=Setup!$C$16,AND(MONTH(F481)&gt;=Setup!$C$15,MONTH(F481)&lt;=Setup!$C$16),OR(MONTH(F481)&gt;=Setup!$C$15,MONTH(F481)&lt;=Setup!$C$16)),IF(Setup!$C$15&lt;=Setup!$C$16,AND(MONTH(WORKDAY(F481,-(Setup!$C$13+Setup!$G$24),Setup!$C$39:$C$50))&gt;=Setup!$C$15,MONTH(WORKDAY(F481,-(Setup!$C$13+Setup!$G$24),Setup!$C$39:$C$50))&lt;=Setup!$C$16),OR(MONTH(WORKDAY(F481,-(Setup!$C$13+Setup!$G$24),Setup!$C$39:$C$50))&gt;=Setup!$C$15,MONTH(WORKDAY(F481,-(Setup!$C$13+Setup!$G$24),Setup!$C$39:$C$50))&lt;=Setup!$C$16))),WORKDAY(F481,-(Setup!$C$13+Setup!$G$24+Setup!$C$14),Setup!$C$39:$C$50),WORKDAY(F481,-(Setup!$C$13+Setup!$G$24),Setup!$C$39:$C$50))+(476*100+5)/10000000)))</f>
        <v/>
      </c>
      <c r="W481" t="str">
        <f>IF(G481="","",IF(G481&lt;Setup!$C$5-Setup!$C$6,"",IF(IF(ISNUMBER(Roster!$D481),Setup!$C$25&lt;=Roster!$D481,FALSE),"",IF(OR(IF(Setup!$C$15&lt;=Setup!$C$16,AND(MONTH(G481)&gt;=Setup!$C$15,MONTH(G481)&lt;=Setup!$C$16),OR(MONTH(G481)&gt;=Setup!$C$15,MONTH(G481)&lt;=Setup!$C$16)),IF(Setup!$C$15&lt;=Setup!$C$16,AND(MONTH(WORKDAY(G481,-(Setup!$C$13+Setup!$G$25),Setup!$C$39:$C$50))&gt;=Setup!$C$15,MONTH(WORKDAY(G481,-(Setup!$C$13+Setup!$G$25),Setup!$C$39:$C$50))&lt;=Setup!$C$16),OR(MONTH(WORKDAY(G481,-(Setup!$C$13+Setup!$G$25),Setup!$C$39:$C$50))&gt;=Setup!$C$15,MONTH(WORKDAY(G481,-(Setup!$C$13+Setup!$G$25),Setup!$C$39:$C$50))&lt;=Setup!$C$16))),WORKDAY(G481,-(Setup!$C$13+Setup!$G$25+Setup!$C$14),Setup!$C$39:$C$50),WORKDAY(G481,-(Setup!$C$13+Setup!$G$25),Setup!$C$39:$C$50))+(476*100+6)/10000000)))</f>
        <v/>
      </c>
      <c r="X481" t="str">
        <f>IF(H481="","",IF(H481&lt;Setup!$C$5-Setup!$C$6,"",IF(IF(ISNUMBER(Roster!$D481),Setup!$C$26&lt;=Roster!$D481,FALSE),"",IF(OR(IF(Setup!$C$15&lt;=Setup!$C$16,AND(MONTH(H481)&gt;=Setup!$C$15,MONTH(H481)&lt;=Setup!$C$16),OR(MONTH(H481)&gt;=Setup!$C$15,MONTH(H481)&lt;=Setup!$C$16)),IF(Setup!$C$15&lt;=Setup!$C$16,AND(MONTH(WORKDAY(H481,-(Setup!$C$13+Setup!$G$26),Setup!$C$39:$C$50))&gt;=Setup!$C$15,MONTH(WORKDAY(H481,-(Setup!$C$13+Setup!$G$26),Setup!$C$39:$C$50))&lt;=Setup!$C$16),OR(MONTH(WORKDAY(H481,-(Setup!$C$13+Setup!$G$26),Setup!$C$39:$C$50))&gt;=Setup!$C$15,MONTH(WORKDAY(H481,-(Setup!$C$13+Setup!$G$26),Setup!$C$39:$C$50))&lt;=Setup!$C$16))),WORKDAY(H481,-(Setup!$C$13+Setup!$G$26+Setup!$C$14),Setup!$C$39:$C$50),WORKDAY(H481,-(Setup!$C$13+Setup!$G$26),Setup!$C$39:$C$50))+(476*100+7)/10000000)))</f>
        <v/>
      </c>
      <c r="Y481" t="str">
        <f>IF(I481="","",IF(I481&lt;Setup!$C$5-Setup!$C$6,"",IF(IF(ISNUMBER(Roster!$D481),Setup!$C$27&lt;=Roster!$D481,FALSE),"",IF(OR(IF(Setup!$C$15&lt;=Setup!$C$16,AND(MONTH(I481)&gt;=Setup!$C$15,MONTH(I481)&lt;=Setup!$C$16),OR(MONTH(I481)&gt;=Setup!$C$15,MONTH(I481)&lt;=Setup!$C$16)),IF(Setup!$C$15&lt;=Setup!$C$16,AND(MONTH(WORKDAY(I481,-(Setup!$C$13+Setup!$G$27),Setup!$C$39:$C$50))&gt;=Setup!$C$15,MONTH(WORKDAY(I481,-(Setup!$C$13+Setup!$G$27),Setup!$C$39:$C$50))&lt;=Setup!$C$16),OR(MONTH(WORKDAY(I481,-(Setup!$C$13+Setup!$G$27),Setup!$C$39:$C$50))&gt;=Setup!$C$15,MONTH(WORKDAY(I481,-(Setup!$C$13+Setup!$G$27),Setup!$C$39:$C$50))&lt;=Setup!$C$16))),WORKDAY(I481,-(Setup!$C$13+Setup!$G$27+Setup!$C$14),Setup!$C$39:$C$50),WORKDAY(I481,-(Setup!$C$13+Setup!$G$27),Setup!$C$39:$C$50))+(476*100+8)/10000000)))</f>
        <v/>
      </c>
      <c r="Z481" t="str">
        <f>IF(J481="","",IF(J481&lt;Setup!$C$5-Setup!$C$6,"",IF(IF(ISNUMBER(Roster!$D481),Setup!$C$28&lt;=Roster!$D481,FALSE),"",IF(OR(IF(Setup!$C$15&lt;=Setup!$C$16,AND(MONTH(J481)&gt;=Setup!$C$15,MONTH(J481)&lt;=Setup!$C$16),OR(MONTH(J481)&gt;=Setup!$C$15,MONTH(J481)&lt;=Setup!$C$16)),IF(Setup!$C$15&lt;=Setup!$C$16,AND(MONTH(WORKDAY(J481,-(Setup!$C$13+Setup!$G$28),Setup!$C$39:$C$50))&gt;=Setup!$C$15,MONTH(WORKDAY(J481,-(Setup!$C$13+Setup!$G$28),Setup!$C$39:$C$50))&lt;=Setup!$C$16),OR(MONTH(WORKDAY(J481,-(Setup!$C$13+Setup!$G$28),Setup!$C$39:$C$50))&gt;=Setup!$C$15,MONTH(WORKDAY(J481,-(Setup!$C$13+Setup!$G$28),Setup!$C$39:$C$50))&lt;=Setup!$C$16))),WORKDAY(J481,-(Setup!$C$13+Setup!$G$28+Setup!$C$14),Setup!$C$39:$C$50),WORKDAY(J481,-(Setup!$C$13+Setup!$G$28),Setup!$C$39:$C$50))+(476*100+9)/10000000)))</f>
        <v/>
      </c>
      <c r="AA481" t="str">
        <f>IF(K481="","",IF(K481&lt;Setup!$C$5-Setup!$C$6,"",IF(IF(ISNUMBER(Roster!$D481),Setup!$C$29&lt;=Roster!$D481,FALSE),"",IF(OR(IF(Setup!$C$15&lt;=Setup!$C$16,AND(MONTH(K481)&gt;=Setup!$C$15,MONTH(K481)&lt;=Setup!$C$16),OR(MONTH(K481)&gt;=Setup!$C$15,MONTH(K481)&lt;=Setup!$C$16)),IF(Setup!$C$15&lt;=Setup!$C$16,AND(MONTH(WORKDAY(K481,-(Setup!$C$13+Setup!$G$29),Setup!$C$39:$C$50))&gt;=Setup!$C$15,MONTH(WORKDAY(K481,-(Setup!$C$13+Setup!$G$29),Setup!$C$39:$C$50))&lt;=Setup!$C$16),OR(MONTH(WORKDAY(K481,-(Setup!$C$13+Setup!$G$29),Setup!$C$39:$C$50))&gt;=Setup!$C$15,MONTH(WORKDAY(K481,-(Setup!$C$13+Setup!$G$29),Setup!$C$39:$C$50))&lt;=Setup!$C$16))),WORKDAY(K481,-(Setup!$C$13+Setup!$G$29+Setup!$C$14),Setup!$C$39:$C$50),WORKDAY(K481,-(Setup!$C$13+Setup!$G$29),Setup!$C$39:$C$50))+(476*100+10)/10000000)))</f>
        <v/>
      </c>
      <c r="AB481" t="str">
        <f>IF(L481="","",IF(L481&lt;Setup!$C$5-Setup!$C$6,"",IF(IF(ISNUMBER(Roster!$D481),Setup!$C$30&lt;=Roster!$D481,FALSE),"",IF(OR(IF(Setup!$C$15&lt;=Setup!$C$16,AND(MONTH(L481)&gt;=Setup!$C$15,MONTH(L481)&lt;=Setup!$C$16),OR(MONTH(L481)&gt;=Setup!$C$15,MONTH(L481)&lt;=Setup!$C$16)),IF(Setup!$C$15&lt;=Setup!$C$16,AND(MONTH(WORKDAY(L481,-(Setup!$C$13+Setup!$G$30),Setup!$C$39:$C$50))&gt;=Setup!$C$15,MONTH(WORKDAY(L481,-(Setup!$C$13+Setup!$G$30),Setup!$C$39:$C$50))&lt;=Setup!$C$16),OR(MONTH(WORKDAY(L481,-(Setup!$C$13+Setup!$G$30),Setup!$C$39:$C$50))&gt;=Setup!$C$15,MONTH(WORKDAY(L481,-(Setup!$C$13+Setup!$G$30),Setup!$C$39:$C$50))&lt;=Setup!$C$16))),WORKDAY(L481,-(Setup!$C$13+Setup!$G$30+Setup!$C$14),Setup!$C$39:$C$50),WORKDAY(L481,-(Setup!$C$13+Setup!$G$30),Setup!$C$39:$C$50))+(476*100+11)/10000000)))</f>
        <v/>
      </c>
      <c r="AC481" t="str">
        <f>IF(M481="","",IF(M481&lt;Setup!$C$5-Setup!$C$6,"",IF(IF(ISNUMBER(Roster!$D481),Setup!$C$31&lt;=Roster!$D481,FALSE),"",IF(OR(IF(Setup!$C$15&lt;=Setup!$C$16,AND(MONTH(M481)&gt;=Setup!$C$15,MONTH(M481)&lt;=Setup!$C$16),OR(MONTH(M481)&gt;=Setup!$C$15,MONTH(M481)&lt;=Setup!$C$16)),IF(Setup!$C$15&lt;=Setup!$C$16,AND(MONTH(WORKDAY(M481,-(Setup!$C$13+Setup!$G$31),Setup!$C$39:$C$50))&gt;=Setup!$C$15,MONTH(WORKDAY(M481,-(Setup!$C$13+Setup!$G$31),Setup!$C$39:$C$50))&lt;=Setup!$C$16),OR(MONTH(WORKDAY(M481,-(Setup!$C$13+Setup!$G$31),Setup!$C$39:$C$50))&gt;=Setup!$C$15,MONTH(WORKDAY(M481,-(Setup!$C$13+Setup!$G$31),Setup!$C$39:$C$50))&lt;=Setup!$C$16))),WORKDAY(M481,-(Setup!$C$13+Setup!$G$31+Setup!$C$14),Setup!$C$39:$C$50),WORKDAY(M481,-(Setup!$C$13+Setup!$G$31),Setup!$C$39:$C$50))+(476*100+12)/10000000)))</f>
        <v/>
      </c>
      <c r="AD481" t="str">
        <f>IF(N481="","",IF(N481&lt;Setup!$C$5-Setup!$C$6,"",IF(IF(ISNUMBER(Roster!$D481),Setup!$C$32&lt;=Roster!$D481,FALSE),"",IF(OR(IF(Setup!$C$15&lt;=Setup!$C$16,AND(MONTH(N481)&gt;=Setup!$C$15,MONTH(N481)&lt;=Setup!$C$16),OR(MONTH(N481)&gt;=Setup!$C$15,MONTH(N481)&lt;=Setup!$C$16)),IF(Setup!$C$15&lt;=Setup!$C$16,AND(MONTH(WORKDAY(N481,-(Setup!$C$13+Setup!$G$32),Setup!$C$39:$C$50))&gt;=Setup!$C$15,MONTH(WORKDAY(N481,-(Setup!$C$13+Setup!$G$32),Setup!$C$39:$C$50))&lt;=Setup!$C$16),OR(MONTH(WORKDAY(N481,-(Setup!$C$13+Setup!$G$32),Setup!$C$39:$C$50))&gt;=Setup!$C$15,MONTH(WORKDAY(N481,-(Setup!$C$13+Setup!$G$32),Setup!$C$39:$C$50))&lt;=Setup!$C$16))),WORKDAY(N481,-(Setup!$C$13+Setup!$G$32+Setup!$C$14),Setup!$C$39:$C$50),WORKDAY(N481,-(Setup!$C$13+Setup!$G$32),Setup!$C$39:$C$50))+(476*100+13)/10000000)))</f>
        <v/>
      </c>
      <c r="AE481" t="str">
        <f>IF(O481="","",IF(O481&lt;Setup!$C$5-Setup!$C$6,"",IF(IF(ISNUMBER(Roster!$D481),Setup!$C$33&lt;=Roster!$D481,FALSE),"",IF(OR(IF(Setup!$C$15&lt;=Setup!$C$16,AND(MONTH(O481)&gt;=Setup!$C$15,MONTH(O481)&lt;=Setup!$C$16),OR(MONTH(O481)&gt;=Setup!$C$15,MONTH(O481)&lt;=Setup!$C$16)),IF(Setup!$C$15&lt;=Setup!$C$16,AND(MONTH(WORKDAY(O481,-(Setup!$C$13+Setup!$G$33),Setup!$C$39:$C$50))&gt;=Setup!$C$15,MONTH(WORKDAY(O481,-(Setup!$C$13+Setup!$G$33),Setup!$C$39:$C$50))&lt;=Setup!$C$16),OR(MONTH(WORKDAY(O481,-(Setup!$C$13+Setup!$G$33),Setup!$C$39:$C$50))&gt;=Setup!$C$15,MONTH(WORKDAY(O481,-(Setup!$C$13+Setup!$G$33),Setup!$C$39:$C$50))&lt;=Setup!$C$16))),WORKDAY(O481,-(Setup!$C$13+Setup!$G$33+Setup!$C$14),Setup!$C$39:$C$50),WORKDAY(O481,-(Setup!$C$13+Setup!$G$33),Setup!$C$39:$C$50))+(476*100+14)/10000000)))</f>
        <v/>
      </c>
      <c r="AF481" t="str">
        <f>IF(P481="","",IF(P481&lt;Setup!$C$5-Setup!$C$6,"",IF(IF(ISNUMBER(Roster!$D481),Setup!$C$34&lt;=Roster!$D481,FALSE),"",IF(OR(IF(Setup!$C$15&lt;=Setup!$C$16,AND(MONTH(P481)&gt;=Setup!$C$15,MONTH(P481)&lt;=Setup!$C$16),OR(MONTH(P481)&gt;=Setup!$C$15,MONTH(P481)&lt;=Setup!$C$16)),IF(Setup!$C$15&lt;=Setup!$C$16,AND(MONTH(WORKDAY(P481,-(Setup!$C$13+Setup!$G$34),Setup!$C$39:$C$50))&gt;=Setup!$C$15,MONTH(WORKDAY(P481,-(Setup!$C$13+Setup!$G$34),Setup!$C$39:$C$50))&lt;=Setup!$C$16),OR(MONTH(WORKDAY(P481,-(Setup!$C$13+Setup!$G$34),Setup!$C$39:$C$50))&gt;=Setup!$C$15,MONTH(WORKDAY(P481,-(Setup!$C$13+Setup!$G$34),Setup!$C$39:$C$50))&lt;=Setup!$C$16))),WORKDAY(P481,-(Setup!$C$13+Setup!$G$34+Setup!$C$14),Setup!$C$39:$C$50),WORKDAY(P481,-(Setup!$C$13+Setup!$G$34),Setup!$C$39:$C$50))+(476*100+15)/10000000)))</f>
        <v/>
      </c>
      <c r="AH481" t="str">
        <f t="shared" si="51"/>
        <v/>
      </c>
      <c r="AI481" t="str">
        <f t="shared" si="52"/>
        <v/>
      </c>
      <c r="AP481" t="str">
        <f>IF(ISNUMBER(Roster!$B481),MAX(1,YEAR(Setup!$C$5)-YEAR(Roster!$B481)+IF(EDATE(Roster!$B481,12*(YEAR(Setup!$C$5)-YEAR(Roster!$B481)))&lt;Setup!$C$5,1,0)),"")</f>
        <v/>
      </c>
      <c r="AQ481" s="32" t="str">
        <f>IF(AP481="","",EDATE(Roster!$B481,12*AP481))</f>
        <v/>
      </c>
      <c r="AR481" t="str">
        <f>IF(AQ481="","",IF(AQ481&lt;DATE(YEAR(Setup!$C$5)+1,MONTH(Setup!$C$5),DAY(Setup!$C$5)),AQ481+476/1000,""))</f>
        <v/>
      </c>
      <c r="AS481" t="str">
        <f t="shared" si="53"/>
        <v/>
      </c>
      <c r="AT481" t="str">
        <f>IF(AS481="","",IF(ISNUMBER(Roster!$D481),Roster!$D481&gt;=AP481,FALSE))</f>
        <v/>
      </c>
      <c r="AU481" t="str">
        <f t="shared" si="54"/>
        <v/>
      </c>
      <c r="AV481" t="str">
        <f ca="1">IF(476&gt;$AV$2,"",SMALL($AR$6:$AR$505,476))</f>
        <v/>
      </c>
      <c r="AW481" t="str">
        <f t="shared" ca="1" si="55"/>
        <v/>
      </c>
    </row>
    <row r="482" spans="2:49" x14ac:dyDescent="0.2">
      <c r="B482" s="32" t="str">
        <f>IF(AND(ISNUMBER(Roster!$B482),Setup!$B$20="Yes",ISNUMBER(Setup!$C$20)),EDATE(Roster!$B482,12*Setup!$C$20),"")</f>
        <v/>
      </c>
      <c r="C482" s="32" t="str">
        <f>IF(AND(ISNUMBER(Roster!$B482),Setup!$B$21="Yes",ISNUMBER(Setup!$C$21)),EDATE(Roster!$B482,12*Setup!$C$21),"")</f>
        <v/>
      </c>
      <c r="D482" s="32" t="str">
        <f>IF(AND(ISNUMBER(Roster!$B482),Setup!$B$22="Yes",ISNUMBER(Setup!$C$22)),EDATE(Roster!$B482,12*Setup!$C$22),"")</f>
        <v/>
      </c>
      <c r="E482" s="32" t="str">
        <f>IF(AND(ISNUMBER(Roster!$B482),Setup!$B$23="Yes",ISNUMBER(Setup!$C$23)),EDATE(Roster!$B482,12*Setup!$C$23),"")</f>
        <v/>
      </c>
      <c r="F482" s="32" t="str">
        <f>IF(AND(ISNUMBER(Roster!$B482),Setup!$B$24="Yes",ISNUMBER(Setup!$C$24)),EDATE(Roster!$B482,12*Setup!$C$24),"")</f>
        <v/>
      </c>
      <c r="G482" s="32" t="str">
        <f>IF(AND(ISNUMBER(Roster!$B482),Setup!$B$25="Yes",ISNUMBER(Setup!$C$25)),EDATE(Roster!$B482,12*Setup!$C$25),"")</f>
        <v/>
      </c>
      <c r="H482" s="32" t="str">
        <f>IF(AND(ISNUMBER(Roster!$B482),Setup!$B$26="Yes",ISNUMBER(Setup!$C$26)),EDATE(Roster!$B482,12*Setup!$C$26),"")</f>
        <v/>
      </c>
      <c r="I482" s="32" t="str">
        <f>IF(AND(ISNUMBER(Roster!$B482),Setup!$B$27="Yes",ISNUMBER(Setup!$C$27)),EDATE(Roster!$B482,12*Setup!$C$27),"")</f>
        <v/>
      </c>
      <c r="J482" s="32" t="str">
        <f>IF(AND(ISNUMBER(Roster!$B482),Setup!$B$28="Yes",ISNUMBER(Setup!$C$28)),EDATE(Roster!$B482,12*Setup!$C$28),"")</f>
        <v/>
      </c>
      <c r="K482" s="32" t="str">
        <f>IF(AND(ISNUMBER(Roster!$B482),Setup!$B$29="Yes",ISNUMBER(Setup!$C$29)),EDATE(Roster!$B482,12*Setup!$C$29),"")</f>
        <v/>
      </c>
      <c r="L482" s="32" t="str">
        <f>IF(AND(ISNUMBER(Roster!$B482),Setup!$B$30="Yes",ISNUMBER(Setup!$C$30)),EDATE(Roster!$B482,12*Setup!$C$30),"")</f>
        <v/>
      </c>
      <c r="M482" s="32" t="str">
        <f>IF(AND(ISNUMBER(Roster!$B482),Setup!$B$31="Yes",ISNUMBER(Setup!$C$31)),EDATE(Roster!$B482,12*Setup!$C$31),"")</f>
        <v/>
      </c>
      <c r="N482" s="32" t="str">
        <f>IF(AND(ISNUMBER(Roster!$B482),Setup!$B$32="Yes",ISNUMBER(Setup!$C$32)),EDATE(Roster!$B482,12*Setup!$C$32),"")</f>
        <v/>
      </c>
      <c r="O482" s="32" t="str">
        <f>IF(AND(ISNUMBER(Roster!$B482),Setup!$B$33="Yes",ISNUMBER(Setup!$C$33)),EDATE(Roster!$B482,12*Setup!$C$33),"")</f>
        <v/>
      </c>
      <c r="P482" s="32" t="str">
        <f>IF(AND(ISNUMBER(Roster!$B482),Setup!$B$34="Yes",ISNUMBER(Setup!$C$34)),EDATE(Roster!$B482,12*Setup!$C$34),"")</f>
        <v/>
      </c>
      <c r="R482" t="str">
        <f>IF(B482="","",IF(B482&lt;Setup!$C$5-Setup!$C$6,"",IF(IF(ISNUMBER(Roster!$D482),Setup!$C$20&lt;=Roster!$D482,FALSE),"",IF(OR(IF(Setup!$C$15&lt;=Setup!$C$16,AND(MONTH(B482)&gt;=Setup!$C$15,MONTH(B482)&lt;=Setup!$C$16),OR(MONTH(B482)&gt;=Setup!$C$15,MONTH(B482)&lt;=Setup!$C$16)),IF(Setup!$C$15&lt;=Setup!$C$16,AND(MONTH(WORKDAY(B482,-(Setup!$C$13+Setup!$G$20),Setup!$C$39:$C$50))&gt;=Setup!$C$15,MONTH(WORKDAY(B482,-(Setup!$C$13+Setup!$G$20),Setup!$C$39:$C$50))&lt;=Setup!$C$16),OR(MONTH(WORKDAY(B482,-(Setup!$C$13+Setup!$G$20),Setup!$C$39:$C$50))&gt;=Setup!$C$15,MONTH(WORKDAY(B482,-(Setup!$C$13+Setup!$G$20),Setup!$C$39:$C$50))&lt;=Setup!$C$16))),WORKDAY(B482,-(Setup!$C$13+Setup!$G$20+Setup!$C$14),Setup!$C$39:$C$50),WORKDAY(B482,-(Setup!$C$13+Setup!$G$20),Setup!$C$39:$C$50))+(477*100+1)/10000000)))</f>
        <v/>
      </c>
      <c r="S482" t="str">
        <f>IF(C482="","",IF(C482&lt;Setup!$C$5-Setup!$C$6,"",IF(IF(ISNUMBER(Roster!$D482),Setup!$C$21&lt;=Roster!$D482,FALSE),"",IF(OR(IF(Setup!$C$15&lt;=Setup!$C$16,AND(MONTH(C482)&gt;=Setup!$C$15,MONTH(C482)&lt;=Setup!$C$16),OR(MONTH(C482)&gt;=Setup!$C$15,MONTH(C482)&lt;=Setup!$C$16)),IF(Setup!$C$15&lt;=Setup!$C$16,AND(MONTH(WORKDAY(C482,-(Setup!$C$13+Setup!$G$21),Setup!$C$39:$C$50))&gt;=Setup!$C$15,MONTH(WORKDAY(C482,-(Setup!$C$13+Setup!$G$21),Setup!$C$39:$C$50))&lt;=Setup!$C$16),OR(MONTH(WORKDAY(C482,-(Setup!$C$13+Setup!$G$21),Setup!$C$39:$C$50))&gt;=Setup!$C$15,MONTH(WORKDAY(C482,-(Setup!$C$13+Setup!$G$21),Setup!$C$39:$C$50))&lt;=Setup!$C$16))),WORKDAY(C482,-(Setup!$C$13+Setup!$G$21+Setup!$C$14),Setup!$C$39:$C$50),WORKDAY(C482,-(Setup!$C$13+Setup!$G$21),Setup!$C$39:$C$50))+(477*100+2)/10000000)))</f>
        <v/>
      </c>
      <c r="T482" t="str">
        <f>IF(D482="","",IF(D482&lt;Setup!$C$5-Setup!$C$6,"",IF(IF(ISNUMBER(Roster!$D482),Setup!$C$22&lt;=Roster!$D482,FALSE),"",IF(OR(IF(Setup!$C$15&lt;=Setup!$C$16,AND(MONTH(D482)&gt;=Setup!$C$15,MONTH(D482)&lt;=Setup!$C$16),OR(MONTH(D482)&gt;=Setup!$C$15,MONTH(D482)&lt;=Setup!$C$16)),IF(Setup!$C$15&lt;=Setup!$C$16,AND(MONTH(WORKDAY(D482,-(Setup!$C$13+Setup!$G$22),Setup!$C$39:$C$50))&gt;=Setup!$C$15,MONTH(WORKDAY(D482,-(Setup!$C$13+Setup!$G$22),Setup!$C$39:$C$50))&lt;=Setup!$C$16),OR(MONTH(WORKDAY(D482,-(Setup!$C$13+Setup!$G$22),Setup!$C$39:$C$50))&gt;=Setup!$C$15,MONTH(WORKDAY(D482,-(Setup!$C$13+Setup!$G$22),Setup!$C$39:$C$50))&lt;=Setup!$C$16))),WORKDAY(D482,-(Setup!$C$13+Setup!$G$22+Setup!$C$14),Setup!$C$39:$C$50),WORKDAY(D482,-(Setup!$C$13+Setup!$G$22),Setup!$C$39:$C$50))+(477*100+3)/10000000)))</f>
        <v/>
      </c>
      <c r="U482" t="str">
        <f>IF(E482="","",IF(E482&lt;Setup!$C$5-Setup!$C$6,"",IF(IF(ISNUMBER(Roster!$D482),Setup!$C$23&lt;=Roster!$D482,FALSE),"",IF(OR(IF(Setup!$C$15&lt;=Setup!$C$16,AND(MONTH(E482)&gt;=Setup!$C$15,MONTH(E482)&lt;=Setup!$C$16),OR(MONTH(E482)&gt;=Setup!$C$15,MONTH(E482)&lt;=Setup!$C$16)),IF(Setup!$C$15&lt;=Setup!$C$16,AND(MONTH(WORKDAY(E482,-(Setup!$C$13+Setup!$G$23),Setup!$C$39:$C$50))&gt;=Setup!$C$15,MONTH(WORKDAY(E482,-(Setup!$C$13+Setup!$G$23),Setup!$C$39:$C$50))&lt;=Setup!$C$16),OR(MONTH(WORKDAY(E482,-(Setup!$C$13+Setup!$G$23),Setup!$C$39:$C$50))&gt;=Setup!$C$15,MONTH(WORKDAY(E482,-(Setup!$C$13+Setup!$G$23),Setup!$C$39:$C$50))&lt;=Setup!$C$16))),WORKDAY(E482,-(Setup!$C$13+Setup!$G$23+Setup!$C$14),Setup!$C$39:$C$50),WORKDAY(E482,-(Setup!$C$13+Setup!$G$23),Setup!$C$39:$C$50))+(477*100+4)/10000000)))</f>
        <v/>
      </c>
      <c r="V482" t="str">
        <f>IF(F482="","",IF(F482&lt;Setup!$C$5-Setup!$C$6,"",IF(IF(ISNUMBER(Roster!$D482),Setup!$C$24&lt;=Roster!$D482,FALSE),"",IF(OR(IF(Setup!$C$15&lt;=Setup!$C$16,AND(MONTH(F482)&gt;=Setup!$C$15,MONTH(F482)&lt;=Setup!$C$16),OR(MONTH(F482)&gt;=Setup!$C$15,MONTH(F482)&lt;=Setup!$C$16)),IF(Setup!$C$15&lt;=Setup!$C$16,AND(MONTH(WORKDAY(F482,-(Setup!$C$13+Setup!$G$24),Setup!$C$39:$C$50))&gt;=Setup!$C$15,MONTH(WORKDAY(F482,-(Setup!$C$13+Setup!$G$24),Setup!$C$39:$C$50))&lt;=Setup!$C$16),OR(MONTH(WORKDAY(F482,-(Setup!$C$13+Setup!$G$24),Setup!$C$39:$C$50))&gt;=Setup!$C$15,MONTH(WORKDAY(F482,-(Setup!$C$13+Setup!$G$24),Setup!$C$39:$C$50))&lt;=Setup!$C$16))),WORKDAY(F482,-(Setup!$C$13+Setup!$G$24+Setup!$C$14),Setup!$C$39:$C$50),WORKDAY(F482,-(Setup!$C$13+Setup!$G$24),Setup!$C$39:$C$50))+(477*100+5)/10000000)))</f>
        <v/>
      </c>
      <c r="W482" t="str">
        <f>IF(G482="","",IF(G482&lt;Setup!$C$5-Setup!$C$6,"",IF(IF(ISNUMBER(Roster!$D482),Setup!$C$25&lt;=Roster!$D482,FALSE),"",IF(OR(IF(Setup!$C$15&lt;=Setup!$C$16,AND(MONTH(G482)&gt;=Setup!$C$15,MONTH(G482)&lt;=Setup!$C$16),OR(MONTH(G482)&gt;=Setup!$C$15,MONTH(G482)&lt;=Setup!$C$16)),IF(Setup!$C$15&lt;=Setup!$C$16,AND(MONTH(WORKDAY(G482,-(Setup!$C$13+Setup!$G$25),Setup!$C$39:$C$50))&gt;=Setup!$C$15,MONTH(WORKDAY(G482,-(Setup!$C$13+Setup!$G$25),Setup!$C$39:$C$50))&lt;=Setup!$C$16),OR(MONTH(WORKDAY(G482,-(Setup!$C$13+Setup!$G$25),Setup!$C$39:$C$50))&gt;=Setup!$C$15,MONTH(WORKDAY(G482,-(Setup!$C$13+Setup!$G$25),Setup!$C$39:$C$50))&lt;=Setup!$C$16))),WORKDAY(G482,-(Setup!$C$13+Setup!$G$25+Setup!$C$14),Setup!$C$39:$C$50),WORKDAY(G482,-(Setup!$C$13+Setup!$G$25),Setup!$C$39:$C$50))+(477*100+6)/10000000)))</f>
        <v/>
      </c>
      <c r="X482" t="str">
        <f>IF(H482="","",IF(H482&lt;Setup!$C$5-Setup!$C$6,"",IF(IF(ISNUMBER(Roster!$D482),Setup!$C$26&lt;=Roster!$D482,FALSE),"",IF(OR(IF(Setup!$C$15&lt;=Setup!$C$16,AND(MONTH(H482)&gt;=Setup!$C$15,MONTH(H482)&lt;=Setup!$C$16),OR(MONTH(H482)&gt;=Setup!$C$15,MONTH(H482)&lt;=Setup!$C$16)),IF(Setup!$C$15&lt;=Setup!$C$16,AND(MONTH(WORKDAY(H482,-(Setup!$C$13+Setup!$G$26),Setup!$C$39:$C$50))&gt;=Setup!$C$15,MONTH(WORKDAY(H482,-(Setup!$C$13+Setup!$G$26),Setup!$C$39:$C$50))&lt;=Setup!$C$16),OR(MONTH(WORKDAY(H482,-(Setup!$C$13+Setup!$G$26),Setup!$C$39:$C$50))&gt;=Setup!$C$15,MONTH(WORKDAY(H482,-(Setup!$C$13+Setup!$G$26),Setup!$C$39:$C$50))&lt;=Setup!$C$16))),WORKDAY(H482,-(Setup!$C$13+Setup!$G$26+Setup!$C$14),Setup!$C$39:$C$50),WORKDAY(H482,-(Setup!$C$13+Setup!$G$26),Setup!$C$39:$C$50))+(477*100+7)/10000000)))</f>
        <v/>
      </c>
      <c r="Y482" t="str">
        <f>IF(I482="","",IF(I482&lt;Setup!$C$5-Setup!$C$6,"",IF(IF(ISNUMBER(Roster!$D482),Setup!$C$27&lt;=Roster!$D482,FALSE),"",IF(OR(IF(Setup!$C$15&lt;=Setup!$C$16,AND(MONTH(I482)&gt;=Setup!$C$15,MONTH(I482)&lt;=Setup!$C$16),OR(MONTH(I482)&gt;=Setup!$C$15,MONTH(I482)&lt;=Setup!$C$16)),IF(Setup!$C$15&lt;=Setup!$C$16,AND(MONTH(WORKDAY(I482,-(Setup!$C$13+Setup!$G$27),Setup!$C$39:$C$50))&gt;=Setup!$C$15,MONTH(WORKDAY(I482,-(Setup!$C$13+Setup!$G$27),Setup!$C$39:$C$50))&lt;=Setup!$C$16),OR(MONTH(WORKDAY(I482,-(Setup!$C$13+Setup!$G$27),Setup!$C$39:$C$50))&gt;=Setup!$C$15,MONTH(WORKDAY(I482,-(Setup!$C$13+Setup!$G$27),Setup!$C$39:$C$50))&lt;=Setup!$C$16))),WORKDAY(I482,-(Setup!$C$13+Setup!$G$27+Setup!$C$14),Setup!$C$39:$C$50),WORKDAY(I482,-(Setup!$C$13+Setup!$G$27),Setup!$C$39:$C$50))+(477*100+8)/10000000)))</f>
        <v/>
      </c>
      <c r="Z482" t="str">
        <f>IF(J482="","",IF(J482&lt;Setup!$C$5-Setup!$C$6,"",IF(IF(ISNUMBER(Roster!$D482),Setup!$C$28&lt;=Roster!$D482,FALSE),"",IF(OR(IF(Setup!$C$15&lt;=Setup!$C$16,AND(MONTH(J482)&gt;=Setup!$C$15,MONTH(J482)&lt;=Setup!$C$16),OR(MONTH(J482)&gt;=Setup!$C$15,MONTH(J482)&lt;=Setup!$C$16)),IF(Setup!$C$15&lt;=Setup!$C$16,AND(MONTH(WORKDAY(J482,-(Setup!$C$13+Setup!$G$28),Setup!$C$39:$C$50))&gt;=Setup!$C$15,MONTH(WORKDAY(J482,-(Setup!$C$13+Setup!$G$28),Setup!$C$39:$C$50))&lt;=Setup!$C$16),OR(MONTH(WORKDAY(J482,-(Setup!$C$13+Setup!$G$28),Setup!$C$39:$C$50))&gt;=Setup!$C$15,MONTH(WORKDAY(J482,-(Setup!$C$13+Setup!$G$28),Setup!$C$39:$C$50))&lt;=Setup!$C$16))),WORKDAY(J482,-(Setup!$C$13+Setup!$G$28+Setup!$C$14),Setup!$C$39:$C$50),WORKDAY(J482,-(Setup!$C$13+Setup!$G$28),Setup!$C$39:$C$50))+(477*100+9)/10000000)))</f>
        <v/>
      </c>
      <c r="AA482" t="str">
        <f>IF(K482="","",IF(K482&lt;Setup!$C$5-Setup!$C$6,"",IF(IF(ISNUMBER(Roster!$D482),Setup!$C$29&lt;=Roster!$D482,FALSE),"",IF(OR(IF(Setup!$C$15&lt;=Setup!$C$16,AND(MONTH(K482)&gt;=Setup!$C$15,MONTH(K482)&lt;=Setup!$C$16),OR(MONTH(K482)&gt;=Setup!$C$15,MONTH(K482)&lt;=Setup!$C$16)),IF(Setup!$C$15&lt;=Setup!$C$16,AND(MONTH(WORKDAY(K482,-(Setup!$C$13+Setup!$G$29),Setup!$C$39:$C$50))&gt;=Setup!$C$15,MONTH(WORKDAY(K482,-(Setup!$C$13+Setup!$G$29),Setup!$C$39:$C$50))&lt;=Setup!$C$16),OR(MONTH(WORKDAY(K482,-(Setup!$C$13+Setup!$G$29),Setup!$C$39:$C$50))&gt;=Setup!$C$15,MONTH(WORKDAY(K482,-(Setup!$C$13+Setup!$G$29),Setup!$C$39:$C$50))&lt;=Setup!$C$16))),WORKDAY(K482,-(Setup!$C$13+Setup!$G$29+Setup!$C$14),Setup!$C$39:$C$50),WORKDAY(K482,-(Setup!$C$13+Setup!$G$29),Setup!$C$39:$C$50))+(477*100+10)/10000000)))</f>
        <v/>
      </c>
      <c r="AB482" t="str">
        <f>IF(L482="","",IF(L482&lt;Setup!$C$5-Setup!$C$6,"",IF(IF(ISNUMBER(Roster!$D482),Setup!$C$30&lt;=Roster!$D482,FALSE),"",IF(OR(IF(Setup!$C$15&lt;=Setup!$C$16,AND(MONTH(L482)&gt;=Setup!$C$15,MONTH(L482)&lt;=Setup!$C$16),OR(MONTH(L482)&gt;=Setup!$C$15,MONTH(L482)&lt;=Setup!$C$16)),IF(Setup!$C$15&lt;=Setup!$C$16,AND(MONTH(WORKDAY(L482,-(Setup!$C$13+Setup!$G$30),Setup!$C$39:$C$50))&gt;=Setup!$C$15,MONTH(WORKDAY(L482,-(Setup!$C$13+Setup!$G$30),Setup!$C$39:$C$50))&lt;=Setup!$C$16),OR(MONTH(WORKDAY(L482,-(Setup!$C$13+Setup!$G$30),Setup!$C$39:$C$50))&gt;=Setup!$C$15,MONTH(WORKDAY(L482,-(Setup!$C$13+Setup!$G$30),Setup!$C$39:$C$50))&lt;=Setup!$C$16))),WORKDAY(L482,-(Setup!$C$13+Setup!$G$30+Setup!$C$14),Setup!$C$39:$C$50),WORKDAY(L482,-(Setup!$C$13+Setup!$G$30),Setup!$C$39:$C$50))+(477*100+11)/10000000)))</f>
        <v/>
      </c>
      <c r="AC482" t="str">
        <f>IF(M482="","",IF(M482&lt;Setup!$C$5-Setup!$C$6,"",IF(IF(ISNUMBER(Roster!$D482),Setup!$C$31&lt;=Roster!$D482,FALSE),"",IF(OR(IF(Setup!$C$15&lt;=Setup!$C$16,AND(MONTH(M482)&gt;=Setup!$C$15,MONTH(M482)&lt;=Setup!$C$16),OR(MONTH(M482)&gt;=Setup!$C$15,MONTH(M482)&lt;=Setup!$C$16)),IF(Setup!$C$15&lt;=Setup!$C$16,AND(MONTH(WORKDAY(M482,-(Setup!$C$13+Setup!$G$31),Setup!$C$39:$C$50))&gt;=Setup!$C$15,MONTH(WORKDAY(M482,-(Setup!$C$13+Setup!$G$31),Setup!$C$39:$C$50))&lt;=Setup!$C$16),OR(MONTH(WORKDAY(M482,-(Setup!$C$13+Setup!$G$31),Setup!$C$39:$C$50))&gt;=Setup!$C$15,MONTH(WORKDAY(M482,-(Setup!$C$13+Setup!$G$31),Setup!$C$39:$C$50))&lt;=Setup!$C$16))),WORKDAY(M482,-(Setup!$C$13+Setup!$G$31+Setup!$C$14),Setup!$C$39:$C$50),WORKDAY(M482,-(Setup!$C$13+Setup!$G$31),Setup!$C$39:$C$50))+(477*100+12)/10000000)))</f>
        <v/>
      </c>
      <c r="AD482" t="str">
        <f>IF(N482="","",IF(N482&lt;Setup!$C$5-Setup!$C$6,"",IF(IF(ISNUMBER(Roster!$D482),Setup!$C$32&lt;=Roster!$D482,FALSE),"",IF(OR(IF(Setup!$C$15&lt;=Setup!$C$16,AND(MONTH(N482)&gt;=Setup!$C$15,MONTH(N482)&lt;=Setup!$C$16),OR(MONTH(N482)&gt;=Setup!$C$15,MONTH(N482)&lt;=Setup!$C$16)),IF(Setup!$C$15&lt;=Setup!$C$16,AND(MONTH(WORKDAY(N482,-(Setup!$C$13+Setup!$G$32),Setup!$C$39:$C$50))&gt;=Setup!$C$15,MONTH(WORKDAY(N482,-(Setup!$C$13+Setup!$G$32),Setup!$C$39:$C$50))&lt;=Setup!$C$16),OR(MONTH(WORKDAY(N482,-(Setup!$C$13+Setup!$G$32),Setup!$C$39:$C$50))&gt;=Setup!$C$15,MONTH(WORKDAY(N482,-(Setup!$C$13+Setup!$G$32),Setup!$C$39:$C$50))&lt;=Setup!$C$16))),WORKDAY(N482,-(Setup!$C$13+Setup!$G$32+Setup!$C$14),Setup!$C$39:$C$50),WORKDAY(N482,-(Setup!$C$13+Setup!$G$32),Setup!$C$39:$C$50))+(477*100+13)/10000000)))</f>
        <v/>
      </c>
      <c r="AE482" t="str">
        <f>IF(O482="","",IF(O482&lt;Setup!$C$5-Setup!$C$6,"",IF(IF(ISNUMBER(Roster!$D482),Setup!$C$33&lt;=Roster!$D482,FALSE),"",IF(OR(IF(Setup!$C$15&lt;=Setup!$C$16,AND(MONTH(O482)&gt;=Setup!$C$15,MONTH(O482)&lt;=Setup!$C$16),OR(MONTH(O482)&gt;=Setup!$C$15,MONTH(O482)&lt;=Setup!$C$16)),IF(Setup!$C$15&lt;=Setup!$C$16,AND(MONTH(WORKDAY(O482,-(Setup!$C$13+Setup!$G$33),Setup!$C$39:$C$50))&gt;=Setup!$C$15,MONTH(WORKDAY(O482,-(Setup!$C$13+Setup!$G$33),Setup!$C$39:$C$50))&lt;=Setup!$C$16),OR(MONTH(WORKDAY(O482,-(Setup!$C$13+Setup!$G$33),Setup!$C$39:$C$50))&gt;=Setup!$C$15,MONTH(WORKDAY(O482,-(Setup!$C$13+Setup!$G$33),Setup!$C$39:$C$50))&lt;=Setup!$C$16))),WORKDAY(O482,-(Setup!$C$13+Setup!$G$33+Setup!$C$14),Setup!$C$39:$C$50),WORKDAY(O482,-(Setup!$C$13+Setup!$G$33),Setup!$C$39:$C$50))+(477*100+14)/10000000)))</f>
        <v/>
      </c>
      <c r="AF482" t="str">
        <f>IF(P482="","",IF(P482&lt;Setup!$C$5-Setup!$C$6,"",IF(IF(ISNUMBER(Roster!$D482),Setup!$C$34&lt;=Roster!$D482,FALSE),"",IF(OR(IF(Setup!$C$15&lt;=Setup!$C$16,AND(MONTH(P482)&gt;=Setup!$C$15,MONTH(P482)&lt;=Setup!$C$16),OR(MONTH(P482)&gt;=Setup!$C$15,MONTH(P482)&lt;=Setup!$C$16)),IF(Setup!$C$15&lt;=Setup!$C$16,AND(MONTH(WORKDAY(P482,-(Setup!$C$13+Setup!$G$34),Setup!$C$39:$C$50))&gt;=Setup!$C$15,MONTH(WORKDAY(P482,-(Setup!$C$13+Setup!$G$34),Setup!$C$39:$C$50))&lt;=Setup!$C$16),OR(MONTH(WORKDAY(P482,-(Setup!$C$13+Setup!$G$34),Setup!$C$39:$C$50))&gt;=Setup!$C$15,MONTH(WORKDAY(P482,-(Setup!$C$13+Setup!$G$34),Setup!$C$39:$C$50))&lt;=Setup!$C$16))),WORKDAY(P482,-(Setup!$C$13+Setup!$G$34+Setup!$C$14),Setup!$C$39:$C$50),WORKDAY(P482,-(Setup!$C$13+Setup!$G$34),Setup!$C$39:$C$50))+(477*100+15)/10000000)))</f>
        <v/>
      </c>
      <c r="AH482" t="str">
        <f t="shared" si="51"/>
        <v/>
      </c>
      <c r="AI482" t="str">
        <f t="shared" si="52"/>
        <v/>
      </c>
      <c r="AP482" t="str">
        <f>IF(ISNUMBER(Roster!$B482),MAX(1,YEAR(Setup!$C$5)-YEAR(Roster!$B482)+IF(EDATE(Roster!$B482,12*(YEAR(Setup!$C$5)-YEAR(Roster!$B482)))&lt;Setup!$C$5,1,0)),"")</f>
        <v/>
      </c>
      <c r="AQ482" s="32" t="str">
        <f>IF(AP482="","",EDATE(Roster!$B482,12*AP482))</f>
        <v/>
      </c>
      <c r="AR482" t="str">
        <f>IF(AQ482="","",IF(AQ482&lt;DATE(YEAR(Setup!$C$5)+1,MONTH(Setup!$C$5),DAY(Setup!$C$5)),AQ482+477/1000,""))</f>
        <v/>
      </c>
      <c r="AS482" t="str">
        <f t="shared" si="53"/>
        <v/>
      </c>
      <c r="AT482" t="str">
        <f>IF(AS482="","",IF(ISNUMBER(Roster!$D482),Roster!$D482&gt;=AP482,FALSE))</f>
        <v/>
      </c>
      <c r="AU482" t="str">
        <f t="shared" si="54"/>
        <v/>
      </c>
      <c r="AV482" t="str">
        <f ca="1">IF(477&gt;$AV$2,"",SMALL($AR$6:$AR$505,477))</f>
        <v/>
      </c>
      <c r="AW482" t="str">
        <f t="shared" ca="1" si="55"/>
        <v/>
      </c>
    </row>
    <row r="483" spans="2:49" x14ac:dyDescent="0.2">
      <c r="B483" s="32" t="str">
        <f>IF(AND(ISNUMBER(Roster!$B483),Setup!$B$20="Yes",ISNUMBER(Setup!$C$20)),EDATE(Roster!$B483,12*Setup!$C$20),"")</f>
        <v/>
      </c>
      <c r="C483" s="32" t="str">
        <f>IF(AND(ISNUMBER(Roster!$B483),Setup!$B$21="Yes",ISNUMBER(Setup!$C$21)),EDATE(Roster!$B483,12*Setup!$C$21),"")</f>
        <v/>
      </c>
      <c r="D483" s="32" t="str">
        <f>IF(AND(ISNUMBER(Roster!$B483),Setup!$B$22="Yes",ISNUMBER(Setup!$C$22)),EDATE(Roster!$B483,12*Setup!$C$22),"")</f>
        <v/>
      </c>
      <c r="E483" s="32" t="str">
        <f>IF(AND(ISNUMBER(Roster!$B483),Setup!$B$23="Yes",ISNUMBER(Setup!$C$23)),EDATE(Roster!$B483,12*Setup!$C$23),"")</f>
        <v/>
      </c>
      <c r="F483" s="32" t="str">
        <f>IF(AND(ISNUMBER(Roster!$B483),Setup!$B$24="Yes",ISNUMBER(Setup!$C$24)),EDATE(Roster!$B483,12*Setup!$C$24),"")</f>
        <v/>
      </c>
      <c r="G483" s="32" t="str">
        <f>IF(AND(ISNUMBER(Roster!$B483),Setup!$B$25="Yes",ISNUMBER(Setup!$C$25)),EDATE(Roster!$B483,12*Setup!$C$25),"")</f>
        <v/>
      </c>
      <c r="H483" s="32" t="str">
        <f>IF(AND(ISNUMBER(Roster!$B483),Setup!$B$26="Yes",ISNUMBER(Setup!$C$26)),EDATE(Roster!$B483,12*Setup!$C$26),"")</f>
        <v/>
      </c>
      <c r="I483" s="32" t="str">
        <f>IF(AND(ISNUMBER(Roster!$B483),Setup!$B$27="Yes",ISNUMBER(Setup!$C$27)),EDATE(Roster!$B483,12*Setup!$C$27),"")</f>
        <v/>
      </c>
      <c r="J483" s="32" t="str">
        <f>IF(AND(ISNUMBER(Roster!$B483),Setup!$B$28="Yes",ISNUMBER(Setup!$C$28)),EDATE(Roster!$B483,12*Setup!$C$28),"")</f>
        <v/>
      </c>
      <c r="K483" s="32" t="str">
        <f>IF(AND(ISNUMBER(Roster!$B483),Setup!$B$29="Yes",ISNUMBER(Setup!$C$29)),EDATE(Roster!$B483,12*Setup!$C$29),"")</f>
        <v/>
      </c>
      <c r="L483" s="32" t="str">
        <f>IF(AND(ISNUMBER(Roster!$B483),Setup!$B$30="Yes",ISNUMBER(Setup!$C$30)),EDATE(Roster!$B483,12*Setup!$C$30),"")</f>
        <v/>
      </c>
      <c r="M483" s="32" t="str">
        <f>IF(AND(ISNUMBER(Roster!$B483),Setup!$B$31="Yes",ISNUMBER(Setup!$C$31)),EDATE(Roster!$B483,12*Setup!$C$31),"")</f>
        <v/>
      </c>
      <c r="N483" s="32" t="str">
        <f>IF(AND(ISNUMBER(Roster!$B483),Setup!$B$32="Yes",ISNUMBER(Setup!$C$32)),EDATE(Roster!$B483,12*Setup!$C$32),"")</f>
        <v/>
      </c>
      <c r="O483" s="32" t="str">
        <f>IF(AND(ISNUMBER(Roster!$B483),Setup!$B$33="Yes",ISNUMBER(Setup!$C$33)),EDATE(Roster!$B483,12*Setup!$C$33),"")</f>
        <v/>
      </c>
      <c r="P483" s="32" t="str">
        <f>IF(AND(ISNUMBER(Roster!$B483),Setup!$B$34="Yes",ISNUMBER(Setup!$C$34)),EDATE(Roster!$B483,12*Setup!$C$34),"")</f>
        <v/>
      </c>
      <c r="R483" t="str">
        <f>IF(B483="","",IF(B483&lt;Setup!$C$5-Setup!$C$6,"",IF(IF(ISNUMBER(Roster!$D483),Setup!$C$20&lt;=Roster!$D483,FALSE),"",IF(OR(IF(Setup!$C$15&lt;=Setup!$C$16,AND(MONTH(B483)&gt;=Setup!$C$15,MONTH(B483)&lt;=Setup!$C$16),OR(MONTH(B483)&gt;=Setup!$C$15,MONTH(B483)&lt;=Setup!$C$16)),IF(Setup!$C$15&lt;=Setup!$C$16,AND(MONTH(WORKDAY(B483,-(Setup!$C$13+Setup!$G$20),Setup!$C$39:$C$50))&gt;=Setup!$C$15,MONTH(WORKDAY(B483,-(Setup!$C$13+Setup!$G$20),Setup!$C$39:$C$50))&lt;=Setup!$C$16),OR(MONTH(WORKDAY(B483,-(Setup!$C$13+Setup!$G$20),Setup!$C$39:$C$50))&gt;=Setup!$C$15,MONTH(WORKDAY(B483,-(Setup!$C$13+Setup!$G$20),Setup!$C$39:$C$50))&lt;=Setup!$C$16))),WORKDAY(B483,-(Setup!$C$13+Setup!$G$20+Setup!$C$14),Setup!$C$39:$C$50),WORKDAY(B483,-(Setup!$C$13+Setup!$G$20),Setup!$C$39:$C$50))+(478*100+1)/10000000)))</f>
        <v/>
      </c>
      <c r="S483" t="str">
        <f>IF(C483="","",IF(C483&lt;Setup!$C$5-Setup!$C$6,"",IF(IF(ISNUMBER(Roster!$D483),Setup!$C$21&lt;=Roster!$D483,FALSE),"",IF(OR(IF(Setup!$C$15&lt;=Setup!$C$16,AND(MONTH(C483)&gt;=Setup!$C$15,MONTH(C483)&lt;=Setup!$C$16),OR(MONTH(C483)&gt;=Setup!$C$15,MONTH(C483)&lt;=Setup!$C$16)),IF(Setup!$C$15&lt;=Setup!$C$16,AND(MONTH(WORKDAY(C483,-(Setup!$C$13+Setup!$G$21),Setup!$C$39:$C$50))&gt;=Setup!$C$15,MONTH(WORKDAY(C483,-(Setup!$C$13+Setup!$G$21),Setup!$C$39:$C$50))&lt;=Setup!$C$16),OR(MONTH(WORKDAY(C483,-(Setup!$C$13+Setup!$G$21),Setup!$C$39:$C$50))&gt;=Setup!$C$15,MONTH(WORKDAY(C483,-(Setup!$C$13+Setup!$G$21),Setup!$C$39:$C$50))&lt;=Setup!$C$16))),WORKDAY(C483,-(Setup!$C$13+Setup!$G$21+Setup!$C$14),Setup!$C$39:$C$50),WORKDAY(C483,-(Setup!$C$13+Setup!$G$21),Setup!$C$39:$C$50))+(478*100+2)/10000000)))</f>
        <v/>
      </c>
      <c r="T483" t="str">
        <f>IF(D483="","",IF(D483&lt;Setup!$C$5-Setup!$C$6,"",IF(IF(ISNUMBER(Roster!$D483),Setup!$C$22&lt;=Roster!$D483,FALSE),"",IF(OR(IF(Setup!$C$15&lt;=Setup!$C$16,AND(MONTH(D483)&gt;=Setup!$C$15,MONTH(D483)&lt;=Setup!$C$16),OR(MONTH(D483)&gt;=Setup!$C$15,MONTH(D483)&lt;=Setup!$C$16)),IF(Setup!$C$15&lt;=Setup!$C$16,AND(MONTH(WORKDAY(D483,-(Setup!$C$13+Setup!$G$22),Setup!$C$39:$C$50))&gt;=Setup!$C$15,MONTH(WORKDAY(D483,-(Setup!$C$13+Setup!$G$22),Setup!$C$39:$C$50))&lt;=Setup!$C$16),OR(MONTH(WORKDAY(D483,-(Setup!$C$13+Setup!$G$22),Setup!$C$39:$C$50))&gt;=Setup!$C$15,MONTH(WORKDAY(D483,-(Setup!$C$13+Setup!$G$22),Setup!$C$39:$C$50))&lt;=Setup!$C$16))),WORKDAY(D483,-(Setup!$C$13+Setup!$G$22+Setup!$C$14),Setup!$C$39:$C$50),WORKDAY(D483,-(Setup!$C$13+Setup!$G$22),Setup!$C$39:$C$50))+(478*100+3)/10000000)))</f>
        <v/>
      </c>
      <c r="U483" t="str">
        <f>IF(E483="","",IF(E483&lt;Setup!$C$5-Setup!$C$6,"",IF(IF(ISNUMBER(Roster!$D483),Setup!$C$23&lt;=Roster!$D483,FALSE),"",IF(OR(IF(Setup!$C$15&lt;=Setup!$C$16,AND(MONTH(E483)&gt;=Setup!$C$15,MONTH(E483)&lt;=Setup!$C$16),OR(MONTH(E483)&gt;=Setup!$C$15,MONTH(E483)&lt;=Setup!$C$16)),IF(Setup!$C$15&lt;=Setup!$C$16,AND(MONTH(WORKDAY(E483,-(Setup!$C$13+Setup!$G$23),Setup!$C$39:$C$50))&gt;=Setup!$C$15,MONTH(WORKDAY(E483,-(Setup!$C$13+Setup!$G$23),Setup!$C$39:$C$50))&lt;=Setup!$C$16),OR(MONTH(WORKDAY(E483,-(Setup!$C$13+Setup!$G$23),Setup!$C$39:$C$50))&gt;=Setup!$C$15,MONTH(WORKDAY(E483,-(Setup!$C$13+Setup!$G$23),Setup!$C$39:$C$50))&lt;=Setup!$C$16))),WORKDAY(E483,-(Setup!$C$13+Setup!$G$23+Setup!$C$14),Setup!$C$39:$C$50),WORKDAY(E483,-(Setup!$C$13+Setup!$G$23),Setup!$C$39:$C$50))+(478*100+4)/10000000)))</f>
        <v/>
      </c>
      <c r="V483" t="str">
        <f>IF(F483="","",IF(F483&lt;Setup!$C$5-Setup!$C$6,"",IF(IF(ISNUMBER(Roster!$D483),Setup!$C$24&lt;=Roster!$D483,FALSE),"",IF(OR(IF(Setup!$C$15&lt;=Setup!$C$16,AND(MONTH(F483)&gt;=Setup!$C$15,MONTH(F483)&lt;=Setup!$C$16),OR(MONTH(F483)&gt;=Setup!$C$15,MONTH(F483)&lt;=Setup!$C$16)),IF(Setup!$C$15&lt;=Setup!$C$16,AND(MONTH(WORKDAY(F483,-(Setup!$C$13+Setup!$G$24),Setup!$C$39:$C$50))&gt;=Setup!$C$15,MONTH(WORKDAY(F483,-(Setup!$C$13+Setup!$G$24),Setup!$C$39:$C$50))&lt;=Setup!$C$16),OR(MONTH(WORKDAY(F483,-(Setup!$C$13+Setup!$G$24),Setup!$C$39:$C$50))&gt;=Setup!$C$15,MONTH(WORKDAY(F483,-(Setup!$C$13+Setup!$G$24),Setup!$C$39:$C$50))&lt;=Setup!$C$16))),WORKDAY(F483,-(Setup!$C$13+Setup!$G$24+Setup!$C$14),Setup!$C$39:$C$50),WORKDAY(F483,-(Setup!$C$13+Setup!$G$24),Setup!$C$39:$C$50))+(478*100+5)/10000000)))</f>
        <v/>
      </c>
      <c r="W483" t="str">
        <f>IF(G483="","",IF(G483&lt;Setup!$C$5-Setup!$C$6,"",IF(IF(ISNUMBER(Roster!$D483),Setup!$C$25&lt;=Roster!$D483,FALSE),"",IF(OR(IF(Setup!$C$15&lt;=Setup!$C$16,AND(MONTH(G483)&gt;=Setup!$C$15,MONTH(G483)&lt;=Setup!$C$16),OR(MONTH(G483)&gt;=Setup!$C$15,MONTH(G483)&lt;=Setup!$C$16)),IF(Setup!$C$15&lt;=Setup!$C$16,AND(MONTH(WORKDAY(G483,-(Setup!$C$13+Setup!$G$25),Setup!$C$39:$C$50))&gt;=Setup!$C$15,MONTH(WORKDAY(G483,-(Setup!$C$13+Setup!$G$25),Setup!$C$39:$C$50))&lt;=Setup!$C$16),OR(MONTH(WORKDAY(G483,-(Setup!$C$13+Setup!$G$25),Setup!$C$39:$C$50))&gt;=Setup!$C$15,MONTH(WORKDAY(G483,-(Setup!$C$13+Setup!$G$25),Setup!$C$39:$C$50))&lt;=Setup!$C$16))),WORKDAY(G483,-(Setup!$C$13+Setup!$G$25+Setup!$C$14),Setup!$C$39:$C$50),WORKDAY(G483,-(Setup!$C$13+Setup!$G$25),Setup!$C$39:$C$50))+(478*100+6)/10000000)))</f>
        <v/>
      </c>
      <c r="X483" t="str">
        <f>IF(H483="","",IF(H483&lt;Setup!$C$5-Setup!$C$6,"",IF(IF(ISNUMBER(Roster!$D483),Setup!$C$26&lt;=Roster!$D483,FALSE),"",IF(OR(IF(Setup!$C$15&lt;=Setup!$C$16,AND(MONTH(H483)&gt;=Setup!$C$15,MONTH(H483)&lt;=Setup!$C$16),OR(MONTH(H483)&gt;=Setup!$C$15,MONTH(H483)&lt;=Setup!$C$16)),IF(Setup!$C$15&lt;=Setup!$C$16,AND(MONTH(WORKDAY(H483,-(Setup!$C$13+Setup!$G$26),Setup!$C$39:$C$50))&gt;=Setup!$C$15,MONTH(WORKDAY(H483,-(Setup!$C$13+Setup!$G$26),Setup!$C$39:$C$50))&lt;=Setup!$C$16),OR(MONTH(WORKDAY(H483,-(Setup!$C$13+Setup!$G$26),Setup!$C$39:$C$50))&gt;=Setup!$C$15,MONTH(WORKDAY(H483,-(Setup!$C$13+Setup!$G$26),Setup!$C$39:$C$50))&lt;=Setup!$C$16))),WORKDAY(H483,-(Setup!$C$13+Setup!$G$26+Setup!$C$14),Setup!$C$39:$C$50),WORKDAY(H483,-(Setup!$C$13+Setup!$G$26),Setup!$C$39:$C$50))+(478*100+7)/10000000)))</f>
        <v/>
      </c>
      <c r="Y483" t="str">
        <f>IF(I483="","",IF(I483&lt;Setup!$C$5-Setup!$C$6,"",IF(IF(ISNUMBER(Roster!$D483),Setup!$C$27&lt;=Roster!$D483,FALSE),"",IF(OR(IF(Setup!$C$15&lt;=Setup!$C$16,AND(MONTH(I483)&gt;=Setup!$C$15,MONTH(I483)&lt;=Setup!$C$16),OR(MONTH(I483)&gt;=Setup!$C$15,MONTH(I483)&lt;=Setup!$C$16)),IF(Setup!$C$15&lt;=Setup!$C$16,AND(MONTH(WORKDAY(I483,-(Setup!$C$13+Setup!$G$27),Setup!$C$39:$C$50))&gt;=Setup!$C$15,MONTH(WORKDAY(I483,-(Setup!$C$13+Setup!$G$27),Setup!$C$39:$C$50))&lt;=Setup!$C$16),OR(MONTH(WORKDAY(I483,-(Setup!$C$13+Setup!$G$27),Setup!$C$39:$C$50))&gt;=Setup!$C$15,MONTH(WORKDAY(I483,-(Setup!$C$13+Setup!$G$27),Setup!$C$39:$C$50))&lt;=Setup!$C$16))),WORKDAY(I483,-(Setup!$C$13+Setup!$G$27+Setup!$C$14),Setup!$C$39:$C$50),WORKDAY(I483,-(Setup!$C$13+Setup!$G$27),Setup!$C$39:$C$50))+(478*100+8)/10000000)))</f>
        <v/>
      </c>
      <c r="Z483" t="str">
        <f>IF(J483="","",IF(J483&lt;Setup!$C$5-Setup!$C$6,"",IF(IF(ISNUMBER(Roster!$D483),Setup!$C$28&lt;=Roster!$D483,FALSE),"",IF(OR(IF(Setup!$C$15&lt;=Setup!$C$16,AND(MONTH(J483)&gt;=Setup!$C$15,MONTH(J483)&lt;=Setup!$C$16),OR(MONTH(J483)&gt;=Setup!$C$15,MONTH(J483)&lt;=Setup!$C$16)),IF(Setup!$C$15&lt;=Setup!$C$16,AND(MONTH(WORKDAY(J483,-(Setup!$C$13+Setup!$G$28),Setup!$C$39:$C$50))&gt;=Setup!$C$15,MONTH(WORKDAY(J483,-(Setup!$C$13+Setup!$G$28),Setup!$C$39:$C$50))&lt;=Setup!$C$16),OR(MONTH(WORKDAY(J483,-(Setup!$C$13+Setup!$G$28),Setup!$C$39:$C$50))&gt;=Setup!$C$15,MONTH(WORKDAY(J483,-(Setup!$C$13+Setup!$G$28),Setup!$C$39:$C$50))&lt;=Setup!$C$16))),WORKDAY(J483,-(Setup!$C$13+Setup!$G$28+Setup!$C$14),Setup!$C$39:$C$50),WORKDAY(J483,-(Setup!$C$13+Setup!$G$28),Setup!$C$39:$C$50))+(478*100+9)/10000000)))</f>
        <v/>
      </c>
      <c r="AA483" t="str">
        <f>IF(K483="","",IF(K483&lt;Setup!$C$5-Setup!$C$6,"",IF(IF(ISNUMBER(Roster!$D483),Setup!$C$29&lt;=Roster!$D483,FALSE),"",IF(OR(IF(Setup!$C$15&lt;=Setup!$C$16,AND(MONTH(K483)&gt;=Setup!$C$15,MONTH(K483)&lt;=Setup!$C$16),OR(MONTH(K483)&gt;=Setup!$C$15,MONTH(K483)&lt;=Setup!$C$16)),IF(Setup!$C$15&lt;=Setup!$C$16,AND(MONTH(WORKDAY(K483,-(Setup!$C$13+Setup!$G$29),Setup!$C$39:$C$50))&gt;=Setup!$C$15,MONTH(WORKDAY(K483,-(Setup!$C$13+Setup!$G$29),Setup!$C$39:$C$50))&lt;=Setup!$C$16),OR(MONTH(WORKDAY(K483,-(Setup!$C$13+Setup!$G$29),Setup!$C$39:$C$50))&gt;=Setup!$C$15,MONTH(WORKDAY(K483,-(Setup!$C$13+Setup!$G$29),Setup!$C$39:$C$50))&lt;=Setup!$C$16))),WORKDAY(K483,-(Setup!$C$13+Setup!$G$29+Setup!$C$14),Setup!$C$39:$C$50),WORKDAY(K483,-(Setup!$C$13+Setup!$G$29),Setup!$C$39:$C$50))+(478*100+10)/10000000)))</f>
        <v/>
      </c>
      <c r="AB483" t="str">
        <f>IF(L483="","",IF(L483&lt;Setup!$C$5-Setup!$C$6,"",IF(IF(ISNUMBER(Roster!$D483),Setup!$C$30&lt;=Roster!$D483,FALSE),"",IF(OR(IF(Setup!$C$15&lt;=Setup!$C$16,AND(MONTH(L483)&gt;=Setup!$C$15,MONTH(L483)&lt;=Setup!$C$16),OR(MONTH(L483)&gt;=Setup!$C$15,MONTH(L483)&lt;=Setup!$C$16)),IF(Setup!$C$15&lt;=Setup!$C$16,AND(MONTH(WORKDAY(L483,-(Setup!$C$13+Setup!$G$30),Setup!$C$39:$C$50))&gt;=Setup!$C$15,MONTH(WORKDAY(L483,-(Setup!$C$13+Setup!$G$30),Setup!$C$39:$C$50))&lt;=Setup!$C$16),OR(MONTH(WORKDAY(L483,-(Setup!$C$13+Setup!$G$30),Setup!$C$39:$C$50))&gt;=Setup!$C$15,MONTH(WORKDAY(L483,-(Setup!$C$13+Setup!$G$30),Setup!$C$39:$C$50))&lt;=Setup!$C$16))),WORKDAY(L483,-(Setup!$C$13+Setup!$G$30+Setup!$C$14),Setup!$C$39:$C$50),WORKDAY(L483,-(Setup!$C$13+Setup!$G$30),Setup!$C$39:$C$50))+(478*100+11)/10000000)))</f>
        <v/>
      </c>
      <c r="AC483" t="str">
        <f>IF(M483="","",IF(M483&lt;Setup!$C$5-Setup!$C$6,"",IF(IF(ISNUMBER(Roster!$D483),Setup!$C$31&lt;=Roster!$D483,FALSE),"",IF(OR(IF(Setup!$C$15&lt;=Setup!$C$16,AND(MONTH(M483)&gt;=Setup!$C$15,MONTH(M483)&lt;=Setup!$C$16),OR(MONTH(M483)&gt;=Setup!$C$15,MONTH(M483)&lt;=Setup!$C$16)),IF(Setup!$C$15&lt;=Setup!$C$16,AND(MONTH(WORKDAY(M483,-(Setup!$C$13+Setup!$G$31),Setup!$C$39:$C$50))&gt;=Setup!$C$15,MONTH(WORKDAY(M483,-(Setup!$C$13+Setup!$G$31),Setup!$C$39:$C$50))&lt;=Setup!$C$16),OR(MONTH(WORKDAY(M483,-(Setup!$C$13+Setup!$G$31),Setup!$C$39:$C$50))&gt;=Setup!$C$15,MONTH(WORKDAY(M483,-(Setup!$C$13+Setup!$G$31),Setup!$C$39:$C$50))&lt;=Setup!$C$16))),WORKDAY(M483,-(Setup!$C$13+Setup!$G$31+Setup!$C$14),Setup!$C$39:$C$50),WORKDAY(M483,-(Setup!$C$13+Setup!$G$31),Setup!$C$39:$C$50))+(478*100+12)/10000000)))</f>
        <v/>
      </c>
      <c r="AD483" t="str">
        <f>IF(N483="","",IF(N483&lt;Setup!$C$5-Setup!$C$6,"",IF(IF(ISNUMBER(Roster!$D483),Setup!$C$32&lt;=Roster!$D483,FALSE),"",IF(OR(IF(Setup!$C$15&lt;=Setup!$C$16,AND(MONTH(N483)&gt;=Setup!$C$15,MONTH(N483)&lt;=Setup!$C$16),OR(MONTH(N483)&gt;=Setup!$C$15,MONTH(N483)&lt;=Setup!$C$16)),IF(Setup!$C$15&lt;=Setup!$C$16,AND(MONTH(WORKDAY(N483,-(Setup!$C$13+Setup!$G$32),Setup!$C$39:$C$50))&gt;=Setup!$C$15,MONTH(WORKDAY(N483,-(Setup!$C$13+Setup!$G$32),Setup!$C$39:$C$50))&lt;=Setup!$C$16),OR(MONTH(WORKDAY(N483,-(Setup!$C$13+Setup!$G$32),Setup!$C$39:$C$50))&gt;=Setup!$C$15,MONTH(WORKDAY(N483,-(Setup!$C$13+Setup!$G$32),Setup!$C$39:$C$50))&lt;=Setup!$C$16))),WORKDAY(N483,-(Setup!$C$13+Setup!$G$32+Setup!$C$14),Setup!$C$39:$C$50),WORKDAY(N483,-(Setup!$C$13+Setup!$G$32),Setup!$C$39:$C$50))+(478*100+13)/10000000)))</f>
        <v/>
      </c>
      <c r="AE483" t="str">
        <f>IF(O483="","",IF(O483&lt;Setup!$C$5-Setup!$C$6,"",IF(IF(ISNUMBER(Roster!$D483),Setup!$C$33&lt;=Roster!$D483,FALSE),"",IF(OR(IF(Setup!$C$15&lt;=Setup!$C$16,AND(MONTH(O483)&gt;=Setup!$C$15,MONTH(O483)&lt;=Setup!$C$16),OR(MONTH(O483)&gt;=Setup!$C$15,MONTH(O483)&lt;=Setup!$C$16)),IF(Setup!$C$15&lt;=Setup!$C$16,AND(MONTH(WORKDAY(O483,-(Setup!$C$13+Setup!$G$33),Setup!$C$39:$C$50))&gt;=Setup!$C$15,MONTH(WORKDAY(O483,-(Setup!$C$13+Setup!$G$33),Setup!$C$39:$C$50))&lt;=Setup!$C$16),OR(MONTH(WORKDAY(O483,-(Setup!$C$13+Setup!$G$33),Setup!$C$39:$C$50))&gt;=Setup!$C$15,MONTH(WORKDAY(O483,-(Setup!$C$13+Setup!$G$33),Setup!$C$39:$C$50))&lt;=Setup!$C$16))),WORKDAY(O483,-(Setup!$C$13+Setup!$G$33+Setup!$C$14),Setup!$C$39:$C$50),WORKDAY(O483,-(Setup!$C$13+Setup!$G$33),Setup!$C$39:$C$50))+(478*100+14)/10000000)))</f>
        <v/>
      </c>
      <c r="AF483" t="str">
        <f>IF(P483="","",IF(P483&lt;Setup!$C$5-Setup!$C$6,"",IF(IF(ISNUMBER(Roster!$D483),Setup!$C$34&lt;=Roster!$D483,FALSE),"",IF(OR(IF(Setup!$C$15&lt;=Setup!$C$16,AND(MONTH(P483)&gt;=Setup!$C$15,MONTH(P483)&lt;=Setup!$C$16),OR(MONTH(P483)&gt;=Setup!$C$15,MONTH(P483)&lt;=Setup!$C$16)),IF(Setup!$C$15&lt;=Setup!$C$16,AND(MONTH(WORKDAY(P483,-(Setup!$C$13+Setup!$G$34),Setup!$C$39:$C$50))&gt;=Setup!$C$15,MONTH(WORKDAY(P483,-(Setup!$C$13+Setup!$G$34),Setup!$C$39:$C$50))&lt;=Setup!$C$16),OR(MONTH(WORKDAY(P483,-(Setup!$C$13+Setup!$G$34),Setup!$C$39:$C$50))&gt;=Setup!$C$15,MONTH(WORKDAY(P483,-(Setup!$C$13+Setup!$G$34),Setup!$C$39:$C$50))&lt;=Setup!$C$16))),WORKDAY(P483,-(Setup!$C$13+Setup!$G$34+Setup!$C$14),Setup!$C$39:$C$50),WORKDAY(P483,-(Setup!$C$13+Setup!$G$34),Setup!$C$39:$C$50))+(478*100+15)/10000000)))</f>
        <v/>
      </c>
      <c r="AH483" t="str">
        <f t="shared" si="51"/>
        <v/>
      </c>
      <c r="AI483" t="str">
        <f t="shared" si="52"/>
        <v/>
      </c>
      <c r="AP483" t="str">
        <f>IF(ISNUMBER(Roster!$B483),MAX(1,YEAR(Setup!$C$5)-YEAR(Roster!$B483)+IF(EDATE(Roster!$B483,12*(YEAR(Setup!$C$5)-YEAR(Roster!$B483)))&lt;Setup!$C$5,1,0)),"")</f>
        <v/>
      </c>
      <c r="AQ483" s="32" t="str">
        <f>IF(AP483="","",EDATE(Roster!$B483,12*AP483))</f>
        <v/>
      </c>
      <c r="AR483" t="str">
        <f>IF(AQ483="","",IF(AQ483&lt;DATE(YEAR(Setup!$C$5)+1,MONTH(Setup!$C$5),DAY(Setup!$C$5)),AQ483+478/1000,""))</f>
        <v/>
      </c>
      <c r="AS483" t="str">
        <f t="shared" si="53"/>
        <v/>
      </c>
      <c r="AT483" t="str">
        <f>IF(AS483="","",IF(ISNUMBER(Roster!$D483),Roster!$D483&gt;=AP483,FALSE))</f>
        <v/>
      </c>
      <c r="AU483" t="str">
        <f t="shared" si="54"/>
        <v/>
      </c>
      <c r="AV483" t="str">
        <f ca="1">IF(478&gt;$AV$2,"",SMALL($AR$6:$AR$505,478))</f>
        <v/>
      </c>
      <c r="AW483" t="str">
        <f t="shared" ca="1" si="55"/>
        <v/>
      </c>
    </row>
    <row r="484" spans="2:49" x14ac:dyDescent="0.2">
      <c r="B484" s="32" t="str">
        <f>IF(AND(ISNUMBER(Roster!$B484),Setup!$B$20="Yes",ISNUMBER(Setup!$C$20)),EDATE(Roster!$B484,12*Setup!$C$20),"")</f>
        <v/>
      </c>
      <c r="C484" s="32" t="str">
        <f>IF(AND(ISNUMBER(Roster!$B484),Setup!$B$21="Yes",ISNUMBER(Setup!$C$21)),EDATE(Roster!$B484,12*Setup!$C$21),"")</f>
        <v/>
      </c>
      <c r="D484" s="32" t="str">
        <f>IF(AND(ISNUMBER(Roster!$B484),Setup!$B$22="Yes",ISNUMBER(Setup!$C$22)),EDATE(Roster!$B484,12*Setup!$C$22),"")</f>
        <v/>
      </c>
      <c r="E484" s="32" t="str">
        <f>IF(AND(ISNUMBER(Roster!$B484),Setup!$B$23="Yes",ISNUMBER(Setup!$C$23)),EDATE(Roster!$B484,12*Setup!$C$23),"")</f>
        <v/>
      </c>
      <c r="F484" s="32" t="str">
        <f>IF(AND(ISNUMBER(Roster!$B484),Setup!$B$24="Yes",ISNUMBER(Setup!$C$24)),EDATE(Roster!$B484,12*Setup!$C$24),"")</f>
        <v/>
      </c>
      <c r="G484" s="32" t="str">
        <f>IF(AND(ISNUMBER(Roster!$B484),Setup!$B$25="Yes",ISNUMBER(Setup!$C$25)),EDATE(Roster!$B484,12*Setup!$C$25),"")</f>
        <v/>
      </c>
      <c r="H484" s="32" t="str">
        <f>IF(AND(ISNUMBER(Roster!$B484),Setup!$B$26="Yes",ISNUMBER(Setup!$C$26)),EDATE(Roster!$B484,12*Setup!$C$26),"")</f>
        <v/>
      </c>
      <c r="I484" s="32" t="str">
        <f>IF(AND(ISNUMBER(Roster!$B484),Setup!$B$27="Yes",ISNUMBER(Setup!$C$27)),EDATE(Roster!$B484,12*Setup!$C$27),"")</f>
        <v/>
      </c>
      <c r="J484" s="32" t="str">
        <f>IF(AND(ISNUMBER(Roster!$B484),Setup!$B$28="Yes",ISNUMBER(Setup!$C$28)),EDATE(Roster!$B484,12*Setup!$C$28),"")</f>
        <v/>
      </c>
      <c r="K484" s="32" t="str">
        <f>IF(AND(ISNUMBER(Roster!$B484),Setup!$B$29="Yes",ISNUMBER(Setup!$C$29)),EDATE(Roster!$B484,12*Setup!$C$29),"")</f>
        <v/>
      </c>
      <c r="L484" s="32" t="str">
        <f>IF(AND(ISNUMBER(Roster!$B484),Setup!$B$30="Yes",ISNUMBER(Setup!$C$30)),EDATE(Roster!$B484,12*Setup!$C$30),"")</f>
        <v/>
      </c>
      <c r="M484" s="32" t="str">
        <f>IF(AND(ISNUMBER(Roster!$B484),Setup!$B$31="Yes",ISNUMBER(Setup!$C$31)),EDATE(Roster!$B484,12*Setup!$C$31),"")</f>
        <v/>
      </c>
      <c r="N484" s="32" t="str">
        <f>IF(AND(ISNUMBER(Roster!$B484),Setup!$B$32="Yes",ISNUMBER(Setup!$C$32)),EDATE(Roster!$B484,12*Setup!$C$32),"")</f>
        <v/>
      </c>
      <c r="O484" s="32" t="str">
        <f>IF(AND(ISNUMBER(Roster!$B484),Setup!$B$33="Yes",ISNUMBER(Setup!$C$33)),EDATE(Roster!$B484,12*Setup!$C$33),"")</f>
        <v/>
      </c>
      <c r="P484" s="32" t="str">
        <f>IF(AND(ISNUMBER(Roster!$B484),Setup!$B$34="Yes",ISNUMBER(Setup!$C$34)),EDATE(Roster!$B484,12*Setup!$C$34),"")</f>
        <v/>
      </c>
      <c r="R484" t="str">
        <f>IF(B484="","",IF(B484&lt;Setup!$C$5-Setup!$C$6,"",IF(IF(ISNUMBER(Roster!$D484),Setup!$C$20&lt;=Roster!$D484,FALSE),"",IF(OR(IF(Setup!$C$15&lt;=Setup!$C$16,AND(MONTH(B484)&gt;=Setup!$C$15,MONTH(B484)&lt;=Setup!$C$16),OR(MONTH(B484)&gt;=Setup!$C$15,MONTH(B484)&lt;=Setup!$C$16)),IF(Setup!$C$15&lt;=Setup!$C$16,AND(MONTH(WORKDAY(B484,-(Setup!$C$13+Setup!$G$20),Setup!$C$39:$C$50))&gt;=Setup!$C$15,MONTH(WORKDAY(B484,-(Setup!$C$13+Setup!$G$20),Setup!$C$39:$C$50))&lt;=Setup!$C$16),OR(MONTH(WORKDAY(B484,-(Setup!$C$13+Setup!$G$20),Setup!$C$39:$C$50))&gt;=Setup!$C$15,MONTH(WORKDAY(B484,-(Setup!$C$13+Setup!$G$20),Setup!$C$39:$C$50))&lt;=Setup!$C$16))),WORKDAY(B484,-(Setup!$C$13+Setup!$G$20+Setup!$C$14),Setup!$C$39:$C$50),WORKDAY(B484,-(Setup!$C$13+Setup!$G$20),Setup!$C$39:$C$50))+(479*100+1)/10000000)))</f>
        <v/>
      </c>
      <c r="S484" t="str">
        <f>IF(C484="","",IF(C484&lt;Setup!$C$5-Setup!$C$6,"",IF(IF(ISNUMBER(Roster!$D484),Setup!$C$21&lt;=Roster!$D484,FALSE),"",IF(OR(IF(Setup!$C$15&lt;=Setup!$C$16,AND(MONTH(C484)&gt;=Setup!$C$15,MONTH(C484)&lt;=Setup!$C$16),OR(MONTH(C484)&gt;=Setup!$C$15,MONTH(C484)&lt;=Setup!$C$16)),IF(Setup!$C$15&lt;=Setup!$C$16,AND(MONTH(WORKDAY(C484,-(Setup!$C$13+Setup!$G$21),Setup!$C$39:$C$50))&gt;=Setup!$C$15,MONTH(WORKDAY(C484,-(Setup!$C$13+Setup!$G$21),Setup!$C$39:$C$50))&lt;=Setup!$C$16),OR(MONTH(WORKDAY(C484,-(Setup!$C$13+Setup!$G$21),Setup!$C$39:$C$50))&gt;=Setup!$C$15,MONTH(WORKDAY(C484,-(Setup!$C$13+Setup!$G$21),Setup!$C$39:$C$50))&lt;=Setup!$C$16))),WORKDAY(C484,-(Setup!$C$13+Setup!$G$21+Setup!$C$14),Setup!$C$39:$C$50),WORKDAY(C484,-(Setup!$C$13+Setup!$G$21),Setup!$C$39:$C$50))+(479*100+2)/10000000)))</f>
        <v/>
      </c>
      <c r="T484" t="str">
        <f>IF(D484="","",IF(D484&lt;Setup!$C$5-Setup!$C$6,"",IF(IF(ISNUMBER(Roster!$D484),Setup!$C$22&lt;=Roster!$D484,FALSE),"",IF(OR(IF(Setup!$C$15&lt;=Setup!$C$16,AND(MONTH(D484)&gt;=Setup!$C$15,MONTH(D484)&lt;=Setup!$C$16),OR(MONTH(D484)&gt;=Setup!$C$15,MONTH(D484)&lt;=Setup!$C$16)),IF(Setup!$C$15&lt;=Setup!$C$16,AND(MONTH(WORKDAY(D484,-(Setup!$C$13+Setup!$G$22),Setup!$C$39:$C$50))&gt;=Setup!$C$15,MONTH(WORKDAY(D484,-(Setup!$C$13+Setup!$G$22),Setup!$C$39:$C$50))&lt;=Setup!$C$16),OR(MONTH(WORKDAY(D484,-(Setup!$C$13+Setup!$G$22),Setup!$C$39:$C$50))&gt;=Setup!$C$15,MONTH(WORKDAY(D484,-(Setup!$C$13+Setup!$G$22),Setup!$C$39:$C$50))&lt;=Setup!$C$16))),WORKDAY(D484,-(Setup!$C$13+Setup!$G$22+Setup!$C$14),Setup!$C$39:$C$50),WORKDAY(D484,-(Setup!$C$13+Setup!$G$22),Setup!$C$39:$C$50))+(479*100+3)/10000000)))</f>
        <v/>
      </c>
      <c r="U484" t="str">
        <f>IF(E484="","",IF(E484&lt;Setup!$C$5-Setup!$C$6,"",IF(IF(ISNUMBER(Roster!$D484),Setup!$C$23&lt;=Roster!$D484,FALSE),"",IF(OR(IF(Setup!$C$15&lt;=Setup!$C$16,AND(MONTH(E484)&gt;=Setup!$C$15,MONTH(E484)&lt;=Setup!$C$16),OR(MONTH(E484)&gt;=Setup!$C$15,MONTH(E484)&lt;=Setup!$C$16)),IF(Setup!$C$15&lt;=Setup!$C$16,AND(MONTH(WORKDAY(E484,-(Setup!$C$13+Setup!$G$23),Setup!$C$39:$C$50))&gt;=Setup!$C$15,MONTH(WORKDAY(E484,-(Setup!$C$13+Setup!$G$23),Setup!$C$39:$C$50))&lt;=Setup!$C$16),OR(MONTH(WORKDAY(E484,-(Setup!$C$13+Setup!$G$23),Setup!$C$39:$C$50))&gt;=Setup!$C$15,MONTH(WORKDAY(E484,-(Setup!$C$13+Setup!$G$23),Setup!$C$39:$C$50))&lt;=Setup!$C$16))),WORKDAY(E484,-(Setup!$C$13+Setup!$G$23+Setup!$C$14),Setup!$C$39:$C$50),WORKDAY(E484,-(Setup!$C$13+Setup!$G$23),Setup!$C$39:$C$50))+(479*100+4)/10000000)))</f>
        <v/>
      </c>
      <c r="V484" t="str">
        <f>IF(F484="","",IF(F484&lt;Setup!$C$5-Setup!$C$6,"",IF(IF(ISNUMBER(Roster!$D484),Setup!$C$24&lt;=Roster!$D484,FALSE),"",IF(OR(IF(Setup!$C$15&lt;=Setup!$C$16,AND(MONTH(F484)&gt;=Setup!$C$15,MONTH(F484)&lt;=Setup!$C$16),OR(MONTH(F484)&gt;=Setup!$C$15,MONTH(F484)&lt;=Setup!$C$16)),IF(Setup!$C$15&lt;=Setup!$C$16,AND(MONTH(WORKDAY(F484,-(Setup!$C$13+Setup!$G$24),Setup!$C$39:$C$50))&gt;=Setup!$C$15,MONTH(WORKDAY(F484,-(Setup!$C$13+Setup!$G$24),Setup!$C$39:$C$50))&lt;=Setup!$C$16),OR(MONTH(WORKDAY(F484,-(Setup!$C$13+Setup!$G$24),Setup!$C$39:$C$50))&gt;=Setup!$C$15,MONTH(WORKDAY(F484,-(Setup!$C$13+Setup!$G$24),Setup!$C$39:$C$50))&lt;=Setup!$C$16))),WORKDAY(F484,-(Setup!$C$13+Setup!$G$24+Setup!$C$14),Setup!$C$39:$C$50),WORKDAY(F484,-(Setup!$C$13+Setup!$G$24),Setup!$C$39:$C$50))+(479*100+5)/10000000)))</f>
        <v/>
      </c>
      <c r="W484" t="str">
        <f>IF(G484="","",IF(G484&lt;Setup!$C$5-Setup!$C$6,"",IF(IF(ISNUMBER(Roster!$D484),Setup!$C$25&lt;=Roster!$D484,FALSE),"",IF(OR(IF(Setup!$C$15&lt;=Setup!$C$16,AND(MONTH(G484)&gt;=Setup!$C$15,MONTH(G484)&lt;=Setup!$C$16),OR(MONTH(G484)&gt;=Setup!$C$15,MONTH(G484)&lt;=Setup!$C$16)),IF(Setup!$C$15&lt;=Setup!$C$16,AND(MONTH(WORKDAY(G484,-(Setup!$C$13+Setup!$G$25),Setup!$C$39:$C$50))&gt;=Setup!$C$15,MONTH(WORKDAY(G484,-(Setup!$C$13+Setup!$G$25),Setup!$C$39:$C$50))&lt;=Setup!$C$16),OR(MONTH(WORKDAY(G484,-(Setup!$C$13+Setup!$G$25),Setup!$C$39:$C$50))&gt;=Setup!$C$15,MONTH(WORKDAY(G484,-(Setup!$C$13+Setup!$G$25),Setup!$C$39:$C$50))&lt;=Setup!$C$16))),WORKDAY(G484,-(Setup!$C$13+Setup!$G$25+Setup!$C$14),Setup!$C$39:$C$50),WORKDAY(G484,-(Setup!$C$13+Setup!$G$25),Setup!$C$39:$C$50))+(479*100+6)/10000000)))</f>
        <v/>
      </c>
      <c r="X484" t="str">
        <f>IF(H484="","",IF(H484&lt;Setup!$C$5-Setup!$C$6,"",IF(IF(ISNUMBER(Roster!$D484),Setup!$C$26&lt;=Roster!$D484,FALSE),"",IF(OR(IF(Setup!$C$15&lt;=Setup!$C$16,AND(MONTH(H484)&gt;=Setup!$C$15,MONTH(H484)&lt;=Setup!$C$16),OR(MONTH(H484)&gt;=Setup!$C$15,MONTH(H484)&lt;=Setup!$C$16)),IF(Setup!$C$15&lt;=Setup!$C$16,AND(MONTH(WORKDAY(H484,-(Setup!$C$13+Setup!$G$26),Setup!$C$39:$C$50))&gt;=Setup!$C$15,MONTH(WORKDAY(H484,-(Setup!$C$13+Setup!$G$26),Setup!$C$39:$C$50))&lt;=Setup!$C$16),OR(MONTH(WORKDAY(H484,-(Setup!$C$13+Setup!$G$26),Setup!$C$39:$C$50))&gt;=Setup!$C$15,MONTH(WORKDAY(H484,-(Setup!$C$13+Setup!$G$26),Setup!$C$39:$C$50))&lt;=Setup!$C$16))),WORKDAY(H484,-(Setup!$C$13+Setup!$G$26+Setup!$C$14),Setup!$C$39:$C$50),WORKDAY(H484,-(Setup!$C$13+Setup!$G$26),Setup!$C$39:$C$50))+(479*100+7)/10000000)))</f>
        <v/>
      </c>
      <c r="Y484" t="str">
        <f>IF(I484="","",IF(I484&lt;Setup!$C$5-Setup!$C$6,"",IF(IF(ISNUMBER(Roster!$D484),Setup!$C$27&lt;=Roster!$D484,FALSE),"",IF(OR(IF(Setup!$C$15&lt;=Setup!$C$16,AND(MONTH(I484)&gt;=Setup!$C$15,MONTH(I484)&lt;=Setup!$C$16),OR(MONTH(I484)&gt;=Setup!$C$15,MONTH(I484)&lt;=Setup!$C$16)),IF(Setup!$C$15&lt;=Setup!$C$16,AND(MONTH(WORKDAY(I484,-(Setup!$C$13+Setup!$G$27),Setup!$C$39:$C$50))&gt;=Setup!$C$15,MONTH(WORKDAY(I484,-(Setup!$C$13+Setup!$G$27),Setup!$C$39:$C$50))&lt;=Setup!$C$16),OR(MONTH(WORKDAY(I484,-(Setup!$C$13+Setup!$G$27),Setup!$C$39:$C$50))&gt;=Setup!$C$15,MONTH(WORKDAY(I484,-(Setup!$C$13+Setup!$G$27),Setup!$C$39:$C$50))&lt;=Setup!$C$16))),WORKDAY(I484,-(Setup!$C$13+Setup!$G$27+Setup!$C$14),Setup!$C$39:$C$50),WORKDAY(I484,-(Setup!$C$13+Setup!$G$27),Setup!$C$39:$C$50))+(479*100+8)/10000000)))</f>
        <v/>
      </c>
      <c r="Z484" t="str">
        <f>IF(J484="","",IF(J484&lt;Setup!$C$5-Setup!$C$6,"",IF(IF(ISNUMBER(Roster!$D484),Setup!$C$28&lt;=Roster!$D484,FALSE),"",IF(OR(IF(Setup!$C$15&lt;=Setup!$C$16,AND(MONTH(J484)&gt;=Setup!$C$15,MONTH(J484)&lt;=Setup!$C$16),OR(MONTH(J484)&gt;=Setup!$C$15,MONTH(J484)&lt;=Setup!$C$16)),IF(Setup!$C$15&lt;=Setup!$C$16,AND(MONTH(WORKDAY(J484,-(Setup!$C$13+Setup!$G$28),Setup!$C$39:$C$50))&gt;=Setup!$C$15,MONTH(WORKDAY(J484,-(Setup!$C$13+Setup!$G$28),Setup!$C$39:$C$50))&lt;=Setup!$C$16),OR(MONTH(WORKDAY(J484,-(Setup!$C$13+Setup!$G$28),Setup!$C$39:$C$50))&gt;=Setup!$C$15,MONTH(WORKDAY(J484,-(Setup!$C$13+Setup!$G$28),Setup!$C$39:$C$50))&lt;=Setup!$C$16))),WORKDAY(J484,-(Setup!$C$13+Setup!$G$28+Setup!$C$14),Setup!$C$39:$C$50),WORKDAY(J484,-(Setup!$C$13+Setup!$G$28),Setup!$C$39:$C$50))+(479*100+9)/10000000)))</f>
        <v/>
      </c>
      <c r="AA484" t="str">
        <f>IF(K484="","",IF(K484&lt;Setup!$C$5-Setup!$C$6,"",IF(IF(ISNUMBER(Roster!$D484),Setup!$C$29&lt;=Roster!$D484,FALSE),"",IF(OR(IF(Setup!$C$15&lt;=Setup!$C$16,AND(MONTH(K484)&gt;=Setup!$C$15,MONTH(K484)&lt;=Setup!$C$16),OR(MONTH(K484)&gt;=Setup!$C$15,MONTH(K484)&lt;=Setup!$C$16)),IF(Setup!$C$15&lt;=Setup!$C$16,AND(MONTH(WORKDAY(K484,-(Setup!$C$13+Setup!$G$29),Setup!$C$39:$C$50))&gt;=Setup!$C$15,MONTH(WORKDAY(K484,-(Setup!$C$13+Setup!$G$29),Setup!$C$39:$C$50))&lt;=Setup!$C$16),OR(MONTH(WORKDAY(K484,-(Setup!$C$13+Setup!$G$29),Setup!$C$39:$C$50))&gt;=Setup!$C$15,MONTH(WORKDAY(K484,-(Setup!$C$13+Setup!$G$29),Setup!$C$39:$C$50))&lt;=Setup!$C$16))),WORKDAY(K484,-(Setup!$C$13+Setup!$G$29+Setup!$C$14),Setup!$C$39:$C$50),WORKDAY(K484,-(Setup!$C$13+Setup!$G$29),Setup!$C$39:$C$50))+(479*100+10)/10000000)))</f>
        <v/>
      </c>
      <c r="AB484" t="str">
        <f>IF(L484="","",IF(L484&lt;Setup!$C$5-Setup!$C$6,"",IF(IF(ISNUMBER(Roster!$D484),Setup!$C$30&lt;=Roster!$D484,FALSE),"",IF(OR(IF(Setup!$C$15&lt;=Setup!$C$16,AND(MONTH(L484)&gt;=Setup!$C$15,MONTH(L484)&lt;=Setup!$C$16),OR(MONTH(L484)&gt;=Setup!$C$15,MONTH(L484)&lt;=Setup!$C$16)),IF(Setup!$C$15&lt;=Setup!$C$16,AND(MONTH(WORKDAY(L484,-(Setup!$C$13+Setup!$G$30),Setup!$C$39:$C$50))&gt;=Setup!$C$15,MONTH(WORKDAY(L484,-(Setup!$C$13+Setup!$G$30),Setup!$C$39:$C$50))&lt;=Setup!$C$16),OR(MONTH(WORKDAY(L484,-(Setup!$C$13+Setup!$G$30),Setup!$C$39:$C$50))&gt;=Setup!$C$15,MONTH(WORKDAY(L484,-(Setup!$C$13+Setup!$G$30),Setup!$C$39:$C$50))&lt;=Setup!$C$16))),WORKDAY(L484,-(Setup!$C$13+Setup!$G$30+Setup!$C$14),Setup!$C$39:$C$50),WORKDAY(L484,-(Setup!$C$13+Setup!$G$30),Setup!$C$39:$C$50))+(479*100+11)/10000000)))</f>
        <v/>
      </c>
      <c r="AC484" t="str">
        <f>IF(M484="","",IF(M484&lt;Setup!$C$5-Setup!$C$6,"",IF(IF(ISNUMBER(Roster!$D484),Setup!$C$31&lt;=Roster!$D484,FALSE),"",IF(OR(IF(Setup!$C$15&lt;=Setup!$C$16,AND(MONTH(M484)&gt;=Setup!$C$15,MONTH(M484)&lt;=Setup!$C$16),OR(MONTH(M484)&gt;=Setup!$C$15,MONTH(M484)&lt;=Setup!$C$16)),IF(Setup!$C$15&lt;=Setup!$C$16,AND(MONTH(WORKDAY(M484,-(Setup!$C$13+Setup!$G$31),Setup!$C$39:$C$50))&gt;=Setup!$C$15,MONTH(WORKDAY(M484,-(Setup!$C$13+Setup!$G$31),Setup!$C$39:$C$50))&lt;=Setup!$C$16),OR(MONTH(WORKDAY(M484,-(Setup!$C$13+Setup!$G$31),Setup!$C$39:$C$50))&gt;=Setup!$C$15,MONTH(WORKDAY(M484,-(Setup!$C$13+Setup!$G$31),Setup!$C$39:$C$50))&lt;=Setup!$C$16))),WORKDAY(M484,-(Setup!$C$13+Setup!$G$31+Setup!$C$14),Setup!$C$39:$C$50),WORKDAY(M484,-(Setup!$C$13+Setup!$G$31),Setup!$C$39:$C$50))+(479*100+12)/10000000)))</f>
        <v/>
      </c>
      <c r="AD484" t="str">
        <f>IF(N484="","",IF(N484&lt;Setup!$C$5-Setup!$C$6,"",IF(IF(ISNUMBER(Roster!$D484),Setup!$C$32&lt;=Roster!$D484,FALSE),"",IF(OR(IF(Setup!$C$15&lt;=Setup!$C$16,AND(MONTH(N484)&gt;=Setup!$C$15,MONTH(N484)&lt;=Setup!$C$16),OR(MONTH(N484)&gt;=Setup!$C$15,MONTH(N484)&lt;=Setup!$C$16)),IF(Setup!$C$15&lt;=Setup!$C$16,AND(MONTH(WORKDAY(N484,-(Setup!$C$13+Setup!$G$32),Setup!$C$39:$C$50))&gt;=Setup!$C$15,MONTH(WORKDAY(N484,-(Setup!$C$13+Setup!$G$32),Setup!$C$39:$C$50))&lt;=Setup!$C$16),OR(MONTH(WORKDAY(N484,-(Setup!$C$13+Setup!$G$32),Setup!$C$39:$C$50))&gt;=Setup!$C$15,MONTH(WORKDAY(N484,-(Setup!$C$13+Setup!$G$32),Setup!$C$39:$C$50))&lt;=Setup!$C$16))),WORKDAY(N484,-(Setup!$C$13+Setup!$G$32+Setup!$C$14),Setup!$C$39:$C$50),WORKDAY(N484,-(Setup!$C$13+Setup!$G$32),Setup!$C$39:$C$50))+(479*100+13)/10000000)))</f>
        <v/>
      </c>
      <c r="AE484" t="str">
        <f>IF(O484="","",IF(O484&lt;Setup!$C$5-Setup!$C$6,"",IF(IF(ISNUMBER(Roster!$D484),Setup!$C$33&lt;=Roster!$D484,FALSE),"",IF(OR(IF(Setup!$C$15&lt;=Setup!$C$16,AND(MONTH(O484)&gt;=Setup!$C$15,MONTH(O484)&lt;=Setup!$C$16),OR(MONTH(O484)&gt;=Setup!$C$15,MONTH(O484)&lt;=Setup!$C$16)),IF(Setup!$C$15&lt;=Setup!$C$16,AND(MONTH(WORKDAY(O484,-(Setup!$C$13+Setup!$G$33),Setup!$C$39:$C$50))&gt;=Setup!$C$15,MONTH(WORKDAY(O484,-(Setup!$C$13+Setup!$G$33),Setup!$C$39:$C$50))&lt;=Setup!$C$16),OR(MONTH(WORKDAY(O484,-(Setup!$C$13+Setup!$G$33),Setup!$C$39:$C$50))&gt;=Setup!$C$15,MONTH(WORKDAY(O484,-(Setup!$C$13+Setup!$G$33),Setup!$C$39:$C$50))&lt;=Setup!$C$16))),WORKDAY(O484,-(Setup!$C$13+Setup!$G$33+Setup!$C$14),Setup!$C$39:$C$50),WORKDAY(O484,-(Setup!$C$13+Setup!$G$33),Setup!$C$39:$C$50))+(479*100+14)/10000000)))</f>
        <v/>
      </c>
      <c r="AF484" t="str">
        <f>IF(P484="","",IF(P484&lt;Setup!$C$5-Setup!$C$6,"",IF(IF(ISNUMBER(Roster!$D484),Setup!$C$34&lt;=Roster!$D484,FALSE),"",IF(OR(IF(Setup!$C$15&lt;=Setup!$C$16,AND(MONTH(P484)&gt;=Setup!$C$15,MONTH(P484)&lt;=Setup!$C$16),OR(MONTH(P484)&gt;=Setup!$C$15,MONTH(P484)&lt;=Setup!$C$16)),IF(Setup!$C$15&lt;=Setup!$C$16,AND(MONTH(WORKDAY(P484,-(Setup!$C$13+Setup!$G$34),Setup!$C$39:$C$50))&gt;=Setup!$C$15,MONTH(WORKDAY(P484,-(Setup!$C$13+Setup!$G$34),Setup!$C$39:$C$50))&lt;=Setup!$C$16),OR(MONTH(WORKDAY(P484,-(Setup!$C$13+Setup!$G$34),Setup!$C$39:$C$50))&gt;=Setup!$C$15,MONTH(WORKDAY(P484,-(Setup!$C$13+Setup!$G$34),Setup!$C$39:$C$50))&lt;=Setup!$C$16))),WORKDAY(P484,-(Setup!$C$13+Setup!$G$34+Setup!$C$14),Setup!$C$39:$C$50),WORKDAY(P484,-(Setup!$C$13+Setup!$G$34),Setup!$C$39:$C$50))+(479*100+15)/10000000)))</f>
        <v/>
      </c>
      <c r="AH484" t="str">
        <f t="shared" si="51"/>
        <v/>
      </c>
      <c r="AI484" t="str">
        <f t="shared" si="52"/>
        <v/>
      </c>
      <c r="AP484" t="str">
        <f>IF(ISNUMBER(Roster!$B484),MAX(1,YEAR(Setup!$C$5)-YEAR(Roster!$B484)+IF(EDATE(Roster!$B484,12*(YEAR(Setup!$C$5)-YEAR(Roster!$B484)))&lt;Setup!$C$5,1,0)),"")</f>
        <v/>
      </c>
      <c r="AQ484" s="32" t="str">
        <f>IF(AP484="","",EDATE(Roster!$B484,12*AP484))</f>
        <v/>
      </c>
      <c r="AR484" t="str">
        <f>IF(AQ484="","",IF(AQ484&lt;DATE(YEAR(Setup!$C$5)+1,MONTH(Setup!$C$5),DAY(Setup!$C$5)),AQ484+479/1000,""))</f>
        <v/>
      </c>
      <c r="AS484" t="str">
        <f t="shared" si="53"/>
        <v/>
      </c>
      <c r="AT484" t="str">
        <f>IF(AS484="","",IF(ISNUMBER(Roster!$D484),Roster!$D484&gt;=AP484,FALSE))</f>
        <v/>
      </c>
      <c r="AU484" t="str">
        <f t="shared" si="54"/>
        <v/>
      </c>
      <c r="AV484" t="str">
        <f ca="1">IF(479&gt;$AV$2,"",SMALL($AR$6:$AR$505,479))</f>
        <v/>
      </c>
      <c r="AW484" t="str">
        <f t="shared" ca="1" si="55"/>
        <v/>
      </c>
    </row>
    <row r="485" spans="2:49" x14ac:dyDescent="0.2">
      <c r="B485" s="32" t="str">
        <f>IF(AND(ISNUMBER(Roster!$B485),Setup!$B$20="Yes",ISNUMBER(Setup!$C$20)),EDATE(Roster!$B485,12*Setup!$C$20),"")</f>
        <v/>
      </c>
      <c r="C485" s="32" t="str">
        <f>IF(AND(ISNUMBER(Roster!$B485),Setup!$B$21="Yes",ISNUMBER(Setup!$C$21)),EDATE(Roster!$B485,12*Setup!$C$21),"")</f>
        <v/>
      </c>
      <c r="D485" s="32" t="str">
        <f>IF(AND(ISNUMBER(Roster!$B485),Setup!$B$22="Yes",ISNUMBER(Setup!$C$22)),EDATE(Roster!$B485,12*Setup!$C$22),"")</f>
        <v/>
      </c>
      <c r="E485" s="32" t="str">
        <f>IF(AND(ISNUMBER(Roster!$B485),Setup!$B$23="Yes",ISNUMBER(Setup!$C$23)),EDATE(Roster!$B485,12*Setup!$C$23),"")</f>
        <v/>
      </c>
      <c r="F485" s="32" t="str">
        <f>IF(AND(ISNUMBER(Roster!$B485),Setup!$B$24="Yes",ISNUMBER(Setup!$C$24)),EDATE(Roster!$B485,12*Setup!$C$24),"")</f>
        <v/>
      </c>
      <c r="G485" s="32" t="str">
        <f>IF(AND(ISNUMBER(Roster!$B485),Setup!$B$25="Yes",ISNUMBER(Setup!$C$25)),EDATE(Roster!$B485,12*Setup!$C$25),"")</f>
        <v/>
      </c>
      <c r="H485" s="32" t="str">
        <f>IF(AND(ISNUMBER(Roster!$B485),Setup!$B$26="Yes",ISNUMBER(Setup!$C$26)),EDATE(Roster!$B485,12*Setup!$C$26),"")</f>
        <v/>
      </c>
      <c r="I485" s="32" t="str">
        <f>IF(AND(ISNUMBER(Roster!$B485),Setup!$B$27="Yes",ISNUMBER(Setup!$C$27)),EDATE(Roster!$B485,12*Setup!$C$27),"")</f>
        <v/>
      </c>
      <c r="J485" s="32" t="str">
        <f>IF(AND(ISNUMBER(Roster!$B485),Setup!$B$28="Yes",ISNUMBER(Setup!$C$28)),EDATE(Roster!$B485,12*Setup!$C$28),"")</f>
        <v/>
      </c>
      <c r="K485" s="32" t="str">
        <f>IF(AND(ISNUMBER(Roster!$B485),Setup!$B$29="Yes",ISNUMBER(Setup!$C$29)),EDATE(Roster!$B485,12*Setup!$C$29),"")</f>
        <v/>
      </c>
      <c r="L485" s="32" t="str">
        <f>IF(AND(ISNUMBER(Roster!$B485),Setup!$B$30="Yes",ISNUMBER(Setup!$C$30)),EDATE(Roster!$B485,12*Setup!$C$30),"")</f>
        <v/>
      </c>
      <c r="M485" s="32" t="str">
        <f>IF(AND(ISNUMBER(Roster!$B485),Setup!$B$31="Yes",ISNUMBER(Setup!$C$31)),EDATE(Roster!$B485,12*Setup!$C$31),"")</f>
        <v/>
      </c>
      <c r="N485" s="32" t="str">
        <f>IF(AND(ISNUMBER(Roster!$B485),Setup!$B$32="Yes",ISNUMBER(Setup!$C$32)),EDATE(Roster!$B485,12*Setup!$C$32),"")</f>
        <v/>
      </c>
      <c r="O485" s="32" t="str">
        <f>IF(AND(ISNUMBER(Roster!$B485),Setup!$B$33="Yes",ISNUMBER(Setup!$C$33)),EDATE(Roster!$B485,12*Setup!$C$33),"")</f>
        <v/>
      </c>
      <c r="P485" s="32" t="str">
        <f>IF(AND(ISNUMBER(Roster!$B485),Setup!$B$34="Yes",ISNUMBER(Setup!$C$34)),EDATE(Roster!$B485,12*Setup!$C$34),"")</f>
        <v/>
      </c>
      <c r="R485" t="str">
        <f>IF(B485="","",IF(B485&lt;Setup!$C$5-Setup!$C$6,"",IF(IF(ISNUMBER(Roster!$D485),Setup!$C$20&lt;=Roster!$D485,FALSE),"",IF(OR(IF(Setup!$C$15&lt;=Setup!$C$16,AND(MONTH(B485)&gt;=Setup!$C$15,MONTH(B485)&lt;=Setup!$C$16),OR(MONTH(B485)&gt;=Setup!$C$15,MONTH(B485)&lt;=Setup!$C$16)),IF(Setup!$C$15&lt;=Setup!$C$16,AND(MONTH(WORKDAY(B485,-(Setup!$C$13+Setup!$G$20),Setup!$C$39:$C$50))&gt;=Setup!$C$15,MONTH(WORKDAY(B485,-(Setup!$C$13+Setup!$G$20),Setup!$C$39:$C$50))&lt;=Setup!$C$16),OR(MONTH(WORKDAY(B485,-(Setup!$C$13+Setup!$G$20),Setup!$C$39:$C$50))&gt;=Setup!$C$15,MONTH(WORKDAY(B485,-(Setup!$C$13+Setup!$G$20),Setup!$C$39:$C$50))&lt;=Setup!$C$16))),WORKDAY(B485,-(Setup!$C$13+Setup!$G$20+Setup!$C$14),Setup!$C$39:$C$50),WORKDAY(B485,-(Setup!$C$13+Setup!$G$20),Setup!$C$39:$C$50))+(480*100+1)/10000000)))</f>
        <v/>
      </c>
      <c r="S485" t="str">
        <f>IF(C485="","",IF(C485&lt;Setup!$C$5-Setup!$C$6,"",IF(IF(ISNUMBER(Roster!$D485),Setup!$C$21&lt;=Roster!$D485,FALSE),"",IF(OR(IF(Setup!$C$15&lt;=Setup!$C$16,AND(MONTH(C485)&gt;=Setup!$C$15,MONTH(C485)&lt;=Setup!$C$16),OR(MONTH(C485)&gt;=Setup!$C$15,MONTH(C485)&lt;=Setup!$C$16)),IF(Setup!$C$15&lt;=Setup!$C$16,AND(MONTH(WORKDAY(C485,-(Setup!$C$13+Setup!$G$21),Setup!$C$39:$C$50))&gt;=Setup!$C$15,MONTH(WORKDAY(C485,-(Setup!$C$13+Setup!$G$21),Setup!$C$39:$C$50))&lt;=Setup!$C$16),OR(MONTH(WORKDAY(C485,-(Setup!$C$13+Setup!$G$21),Setup!$C$39:$C$50))&gt;=Setup!$C$15,MONTH(WORKDAY(C485,-(Setup!$C$13+Setup!$G$21),Setup!$C$39:$C$50))&lt;=Setup!$C$16))),WORKDAY(C485,-(Setup!$C$13+Setup!$G$21+Setup!$C$14),Setup!$C$39:$C$50),WORKDAY(C485,-(Setup!$C$13+Setup!$G$21),Setup!$C$39:$C$50))+(480*100+2)/10000000)))</f>
        <v/>
      </c>
      <c r="T485" t="str">
        <f>IF(D485="","",IF(D485&lt;Setup!$C$5-Setup!$C$6,"",IF(IF(ISNUMBER(Roster!$D485),Setup!$C$22&lt;=Roster!$D485,FALSE),"",IF(OR(IF(Setup!$C$15&lt;=Setup!$C$16,AND(MONTH(D485)&gt;=Setup!$C$15,MONTH(D485)&lt;=Setup!$C$16),OR(MONTH(D485)&gt;=Setup!$C$15,MONTH(D485)&lt;=Setup!$C$16)),IF(Setup!$C$15&lt;=Setup!$C$16,AND(MONTH(WORKDAY(D485,-(Setup!$C$13+Setup!$G$22),Setup!$C$39:$C$50))&gt;=Setup!$C$15,MONTH(WORKDAY(D485,-(Setup!$C$13+Setup!$G$22),Setup!$C$39:$C$50))&lt;=Setup!$C$16),OR(MONTH(WORKDAY(D485,-(Setup!$C$13+Setup!$G$22),Setup!$C$39:$C$50))&gt;=Setup!$C$15,MONTH(WORKDAY(D485,-(Setup!$C$13+Setup!$G$22),Setup!$C$39:$C$50))&lt;=Setup!$C$16))),WORKDAY(D485,-(Setup!$C$13+Setup!$G$22+Setup!$C$14),Setup!$C$39:$C$50),WORKDAY(D485,-(Setup!$C$13+Setup!$G$22),Setup!$C$39:$C$50))+(480*100+3)/10000000)))</f>
        <v/>
      </c>
      <c r="U485" t="str">
        <f>IF(E485="","",IF(E485&lt;Setup!$C$5-Setup!$C$6,"",IF(IF(ISNUMBER(Roster!$D485),Setup!$C$23&lt;=Roster!$D485,FALSE),"",IF(OR(IF(Setup!$C$15&lt;=Setup!$C$16,AND(MONTH(E485)&gt;=Setup!$C$15,MONTH(E485)&lt;=Setup!$C$16),OR(MONTH(E485)&gt;=Setup!$C$15,MONTH(E485)&lt;=Setup!$C$16)),IF(Setup!$C$15&lt;=Setup!$C$16,AND(MONTH(WORKDAY(E485,-(Setup!$C$13+Setup!$G$23),Setup!$C$39:$C$50))&gt;=Setup!$C$15,MONTH(WORKDAY(E485,-(Setup!$C$13+Setup!$G$23),Setup!$C$39:$C$50))&lt;=Setup!$C$16),OR(MONTH(WORKDAY(E485,-(Setup!$C$13+Setup!$G$23),Setup!$C$39:$C$50))&gt;=Setup!$C$15,MONTH(WORKDAY(E485,-(Setup!$C$13+Setup!$G$23),Setup!$C$39:$C$50))&lt;=Setup!$C$16))),WORKDAY(E485,-(Setup!$C$13+Setup!$G$23+Setup!$C$14),Setup!$C$39:$C$50),WORKDAY(E485,-(Setup!$C$13+Setup!$G$23),Setup!$C$39:$C$50))+(480*100+4)/10000000)))</f>
        <v/>
      </c>
      <c r="V485" t="str">
        <f>IF(F485="","",IF(F485&lt;Setup!$C$5-Setup!$C$6,"",IF(IF(ISNUMBER(Roster!$D485),Setup!$C$24&lt;=Roster!$D485,FALSE),"",IF(OR(IF(Setup!$C$15&lt;=Setup!$C$16,AND(MONTH(F485)&gt;=Setup!$C$15,MONTH(F485)&lt;=Setup!$C$16),OR(MONTH(F485)&gt;=Setup!$C$15,MONTH(F485)&lt;=Setup!$C$16)),IF(Setup!$C$15&lt;=Setup!$C$16,AND(MONTH(WORKDAY(F485,-(Setup!$C$13+Setup!$G$24),Setup!$C$39:$C$50))&gt;=Setup!$C$15,MONTH(WORKDAY(F485,-(Setup!$C$13+Setup!$G$24),Setup!$C$39:$C$50))&lt;=Setup!$C$16),OR(MONTH(WORKDAY(F485,-(Setup!$C$13+Setup!$G$24),Setup!$C$39:$C$50))&gt;=Setup!$C$15,MONTH(WORKDAY(F485,-(Setup!$C$13+Setup!$G$24),Setup!$C$39:$C$50))&lt;=Setup!$C$16))),WORKDAY(F485,-(Setup!$C$13+Setup!$G$24+Setup!$C$14),Setup!$C$39:$C$50),WORKDAY(F485,-(Setup!$C$13+Setup!$G$24),Setup!$C$39:$C$50))+(480*100+5)/10000000)))</f>
        <v/>
      </c>
      <c r="W485" t="str">
        <f>IF(G485="","",IF(G485&lt;Setup!$C$5-Setup!$C$6,"",IF(IF(ISNUMBER(Roster!$D485),Setup!$C$25&lt;=Roster!$D485,FALSE),"",IF(OR(IF(Setup!$C$15&lt;=Setup!$C$16,AND(MONTH(G485)&gt;=Setup!$C$15,MONTH(G485)&lt;=Setup!$C$16),OR(MONTH(G485)&gt;=Setup!$C$15,MONTH(G485)&lt;=Setup!$C$16)),IF(Setup!$C$15&lt;=Setup!$C$16,AND(MONTH(WORKDAY(G485,-(Setup!$C$13+Setup!$G$25),Setup!$C$39:$C$50))&gt;=Setup!$C$15,MONTH(WORKDAY(G485,-(Setup!$C$13+Setup!$G$25),Setup!$C$39:$C$50))&lt;=Setup!$C$16),OR(MONTH(WORKDAY(G485,-(Setup!$C$13+Setup!$G$25),Setup!$C$39:$C$50))&gt;=Setup!$C$15,MONTH(WORKDAY(G485,-(Setup!$C$13+Setup!$G$25),Setup!$C$39:$C$50))&lt;=Setup!$C$16))),WORKDAY(G485,-(Setup!$C$13+Setup!$G$25+Setup!$C$14),Setup!$C$39:$C$50),WORKDAY(G485,-(Setup!$C$13+Setup!$G$25),Setup!$C$39:$C$50))+(480*100+6)/10000000)))</f>
        <v/>
      </c>
      <c r="X485" t="str">
        <f>IF(H485="","",IF(H485&lt;Setup!$C$5-Setup!$C$6,"",IF(IF(ISNUMBER(Roster!$D485),Setup!$C$26&lt;=Roster!$D485,FALSE),"",IF(OR(IF(Setup!$C$15&lt;=Setup!$C$16,AND(MONTH(H485)&gt;=Setup!$C$15,MONTH(H485)&lt;=Setup!$C$16),OR(MONTH(H485)&gt;=Setup!$C$15,MONTH(H485)&lt;=Setup!$C$16)),IF(Setup!$C$15&lt;=Setup!$C$16,AND(MONTH(WORKDAY(H485,-(Setup!$C$13+Setup!$G$26),Setup!$C$39:$C$50))&gt;=Setup!$C$15,MONTH(WORKDAY(H485,-(Setup!$C$13+Setup!$G$26),Setup!$C$39:$C$50))&lt;=Setup!$C$16),OR(MONTH(WORKDAY(H485,-(Setup!$C$13+Setup!$G$26),Setup!$C$39:$C$50))&gt;=Setup!$C$15,MONTH(WORKDAY(H485,-(Setup!$C$13+Setup!$G$26),Setup!$C$39:$C$50))&lt;=Setup!$C$16))),WORKDAY(H485,-(Setup!$C$13+Setup!$G$26+Setup!$C$14),Setup!$C$39:$C$50),WORKDAY(H485,-(Setup!$C$13+Setup!$G$26),Setup!$C$39:$C$50))+(480*100+7)/10000000)))</f>
        <v/>
      </c>
      <c r="Y485" t="str">
        <f>IF(I485="","",IF(I485&lt;Setup!$C$5-Setup!$C$6,"",IF(IF(ISNUMBER(Roster!$D485),Setup!$C$27&lt;=Roster!$D485,FALSE),"",IF(OR(IF(Setup!$C$15&lt;=Setup!$C$16,AND(MONTH(I485)&gt;=Setup!$C$15,MONTH(I485)&lt;=Setup!$C$16),OR(MONTH(I485)&gt;=Setup!$C$15,MONTH(I485)&lt;=Setup!$C$16)),IF(Setup!$C$15&lt;=Setup!$C$16,AND(MONTH(WORKDAY(I485,-(Setup!$C$13+Setup!$G$27),Setup!$C$39:$C$50))&gt;=Setup!$C$15,MONTH(WORKDAY(I485,-(Setup!$C$13+Setup!$G$27),Setup!$C$39:$C$50))&lt;=Setup!$C$16),OR(MONTH(WORKDAY(I485,-(Setup!$C$13+Setup!$G$27),Setup!$C$39:$C$50))&gt;=Setup!$C$15,MONTH(WORKDAY(I485,-(Setup!$C$13+Setup!$G$27),Setup!$C$39:$C$50))&lt;=Setup!$C$16))),WORKDAY(I485,-(Setup!$C$13+Setup!$G$27+Setup!$C$14),Setup!$C$39:$C$50),WORKDAY(I485,-(Setup!$C$13+Setup!$G$27),Setup!$C$39:$C$50))+(480*100+8)/10000000)))</f>
        <v/>
      </c>
      <c r="Z485" t="str">
        <f>IF(J485="","",IF(J485&lt;Setup!$C$5-Setup!$C$6,"",IF(IF(ISNUMBER(Roster!$D485),Setup!$C$28&lt;=Roster!$D485,FALSE),"",IF(OR(IF(Setup!$C$15&lt;=Setup!$C$16,AND(MONTH(J485)&gt;=Setup!$C$15,MONTH(J485)&lt;=Setup!$C$16),OR(MONTH(J485)&gt;=Setup!$C$15,MONTH(J485)&lt;=Setup!$C$16)),IF(Setup!$C$15&lt;=Setup!$C$16,AND(MONTH(WORKDAY(J485,-(Setup!$C$13+Setup!$G$28),Setup!$C$39:$C$50))&gt;=Setup!$C$15,MONTH(WORKDAY(J485,-(Setup!$C$13+Setup!$G$28),Setup!$C$39:$C$50))&lt;=Setup!$C$16),OR(MONTH(WORKDAY(J485,-(Setup!$C$13+Setup!$G$28),Setup!$C$39:$C$50))&gt;=Setup!$C$15,MONTH(WORKDAY(J485,-(Setup!$C$13+Setup!$G$28),Setup!$C$39:$C$50))&lt;=Setup!$C$16))),WORKDAY(J485,-(Setup!$C$13+Setup!$G$28+Setup!$C$14),Setup!$C$39:$C$50),WORKDAY(J485,-(Setup!$C$13+Setup!$G$28),Setup!$C$39:$C$50))+(480*100+9)/10000000)))</f>
        <v/>
      </c>
      <c r="AA485" t="str">
        <f>IF(K485="","",IF(K485&lt;Setup!$C$5-Setup!$C$6,"",IF(IF(ISNUMBER(Roster!$D485),Setup!$C$29&lt;=Roster!$D485,FALSE),"",IF(OR(IF(Setup!$C$15&lt;=Setup!$C$16,AND(MONTH(K485)&gt;=Setup!$C$15,MONTH(K485)&lt;=Setup!$C$16),OR(MONTH(K485)&gt;=Setup!$C$15,MONTH(K485)&lt;=Setup!$C$16)),IF(Setup!$C$15&lt;=Setup!$C$16,AND(MONTH(WORKDAY(K485,-(Setup!$C$13+Setup!$G$29),Setup!$C$39:$C$50))&gt;=Setup!$C$15,MONTH(WORKDAY(K485,-(Setup!$C$13+Setup!$G$29),Setup!$C$39:$C$50))&lt;=Setup!$C$16),OR(MONTH(WORKDAY(K485,-(Setup!$C$13+Setup!$G$29),Setup!$C$39:$C$50))&gt;=Setup!$C$15,MONTH(WORKDAY(K485,-(Setup!$C$13+Setup!$G$29),Setup!$C$39:$C$50))&lt;=Setup!$C$16))),WORKDAY(K485,-(Setup!$C$13+Setup!$G$29+Setup!$C$14),Setup!$C$39:$C$50),WORKDAY(K485,-(Setup!$C$13+Setup!$G$29),Setup!$C$39:$C$50))+(480*100+10)/10000000)))</f>
        <v/>
      </c>
      <c r="AB485" t="str">
        <f>IF(L485="","",IF(L485&lt;Setup!$C$5-Setup!$C$6,"",IF(IF(ISNUMBER(Roster!$D485),Setup!$C$30&lt;=Roster!$D485,FALSE),"",IF(OR(IF(Setup!$C$15&lt;=Setup!$C$16,AND(MONTH(L485)&gt;=Setup!$C$15,MONTH(L485)&lt;=Setup!$C$16),OR(MONTH(L485)&gt;=Setup!$C$15,MONTH(L485)&lt;=Setup!$C$16)),IF(Setup!$C$15&lt;=Setup!$C$16,AND(MONTH(WORKDAY(L485,-(Setup!$C$13+Setup!$G$30),Setup!$C$39:$C$50))&gt;=Setup!$C$15,MONTH(WORKDAY(L485,-(Setup!$C$13+Setup!$G$30),Setup!$C$39:$C$50))&lt;=Setup!$C$16),OR(MONTH(WORKDAY(L485,-(Setup!$C$13+Setup!$G$30),Setup!$C$39:$C$50))&gt;=Setup!$C$15,MONTH(WORKDAY(L485,-(Setup!$C$13+Setup!$G$30),Setup!$C$39:$C$50))&lt;=Setup!$C$16))),WORKDAY(L485,-(Setup!$C$13+Setup!$G$30+Setup!$C$14),Setup!$C$39:$C$50),WORKDAY(L485,-(Setup!$C$13+Setup!$G$30),Setup!$C$39:$C$50))+(480*100+11)/10000000)))</f>
        <v/>
      </c>
      <c r="AC485" t="str">
        <f>IF(M485="","",IF(M485&lt;Setup!$C$5-Setup!$C$6,"",IF(IF(ISNUMBER(Roster!$D485),Setup!$C$31&lt;=Roster!$D485,FALSE),"",IF(OR(IF(Setup!$C$15&lt;=Setup!$C$16,AND(MONTH(M485)&gt;=Setup!$C$15,MONTH(M485)&lt;=Setup!$C$16),OR(MONTH(M485)&gt;=Setup!$C$15,MONTH(M485)&lt;=Setup!$C$16)),IF(Setup!$C$15&lt;=Setup!$C$16,AND(MONTH(WORKDAY(M485,-(Setup!$C$13+Setup!$G$31),Setup!$C$39:$C$50))&gt;=Setup!$C$15,MONTH(WORKDAY(M485,-(Setup!$C$13+Setup!$G$31),Setup!$C$39:$C$50))&lt;=Setup!$C$16),OR(MONTH(WORKDAY(M485,-(Setup!$C$13+Setup!$G$31),Setup!$C$39:$C$50))&gt;=Setup!$C$15,MONTH(WORKDAY(M485,-(Setup!$C$13+Setup!$G$31),Setup!$C$39:$C$50))&lt;=Setup!$C$16))),WORKDAY(M485,-(Setup!$C$13+Setup!$G$31+Setup!$C$14),Setup!$C$39:$C$50),WORKDAY(M485,-(Setup!$C$13+Setup!$G$31),Setup!$C$39:$C$50))+(480*100+12)/10000000)))</f>
        <v/>
      </c>
      <c r="AD485" t="str">
        <f>IF(N485="","",IF(N485&lt;Setup!$C$5-Setup!$C$6,"",IF(IF(ISNUMBER(Roster!$D485),Setup!$C$32&lt;=Roster!$D485,FALSE),"",IF(OR(IF(Setup!$C$15&lt;=Setup!$C$16,AND(MONTH(N485)&gt;=Setup!$C$15,MONTH(N485)&lt;=Setup!$C$16),OR(MONTH(N485)&gt;=Setup!$C$15,MONTH(N485)&lt;=Setup!$C$16)),IF(Setup!$C$15&lt;=Setup!$C$16,AND(MONTH(WORKDAY(N485,-(Setup!$C$13+Setup!$G$32),Setup!$C$39:$C$50))&gt;=Setup!$C$15,MONTH(WORKDAY(N485,-(Setup!$C$13+Setup!$G$32),Setup!$C$39:$C$50))&lt;=Setup!$C$16),OR(MONTH(WORKDAY(N485,-(Setup!$C$13+Setup!$G$32),Setup!$C$39:$C$50))&gt;=Setup!$C$15,MONTH(WORKDAY(N485,-(Setup!$C$13+Setup!$G$32),Setup!$C$39:$C$50))&lt;=Setup!$C$16))),WORKDAY(N485,-(Setup!$C$13+Setup!$G$32+Setup!$C$14),Setup!$C$39:$C$50),WORKDAY(N485,-(Setup!$C$13+Setup!$G$32),Setup!$C$39:$C$50))+(480*100+13)/10000000)))</f>
        <v/>
      </c>
      <c r="AE485" t="str">
        <f>IF(O485="","",IF(O485&lt;Setup!$C$5-Setup!$C$6,"",IF(IF(ISNUMBER(Roster!$D485),Setup!$C$33&lt;=Roster!$D485,FALSE),"",IF(OR(IF(Setup!$C$15&lt;=Setup!$C$16,AND(MONTH(O485)&gt;=Setup!$C$15,MONTH(O485)&lt;=Setup!$C$16),OR(MONTH(O485)&gt;=Setup!$C$15,MONTH(O485)&lt;=Setup!$C$16)),IF(Setup!$C$15&lt;=Setup!$C$16,AND(MONTH(WORKDAY(O485,-(Setup!$C$13+Setup!$G$33),Setup!$C$39:$C$50))&gt;=Setup!$C$15,MONTH(WORKDAY(O485,-(Setup!$C$13+Setup!$G$33),Setup!$C$39:$C$50))&lt;=Setup!$C$16),OR(MONTH(WORKDAY(O485,-(Setup!$C$13+Setup!$G$33),Setup!$C$39:$C$50))&gt;=Setup!$C$15,MONTH(WORKDAY(O485,-(Setup!$C$13+Setup!$G$33),Setup!$C$39:$C$50))&lt;=Setup!$C$16))),WORKDAY(O485,-(Setup!$C$13+Setup!$G$33+Setup!$C$14),Setup!$C$39:$C$50),WORKDAY(O485,-(Setup!$C$13+Setup!$G$33),Setup!$C$39:$C$50))+(480*100+14)/10000000)))</f>
        <v/>
      </c>
      <c r="AF485" t="str">
        <f>IF(P485="","",IF(P485&lt;Setup!$C$5-Setup!$C$6,"",IF(IF(ISNUMBER(Roster!$D485),Setup!$C$34&lt;=Roster!$D485,FALSE),"",IF(OR(IF(Setup!$C$15&lt;=Setup!$C$16,AND(MONTH(P485)&gt;=Setup!$C$15,MONTH(P485)&lt;=Setup!$C$16),OR(MONTH(P485)&gt;=Setup!$C$15,MONTH(P485)&lt;=Setup!$C$16)),IF(Setup!$C$15&lt;=Setup!$C$16,AND(MONTH(WORKDAY(P485,-(Setup!$C$13+Setup!$G$34),Setup!$C$39:$C$50))&gt;=Setup!$C$15,MONTH(WORKDAY(P485,-(Setup!$C$13+Setup!$G$34),Setup!$C$39:$C$50))&lt;=Setup!$C$16),OR(MONTH(WORKDAY(P485,-(Setup!$C$13+Setup!$G$34),Setup!$C$39:$C$50))&gt;=Setup!$C$15,MONTH(WORKDAY(P485,-(Setup!$C$13+Setup!$G$34),Setup!$C$39:$C$50))&lt;=Setup!$C$16))),WORKDAY(P485,-(Setup!$C$13+Setup!$G$34+Setup!$C$14),Setup!$C$39:$C$50),WORKDAY(P485,-(Setup!$C$13+Setup!$G$34),Setup!$C$39:$C$50))+(480*100+15)/10000000)))</f>
        <v/>
      </c>
      <c r="AH485" t="str">
        <f t="shared" si="51"/>
        <v/>
      </c>
      <c r="AI485" t="str">
        <f t="shared" si="52"/>
        <v/>
      </c>
      <c r="AP485" t="str">
        <f>IF(ISNUMBER(Roster!$B485),MAX(1,YEAR(Setup!$C$5)-YEAR(Roster!$B485)+IF(EDATE(Roster!$B485,12*(YEAR(Setup!$C$5)-YEAR(Roster!$B485)))&lt;Setup!$C$5,1,0)),"")</f>
        <v/>
      </c>
      <c r="AQ485" s="32" t="str">
        <f>IF(AP485="","",EDATE(Roster!$B485,12*AP485))</f>
        <v/>
      </c>
      <c r="AR485" t="str">
        <f>IF(AQ485="","",IF(AQ485&lt;DATE(YEAR(Setup!$C$5)+1,MONTH(Setup!$C$5),DAY(Setup!$C$5)),AQ485+480/1000,""))</f>
        <v/>
      </c>
      <c r="AS485" t="str">
        <f t="shared" si="53"/>
        <v/>
      </c>
      <c r="AT485" t="str">
        <f>IF(AS485="","",IF(ISNUMBER(Roster!$D485),Roster!$D485&gt;=AP485,FALSE))</f>
        <v/>
      </c>
      <c r="AU485" t="str">
        <f t="shared" si="54"/>
        <v/>
      </c>
      <c r="AV485" t="str">
        <f ca="1">IF(480&gt;$AV$2,"",SMALL($AR$6:$AR$505,480))</f>
        <v/>
      </c>
      <c r="AW485" t="str">
        <f t="shared" ca="1" si="55"/>
        <v/>
      </c>
    </row>
    <row r="486" spans="2:49" x14ac:dyDescent="0.2">
      <c r="B486" s="32" t="str">
        <f>IF(AND(ISNUMBER(Roster!$B486),Setup!$B$20="Yes",ISNUMBER(Setup!$C$20)),EDATE(Roster!$B486,12*Setup!$C$20),"")</f>
        <v/>
      </c>
      <c r="C486" s="32" t="str">
        <f>IF(AND(ISNUMBER(Roster!$B486),Setup!$B$21="Yes",ISNUMBER(Setup!$C$21)),EDATE(Roster!$B486,12*Setup!$C$21),"")</f>
        <v/>
      </c>
      <c r="D486" s="32" t="str">
        <f>IF(AND(ISNUMBER(Roster!$B486),Setup!$B$22="Yes",ISNUMBER(Setup!$C$22)),EDATE(Roster!$B486,12*Setup!$C$22),"")</f>
        <v/>
      </c>
      <c r="E486" s="32" t="str">
        <f>IF(AND(ISNUMBER(Roster!$B486),Setup!$B$23="Yes",ISNUMBER(Setup!$C$23)),EDATE(Roster!$B486,12*Setup!$C$23),"")</f>
        <v/>
      </c>
      <c r="F486" s="32" t="str">
        <f>IF(AND(ISNUMBER(Roster!$B486),Setup!$B$24="Yes",ISNUMBER(Setup!$C$24)),EDATE(Roster!$B486,12*Setup!$C$24),"")</f>
        <v/>
      </c>
      <c r="G486" s="32" t="str">
        <f>IF(AND(ISNUMBER(Roster!$B486),Setup!$B$25="Yes",ISNUMBER(Setup!$C$25)),EDATE(Roster!$B486,12*Setup!$C$25),"")</f>
        <v/>
      </c>
      <c r="H486" s="32" t="str">
        <f>IF(AND(ISNUMBER(Roster!$B486),Setup!$B$26="Yes",ISNUMBER(Setup!$C$26)),EDATE(Roster!$B486,12*Setup!$C$26),"")</f>
        <v/>
      </c>
      <c r="I486" s="32" t="str">
        <f>IF(AND(ISNUMBER(Roster!$B486),Setup!$B$27="Yes",ISNUMBER(Setup!$C$27)),EDATE(Roster!$B486,12*Setup!$C$27),"")</f>
        <v/>
      </c>
      <c r="J486" s="32" t="str">
        <f>IF(AND(ISNUMBER(Roster!$B486),Setup!$B$28="Yes",ISNUMBER(Setup!$C$28)),EDATE(Roster!$B486,12*Setup!$C$28),"")</f>
        <v/>
      </c>
      <c r="K486" s="32" t="str">
        <f>IF(AND(ISNUMBER(Roster!$B486),Setup!$B$29="Yes",ISNUMBER(Setup!$C$29)),EDATE(Roster!$B486,12*Setup!$C$29),"")</f>
        <v/>
      </c>
      <c r="L486" s="32" t="str">
        <f>IF(AND(ISNUMBER(Roster!$B486),Setup!$B$30="Yes",ISNUMBER(Setup!$C$30)),EDATE(Roster!$B486,12*Setup!$C$30),"")</f>
        <v/>
      </c>
      <c r="M486" s="32" t="str">
        <f>IF(AND(ISNUMBER(Roster!$B486),Setup!$B$31="Yes",ISNUMBER(Setup!$C$31)),EDATE(Roster!$B486,12*Setup!$C$31),"")</f>
        <v/>
      </c>
      <c r="N486" s="32" t="str">
        <f>IF(AND(ISNUMBER(Roster!$B486),Setup!$B$32="Yes",ISNUMBER(Setup!$C$32)),EDATE(Roster!$B486,12*Setup!$C$32),"")</f>
        <v/>
      </c>
      <c r="O486" s="32" t="str">
        <f>IF(AND(ISNUMBER(Roster!$B486),Setup!$B$33="Yes",ISNUMBER(Setup!$C$33)),EDATE(Roster!$B486,12*Setup!$C$33),"")</f>
        <v/>
      </c>
      <c r="P486" s="32" t="str">
        <f>IF(AND(ISNUMBER(Roster!$B486),Setup!$B$34="Yes",ISNUMBER(Setup!$C$34)),EDATE(Roster!$B486,12*Setup!$C$34),"")</f>
        <v/>
      </c>
      <c r="R486" t="str">
        <f>IF(B486="","",IF(B486&lt;Setup!$C$5-Setup!$C$6,"",IF(IF(ISNUMBER(Roster!$D486),Setup!$C$20&lt;=Roster!$D486,FALSE),"",IF(OR(IF(Setup!$C$15&lt;=Setup!$C$16,AND(MONTH(B486)&gt;=Setup!$C$15,MONTH(B486)&lt;=Setup!$C$16),OR(MONTH(B486)&gt;=Setup!$C$15,MONTH(B486)&lt;=Setup!$C$16)),IF(Setup!$C$15&lt;=Setup!$C$16,AND(MONTH(WORKDAY(B486,-(Setup!$C$13+Setup!$G$20),Setup!$C$39:$C$50))&gt;=Setup!$C$15,MONTH(WORKDAY(B486,-(Setup!$C$13+Setup!$G$20),Setup!$C$39:$C$50))&lt;=Setup!$C$16),OR(MONTH(WORKDAY(B486,-(Setup!$C$13+Setup!$G$20),Setup!$C$39:$C$50))&gt;=Setup!$C$15,MONTH(WORKDAY(B486,-(Setup!$C$13+Setup!$G$20),Setup!$C$39:$C$50))&lt;=Setup!$C$16))),WORKDAY(B486,-(Setup!$C$13+Setup!$G$20+Setup!$C$14),Setup!$C$39:$C$50),WORKDAY(B486,-(Setup!$C$13+Setup!$G$20),Setup!$C$39:$C$50))+(481*100+1)/10000000)))</f>
        <v/>
      </c>
      <c r="S486" t="str">
        <f>IF(C486="","",IF(C486&lt;Setup!$C$5-Setup!$C$6,"",IF(IF(ISNUMBER(Roster!$D486),Setup!$C$21&lt;=Roster!$D486,FALSE),"",IF(OR(IF(Setup!$C$15&lt;=Setup!$C$16,AND(MONTH(C486)&gt;=Setup!$C$15,MONTH(C486)&lt;=Setup!$C$16),OR(MONTH(C486)&gt;=Setup!$C$15,MONTH(C486)&lt;=Setup!$C$16)),IF(Setup!$C$15&lt;=Setup!$C$16,AND(MONTH(WORKDAY(C486,-(Setup!$C$13+Setup!$G$21),Setup!$C$39:$C$50))&gt;=Setup!$C$15,MONTH(WORKDAY(C486,-(Setup!$C$13+Setup!$G$21),Setup!$C$39:$C$50))&lt;=Setup!$C$16),OR(MONTH(WORKDAY(C486,-(Setup!$C$13+Setup!$G$21),Setup!$C$39:$C$50))&gt;=Setup!$C$15,MONTH(WORKDAY(C486,-(Setup!$C$13+Setup!$G$21),Setup!$C$39:$C$50))&lt;=Setup!$C$16))),WORKDAY(C486,-(Setup!$C$13+Setup!$G$21+Setup!$C$14),Setup!$C$39:$C$50),WORKDAY(C486,-(Setup!$C$13+Setup!$G$21),Setup!$C$39:$C$50))+(481*100+2)/10000000)))</f>
        <v/>
      </c>
      <c r="T486" t="str">
        <f>IF(D486="","",IF(D486&lt;Setup!$C$5-Setup!$C$6,"",IF(IF(ISNUMBER(Roster!$D486),Setup!$C$22&lt;=Roster!$D486,FALSE),"",IF(OR(IF(Setup!$C$15&lt;=Setup!$C$16,AND(MONTH(D486)&gt;=Setup!$C$15,MONTH(D486)&lt;=Setup!$C$16),OR(MONTH(D486)&gt;=Setup!$C$15,MONTH(D486)&lt;=Setup!$C$16)),IF(Setup!$C$15&lt;=Setup!$C$16,AND(MONTH(WORKDAY(D486,-(Setup!$C$13+Setup!$G$22),Setup!$C$39:$C$50))&gt;=Setup!$C$15,MONTH(WORKDAY(D486,-(Setup!$C$13+Setup!$G$22),Setup!$C$39:$C$50))&lt;=Setup!$C$16),OR(MONTH(WORKDAY(D486,-(Setup!$C$13+Setup!$G$22),Setup!$C$39:$C$50))&gt;=Setup!$C$15,MONTH(WORKDAY(D486,-(Setup!$C$13+Setup!$G$22),Setup!$C$39:$C$50))&lt;=Setup!$C$16))),WORKDAY(D486,-(Setup!$C$13+Setup!$G$22+Setup!$C$14),Setup!$C$39:$C$50),WORKDAY(D486,-(Setup!$C$13+Setup!$G$22),Setup!$C$39:$C$50))+(481*100+3)/10000000)))</f>
        <v/>
      </c>
      <c r="U486" t="str">
        <f>IF(E486="","",IF(E486&lt;Setup!$C$5-Setup!$C$6,"",IF(IF(ISNUMBER(Roster!$D486),Setup!$C$23&lt;=Roster!$D486,FALSE),"",IF(OR(IF(Setup!$C$15&lt;=Setup!$C$16,AND(MONTH(E486)&gt;=Setup!$C$15,MONTH(E486)&lt;=Setup!$C$16),OR(MONTH(E486)&gt;=Setup!$C$15,MONTH(E486)&lt;=Setup!$C$16)),IF(Setup!$C$15&lt;=Setup!$C$16,AND(MONTH(WORKDAY(E486,-(Setup!$C$13+Setup!$G$23),Setup!$C$39:$C$50))&gt;=Setup!$C$15,MONTH(WORKDAY(E486,-(Setup!$C$13+Setup!$G$23),Setup!$C$39:$C$50))&lt;=Setup!$C$16),OR(MONTH(WORKDAY(E486,-(Setup!$C$13+Setup!$G$23),Setup!$C$39:$C$50))&gt;=Setup!$C$15,MONTH(WORKDAY(E486,-(Setup!$C$13+Setup!$G$23),Setup!$C$39:$C$50))&lt;=Setup!$C$16))),WORKDAY(E486,-(Setup!$C$13+Setup!$G$23+Setup!$C$14),Setup!$C$39:$C$50),WORKDAY(E486,-(Setup!$C$13+Setup!$G$23),Setup!$C$39:$C$50))+(481*100+4)/10000000)))</f>
        <v/>
      </c>
      <c r="V486" t="str">
        <f>IF(F486="","",IF(F486&lt;Setup!$C$5-Setup!$C$6,"",IF(IF(ISNUMBER(Roster!$D486),Setup!$C$24&lt;=Roster!$D486,FALSE),"",IF(OR(IF(Setup!$C$15&lt;=Setup!$C$16,AND(MONTH(F486)&gt;=Setup!$C$15,MONTH(F486)&lt;=Setup!$C$16),OR(MONTH(F486)&gt;=Setup!$C$15,MONTH(F486)&lt;=Setup!$C$16)),IF(Setup!$C$15&lt;=Setup!$C$16,AND(MONTH(WORKDAY(F486,-(Setup!$C$13+Setup!$G$24),Setup!$C$39:$C$50))&gt;=Setup!$C$15,MONTH(WORKDAY(F486,-(Setup!$C$13+Setup!$G$24),Setup!$C$39:$C$50))&lt;=Setup!$C$16),OR(MONTH(WORKDAY(F486,-(Setup!$C$13+Setup!$G$24),Setup!$C$39:$C$50))&gt;=Setup!$C$15,MONTH(WORKDAY(F486,-(Setup!$C$13+Setup!$G$24),Setup!$C$39:$C$50))&lt;=Setup!$C$16))),WORKDAY(F486,-(Setup!$C$13+Setup!$G$24+Setup!$C$14),Setup!$C$39:$C$50),WORKDAY(F486,-(Setup!$C$13+Setup!$G$24),Setup!$C$39:$C$50))+(481*100+5)/10000000)))</f>
        <v/>
      </c>
      <c r="W486" t="str">
        <f>IF(G486="","",IF(G486&lt;Setup!$C$5-Setup!$C$6,"",IF(IF(ISNUMBER(Roster!$D486),Setup!$C$25&lt;=Roster!$D486,FALSE),"",IF(OR(IF(Setup!$C$15&lt;=Setup!$C$16,AND(MONTH(G486)&gt;=Setup!$C$15,MONTH(G486)&lt;=Setup!$C$16),OR(MONTH(G486)&gt;=Setup!$C$15,MONTH(G486)&lt;=Setup!$C$16)),IF(Setup!$C$15&lt;=Setup!$C$16,AND(MONTH(WORKDAY(G486,-(Setup!$C$13+Setup!$G$25),Setup!$C$39:$C$50))&gt;=Setup!$C$15,MONTH(WORKDAY(G486,-(Setup!$C$13+Setup!$G$25),Setup!$C$39:$C$50))&lt;=Setup!$C$16),OR(MONTH(WORKDAY(G486,-(Setup!$C$13+Setup!$G$25),Setup!$C$39:$C$50))&gt;=Setup!$C$15,MONTH(WORKDAY(G486,-(Setup!$C$13+Setup!$G$25),Setup!$C$39:$C$50))&lt;=Setup!$C$16))),WORKDAY(G486,-(Setup!$C$13+Setup!$G$25+Setup!$C$14),Setup!$C$39:$C$50),WORKDAY(G486,-(Setup!$C$13+Setup!$G$25),Setup!$C$39:$C$50))+(481*100+6)/10000000)))</f>
        <v/>
      </c>
      <c r="X486" t="str">
        <f>IF(H486="","",IF(H486&lt;Setup!$C$5-Setup!$C$6,"",IF(IF(ISNUMBER(Roster!$D486),Setup!$C$26&lt;=Roster!$D486,FALSE),"",IF(OR(IF(Setup!$C$15&lt;=Setup!$C$16,AND(MONTH(H486)&gt;=Setup!$C$15,MONTH(H486)&lt;=Setup!$C$16),OR(MONTH(H486)&gt;=Setup!$C$15,MONTH(H486)&lt;=Setup!$C$16)),IF(Setup!$C$15&lt;=Setup!$C$16,AND(MONTH(WORKDAY(H486,-(Setup!$C$13+Setup!$G$26),Setup!$C$39:$C$50))&gt;=Setup!$C$15,MONTH(WORKDAY(H486,-(Setup!$C$13+Setup!$G$26),Setup!$C$39:$C$50))&lt;=Setup!$C$16),OR(MONTH(WORKDAY(H486,-(Setup!$C$13+Setup!$G$26),Setup!$C$39:$C$50))&gt;=Setup!$C$15,MONTH(WORKDAY(H486,-(Setup!$C$13+Setup!$G$26),Setup!$C$39:$C$50))&lt;=Setup!$C$16))),WORKDAY(H486,-(Setup!$C$13+Setup!$G$26+Setup!$C$14),Setup!$C$39:$C$50),WORKDAY(H486,-(Setup!$C$13+Setup!$G$26),Setup!$C$39:$C$50))+(481*100+7)/10000000)))</f>
        <v/>
      </c>
      <c r="Y486" t="str">
        <f>IF(I486="","",IF(I486&lt;Setup!$C$5-Setup!$C$6,"",IF(IF(ISNUMBER(Roster!$D486),Setup!$C$27&lt;=Roster!$D486,FALSE),"",IF(OR(IF(Setup!$C$15&lt;=Setup!$C$16,AND(MONTH(I486)&gt;=Setup!$C$15,MONTH(I486)&lt;=Setup!$C$16),OR(MONTH(I486)&gt;=Setup!$C$15,MONTH(I486)&lt;=Setup!$C$16)),IF(Setup!$C$15&lt;=Setup!$C$16,AND(MONTH(WORKDAY(I486,-(Setup!$C$13+Setup!$G$27),Setup!$C$39:$C$50))&gt;=Setup!$C$15,MONTH(WORKDAY(I486,-(Setup!$C$13+Setup!$G$27),Setup!$C$39:$C$50))&lt;=Setup!$C$16),OR(MONTH(WORKDAY(I486,-(Setup!$C$13+Setup!$G$27),Setup!$C$39:$C$50))&gt;=Setup!$C$15,MONTH(WORKDAY(I486,-(Setup!$C$13+Setup!$G$27),Setup!$C$39:$C$50))&lt;=Setup!$C$16))),WORKDAY(I486,-(Setup!$C$13+Setup!$G$27+Setup!$C$14),Setup!$C$39:$C$50),WORKDAY(I486,-(Setup!$C$13+Setup!$G$27),Setup!$C$39:$C$50))+(481*100+8)/10000000)))</f>
        <v/>
      </c>
      <c r="Z486" t="str">
        <f>IF(J486="","",IF(J486&lt;Setup!$C$5-Setup!$C$6,"",IF(IF(ISNUMBER(Roster!$D486),Setup!$C$28&lt;=Roster!$D486,FALSE),"",IF(OR(IF(Setup!$C$15&lt;=Setup!$C$16,AND(MONTH(J486)&gt;=Setup!$C$15,MONTH(J486)&lt;=Setup!$C$16),OR(MONTH(J486)&gt;=Setup!$C$15,MONTH(J486)&lt;=Setup!$C$16)),IF(Setup!$C$15&lt;=Setup!$C$16,AND(MONTH(WORKDAY(J486,-(Setup!$C$13+Setup!$G$28),Setup!$C$39:$C$50))&gt;=Setup!$C$15,MONTH(WORKDAY(J486,-(Setup!$C$13+Setup!$G$28),Setup!$C$39:$C$50))&lt;=Setup!$C$16),OR(MONTH(WORKDAY(J486,-(Setup!$C$13+Setup!$G$28),Setup!$C$39:$C$50))&gt;=Setup!$C$15,MONTH(WORKDAY(J486,-(Setup!$C$13+Setup!$G$28),Setup!$C$39:$C$50))&lt;=Setup!$C$16))),WORKDAY(J486,-(Setup!$C$13+Setup!$G$28+Setup!$C$14),Setup!$C$39:$C$50),WORKDAY(J486,-(Setup!$C$13+Setup!$G$28),Setup!$C$39:$C$50))+(481*100+9)/10000000)))</f>
        <v/>
      </c>
      <c r="AA486" t="str">
        <f>IF(K486="","",IF(K486&lt;Setup!$C$5-Setup!$C$6,"",IF(IF(ISNUMBER(Roster!$D486),Setup!$C$29&lt;=Roster!$D486,FALSE),"",IF(OR(IF(Setup!$C$15&lt;=Setup!$C$16,AND(MONTH(K486)&gt;=Setup!$C$15,MONTH(K486)&lt;=Setup!$C$16),OR(MONTH(K486)&gt;=Setup!$C$15,MONTH(K486)&lt;=Setup!$C$16)),IF(Setup!$C$15&lt;=Setup!$C$16,AND(MONTH(WORKDAY(K486,-(Setup!$C$13+Setup!$G$29),Setup!$C$39:$C$50))&gt;=Setup!$C$15,MONTH(WORKDAY(K486,-(Setup!$C$13+Setup!$G$29),Setup!$C$39:$C$50))&lt;=Setup!$C$16),OR(MONTH(WORKDAY(K486,-(Setup!$C$13+Setup!$G$29),Setup!$C$39:$C$50))&gt;=Setup!$C$15,MONTH(WORKDAY(K486,-(Setup!$C$13+Setup!$G$29),Setup!$C$39:$C$50))&lt;=Setup!$C$16))),WORKDAY(K486,-(Setup!$C$13+Setup!$G$29+Setup!$C$14),Setup!$C$39:$C$50),WORKDAY(K486,-(Setup!$C$13+Setup!$G$29),Setup!$C$39:$C$50))+(481*100+10)/10000000)))</f>
        <v/>
      </c>
      <c r="AB486" t="str">
        <f>IF(L486="","",IF(L486&lt;Setup!$C$5-Setup!$C$6,"",IF(IF(ISNUMBER(Roster!$D486),Setup!$C$30&lt;=Roster!$D486,FALSE),"",IF(OR(IF(Setup!$C$15&lt;=Setup!$C$16,AND(MONTH(L486)&gt;=Setup!$C$15,MONTH(L486)&lt;=Setup!$C$16),OR(MONTH(L486)&gt;=Setup!$C$15,MONTH(L486)&lt;=Setup!$C$16)),IF(Setup!$C$15&lt;=Setup!$C$16,AND(MONTH(WORKDAY(L486,-(Setup!$C$13+Setup!$G$30),Setup!$C$39:$C$50))&gt;=Setup!$C$15,MONTH(WORKDAY(L486,-(Setup!$C$13+Setup!$G$30),Setup!$C$39:$C$50))&lt;=Setup!$C$16),OR(MONTH(WORKDAY(L486,-(Setup!$C$13+Setup!$G$30),Setup!$C$39:$C$50))&gt;=Setup!$C$15,MONTH(WORKDAY(L486,-(Setup!$C$13+Setup!$G$30),Setup!$C$39:$C$50))&lt;=Setup!$C$16))),WORKDAY(L486,-(Setup!$C$13+Setup!$G$30+Setup!$C$14),Setup!$C$39:$C$50),WORKDAY(L486,-(Setup!$C$13+Setup!$G$30),Setup!$C$39:$C$50))+(481*100+11)/10000000)))</f>
        <v/>
      </c>
      <c r="AC486" t="str">
        <f>IF(M486="","",IF(M486&lt;Setup!$C$5-Setup!$C$6,"",IF(IF(ISNUMBER(Roster!$D486),Setup!$C$31&lt;=Roster!$D486,FALSE),"",IF(OR(IF(Setup!$C$15&lt;=Setup!$C$16,AND(MONTH(M486)&gt;=Setup!$C$15,MONTH(M486)&lt;=Setup!$C$16),OR(MONTH(M486)&gt;=Setup!$C$15,MONTH(M486)&lt;=Setup!$C$16)),IF(Setup!$C$15&lt;=Setup!$C$16,AND(MONTH(WORKDAY(M486,-(Setup!$C$13+Setup!$G$31),Setup!$C$39:$C$50))&gt;=Setup!$C$15,MONTH(WORKDAY(M486,-(Setup!$C$13+Setup!$G$31),Setup!$C$39:$C$50))&lt;=Setup!$C$16),OR(MONTH(WORKDAY(M486,-(Setup!$C$13+Setup!$G$31),Setup!$C$39:$C$50))&gt;=Setup!$C$15,MONTH(WORKDAY(M486,-(Setup!$C$13+Setup!$G$31),Setup!$C$39:$C$50))&lt;=Setup!$C$16))),WORKDAY(M486,-(Setup!$C$13+Setup!$G$31+Setup!$C$14),Setup!$C$39:$C$50),WORKDAY(M486,-(Setup!$C$13+Setup!$G$31),Setup!$C$39:$C$50))+(481*100+12)/10000000)))</f>
        <v/>
      </c>
      <c r="AD486" t="str">
        <f>IF(N486="","",IF(N486&lt;Setup!$C$5-Setup!$C$6,"",IF(IF(ISNUMBER(Roster!$D486),Setup!$C$32&lt;=Roster!$D486,FALSE),"",IF(OR(IF(Setup!$C$15&lt;=Setup!$C$16,AND(MONTH(N486)&gt;=Setup!$C$15,MONTH(N486)&lt;=Setup!$C$16),OR(MONTH(N486)&gt;=Setup!$C$15,MONTH(N486)&lt;=Setup!$C$16)),IF(Setup!$C$15&lt;=Setup!$C$16,AND(MONTH(WORKDAY(N486,-(Setup!$C$13+Setup!$G$32),Setup!$C$39:$C$50))&gt;=Setup!$C$15,MONTH(WORKDAY(N486,-(Setup!$C$13+Setup!$G$32),Setup!$C$39:$C$50))&lt;=Setup!$C$16),OR(MONTH(WORKDAY(N486,-(Setup!$C$13+Setup!$G$32),Setup!$C$39:$C$50))&gt;=Setup!$C$15,MONTH(WORKDAY(N486,-(Setup!$C$13+Setup!$G$32),Setup!$C$39:$C$50))&lt;=Setup!$C$16))),WORKDAY(N486,-(Setup!$C$13+Setup!$G$32+Setup!$C$14),Setup!$C$39:$C$50),WORKDAY(N486,-(Setup!$C$13+Setup!$G$32),Setup!$C$39:$C$50))+(481*100+13)/10000000)))</f>
        <v/>
      </c>
      <c r="AE486" t="str">
        <f>IF(O486="","",IF(O486&lt;Setup!$C$5-Setup!$C$6,"",IF(IF(ISNUMBER(Roster!$D486),Setup!$C$33&lt;=Roster!$D486,FALSE),"",IF(OR(IF(Setup!$C$15&lt;=Setup!$C$16,AND(MONTH(O486)&gt;=Setup!$C$15,MONTH(O486)&lt;=Setup!$C$16),OR(MONTH(O486)&gt;=Setup!$C$15,MONTH(O486)&lt;=Setup!$C$16)),IF(Setup!$C$15&lt;=Setup!$C$16,AND(MONTH(WORKDAY(O486,-(Setup!$C$13+Setup!$G$33),Setup!$C$39:$C$50))&gt;=Setup!$C$15,MONTH(WORKDAY(O486,-(Setup!$C$13+Setup!$G$33),Setup!$C$39:$C$50))&lt;=Setup!$C$16),OR(MONTH(WORKDAY(O486,-(Setup!$C$13+Setup!$G$33),Setup!$C$39:$C$50))&gt;=Setup!$C$15,MONTH(WORKDAY(O486,-(Setup!$C$13+Setup!$G$33),Setup!$C$39:$C$50))&lt;=Setup!$C$16))),WORKDAY(O486,-(Setup!$C$13+Setup!$G$33+Setup!$C$14),Setup!$C$39:$C$50),WORKDAY(O486,-(Setup!$C$13+Setup!$G$33),Setup!$C$39:$C$50))+(481*100+14)/10000000)))</f>
        <v/>
      </c>
      <c r="AF486" t="str">
        <f>IF(P486="","",IF(P486&lt;Setup!$C$5-Setup!$C$6,"",IF(IF(ISNUMBER(Roster!$D486),Setup!$C$34&lt;=Roster!$D486,FALSE),"",IF(OR(IF(Setup!$C$15&lt;=Setup!$C$16,AND(MONTH(P486)&gt;=Setup!$C$15,MONTH(P486)&lt;=Setup!$C$16),OR(MONTH(P486)&gt;=Setup!$C$15,MONTH(P486)&lt;=Setup!$C$16)),IF(Setup!$C$15&lt;=Setup!$C$16,AND(MONTH(WORKDAY(P486,-(Setup!$C$13+Setup!$G$34),Setup!$C$39:$C$50))&gt;=Setup!$C$15,MONTH(WORKDAY(P486,-(Setup!$C$13+Setup!$G$34),Setup!$C$39:$C$50))&lt;=Setup!$C$16),OR(MONTH(WORKDAY(P486,-(Setup!$C$13+Setup!$G$34),Setup!$C$39:$C$50))&gt;=Setup!$C$15,MONTH(WORKDAY(P486,-(Setup!$C$13+Setup!$G$34),Setup!$C$39:$C$50))&lt;=Setup!$C$16))),WORKDAY(P486,-(Setup!$C$13+Setup!$G$34+Setup!$C$14),Setup!$C$39:$C$50),WORKDAY(P486,-(Setup!$C$13+Setup!$G$34),Setup!$C$39:$C$50))+(481*100+15)/10000000)))</f>
        <v/>
      </c>
      <c r="AH486" t="str">
        <f t="shared" si="51"/>
        <v/>
      </c>
      <c r="AI486" t="str">
        <f t="shared" si="52"/>
        <v/>
      </c>
      <c r="AP486" t="str">
        <f>IF(ISNUMBER(Roster!$B486),MAX(1,YEAR(Setup!$C$5)-YEAR(Roster!$B486)+IF(EDATE(Roster!$B486,12*(YEAR(Setup!$C$5)-YEAR(Roster!$B486)))&lt;Setup!$C$5,1,0)),"")</f>
        <v/>
      </c>
      <c r="AQ486" s="32" t="str">
        <f>IF(AP486="","",EDATE(Roster!$B486,12*AP486))</f>
        <v/>
      </c>
      <c r="AR486" t="str">
        <f>IF(AQ486="","",IF(AQ486&lt;DATE(YEAR(Setup!$C$5)+1,MONTH(Setup!$C$5),DAY(Setup!$C$5)),AQ486+481/1000,""))</f>
        <v/>
      </c>
      <c r="AS486" t="str">
        <f t="shared" si="53"/>
        <v/>
      </c>
      <c r="AT486" t="str">
        <f>IF(AS486="","",IF(ISNUMBER(Roster!$D486),Roster!$D486&gt;=AP486,FALSE))</f>
        <v/>
      </c>
      <c r="AU486" t="str">
        <f t="shared" si="54"/>
        <v/>
      </c>
      <c r="AV486" t="str">
        <f ca="1">IF(481&gt;$AV$2,"",SMALL($AR$6:$AR$505,481))</f>
        <v/>
      </c>
      <c r="AW486" t="str">
        <f t="shared" ca="1" si="55"/>
        <v/>
      </c>
    </row>
    <row r="487" spans="2:49" x14ac:dyDescent="0.2">
      <c r="B487" s="32" t="str">
        <f>IF(AND(ISNUMBER(Roster!$B487),Setup!$B$20="Yes",ISNUMBER(Setup!$C$20)),EDATE(Roster!$B487,12*Setup!$C$20),"")</f>
        <v/>
      </c>
      <c r="C487" s="32" t="str">
        <f>IF(AND(ISNUMBER(Roster!$B487),Setup!$B$21="Yes",ISNUMBER(Setup!$C$21)),EDATE(Roster!$B487,12*Setup!$C$21),"")</f>
        <v/>
      </c>
      <c r="D487" s="32" t="str">
        <f>IF(AND(ISNUMBER(Roster!$B487),Setup!$B$22="Yes",ISNUMBER(Setup!$C$22)),EDATE(Roster!$B487,12*Setup!$C$22),"")</f>
        <v/>
      </c>
      <c r="E487" s="32" t="str">
        <f>IF(AND(ISNUMBER(Roster!$B487),Setup!$B$23="Yes",ISNUMBER(Setup!$C$23)),EDATE(Roster!$B487,12*Setup!$C$23),"")</f>
        <v/>
      </c>
      <c r="F487" s="32" t="str">
        <f>IF(AND(ISNUMBER(Roster!$B487),Setup!$B$24="Yes",ISNUMBER(Setup!$C$24)),EDATE(Roster!$B487,12*Setup!$C$24),"")</f>
        <v/>
      </c>
      <c r="G487" s="32" t="str">
        <f>IF(AND(ISNUMBER(Roster!$B487),Setup!$B$25="Yes",ISNUMBER(Setup!$C$25)),EDATE(Roster!$B487,12*Setup!$C$25),"")</f>
        <v/>
      </c>
      <c r="H487" s="32" t="str">
        <f>IF(AND(ISNUMBER(Roster!$B487),Setup!$B$26="Yes",ISNUMBER(Setup!$C$26)),EDATE(Roster!$B487,12*Setup!$C$26),"")</f>
        <v/>
      </c>
      <c r="I487" s="32" t="str">
        <f>IF(AND(ISNUMBER(Roster!$B487),Setup!$B$27="Yes",ISNUMBER(Setup!$C$27)),EDATE(Roster!$B487,12*Setup!$C$27),"")</f>
        <v/>
      </c>
      <c r="J487" s="32" t="str">
        <f>IF(AND(ISNUMBER(Roster!$B487),Setup!$B$28="Yes",ISNUMBER(Setup!$C$28)),EDATE(Roster!$B487,12*Setup!$C$28),"")</f>
        <v/>
      </c>
      <c r="K487" s="32" t="str">
        <f>IF(AND(ISNUMBER(Roster!$B487),Setup!$B$29="Yes",ISNUMBER(Setup!$C$29)),EDATE(Roster!$B487,12*Setup!$C$29),"")</f>
        <v/>
      </c>
      <c r="L487" s="32" t="str">
        <f>IF(AND(ISNUMBER(Roster!$B487),Setup!$B$30="Yes",ISNUMBER(Setup!$C$30)),EDATE(Roster!$B487,12*Setup!$C$30),"")</f>
        <v/>
      </c>
      <c r="M487" s="32" t="str">
        <f>IF(AND(ISNUMBER(Roster!$B487),Setup!$B$31="Yes",ISNUMBER(Setup!$C$31)),EDATE(Roster!$B487,12*Setup!$C$31),"")</f>
        <v/>
      </c>
      <c r="N487" s="32" t="str">
        <f>IF(AND(ISNUMBER(Roster!$B487),Setup!$B$32="Yes",ISNUMBER(Setup!$C$32)),EDATE(Roster!$B487,12*Setup!$C$32),"")</f>
        <v/>
      </c>
      <c r="O487" s="32" t="str">
        <f>IF(AND(ISNUMBER(Roster!$B487),Setup!$B$33="Yes",ISNUMBER(Setup!$C$33)),EDATE(Roster!$B487,12*Setup!$C$33),"")</f>
        <v/>
      </c>
      <c r="P487" s="32" t="str">
        <f>IF(AND(ISNUMBER(Roster!$B487),Setup!$B$34="Yes",ISNUMBER(Setup!$C$34)),EDATE(Roster!$B487,12*Setup!$C$34),"")</f>
        <v/>
      </c>
      <c r="R487" t="str">
        <f>IF(B487="","",IF(B487&lt;Setup!$C$5-Setup!$C$6,"",IF(IF(ISNUMBER(Roster!$D487),Setup!$C$20&lt;=Roster!$D487,FALSE),"",IF(OR(IF(Setup!$C$15&lt;=Setup!$C$16,AND(MONTH(B487)&gt;=Setup!$C$15,MONTH(B487)&lt;=Setup!$C$16),OR(MONTH(B487)&gt;=Setup!$C$15,MONTH(B487)&lt;=Setup!$C$16)),IF(Setup!$C$15&lt;=Setup!$C$16,AND(MONTH(WORKDAY(B487,-(Setup!$C$13+Setup!$G$20),Setup!$C$39:$C$50))&gt;=Setup!$C$15,MONTH(WORKDAY(B487,-(Setup!$C$13+Setup!$G$20),Setup!$C$39:$C$50))&lt;=Setup!$C$16),OR(MONTH(WORKDAY(B487,-(Setup!$C$13+Setup!$G$20),Setup!$C$39:$C$50))&gt;=Setup!$C$15,MONTH(WORKDAY(B487,-(Setup!$C$13+Setup!$G$20),Setup!$C$39:$C$50))&lt;=Setup!$C$16))),WORKDAY(B487,-(Setup!$C$13+Setup!$G$20+Setup!$C$14),Setup!$C$39:$C$50),WORKDAY(B487,-(Setup!$C$13+Setup!$G$20),Setup!$C$39:$C$50))+(482*100+1)/10000000)))</f>
        <v/>
      </c>
      <c r="S487" t="str">
        <f>IF(C487="","",IF(C487&lt;Setup!$C$5-Setup!$C$6,"",IF(IF(ISNUMBER(Roster!$D487),Setup!$C$21&lt;=Roster!$D487,FALSE),"",IF(OR(IF(Setup!$C$15&lt;=Setup!$C$16,AND(MONTH(C487)&gt;=Setup!$C$15,MONTH(C487)&lt;=Setup!$C$16),OR(MONTH(C487)&gt;=Setup!$C$15,MONTH(C487)&lt;=Setup!$C$16)),IF(Setup!$C$15&lt;=Setup!$C$16,AND(MONTH(WORKDAY(C487,-(Setup!$C$13+Setup!$G$21),Setup!$C$39:$C$50))&gt;=Setup!$C$15,MONTH(WORKDAY(C487,-(Setup!$C$13+Setup!$G$21),Setup!$C$39:$C$50))&lt;=Setup!$C$16),OR(MONTH(WORKDAY(C487,-(Setup!$C$13+Setup!$G$21),Setup!$C$39:$C$50))&gt;=Setup!$C$15,MONTH(WORKDAY(C487,-(Setup!$C$13+Setup!$G$21),Setup!$C$39:$C$50))&lt;=Setup!$C$16))),WORKDAY(C487,-(Setup!$C$13+Setup!$G$21+Setup!$C$14),Setup!$C$39:$C$50),WORKDAY(C487,-(Setup!$C$13+Setup!$G$21),Setup!$C$39:$C$50))+(482*100+2)/10000000)))</f>
        <v/>
      </c>
      <c r="T487" t="str">
        <f>IF(D487="","",IF(D487&lt;Setup!$C$5-Setup!$C$6,"",IF(IF(ISNUMBER(Roster!$D487),Setup!$C$22&lt;=Roster!$D487,FALSE),"",IF(OR(IF(Setup!$C$15&lt;=Setup!$C$16,AND(MONTH(D487)&gt;=Setup!$C$15,MONTH(D487)&lt;=Setup!$C$16),OR(MONTH(D487)&gt;=Setup!$C$15,MONTH(D487)&lt;=Setup!$C$16)),IF(Setup!$C$15&lt;=Setup!$C$16,AND(MONTH(WORKDAY(D487,-(Setup!$C$13+Setup!$G$22),Setup!$C$39:$C$50))&gt;=Setup!$C$15,MONTH(WORKDAY(D487,-(Setup!$C$13+Setup!$G$22),Setup!$C$39:$C$50))&lt;=Setup!$C$16),OR(MONTH(WORKDAY(D487,-(Setup!$C$13+Setup!$G$22),Setup!$C$39:$C$50))&gt;=Setup!$C$15,MONTH(WORKDAY(D487,-(Setup!$C$13+Setup!$G$22),Setup!$C$39:$C$50))&lt;=Setup!$C$16))),WORKDAY(D487,-(Setup!$C$13+Setup!$G$22+Setup!$C$14),Setup!$C$39:$C$50),WORKDAY(D487,-(Setup!$C$13+Setup!$G$22),Setup!$C$39:$C$50))+(482*100+3)/10000000)))</f>
        <v/>
      </c>
      <c r="U487" t="str">
        <f>IF(E487="","",IF(E487&lt;Setup!$C$5-Setup!$C$6,"",IF(IF(ISNUMBER(Roster!$D487),Setup!$C$23&lt;=Roster!$D487,FALSE),"",IF(OR(IF(Setup!$C$15&lt;=Setup!$C$16,AND(MONTH(E487)&gt;=Setup!$C$15,MONTH(E487)&lt;=Setup!$C$16),OR(MONTH(E487)&gt;=Setup!$C$15,MONTH(E487)&lt;=Setup!$C$16)),IF(Setup!$C$15&lt;=Setup!$C$16,AND(MONTH(WORKDAY(E487,-(Setup!$C$13+Setup!$G$23),Setup!$C$39:$C$50))&gt;=Setup!$C$15,MONTH(WORKDAY(E487,-(Setup!$C$13+Setup!$G$23),Setup!$C$39:$C$50))&lt;=Setup!$C$16),OR(MONTH(WORKDAY(E487,-(Setup!$C$13+Setup!$G$23),Setup!$C$39:$C$50))&gt;=Setup!$C$15,MONTH(WORKDAY(E487,-(Setup!$C$13+Setup!$G$23),Setup!$C$39:$C$50))&lt;=Setup!$C$16))),WORKDAY(E487,-(Setup!$C$13+Setup!$G$23+Setup!$C$14),Setup!$C$39:$C$50),WORKDAY(E487,-(Setup!$C$13+Setup!$G$23),Setup!$C$39:$C$50))+(482*100+4)/10000000)))</f>
        <v/>
      </c>
      <c r="V487" t="str">
        <f>IF(F487="","",IF(F487&lt;Setup!$C$5-Setup!$C$6,"",IF(IF(ISNUMBER(Roster!$D487),Setup!$C$24&lt;=Roster!$D487,FALSE),"",IF(OR(IF(Setup!$C$15&lt;=Setup!$C$16,AND(MONTH(F487)&gt;=Setup!$C$15,MONTH(F487)&lt;=Setup!$C$16),OR(MONTH(F487)&gt;=Setup!$C$15,MONTH(F487)&lt;=Setup!$C$16)),IF(Setup!$C$15&lt;=Setup!$C$16,AND(MONTH(WORKDAY(F487,-(Setup!$C$13+Setup!$G$24),Setup!$C$39:$C$50))&gt;=Setup!$C$15,MONTH(WORKDAY(F487,-(Setup!$C$13+Setup!$G$24),Setup!$C$39:$C$50))&lt;=Setup!$C$16),OR(MONTH(WORKDAY(F487,-(Setup!$C$13+Setup!$G$24),Setup!$C$39:$C$50))&gt;=Setup!$C$15,MONTH(WORKDAY(F487,-(Setup!$C$13+Setup!$G$24),Setup!$C$39:$C$50))&lt;=Setup!$C$16))),WORKDAY(F487,-(Setup!$C$13+Setup!$G$24+Setup!$C$14),Setup!$C$39:$C$50),WORKDAY(F487,-(Setup!$C$13+Setup!$G$24),Setup!$C$39:$C$50))+(482*100+5)/10000000)))</f>
        <v/>
      </c>
      <c r="W487" t="str">
        <f>IF(G487="","",IF(G487&lt;Setup!$C$5-Setup!$C$6,"",IF(IF(ISNUMBER(Roster!$D487),Setup!$C$25&lt;=Roster!$D487,FALSE),"",IF(OR(IF(Setup!$C$15&lt;=Setup!$C$16,AND(MONTH(G487)&gt;=Setup!$C$15,MONTH(G487)&lt;=Setup!$C$16),OR(MONTH(G487)&gt;=Setup!$C$15,MONTH(G487)&lt;=Setup!$C$16)),IF(Setup!$C$15&lt;=Setup!$C$16,AND(MONTH(WORKDAY(G487,-(Setup!$C$13+Setup!$G$25),Setup!$C$39:$C$50))&gt;=Setup!$C$15,MONTH(WORKDAY(G487,-(Setup!$C$13+Setup!$G$25),Setup!$C$39:$C$50))&lt;=Setup!$C$16),OR(MONTH(WORKDAY(G487,-(Setup!$C$13+Setup!$G$25),Setup!$C$39:$C$50))&gt;=Setup!$C$15,MONTH(WORKDAY(G487,-(Setup!$C$13+Setup!$G$25),Setup!$C$39:$C$50))&lt;=Setup!$C$16))),WORKDAY(G487,-(Setup!$C$13+Setup!$G$25+Setup!$C$14),Setup!$C$39:$C$50),WORKDAY(G487,-(Setup!$C$13+Setup!$G$25),Setup!$C$39:$C$50))+(482*100+6)/10000000)))</f>
        <v/>
      </c>
      <c r="X487" t="str">
        <f>IF(H487="","",IF(H487&lt;Setup!$C$5-Setup!$C$6,"",IF(IF(ISNUMBER(Roster!$D487),Setup!$C$26&lt;=Roster!$D487,FALSE),"",IF(OR(IF(Setup!$C$15&lt;=Setup!$C$16,AND(MONTH(H487)&gt;=Setup!$C$15,MONTH(H487)&lt;=Setup!$C$16),OR(MONTH(H487)&gt;=Setup!$C$15,MONTH(H487)&lt;=Setup!$C$16)),IF(Setup!$C$15&lt;=Setup!$C$16,AND(MONTH(WORKDAY(H487,-(Setup!$C$13+Setup!$G$26),Setup!$C$39:$C$50))&gt;=Setup!$C$15,MONTH(WORKDAY(H487,-(Setup!$C$13+Setup!$G$26),Setup!$C$39:$C$50))&lt;=Setup!$C$16),OR(MONTH(WORKDAY(H487,-(Setup!$C$13+Setup!$G$26),Setup!$C$39:$C$50))&gt;=Setup!$C$15,MONTH(WORKDAY(H487,-(Setup!$C$13+Setup!$G$26),Setup!$C$39:$C$50))&lt;=Setup!$C$16))),WORKDAY(H487,-(Setup!$C$13+Setup!$G$26+Setup!$C$14),Setup!$C$39:$C$50),WORKDAY(H487,-(Setup!$C$13+Setup!$G$26),Setup!$C$39:$C$50))+(482*100+7)/10000000)))</f>
        <v/>
      </c>
      <c r="Y487" t="str">
        <f>IF(I487="","",IF(I487&lt;Setup!$C$5-Setup!$C$6,"",IF(IF(ISNUMBER(Roster!$D487),Setup!$C$27&lt;=Roster!$D487,FALSE),"",IF(OR(IF(Setup!$C$15&lt;=Setup!$C$16,AND(MONTH(I487)&gt;=Setup!$C$15,MONTH(I487)&lt;=Setup!$C$16),OR(MONTH(I487)&gt;=Setup!$C$15,MONTH(I487)&lt;=Setup!$C$16)),IF(Setup!$C$15&lt;=Setup!$C$16,AND(MONTH(WORKDAY(I487,-(Setup!$C$13+Setup!$G$27),Setup!$C$39:$C$50))&gt;=Setup!$C$15,MONTH(WORKDAY(I487,-(Setup!$C$13+Setup!$G$27),Setup!$C$39:$C$50))&lt;=Setup!$C$16),OR(MONTH(WORKDAY(I487,-(Setup!$C$13+Setup!$G$27),Setup!$C$39:$C$50))&gt;=Setup!$C$15,MONTH(WORKDAY(I487,-(Setup!$C$13+Setup!$G$27),Setup!$C$39:$C$50))&lt;=Setup!$C$16))),WORKDAY(I487,-(Setup!$C$13+Setup!$G$27+Setup!$C$14),Setup!$C$39:$C$50),WORKDAY(I487,-(Setup!$C$13+Setup!$G$27),Setup!$C$39:$C$50))+(482*100+8)/10000000)))</f>
        <v/>
      </c>
      <c r="Z487" t="str">
        <f>IF(J487="","",IF(J487&lt;Setup!$C$5-Setup!$C$6,"",IF(IF(ISNUMBER(Roster!$D487),Setup!$C$28&lt;=Roster!$D487,FALSE),"",IF(OR(IF(Setup!$C$15&lt;=Setup!$C$16,AND(MONTH(J487)&gt;=Setup!$C$15,MONTH(J487)&lt;=Setup!$C$16),OR(MONTH(J487)&gt;=Setup!$C$15,MONTH(J487)&lt;=Setup!$C$16)),IF(Setup!$C$15&lt;=Setup!$C$16,AND(MONTH(WORKDAY(J487,-(Setup!$C$13+Setup!$G$28),Setup!$C$39:$C$50))&gt;=Setup!$C$15,MONTH(WORKDAY(J487,-(Setup!$C$13+Setup!$G$28),Setup!$C$39:$C$50))&lt;=Setup!$C$16),OR(MONTH(WORKDAY(J487,-(Setup!$C$13+Setup!$G$28),Setup!$C$39:$C$50))&gt;=Setup!$C$15,MONTH(WORKDAY(J487,-(Setup!$C$13+Setup!$G$28),Setup!$C$39:$C$50))&lt;=Setup!$C$16))),WORKDAY(J487,-(Setup!$C$13+Setup!$G$28+Setup!$C$14),Setup!$C$39:$C$50),WORKDAY(J487,-(Setup!$C$13+Setup!$G$28),Setup!$C$39:$C$50))+(482*100+9)/10000000)))</f>
        <v/>
      </c>
      <c r="AA487" t="str">
        <f>IF(K487="","",IF(K487&lt;Setup!$C$5-Setup!$C$6,"",IF(IF(ISNUMBER(Roster!$D487),Setup!$C$29&lt;=Roster!$D487,FALSE),"",IF(OR(IF(Setup!$C$15&lt;=Setup!$C$16,AND(MONTH(K487)&gt;=Setup!$C$15,MONTH(K487)&lt;=Setup!$C$16),OR(MONTH(K487)&gt;=Setup!$C$15,MONTH(K487)&lt;=Setup!$C$16)),IF(Setup!$C$15&lt;=Setup!$C$16,AND(MONTH(WORKDAY(K487,-(Setup!$C$13+Setup!$G$29),Setup!$C$39:$C$50))&gt;=Setup!$C$15,MONTH(WORKDAY(K487,-(Setup!$C$13+Setup!$G$29),Setup!$C$39:$C$50))&lt;=Setup!$C$16),OR(MONTH(WORKDAY(K487,-(Setup!$C$13+Setup!$G$29),Setup!$C$39:$C$50))&gt;=Setup!$C$15,MONTH(WORKDAY(K487,-(Setup!$C$13+Setup!$G$29),Setup!$C$39:$C$50))&lt;=Setup!$C$16))),WORKDAY(K487,-(Setup!$C$13+Setup!$G$29+Setup!$C$14),Setup!$C$39:$C$50),WORKDAY(K487,-(Setup!$C$13+Setup!$G$29),Setup!$C$39:$C$50))+(482*100+10)/10000000)))</f>
        <v/>
      </c>
      <c r="AB487" t="str">
        <f>IF(L487="","",IF(L487&lt;Setup!$C$5-Setup!$C$6,"",IF(IF(ISNUMBER(Roster!$D487),Setup!$C$30&lt;=Roster!$D487,FALSE),"",IF(OR(IF(Setup!$C$15&lt;=Setup!$C$16,AND(MONTH(L487)&gt;=Setup!$C$15,MONTH(L487)&lt;=Setup!$C$16),OR(MONTH(L487)&gt;=Setup!$C$15,MONTH(L487)&lt;=Setup!$C$16)),IF(Setup!$C$15&lt;=Setup!$C$16,AND(MONTH(WORKDAY(L487,-(Setup!$C$13+Setup!$G$30),Setup!$C$39:$C$50))&gt;=Setup!$C$15,MONTH(WORKDAY(L487,-(Setup!$C$13+Setup!$G$30),Setup!$C$39:$C$50))&lt;=Setup!$C$16),OR(MONTH(WORKDAY(L487,-(Setup!$C$13+Setup!$G$30),Setup!$C$39:$C$50))&gt;=Setup!$C$15,MONTH(WORKDAY(L487,-(Setup!$C$13+Setup!$G$30),Setup!$C$39:$C$50))&lt;=Setup!$C$16))),WORKDAY(L487,-(Setup!$C$13+Setup!$G$30+Setup!$C$14),Setup!$C$39:$C$50),WORKDAY(L487,-(Setup!$C$13+Setup!$G$30),Setup!$C$39:$C$50))+(482*100+11)/10000000)))</f>
        <v/>
      </c>
      <c r="AC487" t="str">
        <f>IF(M487="","",IF(M487&lt;Setup!$C$5-Setup!$C$6,"",IF(IF(ISNUMBER(Roster!$D487),Setup!$C$31&lt;=Roster!$D487,FALSE),"",IF(OR(IF(Setup!$C$15&lt;=Setup!$C$16,AND(MONTH(M487)&gt;=Setup!$C$15,MONTH(M487)&lt;=Setup!$C$16),OR(MONTH(M487)&gt;=Setup!$C$15,MONTH(M487)&lt;=Setup!$C$16)),IF(Setup!$C$15&lt;=Setup!$C$16,AND(MONTH(WORKDAY(M487,-(Setup!$C$13+Setup!$G$31),Setup!$C$39:$C$50))&gt;=Setup!$C$15,MONTH(WORKDAY(M487,-(Setup!$C$13+Setup!$G$31),Setup!$C$39:$C$50))&lt;=Setup!$C$16),OR(MONTH(WORKDAY(M487,-(Setup!$C$13+Setup!$G$31),Setup!$C$39:$C$50))&gt;=Setup!$C$15,MONTH(WORKDAY(M487,-(Setup!$C$13+Setup!$G$31),Setup!$C$39:$C$50))&lt;=Setup!$C$16))),WORKDAY(M487,-(Setup!$C$13+Setup!$G$31+Setup!$C$14),Setup!$C$39:$C$50),WORKDAY(M487,-(Setup!$C$13+Setup!$G$31),Setup!$C$39:$C$50))+(482*100+12)/10000000)))</f>
        <v/>
      </c>
      <c r="AD487" t="str">
        <f>IF(N487="","",IF(N487&lt;Setup!$C$5-Setup!$C$6,"",IF(IF(ISNUMBER(Roster!$D487),Setup!$C$32&lt;=Roster!$D487,FALSE),"",IF(OR(IF(Setup!$C$15&lt;=Setup!$C$16,AND(MONTH(N487)&gt;=Setup!$C$15,MONTH(N487)&lt;=Setup!$C$16),OR(MONTH(N487)&gt;=Setup!$C$15,MONTH(N487)&lt;=Setup!$C$16)),IF(Setup!$C$15&lt;=Setup!$C$16,AND(MONTH(WORKDAY(N487,-(Setup!$C$13+Setup!$G$32),Setup!$C$39:$C$50))&gt;=Setup!$C$15,MONTH(WORKDAY(N487,-(Setup!$C$13+Setup!$G$32),Setup!$C$39:$C$50))&lt;=Setup!$C$16),OR(MONTH(WORKDAY(N487,-(Setup!$C$13+Setup!$G$32),Setup!$C$39:$C$50))&gt;=Setup!$C$15,MONTH(WORKDAY(N487,-(Setup!$C$13+Setup!$G$32),Setup!$C$39:$C$50))&lt;=Setup!$C$16))),WORKDAY(N487,-(Setup!$C$13+Setup!$G$32+Setup!$C$14),Setup!$C$39:$C$50),WORKDAY(N487,-(Setup!$C$13+Setup!$G$32),Setup!$C$39:$C$50))+(482*100+13)/10000000)))</f>
        <v/>
      </c>
      <c r="AE487" t="str">
        <f>IF(O487="","",IF(O487&lt;Setup!$C$5-Setup!$C$6,"",IF(IF(ISNUMBER(Roster!$D487),Setup!$C$33&lt;=Roster!$D487,FALSE),"",IF(OR(IF(Setup!$C$15&lt;=Setup!$C$16,AND(MONTH(O487)&gt;=Setup!$C$15,MONTH(O487)&lt;=Setup!$C$16),OR(MONTH(O487)&gt;=Setup!$C$15,MONTH(O487)&lt;=Setup!$C$16)),IF(Setup!$C$15&lt;=Setup!$C$16,AND(MONTH(WORKDAY(O487,-(Setup!$C$13+Setup!$G$33),Setup!$C$39:$C$50))&gt;=Setup!$C$15,MONTH(WORKDAY(O487,-(Setup!$C$13+Setup!$G$33),Setup!$C$39:$C$50))&lt;=Setup!$C$16),OR(MONTH(WORKDAY(O487,-(Setup!$C$13+Setup!$G$33),Setup!$C$39:$C$50))&gt;=Setup!$C$15,MONTH(WORKDAY(O487,-(Setup!$C$13+Setup!$G$33),Setup!$C$39:$C$50))&lt;=Setup!$C$16))),WORKDAY(O487,-(Setup!$C$13+Setup!$G$33+Setup!$C$14),Setup!$C$39:$C$50),WORKDAY(O487,-(Setup!$C$13+Setup!$G$33),Setup!$C$39:$C$50))+(482*100+14)/10000000)))</f>
        <v/>
      </c>
      <c r="AF487" t="str">
        <f>IF(P487="","",IF(P487&lt;Setup!$C$5-Setup!$C$6,"",IF(IF(ISNUMBER(Roster!$D487),Setup!$C$34&lt;=Roster!$D487,FALSE),"",IF(OR(IF(Setup!$C$15&lt;=Setup!$C$16,AND(MONTH(P487)&gt;=Setup!$C$15,MONTH(P487)&lt;=Setup!$C$16),OR(MONTH(P487)&gt;=Setup!$C$15,MONTH(P487)&lt;=Setup!$C$16)),IF(Setup!$C$15&lt;=Setup!$C$16,AND(MONTH(WORKDAY(P487,-(Setup!$C$13+Setup!$G$34),Setup!$C$39:$C$50))&gt;=Setup!$C$15,MONTH(WORKDAY(P487,-(Setup!$C$13+Setup!$G$34),Setup!$C$39:$C$50))&lt;=Setup!$C$16),OR(MONTH(WORKDAY(P487,-(Setup!$C$13+Setup!$G$34),Setup!$C$39:$C$50))&gt;=Setup!$C$15,MONTH(WORKDAY(P487,-(Setup!$C$13+Setup!$G$34),Setup!$C$39:$C$50))&lt;=Setup!$C$16))),WORKDAY(P487,-(Setup!$C$13+Setup!$G$34+Setup!$C$14),Setup!$C$39:$C$50),WORKDAY(P487,-(Setup!$C$13+Setup!$G$34),Setup!$C$39:$C$50))+(482*100+15)/10000000)))</f>
        <v/>
      </c>
      <c r="AH487" t="str">
        <f t="shared" si="51"/>
        <v/>
      </c>
      <c r="AI487" t="str">
        <f t="shared" si="52"/>
        <v/>
      </c>
      <c r="AP487" t="str">
        <f>IF(ISNUMBER(Roster!$B487),MAX(1,YEAR(Setup!$C$5)-YEAR(Roster!$B487)+IF(EDATE(Roster!$B487,12*(YEAR(Setup!$C$5)-YEAR(Roster!$B487)))&lt;Setup!$C$5,1,0)),"")</f>
        <v/>
      </c>
      <c r="AQ487" s="32" t="str">
        <f>IF(AP487="","",EDATE(Roster!$B487,12*AP487))</f>
        <v/>
      </c>
      <c r="AR487" t="str">
        <f>IF(AQ487="","",IF(AQ487&lt;DATE(YEAR(Setup!$C$5)+1,MONTH(Setup!$C$5),DAY(Setup!$C$5)),AQ487+482/1000,""))</f>
        <v/>
      </c>
      <c r="AS487" t="str">
        <f t="shared" si="53"/>
        <v/>
      </c>
      <c r="AT487" t="str">
        <f>IF(AS487="","",IF(ISNUMBER(Roster!$D487),Roster!$D487&gt;=AP487,FALSE))</f>
        <v/>
      </c>
      <c r="AU487" t="str">
        <f t="shared" si="54"/>
        <v/>
      </c>
      <c r="AV487" t="str">
        <f ca="1">IF(482&gt;$AV$2,"",SMALL($AR$6:$AR$505,482))</f>
        <v/>
      </c>
      <c r="AW487" t="str">
        <f t="shared" ca="1" si="55"/>
        <v/>
      </c>
    </row>
    <row r="488" spans="2:49" x14ac:dyDescent="0.2">
      <c r="B488" s="32" t="str">
        <f>IF(AND(ISNUMBER(Roster!$B488),Setup!$B$20="Yes",ISNUMBER(Setup!$C$20)),EDATE(Roster!$B488,12*Setup!$C$20),"")</f>
        <v/>
      </c>
      <c r="C488" s="32" t="str">
        <f>IF(AND(ISNUMBER(Roster!$B488),Setup!$B$21="Yes",ISNUMBER(Setup!$C$21)),EDATE(Roster!$B488,12*Setup!$C$21),"")</f>
        <v/>
      </c>
      <c r="D488" s="32" t="str">
        <f>IF(AND(ISNUMBER(Roster!$B488),Setup!$B$22="Yes",ISNUMBER(Setup!$C$22)),EDATE(Roster!$B488,12*Setup!$C$22),"")</f>
        <v/>
      </c>
      <c r="E488" s="32" t="str">
        <f>IF(AND(ISNUMBER(Roster!$B488),Setup!$B$23="Yes",ISNUMBER(Setup!$C$23)),EDATE(Roster!$B488,12*Setup!$C$23),"")</f>
        <v/>
      </c>
      <c r="F488" s="32" t="str">
        <f>IF(AND(ISNUMBER(Roster!$B488),Setup!$B$24="Yes",ISNUMBER(Setup!$C$24)),EDATE(Roster!$B488,12*Setup!$C$24),"")</f>
        <v/>
      </c>
      <c r="G488" s="32" t="str">
        <f>IF(AND(ISNUMBER(Roster!$B488),Setup!$B$25="Yes",ISNUMBER(Setup!$C$25)),EDATE(Roster!$B488,12*Setup!$C$25),"")</f>
        <v/>
      </c>
      <c r="H488" s="32" t="str">
        <f>IF(AND(ISNUMBER(Roster!$B488),Setup!$B$26="Yes",ISNUMBER(Setup!$C$26)),EDATE(Roster!$B488,12*Setup!$C$26),"")</f>
        <v/>
      </c>
      <c r="I488" s="32" t="str">
        <f>IF(AND(ISNUMBER(Roster!$B488),Setup!$B$27="Yes",ISNUMBER(Setup!$C$27)),EDATE(Roster!$B488,12*Setup!$C$27),"")</f>
        <v/>
      </c>
      <c r="J488" s="32" t="str">
        <f>IF(AND(ISNUMBER(Roster!$B488),Setup!$B$28="Yes",ISNUMBER(Setup!$C$28)),EDATE(Roster!$B488,12*Setup!$C$28),"")</f>
        <v/>
      </c>
      <c r="K488" s="32" t="str">
        <f>IF(AND(ISNUMBER(Roster!$B488),Setup!$B$29="Yes",ISNUMBER(Setup!$C$29)),EDATE(Roster!$B488,12*Setup!$C$29),"")</f>
        <v/>
      </c>
      <c r="L488" s="32" t="str">
        <f>IF(AND(ISNUMBER(Roster!$B488),Setup!$B$30="Yes",ISNUMBER(Setup!$C$30)),EDATE(Roster!$B488,12*Setup!$C$30),"")</f>
        <v/>
      </c>
      <c r="M488" s="32" t="str">
        <f>IF(AND(ISNUMBER(Roster!$B488),Setup!$B$31="Yes",ISNUMBER(Setup!$C$31)),EDATE(Roster!$B488,12*Setup!$C$31),"")</f>
        <v/>
      </c>
      <c r="N488" s="32" t="str">
        <f>IF(AND(ISNUMBER(Roster!$B488),Setup!$B$32="Yes",ISNUMBER(Setup!$C$32)),EDATE(Roster!$B488,12*Setup!$C$32),"")</f>
        <v/>
      </c>
      <c r="O488" s="32" t="str">
        <f>IF(AND(ISNUMBER(Roster!$B488),Setup!$B$33="Yes",ISNUMBER(Setup!$C$33)),EDATE(Roster!$B488,12*Setup!$C$33),"")</f>
        <v/>
      </c>
      <c r="P488" s="32" t="str">
        <f>IF(AND(ISNUMBER(Roster!$B488),Setup!$B$34="Yes",ISNUMBER(Setup!$C$34)),EDATE(Roster!$B488,12*Setup!$C$34),"")</f>
        <v/>
      </c>
      <c r="R488" t="str">
        <f>IF(B488="","",IF(B488&lt;Setup!$C$5-Setup!$C$6,"",IF(IF(ISNUMBER(Roster!$D488),Setup!$C$20&lt;=Roster!$D488,FALSE),"",IF(OR(IF(Setup!$C$15&lt;=Setup!$C$16,AND(MONTH(B488)&gt;=Setup!$C$15,MONTH(B488)&lt;=Setup!$C$16),OR(MONTH(B488)&gt;=Setup!$C$15,MONTH(B488)&lt;=Setup!$C$16)),IF(Setup!$C$15&lt;=Setup!$C$16,AND(MONTH(WORKDAY(B488,-(Setup!$C$13+Setup!$G$20),Setup!$C$39:$C$50))&gt;=Setup!$C$15,MONTH(WORKDAY(B488,-(Setup!$C$13+Setup!$G$20),Setup!$C$39:$C$50))&lt;=Setup!$C$16),OR(MONTH(WORKDAY(B488,-(Setup!$C$13+Setup!$G$20),Setup!$C$39:$C$50))&gt;=Setup!$C$15,MONTH(WORKDAY(B488,-(Setup!$C$13+Setup!$G$20),Setup!$C$39:$C$50))&lt;=Setup!$C$16))),WORKDAY(B488,-(Setup!$C$13+Setup!$G$20+Setup!$C$14),Setup!$C$39:$C$50),WORKDAY(B488,-(Setup!$C$13+Setup!$G$20),Setup!$C$39:$C$50))+(483*100+1)/10000000)))</f>
        <v/>
      </c>
      <c r="S488" t="str">
        <f>IF(C488="","",IF(C488&lt;Setup!$C$5-Setup!$C$6,"",IF(IF(ISNUMBER(Roster!$D488),Setup!$C$21&lt;=Roster!$D488,FALSE),"",IF(OR(IF(Setup!$C$15&lt;=Setup!$C$16,AND(MONTH(C488)&gt;=Setup!$C$15,MONTH(C488)&lt;=Setup!$C$16),OR(MONTH(C488)&gt;=Setup!$C$15,MONTH(C488)&lt;=Setup!$C$16)),IF(Setup!$C$15&lt;=Setup!$C$16,AND(MONTH(WORKDAY(C488,-(Setup!$C$13+Setup!$G$21),Setup!$C$39:$C$50))&gt;=Setup!$C$15,MONTH(WORKDAY(C488,-(Setup!$C$13+Setup!$G$21),Setup!$C$39:$C$50))&lt;=Setup!$C$16),OR(MONTH(WORKDAY(C488,-(Setup!$C$13+Setup!$G$21),Setup!$C$39:$C$50))&gt;=Setup!$C$15,MONTH(WORKDAY(C488,-(Setup!$C$13+Setup!$G$21),Setup!$C$39:$C$50))&lt;=Setup!$C$16))),WORKDAY(C488,-(Setup!$C$13+Setup!$G$21+Setup!$C$14),Setup!$C$39:$C$50),WORKDAY(C488,-(Setup!$C$13+Setup!$G$21),Setup!$C$39:$C$50))+(483*100+2)/10000000)))</f>
        <v/>
      </c>
      <c r="T488" t="str">
        <f>IF(D488="","",IF(D488&lt;Setup!$C$5-Setup!$C$6,"",IF(IF(ISNUMBER(Roster!$D488),Setup!$C$22&lt;=Roster!$D488,FALSE),"",IF(OR(IF(Setup!$C$15&lt;=Setup!$C$16,AND(MONTH(D488)&gt;=Setup!$C$15,MONTH(D488)&lt;=Setup!$C$16),OR(MONTH(D488)&gt;=Setup!$C$15,MONTH(D488)&lt;=Setup!$C$16)),IF(Setup!$C$15&lt;=Setup!$C$16,AND(MONTH(WORKDAY(D488,-(Setup!$C$13+Setup!$G$22),Setup!$C$39:$C$50))&gt;=Setup!$C$15,MONTH(WORKDAY(D488,-(Setup!$C$13+Setup!$G$22),Setup!$C$39:$C$50))&lt;=Setup!$C$16),OR(MONTH(WORKDAY(D488,-(Setup!$C$13+Setup!$G$22),Setup!$C$39:$C$50))&gt;=Setup!$C$15,MONTH(WORKDAY(D488,-(Setup!$C$13+Setup!$G$22),Setup!$C$39:$C$50))&lt;=Setup!$C$16))),WORKDAY(D488,-(Setup!$C$13+Setup!$G$22+Setup!$C$14),Setup!$C$39:$C$50),WORKDAY(D488,-(Setup!$C$13+Setup!$G$22),Setup!$C$39:$C$50))+(483*100+3)/10000000)))</f>
        <v/>
      </c>
      <c r="U488" t="str">
        <f>IF(E488="","",IF(E488&lt;Setup!$C$5-Setup!$C$6,"",IF(IF(ISNUMBER(Roster!$D488),Setup!$C$23&lt;=Roster!$D488,FALSE),"",IF(OR(IF(Setup!$C$15&lt;=Setup!$C$16,AND(MONTH(E488)&gt;=Setup!$C$15,MONTH(E488)&lt;=Setup!$C$16),OR(MONTH(E488)&gt;=Setup!$C$15,MONTH(E488)&lt;=Setup!$C$16)),IF(Setup!$C$15&lt;=Setup!$C$16,AND(MONTH(WORKDAY(E488,-(Setup!$C$13+Setup!$G$23),Setup!$C$39:$C$50))&gt;=Setup!$C$15,MONTH(WORKDAY(E488,-(Setup!$C$13+Setup!$G$23),Setup!$C$39:$C$50))&lt;=Setup!$C$16),OR(MONTH(WORKDAY(E488,-(Setup!$C$13+Setup!$G$23),Setup!$C$39:$C$50))&gt;=Setup!$C$15,MONTH(WORKDAY(E488,-(Setup!$C$13+Setup!$G$23),Setup!$C$39:$C$50))&lt;=Setup!$C$16))),WORKDAY(E488,-(Setup!$C$13+Setup!$G$23+Setup!$C$14),Setup!$C$39:$C$50),WORKDAY(E488,-(Setup!$C$13+Setup!$G$23),Setup!$C$39:$C$50))+(483*100+4)/10000000)))</f>
        <v/>
      </c>
      <c r="V488" t="str">
        <f>IF(F488="","",IF(F488&lt;Setup!$C$5-Setup!$C$6,"",IF(IF(ISNUMBER(Roster!$D488),Setup!$C$24&lt;=Roster!$D488,FALSE),"",IF(OR(IF(Setup!$C$15&lt;=Setup!$C$16,AND(MONTH(F488)&gt;=Setup!$C$15,MONTH(F488)&lt;=Setup!$C$16),OR(MONTH(F488)&gt;=Setup!$C$15,MONTH(F488)&lt;=Setup!$C$16)),IF(Setup!$C$15&lt;=Setup!$C$16,AND(MONTH(WORKDAY(F488,-(Setup!$C$13+Setup!$G$24),Setup!$C$39:$C$50))&gt;=Setup!$C$15,MONTH(WORKDAY(F488,-(Setup!$C$13+Setup!$G$24),Setup!$C$39:$C$50))&lt;=Setup!$C$16),OR(MONTH(WORKDAY(F488,-(Setup!$C$13+Setup!$G$24),Setup!$C$39:$C$50))&gt;=Setup!$C$15,MONTH(WORKDAY(F488,-(Setup!$C$13+Setup!$G$24),Setup!$C$39:$C$50))&lt;=Setup!$C$16))),WORKDAY(F488,-(Setup!$C$13+Setup!$G$24+Setup!$C$14),Setup!$C$39:$C$50),WORKDAY(F488,-(Setup!$C$13+Setup!$G$24),Setup!$C$39:$C$50))+(483*100+5)/10000000)))</f>
        <v/>
      </c>
      <c r="W488" t="str">
        <f>IF(G488="","",IF(G488&lt;Setup!$C$5-Setup!$C$6,"",IF(IF(ISNUMBER(Roster!$D488),Setup!$C$25&lt;=Roster!$D488,FALSE),"",IF(OR(IF(Setup!$C$15&lt;=Setup!$C$16,AND(MONTH(G488)&gt;=Setup!$C$15,MONTH(G488)&lt;=Setup!$C$16),OR(MONTH(G488)&gt;=Setup!$C$15,MONTH(G488)&lt;=Setup!$C$16)),IF(Setup!$C$15&lt;=Setup!$C$16,AND(MONTH(WORKDAY(G488,-(Setup!$C$13+Setup!$G$25),Setup!$C$39:$C$50))&gt;=Setup!$C$15,MONTH(WORKDAY(G488,-(Setup!$C$13+Setup!$G$25),Setup!$C$39:$C$50))&lt;=Setup!$C$16),OR(MONTH(WORKDAY(G488,-(Setup!$C$13+Setup!$G$25),Setup!$C$39:$C$50))&gt;=Setup!$C$15,MONTH(WORKDAY(G488,-(Setup!$C$13+Setup!$G$25),Setup!$C$39:$C$50))&lt;=Setup!$C$16))),WORKDAY(G488,-(Setup!$C$13+Setup!$G$25+Setup!$C$14),Setup!$C$39:$C$50),WORKDAY(G488,-(Setup!$C$13+Setup!$G$25),Setup!$C$39:$C$50))+(483*100+6)/10000000)))</f>
        <v/>
      </c>
      <c r="X488" t="str">
        <f>IF(H488="","",IF(H488&lt;Setup!$C$5-Setup!$C$6,"",IF(IF(ISNUMBER(Roster!$D488),Setup!$C$26&lt;=Roster!$D488,FALSE),"",IF(OR(IF(Setup!$C$15&lt;=Setup!$C$16,AND(MONTH(H488)&gt;=Setup!$C$15,MONTH(H488)&lt;=Setup!$C$16),OR(MONTH(H488)&gt;=Setup!$C$15,MONTH(H488)&lt;=Setup!$C$16)),IF(Setup!$C$15&lt;=Setup!$C$16,AND(MONTH(WORKDAY(H488,-(Setup!$C$13+Setup!$G$26),Setup!$C$39:$C$50))&gt;=Setup!$C$15,MONTH(WORKDAY(H488,-(Setup!$C$13+Setup!$G$26),Setup!$C$39:$C$50))&lt;=Setup!$C$16),OR(MONTH(WORKDAY(H488,-(Setup!$C$13+Setup!$G$26),Setup!$C$39:$C$50))&gt;=Setup!$C$15,MONTH(WORKDAY(H488,-(Setup!$C$13+Setup!$G$26),Setup!$C$39:$C$50))&lt;=Setup!$C$16))),WORKDAY(H488,-(Setup!$C$13+Setup!$G$26+Setup!$C$14),Setup!$C$39:$C$50),WORKDAY(H488,-(Setup!$C$13+Setup!$G$26),Setup!$C$39:$C$50))+(483*100+7)/10000000)))</f>
        <v/>
      </c>
      <c r="Y488" t="str">
        <f>IF(I488="","",IF(I488&lt;Setup!$C$5-Setup!$C$6,"",IF(IF(ISNUMBER(Roster!$D488),Setup!$C$27&lt;=Roster!$D488,FALSE),"",IF(OR(IF(Setup!$C$15&lt;=Setup!$C$16,AND(MONTH(I488)&gt;=Setup!$C$15,MONTH(I488)&lt;=Setup!$C$16),OR(MONTH(I488)&gt;=Setup!$C$15,MONTH(I488)&lt;=Setup!$C$16)),IF(Setup!$C$15&lt;=Setup!$C$16,AND(MONTH(WORKDAY(I488,-(Setup!$C$13+Setup!$G$27),Setup!$C$39:$C$50))&gt;=Setup!$C$15,MONTH(WORKDAY(I488,-(Setup!$C$13+Setup!$G$27),Setup!$C$39:$C$50))&lt;=Setup!$C$16),OR(MONTH(WORKDAY(I488,-(Setup!$C$13+Setup!$G$27),Setup!$C$39:$C$50))&gt;=Setup!$C$15,MONTH(WORKDAY(I488,-(Setup!$C$13+Setup!$G$27),Setup!$C$39:$C$50))&lt;=Setup!$C$16))),WORKDAY(I488,-(Setup!$C$13+Setup!$G$27+Setup!$C$14),Setup!$C$39:$C$50),WORKDAY(I488,-(Setup!$C$13+Setup!$G$27),Setup!$C$39:$C$50))+(483*100+8)/10000000)))</f>
        <v/>
      </c>
      <c r="Z488" t="str">
        <f>IF(J488="","",IF(J488&lt;Setup!$C$5-Setup!$C$6,"",IF(IF(ISNUMBER(Roster!$D488),Setup!$C$28&lt;=Roster!$D488,FALSE),"",IF(OR(IF(Setup!$C$15&lt;=Setup!$C$16,AND(MONTH(J488)&gt;=Setup!$C$15,MONTH(J488)&lt;=Setup!$C$16),OR(MONTH(J488)&gt;=Setup!$C$15,MONTH(J488)&lt;=Setup!$C$16)),IF(Setup!$C$15&lt;=Setup!$C$16,AND(MONTH(WORKDAY(J488,-(Setup!$C$13+Setup!$G$28),Setup!$C$39:$C$50))&gt;=Setup!$C$15,MONTH(WORKDAY(J488,-(Setup!$C$13+Setup!$G$28),Setup!$C$39:$C$50))&lt;=Setup!$C$16),OR(MONTH(WORKDAY(J488,-(Setup!$C$13+Setup!$G$28),Setup!$C$39:$C$50))&gt;=Setup!$C$15,MONTH(WORKDAY(J488,-(Setup!$C$13+Setup!$G$28),Setup!$C$39:$C$50))&lt;=Setup!$C$16))),WORKDAY(J488,-(Setup!$C$13+Setup!$G$28+Setup!$C$14),Setup!$C$39:$C$50),WORKDAY(J488,-(Setup!$C$13+Setup!$G$28),Setup!$C$39:$C$50))+(483*100+9)/10000000)))</f>
        <v/>
      </c>
      <c r="AA488" t="str">
        <f>IF(K488="","",IF(K488&lt;Setup!$C$5-Setup!$C$6,"",IF(IF(ISNUMBER(Roster!$D488),Setup!$C$29&lt;=Roster!$D488,FALSE),"",IF(OR(IF(Setup!$C$15&lt;=Setup!$C$16,AND(MONTH(K488)&gt;=Setup!$C$15,MONTH(K488)&lt;=Setup!$C$16),OR(MONTH(K488)&gt;=Setup!$C$15,MONTH(K488)&lt;=Setup!$C$16)),IF(Setup!$C$15&lt;=Setup!$C$16,AND(MONTH(WORKDAY(K488,-(Setup!$C$13+Setup!$G$29),Setup!$C$39:$C$50))&gt;=Setup!$C$15,MONTH(WORKDAY(K488,-(Setup!$C$13+Setup!$G$29),Setup!$C$39:$C$50))&lt;=Setup!$C$16),OR(MONTH(WORKDAY(K488,-(Setup!$C$13+Setup!$G$29),Setup!$C$39:$C$50))&gt;=Setup!$C$15,MONTH(WORKDAY(K488,-(Setup!$C$13+Setup!$G$29),Setup!$C$39:$C$50))&lt;=Setup!$C$16))),WORKDAY(K488,-(Setup!$C$13+Setup!$G$29+Setup!$C$14),Setup!$C$39:$C$50),WORKDAY(K488,-(Setup!$C$13+Setup!$G$29),Setup!$C$39:$C$50))+(483*100+10)/10000000)))</f>
        <v/>
      </c>
      <c r="AB488" t="str">
        <f>IF(L488="","",IF(L488&lt;Setup!$C$5-Setup!$C$6,"",IF(IF(ISNUMBER(Roster!$D488),Setup!$C$30&lt;=Roster!$D488,FALSE),"",IF(OR(IF(Setup!$C$15&lt;=Setup!$C$16,AND(MONTH(L488)&gt;=Setup!$C$15,MONTH(L488)&lt;=Setup!$C$16),OR(MONTH(L488)&gt;=Setup!$C$15,MONTH(L488)&lt;=Setup!$C$16)),IF(Setup!$C$15&lt;=Setup!$C$16,AND(MONTH(WORKDAY(L488,-(Setup!$C$13+Setup!$G$30),Setup!$C$39:$C$50))&gt;=Setup!$C$15,MONTH(WORKDAY(L488,-(Setup!$C$13+Setup!$G$30),Setup!$C$39:$C$50))&lt;=Setup!$C$16),OR(MONTH(WORKDAY(L488,-(Setup!$C$13+Setup!$G$30),Setup!$C$39:$C$50))&gt;=Setup!$C$15,MONTH(WORKDAY(L488,-(Setup!$C$13+Setup!$G$30),Setup!$C$39:$C$50))&lt;=Setup!$C$16))),WORKDAY(L488,-(Setup!$C$13+Setup!$G$30+Setup!$C$14),Setup!$C$39:$C$50),WORKDAY(L488,-(Setup!$C$13+Setup!$G$30),Setup!$C$39:$C$50))+(483*100+11)/10000000)))</f>
        <v/>
      </c>
      <c r="AC488" t="str">
        <f>IF(M488="","",IF(M488&lt;Setup!$C$5-Setup!$C$6,"",IF(IF(ISNUMBER(Roster!$D488),Setup!$C$31&lt;=Roster!$D488,FALSE),"",IF(OR(IF(Setup!$C$15&lt;=Setup!$C$16,AND(MONTH(M488)&gt;=Setup!$C$15,MONTH(M488)&lt;=Setup!$C$16),OR(MONTH(M488)&gt;=Setup!$C$15,MONTH(M488)&lt;=Setup!$C$16)),IF(Setup!$C$15&lt;=Setup!$C$16,AND(MONTH(WORKDAY(M488,-(Setup!$C$13+Setup!$G$31),Setup!$C$39:$C$50))&gt;=Setup!$C$15,MONTH(WORKDAY(M488,-(Setup!$C$13+Setup!$G$31),Setup!$C$39:$C$50))&lt;=Setup!$C$16),OR(MONTH(WORKDAY(M488,-(Setup!$C$13+Setup!$G$31),Setup!$C$39:$C$50))&gt;=Setup!$C$15,MONTH(WORKDAY(M488,-(Setup!$C$13+Setup!$G$31),Setup!$C$39:$C$50))&lt;=Setup!$C$16))),WORKDAY(M488,-(Setup!$C$13+Setup!$G$31+Setup!$C$14),Setup!$C$39:$C$50),WORKDAY(M488,-(Setup!$C$13+Setup!$G$31),Setup!$C$39:$C$50))+(483*100+12)/10000000)))</f>
        <v/>
      </c>
      <c r="AD488" t="str">
        <f>IF(N488="","",IF(N488&lt;Setup!$C$5-Setup!$C$6,"",IF(IF(ISNUMBER(Roster!$D488),Setup!$C$32&lt;=Roster!$D488,FALSE),"",IF(OR(IF(Setup!$C$15&lt;=Setup!$C$16,AND(MONTH(N488)&gt;=Setup!$C$15,MONTH(N488)&lt;=Setup!$C$16),OR(MONTH(N488)&gt;=Setup!$C$15,MONTH(N488)&lt;=Setup!$C$16)),IF(Setup!$C$15&lt;=Setup!$C$16,AND(MONTH(WORKDAY(N488,-(Setup!$C$13+Setup!$G$32),Setup!$C$39:$C$50))&gt;=Setup!$C$15,MONTH(WORKDAY(N488,-(Setup!$C$13+Setup!$G$32),Setup!$C$39:$C$50))&lt;=Setup!$C$16),OR(MONTH(WORKDAY(N488,-(Setup!$C$13+Setup!$G$32),Setup!$C$39:$C$50))&gt;=Setup!$C$15,MONTH(WORKDAY(N488,-(Setup!$C$13+Setup!$G$32),Setup!$C$39:$C$50))&lt;=Setup!$C$16))),WORKDAY(N488,-(Setup!$C$13+Setup!$G$32+Setup!$C$14),Setup!$C$39:$C$50),WORKDAY(N488,-(Setup!$C$13+Setup!$G$32),Setup!$C$39:$C$50))+(483*100+13)/10000000)))</f>
        <v/>
      </c>
      <c r="AE488" t="str">
        <f>IF(O488="","",IF(O488&lt;Setup!$C$5-Setup!$C$6,"",IF(IF(ISNUMBER(Roster!$D488),Setup!$C$33&lt;=Roster!$D488,FALSE),"",IF(OR(IF(Setup!$C$15&lt;=Setup!$C$16,AND(MONTH(O488)&gt;=Setup!$C$15,MONTH(O488)&lt;=Setup!$C$16),OR(MONTH(O488)&gt;=Setup!$C$15,MONTH(O488)&lt;=Setup!$C$16)),IF(Setup!$C$15&lt;=Setup!$C$16,AND(MONTH(WORKDAY(O488,-(Setup!$C$13+Setup!$G$33),Setup!$C$39:$C$50))&gt;=Setup!$C$15,MONTH(WORKDAY(O488,-(Setup!$C$13+Setup!$G$33),Setup!$C$39:$C$50))&lt;=Setup!$C$16),OR(MONTH(WORKDAY(O488,-(Setup!$C$13+Setup!$G$33),Setup!$C$39:$C$50))&gt;=Setup!$C$15,MONTH(WORKDAY(O488,-(Setup!$C$13+Setup!$G$33),Setup!$C$39:$C$50))&lt;=Setup!$C$16))),WORKDAY(O488,-(Setup!$C$13+Setup!$G$33+Setup!$C$14),Setup!$C$39:$C$50),WORKDAY(O488,-(Setup!$C$13+Setup!$G$33),Setup!$C$39:$C$50))+(483*100+14)/10000000)))</f>
        <v/>
      </c>
      <c r="AF488" t="str">
        <f>IF(P488="","",IF(P488&lt;Setup!$C$5-Setup!$C$6,"",IF(IF(ISNUMBER(Roster!$D488),Setup!$C$34&lt;=Roster!$D488,FALSE),"",IF(OR(IF(Setup!$C$15&lt;=Setup!$C$16,AND(MONTH(P488)&gt;=Setup!$C$15,MONTH(P488)&lt;=Setup!$C$16),OR(MONTH(P488)&gt;=Setup!$C$15,MONTH(P488)&lt;=Setup!$C$16)),IF(Setup!$C$15&lt;=Setup!$C$16,AND(MONTH(WORKDAY(P488,-(Setup!$C$13+Setup!$G$34),Setup!$C$39:$C$50))&gt;=Setup!$C$15,MONTH(WORKDAY(P488,-(Setup!$C$13+Setup!$G$34),Setup!$C$39:$C$50))&lt;=Setup!$C$16),OR(MONTH(WORKDAY(P488,-(Setup!$C$13+Setup!$G$34),Setup!$C$39:$C$50))&gt;=Setup!$C$15,MONTH(WORKDAY(P488,-(Setup!$C$13+Setup!$G$34),Setup!$C$39:$C$50))&lt;=Setup!$C$16))),WORKDAY(P488,-(Setup!$C$13+Setup!$G$34+Setup!$C$14),Setup!$C$39:$C$50),WORKDAY(P488,-(Setup!$C$13+Setup!$G$34),Setup!$C$39:$C$50))+(483*100+15)/10000000)))</f>
        <v/>
      </c>
      <c r="AH488" t="str">
        <f t="shared" si="51"/>
        <v/>
      </c>
      <c r="AI488" t="str">
        <f t="shared" si="52"/>
        <v/>
      </c>
      <c r="AP488" t="str">
        <f>IF(ISNUMBER(Roster!$B488),MAX(1,YEAR(Setup!$C$5)-YEAR(Roster!$B488)+IF(EDATE(Roster!$B488,12*(YEAR(Setup!$C$5)-YEAR(Roster!$B488)))&lt;Setup!$C$5,1,0)),"")</f>
        <v/>
      </c>
      <c r="AQ488" s="32" t="str">
        <f>IF(AP488="","",EDATE(Roster!$B488,12*AP488))</f>
        <v/>
      </c>
      <c r="AR488" t="str">
        <f>IF(AQ488="","",IF(AQ488&lt;DATE(YEAR(Setup!$C$5)+1,MONTH(Setup!$C$5),DAY(Setup!$C$5)),AQ488+483/1000,""))</f>
        <v/>
      </c>
      <c r="AS488" t="str">
        <f t="shared" si="53"/>
        <v/>
      </c>
      <c r="AT488" t="str">
        <f>IF(AS488="","",IF(ISNUMBER(Roster!$D488),Roster!$D488&gt;=AP488,FALSE))</f>
        <v/>
      </c>
      <c r="AU488" t="str">
        <f t="shared" si="54"/>
        <v/>
      </c>
      <c r="AV488" t="str">
        <f ca="1">IF(483&gt;$AV$2,"",SMALL($AR$6:$AR$505,483))</f>
        <v/>
      </c>
      <c r="AW488" t="str">
        <f t="shared" ca="1" si="55"/>
        <v/>
      </c>
    </row>
    <row r="489" spans="2:49" x14ac:dyDescent="0.2">
      <c r="B489" s="32" t="str">
        <f>IF(AND(ISNUMBER(Roster!$B489),Setup!$B$20="Yes",ISNUMBER(Setup!$C$20)),EDATE(Roster!$B489,12*Setup!$C$20),"")</f>
        <v/>
      </c>
      <c r="C489" s="32" t="str">
        <f>IF(AND(ISNUMBER(Roster!$B489),Setup!$B$21="Yes",ISNUMBER(Setup!$C$21)),EDATE(Roster!$B489,12*Setup!$C$21),"")</f>
        <v/>
      </c>
      <c r="D489" s="32" t="str">
        <f>IF(AND(ISNUMBER(Roster!$B489),Setup!$B$22="Yes",ISNUMBER(Setup!$C$22)),EDATE(Roster!$B489,12*Setup!$C$22),"")</f>
        <v/>
      </c>
      <c r="E489" s="32" t="str">
        <f>IF(AND(ISNUMBER(Roster!$B489),Setup!$B$23="Yes",ISNUMBER(Setup!$C$23)),EDATE(Roster!$B489,12*Setup!$C$23),"")</f>
        <v/>
      </c>
      <c r="F489" s="32" t="str">
        <f>IF(AND(ISNUMBER(Roster!$B489),Setup!$B$24="Yes",ISNUMBER(Setup!$C$24)),EDATE(Roster!$B489,12*Setup!$C$24),"")</f>
        <v/>
      </c>
      <c r="G489" s="32" t="str">
        <f>IF(AND(ISNUMBER(Roster!$B489),Setup!$B$25="Yes",ISNUMBER(Setup!$C$25)),EDATE(Roster!$B489,12*Setup!$C$25),"")</f>
        <v/>
      </c>
      <c r="H489" s="32" t="str">
        <f>IF(AND(ISNUMBER(Roster!$B489),Setup!$B$26="Yes",ISNUMBER(Setup!$C$26)),EDATE(Roster!$B489,12*Setup!$C$26),"")</f>
        <v/>
      </c>
      <c r="I489" s="32" t="str">
        <f>IF(AND(ISNUMBER(Roster!$B489),Setup!$B$27="Yes",ISNUMBER(Setup!$C$27)),EDATE(Roster!$B489,12*Setup!$C$27),"")</f>
        <v/>
      </c>
      <c r="J489" s="32" t="str">
        <f>IF(AND(ISNUMBER(Roster!$B489),Setup!$B$28="Yes",ISNUMBER(Setup!$C$28)),EDATE(Roster!$B489,12*Setup!$C$28),"")</f>
        <v/>
      </c>
      <c r="K489" s="32" t="str">
        <f>IF(AND(ISNUMBER(Roster!$B489),Setup!$B$29="Yes",ISNUMBER(Setup!$C$29)),EDATE(Roster!$B489,12*Setup!$C$29),"")</f>
        <v/>
      </c>
      <c r="L489" s="32" t="str">
        <f>IF(AND(ISNUMBER(Roster!$B489),Setup!$B$30="Yes",ISNUMBER(Setup!$C$30)),EDATE(Roster!$B489,12*Setup!$C$30),"")</f>
        <v/>
      </c>
      <c r="M489" s="32" t="str">
        <f>IF(AND(ISNUMBER(Roster!$B489),Setup!$B$31="Yes",ISNUMBER(Setup!$C$31)),EDATE(Roster!$B489,12*Setup!$C$31),"")</f>
        <v/>
      </c>
      <c r="N489" s="32" t="str">
        <f>IF(AND(ISNUMBER(Roster!$B489),Setup!$B$32="Yes",ISNUMBER(Setup!$C$32)),EDATE(Roster!$B489,12*Setup!$C$32),"")</f>
        <v/>
      </c>
      <c r="O489" s="32" t="str">
        <f>IF(AND(ISNUMBER(Roster!$B489),Setup!$B$33="Yes",ISNUMBER(Setup!$C$33)),EDATE(Roster!$B489,12*Setup!$C$33),"")</f>
        <v/>
      </c>
      <c r="P489" s="32" t="str">
        <f>IF(AND(ISNUMBER(Roster!$B489),Setup!$B$34="Yes",ISNUMBER(Setup!$C$34)),EDATE(Roster!$B489,12*Setup!$C$34),"")</f>
        <v/>
      </c>
      <c r="R489" t="str">
        <f>IF(B489="","",IF(B489&lt;Setup!$C$5-Setup!$C$6,"",IF(IF(ISNUMBER(Roster!$D489),Setup!$C$20&lt;=Roster!$D489,FALSE),"",IF(OR(IF(Setup!$C$15&lt;=Setup!$C$16,AND(MONTH(B489)&gt;=Setup!$C$15,MONTH(B489)&lt;=Setup!$C$16),OR(MONTH(B489)&gt;=Setup!$C$15,MONTH(B489)&lt;=Setup!$C$16)),IF(Setup!$C$15&lt;=Setup!$C$16,AND(MONTH(WORKDAY(B489,-(Setup!$C$13+Setup!$G$20),Setup!$C$39:$C$50))&gt;=Setup!$C$15,MONTH(WORKDAY(B489,-(Setup!$C$13+Setup!$G$20),Setup!$C$39:$C$50))&lt;=Setup!$C$16),OR(MONTH(WORKDAY(B489,-(Setup!$C$13+Setup!$G$20),Setup!$C$39:$C$50))&gt;=Setup!$C$15,MONTH(WORKDAY(B489,-(Setup!$C$13+Setup!$G$20),Setup!$C$39:$C$50))&lt;=Setup!$C$16))),WORKDAY(B489,-(Setup!$C$13+Setup!$G$20+Setup!$C$14),Setup!$C$39:$C$50),WORKDAY(B489,-(Setup!$C$13+Setup!$G$20),Setup!$C$39:$C$50))+(484*100+1)/10000000)))</f>
        <v/>
      </c>
      <c r="S489" t="str">
        <f>IF(C489="","",IF(C489&lt;Setup!$C$5-Setup!$C$6,"",IF(IF(ISNUMBER(Roster!$D489),Setup!$C$21&lt;=Roster!$D489,FALSE),"",IF(OR(IF(Setup!$C$15&lt;=Setup!$C$16,AND(MONTH(C489)&gt;=Setup!$C$15,MONTH(C489)&lt;=Setup!$C$16),OR(MONTH(C489)&gt;=Setup!$C$15,MONTH(C489)&lt;=Setup!$C$16)),IF(Setup!$C$15&lt;=Setup!$C$16,AND(MONTH(WORKDAY(C489,-(Setup!$C$13+Setup!$G$21),Setup!$C$39:$C$50))&gt;=Setup!$C$15,MONTH(WORKDAY(C489,-(Setup!$C$13+Setup!$G$21),Setup!$C$39:$C$50))&lt;=Setup!$C$16),OR(MONTH(WORKDAY(C489,-(Setup!$C$13+Setup!$G$21),Setup!$C$39:$C$50))&gt;=Setup!$C$15,MONTH(WORKDAY(C489,-(Setup!$C$13+Setup!$G$21),Setup!$C$39:$C$50))&lt;=Setup!$C$16))),WORKDAY(C489,-(Setup!$C$13+Setup!$G$21+Setup!$C$14),Setup!$C$39:$C$50),WORKDAY(C489,-(Setup!$C$13+Setup!$G$21),Setup!$C$39:$C$50))+(484*100+2)/10000000)))</f>
        <v/>
      </c>
      <c r="T489" t="str">
        <f>IF(D489="","",IF(D489&lt;Setup!$C$5-Setup!$C$6,"",IF(IF(ISNUMBER(Roster!$D489),Setup!$C$22&lt;=Roster!$D489,FALSE),"",IF(OR(IF(Setup!$C$15&lt;=Setup!$C$16,AND(MONTH(D489)&gt;=Setup!$C$15,MONTH(D489)&lt;=Setup!$C$16),OR(MONTH(D489)&gt;=Setup!$C$15,MONTH(D489)&lt;=Setup!$C$16)),IF(Setup!$C$15&lt;=Setup!$C$16,AND(MONTH(WORKDAY(D489,-(Setup!$C$13+Setup!$G$22),Setup!$C$39:$C$50))&gt;=Setup!$C$15,MONTH(WORKDAY(D489,-(Setup!$C$13+Setup!$G$22),Setup!$C$39:$C$50))&lt;=Setup!$C$16),OR(MONTH(WORKDAY(D489,-(Setup!$C$13+Setup!$G$22),Setup!$C$39:$C$50))&gt;=Setup!$C$15,MONTH(WORKDAY(D489,-(Setup!$C$13+Setup!$G$22),Setup!$C$39:$C$50))&lt;=Setup!$C$16))),WORKDAY(D489,-(Setup!$C$13+Setup!$G$22+Setup!$C$14),Setup!$C$39:$C$50),WORKDAY(D489,-(Setup!$C$13+Setup!$G$22),Setup!$C$39:$C$50))+(484*100+3)/10000000)))</f>
        <v/>
      </c>
      <c r="U489" t="str">
        <f>IF(E489="","",IF(E489&lt;Setup!$C$5-Setup!$C$6,"",IF(IF(ISNUMBER(Roster!$D489),Setup!$C$23&lt;=Roster!$D489,FALSE),"",IF(OR(IF(Setup!$C$15&lt;=Setup!$C$16,AND(MONTH(E489)&gt;=Setup!$C$15,MONTH(E489)&lt;=Setup!$C$16),OR(MONTH(E489)&gt;=Setup!$C$15,MONTH(E489)&lt;=Setup!$C$16)),IF(Setup!$C$15&lt;=Setup!$C$16,AND(MONTH(WORKDAY(E489,-(Setup!$C$13+Setup!$G$23),Setup!$C$39:$C$50))&gt;=Setup!$C$15,MONTH(WORKDAY(E489,-(Setup!$C$13+Setup!$G$23),Setup!$C$39:$C$50))&lt;=Setup!$C$16),OR(MONTH(WORKDAY(E489,-(Setup!$C$13+Setup!$G$23),Setup!$C$39:$C$50))&gt;=Setup!$C$15,MONTH(WORKDAY(E489,-(Setup!$C$13+Setup!$G$23),Setup!$C$39:$C$50))&lt;=Setup!$C$16))),WORKDAY(E489,-(Setup!$C$13+Setup!$G$23+Setup!$C$14),Setup!$C$39:$C$50),WORKDAY(E489,-(Setup!$C$13+Setup!$G$23),Setup!$C$39:$C$50))+(484*100+4)/10000000)))</f>
        <v/>
      </c>
      <c r="V489" t="str">
        <f>IF(F489="","",IF(F489&lt;Setup!$C$5-Setup!$C$6,"",IF(IF(ISNUMBER(Roster!$D489),Setup!$C$24&lt;=Roster!$D489,FALSE),"",IF(OR(IF(Setup!$C$15&lt;=Setup!$C$16,AND(MONTH(F489)&gt;=Setup!$C$15,MONTH(F489)&lt;=Setup!$C$16),OR(MONTH(F489)&gt;=Setup!$C$15,MONTH(F489)&lt;=Setup!$C$16)),IF(Setup!$C$15&lt;=Setup!$C$16,AND(MONTH(WORKDAY(F489,-(Setup!$C$13+Setup!$G$24),Setup!$C$39:$C$50))&gt;=Setup!$C$15,MONTH(WORKDAY(F489,-(Setup!$C$13+Setup!$G$24),Setup!$C$39:$C$50))&lt;=Setup!$C$16),OR(MONTH(WORKDAY(F489,-(Setup!$C$13+Setup!$G$24),Setup!$C$39:$C$50))&gt;=Setup!$C$15,MONTH(WORKDAY(F489,-(Setup!$C$13+Setup!$G$24),Setup!$C$39:$C$50))&lt;=Setup!$C$16))),WORKDAY(F489,-(Setup!$C$13+Setup!$G$24+Setup!$C$14),Setup!$C$39:$C$50),WORKDAY(F489,-(Setup!$C$13+Setup!$G$24),Setup!$C$39:$C$50))+(484*100+5)/10000000)))</f>
        <v/>
      </c>
      <c r="W489" t="str">
        <f>IF(G489="","",IF(G489&lt;Setup!$C$5-Setup!$C$6,"",IF(IF(ISNUMBER(Roster!$D489),Setup!$C$25&lt;=Roster!$D489,FALSE),"",IF(OR(IF(Setup!$C$15&lt;=Setup!$C$16,AND(MONTH(G489)&gt;=Setup!$C$15,MONTH(G489)&lt;=Setup!$C$16),OR(MONTH(G489)&gt;=Setup!$C$15,MONTH(G489)&lt;=Setup!$C$16)),IF(Setup!$C$15&lt;=Setup!$C$16,AND(MONTH(WORKDAY(G489,-(Setup!$C$13+Setup!$G$25),Setup!$C$39:$C$50))&gt;=Setup!$C$15,MONTH(WORKDAY(G489,-(Setup!$C$13+Setup!$G$25),Setup!$C$39:$C$50))&lt;=Setup!$C$16),OR(MONTH(WORKDAY(G489,-(Setup!$C$13+Setup!$G$25),Setup!$C$39:$C$50))&gt;=Setup!$C$15,MONTH(WORKDAY(G489,-(Setup!$C$13+Setup!$G$25),Setup!$C$39:$C$50))&lt;=Setup!$C$16))),WORKDAY(G489,-(Setup!$C$13+Setup!$G$25+Setup!$C$14),Setup!$C$39:$C$50),WORKDAY(G489,-(Setup!$C$13+Setup!$G$25),Setup!$C$39:$C$50))+(484*100+6)/10000000)))</f>
        <v/>
      </c>
      <c r="X489" t="str">
        <f>IF(H489="","",IF(H489&lt;Setup!$C$5-Setup!$C$6,"",IF(IF(ISNUMBER(Roster!$D489),Setup!$C$26&lt;=Roster!$D489,FALSE),"",IF(OR(IF(Setup!$C$15&lt;=Setup!$C$16,AND(MONTH(H489)&gt;=Setup!$C$15,MONTH(H489)&lt;=Setup!$C$16),OR(MONTH(H489)&gt;=Setup!$C$15,MONTH(H489)&lt;=Setup!$C$16)),IF(Setup!$C$15&lt;=Setup!$C$16,AND(MONTH(WORKDAY(H489,-(Setup!$C$13+Setup!$G$26),Setup!$C$39:$C$50))&gt;=Setup!$C$15,MONTH(WORKDAY(H489,-(Setup!$C$13+Setup!$G$26),Setup!$C$39:$C$50))&lt;=Setup!$C$16),OR(MONTH(WORKDAY(H489,-(Setup!$C$13+Setup!$G$26),Setup!$C$39:$C$50))&gt;=Setup!$C$15,MONTH(WORKDAY(H489,-(Setup!$C$13+Setup!$G$26),Setup!$C$39:$C$50))&lt;=Setup!$C$16))),WORKDAY(H489,-(Setup!$C$13+Setup!$G$26+Setup!$C$14),Setup!$C$39:$C$50),WORKDAY(H489,-(Setup!$C$13+Setup!$G$26),Setup!$C$39:$C$50))+(484*100+7)/10000000)))</f>
        <v/>
      </c>
      <c r="Y489" t="str">
        <f>IF(I489="","",IF(I489&lt;Setup!$C$5-Setup!$C$6,"",IF(IF(ISNUMBER(Roster!$D489),Setup!$C$27&lt;=Roster!$D489,FALSE),"",IF(OR(IF(Setup!$C$15&lt;=Setup!$C$16,AND(MONTH(I489)&gt;=Setup!$C$15,MONTH(I489)&lt;=Setup!$C$16),OR(MONTH(I489)&gt;=Setup!$C$15,MONTH(I489)&lt;=Setup!$C$16)),IF(Setup!$C$15&lt;=Setup!$C$16,AND(MONTH(WORKDAY(I489,-(Setup!$C$13+Setup!$G$27),Setup!$C$39:$C$50))&gt;=Setup!$C$15,MONTH(WORKDAY(I489,-(Setup!$C$13+Setup!$G$27),Setup!$C$39:$C$50))&lt;=Setup!$C$16),OR(MONTH(WORKDAY(I489,-(Setup!$C$13+Setup!$G$27),Setup!$C$39:$C$50))&gt;=Setup!$C$15,MONTH(WORKDAY(I489,-(Setup!$C$13+Setup!$G$27),Setup!$C$39:$C$50))&lt;=Setup!$C$16))),WORKDAY(I489,-(Setup!$C$13+Setup!$G$27+Setup!$C$14),Setup!$C$39:$C$50),WORKDAY(I489,-(Setup!$C$13+Setup!$G$27),Setup!$C$39:$C$50))+(484*100+8)/10000000)))</f>
        <v/>
      </c>
      <c r="Z489" t="str">
        <f>IF(J489="","",IF(J489&lt;Setup!$C$5-Setup!$C$6,"",IF(IF(ISNUMBER(Roster!$D489),Setup!$C$28&lt;=Roster!$D489,FALSE),"",IF(OR(IF(Setup!$C$15&lt;=Setup!$C$16,AND(MONTH(J489)&gt;=Setup!$C$15,MONTH(J489)&lt;=Setup!$C$16),OR(MONTH(J489)&gt;=Setup!$C$15,MONTH(J489)&lt;=Setup!$C$16)),IF(Setup!$C$15&lt;=Setup!$C$16,AND(MONTH(WORKDAY(J489,-(Setup!$C$13+Setup!$G$28),Setup!$C$39:$C$50))&gt;=Setup!$C$15,MONTH(WORKDAY(J489,-(Setup!$C$13+Setup!$G$28),Setup!$C$39:$C$50))&lt;=Setup!$C$16),OR(MONTH(WORKDAY(J489,-(Setup!$C$13+Setup!$G$28),Setup!$C$39:$C$50))&gt;=Setup!$C$15,MONTH(WORKDAY(J489,-(Setup!$C$13+Setup!$G$28),Setup!$C$39:$C$50))&lt;=Setup!$C$16))),WORKDAY(J489,-(Setup!$C$13+Setup!$G$28+Setup!$C$14),Setup!$C$39:$C$50),WORKDAY(J489,-(Setup!$C$13+Setup!$G$28),Setup!$C$39:$C$50))+(484*100+9)/10000000)))</f>
        <v/>
      </c>
      <c r="AA489" t="str">
        <f>IF(K489="","",IF(K489&lt;Setup!$C$5-Setup!$C$6,"",IF(IF(ISNUMBER(Roster!$D489),Setup!$C$29&lt;=Roster!$D489,FALSE),"",IF(OR(IF(Setup!$C$15&lt;=Setup!$C$16,AND(MONTH(K489)&gt;=Setup!$C$15,MONTH(K489)&lt;=Setup!$C$16),OR(MONTH(K489)&gt;=Setup!$C$15,MONTH(K489)&lt;=Setup!$C$16)),IF(Setup!$C$15&lt;=Setup!$C$16,AND(MONTH(WORKDAY(K489,-(Setup!$C$13+Setup!$G$29),Setup!$C$39:$C$50))&gt;=Setup!$C$15,MONTH(WORKDAY(K489,-(Setup!$C$13+Setup!$G$29),Setup!$C$39:$C$50))&lt;=Setup!$C$16),OR(MONTH(WORKDAY(K489,-(Setup!$C$13+Setup!$G$29),Setup!$C$39:$C$50))&gt;=Setup!$C$15,MONTH(WORKDAY(K489,-(Setup!$C$13+Setup!$G$29),Setup!$C$39:$C$50))&lt;=Setup!$C$16))),WORKDAY(K489,-(Setup!$C$13+Setup!$G$29+Setup!$C$14),Setup!$C$39:$C$50),WORKDAY(K489,-(Setup!$C$13+Setup!$G$29),Setup!$C$39:$C$50))+(484*100+10)/10000000)))</f>
        <v/>
      </c>
      <c r="AB489" t="str">
        <f>IF(L489="","",IF(L489&lt;Setup!$C$5-Setup!$C$6,"",IF(IF(ISNUMBER(Roster!$D489),Setup!$C$30&lt;=Roster!$D489,FALSE),"",IF(OR(IF(Setup!$C$15&lt;=Setup!$C$16,AND(MONTH(L489)&gt;=Setup!$C$15,MONTH(L489)&lt;=Setup!$C$16),OR(MONTH(L489)&gt;=Setup!$C$15,MONTH(L489)&lt;=Setup!$C$16)),IF(Setup!$C$15&lt;=Setup!$C$16,AND(MONTH(WORKDAY(L489,-(Setup!$C$13+Setup!$G$30),Setup!$C$39:$C$50))&gt;=Setup!$C$15,MONTH(WORKDAY(L489,-(Setup!$C$13+Setup!$G$30),Setup!$C$39:$C$50))&lt;=Setup!$C$16),OR(MONTH(WORKDAY(L489,-(Setup!$C$13+Setup!$G$30),Setup!$C$39:$C$50))&gt;=Setup!$C$15,MONTH(WORKDAY(L489,-(Setup!$C$13+Setup!$G$30),Setup!$C$39:$C$50))&lt;=Setup!$C$16))),WORKDAY(L489,-(Setup!$C$13+Setup!$G$30+Setup!$C$14),Setup!$C$39:$C$50),WORKDAY(L489,-(Setup!$C$13+Setup!$G$30),Setup!$C$39:$C$50))+(484*100+11)/10000000)))</f>
        <v/>
      </c>
      <c r="AC489" t="str">
        <f>IF(M489="","",IF(M489&lt;Setup!$C$5-Setup!$C$6,"",IF(IF(ISNUMBER(Roster!$D489),Setup!$C$31&lt;=Roster!$D489,FALSE),"",IF(OR(IF(Setup!$C$15&lt;=Setup!$C$16,AND(MONTH(M489)&gt;=Setup!$C$15,MONTH(M489)&lt;=Setup!$C$16),OR(MONTH(M489)&gt;=Setup!$C$15,MONTH(M489)&lt;=Setup!$C$16)),IF(Setup!$C$15&lt;=Setup!$C$16,AND(MONTH(WORKDAY(M489,-(Setup!$C$13+Setup!$G$31),Setup!$C$39:$C$50))&gt;=Setup!$C$15,MONTH(WORKDAY(M489,-(Setup!$C$13+Setup!$G$31),Setup!$C$39:$C$50))&lt;=Setup!$C$16),OR(MONTH(WORKDAY(M489,-(Setup!$C$13+Setup!$G$31),Setup!$C$39:$C$50))&gt;=Setup!$C$15,MONTH(WORKDAY(M489,-(Setup!$C$13+Setup!$G$31),Setup!$C$39:$C$50))&lt;=Setup!$C$16))),WORKDAY(M489,-(Setup!$C$13+Setup!$G$31+Setup!$C$14),Setup!$C$39:$C$50),WORKDAY(M489,-(Setup!$C$13+Setup!$G$31),Setup!$C$39:$C$50))+(484*100+12)/10000000)))</f>
        <v/>
      </c>
      <c r="AD489" t="str">
        <f>IF(N489="","",IF(N489&lt;Setup!$C$5-Setup!$C$6,"",IF(IF(ISNUMBER(Roster!$D489),Setup!$C$32&lt;=Roster!$D489,FALSE),"",IF(OR(IF(Setup!$C$15&lt;=Setup!$C$16,AND(MONTH(N489)&gt;=Setup!$C$15,MONTH(N489)&lt;=Setup!$C$16),OR(MONTH(N489)&gt;=Setup!$C$15,MONTH(N489)&lt;=Setup!$C$16)),IF(Setup!$C$15&lt;=Setup!$C$16,AND(MONTH(WORKDAY(N489,-(Setup!$C$13+Setup!$G$32),Setup!$C$39:$C$50))&gt;=Setup!$C$15,MONTH(WORKDAY(N489,-(Setup!$C$13+Setup!$G$32),Setup!$C$39:$C$50))&lt;=Setup!$C$16),OR(MONTH(WORKDAY(N489,-(Setup!$C$13+Setup!$G$32),Setup!$C$39:$C$50))&gt;=Setup!$C$15,MONTH(WORKDAY(N489,-(Setup!$C$13+Setup!$G$32),Setup!$C$39:$C$50))&lt;=Setup!$C$16))),WORKDAY(N489,-(Setup!$C$13+Setup!$G$32+Setup!$C$14),Setup!$C$39:$C$50),WORKDAY(N489,-(Setup!$C$13+Setup!$G$32),Setup!$C$39:$C$50))+(484*100+13)/10000000)))</f>
        <v/>
      </c>
      <c r="AE489" t="str">
        <f>IF(O489="","",IF(O489&lt;Setup!$C$5-Setup!$C$6,"",IF(IF(ISNUMBER(Roster!$D489),Setup!$C$33&lt;=Roster!$D489,FALSE),"",IF(OR(IF(Setup!$C$15&lt;=Setup!$C$16,AND(MONTH(O489)&gt;=Setup!$C$15,MONTH(O489)&lt;=Setup!$C$16),OR(MONTH(O489)&gt;=Setup!$C$15,MONTH(O489)&lt;=Setup!$C$16)),IF(Setup!$C$15&lt;=Setup!$C$16,AND(MONTH(WORKDAY(O489,-(Setup!$C$13+Setup!$G$33),Setup!$C$39:$C$50))&gt;=Setup!$C$15,MONTH(WORKDAY(O489,-(Setup!$C$13+Setup!$G$33),Setup!$C$39:$C$50))&lt;=Setup!$C$16),OR(MONTH(WORKDAY(O489,-(Setup!$C$13+Setup!$G$33),Setup!$C$39:$C$50))&gt;=Setup!$C$15,MONTH(WORKDAY(O489,-(Setup!$C$13+Setup!$G$33),Setup!$C$39:$C$50))&lt;=Setup!$C$16))),WORKDAY(O489,-(Setup!$C$13+Setup!$G$33+Setup!$C$14),Setup!$C$39:$C$50),WORKDAY(O489,-(Setup!$C$13+Setup!$G$33),Setup!$C$39:$C$50))+(484*100+14)/10000000)))</f>
        <v/>
      </c>
      <c r="AF489" t="str">
        <f>IF(P489="","",IF(P489&lt;Setup!$C$5-Setup!$C$6,"",IF(IF(ISNUMBER(Roster!$D489),Setup!$C$34&lt;=Roster!$D489,FALSE),"",IF(OR(IF(Setup!$C$15&lt;=Setup!$C$16,AND(MONTH(P489)&gt;=Setup!$C$15,MONTH(P489)&lt;=Setup!$C$16),OR(MONTH(P489)&gt;=Setup!$C$15,MONTH(P489)&lt;=Setup!$C$16)),IF(Setup!$C$15&lt;=Setup!$C$16,AND(MONTH(WORKDAY(P489,-(Setup!$C$13+Setup!$G$34),Setup!$C$39:$C$50))&gt;=Setup!$C$15,MONTH(WORKDAY(P489,-(Setup!$C$13+Setup!$G$34),Setup!$C$39:$C$50))&lt;=Setup!$C$16),OR(MONTH(WORKDAY(P489,-(Setup!$C$13+Setup!$G$34),Setup!$C$39:$C$50))&gt;=Setup!$C$15,MONTH(WORKDAY(P489,-(Setup!$C$13+Setup!$G$34),Setup!$C$39:$C$50))&lt;=Setup!$C$16))),WORKDAY(P489,-(Setup!$C$13+Setup!$G$34+Setup!$C$14),Setup!$C$39:$C$50),WORKDAY(P489,-(Setup!$C$13+Setup!$G$34),Setup!$C$39:$C$50))+(484*100+15)/10000000)))</f>
        <v/>
      </c>
      <c r="AH489" t="str">
        <f t="shared" si="51"/>
        <v/>
      </c>
      <c r="AI489" t="str">
        <f t="shared" si="52"/>
        <v/>
      </c>
      <c r="AP489" t="str">
        <f>IF(ISNUMBER(Roster!$B489),MAX(1,YEAR(Setup!$C$5)-YEAR(Roster!$B489)+IF(EDATE(Roster!$B489,12*(YEAR(Setup!$C$5)-YEAR(Roster!$B489)))&lt;Setup!$C$5,1,0)),"")</f>
        <v/>
      </c>
      <c r="AQ489" s="32" t="str">
        <f>IF(AP489="","",EDATE(Roster!$B489,12*AP489))</f>
        <v/>
      </c>
      <c r="AR489" t="str">
        <f>IF(AQ489="","",IF(AQ489&lt;DATE(YEAR(Setup!$C$5)+1,MONTH(Setup!$C$5),DAY(Setup!$C$5)),AQ489+484/1000,""))</f>
        <v/>
      </c>
      <c r="AS489" t="str">
        <f t="shared" si="53"/>
        <v/>
      </c>
      <c r="AT489" t="str">
        <f>IF(AS489="","",IF(ISNUMBER(Roster!$D489),Roster!$D489&gt;=AP489,FALSE))</f>
        <v/>
      </c>
      <c r="AU489" t="str">
        <f t="shared" si="54"/>
        <v/>
      </c>
      <c r="AV489" t="str">
        <f ca="1">IF(484&gt;$AV$2,"",SMALL($AR$6:$AR$505,484))</f>
        <v/>
      </c>
      <c r="AW489" t="str">
        <f t="shared" ca="1" si="55"/>
        <v/>
      </c>
    </row>
    <row r="490" spans="2:49" x14ac:dyDescent="0.2">
      <c r="B490" s="32" t="str">
        <f>IF(AND(ISNUMBER(Roster!$B490),Setup!$B$20="Yes",ISNUMBER(Setup!$C$20)),EDATE(Roster!$B490,12*Setup!$C$20),"")</f>
        <v/>
      </c>
      <c r="C490" s="32" t="str">
        <f>IF(AND(ISNUMBER(Roster!$B490),Setup!$B$21="Yes",ISNUMBER(Setup!$C$21)),EDATE(Roster!$B490,12*Setup!$C$21),"")</f>
        <v/>
      </c>
      <c r="D490" s="32" t="str">
        <f>IF(AND(ISNUMBER(Roster!$B490),Setup!$B$22="Yes",ISNUMBER(Setup!$C$22)),EDATE(Roster!$B490,12*Setup!$C$22),"")</f>
        <v/>
      </c>
      <c r="E490" s="32" t="str">
        <f>IF(AND(ISNUMBER(Roster!$B490),Setup!$B$23="Yes",ISNUMBER(Setup!$C$23)),EDATE(Roster!$B490,12*Setup!$C$23),"")</f>
        <v/>
      </c>
      <c r="F490" s="32" t="str">
        <f>IF(AND(ISNUMBER(Roster!$B490),Setup!$B$24="Yes",ISNUMBER(Setup!$C$24)),EDATE(Roster!$B490,12*Setup!$C$24),"")</f>
        <v/>
      </c>
      <c r="G490" s="32" t="str">
        <f>IF(AND(ISNUMBER(Roster!$B490),Setup!$B$25="Yes",ISNUMBER(Setup!$C$25)),EDATE(Roster!$B490,12*Setup!$C$25),"")</f>
        <v/>
      </c>
      <c r="H490" s="32" t="str">
        <f>IF(AND(ISNUMBER(Roster!$B490),Setup!$B$26="Yes",ISNUMBER(Setup!$C$26)),EDATE(Roster!$B490,12*Setup!$C$26),"")</f>
        <v/>
      </c>
      <c r="I490" s="32" t="str">
        <f>IF(AND(ISNUMBER(Roster!$B490),Setup!$B$27="Yes",ISNUMBER(Setup!$C$27)),EDATE(Roster!$B490,12*Setup!$C$27),"")</f>
        <v/>
      </c>
      <c r="J490" s="32" t="str">
        <f>IF(AND(ISNUMBER(Roster!$B490),Setup!$B$28="Yes",ISNUMBER(Setup!$C$28)),EDATE(Roster!$B490,12*Setup!$C$28),"")</f>
        <v/>
      </c>
      <c r="K490" s="32" t="str">
        <f>IF(AND(ISNUMBER(Roster!$B490),Setup!$B$29="Yes",ISNUMBER(Setup!$C$29)),EDATE(Roster!$B490,12*Setup!$C$29),"")</f>
        <v/>
      </c>
      <c r="L490" s="32" t="str">
        <f>IF(AND(ISNUMBER(Roster!$B490),Setup!$B$30="Yes",ISNUMBER(Setup!$C$30)),EDATE(Roster!$B490,12*Setup!$C$30),"")</f>
        <v/>
      </c>
      <c r="M490" s="32" t="str">
        <f>IF(AND(ISNUMBER(Roster!$B490),Setup!$B$31="Yes",ISNUMBER(Setup!$C$31)),EDATE(Roster!$B490,12*Setup!$C$31),"")</f>
        <v/>
      </c>
      <c r="N490" s="32" t="str">
        <f>IF(AND(ISNUMBER(Roster!$B490),Setup!$B$32="Yes",ISNUMBER(Setup!$C$32)),EDATE(Roster!$B490,12*Setup!$C$32),"")</f>
        <v/>
      </c>
      <c r="O490" s="32" t="str">
        <f>IF(AND(ISNUMBER(Roster!$B490),Setup!$B$33="Yes",ISNUMBER(Setup!$C$33)),EDATE(Roster!$B490,12*Setup!$C$33),"")</f>
        <v/>
      </c>
      <c r="P490" s="32" t="str">
        <f>IF(AND(ISNUMBER(Roster!$B490),Setup!$B$34="Yes",ISNUMBER(Setup!$C$34)),EDATE(Roster!$B490,12*Setup!$C$34),"")</f>
        <v/>
      </c>
      <c r="R490" t="str">
        <f>IF(B490="","",IF(B490&lt;Setup!$C$5-Setup!$C$6,"",IF(IF(ISNUMBER(Roster!$D490),Setup!$C$20&lt;=Roster!$D490,FALSE),"",IF(OR(IF(Setup!$C$15&lt;=Setup!$C$16,AND(MONTH(B490)&gt;=Setup!$C$15,MONTH(B490)&lt;=Setup!$C$16),OR(MONTH(B490)&gt;=Setup!$C$15,MONTH(B490)&lt;=Setup!$C$16)),IF(Setup!$C$15&lt;=Setup!$C$16,AND(MONTH(WORKDAY(B490,-(Setup!$C$13+Setup!$G$20),Setup!$C$39:$C$50))&gt;=Setup!$C$15,MONTH(WORKDAY(B490,-(Setup!$C$13+Setup!$G$20),Setup!$C$39:$C$50))&lt;=Setup!$C$16),OR(MONTH(WORKDAY(B490,-(Setup!$C$13+Setup!$G$20),Setup!$C$39:$C$50))&gt;=Setup!$C$15,MONTH(WORKDAY(B490,-(Setup!$C$13+Setup!$G$20),Setup!$C$39:$C$50))&lt;=Setup!$C$16))),WORKDAY(B490,-(Setup!$C$13+Setup!$G$20+Setup!$C$14),Setup!$C$39:$C$50),WORKDAY(B490,-(Setup!$C$13+Setup!$G$20),Setup!$C$39:$C$50))+(485*100+1)/10000000)))</f>
        <v/>
      </c>
      <c r="S490" t="str">
        <f>IF(C490="","",IF(C490&lt;Setup!$C$5-Setup!$C$6,"",IF(IF(ISNUMBER(Roster!$D490),Setup!$C$21&lt;=Roster!$D490,FALSE),"",IF(OR(IF(Setup!$C$15&lt;=Setup!$C$16,AND(MONTH(C490)&gt;=Setup!$C$15,MONTH(C490)&lt;=Setup!$C$16),OR(MONTH(C490)&gt;=Setup!$C$15,MONTH(C490)&lt;=Setup!$C$16)),IF(Setup!$C$15&lt;=Setup!$C$16,AND(MONTH(WORKDAY(C490,-(Setup!$C$13+Setup!$G$21),Setup!$C$39:$C$50))&gt;=Setup!$C$15,MONTH(WORKDAY(C490,-(Setup!$C$13+Setup!$G$21),Setup!$C$39:$C$50))&lt;=Setup!$C$16),OR(MONTH(WORKDAY(C490,-(Setup!$C$13+Setup!$G$21),Setup!$C$39:$C$50))&gt;=Setup!$C$15,MONTH(WORKDAY(C490,-(Setup!$C$13+Setup!$G$21),Setup!$C$39:$C$50))&lt;=Setup!$C$16))),WORKDAY(C490,-(Setup!$C$13+Setup!$G$21+Setup!$C$14),Setup!$C$39:$C$50),WORKDAY(C490,-(Setup!$C$13+Setup!$G$21),Setup!$C$39:$C$50))+(485*100+2)/10000000)))</f>
        <v/>
      </c>
      <c r="T490" t="str">
        <f>IF(D490="","",IF(D490&lt;Setup!$C$5-Setup!$C$6,"",IF(IF(ISNUMBER(Roster!$D490),Setup!$C$22&lt;=Roster!$D490,FALSE),"",IF(OR(IF(Setup!$C$15&lt;=Setup!$C$16,AND(MONTH(D490)&gt;=Setup!$C$15,MONTH(D490)&lt;=Setup!$C$16),OR(MONTH(D490)&gt;=Setup!$C$15,MONTH(D490)&lt;=Setup!$C$16)),IF(Setup!$C$15&lt;=Setup!$C$16,AND(MONTH(WORKDAY(D490,-(Setup!$C$13+Setup!$G$22),Setup!$C$39:$C$50))&gt;=Setup!$C$15,MONTH(WORKDAY(D490,-(Setup!$C$13+Setup!$G$22),Setup!$C$39:$C$50))&lt;=Setup!$C$16),OR(MONTH(WORKDAY(D490,-(Setup!$C$13+Setup!$G$22),Setup!$C$39:$C$50))&gt;=Setup!$C$15,MONTH(WORKDAY(D490,-(Setup!$C$13+Setup!$G$22),Setup!$C$39:$C$50))&lt;=Setup!$C$16))),WORKDAY(D490,-(Setup!$C$13+Setup!$G$22+Setup!$C$14),Setup!$C$39:$C$50),WORKDAY(D490,-(Setup!$C$13+Setup!$G$22),Setup!$C$39:$C$50))+(485*100+3)/10000000)))</f>
        <v/>
      </c>
      <c r="U490" t="str">
        <f>IF(E490="","",IF(E490&lt;Setup!$C$5-Setup!$C$6,"",IF(IF(ISNUMBER(Roster!$D490),Setup!$C$23&lt;=Roster!$D490,FALSE),"",IF(OR(IF(Setup!$C$15&lt;=Setup!$C$16,AND(MONTH(E490)&gt;=Setup!$C$15,MONTH(E490)&lt;=Setup!$C$16),OR(MONTH(E490)&gt;=Setup!$C$15,MONTH(E490)&lt;=Setup!$C$16)),IF(Setup!$C$15&lt;=Setup!$C$16,AND(MONTH(WORKDAY(E490,-(Setup!$C$13+Setup!$G$23),Setup!$C$39:$C$50))&gt;=Setup!$C$15,MONTH(WORKDAY(E490,-(Setup!$C$13+Setup!$G$23),Setup!$C$39:$C$50))&lt;=Setup!$C$16),OR(MONTH(WORKDAY(E490,-(Setup!$C$13+Setup!$G$23),Setup!$C$39:$C$50))&gt;=Setup!$C$15,MONTH(WORKDAY(E490,-(Setup!$C$13+Setup!$G$23),Setup!$C$39:$C$50))&lt;=Setup!$C$16))),WORKDAY(E490,-(Setup!$C$13+Setup!$G$23+Setup!$C$14),Setup!$C$39:$C$50),WORKDAY(E490,-(Setup!$C$13+Setup!$G$23),Setup!$C$39:$C$50))+(485*100+4)/10000000)))</f>
        <v/>
      </c>
      <c r="V490" t="str">
        <f>IF(F490="","",IF(F490&lt;Setup!$C$5-Setup!$C$6,"",IF(IF(ISNUMBER(Roster!$D490),Setup!$C$24&lt;=Roster!$D490,FALSE),"",IF(OR(IF(Setup!$C$15&lt;=Setup!$C$16,AND(MONTH(F490)&gt;=Setup!$C$15,MONTH(F490)&lt;=Setup!$C$16),OR(MONTH(F490)&gt;=Setup!$C$15,MONTH(F490)&lt;=Setup!$C$16)),IF(Setup!$C$15&lt;=Setup!$C$16,AND(MONTH(WORKDAY(F490,-(Setup!$C$13+Setup!$G$24),Setup!$C$39:$C$50))&gt;=Setup!$C$15,MONTH(WORKDAY(F490,-(Setup!$C$13+Setup!$G$24),Setup!$C$39:$C$50))&lt;=Setup!$C$16),OR(MONTH(WORKDAY(F490,-(Setup!$C$13+Setup!$G$24),Setup!$C$39:$C$50))&gt;=Setup!$C$15,MONTH(WORKDAY(F490,-(Setup!$C$13+Setup!$G$24),Setup!$C$39:$C$50))&lt;=Setup!$C$16))),WORKDAY(F490,-(Setup!$C$13+Setup!$G$24+Setup!$C$14),Setup!$C$39:$C$50),WORKDAY(F490,-(Setup!$C$13+Setup!$G$24),Setup!$C$39:$C$50))+(485*100+5)/10000000)))</f>
        <v/>
      </c>
      <c r="W490" t="str">
        <f>IF(G490="","",IF(G490&lt;Setup!$C$5-Setup!$C$6,"",IF(IF(ISNUMBER(Roster!$D490),Setup!$C$25&lt;=Roster!$D490,FALSE),"",IF(OR(IF(Setup!$C$15&lt;=Setup!$C$16,AND(MONTH(G490)&gt;=Setup!$C$15,MONTH(G490)&lt;=Setup!$C$16),OR(MONTH(G490)&gt;=Setup!$C$15,MONTH(G490)&lt;=Setup!$C$16)),IF(Setup!$C$15&lt;=Setup!$C$16,AND(MONTH(WORKDAY(G490,-(Setup!$C$13+Setup!$G$25),Setup!$C$39:$C$50))&gt;=Setup!$C$15,MONTH(WORKDAY(G490,-(Setup!$C$13+Setup!$G$25),Setup!$C$39:$C$50))&lt;=Setup!$C$16),OR(MONTH(WORKDAY(G490,-(Setup!$C$13+Setup!$G$25),Setup!$C$39:$C$50))&gt;=Setup!$C$15,MONTH(WORKDAY(G490,-(Setup!$C$13+Setup!$G$25),Setup!$C$39:$C$50))&lt;=Setup!$C$16))),WORKDAY(G490,-(Setup!$C$13+Setup!$G$25+Setup!$C$14),Setup!$C$39:$C$50),WORKDAY(G490,-(Setup!$C$13+Setup!$G$25),Setup!$C$39:$C$50))+(485*100+6)/10000000)))</f>
        <v/>
      </c>
      <c r="X490" t="str">
        <f>IF(H490="","",IF(H490&lt;Setup!$C$5-Setup!$C$6,"",IF(IF(ISNUMBER(Roster!$D490),Setup!$C$26&lt;=Roster!$D490,FALSE),"",IF(OR(IF(Setup!$C$15&lt;=Setup!$C$16,AND(MONTH(H490)&gt;=Setup!$C$15,MONTH(H490)&lt;=Setup!$C$16),OR(MONTH(H490)&gt;=Setup!$C$15,MONTH(H490)&lt;=Setup!$C$16)),IF(Setup!$C$15&lt;=Setup!$C$16,AND(MONTH(WORKDAY(H490,-(Setup!$C$13+Setup!$G$26),Setup!$C$39:$C$50))&gt;=Setup!$C$15,MONTH(WORKDAY(H490,-(Setup!$C$13+Setup!$G$26),Setup!$C$39:$C$50))&lt;=Setup!$C$16),OR(MONTH(WORKDAY(H490,-(Setup!$C$13+Setup!$G$26),Setup!$C$39:$C$50))&gt;=Setup!$C$15,MONTH(WORKDAY(H490,-(Setup!$C$13+Setup!$G$26),Setup!$C$39:$C$50))&lt;=Setup!$C$16))),WORKDAY(H490,-(Setup!$C$13+Setup!$G$26+Setup!$C$14),Setup!$C$39:$C$50),WORKDAY(H490,-(Setup!$C$13+Setup!$G$26),Setup!$C$39:$C$50))+(485*100+7)/10000000)))</f>
        <v/>
      </c>
      <c r="Y490" t="str">
        <f>IF(I490="","",IF(I490&lt;Setup!$C$5-Setup!$C$6,"",IF(IF(ISNUMBER(Roster!$D490),Setup!$C$27&lt;=Roster!$D490,FALSE),"",IF(OR(IF(Setup!$C$15&lt;=Setup!$C$16,AND(MONTH(I490)&gt;=Setup!$C$15,MONTH(I490)&lt;=Setup!$C$16),OR(MONTH(I490)&gt;=Setup!$C$15,MONTH(I490)&lt;=Setup!$C$16)),IF(Setup!$C$15&lt;=Setup!$C$16,AND(MONTH(WORKDAY(I490,-(Setup!$C$13+Setup!$G$27),Setup!$C$39:$C$50))&gt;=Setup!$C$15,MONTH(WORKDAY(I490,-(Setup!$C$13+Setup!$G$27),Setup!$C$39:$C$50))&lt;=Setup!$C$16),OR(MONTH(WORKDAY(I490,-(Setup!$C$13+Setup!$G$27),Setup!$C$39:$C$50))&gt;=Setup!$C$15,MONTH(WORKDAY(I490,-(Setup!$C$13+Setup!$G$27),Setup!$C$39:$C$50))&lt;=Setup!$C$16))),WORKDAY(I490,-(Setup!$C$13+Setup!$G$27+Setup!$C$14),Setup!$C$39:$C$50),WORKDAY(I490,-(Setup!$C$13+Setup!$G$27),Setup!$C$39:$C$50))+(485*100+8)/10000000)))</f>
        <v/>
      </c>
      <c r="Z490" t="str">
        <f>IF(J490="","",IF(J490&lt;Setup!$C$5-Setup!$C$6,"",IF(IF(ISNUMBER(Roster!$D490),Setup!$C$28&lt;=Roster!$D490,FALSE),"",IF(OR(IF(Setup!$C$15&lt;=Setup!$C$16,AND(MONTH(J490)&gt;=Setup!$C$15,MONTH(J490)&lt;=Setup!$C$16),OR(MONTH(J490)&gt;=Setup!$C$15,MONTH(J490)&lt;=Setup!$C$16)),IF(Setup!$C$15&lt;=Setup!$C$16,AND(MONTH(WORKDAY(J490,-(Setup!$C$13+Setup!$G$28),Setup!$C$39:$C$50))&gt;=Setup!$C$15,MONTH(WORKDAY(J490,-(Setup!$C$13+Setup!$G$28),Setup!$C$39:$C$50))&lt;=Setup!$C$16),OR(MONTH(WORKDAY(J490,-(Setup!$C$13+Setup!$G$28),Setup!$C$39:$C$50))&gt;=Setup!$C$15,MONTH(WORKDAY(J490,-(Setup!$C$13+Setup!$G$28),Setup!$C$39:$C$50))&lt;=Setup!$C$16))),WORKDAY(J490,-(Setup!$C$13+Setup!$G$28+Setup!$C$14),Setup!$C$39:$C$50),WORKDAY(J490,-(Setup!$C$13+Setup!$G$28),Setup!$C$39:$C$50))+(485*100+9)/10000000)))</f>
        <v/>
      </c>
      <c r="AA490" t="str">
        <f>IF(K490="","",IF(K490&lt;Setup!$C$5-Setup!$C$6,"",IF(IF(ISNUMBER(Roster!$D490),Setup!$C$29&lt;=Roster!$D490,FALSE),"",IF(OR(IF(Setup!$C$15&lt;=Setup!$C$16,AND(MONTH(K490)&gt;=Setup!$C$15,MONTH(K490)&lt;=Setup!$C$16),OR(MONTH(K490)&gt;=Setup!$C$15,MONTH(K490)&lt;=Setup!$C$16)),IF(Setup!$C$15&lt;=Setup!$C$16,AND(MONTH(WORKDAY(K490,-(Setup!$C$13+Setup!$G$29),Setup!$C$39:$C$50))&gt;=Setup!$C$15,MONTH(WORKDAY(K490,-(Setup!$C$13+Setup!$G$29),Setup!$C$39:$C$50))&lt;=Setup!$C$16),OR(MONTH(WORKDAY(K490,-(Setup!$C$13+Setup!$G$29),Setup!$C$39:$C$50))&gt;=Setup!$C$15,MONTH(WORKDAY(K490,-(Setup!$C$13+Setup!$G$29),Setup!$C$39:$C$50))&lt;=Setup!$C$16))),WORKDAY(K490,-(Setup!$C$13+Setup!$G$29+Setup!$C$14),Setup!$C$39:$C$50),WORKDAY(K490,-(Setup!$C$13+Setup!$G$29),Setup!$C$39:$C$50))+(485*100+10)/10000000)))</f>
        <v/>
      </c>
      <c r="AB490" t="str">
        <f>IF(L490="","",IF(L490&lt;Setup!$C$5-Setup!$C$6,"",IF(IF(ISNUMBER(Roster!$D490),Setup!$C$30&lt;=Roster!$D490,FALSE),"",IF(OR(IF(Setup!$C$15&lt;=Setup!$C$16,AND(MONTH(L490)&gt;=Setup!$C$15,MONTH(L490)&lt;=Setup!$C$16),OR(MONTH(L490)&gt;=Setup!$C$15,MONTH(L490)&lt;=Setup!$C$16)),IF(Setup!$C$15&lt;=Setup!$C$16,AND(MONTH(WORKDAY(L490,-(Setup!$C$13+Setup!$G$30),Setup!$C$39:$C$50))&gt;=Setup!$C$15,MONTH(WORKDAY(L490,-(Setup!$C$13+Setup!$G$30),Setup!$C$39:$C$50))&lt;=Setup!$C$16),OR(MONTH(WORKDAY(L490,-(Setup!$C$13+Setup!$G$30),Setup!$C$39:$C$50))&gt;=Setup!$C$15,MONTH(WORKDAY(L490,-(Setup!$C$13+Setup!$G$30),Setup!$C$39:$C$50))&lt;=Setup!$C$16))),WORKDAY(L490,-(Setup!$C$13+Setup!$G$30+Setup!$C$14),Setup!$C$39:$C$50),WORKDAY(L490,-(Setup!$C$13+Setup!$G$30),Setup!$C$39:$C$50))+(485*100+11)/10000000)))</f>
        <v/>
      </c>
      <c r="AC490" t="str">
        <f>IF(M490="","",IF(M490&lt;Setup!$C$5-Setup!$C$6,"",IF(IF(ISNUMBER(Roster!$D490),Setup!$C$31&lt;=Roster!$D490,FALSE),"",IF(OR(IF(Setup!$C$15&lt;=Setup!$C$16,AND(MONTH(M490)&gt;=Setup!$C$15,MONTH(M490)&lt;=Setup!$C$16),OR(MONTH(M490)&gt;=Setup!$C$15,MONTH(M490)&lt;=Setup!$C$16)),IF(Setup!$C$15&lt;=Setup!$C$16,AND(MONTH(WORKDAY(M490,-(Setup!$C$13+Setup!$G$31),Setup!$C$39:$C$50))&gt;=Setup!$C$15,MONTH(WORKDAY(M490,-(Setup!$C$13+Setup!$G$31),Setup!$C$39:$C$50))&lt;=Setup!$C$16),OR(MONTH(WORKDAY(M490,-(Setup!$C$13+Setup!$G$31),Setup!$C$39:$C$50))&gt;=Setup!$C$15,MONTH(WORKDAY(M490,-(Setup!$C$13+Setup!$G$31),Setup!$C$39:$C$50))&lt;=Setup!$C$16))),WORKDAY(M490,-(Setup!$C$13+Setup!$G$31+Setup!$C$14),Setup!$C$39:$C$50),WORKDAY(M490,-(Setup!$C$13+Setup!$G$31),Setup!$C$39:$C$50))+(485*100+12)/10000000)))</f>
        <v/>
      </c>
      <c r="AD490" t="str">
        <f>IF(N490="","",IF(N490&lt;Setup!$C$5-Setup!$C$6,"",IF(IF(ISNUMBER(Roster!$D490),Setup!$C$32&lt;=Roster!$D490,FALSE),"",IF(OR(IF(Setup!$C$15&lt;=Setup!$C$16,AND(MONTH(N490)&gt;=Setup!$C$15,MONTH(N490)&lt;=Setup!$C$16),OR(MONTH(N490)&gt;=Setup!$C$15,MONTH(N490)&lt;=Setup!$C$16)),IF(Setup!$C$15&lt;=Setup!$C$16,AND(MONTH(WORKDAY(N490,-(Setup!$C$13+Setup!$G$32),Setup!$C$39:$C$50))&gt;=Setup!$C$15,MONTH(WORKDAY(N490,-(Setup!$C$13+Setup!$G$32),Setup!$C$39:$C$50))&lt;=Setup!$C$16),OR(MONTH(WORKDAY(N490,-(Setup!$C$13+Setup!$G$32),Setup!$C$39:$C$50))&gt;=Setup!$C$15,MONTH(WORKDAY(N490,-(Setup!$C$13+Setup!$G$32),Setup!$C$39:$C$50))&lt;=Setup!$C$16))),WORKDAY(N490,-(Setup!$C$13+Setup!$G$32+Setup!$C$14),Setup!$C$39:$C$50),WORKDAY(N490,-(Setup!$C$13+Setup!$G$32),Setup!$C$39:$C$50))+(485*100+13)/10000000)))</f>
        <v/>
      </c>
      <c r="AE490" t="str">
        <f>IF(O490="","",IF(O490&lt;Setup!$C$5-Setup!$C$6,"",IF(IF(ISNUMBER(Roster!$D490),Setup!$C$33&lt;=Roster!$D490,FALSE),"",IF(OR(IF(Setup!$C$15&lt;=Setup!$C$16,AND(MONTH(O490)&gt;=Setup!$C$15,MONTH(O490)&lt;=Setup!$C$16),OR(MONTH(O490)&gt;=Setup!$C$15,MONTH(O490)&lt;=Setup!$C$16)),IF(Setup!$C$15&lt;=Setup!$C$16,AND(MONTH(WORKDAY(O490,-(Setup!$C$13+Setup!$G$33),Setup!$C$39:$C$50))&gt;=Setup!$C$15,MONTH(WORKDAY(O490,-(Setup!$C$13+Setup!$G$33),Setup!$C$39:$C$50))&lt;=Setup!$C$16),OR(MONTH(WORKDAY(O490,-(Setup!$C$13+Setup!$G$33),Setup!$C$39:$C$50))&gt;=Setup!$C$15,MONTH(WORKDAY(O490,-(Setup!$C$13+Setup!$G$33),Setup!$C$39:$C$50))&lt;=Setup!$C$16))),WORKDAY(O490,-(Setup!$C$13+Setup!$G$33+Setup!$C$14),Setup!$C$39:$C$50),WORKDAY(O490,-(Setup!$C$13+Setup!$G$33),Setup!$C$39:$C$50))+(485*100+14)/10000000)))</f>
        <v/>
      </c>
      <c r="AF490" t="str">
        <f>IF(P490="","",IF(P490&lt;Setup!$C$5-Setup!$C$6,"",IF(IF(ISNUMBER(Roster!$D490),Setup!$C$34&lt;=Roster!$D490,FALSE),"",IF(OR(IF(Setup!$C$15&lt;=Setup!$C$16,AND(MONTH(P490)&gt;=Setup!$C$15,MONTH(P490)&lt;=Setup!$C$16),OR(MONTH(P490)&gt;=Setup!$C$15,MONTH(P490)&lt;=Setup!$C$16)),IF(Setup!$C$15&lt;=Setup!$C$16,AND(MONTH(WORKDAY(P490,-(Setup!$C$13+Setup!$G$34),Setup!$C$39:$C$50))&gt;=Setup!$C$15,MONTH(WORKDAY(P490,-(Setup!$C$13+Setup!$G$34),Setup!$C$39:$C$50))&lt;=Setup!$C$16),OR(MONTH(WORKDAY(P490,-(Setup!$C$13+Setup!$G$34),Setup!$C$39:$C$50))&gt;=Setup!$C$15,MONTH(WORKDAY(P490,-(Setup!$C$13+Setup!$G$34),Setup!$C$39:$C$50))&lt;=Setup!$C$16))),WORKDAY(P490,-(Setup!$C$13+Setup!$G$34+Setup!$C$14),Setup!$C$39:$C$50),WORKDAY(P490,-(Setup!$C$13+Setup!$G$34),Setup!$C$39:$C$50))+(485*100+15)/10000000)))</f>
        <v/>
      </c>
      <c r="AH490" t="str">
        <f t="shared" si="51"/>
        <v/>
      </c>
      <c r="AI490" t="str">
        <f t="shared" si="52"/>
        <v/>
      </c>
      <c r="AP490" t="str">
        <f>IF(ISNUMBER(Roster!$B490),MAX(1,YEAR(Setup!$C$5)-YEAR(Roster!$B490)+IF(EDATE(Roster!$B490,12*(YEAR(Setup!$C$5)-YEAR(Roster!$B490)))&lt;Setup!$C$5,1,0)),"")</f>
        <v/>
      </c>
      <c r="AQ490" s="32" t="str">
        <f>IF(AP490="","",EDATE(Roster!$B490,12*AP490))</f>
        <v/>
      </c>
      <c r="AR490" t="str">
        <f>IF(AQ490="","",IF(AQ490&lt;DATE(YEAR(Setup!$C$5)+1,MONTH(Setup!$C$5),DAY(Setup!$C$5)),AQ490+485/1000,""))</f>
        <v/>
      </c>
      <c r="AS490" t="str">
        <f t="shared" si="53"/>
        <v/>
      </c>
      <c r="AT490" t="str">
        <f>IF(AS490="","",IF(ISNUMBER(Roster!$D490),Roster!$D490&gt;=AP490,FALSE))</f>
        <v/>
      </c>
      <c r="AU490" t="str">
        <f t="shared" si="54"/>
        <v/>
      </c>
      <c r="AV490" t="str">
        <f ca="1">IF(485&gt;$AV$2,"",SMALL($AR$6:$AR$505,485))</f>
        <v/>
      </c>
      <c r="AW490" t="str">
        <f t="shared" ca="1" si="55"/>
        <v/>
      </c>
    </row>
    <row r="491" spans="2:49" x14ac:dyDescent="0.2">
      <c r="B491" s="32" t="str">
        <f>IF(AND(ISNUMBER(Roster!$B491),Setup!$B$20="Yes",ISNUMBER(Setup!$C$20)),EDATE(Roster!$B491,12*Setup!$C$20),"")</f>
        <v/>
      </c>
      <c r="C491" s="32" t="str">
        <f>IF(AND(ISNUMBER(Roster!$B491),Setup!$B$21="Yes",ISNUMBER(Setup!$C$21)),EDATE(Roster!$B491,12*Setup!$C$21),"")</f>
        <v/>
      </c>
      <c r="D491" s="32" t="str">
        <f>IF(AND(ISNUMBER(Roster!$B491),Setup!$B$22="Yes",ISNUMBER(Setup!$C$22)),EDATE(Roster!$B491,12*Setup!$C$22),"")</f>
        <v/>
      </c>
      <c r="E491" s="32" t="str">
        <f>IF(AND(ISNUMBER(Roster!$B491),Setup!$B$23="Yes",ISNUMBER(Setup!$C$23)),EDATE(Roster!$B491,12*Setup!$C$23),"")</f>
        <v/>
      </c>
      <c r="F491" s="32" t="str">
        <f>IF(AND(ISNUMBER(Roster!$B491),Setup!$B$24="Yes",ISNUMBER(Setup!$C$24)),EDATE(Roster!$B491,12*Setup!$C$24),"")</f>
        <v/>
      </c>
      <c r="G491" s="32" t="str">
        <f>IF(AND(ISNUMBER(Roster!$B491),Setup!$B$25="Yes",ISNUMBER(Setup!$C$25)),EDATE(Roster!$B491,12*Setup!$C$25),"")</f>
        <v/>
      </c>
      <c r="H491" s="32" t="str">
        <f>IF(AND(ISNUMBER(Roster!$B491),Setup!$B$26="Yes",ISNUMBER(Setup!$C$26)),EDATE(Roster!$B491,12*Setup!$C$26),"")</f>
        <v/>
      </c>
      <c r="I491" s="32" t="str">
        <f>IF(AND(ISNUMBER(Roster!$B491),Setup!$B$27="Yes",ISNUMBER(Setup!$C$27)),EDATE(Roster!$B491,12*Setup!$C$27),"")</f>
        <v/>
      </c>
      <c r="J491" s="32" t="str">
        <f>IF(AND(ISNUMBER(Roster!$B491),Setup!$B$28="Yes",ISNUMBER(Setup!$C$28)),EDATE(Roster!$B491,12*Setup!$C$28),"")</f>
        <v/>
      </c>
      <c r="K491" s="32" t="str">
        <f>IF(AND(ISNUMBER(Roster!$B491),Setup!$B$29="Yes",ISNUMBER(Setup!$C$29)),EDATE(Roster!$B491,12*Setup!$C$29),"")</f>
        <v/>
      </c>
      <c r="L491" s="32" t="str">
        <f>IF(AND(ISNUMBER(Roster!$B491),Setup!$B$30="Yes",ISNUMBER(Setup!$C$30)),EDATE(Roster!$B491,12*Setup!$C$30),"")</f>
        <v/>
      </c>
      <c r="M491" s="32" t="str">
        <f>IF(AND(ISNUMBER(Roster!$B491),Setup!$B$31="Yes",ISNUMBER(Setup!$C$31)),EDATE(Roster!$B491,12*Setup!$C$31),"")</f>
        <v/>
      </c>
      <c r="N491" s="32" t="str">
        <f>IF(AND(ISNUMBER(Roster!$B491),Setup!$B$32="Yes",ISNUMBER(Setup!$C$32)),EDATE(Roster!$B491,12*Setup!$C$32),"")</f>
        <v/>
      </c>
      <c r="O491" s="32" t="str">
        <f>IF(AND(ISNUMBER(Roster!$B491),Setup!$B$33="Yes",ISNUMBER(Setup!$C$33)),EDATE(Roster!$B491,12*Setup!$C$33),"")</f>
        <v/>
      </c>
      <c r="P491" s="32" t="str">
        <f>IF(AND(ISNUMBER(Roster!$B491),Setup!$B$34="Yes",ISNUMBER(Setup!$C$34)),EDATE(Roster!$B491,12*Setup!$C$34),"")</f>
        <v/>
      </c>
      <c r="R491" t="str">
        <f>IF(B491="","",IF(B491&lt;Setup!$C$5-Setup!$C$6,"",IF(IF(ISNUMBER(Roster!$D491),Setup!$C$20&lt;=Roster!$D491,FALSE),"",IF(OR(IF(Setup!$C$15&lt;=Setup!$C$16,AND(MONTH(B491)&gt;=Setup!$C$15,MONTH(B491)&lt;=Setup!$C$16),OR(MONTH(B491)&gt;=Setup!$C$15,MONTH(B491)&lt;=Setup!$C$16)),IF(Setup!$C$15&lt;=Setup!$C$16,AND(MONTH(WORKDAY(B491,-(Setup!$C$13+Setup!$G$20),Setup!$C$39:$C$50))&gt;=Setup!$C$15,MONTH(WORKDAY(B491,-(Setup!$C$13+Setup!$G$20),Setup!$C$39:$C$50))&lt;=Setup!$C$16),OR(MONTH(WORKDAY(B491,-(Setup!$C$13+Setup!$G$20),Setup!$C$39:$C$50))&gt;=Setup!$C$15,MONTH(WORKDAY(B491,-(Setup!$C$13+Setup!$G$20),Setup!$C$39:$C$50))&lt;=Setup!$C$16))),WORKDAY(B491,-(Setup!$C$13+Setup!$G$20+Setup!$C$14),Setup!$C$39:$C$50),WORKDAY(B491,-(Setup!$C$13+Setup!$G$20),Setup!$C$39:$C$50))+(486*100+1)/10000000)))</f>
        <v/>
      </c>
      <c r="S491" t="str">
        <f>IF(C491="","",IF(C491&lt;Setup!$C$5-Setup!$C$6,"",IF(IF(ISNUMBER(Roster!$D491),Setup!$C$21&lt;=Roster!$D491,FALSE),"",IF(OR(IF(Setup!$C$15&lt;=Setup!$C$16,AND(MONTH(C491)&gt;=Setup!$C$15,MONTH(C491)&lt;=Setup!$C$16),OR(MONTH(C491)&gt;=Setup!$C$15,MONTH(C491)&lt;=Setup!$C$16)),IF(Setup!$C$15&lt;=Setup!$C$16,AND(MONTH(WORKDAY(C491,-(Setup!$C$13+Setup!$G$21),Setup!$C$39:$C$50))&gt;=Setup!$C$15,MONTH(WORKDAY(C491,-(Setup!$C$13+Setup!$G$21),Setup!$C$39:$C$50))&lt;=Setup!$C$16),OR(MONTH(WORKDAY(C491,-(Setup!$C$13+Setup!$G$21),Setup!$C$39:$C$50))&gt;=Setup!$C$15,MONTH(WORKDAY(C491,-(Setup!$C$13+Setup!$G$21),Setup!$C$39:$C$50))&lt;=Setup!$C$16))),WORKDAY(C491,-(Setup!$C$13+Setup!$G$21+Setup!$C$14),Setup!$C$39:$C$50),WORKDAY(C491,-(Setup!$C$13+Setup!$G$21),Setup!$C$39:$C$50))+(486*100+2)/10000000)))</f>
        <v/>
      </c>
      <c r="T491" t="str">
        <f>IF(D491="","",IF(D491&lt;Setup!$C$5-Setup!$C$6,"",IF(IF(ISNUMBER(Roster!$D491),Setup!$C$22&lt;=Roster!$D491,FALSE),"",IF(OR(IF(Setup!$C$15&lt;=Setup!$C$16,AND(MONTH(D491)&gt;=Setup!$C$15,MONTH(D491)&lt;=Setup!$C$16),OR(MONTH(D491)&gt;=Setup!$C$15,MONTH(D491)&lt;=Setup!$C$16)),IF(Setup!$C$15&lt;=Setup!$C$16,AND(MONTH(WORKDAY(D491,-(Setup!$C$13+Setup!$G$22),Setup!$C$39:$C$50))&gt;=Setup!$C$15,MONTH(WORKDAY(D491,-(Setup!$C$13+Setup!$G$22),Setup!$C$39:$C$50))&lt;=Setup!$C$16),OR(MONTH(WORKDAY(D491,-(Setup!$C$13+Setup!$G$22),Setup!$C$39:$C$50))&gt;=Setup!$C$15,MONTH(WORKDAY(D491,-(Setup!$C$13+Setup!$G$22),Setup!$C$39:$C$50))&lt;=Setup!$C$16))),WORKDAY(D491,-(Setup!$C$13+Setup!$G$22+Setup!$C$14),Setup!$C$39:$C$50),WORKDAY(D491,-(Setup!$C$13+Setup!$G$22),Setup!$C$39:$C$50))+(486*100+3)/10000000)))</f>
        <v/>
      </c>
      <c r="U491" t="str">
        <f>IF(E491="","",IF(E491&lt;Setup!$C$5-Setup!$C$6,"",IF(IF(ISNUMBER(Roster!$D491),Setup!$C$23&lt;=Roster!$D491,FALSE),"",IF(OR(IF(Setup!$C$15&lt;=Setup!$C$16,AND(MONTH(E491)&gt;=Setup!$C$15,MONTH(E491)&lt;=Setup!$C$16),OR(MONTH(E491)&gt;=Setup!$C$15,MONTH(E491)&lt;=Setup!$C$16)),IF(Setup!$C$15&lt;=Setup!$C$16,AND(MONTH(WORKDAY(E491,-(Setup!$C$13+Setup!$G$23),Setup!$C$39:$C$50))&gt;=Setup!$C$15,MONTH(WORKDAY(E491,-(Setup!$C$13+Setup!$G$23),Setup!$C$39:$C$50))&lt;=Setup!$C$16),OR(MONTH(WORKDAY(E491,-(Setup!$C$13+Setup!$G$23),Setup!$C$39:$C$50))&gt;=Setup!$C$15,MONTH(WORKDAY(E491,-(Setup!$C$13+Setup!$G$23),Setup!$C$39:$C$50))&lt;=Setup!$C$16))),WORKDAY(E491,-(Setup!$C$13+Setup!$G$23+Setup!$C$14),Setup!$C$39:$C$50),WORKDAY(E491,-(Setup!$C$13+Setup!$G$23),Setup!$C$39:$C$50))+(486*100+4)/10000000)))</f>
        <v/>
      </c>
      <c r="V491" t="str">
        <f>IF(F491="","",IF(F491&lt;Setup!$C$5-Setup!$C$6,"",IF(IF(ISNUMBER(Roster!$D491),Setup!$C$24&lt;=Roster!$D491,FALSE),"",IF(OR(IF(Setup!$C$15&lt;=Setup!$C$16,AND(MONTH(F491)&gt;=Setup!$C$15,MONTH(F491)&lt;=Setup!$C$16),OR(MONTH(F491)&gt;=Setup!$C$15,MONTH(F491)&lt;=Setup!$C$16)),IF(Setup!$C$15&lt;=Setup!$C$16,AND(MONTH(WORKDAY(F491,-(Setup!$C$13+Setup!$G$24),Setup!$C$39:$C$50))&gt;=Setup!$C$15,MONTH(WORKDAY(F491,-(Setup!$C$13+Setup!$G$24),Setup!$C$39:$C$50))&lt;=Setup!$C$16),OR(MONTH(WORKDAY(F491,-(Setup!$C$13+Setup!$G$24),Setup!$C$39:$C$50))&gt;=Setup!$C$15,MONTH(WORKDAY(F491,-(Setup!$C$13+Setup!$G$24),Setup!$C$39:$C$50))&lt;=Setup!$C$16))),WORKDAY(F491,-(Setup!$C$13+Setup!$G$24+Setup!$C$14),Setup!$C$39:$C$50),WORKDAY(F491,-(Setup!$C$13+Setup!$G$24),Setup!$C$39:$C$50))+(486*100+5)/10000000)))</f>
        <v/>
      </c>
      <c r="W491" t="str">
        <f>IF(G491="","",IF(G491&lt;Setup!$C$5-Setup!$C$6,"",IF(IF(ISNUMBER(Roster!$D491),Setup!$C$25&lt;=Roster!$D491,FALSE),"",IF(OR(IF(Setup!$C$15&lt;=Setup!$C$16,AND(MONTH(G491)&gt;=Setup!$C$15,MONTH(G491)&lt;=Setup!$C$16),OR(MONTH(G491)&gt;=Setup!$C$15,MONTH(G491)&lt;=Setup!$C$16)),IF(Setup!$C$15&lt;=Setup!$C$16,AND(MONTH(WORKDAY(G491,-(Setup!$C$13+Setup!$G$25),Setup!$C$39:$C$50))&gt;=Setup!$C$15,MONTH(WORKDAY(G491,-(Setup!$C$13+Setup!$G$25),Setup!$C$39:$C$50))&lt;=Setup!$C$16),OR(MONTH(WORKDAY(G491,-(Setup!$C$13+Setup!$G$25),Setup!$C$39:$C$50))&gt;=Setup!$C$15,MONTH(WORKDAY(G491,-(Setup!$C$13+Setup!$G$25),Setup!$C$39:$C$50))&lt;=Setup!$C$16))),WORKDAY(G491,-(Setup!$C$13+Setup!$G$25+Setup!$C$14),Setup!$C$39:$C$50),WORKDAY(G491,-(Setup!$C$13+Setup!$G$25),Setup!$C$39:$C$50))+(486*100+6)/10000000)))</f>
        <v/>
      </c>
      <c r="X491" t="str">
        <f>IF(H491="","",IF(H491&lt;Setup!$C$5-Setup!$C$6,"",IF(IF(ISNUMBER(Roster!$D491),Setup!$C$26&lt;=Roster!$D491,FALSE),"",IF(OR(IF(Setup!$C$15&lt;=Setup!$C$16,AND(MONTH(H491)&gt;=Setup!$C$15,MONTH(H491)&lt;=Setup!$C$16),OR(MONTH(H491)&gt;=Setup!$C$15,MONTH(H491)&lt;=Setup!$C$16)),IF(Setup!$C$15&lt;=Setup!$C$16,AND(MONTH(WORKDAY(H491,-(Setup!$C$13+Setup!$G$26),Setup!$C$39:$C$50))&gt;=Setup!$C$15,MONTH(WORKDAY(H491,-(Setup!$C$13+Setup!$G$26),Setup!$C$39:$C$50))&lt;=Setup!$C$16),OR(MONTH(WORKDAY(H491,-(Setup!$C$13+Setup!$G$26),Setup!$C$39:$C$50))&gt;=Setup!$C$15,MONTH(WORKDAY(H491,-(Setup!$C$13+Setup!$G$26),Setup!$C$39:$C$50))&lt;=Setup!$C$16))),WORKDAY(H491,-(Setup!$C$13+Setup!$G$26+Setup!$C$14),Setup!$C$39:$C$50),WORKDAY(H491,-(Setup!$C$13+Setup!$G$26),Setup!$C$39:$C$50))+(486*100+7)/10000000)))</f>
        <v/>
      </c>
      <c r="Y491" t="str">
        <f>IF(I491="","",IF(I491&lt;Setup!$C$5-Setup!$C$6,"",IF(IF(ISNUMBER(Roster!$D491),Setup!$C$27&lt;=Roster!$D491,FALSE),"",IF(OR(IF(Setup!$C$15&lt;=Setup!$C$16,AND(MONTH(I491)&gt;=Setup!$C$15,MONTH(I491)&lt;=Setup!$C$16),OR(MONTH(I491)&gt;=Setup!$C$15,MONTH(I491)&lt;=Setup!$C$16)),IF(Setup!$C$15&lt;=Setup!$C$16,AND(MONTH(WORKDAY(I491,-(Setup!$C$13+Setup!$G$27),Setup!$C$39:$C$50))&gt;=Setup!$C$15,MONTH(WORKDAY(I491,-(Setup!$C$13+Setup!$G$27),Setup!$C$39:$C$50))&lt;=Setup!$C$16),OR(MONTH(WORKDAY(I491,-(Setup!$C$13+Setup!$G$27),Setup!$C$39:$C$50))&gt;=Setup!$C$15,MONTH(WORKDAY(I491,-(Setup!$C$13+Setup!$G$27),Setup!$C$39:$C$50))&lt;=Setup!$C$16))),WORKDAY(I491,-(Setup!$C$13+Setup!$G$27+Setup!$C$14),Setup!$C$39:$C$50),WORKDAY(I491,-(Setup!$C$13+Setup!$G$27),Setup!$C$39:$C$50))+(486*100+8)/10000000)))</f>
        <v/>
      </c>
      <c r="Z491" t="str">
        <f>IF(J491="","",IF(J491&lt;Setup!$C$5-Setup!$C$6,"",IF(IF(ISNUMBER(Roster!$D491),Setup!$C$28&lt;=Roster!$D491,FALSE),"",IF(OR(IF(Setup!$C$15&lt;=Setup!$C$16,AND(MONTH(J491)&gt;=Setup!$C$15,MONTH(J491)&lt;=Setup!$C$16),OR(MONTH(J491)&gt;=Setup!$C$15,MONTH(J491)&lt;=Setup!$C$16)),IF(Setup!$C$15&lt;=Setup!$C$16,AND(MONTH(WORKDAY(J491,-(Setup!$C$13+Setup!$G$28),Setup!$C$39:$C$50))&gt;=Setup!$C$15,MONTH(WORKDAY(J491,-(Setup!$C$13+Setup!$G$28),Setup!$C$39:$C$50))&lt;=Setup!$C$16),OR(MONTH(WORKDAY(J491,-(Setup!$C$13+Setup!$G$28),Setup!$C$39:$C$50))&gt;=Setup!$C$15,MONTH(WORKDAY(J491,-(Setup!$C$13+Setup!$G$28),Setup!$C$39:$C$50))&lt;=Setup!$C$16))),WORKDAY(J491,-(Setup!$C$13+Setup!$G$28+Setup!$C$14),Setup!$C$39:$C$50),WORKDAY(J491,-(Setup!$C$13+Setup!$G$28),Setup!$C$39:$C$50))+(486*100+9)/10000000)))</f>
        <v/>
      </c>
      <c r="AA491" t="str">
        <f>IF(K491="","",IF(K491&lt;Setup!$C$5-Setup!$C$6,"",IF(IF(ISNUMBER(Roster!$D491),Setup!$C$29&lt;=Roster!$D491,FALSE),"",IF(OR(IF(Setup!$C$15&lt;=Setup!$C$16,AND(MONTH(K491)&gt;=Setup!$C$15,MONTH(K491)&lt;=Setup!$C$16),OR(MONTH(K491)&gt;=Setup!$C$15,MONTH(K491)&lt;=Setup!$C$16)),IF(Setup!$C$15&lt;=Setup!$C$16,AND(MONTH(WORKDAY(K491,-(Setup!$C$13+Setup!$G$29),Setup!$C$39:$C$50))&gt;=Setup!$C$15,MONTH(WORKDAY(K491,-(Setup!$C$13+Setup!$G$29),Setup!$C$39:$C$50))&lt;=Setup!$C$16),OR(MONTH(WORKDAY(K491,-(Setup!$C$13+Setup!$G$29),Setup!$C$39:$C$50))&gt;=Setup!$C$15,MONTH(WORKDAY(K491,-(Setup!$C$13+Setup!$G$29),Setup!$C$39:$C$50))&lt;=Setup!$C$16))),WORKDAY(K491,-(Setup!$C$13+Setup!$G$29+Setup!$C$14),Setup!$C$39:$C$50),WORKDAY(K491,-(Setup!$C$13+Setup!$G$29),Setup!$C$39:$C$50))+(486*100+10)/10000000)))</f>
        <v/>
      </c>
      <c r="AB491" t="str">
        <f>IF(L491="","",IF(L491&lt;Setup!$C$5-Setup!$C$6,"",IF(IF(ISNUMBER(Roster!$D491),Setup!$C$30&lt;=Roster!$D491,FALSE),"",IF(OR(IF(Setup!$C$15&lt;=Setup!$C$16,AND(MONTH(L491)&gt;=Setup!$C$15,MONTH(L491)&lt;=Setup!$C$16),OR(MONTH(L491)&gt;=Setup!$C$15,MONTH(L491)&lt;=Setup!$C$16)),IF(Setup!$C$15&lt;=Setup!$C$16,AND(MONTH(WORKDAY(L491,-(Setup!$C$13+Setup!$G$30),Setup!$C$39:$C$50))&gt;=Setup!$C$15,MONTH(WORKDAY(L491,-(Setup!$C$13+Setup!$G$30),Setup!$C$39:$C$50))&lt;=Setup!$C$16),OR(MONTH(WORKDAY(L491,-(Setup!$C$13+Setup!$G$30),Setup!$C$39:$C$50))&gt;=Setup!$C$15,MONTH(WORKDAY(L491,-(Setup!$C$13+Setup!$G$30),Setup!$C$39:$C$50))&lt;=Setup!$C$16))),WORKDAY(L491,-(Setup!$C$13+Setup!$G$30+Setup!$C$14),Setup!$C$39:$C$50),WORKDAY(L491,-(Setup!$C$13+Setup!$G$30),Setup!$C$39:$C$50))+(486*100+11)/10000000)))</f>
        <v/>
      </c>
      <c r="AC491" t="str">
        <f>IF(M491="","",IF(M491&lt;Setup!$C$5-Setup!$C$6,"",IF(IF(ISNUMBER(Roster!$D491),Setup!$C$31&lt;=Roster!$D491,FALSE),"",IF(OR(IF(Setup!$C$15&lt;=Setup!$C$16,AND(MONTH(M491)&gt;=Setup!$C$15,MONTH(M491)&lt;=Setup!$C$16),OR(MONTH(M491)&gt;=Setup!$C$15,MONTH(M491)&lt;=Setup!$C$16)),IF(Setup!$C$15&lt;=Setup!$C$16,AND(MONTH(WORKDAY(M491,-(Setup!$C$13+Setup!$G$31),Setup!$C$39:$C$50))&gt;=Setup!$C$15,MONTH(WORKDAY(M491,-(Setup!$C$13+Setup!$G$31),Setup!$C$39:$C$50))&lt;=Setup!$C$16),OR(MONTH(WORKDAY(M491,-(Setup!$C$13+Setup!$G$31),Setup!$C$39:$C$50))&gt;=Setup!$C$15,MONTH(WORKDAY(M491,-(Setup!$C$13+Setup!$G$31),Setup!$C$39:$C$50))&lt;=Setup!$C$16))),WORKDAY(M491,-(Setup!$C$13+Setup!$G$31+Setup!$C$14),Setup!$C$39:$C$50),WORKDAY(M491,-(Setup!$C$13+Setup!$G$31),Setup!$C$39:$C$50))+(486*100+12)/10000000)))</f>
        <v/>
      </c>
      <c r="AD491" t="str">
        <f>IF(N491="","",IF(N491&lt;Setup!$C$5-Setup!$C$6,"",IF(IF(ISNUMBER(Roster!$D491),Setup!$C$32&lt;=Roster!$D491,FALSE),"",IF(OR(IF(Setup!$C$15&lt;=Setup!$C$16,AND(MONTH(N491)&gt;=Setup!$C$15,MONTH(N491)&lt;=Setup!$C$16),OR(MONTH(N491)&gt;=Setup!$C$15,MONTH(N491)&lt;=Setup!$C$16)),IF(Setup!$C$15&lt;=Setup!$C$16,AND(MONTH(WORKDAY(N491,-(Setup!$C$13+Setup!$G$32),Setup!$C$39:$C$50))&gt;=Setup!$C$15,MONTH(WORKDAY(N491,-(Setup!$C$13+Setup!$G$32),Setup!$C$39:$C$50))&lt;=Setup!$C$16),OR(MONTH(WORKDAY(N491,-(Setup!$C$13+Setup!$G$32),Setup!$C$39:$C$50))&gt;=Setup!$C$15,MONTH(WORKDAY(N491,-(Setup!$C$13+Setup!$G$32),Setup!$C$39:$C$50))&lt;=Setup!$C$16))),WORKDAY(N491,-(Setup!$C$13+Setup!$G$32+Setup!$C$14),Setup!$C$39:$C$50),WORKDAY(N491,-(Setup!$C$13+Setup!$G$32),Setup!$C$39:$C$50))+(486*100+13)/10000000)))</f>
        <v/>
      </c>
      <c r="AE491" t="str">
        <f>IF(O491="","",IF(O491&lt;Setup!$C$5-Setup!$C$6,"",IF(IF(ISNUMBER(Roster!$D491),Setup!$C$33&lt;=Roster!$D491,FALSE),"",IF(OR(IF(Setup!$C$15&lt;=Setup!$C$16,AND(MONTH(O491)&gt;=Setup!$C$15,MONTH(O491)&lt;=Setup!$C$16),OR(MONTH(O491)&gt;=Setup!$C$15,MONTH(O491)&lt;=Setup!$C$16)),IF(Setup!$C$15&lt;=Setup!$C$16,AND(MONTH(WORKDAY(O491,-(Setup!$C$13+Setup!$G$33),Setup!$C$39:$C$50))&gt;=Setup!$C$15,MONTH(WORKDAY(O491,-(Setup!$C$13+Setup!$G$33),Setup!$C$39:$C$50))&lt;=Setup!$C$16),OR(MONTH(WORKDAY(O491,-(Setup!$C$13+Setup!$G$33),Setup!$C$39:$C$50))&gt;=Setup!$C$15,MONTH(WORKDAY(O491,-(Setup!$C$13+Setup!$G$33),Setup!$C$39:$C$50))&lt;=Setup!$C$16))),WORKDAY(O491,-(Setup!$C$13+Setup!$G$33+Setup!$C$14),Setup!$C$39:$C$50),WORKDAY(O491,-(Setup!$C$13+Setup!$G$33),Setup!$C$39:$C$50))+(486*100+14)/10000000)))</f>
        <v/>
      </c>
      <c r="AF491" t="str">
        <f>IF(P491="","",IF(P491&lt;Setup!$C$5-Setup!$C$6,"",IF(IF(ISNUMBER(Roster!$D491),Setup!$C$34&lt;=Roster!$D491,FALSE),"",IF(OR(IF(Setup!$C$15&lt;=Setup!$C$16,AND(MONTH(P491)&gt;=Setup!$C$15,MONTH(P491)&lt;=Setup!$C$16),OR(MONTH(P491)&gt;=Setup!$C$15,MONTH(P491)&lt;=Setup!$C$16)),IF(Setup!$C$15&lt;=Setup!$C$16,AND(MONTH(WORKDAY(P491,-(Setup!$C$13+Setup!$G$34),Setup!$C$39:$C$50))&gt;=Setup!$C$15,MONTH(WORKDAY(P491,-(Setup!$C$13+Setup!$G$34),Setup!$C$39:$C$50))&lt;=Setup!$C$16),OR(MONTH(WORKDAY(P491,-(Setup!$C$13+Setup!$G$34),Setup!$C$39:$C$50))&gt;=Setup!$C$15,MONTH(WORKDAY(P491,-(Setup!$C$13+Setup!$G$34),Setup!$C$39:$C$50))&lt;=Setup!$C$16))),WORKDAY(P491,-(Setup!$C$13+Setup!$G$34+Setup!$C$14),Setup!$C$39:$C$50),WORKDAY(P491,-(Setup!$C$13+Setup!$G$34),Setup!$C$39:$C$50))+(486*100+15)/10000000)))</f>
        <v/>
      </c>
      <c r="AH491" t="str">
        <f t="shared" si="51"/>
        <v/>
      </c>
      <c r="AI491" t="str">
        <f t="shared" si="52"/>
        <v/>
      </c>
      <c r="AP491" t="str">
        <f>IF(ISNUMBER(Roster!$B491),MAX(1,YEAR(Setup!$C$5)-YEAR(Roster!$B491)+IF(EDATE(Roster!$B491,12*(YEAR(Setup!$C$5)-YEAR(Roster!$B491)))&lt;Setup!$C$5,1,0)),"")</f>
        <v/>
      </c>
      <c r="AQ491" s="32" t="str">
        <f>IF(AP491="","",EDATE(Roster!$B491,12*AP491))</f>
        <v/>
      </c>
      <c r="AR491" t="str">
        <f>IF(AQ491="","",IF(AQ491&lt;DATE(YEAR(Setup!$C$5)+1,MONTH(Setup!$C$5),DAY(Setup!$C$5)),AQ491+486/1000,""))</f>
        <v/>
      </c>
      <c r="AS491" t="str">
        <f t="shared" si="53"/>
        <v/>
      </c>
      <c r="AT491" t="str">
        <f>IF(AS491="","",IF(ISNUMBER(Roster!$D491),Roster!$D491&gt;=AP491,FALSE))</f>
        <v/>
      </c>
      <c r="AU491" t="str">
        <f t="shared" si="54"/>
        <v/>
      </c>
      <c r="AV491" t="str">
        <f ca="1">IF(486&gt;$AV$2,"",SMALL($AR$6:$AR$505,486))</f>
        <v/>
      </c>
      <c r="AW491" t="str">
        <f t="shared" ca="1" si="55"/>
        <v/>
      </c>
    </row>
    <row r="492" spans="2:49" x14ac:dyDescent="0.2">
      <c r="B492" s="32" t="str">
        <f>IF(AND(ISNUMBER(Roster!$B492),Setup!$B$20="Yes",ISNUMBER(Setup!$C$20)),EDATE(Roster!$B492,12*Setup!$C$20),"")</f>
        <v/>
      </c>
      <c r="C492" s="32" t="str">
        <f>IF(AND(ISNUMBER(Roster!$B492),Setup!$B$21="Yes",ISNUMBER(Setup!$C$21)),EDATE(Roster!$B492,12*Setup!$C$21),"")</f>
        <v/>
      </c>
      <c r="D492" s="32" t="str">
        <f>IF(AND(ISNUMBER(Roster!$B492),Setup!$B$22="Yes",ISNUMBER(Setup!$C$22)),EDATE(Roster!$B492,12*Setup!$C$22),"")</f>
        <v/>
      </c>
      <c r="E492" s="32" t="str">
        <f>IF(AND(ISNUMBER(Roster!$B492),Setup!$B$23="Yes",ISNUMBER(Setup!$C$23)),EDATE(Roster!$B492,12*Setup!$C$23),"")</f>
        <v/>
      </c>
      <c r="F492" s="32" t="str">
        <f>IF(AND(ISNUMBER(Roster!$B492),Setup!$B$24="Yes",ISNUMBER(Setup!$C$24)),EDATE(Roster!$B492,12*Setup!$C$24),"")</f>
        <v/>
      </c>
      <c r="G492" s="32" t="str">
        <f>IF(AND(ISNUMBER(Roster!$B492),Setup!$B$25="Yes",ISNUMBER(Setup!$C$25)),EDATE(Roster!$B492,12*Setup!$C$25),"")</f>
        <v/>
      </c>
      <c r="H492" s="32" t="str">
        <f>IF(AND(ISNUMBER(Roster!$B492),Setup!$B$26="Yes",ISNUMBER(Setup!$C$26)),EDATE(Roster!$B492,12*Setup!$C$26),"")</f>
        <v/>
      </c>
      <c r="I492" s="32" t="str">
        <f>IF(AND(ISNUMBER(Roster!$B492),Setup!$B$27="Yes",ISNUMBER(Setup!$C$27)),EDATE(Roster!$B492,12*Setup!$C$27),"")</f>
        <v/>
      </c>
      <c r="J492" s="32" t="str">
        <f>IF(AND(ISNUMBER(Roster!$B492),Setup!$B$28="Yes",ISNUMBER(Setup!$C$28)),EDATE(Roster!$B492,12*Setup!$C$28),"")</f>
        <v/>
      </c>
      <c r="K492" s="32" t="str">
        <f>IF(AND(ISNUMBER(Roster!$B492),Setup!$B$29="Yes",ISNUMBER(Setup!$C$29)),EDATE(Roster!$B492,12*Setup!$C$29),"")</f>
        <v/>
      </c>
      <c r="L492" s="32" t="str">
        <f>IF(AND(ISNUMBER(Roster!$B492),Setup!$B$30="Yes",ISNUMBER(Setup!$C$30)),EDATE(Roster!$B492,12*Setup!$C$30),"")</f>
        <v/>
      </c>
      <c r="M492" s="32" t="str">
        <f>IF(AND(ISNUMBER(Roster!$B492),Setup!$B$31="Yes",ISNUMBER(Setup!$C$31)),EDATE(Roster!$B492,12*Setup!$C$31),"")</f>
        <v/>
      </c>
      <c r="N492" s="32" t="str">
        <f>IF(AND(ISNUMBER(Roster!$B492),Setup!$B$32="Yes",ISNUMBER(Setup!$C$32)),EDATE(Roster!$B492,12*Setup!$C$32),"")</f>
        <v/>
      </c>
      <c r="O492" s="32" t="str">
        <f>IF(AND(ISNUMBER(Roster!$B492),Setup!$B$33="Yes",ISNUMBER(Setup!$C$33)),EDATE(Roster!$B492,12*Setup!$C$33),"")</f>
        <v/>
      </c>
      <c r="P492" s="32" t="str">
        <f>IF(AND(ISNUMBER(Roster!$B492),Setup!$B$34="Yes",ISNUMBER(Setup!$C$34)),EDATE(Roster!$B492,12*Setup!$C$34),"")</f>
        <v/>
      </c>
      <c r="R492" t="str">
        <f>IF(B492="","",IF(B492&lt;Setup!$C$5-Setup!$C$6,"",IF(IF(ISNUMBER(Roster!$D492),Setup!$C$20&lt;=Roster!$D492,FALSE),"",IF(OR(IF(Setup!$C$15&lt;=Setup!$C$16,AND(MONTH(B492)&gt;=Setup!$C$15,MONTH(B492)&lt;=Setup!$C$16),OR(MONTH(B492)&gt;=Setup!$C$15,MONTH(B492)&lt;=Setup!$C$16)),IF(Setup!$C$15&lt;=Setup!$C$16,AND(MONTH(WORKDAY(B492,-(Setup!$C$13+Setup!$G$20),Setup!$C$39:$C$50))&gt;=Setup!$C$15,MONTH(WORKDAY(B492,-(Setup!$C$13+Setup!$G$20),Setup!$C$39:$C$50))&lt;=Setup!$C$16),OR(MONTH(WORKDAY(B492,-(Setup!$C$13+Setup!$G$20),Setup!$C$39:$C$50))&gt;=Setup!$C$15,MONTH(WORKDAY(B492,-(Setup!$C$13+Setup!$G$20),Setup!$C$39:$C$50))&lt;=Setup!$C$16))),WORKDAY(B492,-(Setup!$C$13+Setup!$G$20+Setup!$C$14),Setup!$C$39:$C$50),WORKDAY(B492,-(Setup!$C$13+Setup!$G$20),Setup!$C$39:$C$50))+(487*100+1)/10000000)))</f>
        <v/>
      </c>
      <c r="S492" t="str">
        <f>IF(C492="","",IF(C492&lt;Setup!$C$5-Setup!$C$6,"",IF(IF(ISNUMBER(Roster!$D492),Setup!$C$21&lt;=Roster!$D492,FALSE),"",IF(OR(IF(Setup!$C$15&lt;=Setup!$C$16,AND(MONTH(C492)&gt;=Setup!$C$15,MONTH(C492)&lt;=Setup!$C$16),OR(MONTH(C492)&gt;=Setup!$C$15,MONTH(C492)&lt;=Setup!$C$16)),IF(Setup!$C$15&lt;=Setup!$C$16,AND(MONTH(WORKDAY(C492,-(Setup!$C$13+Setup!$G$21),Setup!$C$39:$C$50))&gt;=Setup!$C$15,MONTH(WORKDAY(C492,-(Setup!$C$13+Setup!$G$21),Setup!$C$39:$C$50))&lt;=Setup!$C$16),OR(MONTH(WORKDAY(C492,-(Setup!$C$13+Setup!$G$21),Setup!$C$39:$C$50))&gt;=Setup!$C$15,MONTH(WORKDAY(C492,-(Setup!$C$13+Setup!$G$21),Setup!$C$39:$C$50))&lt;=Setup!$C$16))),WORKDAY(C492,-(Setup!$C$13+Setup!$G$21+Setup!$C$14),Setup!$C$39:$C$50),WORKDAY(C492,-(Setup!$C$13+Setup!$G$21),Setup!$C$39:$C$50))+(487*100+2)/10000000)))</f>
        <v/>
      </c>
      <c r="T492" t="str">
        <f>IF(D492="","",IF(D492&lt;Setup!$C$5-Setup!$C$6,"",IF(IF(ISNUMBER(Roster!$D492),Setup!$C$22&lt;=Roster!$D492,FALSE),"",IF(OR(IF(Setup!$C$15&lt;=Setup!$C$16,AND(MONTH(D492)&gt;=Setup!$C$15,MONTH(D492)&lt;=Setup!$C$16),OR(MONTH(D492)&gt;=Setup!$C$15,MONTH(D492)&lt;=Setup!$C$16)),IF(Setup!$C$15&lt;=Setup!$C$16,AND(MONTH(WORKDAY(D492,-(Setup!$C$13+Setup!$G$22),Setup!$C$39:$C$50))&gt;=Setup!$C$15,MONTH(WORKDAY(D492,-(Setup!$C$13+Setup!$G$22),Setup!$C$39:$C$50))&lt;=Setup!$C$16),OR(MONTH(WORKDAY(D492,-(Setup!$C$13+Setup!$G$22),Setup!$C$39:$C$50))&gt;=Setup!$C$15,MONTH(WORKDAY(D492,-(Setup!$C$13+Setup!$G$22),Setup!$C$39:$C$50))&lt;=Setup!$C$16))),WORKDAY(D492,-(Setup!$C$13+Setup!$G$22+Setup!$C$14),Setup!$C$39:$C$50),WORKDAY(D492,-(Setup!$C$13+Setup!$G$22),Setup!$C$39:$C$50))+(487*100+3)/10000000)))</f>
        <v/>
      </c>
      <c r="U492" t="str">
        <f>IF(E492="","",IF(E492&lt;Setup!$C$5-Setup!$C$6,"",IF(IF(ISNUMBER(Roster!$D492),Setup!$C$23&lt;=Roster!$D492,FALSE),"",IF(OR(IF(Setup!$C$15&lt;=Setup!$C$16,AND(MONTH(E492)&gt;=Setup!$C$15,MONTH(E492)&lt;=Setup!$C$16),OR(MONTH(E492)&gt;=Setup!$C$15,MONTH(E492)&lt;=Setup!$C$16)),IF(Setup!$C$15&lt;=Setup!$C$16,AND(MONTH(WORKDAY(E492,-(Setup!$C$13+Setup!$G$23),Setup!$C$39:$C$50))&gt;=Setup!$C$15,MONTH(WORKDAY(E492,-(Setup!$C$13+Setup!$G$23),Setup!$C$39:$C$50))&lt;=Setup!$C$16),OR(MONTH(WORKDAY(E492,-(Setup!$C$13+Setup!$G$23),Setup!$C$39:$C$50))&gt;=Setup!$C$15,MONTH(WORKDAY(E492,-(Setup!$C$13+Setup!$G$23),Setup!$C$39:$C$50))&lt;=Setup!$C$16))),WORKDAY(E492,-(Setup!$C$13+Setup!$G$23+Setup!$C$14),Setup!$C$39:$C$50),WORKDAY(E492,-(Setup!$C$13+Setup!$G$23),Setup!$C$39:$C$50))+(487*100+4)/10000000)))</f>
        <v/>
      </c>
      <c r="V492" t="str">
        <f>IF(F492="","",IF(F492&lt;Setup!$C$5-Setup!$C$6,"",IF(IF(ISNUMBER(Roster!$D492),Setup!$C$24&lt;=Roster!$D492,FALSE),"",IF(OR(IF(Setup!$C$15&lt;=Setup!$C$16,AND(MONTH(F492)&gt;=Setup!$C$15,MONTH(F492)&lt;=Setup!$C$16),OR(MONTH(F492)&gt;=Setup!$C$15,MONTH(F492)&lt;=Setup!$C$16)),IF(Setup!$C$15&lt;=Setup!$C$16,AND(MONTH(WORKDAY(F492,-(Setup!$C$13+Setup!$G$24),Setup!$C$39:$C$50))&gt;=Setup!$C$15,MONTH(WORKDAY(F492,-(Setup!$C$13+Setup!$G$24),Setup!$C$39:$C$50))&lt;=Setup!$C$16),OR(MONTH(WORKDAY(F492,-(Setup!$C$13+Setup!$G$24),Setup!$C$39:$C$50))&gt;=Setup!$C$15,MONTH(WORKDAY(F492,-(Setup!$C$13+Setup!$G$24),Setup!$C$39:$C$50))&lt;=Setup!$C$16))),WORKDAY(F492,-(Setup!$C$13+Setup!$G$24+Setup!$C$14),Setup!$C$39:$C$50),WORKDAY(F492,-(Setup!$C$13+Setup!$G$24),Setup!$C$39:$C$50))+(487*100+5)/10000000)))</f>
        <v/>
      </c>
      <c r="W492" t="str">
        <f>IF(G492="","",IF(G492&lt;Setup!$C$5-Setup!$C$6,"",IF(IF(ISNUMBER(Roster!$D492),Setup!$C$25&lt;=Roster!$D492,FALSE),"",IF(OR(IF(Setup!$C$15&lt;=Setup!$C$16,AND(MONTH(G492)&gt;=Setup!$C$15,MONTH(G492)&lt;=Setup!$C$16),OR(MONTH(G492)&gt;=Setup!$C$15,MONTH(G492)&lt;=Setup!$C$16)),IF(Setup!$C$15&lt;=Setup!$C$16,AND(MONTH(WORKDAY(G492,-(Setup!$C$13+Setup!$G$25),Setup!$C$39:$C$50))&gt;=Setup!$C$15,MONTH(WORKDAY(G492,-(Setup!$C$13+Setup!$G$25),Setup!$C$39:$C$50))&lt;=Setup!$C$16),OR(MONTH(WORKDAY(G492,-(Setup!$C$13+Setup!$G$25),Setup!$C$39:$C$50))&gt;=Setup!$C$15,MONTH(WORKDAY(G492,-(Setup!$C$13+Setup!$G$25),Setup!$C$39:$C$50))&lt;=Setup!$C$16))),WORKDAY(G492,-(Setup!$C$13+Setup!$G$25+Setup!$C$14),Setup!$C$39:$C$50),WORKDAY(G492,-(Setup!$C$13+Setup!$G$25),Setup!$C$39:$C$50))+(487*100+6)/10000000)))</f>
        <v/>
      </c>
      <c r="X492" t="str">
        <f>IF(H492="","",IF(H492&lt;Setup!$C$5-Setup!$C$6,"",IF(IF(ISNUMBER(Roster!$D492),Setup!$C$26&lt;=Roster!$D492,FALSE),"",IF(OR(IF(Setup!$C$15&lt;=Setup!$C$16,AND(MONTH(H492)&gt;=Setup!$C$15,MONTH(H492)&lt;=Setup!$C$16),OR(MONTH(H492)&gt;=Setup!$C$15,MONTH(H492)&lt;=Setup!$C$16)),IF(Setup!$C$15&lt;=Setup!$C$16,AND(MONTH(WORKDAY(H492,-(Setup!$C$13+Setup!$G$26),Setup!$C$39:$C$50))&gt;=Setup!$C$15,MONTH(WORKDAY(H492,-(Setup!$C$13+Setup!$G$26),Setup!$C$39:$C$50))&lt;=Setup!$C$16),OR(MONTH(WORKDAY(H492,-(Setup!$C$13+Setup!$G$26),Setup!$C$39:$C$50))&gt;=Setup!$C$15,MONTH(WORKDAY(H492,-(Setup!$C$13+Setup!$G$26),Setup!$C$39:$C$50))&lt;=Setup!$C$16))),WORKDAY(H492,-(Setup!$C$13+Setup!$G$26+Setup!$C$14),Setup!$C$39:$C$50),WORKDAY(H492,-(Setup!$C$13+Setup!$G$26),Setup!$C$39:$C$50))+(487*100+7)/10000000)))</f>
        <v/>
      </c>
      <c r="Y492" t="str">
        <f>IF(I492="","",IF(I492&lt;Setup!$C$5-Setup!$C$6,"",IF(IF(ISNUMBER(Roster!$D492),Setup!$C$27&lt;=Roster!$D492,FALSE),"",IF(OR(IF(Setup!$C$15&lt;=Setup!$C$16,AND(MONTH(I492)&gt;=Setup!$C$15,MONTH(I492)&lt;=Setup!$C$16),OR(MONTH(I492)&gt;=Setup!$C$15,MONTH(I492)&lt;=Setup!$C$16)),IF(Setup!$C$15&lt;=Setup!$C$16,AND(MONTH(WORKDAY(I492,-(Setup!$C$13+Setup!$G$27),Setup!$C$39:$C$50))&gt;=Setup!$C$15,MONTH(WORKDAY(I492,-(Setup!$C$13+Setup!$G$27),Setup!$C$39:$C$50))&lt;=Setup!$C$16),OR(MONTH(WORKDAY(I492,-(Setup!$C$13+Setup!$G$27),Setup!$C$39:$C$50))&gt;=Setup!$C$15,MONTH(WORKDAY(I492,-(Setup!$C$13+Setup!$G$27),Setup!$C$39:$C$50))&lt;=Setup!$C$16))),WORKDAY(I492,-(Setup!$C$13+Setup!$G$27+Setup!$C$14),Setup!$C$39:$C$50),WORKDAY(I492,-(Setup!$C$13+Setup!$G$27),Setup!$C$39:$C$50))+(487*100+8)/10000000)))</f>
        <v/>
      </c>
      <c r="Z492" t="str">
        <f>IF(J492="","",IF(J492&lt;Setup!$C$5-Setup!$C$6,"",IF(IF(ISNUMBER(Roster!$D492),Setup!$C$28&lt;=Roster!$D492,FALSE),"",IF(OR(IF(Setup!$C$15&lt;=Setup!$C$16,AND(MONTH(J492)&gt;=Setup!$C$15,MONTH(J492)&lt;=Setup!$C$16),OR(MONTH(J492)&gt;=Setup!$C$15,MONTH(J492)&lt;=Setup!$C$16)),IF(Setup!$C$15&lt;=Setup!$C$16,AND(MONTH(WORKDAY(J492,-(Setup!$C$13+Setup!$G$28),Setup!$C$39:$C$50))&gt;=Setup!$C$15,MONTH(WORKDAY(J492,-(Setup!$C$13+Setup!$G$28),Setup!$C$39:$C$50))&lt;=Setup!$C$16),OR(MONTH(WORKDAY(J492,-(Setup!$C$13+Setup!$G$28),Setup!$C$39:$C$50))&gt;=Setup!$C$15,MONTH(WORKDAY(J492,-(Setup!$C$13+Setup!$G$28),Setup!$C$39:$C$50))&lt;=Setup!$C$16))),WORKDAY(J492,-(Setup!$C$13+Setup!$G$28+Setup!$C$14),Setup!$C$39:$C$50),WORKDAY(J492,-(Setup!$C$13+Setup!$G$28),Setup!$C$39:$C$50))+(487*100+9)/10000000)))</f>
        <v/>
      </c>
      <c r="AA492" t="str">
        <f>IF(K492="","",IF(K492&lt;Setup!$C$5-Setup!$C$6,"",IF(IF(ISNUMBER(Roster!$D492),Setup!$C$29&lt;=Roster!$D492,FALSE),"",IF(OR(IF(Setup!$C$15&lt;=Setup!$C$16,AND(MONTH(K492)&gt;=Setup!$C$15,MONTH(K492)&lt;=Setup!$C$16),OR(MONTH(K492)&gt;=Setup!$C$15,MONTH(K492)&lt;=Setup!$C$16)),IF(Setup!$C$15&lt;=Setup!$C$16,AND(MONTH(WORKDAY(K492,-(Setup!$C$13+Setup!$G$29),Setup!$C$39:$C$50))&gt;=Setup!$C$15,MONTH(WORKDAY(K492,-(Setup!$C$13+Setup!$G$29),Setup!$C$39:$C$50))&lt;=Setup!$C$16),OR(MONTH(WORKDAY(K492,-(Setup!$C$13+Setup!$G$29),Setup!$C$39:$C$50))&gt;=Setup!$C$15,MONTH(WORKDAY(K492,-(Setup!$C$13+Setup!$G$29),Setup!$C$39:$C$50))&lt;=Setup!$C$16))),WORKDAY(K492,-(Setup!$C$13+Setup!$G$29+Setup!$C$14),Setup!$C$39:$C$50),WORKDAY(K492,-(Setup!$C$13+Setup!$G$29),Setup!$C$39:$C$50))+(487*100+10)/10000000)))</f>
        <v/>
      </c>
      <c r="AB492" t="str">
        <f>IF(L492="","",IF(L492&lt;Setup!$C$5-Setup!$C$6,"",IF(IF(ISNUMBER(Roster!$D492),Setup!$C$30&lt;=Roster!$D492,FALSE),"",IF(OR(IF(Setup!$C$15&lt;=Setup!$C$16,AND(MONTH(L492)&gt;=Setup!$C$15,MONTH(L492)&lt;=Setup!$C$16),OR(MONTH(L492)&gt;=Setup!$C$15,MONTH(L492)&lt;=Setup!$C$16)),IF(Setup!$C$15&lt;=Setup!$C$16,AND(MONTH(WORKDAY(L492,-(Setup!$C$13+Setup!$G$30),Setup!$C$39:$C$50))&gt;=Setup!$C$15,MONTH(WORKDAY(L492,-(Setup!$C$13+Setup!$G$30),Setup!$C$39:$C$50))&lt;=Setup!$C$16),OR(MONTH(WORKDAY(L492,-(Setup!$C$13+Setup!$G$30),Setup!$C$39:$C$50))&gt;=Setup!$C$15,MONTH(WORKDAY(L492,-(Setup!$C$13+Setup!$G$30),Setup!$C$39:$C$50))&lt;=Setup!$C$16))),WORKDAY(L492,-(Setup!$C$13+Setup!$G$30+Setup!$C$14),Setup!$C$39:$C$50),WORKDAY(L492,-(Setup!$C$13+Setup!$G$30),Setup!$C$39:$C$50))+(487*100+11)/10000000)))</f>
        <v/>
      </c>
      <c r="AC492" t="str">
        <f>IF(M492="","",IF(M492&lt;Setup!$C$5-Setup!$C$6,"",IF(IF(ISNUMBER(Roster!$D492),Setup!$C$31&lt;=Roster!$D492,FALSE),"",IF(OR(IF(Setup!$C$15&lt;=Setup!$C$16,AND(MONTH(M492)&gt;=Setup!$C$15,MONTH(M492)&lt;=Setup!$C$16),OR(MONTH(M492)&gt;=Setup!$C$15,MONTH(M492)&lt;=Setup!$C$16)),IF(Setup!$C$15&lt;=Setup!$C$16,AND(MONTH(WORKDAY(M492,-(Setup!$C$13+Setup!$G$31),Setup!$C$39:$C$50))&gt;=Setup!$C$15,MONTH(WORKDAY(M492,-(Setup!$C$13+Setup!$G$31),Setup!$C$39:$C$50))&lt;=Setup!$C$16),OR(MONTH(WORKDAY(M492,-(Setup!$C$13+Setup!$G$31),Setup!$C$39:$C$50))&gt;=Setup!$C$15,MONTH(WORKDAY(M492,-(Setup!$C$13+Setup!$G$31),Setup!$C$39:$C$50))&lt;=Setup!$C$16))),WORKDAY(M492,-(Setup!$C$13+Setup!$G$31+Setup!$C$14),Setup!$C$39:$C$50),WORKDAY(M492,-(Setup!$C$13+Setup!$G$31),Setup!$C$39:$C$50))+(487*100+12)/10000000)))</f>
        <v/>
      </c>
      <c r="AD492" t="str">
        <f>IF(N492="","",IF(N492&lt;Setup!$C$5-Setup!$C$6,"",IF(IF(ISNUMBER(Roster!$D492),Setup!$C$32&lt;=Roster!$D492,FALSE),"",IF(OR(IF(Setup!$C$15&lt;=Setup!$C$16,AND(MONTH(N492)&gt;=Setup!$C$15,MONTH(N492)&lt;=Setup!$C$16),OR(MONTH(N492)&gt;=Setup!$C$15,MONTH(N492)&lt;=Setup!$C$16)),IF(Setup!$C$15&lt;=Setup!$C$16,AND(MONTH(WORKDAY(N492,-(Setup!$C$13+Setup!$G$32),Setup!$C$39:$C$50))&gt;=Setup!$C$15,MONTH(WORKDAY(N492,-(Setup!$C$13+Setup!$G$32),Setup!$C$39:$C$50))&lt;=Setup!$C$16),OR(MONTH(WORKDAY(N492,-(Setup!$C$13+Setup!$G$32),Setup!$C$39:$C$50))&gt;=Setup!$C$15,MONTH(WORKDAY(N492,-(Setup!$C$13+Setup!$G$32),Setup!$C$39:$C$50))&lt;=Setup!$C$16))),WORKDAY(N492,-(Setup!$C$13+Setup!$G$32+Setup!$C$14),Setup!$C$39:$C$50),WORKDAY(N492,-(Setup!$C$13+Setup!$G$32),Setup!$C$39:$C$50))+(487*100+13)/10000000)))</f>
        <v/>
      </c>
      <c r="AE492" t="str">
        <f>IF(O492="","",IF(O492&lt;Setup!$C$5-Setup!$C$6,"",IF(IF(ISNUMBER(Roster!$D492),Setup!$C$33&lt;=Roster!$D492,FALSE),"",IF(OR(IF(Setup!$C$15&lt;=Setup!$C$16,AND(MONTH(O492)&gt;=Setup!$C$15,MONTH(O492)&lt;=Setup!$C$16),OR(MONTH(O492)&gt;=Setup!$C$15,MONTH(O492)&lt;=Setup!$C$16)),IF(Setup!$C$15&lt;=Setup!$C$16,AND(MONTH(WORKDAY(O492,-(Setup!$C$13+Setup!$G$33),Setup!$C$39:$C$50))&gt;=Setup!$C$15,MONTH(WORKDAY(O492,-(Setup!$C$13+Setup!$G$33),Setup!$C$39:$C$50))&lt;=Setup!$C$16),OR(MONTH(WORKDAY(O492,-(Setup!$C$13+Setup!$G$33),Setup!$C$39:$C$50))&gt;=Setup!$C$15,MONTH(WORKDAY(O492,-(Setup!$C$13+Setup!$G$33),Setup!$C$39:$C$50))&lt;=Setup!$C$16))),WORKDAY(O492,-(Setup!$C$13+Setup!$G$33+Setup!$C$14),Setup!$C$39:$C$50),WORKDAY(O492,-(Setup!$C$13+Setup!$G$33),Setup!$C$39:$C$50))+(487*100+14)/10000000)))</f>
        <v/>
      </c>
      <c r="AF492" t="str">
        <f>IF(P492="","",IF(P492&lt;Setup!$C$5-Setup!$C$6,"",IF(IF(ISNUMBER(Roster!$D492),Setup!$C$34&lt;=Roster!$D492,FALSE),"",IF(OR(IF(Setup!$C$15&lt;=Setup!$C$16,AND(MONTH(P492)&gt;=Setup!$C$15,MONTH(P492)&lt;=Setup!$C$16),OR(MONTH(P492)&gt;=Setup!$C$15,MONTH(P492)&lt;=Setup!$C$16)),IF(Setup!$C$15&lt;=Setup!$C$16,AND(MONTH(WORKDAY(P492,-(Setup!$C$13+Setup!$G$34),Setup!$C$39:$C$50))&gt;=Setup!$C$15,MONTH(WORKDAY(P492,-(Setup!$C$13+Setup!$G$34),Setup!$C$39:$C$50))&lt;=Setup!$C$16),OR(MONTH(WORKDAY(P492,-(Setup!$C$13+Setup!$G$34),Setup!$C$39:$C$50))&gt;=Setup!$C$15,MONTH(WORKDAY(P492,-(Setup!$C$13+Setup!$G$34),Setup!$C$39:$C$50))&lt;=Setup!$C$16))),WORKDAY(P492,-(Setup!$C$13+Setup!$G$34+Setup!$C$14),Setup!$C$39:$C$50),WORKDAY(P492,-(Setup!$C$13+Setup!$G$34),Setup!$C$39:$C$50))+(487*100+15)/10000000)))</f>
        <v/>
      </c>
      <c r="AH492" t="str">
        <f t="shared" si="51"/>
        <v/>
      </c>
      <c r="AI492" t="str">
        <f t="shared" si="52"/>
        <v/>
      </c>
      <c r="AP492" t="str">
        <f>IF(ISNUMBER(Roster!$B492),MAX(1,YEAR(Setup!$C$5)-YEAR(Roster!$B492)+IF(EDATE(Roster!$B492,12*(YEAR(Setup!$C$5)-YEAR(Roster!$B492)))&lt;Setup!$C$5,1,0)),"")</f>
        <v/>
      </c>
      <c r="AQ492" s="32" t="str">
        <f>IF(AP492="","",EDATE(Roster!$B492,12*AP492))</f>
        <v/>
      </c>
      <c r="AR492" t="str">
        <f>IF(AQ492="","",IF(AQ492&lt;DATE(YEAR(Setup!$C$5)+1,MONTH(Setup!$C$5),DAY(Setup!$C$5)),AQ492+487/1000,""))</f>
        <v/>
      </c>
      <c r="AS492" t="str">
        <f t="shared" si="53"/>
        <v/>
      </c>
      <c r="AT492" t="str">
        <f>IF(AS492="","",IF(ISNUMBER(Roster!$D492),Roster!$D492&gt;=AP492,FALSE))</f>
        <v/>
      </c>
      <c r="AU492" t="str">
        <f t="shared" si="54"/>
        <v/>
      </c>
      <c r="AV492" t="str">
        <f ca="1">IF(487&gt;$AV$2,"",SMALL($AR$6:$AR$505,487))</f>
        <v/>
      </c>
      <c r="AW492" t="str">
        <f t="shared" ca="1" si="55"/>
        <v/>
      </c>
    </row>
    <row r="493" spans="2:49" x14ac:dyDescent="0.2">
      <c r="B493" s="32" t="str">
        <f>IF(AND(ISNUMBER(Roster!$B493),Setup!$B$20="Yes",ISNUMBER(Setup!$C$20)),EDATE(Roster!$B493,12*Setup!$C$20),"")</f>
        <v/>
      </c>
      <c r="C493" s="32" t="str">
        <f>IF(AND(ISNUMBER(Roster!$B493),Setup!$B$21="Yes",ISNUMBER(Setup!$C$21)),EDATE(Roster!$B493,12*Setup!$C$21),"")</f>
        <v/>
      </c>
      <c r="D493" s="32" t="str">
        <f>IF(AND(ISNUMBER(Roster!$B493),Setup!$B$22="Yes",ISNUMBER(Setup!$C$22)),EDATE(Roster!$B493,12*Setup!$C$22),"")</f>
        <v/>
      </c>
      <c r="E493" s="32" t="str">
        <f>IF(AND(ISNUMBER(Roster!$B493),Setup!$B$23="Yes",ISNUMBER(Setup!$C$23)),EDATE(Roster!$B493,12*Setup!$C$23),"")</f>
        <v/>
      </c>
      <c r="F493" s="32" t="str">
        <f>IF(AND(ISNUMBER(Roster!$B493),Setup!$B$24="Yes",ISNUMBER(Setup!$C$24)),EDATE(Roster!$B493,12*Setup!$C$24),"")</f>
        <v/>
      </c>
      <c r="G493" s="32" t="str">
        <f>IF(AND(ISNUMBER(Roster!$B493),Setup!$B$25="Yes",ISNUMBER(Setup!$C$25)),EDATE(Roster!$B493,12*Setup!$C$25),"")</f>
        <v/>
      </c>
      <c r="H493" s="32" t="str">
        <f>IF(AND(ISNUMBER(Roster!$B493),Setup!$B$26="Yes",ISNUMBER(Setup!$C$26)),EDATE(Roster!$B493,12*Setup!$C$26),"")</f>
        <v/>
      </c>
      <c r="I493" s="32" t="str">
        <f>IF(AND(ISNUMBER(Roster!$B493),Setup!$B$27="Yes",ISNUMBER(Setup!$C$27)),EDATE(Roster!$B493,12*Setup!$C$27),"")</f>
        <v/>
      </c>
      <c r="J493" s="32" t="str">
        <f>IF(AND(ISNUMBER(Roster!$B493),Setup!$B$28="Yes",ISNUMBER(Setup!$C$28)),EDATE(Roster!$B493,12*Setup!$C$28),"")</f>
        <v/>
      </c>
      <c r="K493" s="32" t="str">
        <f>IF(AND(ISNUMBER(Roster!$B493),Setup!$B$29="Yes",ISNUMBER(Setup!$C$29)),EDATE(Roster!$B493,12*Setup!$C$29),"")</f>
        <v/>
      </c>
      <c r="L493" s="32" t="str">
        <f>IF(AND(ISNUMBER(Roster!$B493),Setup!$B$30="Yes",ISNUMBER(Setup!$C$30)),EDATE(Roster!$B493,12*Setup!$C$30),"")</f>
        <v/>
      </c>
      <c r="M493" s="32" t="str">
        <f>IF(AND(ISNUMBER(Roster!$B493),Setup!$B$31="Yes",ISNUMBER(Setup!$C$31)),EDATE(Roster!$B493,12*Setup!$C$31),"")</f>
        <v/>
      </c>
      <c r="N493" s="32" t="str">
        <f>IF(AND(ISNUMBER(Roster!$B493),Setup!$B$32="Yes",ISNUMBER(Setup!$C$32)),EDATE(Roster!$B493,12*Setup!$C$32),"")</f>
        <v/>
      </c>
      <c r="O493" s="32" t="str">
        <f>IF(AND(ISNUMBER(Roster!$B493),Setup!$B$33="Yes",ISNUMBER(Setup!$C$33)),EDATE(Roster!$B493,12*Setup!$C$33),"")</f>
        <v/>
      </c>
      <c r="P493" s="32" t="str">
        <f>IF(AND(ISNUMBER(Roster!$B493),Setup!$B$34="Yes",ISNUMBER(Setup!$C$34)),EDATE(Roster!$B493,12*Setup!$C$34),"")</f>
        <v/>
      </c>
      <c r="R493" t="str">
        <f>IF(B493="","",IF(B493&lt;Setup!$C$5-Setup!$C$6,"",IF(IF(ISNUMBER(Roster!$D493),Setup!$C$20&lt;=Roster!$D493,FALSE),"",IF(OR(IF(Setup!$C$15&lt;=Setup!$C$16,AND(MONTH(B493)&gt;=Setup!$C$15,MONTH(B493)&lt;=Setup!$C$16),OR(MONTH(B493)&gt;=Setup!$C$15,MONTH(B493)&lt;=Setup!$C$16)),IF(Setup!$C$15&lt;=Setup!$C$16,AND(MONTH(WORKDAY(B493,-(Setup!$C$13+Setup!$G$20),Setup!$C$39:$C$50))&gt;=Setup!$C$15,MONTH(WORKDAY(B493,-(Setup!$C$13+Setup!$G$20),Setup!$C$39:$C$50))&lt;=Setup!$C$16),OR(MONTH(WORKDAY(B493,-(Setup!$C$13+Setup!$G$20),Setup!$C$39:$C$50))&gt;=Setup!$C$15,MONTH(WORKDAY(B493,-(Setup!$C$13+Setup!$G$20),Setup!$C$39:$C$50))&lt;=Setup!$C$16))),WORKDAY(B493,-(Setup!$C$13+Setup!$G$20+Setup!$C$14),Setup!$C$39:$C$50),WORKDAY(B493,-(Setup!$C$13+Setup!$G$20),Setup!$C$39:$C$50))+(488*100+1)/10000000)))</f>
        <v/>
      </c>
      <c r="S493" t="str">
        <f>IF(C493="","",IF(C493&lt;Setup!$C$5-Setup!$C$6,"",IF(IF(ISNUMBER(Roster!$D493),Setup!$C$21&lt;=Roster!$D493,FALSE),"",IF(OR(IF(Setup!$C$15&lt;=Setup!$C$16,AND(MONTH(C493)&gt;=Setup!$C$15,MONTH(C493)&lt;=Setup!$C$16),OR(MONTH(C493)&gt;=Setup!$C$15,MONTH(C493)&lt;=Setup!$C$16)),IF(Setup!$C$15&lt;=Setup!$C$16,AND(MONTH(WORKDAY(C493,-(Setup!$C$13+Setup!$G$21),Setup!$C$39:$C$50))&gt;=Setup!$C$15,MONTH(WORKDAY(C493,-(Setup!$C$13+Setup!$G$21),Setup!$C$39:$C$50))&lt;=Setup!$C$16),OR(MONTH(WORKDAY(C493,-(Setup!$C$13+Setup!$G$21),Setup!$C$39:$C$50))&gt;=Setup!$C$15,MONTH(WORKDAY(C493,-(Setup!$C$13+Setup!$G$21),Setup!$C$39:$C$50))&lt;=Setup!$C$16))),WORKDAY(C493,-(Setup!$C$13+Setup!$G$21+Setup!$C$14),Setup!$C$39:$C$50),WORKDAY(C493,-(Setup!$C$13+Setup!$G$21),Setup!$C$39:$C$50))+(488*100+2)/10000000)))</f>
        <v/>
      </c>
      <c r="T493" t="str">
        <f>IF(D493="","",IF(D493&lt;Setup!$C$5-Setup!$C$6,"",IF(IF(ISNUMBER(Roster!$D493),Setup!$C$22&lt;=Roster!$D493,FALSE),"",IF(OR(IF(Setup!$C$15&lt;=Setup!$C$16,AND(MONTH(D493)&gt;=Setup!$C$15,MONTH(D493)&lt;=Setup!$C$16),OR(MONTH(D493)&gt;=Setup!$C$15,MONTH(D493)&lt;=Setup!$C$16)),IF(Setup!$C$15&lt;=Setup!$C$16,AND(MONTH(WORKDAY(D493,-(Setup!$C$13+Setup!$G$22),Setup!$C$39:$C$50))&gt;=Setup!$C$15,MONTH(WORKDAY(D493,-(Setup!$C$13+Setup!$G$22),Setup!$C$39:$C$50))&lt;=Setup!$C$16),OR(MONTH(WORKDAY(D493,-(Setup!$C$13+Setup!$G$22),Setup!$C$39:$C$50))&gt;=Setup!$C$15,MONTH(WORKDAY(D493,-(Setup!$C$13+Setup!$G$22),Setup!$C$39:$C$50))&lt;=Setup!$C$16))),WORKDAY(D493,-(Setup!$C$13+Setup!$G$22+Setup!$C$14),Setup!$C$39:$C$50),WORKDAY(D493,-(Setup!$C$13+Setup!$G$22),Setup!$C$39:$C$50))+(488*100+3)/10000000)))</f>
        <v/>
      </c>
      <c r="U493" t="str">
        <f>IF(E493="","",IF(E493&lt;Setup!$C$5-Setup!$C$6,"",IF(IF(ISNUMBER(Roster!$D493),Setup!$C$23&lt;=Roster!$D493,FALSE),"",IF(OR(IF(Setup!$C$15&lt;=Setup!$C$16,AND(MONTH(E493)&gt;=Setup!$C$15,MONTH(E493)&lt;=Setup!$C$16),OR(MONTH(E493)&gt;=Setup!$C$15,MONTH(E493)&lt;=Setup!$C$16)),IF(Setup!$C$15&lt;=Setup!$C$16,AND(MONTH(WORKDAY(E493,-(Setup!$C$13+Setup!$G$23),Setup!$C$39:$C$50))&gt;=Setup!$C$15,MONTH(WORKDAY(E493,-(Setup!$C$13+Setup!$G$23),Setup!$C$39:$C$50))&lt;=Setup!$C$16),OR(MONTH(WORKDAY(E493,-(Setup!$C$13+Setup!$G$23),Setup!$C$39:$C$50))&gt;=Setup!$C$15,MONTH(WORKDAY(E493,-(Setup!$C$13+Setup!$G$23),Setup!$C$39:$C$50))&lt;=Setup!$C$16))),WORKDAY(E493,-(Setup!$C$13+Setup!$G$23+Setup!$C$14),Setup!$C$39:$C$50),WORKDAY(E493,-(Setup!$C$13+Setup!$G$23),Setup!$C$39:$C$50))+(488*100+4)/10000000)))</f>
        <v/>
      </c>
      <c r="V493" t="str">
        <f>IF(F493="","",IF(F493&lt;Setup!$C$5-Setup!$C$6,"",IF(IF(ISNUMBER(Roster!$D493),Setup!$C$24&lt;=Roster!$D493,FALSE),"",IF(OR(IF(Setup!$C$15&lt;=Setup!$C$16,AND(MONTH(F493)&gt;=Setup!$C$15,MONTH(F493)&lt;=Setup!$C$16),OR(MONTH(F493)&gt;=Setup!$C$15,MONTH(F493)&lt;=Setup!$C$16)),IF(Setup!$C$15&lt;=Setup!$C$16,AND(MONTH(WORKDAY(F493,-(Setup!$C$13+Setup!$G$24),Setup!$C$39:$C$50))&gt;=Setup!$C$15,MONTH(WORKDAY(F493,-(Setup!$C$13+Setup!$G$24),Setup!$C$39:$C$50))&lt;=Setup!$C$16),OR(MONTH(WORKDAY(F493,-(Setup!$C$13+Setup!$G$24),Setup!$C$39:$C$50))&gt;=Setup!$C$15,MONTH(WORKDAY(F493,-(Setup!$C$13+Setup!$G$24),Setup!$C$39:$C$50))&lt;=Setup!$C$16))),WORKDAY(F493,-(Setup!$C$13+Setup!$G$24+Setup!$C$14),Setup!$C$39:$C$50),WORKDAY(F493,-(Setup!$C$13+Setup!$G$24),Setup!$C$39:$C$50))+(488*100+5)/10000000)))</f>
        <v/>
      </c>
      <c r="W493" t="str">
        <f>IF(G493="","",IF(G493&lt;Setup!$C$5-Setup!$C$6,"",IF(IF(ISNUMBER(Roster!$D493),Setup!$C$25&lt;=Roster!$D493,FALSE),"",IF(OR(IF(Setup!$C$15&lt;=Setup!$C$16,AND(MONTH(G493)&gt;=Setup!$C$15,MONTH(G493)&lt;=Setup!$C$16),OR(MONTH(G493)&gt;=Setup!$C$15,MONTH(G493)&lt;=Setup!$C$16)),IF(Setup!$C$15&lt;=Setup!$C$16,AND(MONTH(WORKDAY(G493,-(Setup!$C$13+Setup!$G$25),Setup!$C$39:$C$50))&gt;=Setup!$C$15,MONTH(WORKDAY(G493,-(Setup!$C$13+Setup!$G$25),Setup!$C$39:$C$50))&lt;=Setup!$C$16),OR(MONTH(WORKDAY(G493,-(Setup!$C$13+Setup!$G$25),Setup!$C$39:$C$50))&gt;=Setup!$C$15,MONTH(WORKDAY(G493,-(Setup!$C$13+Setup!$G$25),Setup!$C$39:$C$50))&lt;=Setup!$C$16))),WORKDAY(G493,-(Setup!$C$13+Setup!$G$25+Setup!$C$14),Setup!$C$39:$C$50),WORKDAY(G493,-(Setup!$C$13+Setup!$G$25),Setup!$C$39:$C$50))+(488*100+6)/10000000)))</f>
        <v/>
      </c>
      <c r="X493" t="str">
        <f>IF(H493="","",IF(H493&lt;Setup!$C$5-Setup!$C$6,"",IF(IF(ISNUMBER(Roster!$D493),Setup!$C$26&lt;=Roster!$D493,FALSE),"",IF(OR(IF(Setup!$C$15&lt;=Setup!$C$16,AND(MONTH(H493)&gt;=Setup!$C$15,MONTH(H493)&lt;=Setup!$C$16),OR(MONTH(H493)&gt;=Setup!$C$15,MONTH(H493)&lt;=Setup!$C$16)),IF(Setup!$C$15&lt;=Setup!$C$16,AND(MONTH(WORKDAY(H493,-(Setup!$C$13+Setup!$G$26),Setup!$C$39:$C$50))&gt;=Setup!$C$15,MONTH(WORKDAY(H493,-(Setup!$C$13+Setup!$G$26),Setup!$C$39:$C$50))&lt;=Setup!$C$16),OR(MONTH(WORKDAY(H493,-(Setup!$C$13+Setup!$G$26),Setup!$C$39:$C$50))&gt;=Setup!$C$15,MONTH(WORKDAY(H493,-(Setup!$C$13+Setup!$G$26),Setup!$C$39:$C$50))&lt;=Setup!$C$16))),WORKDAY(H493,-(Setup!$C$13+Setup!$G$26+Setup!$C$14),Setup!$C$39:$C$50),WORKDAY(H493,-(Setup!$C$13+Setup!$G$26),Setup!$C$39:$C$50))+(488*100+7)/10000000)))</f>
        <v/>
      </c>
      <c r="Y493" t="str">
        <f>IF(I493="","",IF(I493&lt;Setup!$C$5-Setup!$C$6,"",IF(IF(ISNUMBER(Roster!$D493),Setup!$C$27&lt;=Roster!$D493,FALSE),"",IF(OR(IF(Setup!$C$15&lt;=Setup!$C$16,AND(MONTH(I493)&gt;=Setup!$C$15,MONTH(I493)&lt;=Setup!$C$16),OR(MONTH(I493)&gt;=Setup!$C$15,MONTH(I493)&lt;=Setup!$C$16)),IF(Setup!$C$15&lt;=Setup!$C$16,AND(MONTH(WORKDAY(I493,-(Setup!$C$13+Setup!$G$27),Setup!$C$39:$C$50))&gt;=Setup!$C$15,MONTH(WORKDAY(I493,-(Setup!$C$13+Setup!$G$27),Setup!$C$39:$C$50))&lt;=Setup!$C$16),OR(MONTH(WORKDAY(I493,-(Setup!$C$13+Setup!$G$27),Setup!$C$39:$C$50))&gt;=Setup!$C$15,MONTH(WORKDAY(I493,-(Setup!$C$13+Setup!$G$27),Setup!$C$39:$C$50))&lt;=Setup!$C$16))),WORKDAY(I493,-(Setup!$C$13+Setup!$G$27+Setup!$C$14),Setup!$C$39:$C$50),WORKDAY(I493,-(Setup!$C$13+Setup!$G$27),Setup!$C$39:$C$50))+(488*100+8)/10000000)))</f>
        <v/>
      </c>
      <c r="Z493" t="str">
        <f>IF(J493="","",IF(J493&lt;Setup!$C$5-Setup!$C$6,"",IF(IF(ISNUMBER(Roster!$D493),Setup!$C$28&lt;=Roster!$D493,FALSE),"",IF(OR(IF(Setup!$C$15&lt;=Setup!$C$16,AND(MONTH(J493)&gt;=Setup!$C$15,MONTH(J493)&lt;=Setup!$C$16),OR(MONTH(J493)&gt;=Setup!$C$15,MONTH(J493)&lt;=Setup!$C$16)),IF(Setup!$C$15&lt;=Setup!$C$16,AND(MONTH(WORKDAY(J493,-(Setup!$C$13+Setup!$G$28),Setup!$C$39:$C$50))&gt;=Setup!$C$15,MONTH(WORKDAY(J493,-(Setup!$C$13+Setup!$G$28),Setup!$C$39:$C$50))&lt;=Setup!$C$16),OR(MONTH(WORKDAY(J493,-(Setup!$C$13+Setup!$G$28),Setup!$C$39:$C$50))&gt;=Setup!$C$15,MONTH(WORKDAY(J493,-(Setup!$C$13+Setup!$G$28),Setup!$C$39:$C$50))&lt;=Setup!$C$16))),WORKDAY(J493,-(Setup!$C$13+Setup!$G$28+Setup!$C$14),Setup!$C$39:$C$50),WORKDAY(J493,-(Setup!$C$13+Setup!$G$28),Setup!$C$39:$C$50))+(488*100+9)/10000000)))</f>
        <v/>
      </c>
      <c r="AA493" t="str">
        <f>IF(K493="","",IF(K493&lt;Setup!$C$5-Setup!$C$6,"",IF(IF(ISNUMBER(Roster!$D493),Setup!$C$29&lt;=Roster!$D493,FALSE),"",IF(OR(IF(Setup!$C$15&lt;=Setup!$C$16,AND(MONTH(K493)&gt;=Setup!$C$15,MONTH(K493)&lt;=Setup!$C$16),OR(MONTH(K493)&gt;=Setup!$C$15,MONTH(K493)&lt;=Setup!$C$16)),IF(Setup!$C$15&lt;=Setup!$C$16,AND(MONTH(WORKDAY(K493,-(Setup!$C$13+Setup!$G$29),Setup!$C$39:$C$50))&gt;=Setup!$C$15,MONTH(WORKDAY(K493,-(Setup!$C$13+Setup!$G$29),Setup!$C$39:$C$50))&lt;=Setup!$C$16),OR(MONTH(WORKDAY(K493,-(Setup!$C$13+Setup!$G$29),Setup!$C$39:$C$50))&gt;=Setup!$C$15,MONTH(WORKDAY(K493,-(Setup!$C$13+Setup!$G$29),Setup!$C$39:$C$50))&lt;=Setup!$C$16))),WORKDAY(K493,-(Setup!$C$13+Setup!$G$29+Setup!$C$14),Setup!$C$39:$C$50),WORKDAY(K493,-(Setup!$C$13+Setup!$G$29),Setup!$C$39:$C$50))+(488*100+10)/10000000)))</f>
        <v/>
      </c>
      <c r="AB493" t="str">
        <f>IF(L493="","",IF(L493&lt;Setup!$C$5-Setup!$C$6,"",IF(IF(ISNUMBER(Roster!$D493),Setup!$C$30&lt;=Roster!$D493,FALSE),"",IF(OR(IF(Setup!$C$15&lt;=Setup!$C$16,AND(MONTH(L493)&gt;=Setup!$C$15,MONTH(L493)&lt;=Setup!$C$16),OR(MONTH(L493)&gt;=Setup!$C$15,MONTH(L493)&lt;=Setup!$C$16)),IF(Setup!$C$15&lt;=Setup!$C$16,AND(MONTH(WORKDAY(L493,-(Setup!$C$13+Setup!$G$30),Setup!$C$39:$C$50))&gt;=Setup!$C$15,MONTH(WORKDAY(L493,-(Setup!$C$13+Setup!$G$30),Setup!$C$39:$C$50))&lt;=Setup!$C$16),OR(MONTH(WORKDAY(L493,-(Setup!$C$13+Setup!$G$30),Setup!$C$39:$C$50))&gt;=Setup!$C$15,MONTH(WORKDAY(L493,-(Setup!$C$13+Setup!$G$30),Setup!$C$39:$C$50))&lt;=Setup!$C$16))),WORKDAY(L493,-(Setup!$C$13+Setup!$G$30+Setup!$C$14),Setup!$C$39:$C$50),WORKDAY(L493,-(Setup!$C$13+Setup!$G$30),Setup!$C$39:$C$50))+(488*100+11)/10000000)))</f>
        <v/>
      </c>
      <c r="AC493" t="str">
        <f>IF(M493="","",IF(M493&lt;Setup!$C$5-Setup!$C$6,"",IF(IF(ISNUMBER(Roster!$D493),Setup!$C$31&lt;=Roster!$D493,FALSE),"",IF(OR(IF(Setup!$C$15&lt;=Setup!$C$16,AND(MONTH(M493)&gt;=Setup!$C$15,MONTH(M493)&lt;=Setup!$C$16),OR(MONTH(M493)&gt;=Setup!$C$15,MONTH(M493)&lt;=Setup!$C$16)),IF(Setup!$C$15&lt;=Setup!$C$16,AND(MONTH(WORKDAY(M493,-(Setup!$C$13+Setup!$G$31),Setup!$C$39:$C$50))&gt;=Setup!$C$15,MONTH(WORKDAY(M493,-(Setup!$C$13+Setup!$G$31),Setup!$C$39:$C$50))&lt;=Setup!$C$16),OR(MONTH(WORKDAY(M493,-(Setup!$C$13+Setup!$G$31),Setup!$C$39:$C$50))&gt;=Setup!$C$15,MONTH(WORKDAY(M493,-(Setup!$C$13+Setup!$G$31),Setup!$C$39:$C$50))&lt;=Setup!$C$16))),WORKDAY(M493,-(Setup!$C$13+Setup!$G$31+Setup!$C$14),Setup!$C$39:$C$50),WORKDAY(M493,-(Setup!$C$13+Setup!$G$31),Setup!$C$39:$C$50))+(488*100+12)/10000000)))</f>
        <v/>
      </c>
      <c r="AD493" t="str">
        <f>IF(N493="","",IF(N493&lt;Setup!$C$5-Setup!$C$6,"",IF(IF(ISNUMBER(Roster!$D493),Setup!$C$32&lt;=Roster!$D493,FALSE),"",IF(OR(IF(Setup!$C$15&lt;=Setup!$C$16,AND(MONTH(N493)&gt;=Setup!$C$15,MONTH(N493)&lt;=Setup!$C$16),OR(MONTH(N493)&gt;=Setup!$C$15,MONTH(N493)&lt;=Setup!$C$16)),IF(Setup!$C$15&lt;=Setup!$C$16,AND(MONTH(WORKDAY(N493,-(Setup!$C$13+Setup!$G$32),Setup!$C$39:$C$50))&gt;=Setup!$C$15,MONTH(WORKDAY(N493,-(Setup!$C$13+Setup!$G$32),Setup!$C$39:$C$50))&lt;=Setup!$C$16),OR(MONTH(WORKDAY(N493,-(Setup!$C$13+Setup!$G$32),Setup!$C$39:$C$50))&gt;=Setup!$C$15,MONTH(WORKDAY(N493,-(Setup!$C$13+Setup!$G$32),Setup!$C$39:$C$50))&lt;=Setup!$C$16))),WORKDAY(N493,-(Setup!$C$13+Setup!$G$32+Setup!$C$14),Setup!$C$39:$C$50),WORKDAY(N493,-(Setup!$C$13+Setup!$G$32),Setup!$C$39:$C$50))+(488*100+13)/10000000)))</f>
        <v/>
      </c>
      <c r="AE493" t="str">
        <f>IF(O493="","",IF(O493&lt;Setup!$C$5-Setup!$C$6,"",IF(IF(ISNUMBER(Roster!$D493),Setup!$C$33&lt;=Roster!$D493,FALSE),"",IF(OR(IF(Setup!$C$15&lt;=Setup!$C$16,AND(MONTH(O493)&gt;=Setup!$C$15,MONTH(O493)&lt;=Setup!$C$16),OR(MONTH(O493)&gt;=Setup!$C$15,MONTH(O493)&lt;=Setup!$C$16)),IF(Setup!$C$15&lt;=Setup!$C$16,AND(MONTH(WORKDAY(O493,-(Setup!$C$13+Setup!$G$33),Setup!$C$39:$C$50))&gt;=Setup!$C$15,MONTH(WORKDAY(O493,-(Setup!$C$13+Setup!$G$33),Setup!$C$39:$C$50))&lt;=Setup!$C$16),OR(MONTH(WORKDAY(O493,-(Setup!$C$13+Setup!$G$33),Setup!$C$39:$C$50))&gt;=Setup!$C$15,MONTH(WORKDAY(O493,-(Setup!$C$13+Setup!$G$33),Setup!$C$39:$C$50))&lt;=Setup!$C$16))),WORKDAY(O493,-(Setup!$C$13+Setup!$G$33+Setup!$C$14),Setup!$C$39:$C$50),WORKDAY(O493,-(Setup!$C$13+Setup!$G$33),Setup!$C$39:$C$50))+(488*100+14)/10000000)))</f>
        <v/>
      </c>
      <c r="AF493" t="str">
        <f>IF(P493="","",IF(P493&lt;Setup!$C$5-Setup!$C$6,"",IF(IF(ISNUMBER(Roster!$D493),Setup!$C$34&lt;=Roster!$D493,FALSE),"",IF(OR(IF(Setup!$C$15&lt;=Setup!$C$16,AND(MONTH(P493)&gt;=Setup!$C$15,MONTH(P493)&lt;=Setup!$C$16),OR(MONTH(P493)&gt;=Setup!$C$15,MONTH(P493)&lt;=Setup!$C$16)),IF(Setup!$C$15&lt;=Setup!$C$16,AND(MONTH(WORKDAY(P493,-(Setup!$C$13+Setup!$G$34),Setup!$C$39:$C$50))&gt;=Setup!$C$15,MONTH(WORKDAY(P493,-(Setup!$C$13+Setup!$G$34),Setup!$C$39:$C$50))&lt;=Setup!$C$16),OR(MONTH(WORKDAY(P493,-(Setup!$C$13+Setup!$G$34),Setup!$C$39:$C$50))&gt;=Setup!$C$15,MONTH(WORKDAY(P493,-(Setup!$C$13+Setup!$G$34),Setup!$C$39:$C$50))&lt;=Setup!$C$16))),WORKDAY(P493,-(Setup!$C$13+Setup!$G$34+Setup!$C$14),Setup!$C$39:$C$50),WORKDAY(P493,-(Setup!$C$13+Setup!$G$34),Setup!$C$39:$C$50))+(488*100+15)/10000000)))</f>
        <v/>
      </c>
      <c r="AH493" t="str">
        <f t="shared" si="51"/>
        <v/>
      </c>
      <c r="AI493" t="str">
        <f t="shared" si="52"/>
        <v/>
      </c>
      <c r="AP493" t="str">
        <f>IF(ISNUMBER(Roster!$B493),MAX(1,YEAR(Setup!$C$5)-YEAR(Roster!$B493)+IF(EDATE(Roster!$B493,12*(YEAR(Setup!$C$5)-YEAR(Roster!$B493)))&lt;Setup!$C$5,1,0)),"")</f>
        <v/>
      </c>
      <c r="AQ493" s="32" t="str">
        <f>IF(AP493="","",EDATE(Roster!$B493,12*AP493))</f>
        <v/>
      </c>
      <c r="AR493" t="str">
        <f>IF(AQ493="","",IF(AQ493&lt;DATE(YEAR(Setup!$C$5)+1,MONTH(Setup!$C$5),DAY(Setup!$C$5)),AQ493+488/1000,""))</f>
        <v/>
      </c>
      <c r="AS493" t="str">
        <f t="shared" si="53"/>
        <v/>
      </c>
      <c r="AT493" t="str">
        <f>IF(AS493="","",IF(ISNUMBER(Roster!$D493),Roster!$D493&gt;=AP493,FALSE))</f>
        <v/>
      </c>
      <c r="AU493" t="str">
        <f t="shared" si="54"/>
        <v/>
      </c>
      <c r="AV493" t="str">
        <f ca="1">IF(488&gt;$AV$2,"",SMALL($AR$6:$AR$505,488))</f>
        <v/>
      </c>
      <c r="AW493" t="str">
        <f t="shared" ca="1" si="55"/>
        <v/>
      </c>
    </row>
    <row r="494" spans="2:49" x14ac:dyDescent="0.2">
      <c r="B494" s="32" t="str">
        <f>IF(AND(ISNUMBER(Roster!$B494),Setup!$B$20="Yes",ISNUMBER(Setup!$C$20)),EDATE(Roster!$B494,12*Setup!$C$20),"")</f>
        <v/>
      </c>
      <c r="C494" s="32" t="str">
        <f>IF(AND(ISNUMBER(Roster!$B494),Setup!$B$21="Yes",ISNUMBER(Setup!$C$21)),EDATE(Roster!$B494,12*Setup!$C$21),"")</f>
        <v/>
      </c>
      <c r="D494" s="32" t="str">
        <f>IF(AND(ISNUMBER(Roster!$B494),Setup!$B$22="Yes",ISNUMBER(Setup!$C$22)),EDATE(Roster!$B494,12*Setup!$C$22),"")</f>
        <v/>
      </c>
      <c r="E494" s="32" t="str">
        <f>IF(AND(ISNUMBER(Roster!$B494),Setup!$B$23="Yes",ISNUMBER(Setup!$C$23)),EDATE(Roster!$B494,12*Setup!$C$23),"")</f>
        <v/>
      </c>
      <c r="F494" s="32" t="str">
        <f>IF(AND(ISNUMBER(Roster!$B494),Setup!$B$24="Yes",ISNUMBER(Setup!$C$24)),EDATE(Roster!$B494,12*Setup!$C$24),"")</f>
        <v/>
      </c>
      <c r="G494" s="32" t="str">
        <f>IF(AND(ISNUMBER(Roster!$B494),Setup!$B$25="Yes",ISNUMBER(Setup!$C$25)),EDATE(Roster!$B494,12*Setup!$C$25),"")</f>
        <v/>
      </c>
      <c r="H494" s="32" t="str">
        <f>IF(AND(ISNUMBER(Roster!$B494),Setup!$B$26="Yes",ISNUMBER(Setup!$C$26)),EDATE(Roster!$B494,12*Setup!$C$26),"")</f>
        <v/>
      </c>
      <c r="I494" s="32" t="str">
        <f>IF(AND(ISNUMBER(Roster!$B494),Setup!$B$27="Yes",ISNUMBER(Setup!$C$27)),EDATE(Roster!$B494,12*Setup!$C$27),"")</f>
        <v/>
      </c>
      <c r="J494" s="32" t="str">
        <f>IF(AND(ISNUMBER(Roster!$B494),Setup!$B$28="Yes",ISNUMBER(Setup!$C$28)),EDATE(Roster!$B494,12*Setup!$C$28),"")</f>
        <v/>
      </c>
      <c r="K494" s="32" t="str">
        <f>IF(AND(ISNUMBER(Roster!$B494),Setup!$B$29="Yes",ISNUMBER(Setup!$C$29)),EDATE(Roster!$B494,12*Setup!$C$29),"")</f>
        <v/>
      </c>
      <c r="L494" s="32" t="str">
        <f>IF(AND(ISNUMBER(Roster!$B494),Setup!$B$30="Yes",ISNUMBER(Setup!$C$30)),EDATE(Roster!$B494,12*Setup!$C$30),"")</f>
        <v/>
      </c>
      <c r="M494" s="32" t="str">
        <f>IF(AND(ISNUMBER(Roster!$B494),Setup!$B$31="Yes",ISNUMBER(Setup!$C$31)),EDATE(Roster!$B494,12*Setup!$C$31),"")</f>
        <v/>
      </c>
      <c r="N494" s="32" t="str">
        <f>IF(AND(ISNUMBER(Roster!$B494),Setup!$B$32="Yes",ISNUMBER(Setup!$C$32)),EDATE(Roster!$B494,12*Setup!$C$32),"")</f>
        <v/>
      </c>
      <c r="O494" s="32" t="str">
        <f>IF(AND(ISNUMBER(Roster!$B494),Setup!$B$33="Yes",ISNUMBER(Setup!$C$33)),EDATE(Roster!$B494,12*Setup!$C$33),"")</f>
        <v/>
      </c>
      <c r="P494" s="32" t="str">
        <f>IF(AND(ISNUMBER(Roster!$B494),Setup!$B$34="Yes",ISNUMBER(Setup!$C$34)),EDATE(Roster!$B494,12*Setup!$C$34),"")</f>
        <v/>
      </c>
      <c r="R494" t="str">
        <f>IF(B494="","",IF(B494&lt;Setup!$C$5-Setup!$C$6,"",IF(IF(ISNUMBER(Roster!$D494),Setup!$C$20&lt;=Roster!$D494,FALSE),"",IF(OR(IF(Setup!$C$15&lt;=Setup!$C$16,AND(MONTH(B494)&gt;=Setup!$C$15,MONTH(B494)&lt;=Setup!$C$16),OR(MONTH(B494)&gt;=Setup!$C$15,MONTH(B494)&lt;=Setup!$C$16)),IF(Setup!$C$15&lt;=Setup!$C$16,AND(MONTH(WORKDAY(B494,-(Setup!$C$13+Setup!$G$20),Setup!$C$39:$C$50))&gt;=Setup!$C$15,MONTH(WORKDAY(B494,-(Setup!$C$13+Setup!$G$20),Setup!$C$39:$C$50))&lt;=Setup!$C$16),OR(MONTH(WORKDAY(B494,-(Setup!$C$13+Setup!$G$20),Setup!$C$39:$C$50))&gt;=Setup!$C$15,MONTH(WORKDAY(B494,-(Setup!$C$13+Setup!$G$20),Setup!$C$39:$C$50))&lt;=Setup!$C$16))),WORKDAY(B494,-(Setup!$C$13+Setup!$G$20+Setup!$C$14),Setup!$C$39:$C$50),WORKDAY(B494,-(Setup!$C$13+Setup!$G$20),Setup!$C$39:$C$50))+(489*100+1)/10000000)))</f>
        <v/>
      </c>
      <c r="S494" t="str">
        <f>IF(C494="","",IF(C494&lt;Setup!$C$5-Setup!$C$6,"",IF(IF(ISNUMBER(Roster!$D494),Setup!$C$21&lt;=Roster!$D494,FALSE),"",IF(OR(IF(Setup!$C$15&lt;=Setup!$C$16,AND(MONTH(C494)&gt;=Setup!$C$15,MONTH(C494)&lt;=Setup!$C$16),OR(MONTH(C494)&gt;=Setup!$C$15,MONTH(C494)&lt;=Setup!$C$16)),IF(Setup!$C$15&lt;=Setup!$C$16,AND(MONTH(WORKDAY(C494,-(Setup!$C$13+Setup!$G$21),Setup!$C$39:$C$50))&gt;=Setup!$C$15,MONTH(WORKDAY(C494,-(Setup!$C$13+Setup!$G$21),Setup!$C$39:$C$50))&lt;=Setup!$C$16),OR(MONTH(WORKDAY(C494,-(Setup!$C$13+Setup!$G$21),Setup!$C$39:$C$50))&gt;=Setup!$C$15,MONTH(WORKDAY(C494,-(Setup!$C$13+Setup!$G$21),Setup!$C$39:$C$50))&lt;=Setup!$C$16))),WORKDAY(C494,-(Setup!$C$13+Setup!$G$21+Setup!$C$14),Setup!$C$39:$C$50),WORKDAY(C494,-(Setup!$C$13+Setup!$G$21),Setup!$C$39:$C$50))+(489*100+2)/10000000)))</f>
        <v/>
      </c>
      <c r="T494" t="str">
        <f>IF(D494="","",IF(D494&lt;Setup!$C$5-Setup!$C$6,"",IF(IF(ISNUMBER(Roster!$D494),Setup!$C$22&lt;=Roster!$D494,FALSE),"",IF(OR(IF(Setup!$C$15&lt;=Setup!$C$16,AND(MONTH(D494)&gt;=Setup!$C$15,MONTH(D494)&lt;=Setup!$C$16),OR(MONTH(D494)&gt;=Setup!$C$15,MONTH(D494)&lt;=Setup!$C$16)),IF(Setup!$C$15&lt;=Setup!$C$16,AND(MONTH(WORKDAY(D494,-(Setup!$C$13+Setup!$G$22),Setup!$C$39:$C$50))&gt;=Setup!$C$15,MONTH(WORKDAY(D494,-(Setup!$C$13+Setup!$G$22),Setup!$C$39:$C$50))&lt;=Setup!$C$16),OR(MONTH(WORKDAY(D494,-(Setup!$C$13+Setup!$G$22),Setup!$C$39:$C$50))&gt;=Setup!$C$15,MONTH(WORKDAY(D494,-(Setup!$C$13+Setup!$G$22),Setup!$C$39:$C$50))&lt;=Setup!$C$16))),WORKDAY(D494,-(Setup!$C$13+Setup!$G$22+Setup!$C$14),Setup!$C$39:$C$50),WORKDAY(D494,-(Setup!$C$13+Setup!$G$22),Setup!$C$39:$C$50))+(489*100+3)/10000000)))</f>
        <v/>
      </c>
      <c r="U494" t="str">
        <f>IF(E494="","",IF(E494&lt;Setup!$C$5-Setup!$C$6,"",IF(IF(ISNUMBER(Roster!$D494),Setup!$C$23&lt;=Roster!$D494,FALSE),"",IF(OR(IF(Setup!$C$15&lt;=Setup!$C$16,AND(MONTH(E494)&gt;=Setup!$C$15,MONTH(E494)&lt;=Setup!$C$16),OR(MONTH(E494)&gt;=Setup!$C$15,MONTH(E494)&lt;=Setup!$C$16)),IF(Setup!$C$15&lt;=Setup!$C$16,AND(MONTH(WORKDAY(E494,-(Setup!$C$13+Setup!$G$23),Setup!$C$39:$C$50))&gt;=Setup!$C$15,MONTH(WORKDAY(E494,-(Setup!$C$13+Setup!$G$23),Setup!$C$39:$C$50))&lt;=Setup!$C$16),OR(MONTH(WORKDAY(E494,-(Setup!$C$13+Setup!$G$23),Setup!$C$39:$C$50))&gt;=Setup!$C$15,MONTH(WORKDAY(E494,-(Setup!$C$13+Setup!$G$23),Setup!$C$39:$C$50))&lt;=Setup!$C$16))),WORKDAY(E494,-(Setup!$C$13+Setup!$G$23+Setup!$C$14),Setup!$C$39:$C$50),WORKDAY(E494,-(Setup!$C$13+Setup!$G$23),Setup!$C$39:$C$50))+(489*100+4)/10000000)))</f>
        <v/>
      </c>
      <c r="V494" t="str">
        <f>IF(F494="","",IF(F494&lt;Setup!$C$5-Setup!$C$6,"",IF(IF(ISNUMBER(Roster!$D494),Setup!$C$24&lt;=Roster!$D494,FALSE),"",IF(OR(IF(Setup!$C$15&lt;=Setup!$C$16,AND(MONTH(F494)&gt;=Setup!$C$15,MONTH(F494)&lt;=Setup!$C$16),OR(MONTH(F494)&gt;=Setup!$C$15,MONTH(F494)&lt;=Setup!$C$16)),IF(Setup!$C$15&lt;=Setup!$C$16,AND(MONTH(WORKDAY(F494,-(Setup!$C$13+Setup!$G$24),Setup!$C$39:$C$50))&gt;=Setup!$C$15,MONTH(WORKDAY(F494,-(Setup!$C$13+Setup!$G$24),Setup!$C$39:$C$50))&lt;=Setup!$C$16),OR(MONTH(WORKDAY(F494,-(Setup!$C$13+Setup!$G$24),Setup!$C$39:$C$50))&gt;=Setup!$C$15,MONTH(WORKDAY(F494,-(Setup!$C$13+Setup!$G$24),Setup!$C$39:$C$50))&lt;=Setup!$C$16))),WORKDAY(F494,-(Setup!$C$13+Setup!$G$24+Setup!$C$14),Setup!$C$39:$C$50),WORKDAY(F494,-(Setup!$C$13+Setup!$G$24),Setup!$C$39:$C$50))+(489*100+5)/10000000)))</f>
        <v/>
      </c>
      <c r="W494" t="str">
        <f>IF(G494="","",IF(G494&lt;Setup!$C$5-Setup!$C$6,"",IF(IF(ISNUMBER(Roster!$D494),Setup!$C$25&lt;=Roster!$D494,FALSE),"",IF(OR(IF(Setup!$C$15&lt;=Setup!$C$16,AND(MONTH(G494)&gt;=Setup!$C$15,MONTH(G494)&lt;=Setup!$C$16),OR(MONTH(G494)&gt;=Setup!$C$15,MONTH(G494)&lt;=Setup!$C$16)),IF(Setup!$C$15&lt;=Setup!$C$16,AND(MONTH(WORKDAY(G494,-(Setup!$C$13+Setup!$G$25),Setup!$C$39:$C$50))&gt;=Setup!$C$15,MONTH(WORKDAY(G494,-(Setup!$C$13+Setup!$G$25),Setup!$C$39:$C$50))&lt;=Setup!$C$16),OR(MONTH(WORKDAY(G494,-(Setup!$C$13+Setup!$G$25),Setup!$C$39:$C$50))&gt;=Setup!$C$15,MONTH(WORKDAY(G494,-(Setup!$C$13+Setup!$G$25),Setup!$C$39:$C$50))&lt;=Setup!$C$16))),WORKDAY(G494,-(Setup!$C$13+Setup!$G$25+Setup!$C$14),Setup!$C$39:$C$50),WORKDAY(G494,-(Setup!$C$13+Setup!$G$25),Setup!$C$39:$C$50))+(489*100+6)/10000000)))</f>
        <v/>
      </c>
      <c r="X494" t="str">
        <f>IF(H494="","",IF(H494&lt;Setup!$C$5-Setup!$C$6,"",IF(IF(ISNUMBER(Roster!$D494),Setup!$C$26&lt;=Roster!$D494,FALSE),"",IF(OR(IF(Setup!$C$15&lt;=Setup!$C$16,AND(MONTH(H494)&gt;=Setup!$C$15,MONTH(H494)&lt;=Setup!$C$16),OR(MONTH(H494)&gt;=Setup!$C$15,MONTH(H494)&lt;=Setup!$C$16)),IF(Setup!$C$15&lt;=Setup!$C$16,AND(MONTH(WORKDAY(H494,-(Setup!$C$13+Setup!$G$26),Setup!$C$39:$C$50))&gt;=Setup!$C$15,MONTH(WORKDAY(H494,-(Setup!$C$13+Setup!$G$26),Setup!$C$39:$C$50))&lt;=Setup!$C$16),OR(MONTH(WORKDAY(H494,-(Setup!$C$13+Setup!$G$26),Setup!$C$39:$C$50))&gt;=Setup!$C$15,MONTH(WORKDAY(H494,-(Setup!$C$13+Setup!$G$26),Setup!$C$39:$C$50))&lt;=Setup!$C$16))),WORKDAY(H494,-(Setup!$C$13+Setup!$G$26+Setup!$C$14),Setup!$C$39:$C$50),WORKDAY(H494,-(Setup!$C$13+Setup!$G$26),Setup!$C$39:$C$50))+(489*100+7)/10000000)))</f>
        <v/>
      </c>
      <c r="Y494" t="str">
        <f>IF(I494="","",IF(I494&lt;Setup!$C$5-Setup!$C$6,"",IF(IF(ISNUMBER(Roster!$D494),Setup!$C$27&lt;=Roster!$D494,FALSE),"",IF(OR(IF(Setup!$C$15&lt;=Setup!$C$16,AND(MONTH(I494)&gt;=Setup!$C$15,MONTH(I494)&lt;=Setup!$C$16),OR(MONTH(I494)&gt;=Setup!$C$15,MONTH(I494)&lt;=Setup!$C$16)),IF(Setup!$C$15&lt;=Setup!$C$16,AND(MONTH(WORKDAY(I494,-(Setup!$C$13+Setup!$G$27),Setup!$C$39:$C$50))&gt;=Setup!$C$15,MONTH(WORKDAY(I494,-(Setup!$C$13+Setup!$G$27),Setup!$C$39:$C$50))&lt;=Setup!$C$16),OR(MONTH(WORKDAY(I494,-(Setup!$C$13+Setup!$G$27),Setup!$C$39:$C$50))&gt;=Setup!$C$15,MONTH(WORKDAY(I494,-(Setup!$C$13+Setup!$G$27),Setup!$C$39:$C$50))&lt;=Setup!$C$16))),WORKDAY(I494,-(Setup!$C$13+Setup!$G$27+Setup!$C$14),Setup!$C$39:$C$50),WORKDAY(I494,-(Setup!$C$13+Setup!$G$27),Setup!$C$39:$C$50))+(489*100+8)/10000000)))</f>
        <v/>
      </c>
      <c r="Z494" t="str">
        <f>IF(J494="","",IF(J494&lt;Setup!$C$5-Setup!$C$6,"",IF(IF(ISNUMBER(Roster!$D494),Setup!$C$28&lt;=Roster!$D494,FALSE),"",IF(OR(IF(Setup!$C$15&lt;=Setup!$C$16,AND(MONTH(J494)&gt;=Setup!$C$15,MONTH(J494)&lt;=Setup!$C$16),OR(MONTH(J494)&gt;=Setup!$C$15,MONTH(J494)&lt;=Setup!$C$16)),IF(Setup!$C$15&lt;=Setup!$C$16,AND(MONTH(WORKDAY(J494,-(Setup!$C$13+Setup!$G$28),Setup!$C$39:$C$50))&gt;=Setup!$C$15,MONTH(WORKDAY(J494,-(Setup!$C$13+Setup!$G$28),Setup!$C$39:$C$50))&lt;=Setup!$C$16),OR(MONTH(WORKDAY(J494,-(Setup!$C$13+Setup!$G$28),Setup!$C$39:$C$50))&gt;=Setup!$C$15,MONTH(WORKDAY(J494,-(Setup!$C$13+Setup!$G$28),Setup!$C$39:$C$50))&lt;=Setup!$C$16))),WORKDAY(J494,-(Setup!$C$13+Setup!$G$28+Setup!$C$14),Setup!$C$39:$C$50),WORKDAY(J494,-(Setup!$C$13+Setup!$G$28),Setup!$C$39:$C$50))+(489*100+9)/10000000)))</f>
        <v/>
      </c>
      <c r="AA494" t="str">
        <f>IF(K494="","",IF(K494&lt;Setup!$C$5-Setup!$C$6,"",IF(IF(ISNUMBER(Roster!$D494),Setup!$C$29&lt;=Roster!$D494,FALSE),"",IF(OR(IF(Setup!$C$15&lt;=Setup!$C$16,AND(MONTH(K494)&gt;=Setup!$C$15,MONTH(K494)&lt;=Setup!$C$16),OR(MONTH(K494)&gt;=Setup!$C$15,MONTH(K494)&lt;=Setup!$C$16)),IF(Setup!$C$15&lt;=Setup!$C$16,AND(MONTH(WORKDAY(K494,-(Setup!$C$13+Setup!$G$29),Setup!$C$39:$C$50))&gt;=Setup!$C$15,MONTH(WORKDAY(K494,-(Setup!$C$13+Setup!$G$29),Setup!$C$39:$C$50))&lt;=Setup!$C$16),OR(MONTH(WORKDAY(K494,-(Setup!$C$13+Setup!$G$29),Setup!$C$39:$C$50))&gt;=Setup!$C$15,MONTH(WORKDAY(K494,-(Setup!$C$13+Setup!$G$29),Setup!$C$39:$C$50))&lt;=Setup!$C$16))),WORKDAY(K494,-(Setup!$C$13+Setup!$G$29+Setup!$C$14),Setup!$C$39:$C$50),WORKDAY(K494,-(Setup!$C$13+Setup!$G$29),Setup!$C$39:$C$50))+(489*100+10)/10000000)))</f>
        <v/>
      </c>
      <c r="AB494" t="str">
        <f>IF(L494="","",IF(L494&lt;Setup!$C$5-Setup!$C$6,"",IF(IF(ISNUMBER(Roster!$D494),Setup!$C$30&lt;=Roster!$D494,FALSE),"",IF(OR(IF(Setup!$C$15&lt;=Setup!$C$16,AND(MONTH(L494)&gt;=Setup!$C$15,MONTH(L494)&lt;=Setup!$C$16),OR(MONTH(L494)&gt;=Setup!$C$15,MONTH(L494)&lt;=Setup!$C$16)),IF(Setup!$C$15&lt;=Setup!$C$16,AND(MONTH(WORKDAY(L494,-(Setup!$C$13+Setup!$G$30),Setup!$C$39:$C$50))&gt;=Setup!$C$15,MONTH(WORKDAY(L494,-(Setup!$C$13+Setup!$G$30),Setup!$C$39:$C$50))&lt;=Setup!$C$16),OR(MONTH(WORKDAY(L494,-(Setup!$C$13+Setup!$G$30),Setup!$C$39:$C$50))&gt;=Setup!$C$15,MONTH(WORKDAY(L494,-(Setup!$C$13+Setup!$G$30),Setup!$C$39:$C$50))&lt;=Setup!$C$16))),WORKDAY(L494,-(Setup!$C$13+Setup!$G$30+Setup!$C$14),Setup!$C$39:$C$50),WORKDAY(L494,-(Setup!$C$13+Setup!$G$30),Setup!$C$39:$C$50))+(489*100+11)/10000000)))</f>
        <v/>
      </c>
      <c r="AC494" t="str">
        <f>IF(M494="","",IF(M494&lt;Setup!$C$5-Setup!$C$6,"",IF(IF(ISNUMBER(Roster!$D494),Setup!$C$31&lt;=Roster!$D494,FALSE),"",IF(OR(IF(Setup!$C$15&lt;=Setup!$C$16,AND(MONTH(M494)&gt;=Setup!$C$15,MONTH(M494)&lt;=Setup!$C$16),OR(MONTH(M494)&gt;=Setup!$C$15,MONTH(M494)&lt;=Setup!$C$16)),IF(Setup!$C$15&lt;=Setup!$C$16,AND(MONTH(WORKDAY(M494,-(Setup!$C$13+Setup!$G$31),Setup!$C$39:$C$50))&gt;=Setup!$C$15,MONTH(WORKDAY(M494,-(Setup!$C$13+Setup!$G$31),Setup!$C$39:$C$50))&lt;=Setup!$C$16),OR(MONTH(WORKDAY(M494,-(Setup!$C$13+Setup!$G$31),Setup!$C$39:$C$50))&gt;=Setup!$C$15,MONTH(WORKDAY(M494,-(Setup!$C$13+Setup!$G$31),Setup!$C$39:$C$50))&lt;=Setup!$C$16))),WORKDAY(M494,-(Setup!$C$13+Setup!$G$31+Setup!$C$14),Setup!$C$39:$C$50),WORKDAY(M494,-(Setup!$C$13+Setup!$G$31),Setup!$C$39:$C$50))+(489*100+12)/10000000)))</f>
        <v/>
      </c>
      <c r="AD494" t="str">
        <f>IF(N494="","",IF(N494&lt;Setup!$C$5-Setup!$C$6,"",IF(IF(ISNUMBER(Roster!$D494),Setup!$C$32&lt;=Roster!$D494,FALSE),"",IF(OR(IF(Setup!$C$15&lt;=Setup!$C$16,AND(MONTH(N494)&gt;=Setup!$C$15,MONTH(N494)&lt;=Setup!$C$16),OR(MONTH(N494)&gt;=Setup!$C$15,MONTH(N494)&lt;=Setup!$C$16)),IF(Setup!$C$15&lt;=Setup!$C$16,AND(MONTH(WORKDAY(N494,-(Setup!$C$13+Setup!$G$32),Setup!$C$39:$C$50))&gt;=Setup!$C$15,MONTH(WORKDAY(N494,-(Setup!$C$13+Setup!$G$32),Setup!$C$39:$C$50))&lt;=Setup!$C$16),OR(MONTH(WORKDAY(N494,-(Setup!$C$13+Setup!$G$32),Setup!$C$39:$C$50))&gt;=Setup!$C$15,MONTH(WORKDAY(N494,-(Setup!$C$13+Setup!$G$32),Setup!$C$39:$C$50))&lt;=Setup!$C$16))),WORKDAY(N494,-(Setup!$C$13+Setup!$G$32+Setup!$C$14),Setup!$C$39:$C$50),WORKDAY(N494,-(Setup!$C$13+Setup!$G$32),Setup!$C$39:$C$50))+(489*100+13)/10000000)))</f>
        <v/>
      </c>
      <c r="AE494" t="str">
        <f>IF(O494="","",IF(O494&lt;Setup!$C$5-Setup!$C$6,"",IF(IF(ISNUMBER(Roster!$D494),Setup!$C$33&lt;=Roster!$D494,FALSE),"",IF(OR(IF(Setup!$C$15&lt;=Setup!$C$16,AND(MONTH(O494)&gt;=Setup!$C$15,MONTH(O494)&lt;=Setup!$C$16),OR(MONTH(O494)&gt;=Setup!$C$15,MONTH(O494)&lt;=Setup!$C$16)),IF(Setup!$C$15&lt;=Setup!$C$16,AND(MONTH(WORKDAY(O494,-(Setup!$C$13+Setup!$G$33),Setup!$C$39:$C$50))&gt;=Setup!$C$15,MONTH(WORKDAY(O494,-(Setup!$C$13+Setup!$G$33),Setup!$C$39:$C$50))&lt;=Setup!$C$16),OR(MONTH(WORKDAY(O494,-(Setup!$C$13+Setup!$G$33),Setup!$C$39:$C$50))&gt;=Setup!$C$15,MONTH(WORKDAY(O494,-(Setup!$C$13+Setup!$G$33),Setup!$C$39:$C$50))&lt;=Setup!$C$16))),WORKDAY(O494,-(Setup!$C$13+Setup!$G$33+Setup!$C$14),Setup!$C$39:$C$50),WORKDAY(O494,-(Setup!$C$13+Setup!$G$33),Setup!$C$39:$C$50))+(489*100+14)/10000000)))</f>
        <v/>
      </c>
      <c r="AF494" t="str">
        <f>IF(P494="","",IF(P494&lt;Setup!$C$5-Setup!$C$6,"",IF(IF(ISNUMBER(Roster!$D494),Setup!$C$34&lt;=Roster!$D494,FALSE),"",IF(OR(IF(Setup!$C$15&lt;=Setup!$C$16,AND(MONTH(P494)&gt;=Setup!$C$15,MONTH(P494)&lt;=Setup!$C$16),OR(MONTH(P494)&gt;=Setup!$C$15,MONTH(P494)&lt;=Setup!$C$16)),IF(Setup!$C$15&lt;=Setup!$C$16,AND(MONTH(WORKDAY(P494,-(Setup!$C$13+Setup!$G$34),Setup!$C$39:$C$50))&gt;=Setup!$C$15,MONTH(WORKDAY(P494,-(Setup!$C$13+Setup!$G$34),Setup!$C$39:$C$50))&lt;=Setup!$C$16),OR(MONTH(WORKDAY(P494,-(Setup!$C$13+Setup!$G$34),Setup!$C$39:$C$50))&gt;=Setup!$C$15,MONTH(WORKDAY(P494,-(Setup!$C$13+Setup!$G$34),Setup!$C$39:$C$50))&lt;=Setup!$C$16))),WORKDAY(P494,-(Setup!$C$13+Setup!$G$34+Setup!$C$14),Setup!$C$39:$C$50),WORKDAY(P494,-(Setup!$C$13+Setup!$G$34),Setup!$C$39:$C$50))+(489*100+15)/10000000)))</f>
        <v/>
      </c>
      <c r="AH494" t="str">
        <f t="shared" si="51"/>
        <v/>
      </c>
      <c r="AI494" t="str">
        <f t="shared" si="52"/>
        <v/>
      </c>
      <c r="AP494" t="str">
        <f>IF(ISNUMBER(Roster!$B494),MAX(1,YEAR(Setup!$C$5)-YEAR(Roster!$B494)+IF(EDATE(Roster!$B494,12*(YEAR(Setup!$C$5)-YEAR(Roster!$B494)))&lt;Setup!$C$5,1,0)),"")</f>
        <v/>
      </c>
      <c r="AQ494" s="32" t="str">
        <f>IF(AP494="","",EDATE(Roster!$B494,12*AP494))</f>
        <v/>
      </c>
      <c r="AR494" t="str">
        <f>IF(AQ494="","",IF(AQ494&lt;DATE(YEAR(Setup!$C$5)+1,MONTH(Setup!$C$5),DAY(Setup!$C$5)),AQ494+489/1000,""))</f>
        <v/>
      </c>
      <c r="AS494" t="str">
        <f t="shared" si="53"/>
        <v/>
      </c>
      <c r="AT494" t="str">
        <f>IF(AS494="","",IF(ISNUMBER(Roster!$D494),Roster!$D494&gt;=AP494,FALSE))</f>
        <v/>
      </c>
      <c r="AU494" t="str">
        <f t="shared" si="54"/>
        <v/>
      </c>
      <c r="AV494" t="str">
        <f ca="1">IF(489&gt;$AV$2,"",SMALL($AR$6:$AR$505,489))</f>
        <v/>
      </c>
      <c r="AW494" t="str">
        <f t="shared" ca="1" si="55"/>
        <v/>
      </c>
    </row>
    <row r="495" spans="2:49" x14ac:dyDescent="0.2">
      <c r="B495" s="32" t="str">
        <f>IF(AND(ISNUMBER(Roster!$B495),Setup!$B$20="Yes",ISNUMBER(Setup!$C$20)),EDATE(Roster!$B495,12*Setup!$C$20),"")</f>
        <v/>
      </c>
      <c r="C495" s="32" t="str">
        <f>IF(AND(ISNUMBER(Roster!$B495),Setup!$B$21="Yes",ISNUMBER(Setup!$C$21)),EDATE(Roster!$B495,12*Setup!$C$21),"")</f>
        <v/>
      </c>
      <c r="D495" s="32" t="str">
        <f>IF(AND(ISNUMBER(Roster!$B495),Setup!$B$22="Yes",ISNUMBER(Setup!$C$22)),EDATE(Roster!$B495,12*Setup!$C$22),"")</f>
        <v/>
      </c>
      <c r="E495" s="32" t="str">
        <f>IF(AND(ISNUMBER(Roster!$B495),Setup!$B$23="Yes",ISNUMBER(Setup!$C$23)),EDATE(Roster!$B495,12*Setup!$C$23),"")</f>
        <v/>
      </c>
      <c r="F495" s="32" t="str">
        <f>IF(AND(ISNUMBER(Roster!$B495),Setup!$B$24="Yes",ISNUMBER(Setup!$C$24)),EDATE(Roster!$B495,12*Setup!$C$24),"")</f>
        <v/>
      </c>
      <c r="G495" s="32" t="str">
        <f>IF(AND(ISNUMBER(Roster!$B495),Setup!$B$25="Yes",ISNUMBER(Setup!$C$25)),EDATE(Roster!$B495,12*Setup!$C$25),"")</f>
        <v/>
      </c>
      <c r="H495" s="32" t="str">
        <f>IF(AND(ISNUMBER(Roster!$B495),Setup!$B$26="Yes",ISNUMBER(Setup!$C$26)),EDATE(Roster!$B495,12*Setup!$C$26),"")</f>
        <v/>
      </c>
      <c r="I495" s="32" t="str">
        <f>IF(AND(ISNUMBER(Roster!$B495),Setup!$B$27="Yes",ISNUMBER(Setup!$C$27)),EDATE(Roster!$B495,12*Setup!$C$27),"")</f>
        <v/>
      </c>
      <c r="J495" s="32" t="str">
        <f>IF(AND(ISNUMBER(Roster!$B495),Setup!$B$28="Yes",ISNUMBER(Setup!$C$28)),EDATE(Roster!$B495,12*Setup!$C$28),"")</f>
        <v/>
      </c>
      <c r="K495" s="32" t="str">
        <f>IF(AND(ISNUMBER(Roster!$B495),Setup!$B$29="Yes",ISNUMBER(Setup!$C$29)),EDATE(Roster!$B495,12*Setup!$C$29),"")</f>
        <v/>
      </c>
      <c r="L495" s="32" t="str">
        <f>IF(AND(ISNUMBER(Roster!$B495),Setup!$B$30="Yes",ISNUMBER(Setup!$C$30)),EDATE(Roster!$B495,12*Setup!$C$30),"")</f>
        <v/>
      </c>
      <c r="M495" s="32" t="str">
        <f>IF(AND(ISNUMBER(Roster!$B495),Setup!$B$31="Yes",ISNUMBER(Setup!$C$31)),EDATE(Roster!$B495,12*Setup!$C$31),"")</f>
        <v/>
      </c>
      <c r="N495" s="32" t="str">
        <f>IF(AND(ISNUMBER(Roster!$B495),Setup!$B$32="Yes",ISNUMBER(Setup!$C$32)),EDATE(Roster!$B495,12*Setup!$C$32),"")</f>
        <v/>
      </c>
      <c r="O495" s="32" t="str">
        <f>IF(AND(ISNUMBER(Roster!$B495),Setup!$B$33="Yes",ISNUMBER(Setup!$C$33)),EDATE(Roster!$B495,12*Setup!$C$33),"")</f>
        <v/>
      </c>
      <c r="P495" s="32" t="str">
        <f>IF(AND(ISNUMBER(Roster!$B495),Setup!$B$34="Yes",ISNUMBER(Setup!$C$34)),EDATE(Roster!$B495,12*Setup!$C$34),"")</f>
        <v/>
      </c>
      <c r="R495" t="str">
        <f>IF(B495="","",IF(B495&lt;Setup!$C$5-Setup!$C$6,"",IF(IF(ISNUMBER(Roster!$D495),Setup!$C$20&lt;=Roster!$D495,FALSE),"",IF(OR(IF(Setup!$C$15&lt;=Setup!$C$16,AND(MONTH(B495)&gt;=Setup!$C$15,MONTH(B495)&lt;=Setup!$C$16),OR(MONTH(B495)&gt;=Setup!$C$15,MONTH(B495)&lt;=Setup!$C$16)),IF(Setup!$C$15&lt;=Setup!$C$16,AND(MONTH(WORKDAY(B495,-(Setup!$C$13+Setup!$G$20),Setup!$C$39:$C$50))&gt;=Setup!$C$15,MONTH(WORKDAY(B495,-(Setup!$C$13+Setup!$G$20),Setup!$C$39:$C$50))&lt;=Setup!$C$16),OR(MONTH(WORKDAY(B495,-(Setup!$C$13+Setup!$G$20),Setup!$C$39:$C$50))&gt;=Setup!$C$15,MONTH(WORKDAY(B495,-(Setup!$C$13+Setup!$G$20),Setup!$C$39:$C$50))&lt;=Setup!$C$16))),WORKDAY(B495,-(Setup!$C$13+Setup!$G$20+Setup!$C$14),Setup!$C$39:$C$50),WORKDAY(B495,-(Setup!$C$13+Setup!$G$20),Setup!$C$39:$C$50))+(490*100+1)/10000000)))</f>
        <v/>
      </c>
      <c r="S495" t="str">
        <f>IF(C495="","",IF(C495&lt;Setup!$C$5-Setup!$C$6,"",IF(IF(ISNUMBER(Roster!$D495),Setup!$C$21&lt;=Roster!$D495,FALSE),"",IF(OR(IF(Setup!$C$15&lt;=Setup!$C$16,AND(MONTH(C495)&gt;=Setup!$C$15,MONTH(C495)&lt;=Setup!$C$16),OR(MONTH(C495)&gt;=Setup!$C$15,MONTH(C495)&lt;=Setup!$C$16)),IF(Setup!$C$15&lt;=Setup!$C$16,AND(MONTH(WORKDAY(C495,-(Setup!$C$13+Setup!$G$21),Setup!$C$39:$C$50))&gt;=Setup!$C$15,MONTH(WORKDAY(C495,-(Setup!$C$13+Setup!$G$21),Setup!$C$39:$C$50))&lt;=Setup!$C$16),OR(MONTH(WORKDAY(C495,-(Setup!$C$13+Setup!$G$21),Setup!$C$39:$C$50))&gt;=Setup!$C$15,MONTH(WORKDAY(C495,-(Setup!$C$13+Setup!$G$21),Setup!$C$39:$C$50))&lt;=Setup!$C$16))),WORKDAY(C495,-(Setup!$C$13+Setup!$G$21+Setup!$C$14),Setup!$C$39:$C$50),WORKDAY(C495,-(Setup!$C$13+Setup!$G$21),Setup!$C$39:$C$50))+(490*100+2)/10000000)))</f>
        <v/>
      </c>
      <c r="T495" t="str">
        <f>IF(D495="","",IF(D495&lt;Setup!$C$5-Setup!$C$6,"",IF(IF(ISNUMBER(Roster!$D495),Setup!$C$22&lt;=Roster!$D495,FALSE),"",IF(OR(IF(Setup!$C$15&lt;=Setup!$C$16,AND(MONTH(D495)&gt;=Setup!$C$15,MONTH(D495)&lt;=Setup!$C$16),OR(MONTH(D495)&gt;=Setup!$C$15,MONTH(D495)&lt;=Setup!$C$16)),IF(Setup!$C$15&lt;=Setup!$C$16,AND(MONTH(WORKDAY(D495,-(Setup!$C$13+Setup!$G$22),Setup!$C$39:$C$50))&gt;=Setup!$C$15,MONTH(WORKDAY(D495,-(Setup!$C$13+Setup!$G$22),Setup!$C$39:$C$50))&lt;=Setup!$C$16),OR(MONTH(WORKDAY(D495,-(Setup!$C$13+Setup!$G$22),Setup!$C$39:$C$50))&gt;=Setup!$C$15,MONTH(WORKDAY(D495,-(Setup!$C$13+Setup!$G$22),Setup!$C$39:$C$50))&lt;=Setup!$C$16))),WORKDAY(D495,-(Setup!$C$13+Setup!$G$22+Setup!$C$14),Setup!$C$39:$C$50),WORKDAY(D495,-(Setup!$C$13+Setup!$G$22),Setup!$C$39:$C$50))+(490*100+3)/10000000)))</f>
        <v/>
      </c>
      <c r="U495" t="str">
        <f>IF(E495="","",IF(E495&lt;Setup!$C$5-Setup!$C$6,"",IF(IF(ISNUMBER(Roster!$D495),Setup!$C$23&lt;=Roster!$D495,FALSE),"",IF(OR(IF(Setup!$C$15&lt;=Setup!$C$16,AND(MONTH(E495)&gt;=Setup!$C$15,MONTH(E495)&lt;=Setup!$C$16),OR(MONTH(E495)&gt;=Setup!$C$15,MONTH(E495)&lt;=Setup!$C$16)),IF(Setup!$C$15&lt;=Setup!$C$16,AND(MONTH(WORKDAY(E495,-(Setup!$C$13+Setup!$G$23),Setup!$C$39:$C$50))&gt;=Setup!$C$15,MONTH(WORKDAY(E495,-(Setup!$C$13+Setup!$G$23),Setup!$C$39:$C$50))&lt;=Setup!$C$16),OR(MONTH(WORKDAY(E495,-(Setup!$C$13+Setup!$G$23),Setup!$C$39:$C$50))&gt;=Setup!$C$15,MONTH(WORKDAY(E495,-(Setup!$C$13+Setup!$G$23),Setup!$C$39:$C$50))&lt;=Setup!$C$16))),WORKDAY(E495,-(Setup!$C$13+Setup!$G$23+Setup!$C$14),Setup!$C$39:$C$50),WORKDAY(E495,-(Setup!$C$13+Setup!$G$23),Setup!$C$39:$C$50))+(490*100+4)/10000000)))</f>
        <v/>
      </c>
      <c r="V495" t="str">
        <f>IF(F495="","",IF(F495&lt;Setup!$C$5-Setup!$C$6,"",IF(IF(ISNUMBER(Roster!$D495),Setup!$C$24&lt;=Roster!$D495,FALSE),"",IF(OR(IF(Setup!$C$15&lt;=Setup!$C$16,AND(MONTH(F495)&gt;=Setup!$C$15,MONTH(F495)&lt;=Setup!$C$16),OR(MONTH(F495)&gt;=Setup!$C$15,MONTH(F495)&lt;=Setup!$C$16)),IF(Setup!$C$15&lt;=Setup!$C$16,AND(MONTH(WORKDAY(F495,-(Setup!$C$13+Setup!$G$24),Setup!$C$39:$C$50))&gt;=Setup!$C$15,MONTH(WORKDAY(F495,-(Setup!$C$13+Setup!$G$24),Setup!$C$39:$C$50))&lt;=Setup!$C$16),OR(MONTH(WORKDAY(F495,-(Setup!$C$13+Setup!$G$24),Setup!$C$39:$C$50))&gt;=Setup!$C$15,MONTH(WORKDAY(F495,-(Setup!$C$13+Setup!$G$24),Setup!$C$39:$C$50))&lt;=Setup!$C$16))),WORKDAY(F495,-(Setup!$C$13+Setup!$G$24+Setup!$C$14),Setup!$C$39:$C$50),WORKDAY(F495,-(Setup!$C$13+Setup!$G$24),Setup!$C$39:$C$50))+(490*100+5)/10000000)))</f>
        <v/>
      </c>
      <c r="W495" t="str">
        <f>IF(G495="","",IF(G495&lt;Setup!$C$5-Setup!$C$6,"",IF(IF(ISNUMBER(Roster!$D495),Setup!$C$25&lt;=Roster!$D495,FALSE),"",IF(OR(IF(Setup!$C$15&lt;=Setup!$C$16,AND(MONTH(G495)&gt;=Setup!$C$15,MONTH(G495)&lt;=Setup!$C$16),OR(MONTH(G495)&gt;=Setup!$C$15,MONTH(G495)&lt;=Setup!$C$16)),IF(Setup!$C$15&lt;=Setup!$C$16,AND(MONTH(WORKDAY(G495,-(Setup!$C$13+Setup!$G$25),Setup!$C$39:$C$50))&gt;=Setup!$C$15,MONTH(WORKDAY(G495,-(Setup!$C$13+Setup!$G$25),Setup!$C$39:$C$50))&lt;=Setup!$C$16),OR(MONTH(WORKDAY(G495,-(Setup!$C$13+Setup!$G$25),Setup!$C$39:$C$50))&gt;=Setup!$C$15,MONTH(WORKDAY(G495,-(Setup!$C$13+Setup!$G$25),Setup!$C$39:$C$50))&lt;=Setup!$C$16))),WORKDAY(G495,-(Setup!$C$13+Setup!$G$25+Setup!$C$14),Setup!$C$39:$C$50),WORKDAY(G495,-(Setup!$C$13+Setup!$G$25),Setup!$C$39:$C$50))+(490*100+6)/10000000)))</f>
        <v/>
      </c>
      <c r="X495" t="str">
        <f>IF(H495="","",IF(H495&lt;Setup!$C$5-Setup!$C$6,"",IF(IF(ISNUMBER(Roster!$D495),Setup!$C$26&lt;=Roster!$D495,FALSE),"",IF(OR(IF(Setup!$C$15&lt;=Setup!$C$16,AND(MONTH(H495)&gt;=Setup!$C$15,MONTH(H495)&lt;=Setup!$C$16),OR(MONTH(H495)&gt;=Setup!$C$15,MONTH(H495)&lt;=Setup!$C$16)),IF(Setup!$C$15&lt;=Setup!$C$16,AND(MONTH(WORKDAY(H495,-(Setup!$C$13+Setup!$G$26),Setup!$C$39:$C$50))&gt;=Setup!$C$15,MONTH(WORKDAY(H495,-(Setup!$C$13+Setup!$G$26),Setup!$C$39:$C$50))&lt;=Setup!$C$16),OR(MONTH(WORKDAY(H495,-(Setup!$C$13+Setup!$G$26),Setup!$C$39:$C$50))&gt;=Setup!$C$15,MONTH(WORKDAY(H495,-(Setup!$C$13+Setup!$G$26),Setup!$C$39:$C$50))&lt;=Setup!$C$16))),WORKDAY(H495,-(Setup!$C$13+Setup!$G$26+Setup!$C$14),Setup!$C$39:$C$50),WORKDAY(H495,-(Setup!$C$13+Setup!$G$26),Setup!$C$39:$C$50))+(490*100+7)/10000000)))</f>
        <v/>
      </c>
      <c r="Y495" t="str">
        <f>IF(I495="","",IF(I495&lt;Setup!$C$5-Setup!$C$6,"",IF(IF(ISNUMBER(Roster!$D495),Setup!$C$27&lt;=Roster!$D495,FALSE),"",IF(OR(IF(Setup!$C$15&lt;=Setup!$C$16,AND(MONTH(I495)&gt;=Setup!$C$15,MONTH(I495)&lt;=Setup!$C$16),OR(MONTH(I495)&gt;=Setup!$C$15,MONTH(I495)&lt;=Setup!$C$16)),IF(Setup!$C$15&lt;=Setup!$C$16,AND(MONTH(WORKDAY(I495,-(Setup!$C$13+Setup!$G$27),Setup!$C$39:$C$50))&gt;=Setup!$C$15,MONTH(WORKDAY(I495,-(Setup!$C$13+Setup!$G$27),Setup!$C$39:$C$50))&lt;=Setup!$C$16),OR(MONTH(WORKDAY(I495,-(Setup!$C$13+Setup!$G$27),Setup!$C$39:$C$50))&gt;=Setup!$C$15,MONTH(WORKDAY(I495,-(Setup!$C$13+Setup!$G$27),Setup!$C$39:$C$50))&lt;=Setup!$C$16))),WORKDAY(I495,-(Setup!$C$13+Setup!$G$27+Setup!$C$14),Setup!$C$39:$C$50),WORKDAY(I495,-(Setup!$C$13+Setup!$G$27),Setup!$C$39:$C$50))+(490*100+8)/10000000)))</f>
        <v/>
      </c>
      <c r="Z495" t="str">
        <f>IF(J495="","",IF(J495&lt;Setup!$C$5-Setup!$C$6,"",IF(IF(ISNUMBER(Roster!$D495),Setup!$C$28&lt;=Roster!$D495,FALSE),"",IF(OR(IF(Setup!$C$15&lt;=Setup!$C$16,AND(MONTH(J495)&gt;=Setup!$C$15,MONTH(J495)&lt;=Setup!$C$16),OR(MONTH(J495)&gt;=Setup!$C$15,MONTH(J495)&lt;=Setup!$C$16)),IF(Setup!$C$15&lt;=Setup!$C$16,AND(MONTH(WORKDAY(J495,-(Setup!$C$13+Setup!$G$28),Setup!$C$39:$C$50))&gt;=Setup!$C$15,MONTH(WORKDAY(J495,-(Setup!$C$13+Setup!$G$28),Setup!$C$39:$C$50))&lt;=Setup!$C$16),OR(MONTH(WORKDAY(J495,-(Setup!$C$13+Setup!$G$28),Setup!$C$39:$C$50))&gt;=Setup!$C$15,MONTH(WORKDAY(J495,-(Setup!$C$13+Setup!$G$28),Setup!$C$39:$C$50))&lt;=Setup!$C$16))),WORKDAY(J495,-(Setup!$C$13+Setup!$G$28+Setup!$C$14),Setup!$C$39:$C$50),WORKDAY(J495,-(Setup!$C$13+Setup!$G$28),Setup!$C$39:$C$50))+(490*100+9)/10000000)))</f>
        <v/>
      </c>
      <c r="AA495" t="str">
        <f>IF(K495="","",IF(K495&lt;Setup!$C$5-Setup!$C$6,"",IF(IF(ISNUMBER(Roster!$D495),Setup!$C$29&lt;=Roster!$D495,FALSE),"",IF(OR(IF(Setup!$C$15&lt;=Setup!$C$16,AND(MONTH(K495)&gt;=Setup!$C$15,MONTH(K495)&lt;=Setup!$C$16),OR(MONTH(K495)&gt;=Setup!$C$15,MONTH(K495)&lt;=Setup!$C$16)),IF(Setup!$C$15&lt;=Setup!$C$16,AND(MONTH(WORKDAY(K495,-(Setup!$C$13+Setup!$G$29),Setup!$C$39:$C$50))&gt;=Setup!$C$15,MONTH(WORKDAY(K495,-(Setup!$C$13+Setup!$G$29),Setup!$C$39:$C$50))&lt;=Setup!$C$16),OR(MONTH(WORKDAY(K495,-(Setup!$C$13+Setup!$G$29),Setup!$C$39:$C$50))&gt;=Setup!$C$15,MONTH(WORKDAY(K495,-(Setup!$C$13+Setup!$G$29),Setup!$C$39:$C$50))&lt;=Setup!$C$16))),WORKDAY(K495,-(Setup!$C$13+Setup!$G$29+Setup!$C$14),Setup!$C$39:$C$50),WORKDAY(K495,-(Setup!$C$13+Setup!$G$29),Setup!$C$39:$C$50))+(490*100+10)/10000000)))</f>
        <v/>
      </c>
      <c r="AB495" t="str">
        <f>IF(L495="","",IF(L495&lt;Setup!$C$5-Setup!$C$6,"",IF(IF(ISNUMBER(Roster!$D495),Setup!$C$30&lt;=Roster!$D495,FALSE),"",IF(OR(IF(Setup!$C$15&lt;=Setup!$C$16,AND(MONTH(L495)&gt;=Setup!$C$15,MONTH(L495)&lt;=Setup!$C$16),OR(MONTH(L495)&gt;=Setup!$C$15,MONTH(L495)&lt;=Setup!$C$16)),IF(Setup!$C$15&lt;=Setup!$C$16,AND(MONTH(WORKDAY(L495,-(Setup!$C$13+Setup!$G$30),Setup!$C$39:$C$50))&gt;=Setup!$C$15,MONTH(WORKDAY(L495,-(Setup!$C$13+Setup!$G$30),Setup!$C$39:$C$50))&lt;=Setup!$C$16),OR(MONTH(WORKDAY(L495,-(Setup!$C$13+Setup!$G$30),Setup!$C$39:$C$50))&gt;=Setup!$C$15,MONTH(WORKDAY(L495,-(Setup!$C$13+Setup!$G$30),Setup!$C$39:$C$50))&lt;=Setup!$C$16))),WORKDAY(L495,-(Setup!$C$13+Setup!$G$30+Setup!$C$14),Setup!$C$39:$C$50),WORKDAY(L495,-(Setup!$C$13+Setup!$G$30),Setup!$C$39:$C$50))+(490*100+11)/10000000)))</f>
        <v/>
      </c>
      <c r="AC495" t="str">
        <f>IF(M495="","",IF(M495&lt;Setup!$C$5-Setup!$C$6,"",IF(IF(ISNUMBER(Roster!$D495),Setup!$C$31&lt;=Roster!$D495,FALSE),"",IF(OR(IF(Setup!$C$15&lt;=Setup!$C$16,AND(MONTH(M495)&gt;=Setup!$C$15,MONTH(M495)&lt;=Setup!$C$16),OR(MONTH(M495)&gt;=Setup!$C$15,MONTH(M495)&lt;=Setup!$C$16)),IF(Setup!$C$15&lt;=Setup!$C$16,AND(MONTH(WORKDAY(M495,-(Setup!$C$13+Setup!$G$31),Setup!$C$39:$C$50))&gt;=Setup!$C$15,MONTH(WORKDAY(M495,-(Setup!$C$13+Setup!$G$31),Setup!$C$39:$C$50))&lt;=Setup!$C$16),OR(MONTH(WORKDAY(M495,-(Setup!$C$13+Setup!$G$31),Setup!$C$39:$C$50))&gt;=Setup!$C$15,MONTH(WORKDAY(M495,-(Setup!$C$13+Setup!$G$31),Setup!$C$39:$C$50))&lt;=Setup!$C$16))),WORKDAY(M495,-(Setup!$C$13+Setup!$G$31+Setup!$C$14),Setup!$C$39:$C$50),WORKDAY(M495,-(Setup!$C$13+Setup!$G$31),Setup!$C$39:$C$50))+(490*100+12)/10000000)))</f>
        <v/>
      </c>
      <c r="AD495" t="str">
        <f>IF(N495="","",IF(N495&lt;Setup!$C$5-Setup!$C$6,"",IF(IF(ISNUMBER(Roster!$D495),Setup!$C$32&lt;=Roster!$D495,FALSE),"",IF(OR(IF(Setup!$C$15&lt;=Setup!$C$16,AND(MONTH(N495)&gt;=Setup!$C$15,MONTH(N495)&lt;=Setup!$C$16),OR(MONTH(N495)&gt;=Setup!$C$15,MONTH(N495)&lt;=Setup!$C$16)),IF(Setup!$C$15&lt;=Setup!$C$16,AND(MONTH(WORKDAY(N495,-(Setup!$C$13+Setup!$G$32),Setup!$C$39:$C$50))&gt;=Setup!$C$15,MONTH(WORKDAY(N495,-(Setup!$C$13+Setup!$G$32),Setup!$C$39:$C$50))&lt;=Setup!$C$16),OR(MONTH(WORKDAY(N495,-(Setup!$C$13+Setup!$G$32),Setup!$C$39:$C$50))&gt;=Setup!$C$15,MONTH(WORKDAY(N495,-(Setup!$C$13+Setup!$G$32),Setup!$C$39:$C$50))&lt;=Setup!$C$16))),WORKDAY(N495,-(Setup!$C$13+Setup!$G$32+Setup!$C$14),Setup!$C$39:$C$50),WORKDAY(N495,-(Setup!$C$13+Setup!$G$32),Setup!$C$39:$C$50))+(490*100+13)/10000000)))</f>
        <v/>
      </c>
      <c r="AE495" t="str">
        <f>IF(O495="","",IF(O495&lt;Setup!$C$5-Setup!$C$6,"",IF(IF(ISNUMBER(Roster!$D495),Setup!$C$33&lt;=Roster!$D495,FALSE),"",IF(OR(IF(Setup!$C$15&lt;=Setup!$C$16,AND(MONTH(O495)&gt;=Setup!$C$15,MONTH(O495)&lt;=Setup!$C$16),OR(MONTH(O495)&gt;=Setup!$C$15,MONTH(O495)&lt;=Setup!$C$16)),IF(Setup!$C$15&lt;=Setup!$C$16,AND(MONTH(WORKDAY(O495,-(Setup!$C$13+Setup!$G$33),Setup!$C$39:$C$50))&gt;=Setup!$C$15,MONTH(WORKDAY(O495,-(Setup!$C$13+Setup!$G$33),Setup!$C$39:$C$50))&lt;=Setup!$C$16),OR(MONTH(WORKDAY(O495,-(Setup!$C$13+Setup!$G$33),Setup!$C$39:$C$50))&gt;=Setup!$C$15,MONTH(WORKDAY(O495,-(Setup!$C$13+Setup!$G$33),Setup!$C$39:$C$50))&lt;=Setup!$C$16))),WORKDAY(O495,-(Setup!$C$13+Setup!$G$33+Setup!$C$14),Setup!$C$39:$C$50),WORKDAY(O495,-(Setup!$C$13+Setup!$G$33),Setup!$C$39:$C$50))+(490*100+14)/10000000)))</f>
        <v/>
      </c>
      <c r="AF495" t="str">
        <f>IF(P495="","",IF(P495&lt;Setup!$C$5-Setup!$C$6,"",IF(IF(ISNUMBER(Roster!$D495),Setup!$C$34&lt;=Roster!$D495,FALSE),"",IF(OR(IF(Setup!$C$15&lt;=Setup!$C$16,AND(MONTH(P495)&gt;=Setup!$C$15,MONTH(P495)&lt;=Setup!$C$16),OR(MONTH(P495)&gt;=Setup!$C$15,MONTH(P495)&lt;=Setup!$C$16)),IF(Setup!$C$15&lt;=Setup!$C$16,AND(MONTH(WORKDAY(P495,-(Setup!$C$13+Setup!$G$34),Setup!$C$39:$C$50))&gt;=Setup!$C$15,MONTH(WORKDAY(P495,-(Setup!$C$13+Setup!$G$34),Setup!$C$39:$C$50))&lt;=Setup!$C$16),OR(MONTH(WORKDAY(P495,-(Setup!$C$13+Setup!$G$34),Setup!$C$39:$C$50))&gt;=Setup!$C$15,MONTH(WORKDAY(P495,-(Setup!$C$13+Setup!$G$34),Setup!$C$39:$C$50))&lt;=Setup!$C$16))),WORKDAY(P495,-(Setup!$C$13+Setup!$G$34+Setup!$C$14),Setup!$C$39:$C$50),WORKDAY(P495,-(Setup!$C$13+Setup!$G$34),Setup!$C$39:$C$50))+(490*100+15)/10000000)))</f>
        <v/>
      </c>
      <c r="AH495" t="str">
        <f t="shared" si="51"/>
        <v/>
      </c>
      <c r="AI495" t="str">
        <f t="shared" si="52"/>
        <v/>
      </c>
      <c r="AP495" t="str">
        <f>IF(ISNUMBER(Roster!$B495),MAX(1,YEAR(Setup!$C$5)-YEAR(Roster!$B495)+IF(EDATE(Roster!$B495,12*(YEAR(Setup!$C$5)-YEAR(Roster!$B495)))&lt;Setup!$C$5,1,0)),"")</f>
        <v/>
      </c>
      <c r="AQ495" s="32" t="str">
        <f>IF(AP495="","",EDATE(Roster!$B495,12*AP495))</f>
        <v/>
      </c>
      <c r="AR495" t="str">
        <f>IF(AQ495="","",IF(AQ495&lt;DATE(YEAR(Setup!$C$5)+1,MONTH(Setup!$C$5),DAY(Setup!$C$5)),AQ495+490/1000,""))</f>
        <v/>
      </c>
      <c r="AS495" t="str">
        <f t="shared" si="53"/>
        <v/>
      </c>
      <c r="AT495" t="str">
        <f>IF(AS495="","",IF(ISNUMBER(Roster!$D495),Roster!$D495&gt;=AP495,FALSE))</f>
        <v/>
      </c>
      <c r="AU495" t="str">
        <f t="shared" si="54"/>
        <v/>
      </c>
      <c r="AV495" t="str">
        <f ca="1">IF(490&gt;$AV$2,"",SMALL($AR$6:$AR$505,490))</f>
        <v/>
      </c>
      <c r="AW495" t="str">
        <f t="shared" ca="1" si="55"/>
        <v/>
      </c>
    </row>
    <row r="496" spans="2:49" x14ac:dyDescent="0.2">
      <c r="B496" s="32" t="str">
        <f>IF(AND(ISNUMBER(Roster!$B496),Setup!$B$20="Yes",ISNUMBER(Setup!$C$20)),EDATE(Roster!$B496,12*Setup!$C$20),"")</f>
        <v/>
      </c>
      <c r="C496" s="32" t="str">
        <f>IF(AND(ISNUMBER(Roster!$B496),Setup!$B$21="Yes",ISNUMBER(Setup!$C$21)),EDATE(Roster!$B496,12*Setup!$C$21),"")</f>
        <v/>
      </c>
      <c r="D496" s="32" t="str">
        <f>IF(AND(ISNUMBER(Roster!$B496),Setup!$B$22="Yes",ISNUMBER(Setup!$C$22)),EDATE(Roster!$B496,12*Setup!$C$22),"")</f>
        <v/>
      </c>
      <c r="E496" s="32" t="str">
        <f>IF(AND(ISNUMBER(Roster!$B496),Setup!$B$23="Yes",ISNUMBER(Setup!$C$23)),EDATE(Roster!$B496,12*Setup!$C$23),"")</f>
        <v/>
      </c>
      <c r="F496" s="32" t="str">
        <f>IF(AND(ISNUMBER(Roster!$B496),Setup!$B$24="Yes",ISNUMBER(Setup!$C$24)),EDATE(Roster!$B496,12*Setup!$C$24),"")</f>
        <v/>
      </c>
      <c r="G496" s="32" t="str">
        <f>IF(AND(ISNUMBER(Roster!$B496),Setup!$B$25="Yes",ISNUMBER(Setup!$C$25)),EDATE(Roster!$B496,12*Setup!$C$25),"")</f>
        <v/>
      </c>
      <c r="H496" s="32" t="str">
        <f>IF(AND(ISNUMBER(Roster!$B496),Setup!$B$26="Yes",ISNUMBER(Setup!$C$26)),EDATE(Roster!$B496,12*Setup!$C$26),"")</f>
        <v/>
      </c>
      <c r="I496" s="32" t="str">
        <f>IF(AND(ISNUMBER(Roster!$B496),Setup!$B$27="Yes",ISNUMBER(Setup!$C$27)),EDATE(Roster!$B496,12*Setup!$C$27),"")</f>
        <v/>
      </c>
      <c r="J496" s="32" t="str">
        <f>IF(AND(ISNUMBER(Roster!$B496),Setup!$B$28="Yes",ISNUMBER(Setup!$C$28)),EDATE(Roster!$B496,12*Setup!$C$28),"")</f>
        <v/>
      </c>
      <c r="K496" s="32" t="str">
        <f>IF(AND(ISNUMBER(Roster!$B496),Setup!$B$29="Yes",ISNUMBER(Setup!$C$29)),EDATE(Roster!$B496,12*Setup!$C$29),"")</f>
        <v/>
      </c>
      <c r="L496" s="32" t="str">
        <f>IF(AND(ISNUMBER(Roster!$B496),Setup!$B$30="Yes",ISNUMBER(Setup!$C$30)),EDATE(Roster!$B496,12*Setup!$C$30),"")</f>
        <v/>
      </c>
      <c r="M496" s="32" t="str">
        <f>IF(AND(ISNUMBER(Roster!$B496),Setup!$B$31="Yes",ISNUMBER(Setup!$C$31)),EDATE(Roster!$B496,12*Setup!$C$31),"")</f>
        <v/>
      </c>
      <c r="N496" s="32" t="str">
        <f>IF(AND(ISNUMBER(Roster!$B496),Setup!$B$32="Yes",ISNUMBER(Setup!$C$32)),EDATE(Roster!$B496,12*Setup!$C$32),"")</f>
        <v/>
      </c>
      <c r="O496" s="32" t="str">
        <f>IF(AND(ISNUMBER(Roster!$B496),Setup!$B$33="Yes",ISNUMBER(Setup!$C$33)),EDATE(Roster!$B496,12*Setup!$C$33),"")</f>
        <v/>
      </c>
      <c r="P496" s="32" t="str">
        <f>IF(AND(ISNUMBER(Roster!$B496),Setup!$B$34="Yes",ISNUMBER(Setup!$C$34)),EDATE(Roster!$B496,12*Setup!$C$34),"")</f>
        <v/>
      </c>
      <c r="R496" t="str">
        <f>IF(B496="","",IF(B496&lt;Setup!$C$5-Setup!$C$6,"",IF(IF(ISNUMBER(Roster!$D496),Setup!$C$20&lt;=Roster!$D496,FALSE),"",IF(OR(IF(Setup!$C$15&lt;=Setup!$C$16,AND(MONTH(B496)&gt;=Setup!$C$15,MONTH(B496)&lt;=Setup!$C$16),OR(MONTH(B496)&gt;=Setup!$C$15,MONTH(B496)&lt;=Setup!$C$16)),IF(Setup!$C$15&lt;=Setup!$C$16,AND(MONTH(WORKDAY(B496,-(Setup!$C$13+Setup!$G$20),Setup!$C$39:$C$50))&gt;=Setup!$C$15,MONTH(WORKDAY(B496,-(Setup!$C$13+Setup!$G$20),Setup!$C$39:$C$50))&lt;=Setup!$C$16),OR(MONTH(WORKDAY(B496,-(Setup!$C$13+Setup!$G$20),Setup!$C$39:$C$50))&gt;=Setup!$C$15,MONTH(WORKDAY(B496,-(Setup!$C$13+Setup!$G$20),Setup!$C$39:$C$50))&lt;=Setup!$C$16))),WORKDAY(B496,-(Setup!$C$13+Setup!$G$20+Setup!$C$14),Setup!$C$39:$C$50),WORKDAY(B496,-(Setup!$C$13+Setup!$G$20),Setup!$C$39:$C$50))+(491*100+1)/10000000)))</f>
        <v/>
      </c>
      <c r="S496" t="str">
        <f>IF(C496="","",IF(C496&lt;Setup!$C$5-Setup!$C$6,"",IF(IF(ISNUMBER(Roster!$D496),Setup!$C$21&lt;=Roster!$D496,FALSE),"",IF(OR(IF(Setup!$C$15&lt;=Setup!$C$16,AND(MONTH(C496)&gt;=Setup!$C$15,MONTH(C496)&lt;=Setup!$C$16),OR(MONTH(C496)&gt;=Setup!$C$15,MONTH(C496)&lt;=Setup!$C$16)),IF(Setup!$C$15&lt;=Setup!$C$16,AND(MONTH(WORKDAY(C496,-(Setup!$C$13+Setup!$G$21),Setup!$C$39:$C$50))&gt;=Setup!$C$15,MONTH(WORKDAY(C496,-(Setup!$C$13+Setup!$G$21),Setup!$C$39:$C$50))&lt;=Setup!$C$16),OR(MONTH(WORKDAY(C496,-(Setup!$C$13+Setup!$G$21),Setup!$C$39:$C$50))&gt;=Setup!$C$15,MONTH(WORKDAY(C496,-(Setup!$C$13+Setup!$G$21),Setup!$C$39:$C$50))&lt;=Setup!$C$16))),WORKDAY(C496,-(Setup!$C$13+Setup!$G$21+Setup!$C$14),Setup!$C$39:$C$50),WORKDAY(C496,-(Setup!$C$13+Setup!$G$21),Setup!$C$39:$C$50))+(491*100+2)/10000000)))</f>
        <v/>
      </c>
      <c r="T496" t="str">
        <f>IF(D496="","",IF(D496&lt;Setup!$C$5-Setup!$C$6,"",IF(IF(ISNUMBER(Roster!$D496),Setup!$C$22&lt;=Roster!$D496,FALSE),"",IF(OR(IF(Setup!$C$15&lt;=Setup!$C$16,AND(MONTH(D496)&gt;=Setup!$C$15,MONTH(D496)&lt;=Setup!$C$16),OR(MONTH(D496)&gt;=Setup!$C$15,MONTH(D496)&lt;=Setup!$C$16)),IF(Setup!$C$15&lt;=Setup!$C$16,AND(MONTH(WORKDAY(D496,-(Setup!$C$13+Setup!$G$22),Setup!$C$39:$C$50))&gt;=Setup!$C$15,MONTH(WORKDAY(D496,-(Setup!$C$13+Setup!$G$22),Setup!$C$39:$C$50))&lt;=Setup!$C$16),OR(MONTH(WORKDAY(D496,-(Setup!$C$13+Setup!$G$22),Setup!$C$39:$C$50))&gt;=Setup!$C$15,MONTH(WORKDAY(D496,-(Setup!$C$13+Setup!$G$22),Setup!$C$39:$C$50))&lt;=Setup!$C$16))),WORKDAY(D496,-(Setup!$C$13+Setup!$G$22+Setup!$C$14),Setup!$C$39:$C$50),WORKDAY(D496,-(Setup!$C$13+Setup!$G$22),Setup!$C$39:$C$50))+(491*100+3)/10000000)))</f>
        <v/>
      </c>
      <c r="U496" t="str">
        <f>IF(E496="","",IF(E496&lt;Setup!$C$5-Setup!$C$6,"",IF(IF(ISNUMBER(Roster!$D496),Setup!$C$23&lt;=Roster!$D496,FALSE),"",IF(OR(IF(Setup!$C$15&lt;=Setup!$C$16,AND(MONTH(E496)&gt;=Setup!$C$15,MONTH(E496)&lt;=Setup!$C$16),OR(MONTH(E496)&gt;=Setup!$C$15,MONTH(E496)&lt;=Setup!$C$16)),IF(Setup!$C$15&lt;=Setup!$C$16,AND(MONTH(WORKDAY(E496,-(Setup!$C$13+Setup!$G$23),Setup!$C$39:$C$50))&gt;=Setup!$C$15,MONTH(WORKDAY(E496,-(Setup!$C$13+Setup!$G$23),Setup!$C$39:$C$50))&lt;=Setup!$C$16),OR(MONTH(WORKDAY(E496,-(Setup!$C$13+Setup!$G$23),Setup!$C$39:$C$50))&gt;=Setup!$C$15,MONTH(WORKDAY(E496,-(Setup!$C$13+Setup!$G$23),Setup!$C$39:$C$50))&lt;=Setup!$C$16))),WORKDAY(E496,-(Setup!$C$13+Setup!$G$23+Setup!$C$14),Setup!$C$39:$C$50),WORKDAY(E496,-(Setup!$C$13+Setup!$G$23),Setup!$C$39:$C$50))+(491*100+4)/10000000)))</f>
        <v/>
      </c>
      <c r="V496" t="str">
        <f>IF(F496="","",IF(F496&lt;Setup!$C$5-Setup!$C$6,"",IF(IF(ISNUMBER(Roster!$D496),Setup!$C$24&lt;=Roster!$D496,FALSE),"",IF(OR(IF(Setup!$C$15&lt;=Setup!$C$16,AND(MONTH(F496)&gt;=Setup!$C$15,MONTH(F496)&lt;=Setup!$C$16),OR(MONTH(F496)&gt;=Setup!$C$15,MONTH(F496)&lt;=Setup!$C$16)),IF(Setup!$C$15&lt;=Setup!$C$16,AND(MONTH(WORKDAY(F496,-(Setup!$C$13+Setup!$G$24),Setup!$C$39:$C$50))&gt;=Setup!$C$15,MONTH(WORKDAY(F496,-(Setup!$C$13+Setup!$G$24),Setup!$C$39:$C$50))&lt;=Setup!$C$16),OR(MONTH(WORKDAY(F496,-(Setup!$C$13+Setup!$G$24),Setup!$C$39:$C$50))&gt;=Setup!$C$15,MONTH(WORKDAY(F496,-(Setup!$C$13+Setup!$G$24),Setup!$C$39:$C$50))&lt;=Setup!$C$16))),WORKDAY(F496,-(Setup!$C$13+Setup!$G$24+Setup!$C$14),Setup!$C$39:$C$50),WORKDAY(F496,-(Setup!$C$13+Setup!$G$24),Setup!$C$39:$C$50))+(491*100+5)/10000000)))</f>
        <v/>
      </c>
      <c r="W496" t="str">
        <f>IF(G496="","",IF(G496&lt;Setup!$C$5-Setup!$C$6,"",IF(IF(ISNUMBER(Roster!$D496),Setup!$C$25&lt;=Roster!$D496,FALSE),"",IF(OR(IF(Setup!$C$15&lt;=Setup!$C$16,AND(MONTH(G496)&gt;=Setup!$C$15,MONTH(G496)&lt;=Setup!$C$16),OR(MONTH(G496)&gt;=Setup!$C$15,MONTH(G496)&lt;=Setup!$C$16)),IF(Setup!$C$15&lt;=Setup!$C$16,AND(MONTH(WORKDAY(G496,-(Setup!$C$13+Setup!$G$25),Setup!$C$39:$C$50))&gt;=Setup!$C$15,MONTH(WORKDAY(G496,-(Setup!$C$13+Setup!$G$25),Setup!$C$39:$C$50))&lt;=Setup!$C$16),OR(MONTH(WORKDAY(G496,-(Setup!$C$13+Setup!$G$25),Setup!$C$39:$C$50))&gt;=Setup!$C$15,MONTH(WORKDAY(G496,-(Setup!$C$13+Setup!$G$25),Setup!$C$39:$C$50))&lt;=Setup!$C$16))),WORKDAY(G496,-(Setup!$C$13+Setup!$G$25+Setup!$C$14),Setup!$C$39:$C$50),WORKDAY(G496,-(Setup!$C$13+Setup!$G$25),Setup!$C$39:$C$50))+(491*100+6)/10000000)))</f>
        <v/>
      </c>
      <c r="X496" t="str">
        <f>IF(H496="","",IF(H496&lt;Setup!$C$5-Setup!$C$6,"",IF(IF(ISNUMBER(Roster!$D496),Setup!$C$26&lt;=Roster!$D496,FALSE),"",IF(OR(IF(Setup!$C$15&lt;=Setup!$C$16,AND(MONTH(H496)&gt;=Setup!$C$15,MONTH(H496)&lt;=Setup!$C$16),OR(MONTH(H496)&gt;=Setup!$C$15,MONTH(H496)&lt;=Setup!$C$16)),IF(Setup!$C$15&lt;=Setup!$C$16,AND(MONTH(WORKDAY(H496,-(Setup!$C$13+Setup!$G$26),Setup!$C$39:$C$50))&gt;=Setup!$C$15,MONTH(WORKDAY(H496,-(Setup!$C$13+Setup!$G$26),Setup!$C$39:$C$50))&lt;=Setup!$C$16),OR(MONTH(WORKDAY(H496,-(Setup!$C$13+Setup!$G$26),Setup!$C$39:$C$50))&gt;=Setup!$C$15,MONTH(WORKDAY(H496,-(Setup!$C$13+Setup!$G$26),Setup!$C$39:$C$50))&lt;=Setup!$C$16))),WORKDAY(H496,-(Setup!$C$13+Setup!$G$26+Setup!$C$14),Setup!$C$39:$C$50),WORKDAY(H496,-(Setup!$C$13+Setup!$G$26),Setup!$C$39:$C$50))+(491*100+7)/10000000)))</f>
        <v/>
      </c>
      <c r="Y496" t="str">
        <f>IF(I496="","",IF(I496&lt;Setup!$C$5-Setup!$C$6,"",IF(IF(ISNUMBER(Roster!$D496),Setup!$C$27&lt;=Roster!$D496,FALSE),"",IF(OR(IF(Setup!$C$15&lt;=Setup!$C$16,AND(MONTH(I496)&gt;=Setup!$C$15,MONTH(I496)&lt;=Setup!$C$16),OR(MONTH(I496)&gt;=Setup!$C$15,MONTH(I496)&lt;=Setup!$C$16)),IF(Setup!$C$15&lt;=Setup!$C$16,AND(MONTH(WORKDAY(I496,-(Setup!$C$13+Setup!$G$27),Setup!$C$39:$C$50))&gt;=Setup!$C$15,MONTH(WORKDAY(I496,-(Setup!$C$13+Setup!$G$27),Setup!$C$39:$C$50))&lt;=Setup!$C$16),OR(MONTH(WORKDAY(I496,-(Setup!$C$13+Setup!$G$27),Setup!$C$39:$C$50))&gt;=Setup!$C$15,MONTH(WORKDAY(I496,-(Setup!$C$13+Setup!$G$27),Setup!$C$39:$C$50))&lt;=Setup!$C$16))),WORKDAY(I496,-(Setup!$C$13+Setup!$G$27+Setup!$C$14),Setup!$C$39:$C$50),WORKDAY(I496,-(Setup!$C$13+Setup!$G$27),Setup!$C$39:$C$50))+(491*100+8)/10000000)))</f>
        <v/>
      </c>
      <c r="Z496" t="str">
        <f>IF(J496="","",IF(J496&lt;Setup!$C$5-Setup!$C$6,"",IF(IF(ISNUMBER(Roster!$D496),Setup!$C$28&lt;=Roster!$D496,FALSE),"",IF(OR(IF(Setup!$C$15&lt;=Setup!$C$16,AND(MONTH(J496)&gt;=Setup!$C$15,MONTH(J496)&lt;=Setup!$C$16),OR(MONTH(J496)&gt;=Setup!$C$15,MONTH(J496)&lt;=Setup!$C$16)),IF(Setup!$C$15&lt;=Setup!$C$16,AND(MONTH(WORKDAY(J496,-(Setup!$C$13+Setup!$G$28),Setup!$C$39:$C$50))&gt;=Setup!$C$15,MONTH(WORKDAY(J496,-(Setup!$C$13+Setup!$G$28),Setup!$C$39:$C$50))&lt;=Setup!$C$16),OR(MONTH(WORKDAY(J496,-(Setup!$C$13+Setup!$G$28),Setup!$C$39:$C$50))&gt;=Setup!$C$15,MONTH(WORKDAY(J496,-(Setup!$C$13+Setup!$G$28),Setup!$C$39:$C$50))&lt;=Setup!$C$16))),WORKDAY(J496,-(Setup!$C$13+Setup!$G$28+Setup!$C$14),Setup!$C$39:$C$50),WORKDAY(J496,-(Setup!$C$13+Setup!$G$28),Setup!$C$39:$C$50))+(491*100+9)/10000000)))</f>
        <v/>
      </c>
      <c r="AA496" t="str">
        <f>IF(K496="","",IF(K496&lt;Setup!$C$5-Setup!$C$6,"",IF(IF(ISNUMBER(Roster!$D496),Setup!$C$29&lt;=Roster!$D496,FALSE),"",IF(OR(IF(Setup!$C$15&lt;=Setup!$C$16,AND(MONTH(K496)&gt;=Setup!$C$15,MONTH(K496)&lt;=Setup!$C$16),OR(MONTH(K496)&gt;=Setup!$C$15,MONTH(K496)&lt;=Setup!$C$16)),IF(Setup!$C$15&lt;=Setup!$C$16,AND(MONTH(WORKDAY(K496,-(Setup!$C$13+Setup!$G$29),Setup!$C$39:$C$50))&gt;=Setup!$C$15,MONTH(WORKDAY(K496,-(Setup!$C$13+Setup!$G$29),Setup!$C$39:$C$50))&lt;=Setup!$C$16),OR(MONTH(WORKDAY(K496,-(Setup!$C$13+Setup!$G$29),Setup!$C$39:$C$50))&gt;=Setup!$C$15,MONTH(WORKDAY(K496,-(Setup!$C$13+Setup!$G$29),Setup!$C$39:$C$50))&lt;=Setup!$C$16))),WORKDAY(K496,-(Setup!$C$13+Setup!$G$29+Setup!$C$14),Setup!$C$39:$C$50),WORKDAY(K496,-(Setup!$C$13+Setup!$G$29),Setup!$C$39:$C$50))+(491*100+10)/10000000)))</f>
        <v/>
      </c>
      <c r="AB496" t="str">
        <f>IF(L496="","",IF(L496&lt;Setup!$C$5-Setup!$C$6,"",IF(IF(ISNUMBER(Roster!$D496),Setup!$C$30&lt;=Roster!$D496,FALSE),"",IF(OR(IF(Setup!$C$15&lt;=Setup!$C$16,AND(MONTH(L496)&gt;=Setup!$C$15,MONTH(L496)&lt;=Setup!$C$16),OR(MONTH(L496)&gt;=Setup!$C$15,MONTH(L496)&lt;=Setup!$C$16)),IF(Setup!$C$15&lt;=Setup!$C$16,AND(MONTH(WORKDAY(L496,-(Setup!$C$13+Setup!$G$30),Setup!$C$39:$C$50))&gt;=Setup!$C$15,MONTH(WORKDAY(L496,-(Setup!$C$13+Setup!$G$30),Setup!$C$39:$C$50))&lt;=Setup!$C$16),OR(MONTH(WORKDAY(L496,-(Setup!$C$13+Setup!$G$30),Setup!$C$39:$C$50))&gt;=Setup!$C$15,MONTH(WORKDAY(L496,-(Setup!$C$13+Setup!$G$30),Setup!$C$39:$C$50))&lt;=Setup!$C$16))),WORKDAY(L496,-(Setup!$C$13+Setup!$G$30+Setup!$C$14),Setup!$C$39:$C$50),WORKDAY(L496,-(Setup!$C$13+Setup!$G$30),Setup!$C$39:$C$50))+(491*100+11)/10000000)))</f>
        <v/>
      </c>
      <c r="AC496" t="str">
        <f>IF(M496="","",IF(M496&lt;Setup!$C$5-Setup!$C$6,"",IF(IF(ISNUMBER(Roster!$D496),Setup!$C$31&lt;=Roster!$D496,FALSE),"",IF(OR(IF(Setup!$C$15&lt;=Setup!$C$16,AND(MONTH(M496)&gt;=Setup!$C$15,MONTH(M496)&lt;=Setup!$C$16),OR(MONTH(M496)&gt;=Setup!$C$15,MONTH(M496)&lt;=Setup!$C$16)),IF(Setup!$C$15&lt;=Setup!$C$16,AND(MONTH(WORKDAY(M496,-(Setup!$C$13+Setup!$G$31),Setup!$C$39:$C$50))&gt;=Setup!$C$15,MONTH(WORKDAY(M496,-(Setup!$C$13+Setup!$G$31),Setup!$C$39:$C$50))&lt;=Setup!$C$16),OR(MONTH(WORKDAY(M496,-(Setup!$C$13+Setup!$G$31),Setup!$C$39:$C$50))&gt;=Setup!$C$15,MONTH(WORKDAY(M496,-(Setup!$C$13+Setup!$G$31),Setup!$C$39:$C$50))&lt;=Setup!$C$16))),WORKDAY(M496,-(Setup!$C$13+Setup!$G$31+Setup!$C$14),Setup!$C$39:$C$50),WORKDAY(M496,-(Setup!$C$13+Setup!$G$31),Setup!$C$39:$C$50))+(491*100+12)/10000000)))</f>
        <v/>
      </c>
      <c r="AD496" t="str">
        <f>IF(N496="","",IF(N496&lt;Setup!$C$5-Setup!$C$6,"",IF(IF(ISNUMBER(Roster!$D496),Setup!$C$32&lt;=Roster!$D496,FALSE),"",IF(OR(IF(Setup!$C$15&lt;=Setup!$C$16,AND(MONTH(N496)&gt;=Setup!$C$15,MONTH(N496)&lt;=Setup!$C$16),OR(MONTH(N496)&gt;=Setup!$C$15,MONTH(N496)&lt;=Setup!$C$16)),IF(Setup!$C$15&lt;=Setup!$C$16,AND(MONTH(WORKDAY(N496,-(Setup!$C$13+Setup!$G$32),Setup!$C$39:$C$50))&gt;=Setup!$C$15,MONTH(WORKDAY(N496,-(Setup!$C$13+Setup!$G$32),Setup!$C$39:$C$50))&lt;=Setup!$C$16),OR(MONTH(WORKDAY(N496,-(Setup!$C$13+Setup!$G$32),Setup!$C$39:$C$50))&gt;=Setup!$C$15,MONTH(WORKDAY(N496,-(Setup!$C$13+Setup!$G$32),Setup!$C$39:$C$50))&lt;=Setup!$C$16))),WORKDAY(N496,-(Setup!$C$13+Setup!$G$32+Setup!$C$14),Setup!$C$39:$C$50),WORKDAY(N496,-(Setup!$C$13+Setup!$G$32),Setup!$C$39:$C$50))+(491*100+13)/10000000)))</f>
        <v/>
      </c>
      <c r="AE496" t="str">
        <f>IF(O496="","",IF(O496&lt;Setup!$C$5-Setup!$C$6,"",IF(IF(ISNUMBER(Roster!$D496),Setup!$C$33&lt;=Roster!$D496,FALSE),"",IF(OR(IF(Setup!$C$15&lt;=Setup!$C$16,AND(MONTH(O496)&gt;=Setup!$C$15,MONTH(O496)&lt;=Setup!$C$16),OR(MONTH(O496)&gt;=Setup!$C$15,MONTH(O496)&lt;=Setup!$C$16)),IF(Setup!$C$15&lt;=Setup!$C$16,AND(MONTH(WORKDAY(O496,-(Setup!$C$13+Setup!$G$33),Setup!$C$39:$C$50))&gt;=Setup!$C$15,MONTH(WORKDAY(O496,-(Setup!$C$13+Setup!$G$33),Setup!$C$39:$C$50))&lt;=Setup!$C$16),OR(MONTH(WORKDAY(O496,-(Setup!$C$13+Setup!$G$33),Setup!$C$39:$C$50))&gt;=Setup!$C$15,MONTH(WORKDAY(O496,-(Setup!$C$13+Setup!$G$33),Setup!$C$39:$C$50))&lt;=Setup!$C$16))),WORKDAY(O496,-(Setup!$C$13+Setup!$G$33+Setup!$C$14),Setup!$C$39:$C$50),WORKDAY(O496,-(Setup!$C$13+Setup!$G$33),Setup!$C$39:$C$50))+(491*100+14)/10000000)))</f>
        <v/>
      </c>
      <c r="AF496" t="str">
        <f>IF(P496="","",IF(P496&lt;Setup!$C$5-Setup!$C$6,"",IF(IF(ISNUMBER(Roster!$D496),Setup!$C$34&lt;=Roster!$D496,FALSE),"",IF(OR(IF(Setup!$C$15&lt;=Setup!$C$16,AND(MONTH(P496)&gt;=Setup!$C$15,MONTH(P496)&lt;=Setup!$C$16),OR(MONTH(P496)&gt;=Setup!$C$15,MONTH(P496)&lt;=Setup!$C$16)),IF(Setup!$C$15&lt;=Setup!$C$16,AND(MONTH(WORKDAY(P496,-(Setup!$C$13+Setup!$G$34),Setup!$C$39:$C$50))&gt;=Setup!$C$15,MONTH(WORKDAY(P496,-(Setup!$C$13+Setup!$G$34),Setup!$C$39:$C$50))&lt;=Setup!$C$16),OR(MONTH(WORKDAY(P496,-(Setup!$C$13+Setup!$G$34),Setup!$C$39:$C$50))&gt;=Setup!$C$15,MONTH(WORKDAY(P496,-(Setup!$C$13+Setup!$G$34),Setup!$C$39:$C$50))&lt;=Setup!$C$16))),WORKDAY(P496,-(Setup!$C$13+Setup!$G$34+Setup!$C$14),Setup!$C$39:$C$50),WORKDAY(P496,-(Setup!$C$13+Setup!$G$34),Setup!$C$39:$C$50))+(491*100+15)/10000000)))</f>
        <v/>
      </c>
      <c r="AH496" t="str">
        <f t="shared" si="51"/>
        <v/>
      </c>
      <c r="AI496" t="str">
        <f t="shared" si="52"/>
        <v/>
      </c>
      <c r="AP496" t="str">
        <f>IF(ISNUMBER(Roster!$B496),MAX(1,YEAR(Setup!$C$5)-YEAR(Roster!$B496)+IF(EDATE(Roster!$B496,12*(YEAR(Setup!$C$5)-YEAR(Roster!$B496)))&lt;Setup!$C$5,1,0)),"")</f>
        <v/>
      </c>
      <c r="AQ496" s="32" t="str">
        <f>IF(AP496="","",EDATE(Roster!$B496,12*AP496))</f>
        <v/>
      </c>
      <c r="AR496" t="str">
        <f>IF(AQ496="","",IF(AQ496&lt;DATE(YEAR(Setup!$C$5)+1,MONTH(Setup!$C$5),DAY(Setup!$C$5)),AQ496+491/1000,""))</f>
        <v/>
      </c>
      <c r="AS496" t="str">
        <f t="shared" si="53"/>
        <v/>
      </c>
      <c r="AT496" t="str">
        <f>IF(AS496="","",IF(ISNUMBER(Roster!$D496),Roster!$D496&gt;=AP496,FALSE))</f>
        <v/>
      </c>
      <c r="AU496" t="str">
        <f t="shared" si="54"/>
        <v/>
      </c>
      <c r="AV496" t="str">
        <f ca="1">IF(491&gt;$AV$2,"",SMALL($AR$6:$AR$505,491))</f>
        <v/>
      </c>
      <c r="AW496" t="str">
        <f t="shared" ca="1" si="55"/>
        <v/>
      </c>
    </row>
    <row r="497" spans="2:49" x14ac:dyDescent="0.2">
      <c r="B497" s="32" t="str">
        <f>IF(AND(ISNUMBER(Roster!$B497),Setup!$B$20="Yes",ISNUMBER(Setup!$C$20)),EDATE(Roster!$B497,12*Setup!$C$20),"")</f>
        <v/>
      </c>
      <c r="C497" s="32" t="str">
        <f>IF(AND(ISNUMBER(Roster!$B497),Setup!$B$21="Yes",ISNUMBER(Setup!$C$21)),EDATE(Roster!$B497,12*Setup!$C$21),"")</f>
        <v/>
      </c>
      <c r="D497" s="32" t="str">
        <f>IF(AND(ISNUMBER(Roster!$B497),Setup!$B$22="Yes",ISNUMBER(Setup!$C$22)),EDATE(Roster!$B497,12*Setup!$C$22),"")</f>
        <v/>
      </c>
      <c r="E497" s="32" t="str">
        <f>IF(AND(ISNUMBER(Roster!$B497),Setup!$B$23="Yes",ISNUMBER(Setup!$C$23)),EDATE(Roster!$B497,12*Setup!$C$23),"")</f>
        <v/>
      </c>
      <c r="F497" s="32" t="str">
        <f>IF(AND(ISNUMBER(Roster!$B497),Setup!$B$24="Yes",ISNUMBER(Setup!$C$24)),EDATE(Roster!$B497,12*Setup!$C$24),"")</f>
        <v/>
      </c>
      <c r="G497" s="32" t="str">
        <f>IF(AND(ISNUMBER(Roster!$B497),Setup!$B$25="Yes",ISNUMBER(Setup!$C$25)),EDATE(Roster!$B497,12*Setup!$C$25),"")</f>
        <v/>
      </c>
      <c r="H497" s="32" t="str">
        <f>IF(AND(ISNUMBER(Roster!$B497),Setup!$B$26="Yes",ISNUMBER(Setup!$C$26)),EDATE(Roster!$B497,12*Setup!$C$26),"")</f>
        <v/>
      </c>
      <c r="I497" s="32" t="str">
        <f>IF(AND(ISNUMBER(Roster!$B497),Setup!$B$27="Yes",ISNUMBER(Setup!$C$27)),EDATE(Roster!$B497,12*Setup!$C$27),"")</f>
        <v/>
      </c>
      <c r="J497" s="32" t="str">
        <f>IF(AND(ISNUMBER(Roster!$B497),Setup!$B$28="Yes",ISNUMBER(Setup!$C$28)),EDATE(Roster!$B497,12*Setup!$C$28),"")</f>
        <v/>
      </c>
      <c r="K497" s="32" t="str">
        <f>IF(AND(ISNUMBER(Roster!$B497),Setup!$B$29="Yes",ISNUMBER(Setup!$C$29)),EDATE(Roster!$B497,12*Setup!$C$29),"")</f>
        <v/>
      </c>
      <c r="L497" s="32" t="str">
        <f>IF(AND(ISNUMBER(Roster!$B497),Setup!$B$30="Yes",ISNUMBER(Setup!$C$30)),EDATE(Roster!$B497,12*Setup!$C$30),"")</f>
        <v/>
      </c>
      <c r="M497" s="32" t="str">
        <f>IF(AND(ISNUMBER(Roster!$B497),Setup!$B$31="Yes",ISNUMBER(Setup!$C$31)),EDATE(Roster!$B497,12*Setup!$C$31),"")</f>
        <v/>
      </c>
      <c r="N497" s="32" t="str">
        <f>IF(AND(ISNUMBER(Roster!$B497),Setup!$B$32="Yes",ISNUMBER(Setup!$C$32)),EDATE(Roster!$B497,12*Setup!$C$32),"")</f>
        <v/>
      </c>
      <c r="O497" s="32" t="str">
        <f>IF(AND(ISNUMBER(Roster!$B497),Setup!$B$33="Yes",ISNUMBER(Setup!$C$33)),EDATE(Roster!$B497,12*Setup!$C$33),"")</f>
        <v/>
      </c>
      <c r="P497" s="32" t="str">
        <f>IF(AND(ISNUMBER(Roster!$B497),Setup!$B$34="Yes",ISNUMBER(Setup!$C$34)),EDATE(Roster!$B497,12*Setup!$C$34),"")</f>
        <v/>
      </c>
      <c r="R497" t="str">
        <f>IF(B497="","",IF(B497&lt;Setup!$C$5-Setup!$C$6,"",IF(IF(ISNUMBER(Roster!$D497),Setup!$C$20&lt;=Roster!$D497,FALSE),"",IF(OR(IF(Setup!$C$15&lt;=Setup!$C$16,AND(MONTH(B497)&gt;=Setup!$C$15,MONTH(B497)&lt;=Setup!$C$16),OR(MONTH(B497)&gt;=Setup!$C$15,MONTH(B497)&lt;=Setup!$C$16)),IF(Setup!$C$15&lt;=Setup!$C$16,AND(MONTH(WORKDAY(B497,-(Setup!$C$13+Setup!$G$20),Setup!$C$39:$C$50))&gt;=Setup!$C$15,MONTH(WORKDAY(B497,-(Setup!$C$13+Setup!$G$20),Setup!$C$39:$C$50))&lt;=Setup!$C$16),OR(MONTH(WORKDAY(B497,-(Setup!$C$13+Setup!$G$20),Setup!$C$39:$C$50))&gt;=Setup!$C$15,MONTH(WORKDAY(B497,-(Setup!$C$13+Setup!$G$20),Setup!$C$39:$C$50))&lt;=Setup!$C$16))),WORKDAY(B497,-(Setup!$C$13+Setup!$G$20+Setup!$C$14),Setup!$C$39:$C$50),WORKDAY(B497,-(Setup!$C$13+Setup!$G$20),Setup!$C$39:$C$50))+(492*100+1)/10000000)))</f>
        <v/>
      </c>
      <c r="S497" t="str">
        <f>IF(C497="","",IF(C497&lt;Setup!$C$5-Setup!$C$6,"",IF(IF(ISNUMBER(Roster!$D497),Setup!$C$21&lt;=Roster!$D497,FALSE),"",IF(OR(IF(Setup!$C$15&lt;=Setup!$C$16,AND(MONTH(C497)&gt;=Setup!$C$15,MONTH(C497)&lt;=Setup!$C$16),OR(MONTH(C497)&gt;=Setup!$C$15,MONTH(C497)&lt;=Setup!$C$16)),IF(Setup!$C$15&lt;=Setup!$C$16,AND(MONTH(WORKDAY(C497,-(Setup!$C$13+Setup!$G$21),Setup!$C$39:$C$50))&gt;=Setup!$C$15,MONTH(WORKDAY(C497,-(Setup!$C$13+Setup!$G$21),Setup!$C$39:$C$50))&lt;=Setup!$C$16),OR(MONTH(WORKDAY(C497,-(Setup!$C$13+Setup!$G$21),Setup!$C$39:$C$50))&gt;=Setup!$C$15,MONTH(WORKDAY(C497,-(Setup!$C$13+Setup!$G$21),Setup!$C$39:$C$50))&lt;=Setup!$C$16))),WORKDAY(C497,-(Setup!$C$13+Setup!$G$21+Setup!$C$14),Setup!$C$39:$C$50),WORKDAY(C497,-(Setup!$C$13+Setup!$G$21),Setup!$C$39:$C$50))+(492*100+2)/10000000)))</f>
        <v/>
      </c>
      <c r="T497" t="str">
        <f>IF(D497="","",IF(D497&lt;Setup!$C$5-Setup!$C$6,"",IF(IF(ISNUMBER(Roster!$D497),Setup!$C$22&lt;=Roster!$D497,FALSE),"",IF(OR(IF(Setup!$C$15&lt;=Setup!$C$16,AND(MONTH(D497)&gt;=Setup!$C$15,MONTH(D497)&lt;=Setup!$C$16),OR(MONTH(D497)&gt;=Setup!$C$15,MONTH(D497)&lt;=Setup!$C$16)),IF(Setup!$C$15&lt;=Setup!$C$16,AND(MONTH(WORKDAY(D497,-(Setup!$C$13+Setup!$G$22),Setup!$C$39:$C$50))&gt;=Setup!$C$15,MONTH(WORKDAY(D497,-(Setup!$C$13+Setup!$G$22),Setup!$C$39:$C$50))&lt;=Setup!$C$16),OR(MONTH(WORKDAY(D497,-(Setup!$C$13+Setup!$G$22),Setup!$C$39:$C$50))&gt;=Setup!$C$15,MONTH(WORKDAY(D497,-(Setup!$C$13+Setup!$G$22),Setup!$C$39:$C$50))&lt;=Setup!$C$16))),WORKDAY(D497,-(Setup!$C$13+Setup!$G$22+Setup!$C$14),Setup!$C$39:$C$50),WORKDAY(D497,-(Setup!$C$13+Setup!$G$22),Setup!$C$39:$C$50))+(492*100+3)/10000000)))</f>
        <v/>
      </c>
      <c r="U497" t="str">
        <f>IF(E497="","",IF(E497&lt;Setup!$C$5-Setup!$C$6,"",IF(IF(ISNUMBER(Roster!$D497),Setup!$C$23&lt;=Roster!$D497,FALSE),"",IF(OR(IF(Setup!$C$15&lt;=Setup!$C$16,AND(MONTH(E497)&gt;=Setup!$C$15,MONTH(E497)&lt;=Setup!$C$16),OR(MONTH(E497)&gt;=Setup!$C$15,MONTH(E497)&lt;=Setup!$C$16)),IF(Setup!$C$15&lt;=Setup!$C$16,AND(MONTH(WORKDAY(E497,-(Setup!$C$13+Setup!$G$23),Setup!$C$39:$C$50))&gt;=Setup!$C$15,MONTH(WORKDAY(E497,-(Setup!$C$13+Setup!$G$23),Setup!$C$39:$C$50))&lt;=Setup!$C$16),OR(MONTH(WORKDAY(E497,-(Setup!$C$13+Setup!$G$23),Setup!$C$39:$C$50))&gt;=Setup!$C$15,MONTH(WORKDAY(E497,-(Setup!$C$13+Setup!$G$23),Setup!$C$39:$C$50))&lt;=Setup!$C$16))),WORKDAY(E497,-(Setup!$C$13+Setup!$G$23+Setup!$C$14),Setup!$C$39:$C$50),WORKDAY(E497,-(Setup!$C$13+Setup!$G$23),Setup!$C$39:$C$50))+(492*100+4)/10000000)))</f>
        <v/>
      </c>
      <c r="V497" t="str">
        <f>IF(F497="","",IF(F497&lt;Setup!$C$5-Setup!$C$6,"",IF(IF(ISNUMBER(Roster!$D497),Setup!$C$24&lt;=Roster!$D497,FALSE),"",IF(OR(IF(Setup!$C$15&lt;=Setup!$C$16,AND(MONTH(F497)&gt;=Setup!$C$15,MONTH(F497)&lt;=Setup!$C$16),OR(MONTH(F497)&gt;=Setup!$C$15,MONTH(F497)&lt;=Setup!$C$16)),IF(Setup!$C$15&lt;=Setup!$C$16,AND(MONTH(WORKDAY(F497,-(Setup!$C$13+Setup!$G$24),Setup!$C$39:$C$50))&gt;=Setup!$C$15,MONTH(WORKDAY(F497,-(Setup!$C$13+Setup!$G$24),Setup!$C$39:$C$50))&lt;=Setup!$C$16),OR(MONTH(WORKDAY(F497,-(Setup!$C$13+Setup!$G$24),Setup!$C$39:$C$50))&gt;=Setup!$C$15,MONTH(WORKDAY(F497,-(Setup!$C$13+Setup!$G$24),Setup!$C$39:$C$50))&lt;=Setup!$C$16))),WORKDAY(F497,-(Setup!$C$13+Setup!$G$24+Setup!$C$14),Setup!$C$39:$C$50),WORKDAY(F497,-(Setup!$C$13+Setup!$G$24),Setup!$C$39:$C$50))+(492*100+5)/10000000)))</f>
        <v/>
      </c>
      <c r="W497" t="str">
        <f>IF(G497="","",IF(G497&lt;Setup!$C$5-Setup!$C$6,"",IF(IF(ISNUMBER(Roster!$D497),Setup!$C$25&lt;=Roster!$D497,FALSE),"",IF(OR(IF(Setup!$C$15&lt;=Setup!$C$16,AND(MONTH(G497)&gt;=Setup!$C$15,MONTH(G497)&lt;=Setup!$C$16),OR(MONTH(G497)&gt;=Setup!$C$15,MONTH(G497)&lt;=Setup!$C$16)),IF(Setup!$C$15&lt;=Setup!$C$16,AND(MONTH(WORKDAY(G497,-(Setup!$C$13+Setup!$G$25),Setup!$C$39:$C$50))&gt;=Setup!$C$15,MONTH(WORKDAY(G497,-(Setup!$C$13+Setup!$G$25),Setup!$C$39:$C$50))&lt;=Setup!$C$16),OR(MONTH(WORKDAY(G497,-(Setup!$C$13+Setup!$G$25),Setup!$C$39:$C$50))&gt;=Setup!$C$15,MONTH(WORKDAY(G497,-(Setup!$C$13+Setup!$G$25),Setup!$C$39:$C$50))&lt;=Setup!$C$16))),WORKDAY(G497,-(Setup!$C$13+Setup!$G$25+Setup!$C$14),Setup!$C$39:$C$50),WORKDAY(G497,-(Setup!$C$13+Setup!$G$25),Setup!$C$39:$C$50))+(492*100+6)/10000000)))</f>
        <v/>
      </c>
      <c r="X497" t="str">
        <f>IF(H497="","",IF(H497&lt;Setup!$C$5-Setup!$C$6,"",IF(IF(ISNUMBER(Roster!$D497),Setup!$C$26&lt;=Roster!$D497,FALSE),"",IF(OR(IF(Setup!$C$15&lt;=Setup!$C$16,AND(MONTH(H497)&gt;=Setup!$C$15,MONTH(H497)&lt;=Setup!$C$16),OR(MONTH(H497)&gt;=Setup!$C$15,MONTH(H497)&lt;=Setup!$C$16)),IF(Setup!$C$15&lt;=Setup!$C$16,AND(MONTH(WORKDAY(H497,-(Setup!$C$13+Setup!$G$26),Setup!$C$39:$C$50))&gt;=Setup!$C$15,MONTH(WORKDAY(H497,-(Setup!$C$13+Setup!$G$26),Setup!$C$39:$C$50))&lt;=Setup!$C$16),OR(MONTH(WORKDAY(H497,-(Setup!$C$13+Setup!$G$26),Setup!$C$39:$C$50))&gt;=Setup!$C$15,MONTH(WORKDAY(H497,-(Setup!$C$13+Setup!$G$26),Setup!$C$39:$C$50))&lt;=Setup!$C$16))),WORKDAY(H497,-(Setup!$C$13+Setup!$G$26+Setup!$C$14),Setup!$C$39:$C$50),WORKDAY(H497,-(Setup!$C$13+Setup!$G$26),Setup!$C$39:$C$50))+(492*100+7)/10000000)))</f>
        <v/>
      </c>
      <c r="Y497" t="str">
        <f>IF(I497="","",IF(I497&lt;Setup!$C$5-Setup!$C$6,"",IF(IF(ISNUMBER(Roster!$D497),Setup!$C$27&lt;=Roster!$D497,FALSE),"",IF(OR(IF(Setup!$C$15&lt;=Setup!$C$16,AND(MONTH(I497)&gt;=Setup!$C$15,MONTH(I497)&lt;=Setup!$C$16),OR(MONTH(I497)&gt;=Setup!$C$15,MONTH(I497)&lt;=Setup!$C$16)),IF(Setup!$C$15&lt;=Setup!$C$16,AND(MONTH(WORKDAY(I497,-(Setup!$C$13+Setup!$G$27),Setup!$C$39:$C$50))&gt;=Setup!$C$15,MONTH(WORKDAY(I497,-(Setup!$C$13+Setup!$G$27),Setup!$C$39:$C$50))&lt;=Setup!$C$16),OR(MONTH(WORKDAY(I497,-(Setup!$C$13+Setup!$G$27),Setup!$C$39:$C$50))&gt;=Setup!$C$15,MONTH(WORKDAY(I497,-(Setup!$C$13+Setup!$G$27),Setup!$C$39:$C$50))&lt;=Setup!$C$16))),WORKDAY(I497,-(Setup!$C$13+Setup!$G$27+Setup!$C$14),Setup!$C$39:$C$50),WORKDAY(I497,-(Setup!$C$13+Setup!$G$27),Setup!$C$39:$C$50))+(492*100+8)/10000000)))</f>
        <v/>
      </c>
      <c r="Z497" t="str">
        <f>IF(J497="","",IF(J497&lt;Setup!$C$5-Setup!$C$6,"",IF(IF(ISNUMBER(Roster!$D497),Setup!$C$28&lt;=Roster!$D497,FALSE),"",IF(OR(IF(Setup!$C$15&lt;=Setup!$C$16,AND(MONTH(J497)&gt;=Setup!$C$15,MONTH(J497)&lt;=Setup!$C$16),OR(MONTH(J497)&gt;=Setup!$C$15,MONTH(J497)&lt;=Setup!$C$16)),IF(Setup!$C$15&lt;=Setup!$C$16,AND(MONTH(WORKDAY(J497,-(Setup!$C$13+Setup!$G$28),Setup!$C$39:$C$50))&gt;=Setup!$C$15,MONTH(WORKDAY(J497,-(Setup!$C$13+Setup!$G$28),Setup!$C$39:$C$50))&lt;=Setup!$C$16),OR(MONTH(WORKDAY(J497,-(Setup!$C$13+Setup!$G$28),Setup!$C$39:$C$50))&gt;=Setup!$C$15,MONTH(WORKDAY(J497,-(Setup!$C$13+Setup!$G$28),Setup!$C$39:$C$50))&lt;=Setup!$C$16))),WORKDAY(J497,-(Setup!$C$13+Setup!$G$28+Setup!$C$14),Setup!$C$39:$C$50),WORKDAY(J497,-(Setup!$C$13+Setup!$G$28),Setup!$C$39:$C$50))+(492*100+9)/10000000)))</f>
        <v/>
      </c>
      <c r="AA497" t="str">
        <f>IF(K497="","",IF(K497&lt;Setup!$C$5-Setup!$C$6,"",IF(IF(ISNUMBER(Roster!$D497),Setup!$C$29&lt;=Roster!$D497,FALSE),"",IF(OR(IF(Setup!$C$15&lt;=Setup!$C$16,AND(MONTH(K497)&gt;=Setup!$C$15,MONTH(K497)&lt;=Setup!$C$16),OR(MONTH(K497)&gt;=Setup!$C$15,MONTH(K497)&lt;=Setup!$C$16)),IF(Setup!$C$15&lt;=Setup!$C$16,AND(MONTH(WORKDAY(K497,-(Setup!$C$13+Setup!$G$29),Setup!$C$39:$C$50))&gt;=Setup!$C$15,MONTH(WORKDAY(K497,-(Setup!$C$13+Setup!$G$29),Setup!$C$39:$C$50))&lt;=Setup!$C$16),OR(MONTH(WORKDAY(K497,-(Setup!$C$13+Setup!$G$29),Setup!$C$39:$C$50))&gt;=Setup!$C$15,MONTH(WORKDAY(K497,-(Setup!$C$13+Setup!$G$29),Setup!$C$39:$C$50))&lt;=Setup!$C$16))),WORKDAY(K497,-(Setup!$C$13+Setup!$G$29+Setup!$C$14),Setup!$C$39:$C$50),WORKDAY(K497,-(Setup!$C$13+Setup!$G$29),Setup!$C$39:$C$50))+(492*100+10)/10000000)))</f>
        <v/>
      </c>
      <c r="AB497" t="str">
        <f>IF(L497="","",IF(L497&lt;Setup!$C$5-Setup!$C$6,"",IF(IF(ISNUMBER(Roster!$D497),Setup!$C$30&lt;=Roster!$D497,FALSE),"",IF(OR(IF(Setup!$C$15&lt;=Setup!$C$16,AND(MONTH(L497)&gt;=Setup!$C$15,MONTH(L497)&lt;=Setup!$C$16),OR(MONTH(L497)&gt;=Setup!$C$15,MONTH(L497)&lt;=Setup!$C$16)),IF(Setup!$C$15&lt;=Setup!$C$16,AND(MONTH(WORKDAY(L497,-(Setup!$C$13+Setup!$G$30),Setup!$C$39:$C$50))&gt;=Setup!$C$15,MONTH(WORKDAY(L497,-(Setup!$C$13+Setup!$G$30),Setup!$C$39:$C$50))&lt;=Setup!$C$16),OR(MONTH(WORKDAY(L497,-(Setup!$C$13+Setup!$G$30),Setup!$C$39:$C$50))&gt;=Setup!$C$15,MONTH(WORKDAY(L497,-(Setup!$C$13+Setup!$G$30),Setup!$C$39:$C$50))&lt;=Setup!$C$16))),WORKDAY(L497,-(Setup!$C$13+Setup!$G$30+Setup!$C$14),Setup!$C$39:$C$50),WORKDAY(L497,-(Setup!$C$13+Setup!$G$30),Setup!$C$39:$C$50))+(492*100+11)/10000000)))</f>
        <v/>
      </c>
      <c r="AC497" t="str">
        <f>IF(M497="","",IF(M497&lt;Setup!$C$5-Setup!$C$6,"",IF(IF(ISNUMBER(Roster!$D497),Setup!$C$31&lt;=Roster!$D497,FALSE),"",IF(OR(IF(Setup!$C$15&lt;=Setup!$C$16,AND(MONTH(M497)&gt;=Setup!$C$15,MONTH(M497)&lt;=Setup!$C$16),OR(MONTH(M497)&gt;=Setup!$C$15,MONTH(M497)&lt;=Setup!$C$16)),IF(Setup!$C$15&lt;=Setup!$C$16,AND(MONTH(WORKDAY(M497,-(Setup!$C$13+Setup!$G$31),Setup!$C$39:$C$50))&gt;=Setup!$C$15,MONTH(WORKDAY(M497,-(Setup!$C$13+Setup!$G$31),Setup!$C$39:$C$50))&lt;=Setup!$C$16),OR(MONTH(WORKDAY(M497,-(Setup!$C$13+Setup!$G$31),Setup!$C$39:$C$50))&gt;=Setup!$C$15,MONTH(WORKDAY(M497,-(Setup!$C$13+Setup!$G$31),Setup!$C$39:$C$50))&lt;=Setup!$C$16))),WORKDAY(M497,-(Setup!$C$13+Setup!$G$31+Setup!$C$14),Setup!$C$39:$C$50),WORKDAY(M497,-(Setup!$C$13+Setup!$G$31),Setup!$C$39:$C$50))+(492*100+12)/10000000)))</f>
        <v/>
      </c>
      <c r="AD497" t="str">
        <f>IF(N497="","",IF(N497&lt;Setup!$C$5-Setup!$C$6,"",IF(IF(ISNUMBER(Roster!$D497),Setup!$C$32&lt;=Roster!$D497,FALSE),"",IF(OR(IF(Setup!$C$15&lt;=Setup!$C$16,AND(MONTH(N497)&gt;=Setup!$C$15,MONTH(N497)&lt;=Setup!$C$16),OR(MONTH(N497)&gt;=Setup!$C$15,MONTH(N497)&lt;=Setup!$C$16)),IF(Setup!$C$15&lt;=Setup!$C$16,AND(MONTH(WORKDAY(N497,-(Setup!$C$13+Setup!$G$32),Setup!$C$39:$C$50))&gt;=Setup!$C$15,MONTH(WORKDAY(N497,-(Setup!$C$13+Setup!$G$32),Setup!$C$39:$C$50))&lt;=Setup!$C$16),OR(MONTH(WORKDAY(N497,-(Setup!$C$13+Setup!$G$32),Setup!$C$39:$C$50))&gt;=Setup!$C$15,MONTH(WORKDAY(N497,-(Setup!$C$13+Setup!$G$32),Setup!$C$39:$C$50))&lt;=Setup!$C$16))),WORKDAY(N497,-(Setup!$C$13+Setup!$G$32+Setup!$C$14),Setup!$C$39:$C$50),WORKDAY(N497,-(Setup!$C$13+Setup!$G$32),Setup!$C$39:$C$50))+(492*100+13)/10000000)))</f>
        <v/>
      </c>
      <c r="AE497" t="str">
        <f>IF(O497="","",IF(O497&lt;Setup!$C$5-Setup!$C$6,"",IF(IF(ISNUMBER(Roster!$D497),Setup!$C$33&lt;=Roster!$D497,FALSE),"",IF(OR(IF(Setup!$C$15&lt;=Setup!$C$16,AND(MONTH(O497)&gt;=Setup!$C$15,MONTH(O497)&lt;=Setup!$C$16),OR(MONTH(O497)&gt;=Setup!$C$15,MONTH(O497)&lt;=Setup!$C$16)),IF(Setup!$C$15&lt;=Setup!$C$16,AND(MONTH(WORKDAY(O497,-(Setup!$C$13+Setup!$G$33),Setup!$C$39:$C$50))&gt;=Setup!$C$15,MONTH(WORKDAY(O497,-(Setup!$C$13+Setup!$G$33),Setup!$C$39:$C$50))&lt;=Setup!$C$16),OR(MONTH(WORKDAY(O497,-(Setup!$C$13+Setup!$G$33),Setup!$C$39:$C$50))&gt;=Setup!$C$15,MONTH(WORKDAY(O497,-(Setup!$C$13+Setup!$G$33),Setup!$C$39:$C$50))&lt;=Setup!$C$16))),WORKDAY(O497,-(Setup!$C$13+Setup!$G$33+Setup!$C$14),Setup!$C$39:$C$50),WORKDAY(O497,-(Setup!$C$13+Setup!$G$33),Setup!$C$39:$C$50))+(492*100+14)/10000000)))</f>
        <v/>
      </c>
      <c r="AF497" t="str">
        <f>IF(P497="","",IF(P497&lt;Setup!$C$5-Setup!$C$6,"",IF(IF(ISNUMBER(Roster!$D497),Setup!$C$34&lt;=Roster!$D497,FALSE),"",IF(OR(IF(Setup!$C$15&lt;=Setup!$C$16,AND(MONTH(P497)&gt;=Setup!$C$15,MONTH(P497)&lt;=Setup!$C$16),OR(MONTH(P497)&gt;=Setup!$C$15,MONTH(P497)&lt;=Setup!$C$16)),IF(Setup!$C$15&lt;=Setup!$C$16,AND(MONTH(WORKDAY(P497,-(Setup!$C$13+Setup!$G$34),Setup!$C$39:$C$50))&gt;=Setup!$C$15,MONTH(WORKDAY(P497,-(Setup!$C$13+Setup!$G$34),Setup!$C$39:$C$50))&lt;=Setup!$C$16),OR(MONTH(WORKDAY(P497,-(Setup!$C$13+Setup!$G$34),Setup!$C$39:$C$50))&gt;=Setup!$C$15,MONTH(WORKDAY(P497,-(Setup!$C$13+Setup!$G$34),Setup!$C$39:$C$50))&lt;=Setup!$C$16))),WORKDAY(P497,-(Setup!$C$13+Setup!$G$34+Setup!$C$14),Setup!$C$39:$C$50),WORKDAY(P497,-(Setup!$C$13+Setup!$G$34),Setup!$C$39:$C$50))+(492*100+15)/10000000)))</f>
        <v/>
      </c>
      <c r="AH497" t="str">
        <f t="shared" si="51"/>
        <v/>
      </c>
      <c r="AI497" t="str">
        <f t="shared" si="52"/>
        <v/>
      </c>
      <c r="AP497" t="str">
        <f>IF(ISNUMBER(Roster!$B497),MAX(1,YEAR(Setup!$C$5)-YEAR(Roster!$B497)+IF(EDATE(Roster!$B497,12*(YEAR(Setup!$C$5)-YEAR(Roster!$B497)))&lt;Setup!$C$5,1,0)),"")</f>
        <v/>
      </c>
      <c r="AQ497" s="32" t="str">
        <f>IF(AP497="","",EDATE(Roster!$B497,12*AP497))</f>
        <v/>
      </c>
      <c r="AR497" t="str">
        <f>IF(AQ497="","",IF(AQ497&lt;DATE(YEAR(Setup!$C$5)+1,MONTH(Setup!$C$5),DAY(Setup!$C$5)),AQ497+492/1000,""))</f>
        <v/>
      </c>
      <c r="AS497" t="str">
        <f t="shared" si="53"/>
        <v/>
      </c>
      <c r="AT497" t="str">
        <f>IF(AS497="","",IF(ISNUMBER(Roster!$D497),Roster!$D497&gt;=AP497,FALSE))</f>
        <v/>
      </c>
      <c r="AU497" t="str">
        <f t="shared" si="54"/>
        <v/>
      </c>
      <c r="AV497" t="str">
        <f ca="1">IF(492&gt;$AV$2,"",SMALL($AR$6:$AR$505,492))</f>
        <v/>
      </c>
      <c r="AW497" t="str">
        <f t="shared" ca="1" si="55"/>
        <v/>
      </c>
    </row>
    <row r="498" spans="2:49" x14ac:dyDescent="0.2">
      <c r="B498" s="32" t="str">
        <f>IF(AND(ISNUMBER(Roster!$B498),Setup!$B$20="Yes",ISNUMBER(Setup!$C$20)),EDATE(Roster!$B498,12*Setup!$C$20),"")</f>
        <v/>
      </c>
      <c r="C498" s="32" t="str">
        <f>IF(AND(ISNUMBER(Roster!$B498),Setup!$B$21="Yes",ISNUMBER(Setup!$C$21)),EDATE(Roster!$B498,12*Setup!$C$21),"")</f>
        <v/>
      </c>
      <c r="D498" s="32" t="str">
        <f>IF(AND(ISNUMBER(Roster!$B498),Setup!$B$22="Yes",ISNUMBER(Setup!$C$22)),EDATE(Roster!$B498,12*Setup!$C$22),"")</f>
        <v/>
      </c>
      <c r="E498" s="32" t="str">
        <f>IF(AND(ISNUMBER(Roster!$B498),Setup!$B$23="Yes",ISNUMBER(Setup!$C$23)),EDATE(Roster!$B498,12*Setup!$C$23),"")</f>
        <v/>
      </c>
      <c r="F498" s="32" t="str">
        <f>IF(AND(ISNUMBER(Roster!$B498),Setup!$B$24="Yes",ISNUMBER(Setup!$C$24)),EDATE(Roster!$B498,12*Setup!$C$24),"")</f>
        <v/>
      </c>
      <c r="G498" s="32" t="str">
        <f>IF(AND(ISNUMBER(Roster!$B498),Setup!$B$25="Yes",ISNUMBER(Setup!$C$25)),EDATE(Roster!$B498,12*Setup!$C$25),"")</f>
        <v/>
      </c>
      <c r="H498" s="32" t="str">
        <f>IF(AND(ISNUMBER(Roster!$B498),Setup!$B$26="Yes",ISNUMBER(Setup!$C$26)),EDATE(Roster!$B498,12*Setup!$C$26),"")</f>
        <v/>
      </c>
      <c r="I498" s="32" t="str">
        <f>IF(AND(ISNUMBER(Roster!$B498),Setup!$B$27="Yes",ISNUMBER(Setup!$C$27)),EDATE(Roster!$B498,12*Setup!$C$27),"")</f>
        <v/>
      </c>
      <c r="J498" s="32" t="str">
        <f>IF(AND(ISNUMBER(Roster!$B498),Setup!$B$28="Yes",ISNUMBER(Setup!$C$28)),EDATE(Roster!$B498,12*Setup!$C$28),"")</f>
        <v/>
      </c>
      <c r="K498" s="32" t="str">
        <f>IF(AND(ISNUMBER(Roster!$B498),Setup!$B$29="Yes",ISNUMBER(Setup!$C$29)),EDATE(Roster!$B498,12*Setup!$C$29),"")</f>
        <v/>
      </c>
      <c r="L498" s="32" t="str">
        <f>IF(AND(ISNUMBER(Roster!$B498),Setup!$B$30="Yes",ISNUMBER(Setup!$C$30)),EDATE(Roster!$B498,12*Setup!$C$30),"")</f>
        <v/>
      </c>
      <c r="M498" s="32" t="str">
        <f>IF(AND(ISNUMBER(Roster!$B498),Setup!$B$31="Yes",ISNUMBER(Setup!$C$31)),EDATE(Roster!$B498,12*Setup!$C$31),"")</f>
        <v/>
      </c>
      <c r="N498" s="32" t="str">
        <f>IF(AND(ISNUMBER(Roster!$B498),Setup!$B$32="Yes",ISNUMBER(Setup!$C$32)),EDATE(Roster!$B498,12*Setup!$C$32),"")</f>
        <v/>
      </c>
      <c r="O498" s="32" t="str">
        <f>IF(AND(ISNUMBER(Roster!$B498),Setup!$B$33="Yes",ISNUMBER(Setup!$C$33)),EDATE(Roster!$B498,12*Setup!$C$33),"")</f>
        <v/>
      </c>
      <c r="P498" s="32" t="str">
        <f>IF(AND(ISNUMBER(Roster!$B498),Setup!$B$34="Yes",ISNUMBER(Setup!$C$34)),EDATE(Roster!$B498,12*Setup!$C$34),"")</f>
        <v/>
      </c>
      <c r="R498" t="str">
        <f>IF(B498="","",IF(B498&lt;Setup!$C$5-Setup!$C$6,"",IF(IF(ISNUMBER(Roster!$D498),Setup!$C$20&lt;=Roster!$D498,FALSE),"",IF(OR(IF(Setup!$C$15&lt;=Setup!$C$16,AND(MONTH(B498)&gt;=Setup!$C$15,MONTH(B498)&lt;=Setup!$C$16),OR(MONTH(B498)&gt;=Setup!$C$15,MONTH(B498)&lt;=Setup!$C$16)),IF(Setup!$C$15&lt;=Setup!$C$16,AND(MONTH(WORKDAY(B498,-(Setup!$C$13+Setup!$G$20),Setup!$C$39:$C$50))&gt;=Setup!$C$15,MONTH(WORKDAY(B498,-(Setup!$C$13+Setup!$G$20),Setup!$C$39:$C$50))&lt;=Setup!$C$16),OR(MONTH(WORKDAY(B498,-(Setup!$C$13+Setup!$G$20),Setup!$C$39:$C$50))&gt;=Setup!$C$15,MONTH(WORKDAY(B498,-(Setup!$C$13+Setup!$G$20),Setup!$C$39:$C$50))&lt;=Setup!$C$16))),WORKDAY(B498,-(Setup!$C$13+Setup!$G$20+Setup!$C$14),Setup!$C$39:$C$50),WORKDAY(B498,-(Setup!$C$13+Setup!$G$20),Setup!$C$39:$C$50))+(493*100+1)/10000000)))</f>
        <v/>
      </c>
      <c r="S498" t="str">
        <f>IF(C498="","",IF(C498&lt;Setup!$C$5-Setup!$C$6,"",IF(IF(ISNUMBER(Roster!$D498),Setup!$C$21&lt;=Roster!$D498,FALSE),"",IF(OR(IF(Setup!$C$15&lt;=Setup!$C$16,AND(MONTH(C498)&gt;=Setup!$C$15,MONTH(C498)&lt;=Setup!$C$16),OR(MONTH(C498)&gt;=Setup!$C$15,MONTH(C498)&lt;=Setup!$C$16)),IF(Setup!$C$15&lt;=Setup!$C$16,AND(MONTH(WORKDAY(C498,-(Setup!$C$13+Setup!$G$21),Setup!$C$39:$C$50))&gt;=Setup!$C$15,MONTH(WORKDAY(C498,-(Setup!$C$13+Setup!$G$21),Setup!$C$39:$C$50))&lt;=Setup!$C$16),OR(MONTH(WORKDAY(C498,-(Setup!$C$13+Setup!$G$21),Setup!$C$39:$C$50))&gt;=Setup!$C$15,MONTH(WORKDAY(C498,-(Setup!$C$13+Setup!$G$21),Setup!$C$39:$C$50))&lt;=Setup!$C$16))),WORKDAY(C498,-(Setup!$C$13+Setup!$G$21+Setup!$C$14),Setup!$C$39:$C$50),WORKDAY(C498,-(Setup!$C$13+Setup!$G$21),Setup!$C$39:$C$50))+(493*100+2)/10000000)))</f>
        <v/>
      </c>
      <c r="T498" t="str">
        <f>IF(D498="","",IF(D498&lt;Setup!$C$5-Setup!$C$6,"",IF(IF(ISNUMBER(Roster!$D498),Setup!$C$22&lt;=Roster!$D498,FALSE),"",IF(OR(IF(Setup!$C$15&lt;=Setup!$C$16,AND(MONTH(D498)&gt;=Setup!$C$15,MONTH(D498)&lt;=Setup!$C$16),OR(MONTH(D498)&gt;=Setup!$C$15,MONTH(D498)&lt;=Setup!$C$16)),IF(Setup!$C$15&lt;=Setup!$C$16,AND(MONTH(WORKDAY(D498,-(Setup!$C$13+Setup!$G$22),Setup!$C$39:$C$50))&gt;=Setup!$C$15,MONTH(WORKDAY(D498,-(Setup!$C$13+Setup!$G$22),Setup!$C$39:$C$50))&lt;=Setup!$C$16),OR(MONTH(WORKDAY(D498,-(Setup!$C$13+Setup!$G$22),Setup!$C$39:$C$50))&gt;=Setup!$C$15,MONTH(WORKDAY(D498,-(Setup!$C$13+Setup!$G$22),Setup!$C$39:$C$50))&lt;=Setup!$C$16))),WORKDAY(D498,-(Setup!$C$13+Setup!$G$22+Setup!$C$14),Setup!$C$39:$C$50),WORKDAY(D498,-(Setup!$C$13+Setup!$G$22),Setup!$C$39:$C$50))+(493*100+3)/10000000)))</f>
        <v/>
      </c>
      <c r="U498" t="str">
        <f>IF(E498="","",IF(E498&lt;Setup!$C$5-Setup!$C$6,"",IF(IF(ISNUMBER(Roster!$D498),Setup!$C$23&lt;=Roster!$D498,FALSE),"",IF(OR(IF(Setup!$C$15&lt;=Setup!$C$16,AND(MONTH(E498)&gt;=Setup!$C$15,MONTH(E498)&lt;=Setup!$C$16),OR(MONTH(E498)&gt;=Setup!$C$15,MONTH(E498)&lt;=Setup!$C$16)),IF(Setup!$C$15&lt;=Setup!$C$16,AND(MONTH(WORKDAY(E498,-(Setup!$C$13+Setup!$G$23),Setup!$C$39:$C$50))&gt;=Setup!$C$15,MONTH(WORKDAY(E498,-(Setup!$C$13+Setup!$G$23),Setup!$C$39:$C$50))&lt;=Setup!$C$16),OR(MONTH(WORKDAY(E498,-(Setup!$C$13+Setup!$G$23),Setup!$C$39:$C$50))&gt;=Setup!$C$15,MONTH(WORKDAY(E498,-(Setup!$C$13+Setup!$G$23),Setup!$C$39:$C$50))&lt;=Setup!$C$16))),WORKDAY(E498,-(Setup!$C$13+Setup!$G$23+Setup!$C$14),Setup!$C$39:$C$50),WORKDAY(E498,-(Setup!$C$13+Setup!$G$23),Setup!$C$39:$C$50))+(493*100+4)/10000000)))</f>
        <v/>
      </c>
      <c r="V498" t="str">
        <f>IF(F498="","",IF(F498&lt;Setup!$C$5-Setup!$C$6,"",IF(IF(ISNUMBER(Roster!$D498),Setup!$C$24&lt;=Roster!$D498,FALSE),"",IF(OR(IF(Setup!$C$15&lt;=Setup!$C$16,AND(MONTH(F498)&gt;=Setup!$C$15,MONTH(F498)&lt;=Setup!$C$16),OR(MONTH(F498)&gt;=Setup!$C$15,MONTH(F498)&lt;=Setup!$C$16)),IF(Setup!$C$15&lt;=Setup!$C$16,AND(MONTH(WORKDAY(F498,-(Setup!$C$13+Setup!$G$24),Setup!$C$39:$C$50))&gt;=Setup!$C$15,MONTH(WORKDAY(F498,-(Setup!$C$13+Setup!$G$24),Setup!$C$39:$C$50))&lt;=Setup!$C$16),OR(MONTH(WORKDAY(F498,-(Setup!$C$13+Setup!$G$24),Setup!$C$39:$C$50))&gt;=Setup!$C$15,MONTH(WORKDAY(F498,-(Setup!$C$13+Setup!$G$24),Setup!$C$39:$C$50))&lt;=Setup!$C$16))),WORKDAY(F498,-(Setup!$C$13+Setup!$G$24+Setup!$C$14),Setup!$C$39:$C$50),WORKDAY(F498,-(Setup!$C$13+Setup!$G$24),Setup!$C$39:$C$50))+(493*100+5)/10000000)))</f>
        <v/>
      </c>
      <c r="W498" t="str">
        <f>IF(G498="","",IF(G498&lt;Setup!$C$5-Setup!$C$6,"",IF(IF(ISNUMBER(Roster!$D498),Setup!$C$25&lt;=Roster!$D498,FALSE),"",IF(OR(IF(Setup!$C$15&lt;=Setup!$C$16,AND(MONTH(G498)&gt;=Setup!$C$15,MONTH(G498)&lt;=Setup!$C$16),OR(MONTH(G498)&gt;=Setup!$C$15,MONTH(G498)&lt;=Setup!$C$16)),IF(Setup!$C$15&lt;=Setup!$C$16,AND(MONTH(WORKDAY(G498,-(Setup!$C$13+Setup!$G$25),Setup!$C$39:$C$50))&gt;=Setup!$C$15,MONTH(WORKDAY(G498,-(Setup!$C$13+Setup!$G$25),Setup!$C$39:$C$50))&lt;=Setup!$C$16),OR(MONTH(WORKDAY(G498,-(Setup!$C$13+Setup!$G$25),Setup!$C$39:$C$50))&gt;=Setup!$C$15,MONTH(WORKDAY(G498,-(Setup!$C$13+Setup!$G$25),Setup!$C$39:$C$50))&lt;=Setup!$C$16))),WORKDAY(G498,-(Setup!$C$13+Setup!$G$25+Setup!$C$14),Setup!$C$39:$C$50),WORKDAY(G498,-(Setup!$C$13+Setup!$G$25),Setup!$C$39:$C$50))+(493*100+6)/10000000)))</f>
        <v/>
      </c>
      <c r="X498" t="str">
        <f>IF(H498="","",IF(H498&lt;Setup!$C$5-Setup!$C$6,"",IF(IF(ISNUMBER(Roster!$D498),Setup!$C$26&lt;=Roster!$D498,FALSE),"",IF(OR(IF(Setup!$C$15&lt;=Setup!$C$16,AND(MONTH(H498)&gt;=Setup!$C$15,MONTH(H498)&lt;=Setup!$C$16),OR(MONTH(H498)&gt;=Setup!$C$15,MONTH(H498)&lt;=Setup!$C$16)),IF(Setup!$C$15&lt;=Setup!$C$16,AND(MONTH(WORKDAY(H498,-(Setup!$C$13+Setup!$G$26),Setup!$C$39:$C$50))&gt;=Setup!$C$15,MONTH(WORKDAY(H498,-(Setup!$C$13+Setup!$G$26),Setup!$C$39:$C$50))&lt;=Setup!$C$16),OR(MONTH(WORKDAY(H498,-(Setup!$C$13+Setup!$G$26),Setup!$C$39:$C$50))&gt;=Setup!$C$15,MONTH(WORKDAY(H498,-(Setup!$C$13+Setup!$G$26),Setup!$C$39:$C$50))&lt;=Setup!$C$16))),WORKDAY(H498,-(Setup!$C$13+Setup!$G$26+Setup!$C$14),Setup!$C$39:$C$50),WORKDAY(H498,-(Setup!$C$13+Setup!$G$26),Setup!$C$39:$C$50))+(493*100+7)/10000000)))</f>
        <v/>
      </c>
      <c r="Y498" t="str">
        <f>IF(I498="","",IF(I498&lt;Setup!$C$5-Setup!$C$6,"",IF(IF(ISNUMBER(Roster!$D498),Setup!$C$27&lt;=Roster!$D498,FALSE),"",IF(OR(IF(Setup!$C$15&lt;=Setup!$C$16,AND(MONTH(I498)&gt;=Setup!$C$15,MONTH(I498)&lt;=Setup!$C$16),OR(MONTH(I498)&gt;=Setup!$C$15,MONTH(I498)&lt;=Setup!$C$16)),IF(Setup!$C$15&lt;=Setup!$C$16,AND(MONTH(WORKDAY(I498,-(Setup!$C$13+Setup!$G$27),Setup!$C$39:$C$50))&gt;=Setup!$C$15,MONTH(WORKDAY(I498,-(Setup!$C$13+Setup!$G$27),Setup!$C$39:$C$50))&lt;=Setup!$C$16),OR(MONTH(WORKDAY(I498,-(Setup!$C$13+Setup!$G$27),Setup!$C$39:$C$50))&gt;=Setup!$C$15,MONTH(WORKDAY(I498,-(Setup!$C$13+Setup!$G$27),Setup!$C$39:$C$50))&lt;=Setup!$C$16))),WORKDAY(I498,-(Setup!$C$13+Setup!$G$27+Setup!$C$14),Setup!$C$39:$C$50),WORKDAY(I498,-(Setup!$C$13+Setup!$G$27),Setup!$C$39:$C$50))+(493*100+8)/10000000)))</f>
        <v/>
      </c>
      <c r="Z498" t="str">
        <f>IF(J498="","",IF(J498&lt;Setup!$C$5-Setup!$C$6,"",IF(IF(ISNUMBER(Roster!$D498),Setup!$C$28&lt;=Roster!$D498,FALSE),"",IF(OR(IF(Setup!$C$15&lt;=Setup!$C$16,AND(MONTH(J498)&gt;=Setup!$C$15,MONTH(J498)&lt;=Setup!$C$16),OR(MONTH(J498)&gt;=Setup!$C$15,MONTH(J498)&lt;=Setup!$C$16)),IF(Setup!$C$15&lt;=Setup!$C$16,AND(MONTH(WORKDAY(J498,-(Setup!$C$13+Setup!$G$28),Setup!$C$39:$C$50))&gt;=Setup!$C$15,MONTH(WORKDAY(J498,-(Setup!$C$13+Setup!$G$28),Setup!$C$39:$C$50))&lt;=Setup!$C$16),OR(MONTH(WORKDAY(J498,-(Setup!$C$13+Setup!$G$28),Setup!$C$39:$C$50))&gt;=Setup!$C$15,MONTH(WORKDAY(J498,-(Setup!$C$13+Setup!$G$28),Setup!$C$39:$C$50))&lt;=Setup!$C$16))),WORKDAY(J498,-(Setup!$C$13+Setup!$G$28+Setup!$C$14),Setup!$C$39:$C$50),WORKDAY(J498,-(Setup!$C$13+Setup!$G$28),Setup!$C$39:$C$50))+(493*100+9)/10000000)))</f>
        <v/>
      </c>
      <c r="AA498" t="str">
        <f>IF(K498="","",IF(K498&lt;Setup!$C$5-Setup!$C$6,"",IF(IF(ISNUMBER(Roster!$D498),Setup!$C$29&lt;=Roster!$D498,FALSE),"",IF(OR(IF(Setup!$C$15&lt;=Setup!$C$16,AND(MONTH(K498)&gt;=Setup!$C$15,MONTH(K498)&lt;=Setup!$C$16),OR(MONTH(K498)&gt;=Setup!$C$15,MONTH(K498)&lt;=Setup!$C$16)),IF(Setup!$C$15&lt;=Setup!$C$16,AND(MONTH(WORKDAY(K498,-(Setup!$C$13+Setup!$G$29),Setup!$C$39:$C$50))&gt;=Setup!$C$15,MONTH(WORKDAY(K498,-(Setup!$C$13+Setup!$G$29),Setup!$C$39:$C$50))&lt;=Setup!$C$16),OR(MONTH(WORKDAY(K498,-(Setup!$C$13+Setup!$G$29),Setup!$C$39:$C$50))&gt;=Setup!$C$15,MONTH(WORKDAY(K498,-(Setup!$C$13+Setup!$G$29),Setup!$C$39:$C$50))&lt;=Setup!$C$16))),WORKDAY(K498,-(Setup!$C$13+Setup!$G$29+Setup!$C$14),Setup!$C$39:$C$50),WORKDAY(K498,-(Setup!$C$13+Setup!$G$29),Setup!$C$39:$C$50))+(493*100+10)/10000000)))</f>
        <v/>
      </c>
      <c r="AB498" t="str">
        <f>IF(L498="","",IF(L498&lt;Setup!$C$5-Setup!$C$6,"",IF(IF(ISNUMBER(Roster!$D498),Setup!$C$30&lt;=Roster!$D498,FALSE),"",IF(OR(IF(Setup!$C$15&lt;=Setup!$C$16,AND(MONTH(L498)&gt;=Setup!$C$15,MONTH(L498)&lt;=Setup!$C$16),OR(MONTH(L498)&gt;=Setup!$C$15,MONTH(L498)&lt;=Setup!$C$16)),IF(Setup!$C$15&lt;=Setup!$C$16,AND(MONTH(WORKDAY(L498,-(Setup!$C$13+Setup!$G$30),Setup!$C$39:$C$50))&gt;=Setup!$C$15,MONTH(WORKDAY(L498,-(Setup!$C$13+Setup!$G$30),Setup!$C$39:$C$50))&lt;=Setup!$C$16),OR(MONTH(WORKDAY(L498,-(Setup!$C$13+Setup!$G$30),Setup!$C$39:$C$50))&gt;=Setup!$C$15,MONTH(WORKDAY(L498,-(Setup!$C$13+Setup!$G$30),Setup!$C$39:$C$50))&lt;=Setup!$C$16))),WORKDAY(L498,-(Setup!$C$13+Setup!$G$30+Setup!$C$14),Setup!$C$39:$C$50),WORKDAY(L498,-(Setup!$C$13+Setup!$G$30),Setup!$C$39:$C$50))+(493*100+11)/10000000)))</f>
        <v/>
      </c>
      <c r="AC498" t="str">
        <f>IF(M498="","",IF(M498&lt;Setup!$C$5-Setup!$C$6,"",IF(IF(ISNUMBER(Roster!$D498),Setup!$C$31&lt;=Roster!$D498,FALSE),"",IF(OR(IF(Setup!$C$15&lt;=Setup!$C$16,AND(MONTH(M498)&gt;=Setup!$C$15,MONTH(M498)&lt;=Setup!$C$16),OR(MONTH(M498)&gt;=Setup!$C$15,MONTH(M498)&lt;=Setup!$C$16)),IF(Setup!$C$15&lt;=Setup!$C$16,AND(MONTH(WORKDAY(M498,-(Setup!$C$13+Setup!$G$31),Setup!$C$39:$C$50))&gt;=Setup!$C$15,MONTH(WORKDAY(M498,-(Setup!$C$13+Setup!$G$31),Setup!$C$39:$C$50))&lt;=Setup!$C$16),OR(MONTH(WORKDAY(M498,-(Setup!$C$13+Setup!$G$31),Setup!$C$39:$C$50))&gt;=Setup!$C$15,MONTH(WORKDAY(M498,-(Setup!$C$13+Setup!$G$31),Setup!$C$39:$C$50))&lt;=Setup!$C$16))),WORKDAY(M498,-(Setup!$C$13+Setup!$G$31+Setup!$C$14),Setup!$C$39:$C$50),WORKDAY(M498,-(Setup!$C$13+Setup!$G$31),Setup!$C$39:$C$50))+(493*100+12)/10000000)))</f>
        <v/>
      </c>
      <c r="AD498" t="str">
        <f>IF(N498="","",IF(N498&lt;Setup!$C$5-Setup!$C$6,"",IF(IF(ISNUMBER(Roster!$D498),Setup!$C$32&lt;=Roster!$D498,FALSE),"",IF(OR(IF(Setup!$C$15&lt;=Setup!$C$16,AND(MONTH(N498)&gt;=Setup!$C$15,MONTH(N498)&lt;=Setup!$C$16),OR(MONTH(N498)&gt;=Setup!$C$15,MONTH(N498)&lt;=Setup!$C$16)),IF(Setup!$C$15&lt;=Setup!$C$16,AND(MONTH(WORKDAY(N498,-(Setup!$C$13+Setup!$G$32),Setup!$C$39:$C$50))&gt;=Setup!$C$15,MONTH(WORKDAY(N498,-(Setup!$C$13+Setup!$G$32),Setup!$C$39:$C$50))&lt;=Setup!$C$16),OR(MONTH(WORKDAY(N498,-(Setup!$C$13+Setup!$G$32),Setup!$C$39:$C$50))&gt;=Setup!$C$15,MONTH(WORKDAY(N498,-(Setup!$C$13+Setup!$G$32),Setup!$C$39:$C$50))&lt;=Setup!$C$16))),WORKDAY(N498,-(Setup!$C$13+Setup!$G$32+Setup!$C$14),Setup!$C$39:$C$50),WORKDAY(N498,-(Setup!$C$13+Setup!$G$32),Setup!$C$39:$C$50))+(493*100+13)/10000000)))</f>
        <v/>
      </c>
      <c r="AE498" t="str">
        <f>IF(O498="","",IF(O498&lt;Setup!$C$5-Setup!$C$6,"",IF(IF(ISNUMBER(Roster!$D498),Setup!$C$33&lt;=Roster!$D498,FALSE),"",IF(OR(IF(Setup!$C$15&lt;=Setup!$C$16,AND(MONTH(O498)&gt;=Setup!$C$15,MONTH(O498)&lt;=Setup!$C$16),OR(MONTH(O498)&gt;=Setup!$C$15,MONTH(O498)&lt;=Setup!$C$16)),IF(Setup!$C$15&lt;=Setup!$C$16,AND(MONTH(WORKDAY(O498,-(Setup!$C$13+Setup!$G$33),Setup!$C$39:$C$50))&gt;=Setup!$C$15,MONTH(WORKDAY(O498,-(Setup!$C$13+Setup!$G$33),Setup!$C$39:$C$50))&lt;=Setup!$C$16),OR(MONTH(WORKDAY(O498,-(Setup!$C$13+Setup!$G$33),Setup!$C$39:$C$50))&gt;=Setup!$C$15,MONTH(WORKDAY(O498,-(Setup!$C$13+Setup!$G$33),Setup!$C$39:$C$50))&lt;=Setup!$C$16))),WORKDAY(O498,-(Setup!$C$13+Setup!$G$33+Setup!$C$14),Setup!$C$39:$C$50),WORKDAY(O498,-(Setup!$C$13+Setup!$G$33),Setup!$C$39:$C$50))+(493*100+14)/10000000)))</f>
        <v/>
      </c>
      <c r="AF498" t="str">
        <f>IF(P498="","",IF(P498&lt;Setup!$C$5-Setup!$C$6,"",IF(IF(ISNUMBER(Roster!$D498),Setup!$C$34&lt;=Roster!$D498,FALSE),"",IF(OR(IF(Setup!$C$15&lt;=Setup!$C$16,AND(MONTH(P498)&gt;=Setup!$C$15,MONTH(P498)&lt;=Setup!$C$16),OR(MONTH(P498)&gt;=Setup!$C$15,MONTH(P498)&lt;=Setup!$C$16)),IF(Setup!$C$15&lt;=Setup!$C$16,AND(MONTH(WORKDAY(P498,-(Setup!$C$13+Setup!$G$34),Setup!$C$39:$C$50))&gt;=Setup!$C$15,MONTH(WORKDAY(P498,-(Setup!$C$13+Setup!$G$34),Setup!$C$39:$C$50))&lt;=Setup!$C$16),OR(MONTH(WORKDAY(P498,-(Setup!$C$13+Setup!$G$34),Setup!$C$39:$C$50))&gt;=Setup!$C$15,MONTH(WORKDAY(P498,-(Setup!$C$13+Setup!$G$34),Setup!$C$39:$C$50))&lt;=Setup!$C$16))),WORKDAY(P498,-(Setup!$C$13+Setup!$G$34+Setup!$C$14),Setup!$C$39:$C$50),WORKDAY(P498,-(Setup!$C$13+Setup!$G$34),Setup!$C$39:$C$50))+(493*100+15)/10000000)))</f>
        <v/>
      </c>
      <c r="AH498" t="str">
        <f t="shared" si="51"/>
        <v/>
      </c>
      <c r="AI498" t="str">
        <f t="shared" si="52"/>
        <v/>
      </c>
      <c r="AP498" t="str">
        <f>IF(ISNUMBER(Roster!$B498),MAX(1,YEAR(Setup!$C$5)-YEAR(Roster!$B498)+IF(EDATE(Roster!$B498,12*(YEAR(Setup!$C$5)-YEAR(Roster!$B498)))&lt;Setup!$C$5,1,0)),"")</f>
        <v/>
      </c>
      <c r="AQ498" s="32" t="str">
        <f>IF(AP498="","",EDATE(Roster!$B498,12*AP498))</f>
        <v/>
      </c>
      <c r="AR498" t="str">
        <f>IF(AQ498="","",IF(AQ498&lt;DATE(YEAR(Setup!$C$5)+1,MONTH(Setup!$C$5),DAY(Setup!$C$5)),AQ498+493/1000,""))</f>
        <v/>
      </c>
      <c r="AS498" t="str">
        <f t="shared" si="53"/>
        <v/>
      </c>
      <c r="AT498" t="str">
        <f>IF(AS498="","",IF(ISNUMBER(Roster!$D498),Roster!$D498&gt;=AP498,FALSE))</f>
        <v/>
      </c>
      <c r="AU498" t="str">
        <f t="shared" si="54"/>
        <v/>
      </c>
      <c r="AV498" t="str">
        <f ca="1">IF(493&gt;$AV$2,"",SMALL($AR$6:$AR$505,493))</f>
        <v/>
      </c>
      <c r="AW498" t="str">
        <f t="shared" ca="1" si="55"/>
        <v/>
      </c>
    </row>
    <row r="499" spans="2:49" x14ac:dyDescent="0.2">
      <c r="B499" s="32" t="str">
        <f>IF(AND(ISNUMBER(Roster!$B499),Setup!$B$20="Yes",ISNUMBER(Setup!$C$20)),EDATE(Roster!$B499,12*Setup!$C$20),"")</f>
        <v/>
      </c>
      <c r="C499" s="32" t="str">
        <f>IF(AND(ISNUMBER(Roster!$B499),Setup!$B$21="Yes",ISNUMBER(Setup!$C$21)),EDATE(Roster!$B499,12*Setup!$C$21),"")</f>
        <v/>
      </c>
      <c r="D499" s="32" t="str">
        <f>IF(AND(ISNUMBER(Roster!$B499),Setup!$B$22="Yes",ISNUMBER(Setup!$C$22)),EDATE(Roster!$B499,12*Setup!$C$22),"")</f>
        <v/>
      </c>
      <c r="E499" s="32" t="str">
        <f>IF(AND(ISNUMBER(Roster!$B499),Setup!$B$23="Yes",ISNUMBER(Setup!$C$23)),EDATE(Roster!$B499,12*Setup!$C$23),"")</f>
        <v/>
      </c>
      <c r="F499" s="32" t="str">
        <f>IF(AND(ISNUMBER(Roster!$B499),Setup!$B$24="Yes",ISNUMBER(Setup!$C$24)),EDATE(Roster!$B499,12*Setup!$C$24),"")</f>
        <v/>
      </c>
      <c r="G499" s="32" t="str">
        <f>IF(AND(ISNUMBER(Roster!$B499),Setup!$B$25="Yes",ISNUMBER(Setup!$C$25)),EDATE(Roster!$B499,12*Setup!$C$25),"")</f>
        <v/>
      </c>
      <c r="H499" s="32" t="str">
        <f>IF(AND(ISNUMBER(Roster!$B499),Setup!$B$26="Yes",ISNUMBER(Setup!$C$26)),EDATE(Roster!$B499,12*Setup!$C$26),"")</f>
        <v/>
      </c>
      <c r="I499" s="32" t="str">
        <f>IF(AND(ISNUMBER(Roster!$B499),Setup!$B$27="Yes",ISNUMBER(Setup!$C$27)),EDATE(Roster!$B499,12*Setup!$C$27),"")</f>
        <v/>
      </c>
      <c r="J499" s="32" t="str">
        <f>IF(AND(ISNUMBER(Roster!$B499),Setup!$B$28="Yes",ISNUMBER(Setup!$C$28)),EDATE(Roster!$B499,12*Setup!$C$28),"")</f>
        <v/>
      </c>
      <c r="K499" s="32" t="str">
        <f>IF(AND(ISNUMBER(Roster!$B499),Setup!$B$29="Yes",ISNUMBER(Setup!$C$29)),EDATE(Roster!$B499,12*Setup!$C$29),"")</f>
        <v/>
      </c>
      <c r="L499" s="32" t="str">
        <f>IF(AND(ISNUMBER(Roster!$B499),Setup!$B$30="Yes",ISNUMBER(Setup!$C$30)),EDATE(Roster!$B499,12*Setup!$C$30),"")</f>
        <v/>
      </c>
      <c r="M499" s="32" t="str">
        <f>IF(AND(ISNUMBER(Roster!$B499),Setup!$B$31="Yes",ISNUMBER(Setup!$C$31)),EDATE(Roster!$B499,12*Setup!$C$31),"")</f>
        <v/>
      </c>
      <c r="N499" s="32" t="str">
        <f>IF(AND(ISNUMBER(Roster!$B499),Setup!$B$32="Yes",ISNUMBER(Setup!$C$32)),EDATE(Roster!$B499,12*Setup!$C$32),"")</f>
        <v/>
      </c>
      <c r="O499" s="32" t="str">
        <f>IF(AND(ISNUMBER(Roster!$B499),Setup!$B$33="Yes",ISNUMBER(Setup!$C$33)),EDATE(Roster!$B499,12*Setup!$C$33),"")</f>
        <v/>
      </c>
      <c r="P499" s="32" t="str">
        <f>IF(AND(ISNUMBER(Roster!$B499),Setup!$B$34="Yes",ISNUMBER(Setup!$C$34)),EDATE(Roster!$B499,12*Setup!$C$34),"")</f>
        <v/>
      </c>
      <c r="R499" t="str">
        <f>IF(B499="","",IF(B499&lt;Setup!$C$5-Setup!$C$6,"",IF(IF(ISNUMBER(Roster!$D499),Setup!$C$20&lt;=Roster!$D499,FALSE),"",IF(OR(IF(Setup!$C$15&lt;=Setup!$C$16,AND(MONTH(B499)&gt;=Setup!$C$15,MONTH(B499)&lt;=Setup!$C$16),OR(MONTH(B499)&gt;=Setup!$C$15,MONTH(B499)&lt;=Setup!$C$16)),IF(Setup!$C$15&lt;=Setup!$C$16,AND(MONTH(WORKDAY(B499,-(Setup!$C$13+Setup!$G$20),Setup!$C$39:$C$50))&gt;=Setup!$C$15,MONTH(WORKDAY(B499,-(Setup!$C$13+Setup!$G$20),Setup!$C$39:$C$50))&lt;=Setup!$C$16),OR(MONTH(WORKDAY(B499,-(Setup!$C$13+Setup!$G$20),Setup!$C$39:$C$50))&gt;=Setup!$C$15,MONTH(WORKDAY(B499,-(Setup!$C$13+Setup!$G$20),Setup!$C$39:$C$50))&lt;=Setup!$C$16))),WORKDAY(B499,-(Setup!$C$13+Setup!$G$20+Setup!$C$14),Setup!$C$39:$C$50),WORKDAY(B499,-(Setup!$C$13+Setup!$G$20),Setup!$C$39:$C$50))+(494*100+1)/10000000)))</f>
        <v/>
      </c>
      <c r="S499" t="str">
        <f>IF(C499="","",IF(C499&lt;Setup!$C$5-Setup!$C$6,"",IF(IF(ISNUMBER(Roster!$D499),Setup!$C$21&lt;=Roster!$D499,FALSE),"",IF(OR(IF(Setup!$C$15&lt;=Setup!$C$16,AND(MONTH(C499)&gt;=Setup!$C$15,MONTH(C499)&lt;=Setup!$C$16),OR(MONTH(C499)&gt;=Setup!$C$15,MONTH(C499)&lt;=Setup!$C$16)),IF(Setup!$C$15&lt;=Setup!$C$16,AND(MONTH(WORKDAY(C499,-(Setup!$C$13+Setup!$G$21),Setup!$C$39:$C$50))&gt;=Setup!$C$15,MONTH(WORKDAY(C499,-(Setup!$C$13+Setup!$G$21),Setup!$C$39:$C$50))&lt;=Setup!$C$16),OR(MONTH(WORKDAY(C499,-(Setup!$C$13+Setup!$G$21),Setup!$C$39:$C$50))&gt;=Setup!$C$15,MONTH(WORKDAY(C499,-(Setup!$C$13+Setup!$G$21),Setup!$C$39:$C$50))&lt;=Setup!$C$16))),WORKDAY(C499,-(Setup!$C$13+Setup!$G$21+Setup!$C$14),Setup!$C$39:$C$50),WORKDAY(C499,-(Setup!$C$13+Setup!$G$21),Setup!$C$39:$C$50))+(494*100+2)/10000000)))</f>
        <v/>
      </c>
      <c r="T499" t="str">
        <f>IF(D499="","",IF(D499&lt;Setup!$C$5-Setup!$C$6,"",IF(IF(ISNUMBER(Roster!$D499),Setup!$C$22&lt;=Roster!$D499,FALSE),"",IF(OR(IF(Setup!$C$15&lt;=Setup!$C$16,AND(MONTH(D499)&gt;=Setup!$C$15,MONTH(D499)&lt;=Setup!$C$16),OR(MONTH(D499)&gt;=Setup!$C$15,MONTH(D499)&lt;=Setup!$C$16)),IF(Setup!$C$15&lt;=Setup!$C$16,AND(MONTH(WORKDAY(D499,-(Setup!$C$13+Setup!$G$22),Setup!$C$39:$C$50))&gt;=Setup!$C$15,MONTH(WORKDAY(D499,-(Setup!$C$13+Setup!$G$22),Setup!$C$39:$C$50))&lt;=Setup!$C$16),OR(MONTH(WORKDAY(D499,-(Setup!$C$13+Setup!$G$22),Setup!$C$39:$C$50))&gt;=Setup!$C$15,MONTH(WORKDAY(D499,-(Setup!$C$13+Setup!$G$22),Setup!$C$39:$C$50))&lt;=Setup!$C$16))),WORKDAY(D499,-(Setup!$C$13+Setup!$G$22+Setup!$C$14),Setup!$C$39:$C$50),WORKDAY(D499,-(Setup!$C$13+Setup!$G$22),Setup!$C$39:$C$50))+(494*100+3)/10000000)))</f>
        <v/>
      </c>
      <c r="U499" t="str">
        <f>IF(E499="","",IF(E499&lt;Setup!$C$5-Setup!$C$6,"",IF(IF(ISNUMBER(Roster!$D499),Setup!$C$23&lt;=Roster!$D499,FALSE),"",IF(OR(IF(Setup!$C$15&lt;=Setup!$C$16,AND(MONTH(E499)&gt;=Setup!$C$15,MONTH(E499)&lt;=Setup!$C$16),OR(MONTH(E499)&gt;=Setup!$C$15,MONTH(E499)&lt;=Setup!$C$16)),IF(Setup!$C$15&lt;=Setup!$C$16,AND(MONTH(WORKDAY(E499,-(Setup!$C$13+Setup!$G$23),Setup!$C$39:$C$50))&gt;=Setup!$C$15,MONTH(WORKDAY(E499,-(Setup!$C$13+Setup!$G$23),Setup!$C$39:$C$50))&lt;=Setup!$C$16),OR(MONTH(WORKDAY(E499,-(Setup!$C$13+Setup!$G$23),Setup!$C$39:$C$50))&gt;=Setup!$C$15,MONTH(WORKDAY(E499,-(Setup!$C$13+Setup!$G$23),Setup!$C$39:$C$50))&lt;=Setup!$C$16))),WORKDAY(E499,-(Setup!$C$13+Setup!$G$23+Setup!$C$14),Setup!$C$39:$C$50),WORKDAY(E499,-(Setup!$C$13+Setup!$G$23),Setup!$C$39:$C$50))+(494*100+4)/10000000)))</f>
        <v/>
      </c>
      <c r="V499" t="str">
        <f>IF(F499="","",IF(F499&lt;Setup!$C$5-Setup!$C$6,"",IF(IF(ISNUMBER(Roster!$D499),Setup!$C$24&lt;=Roster!$D499,FALSE),"",IF(OR(IF(Setup!$C$15&lt;=Setup!$C$16,AND(MONTH(F499)&gt;=Setup!$C$15,MONTH(F499)&lt;=Setup!$C$16),OR(MONTH(F499)&gt;=Setup!$C$15,MONTH(F499)&lt;=Setup!$C$16)),IF(Setup!$C$15&lt;=Setup!$C$16,AND(MONTH(WORKDAY(F499,-(Setup!$C$13+Setup!$G$24),Setup!$C$39:$C$50))&gt;=Setup!$C$15,MONTH(WORKDAY(F499,-(Setup!$C$13+Setup!$G$24),Setup!$C$39:$C$50))&lt;=Setup!$C$16),OR(MONTH(WORKDAY(F499,-(Setup!$C$13+Setup!$G$24),Setup!$C$39:$C$50))&gt;=Setup!$C$15,MONTH(WORKDAY(F499,-(Setup!$C$13+Setup!$G$24),Setup!$C$39:$C$50))&lt;=Setup!$C$16))),WORKDAY(F499,-(Setup!$C$13+Setup!$G$24+Setup!$C$14),Setup!$C$39:$C$50),WORKDAY(F499,-(Setup!$C$13+Setup!$G$24),Setup!$C$39:$C$50))+(494*100+5)/10000000)))</f>
        <v/>
      </c>
      <c r="W499" t="str">
        <f>IF(G499="","",IF(G499&lt;Setup!$C$5-Setup!$C$6,"",IF(IF(ISNUMBER(Roster!$D499),Setup!$C$25&lt;=Roster!$D499,FALSE),"",IF(OR(IF(Setup!$C$15&lt;=Setup!$C$16,AND(MONTH(G499)&gt;=Setup!$C$15,MONTH(G499)&lt;=Setup!$C$16),OR(MONTH(G499)&gt;=Setup!$C$15,MONTH(G499)&lt;=Setup!$C$16)),IF(Setup!$C$15&lt;=Setup!$C$16,AND(MONTH(WORKDAY(G499,-(Setup!$C$13+Setup!$G$25),Setup!$C$39:$C$50))&gt;=Setup!$C$15,MONTH(WORKDAY(G499,-(Setup!$C$13+Setup!$G$25),Setup!$C$39:$C$50))&lt;=Setup!$C$16),OR(MONTH(WORKDAY(G499,-(Setup!$C$13+Setup!$G$25),Setup!$C$39:$C$50))&gt;=Setup!$C$15,MONTH(WORKDAY(G499,-(Setup!$C$13+Setup!$G$25),Setup!$C$39:$C$50))&lt;=Setup!$C$16))),WORKDAY(G499,-(Setup!$C$13+Setup!$G$25+Setup!$C$14),Setup!$C$39:$C$50),WORKDAY(G499,-(Setup!$C$13+Setup!$G$25),Setup!$C$39:$C$50))+(494*100+6)/10000000)))</f>
        <v/>
      </c>
      <c r="X499" t="str">
        <f>IF(H499="","",IF(H499&lt;Setup!$C$5-Setup!$C$6,"",IF(IF(ISNUMBER(Roster!$D499),Setup!$C$26&lt;=Roster!$D499,FALSE),"",IF(OR(IF(Setup!$C$15&lt;=Setup!$C$16,AND(MONTH(H499)&gt;=Setup!$C$15,MONTH(H499)&lt;=Setup!$C$16),OR(MONTH(H499)&gt;=Setup!$C$15,MONTH(H499)&lt;=Setup!$C$16)),IF(Setup!$C$15&lt;=Setup!$C$16,AND(MONTH(WORKDAY(H499,-(Setup!$C$13+Setup!$G$26),Setup!$C$39:$C$50))&gt;=Setup!$C$15,MONTH(WORKDAY(H499,-(Setup!$C$13+Setup!$G$26),Setup!$C$39:$C$50))&lt;=Setup!$C$16),OR(MONTH(WORKDAY(H499,-(Setup!$C$13+Setup!$G$26),Setup!$C$39:$C$50))&gt;=Setup!$C$15,MONTH(WORKDAY(H499,-(Setup!$C$13+Setup!$G$26),Setup!$C$39:$C$50))&lt;=Setup!$C$16))),WORKDAY(H499,-(Setup!$C$13+Setup!$G$26+Setup!$C$14),Setup!$C$39:$C$50),WORKDAY(H499,-(Setup!$C$13+Setup!$G$26),Setup!$C$39:$C$50))+(494*100+7)/10000000)))</f>
        <v/>
      </c>
      <c r="Y499" t="str">
        <f>IF(I499="","",IF(I499&lt;Setup!$C$5-Setup!$C$6,"",IF(IF(ISNUMBER(Roster!$D499),Setup!$C$27&lt;=Roster!$D499,FALSE),"",IF(OR(IF(Setup!$C$15&lt;=Setup!$C$16,AND(MONTH(I499)&gt;=Setup!$C$15,MONTH(I499)&lt;=Setup!$C$16),OR(MONTH(I499)&gt;=Setup!$C$15,MONTH(I499)&lt;=Setup!$C$16)),IF(Setup!$C$15&lt;=Setup!$C$16,AND(MONTH(WORKDAY(I499,-(Setup!$C$13+Setup!$G$27),Setup!$C$39:$C$50))&gt;=Setup!$C$15,MONTH(WORKDAY(I499,-(Setup!$C$13+Setup!$G$27),Setup!$C$39:$C$50))&lt;=Setup!$C$16),OR(MONTH(WORKDAY(I499,-(Setup!$C$13+Setup!$G$27),Setup!$C$39:$C$50))&gt;=Setup!$C$15,MONTH(WORKDAY(I499,-(Setup!$C$13+Setup!$G$27),Setup!$C$39:$C$50))&lt;=Setup!$C$16))),WORKDAY(I499,-(Setup!$C$13+Setup!$G$27+Setup!$C$14),Setup!$C$39:$C$50),WORKDAY(I499,-(Setup!$C$13+Setup!$G$27),Setup!$C$39:$C$50))+(494*100+8)/10000000)))</f>
        <v/>
      </c>
      <c r="Z499" t="str">
        <f>IF(J499="","",IF(J499&lt;Setup!$C$5-Setup!$C$6,"",IF(IF(ISNUMBER(Roster!$D499),Setup!$C$28&lt;=Roster!$D499,FALSE),"",IF(OR(IF(Setup!$C$15&lt;=Setup!$C$16,AND(MONTH(J499)&gt;=Setup!$C$15,MONTH(J499)&lt;=Setup!$C$16),OR(MONTH(J499)&gt;=Setup!$C$15,MONTH(J499)&lt;=Setup!$C$16)),IF(Setup!$C$15&lt;=Setup!$C$16,AND(MONTH(WORKDAY(J499,-(Setup!$C$13+Setup!$G$28),Setup!$C$39:$C$50))&gt;=Setup!$C$15,MONTH(WORKDAY(J499,-(Setup!$C$13+Setup!$G$28),Setup!$C$39:$C$50))&lt;=Setup!$C$16),OR(MONTH(WORKDAY(J499,-(Setup!$C$13+Setup!$G$28),Setup!$C$39:$C$50))&gt;=Setup!$C$15,MONTH(WORKDAY(J499,-(Setup!$C$13+Setup!$G$28),Setup!$C$39:$C$50))&lt;=Setup!$C$16))),WORKDAY(J499,-(Setup!$C$13+Setup!$G$28+Setup!$C$14),Setup!$C$39:$C$50),WORKDAY(J499,-(Setup!$C$13+Setup!$G$28),Setup!$C$39:$C$50))+(494*100+9)/10000000)))</f>
        <v/>
      </c>
      <c r="AA499" t="str">
        <f>IF(K499="","",IF(K499&lt;Setup!$C$5-Setup!$C$6,"",IF(IF(ISNUMBER(Roster!$D499),Setup!$C$29&lt;=Roster!$D499,FALSE),"",IF(OR(IF(Setup!$C$15&lt;=Setup!$C$16,AND(MONTH(K499)&gt;=Setup!$C$15,MONTH(K499)&lt;=Setup!$C$16),OR(MONTH(K499)&gt;=Setup!$C$15,MONTH(K499)&lt;=Setup!$C$16)),IF(Setup!$C$15&lt;=Setup!$C$16,AND(MONTH(WORKDAY(K499,-(Setup!$C$13+Setup!$G$29),Setup!$C$39:$C$50))&gt;=Setup!$C$15,MONTH(WORKDAY(K499,-(Setup!$C$13+Setup!$G$29),Setup!$C$39:$C$50))&lt;=Setup!$C$16),OR(MONTH(WORKDAY(K499,-(Setup!$C$13+Setup!$G$29),Setup!$C$39:$C$50))&gt;=Setup!$C$15,MONTH(WORKDAY(K499,-(Setup!$C$13+Setup!$G$29),Setup!$C$39:$C$50))&lt;=Setup!$C$16))),WORKDAY(K499,-(Setup!$C$13+Setup!$G$29+Setup!$C$14),Setup!$C$39:$C$50),WORKDAY(K499,-(Setup!$C$13+Setup!$G$29),Setup!$C$39:$C$50))+(494*100+10)/10000000)))</f>
        <v/>
      </c>
      <c r="AB499" t="str">
        <f>IF(L499="","",IF(L499&lt;Setup!$C$5-Setup!$C$6,"",IF(IF(ISNUMBER(Roster!$D499),Setup!$C$30&lt;=Roster!$D499,FALSE),"",IF(OR(IF(Setup!$C$15&lt;=Setup!$C$16,AND(MONTH(L499)&gt;=Setup!$C$15,MONTH(L499)&lt;=Setup!$C$16),OR(MONTH(L499)&gt;=Setup!$C$15,MONTH(L499)&lt;=Setup!$C$16)),IF(Setup!$C$15&lt;=Setup!$C$16,AND(MONTH(WORKDAY(L499,-(Setup!$C$13+Setup!$G$30),Setup!$C$39:$C$50))&gt;=Setup!$C$15,MONTH(WORKDAY(L499,-(Setup!$C$13+Setup!$G$30),Setup!$C$39:$C$50))&lt;=Setup!$C$16),OR(MONTH(WORKDAY(L499,-(Setup!$C$13+Setup!$G$30),Setup!$C$39:$C$50))&gt;=Setup!$C$15,MONTH(WORKDAY(L499,-(Setup!$C$13+Setup!$G$30),Setup!$C$39:$C$50))&lt;=Setup!$C$16))),WORKDAY(L499,-(Setup!$C$13+Setup!$G$30+Setup!$C$14),Setup!$C$39:$C$50),WORKDAY(L499,-(Setup!$C$13+Setup!$G$30),Setup!$C$39:$C$50))+(494*100+11)/10000000)))</f>
        <v/>
      </c>
      <c r="AC499" t="str">
        <f>IF(M499="","",IF(M499&lt;Setup!$C$5-Setup!$C$6,"",IF(IF(ISNUMBER(Roster!$D499),Setup!$C$31&lt;=Roster!$D499,FALSE),"",IF(OR(IF(Setup!$C$15&lt;=Setup!$C$16,AND(MONTH(M499)&gt;=Setup!$C$15,MONTH(M499)&lt;=Setup!$C$16),OR(MONTH(M499)&gt;=Setup!$C$15,MONTH(M499)&lt;=Setup!$C$16)),IF(Setup!$C$15&lt;=Setup!$C$16,AND(MONTH(WORKDAY(M499,-(Setup!$C$13+Setup!$G$31),Setup!$C$39:$C$50))&gt;=Setup!$C$15,MONTH(WORKDAY(M499,-(Setup!$C$13+Setup!$G$31),Setup!$C$39:$C$50))&lt;=Setup!$C$16),OR(MONTH(WORKDAY(M499,-(Setup!$C$13+Setup!$G$31),Setup!$C$39:$C$50))&gt;=Setup!$C$15,MONTH(WORKDAY(M499,-(Setup!$C$13+Setup!$G$31),Setup!$C$39:$C$50))&lt;=Setup!$C$16))),WORKDAY(M499,-(Setup!$C$13+Setup!$G$31+Setup!$C$14),Setup!$C$39:$C$50),WORKDAY(M499,-(Setup!$C$13+Setup!$G$31),Setup!$C$39:$C$50))+(494*100+12)/10000000)))</f>
        <v/>
      </c>
      <c r="AD499" t="str">
        <f>IF(N499="","",IF(N499&lt;Setup!$C$5-Setup!$C$6,"",IF(IF(ISNUMBER(Roster!$D499),Setup!$C$32&lt;=Roster!$D499,FALSE),"",IF(OR(IF(Setup!$C$15&lt;=Setup!$C$16,AND(MONTH(N499)&gt;=Setup!$C$15,MONTH(N499)&lt;=Setup!$C$16),OR(MONTH(N499)&gt;=Setup!$C$15,MONTH(N499)&lt;=Setup!$C$16)),IF(Setup!$C$15&lt;=Setup!$C$16,AND(MONTH(WORKDAY(N499,-(Setup!$C$13+Setup!$G$32),Setup!$C$39:$C$50))&gt;=Setup!$C$15,MONTH(WORKDAY(N499,-(Setup!$C$13+Setup!$G$32),Setup!$C$39:$C$50))&lt;=Setup!$C$16),OR(MONTH(WORKDAY(N499,-(Setup!$C$13+Setup!$G$32),Setup!$C$39:$C$50))&gt;=Setup!$C$15,MONTH(WORKDAY(N499,-(Setup!$C$13+Setup!$G$32),Setup!$C$39:$C$50))&lt;=Setup!$C$16))),WORKDAY(N499,-(Setup!$C$13+Setup!$G$32+Setup!$C$14),Setup!$C$39:$C$50),WORKDAY(N499,-(Setup!$C$13+Setup!$G$32),Setup!$C$39:$C$50))+(494*100+13)/10000000)))</f>
        <v/>
      </c>
      <c r="AE499" t="str">
        <f>IF(O499="","",IF(O499&lt;Setup!$C$5-Setup!$C$6,"",IF(IF(ISNUMBER(Roster!$D499),Setup!$C$33&lt;=Roster!$D499,FALSE),"",IF(OR(IF(Setup!$C$15&lt;=Setup!$C$16,AND(MONTH(O499)&gt;=Setup!$C$15,MONTH(O499)&lt;=Setup!$C$16),OR(MONTH(O499)&gt;=Setup!$C$15,MONTH(O499)&lt;=Setup!$C$16)),IF(Setup!$C$15&lt;=Setup!$C$16,AND(MONTH(WORKDAY(O499,-(Setup!$C$13+Setup!$G$33),Setup!$C$39:$C$50))&gt;=Setup!$C$15,MONTH(WORKDAY(O499,-(Setup!$C$13+Setup!$G$33),Setup!$C$39:$C$50))&lt;=Setup!$C$16),OR(MONTH(WORKDAY(O499,-(Setup!$C$13+Setup!$G$33),Setup!$C$39:$C$50))&gt;=Setup!$C$15,MONTH(WORKDAY(O499,-(Setup!$C$13+Setup!$G$33),Setup!$C$39:$C$50))&lt;=Setup!$C$16))),WORKDAY(O499,-(Setup!$C$13+Setup!$G$33+Setup!$C$14),Setup!$C$39:$C$50),WORKDAY(O499,-(Setup!$C$13+Setup!$G$33),Setup!$C$39:$C$50))+(494*100+14)/10000000)))</f>
        <v/>
      </c>
      <c r="AF499" t="str">
        <f>IF(P499="","",IF(P499&lt;Setup!$C$5-Setup!$C$6,"",IF(IF(ISNUMBER(Roster!$D499),Setup!$C$34&lt;=Roster!$D499,FALSE),"",IF(OR(IF(Setup!$C$15&lt;=Setup!$C$16,AND(MONTH(P499)&gt;=Setup!$C$15,MONTH(P499)&lt;=Setup!$C$16),OR(MONTH(P499)&gt;=Setup!$C$15,MONTH(P499)&lt;=Setup!$C$16)),IF(Setup!$C$15&lt;=Setup!$C$16,AND(MONTH(WORKDAY(P499,-(Setup!$C$13+Setup!$G$34),Setup!$C$39:$C$50))&gt;=Setup!$C$15,MONTH(WORKDAY(P499,-(Setup!$C$13+Setup!$G$34),Setup!$C$39:$C$50))&lt;=Setup!$C$16),OR(MONTH(WORKDAY(P499,-(Setup!$C$13+Setup!$G$34),Setup!$C$39:$C$50))&gt;=Setup!$C$15,MONTH(WORKDAY(P499,-(Setup!$C$13+Setup!$G$34),Setup!$C$39:$C$50))&lt;=Setup!$C$16))),WORKDAY(P499,-(Setup!$C$13+Setup!$G$34+Setup!$C$14),Setup!$C$39:$C$50),WORKDAY(P499,-(Setup!$C$13+Setup!$G$34),Setup!$C$39:$C$50))+(494*100+15)/10000000)))</f>
        <v/>
      </c>
      <c r="AH499" t="str">
        <f t="shared" si="51"/>
        <v/>
      </c>
      <c r="AI499" t="str">
        <f t="shared" si="52"/>
        <v/>
      </c>
      <c r="AP499" t="str">
        <f>IF(ISNUMBER(Roster!$B499),MAX(1,YEAR(Setup!$C$5)-YEAR(Roster!$B499)+IF(EDATE(Roster!$B499,12*(YEAR(Setup!$C$5)-YEAR(Roster!$B499)))&lt;Setup!$C$5,1,0)),"")</f>
        <v/>
      </c>
      <c r="AQ499" s="32" t="str">
        <f>IF(AP499="","",EDATE(Roster!$B499,12*AP499))</f>
        <v/>
      </c>
      <c r="AR499" t="str">
        <f>IF(AQ499="","",IF(AQ499&lt;DATE(YEAR(Setup!$C$5)+1,MONTH(Setup!$C$5),DAY(Setup!$C$5)),AQ499+494/1000,""))</f>
        <v/>
      </c>
      <c r="AS499" t="str">
        <f t="shared" si="53"/>
        <v/>
      </c>
      <c r="AT499" t="str">
        <f>IF(AS499="","",IF(ISNUMBER(Roster!$D499),Roster!$D499&gt;=AP499,FALSE))</f>
        <v/>
      </c>
      <c r="AU499" t="str">
        <f t="shared" si="54"/>
        <v/>
      </c>
      <c r="AV499" t="str">
        <f ca="1">IF(494&gt;$AV$2,"",SMALL($AR$6:$AR$505,494))</f>
        <v/>
      </c>
      <c r="AW499" t="str">
        <f t="shared" ca="1" si="55"/>
        <v/>
      </c>
    </row>
    <row r="500" spans="2:49" x14ac:dyDescent="0.2">
      <c r="B500" s="32" t="str">
        <f>IF(AND(ISNUMBER(Roster!$B500),Setup!$B$20="Yes",ISNUMBER(Setup!$C$20)),EDATE(Roster!$B500,12*Setup!$C$20),"")</f>
        <v/>
      </c>
      <c r="C500" s="32" t="str">
        <f>IF(AND(ISNUMBER(Roster!$B500),Setup!$B$21="Yes",ISNUMBER(Setup!$C$21)),EDATE(Roster!$B500,12*Setup!$C$21),"")</f>
        <v/>
      </c>
      <c r="D500" s="32" t="str">
        <f>IF(AND(ISNUMBER(Roster!$B500),Setup!$B$22="Yes",ISNUMBER(Setup!$C$22)),EDATE(Roster!$B500,12*Setup!$C$22),"")</f>
        <v/>
      </c>
      <c r="E500" s="32" t="str">
        <f>IF(AND(ISNUMBER(Roster!$B500),Setup!$B$23="Yes",ISNUMBER(Setup!$C$23)),EDATE(Roster!$B500,12*Setup!$C$23),"")</f>
        <v/>
      </c>
      <c r="F500" s="32" t="str">
        <f>IF(AND(ISNUMBER(Roster!$B500),Setup!$B$24="Yes",ISNUMBER(Setup!$C$24)),EDATE(Roster!$B500,12*Setup!$C$24),"")</f>
        <v/>
      </c>
      <c r="G500" s="32" t="str">
        <f>IF(AND(ISNUMBER(Roster!$B500),Setup!$B$25="Yes",ISNUMBER(Setup!$C$25)),EDATE(Roster!$B500,12*Setup!$C$25),"")</f>
        <v/>
      </c>
      <c r="H500" s="32" t="str">
        <f>IF(AND(ISNUMBER(Roster!$B500),Setup!$B$26="Yes",ISNUMBER(Setup!$C$26)),EDATE(Roster!$B500,12*Setup!$C$26),"")</f>
        <v/>
      </c>
      <c r="I500" s="32" t="str">
        <f>IF(AND(ISNUMBER(Roster!$B500),Setup!$B$27="Yes",ISNUMBER(Setup!$C$27)),EDATE(Roster!$B500,12*Setup!$C$27),"")</f>
        <v/>
      </c>
      <c r="J500" s="32" t="str">
        <f>IF(AND(ISNUMBER(Roster!$B500),Setup!$B$28="Yes",ISNUMBER(Setup!$C$28)),EDATE(Roster!$B500,12*Setup!$C$28),"")</f>
        <v/>
      </c>
      <c r="K500" s="32" t="str">
        <f>IF(AND(ISNUMBER(Roster!$B500),Setup!$B$29="Yes",ISNUMBER(Setup!$C$29)),EDATE(Roster!$B500,12*Setup!$C$29),"")</f>
        <v/>
      </c>
      <c r="L500" s="32" t="str">
        <f>IF(AND(ISNUMBER(Roster!$B500),Setup!$B$30="Yes",ISNUMBER(Setup!$C$30)),EDATE(Roster!$B500,12*Setup!$C$30),"")</f>
        <v/>
      </c>
      <c r="M500" s="32" t="str">
        <f>IF(AND(ISNUMBER(Roster!$B500),Setup!$B$31="Yes",ISNUMBER(Setup!$C$31)),EDATE(Roster!$B500,12*Setup!$C$31),"")</f>
        <v/>
      </c>
      <c r="N500" s="32" t="str">
        <f>IF(AND(ISNUMBER(Roster!$B500),Setup!$B$32="Yes",ISNUMBER(Setup!$C$32)),EDATE(Roster!$B500,12*Setup!$C$32),"")</f>
        <v/>
      </c>
      <c r="O500" s="32" t="str">
        <f>IF(AND(ISNUMBER(Roster!$B500),Setup!$B$33="Yes",ISNUMBER(Setup!$C$33)),EDATE(Roster!$B500,12*Setup!$C$33),"")</f>
        <v/>
      </c>
      <c r="P500" s="32" t="str">
        <f>IF(AND(ISNUMBER(Roster!$B500),Setup!$B$34="Yes",ISNUMBER(Setup!$C$34)),EDATE(Roster!$B500,12*Setup!$C$34),"")</f>
        <v/>
      </c>
      <c r="R500" t="str">
        <f>IF(B500="","",IF(B500&lt;Setup!$C$5-Setup!$C$6,"",IF(IF(ISNUMBER(Roster!$D500),Setup!$C$20&lt;=Roster!$D500,FALSE),"",IF(OR(IF(Setup!$C$15&lt;=Setup!$C$16,AND(MONTH(B500)&gt;=Setup!$C$15,MONTH(B500)&lt;=Setup!$C$16),OR(MONTH(B500)&gt;=Setup!$C$15,MONTH(B500)&lt;=Setup!$C$16)),IF(Setup!$C$15&lt;=Setup!$C$16,AND(MONTH(WORKDAY(B500,-(Setup!$C$13+Setup!$G$20),Setup!$C$39:$C$50))&gt;=Setup!$C$15,MONTH(WORKDAY(B500,-(Setup!$C$13+Setup!$G$20),Setup!$C$39:$C$50))&lt;=Setup!$C$16),OR(MONTH(WORKDAY(B500,-(Setup!$C$13+Setup!$G$20),Setup!$C$39:$C$50))&gt;=Setup!$C$15,MONTH(WORKDAY(B500,-(Setup!$C$13+Setup!$G$20),Setup!$C$39:$C$50))&lt;=Setup!$C$16))),WORKDAY(B500,-(Setup!$C$13+Setup!$G$20+Setup!$C$14),Setup!$C$39:$C$50),WORKDAY(B500,-(Setup!$C$13+Setup!$G$20),Setup!$C$39:$C$50))+(495*100+1)/10000000)))</f>
        <v/>
      </c>
      <c r="S500" t="str">
        <f>IF(C500="","",IF(C500&lt;Setup!$C$5-Setup!$C$6,"",IF(IF(ISNUMBER(Roster!$D500),Setup!$C$21&lt;=Roster!$D500,FALSE),"",IF(OR(IF(Setup!$C$15&lt;=Setup!$C$16,AND(MONTH(C500)&gt;=Setup!$C$15,MONTH(C500)&lt;=Setup!$C$16),OR(MONTH(C500)&gt;=Setup!$C$15,MONTH(C500)&lt;=Setup!$C$16)),IF(Setup!$C$15&lt;=Setup!$C$16,AND(MONTH(WORKDAY(C500,-(Setup!$C$13+Setup!$G$21),Setup!$C$39:$C$50))&gt;=Setup!$C$15,MONTH(WORKDAY(C500,-(Setup!$C$13+Setup!$G$21),Setup!$C$39:$C$50))&lt;=Setup!$C$16),OR(MONTH(WORKDAY(C500,-(Setup!$C$13+Setup!$G$21),Setup!$C$39:$C$50))&gt;=Setup!$C$15,MONTH(WORKDAY(C500,-(Setup!$C$13+Setup!$G$21),Setup!$C$39:$C$50))&lt;=Setup!$C$16))),WORKDAY(C500,-(Setup!$C$13+Setup!$G$21+Setup!$C$14),Setup!$C$39:$C$50),WORKDAY(C500,-(Setup!$C$13+Setup!$G$21),Setup!$C$39:$C$50))+(495*100+2)/10000000)))</f>
        <v/>
      </c>
      <c r="T500" t="str">
        <f>IF(D500="","",IF(D500&lt;Setup!$C$5-Setup!$C$6,"",IF(IF(ISNUMBER(Roster!$D500),Setup!$C$22&lt;=Roster!$D500,FALSE),"",IF(OR(IF(Setup!$C$15&lt;=Setup!$C$16,AND(MONTH(D500)&gt;=Setup!$C$15,MONTH(D500)&lt;=Setup!$C$16),OR(MONTH(D500)&gt;=Setup!$C$15,MONTH(D500)&lt;=Setup!$C$16)),IF(Setup!$C$15&lt;=Setup!$C$16,AND(MONTH(WORKDAY(D500,-(Setup!$C$13+Setup!$G$22),Setup!$C$39:$C$50))&gt;=Setup!$C$15,MONTH(WORKDAY(D500,-(Setup!$C$13+Setup!$G$22),Setup!$C$39:$C$50))&lt;=Setup!$C$16),OR(MONTH(WORKDAY(D500,-(Setup!$C$13+Setup!$G$22),Setup!$C$39:$C$50))&gt;=Setup!$C$15,MONTH(WORKDAY(D500,-(Setup!$C$13+Setup!$G$22),Setup!$C$39:$C$50))&lt;=Setup!$C$16))),WORKDAY(D500,-(Setup!$C$13+Setup!$G$22+Setup!$C$14),Setup!$C$39:$C$50),WORKDAY(D500,-(Setup!$C$13+Setup!$G$22),Setup!$C$39:$C$50))+(495*100+3)/10000000)))</f>
        <v/>
      </c>
      <c r="U500" t="str">
        <f>IF(E500="","",IF(E500&lt;Setup!$C$5-Setup!$C$6,"",IF(IF(ISNUMBER(Roster!$D500),Setup!$C$23&lt;=Roster!$D500,FALSE),"",IF(OR(IF(Setup!$C$15&lt;=Setup!$C$16,AND(MONTH(E500)&gt;=Setup!$C$15,MONTH(E500)&lt;=Setup!$C$16),OR(MONTH(E500)&gt;=Setup!$C$15,MONTH(E500)&lt;=Setup!$C$16)),IF(Setup!$C$15&lt;=Setup!$C$16,AND(MONTH(WORKDAY(E500,-(Setup!$C$13+Setup!$G$23),Setup!$C$39:$C$50))&gt;=Setup!$C$15,MONTH(WORKDAY(E500,-(Setup!$C$13+Setup!$G$23),Setup!$C$39:$C$50))&lt;=Setup!$C$16),OR(MONTH(WORKDAY(E500,-(Setup!$C$13+Setup!$G$23),Setup!$C$39:$C$50))&gt;=Setup!$C$15,MONTH(WORKDAY(E500,-(Setup!$C$13+Setup!$G$23),Setup!$C$39:$C$50))&lt;=Setup!$C$16))),WORKDAY(E500,-(Setup!$C$13+Setup!$G$23+Setup!$C$14),Setup!$C$39:$C$50),WORKDAY(E500,-(Setup!$C$13+Setup!$G$23),Setup!$C$39:$C$50))+(495*100+4)/10000000)))</f>
        <v/>
      </c>
      <c r="V500" t="str">
        <f>IF(F500="","",IF(F500&lt;Setup!$C$5-Setup!$C$6,"",IF(IF(ISNUMBER(Roster!$D500),Setup!$C$24&lt;=Roster!$D500,FALSE),"",IF(OR(IF(Setup!$C$15&lt;=Setup!$C$16,AND(MONTH(F500)&gt;=Setup!$C$15,MONTH(F500)&lt;=Setup!$C$16),OR(MONTH(F500)&gt;=Setup!$C$15,MONTH(F500)&lt;=Setup!$C$16)),IF(Setup!$C$15&lt;=Setup!$C$16,AND(MONTH(WORKDAY(F500,-(Setup!$C$13+Setup!$G$24),Setup!$C$39:$C$50))&gt;=Setup!$C$15,MONTH(WORKDAY(F500,-(Setup!$C$13+Setup!$G$24),Setup!$C$39:$C$50))&lt;=Setup!$C$16),OR(MONTH(WORKDAY(F500,-(Setup!$C$13+Setup!$G$24),Setup!$C$39:$C$50))&gt;=Setup!$C$15,MONTH(WORKDAY(F500,-(Setup!$C$13+Setup!$G$24),Setup!$C$39:$C$50))&lt;=Setup!$C$16))),WORKDAY(F500,-(Setup!$C$13+Setup!$G$24+Setup!$C$14),Setup!$C$39:$C$50),WORKDAY(F500,-(Setup!$C$13+Setup!$G$24),Setup!$C$39:$C$50))+(495*100+5)/10000000)))</f>
        <v/>
      </c>
      <c r="W500" t="str">
        <f>IF(G500="","",IF(G500&lt;Setup!$C$5-Setup!$C$6,"",IF(IF(ISNUMBER(Roster!$D500),Setup!$C$25&lt;=Roster!$D500,FALSE),"",IF(OR(IF(Setup!$C$15&lt;=Setup!$C$16,AND(MONTH(G500)&gt;=Setup!$C$15,MONTH(G500)&lt;=Setup!$C$16),OR(MONTH(G500)&gt;=Setup!$C$15,MONTH(G500)&lt;=Setup!$C$16)),IF(Setup!$C$15&lt;=Setup!$C$16,AND(MONTH(WORKDAY(G500,-(Setup!$C$13+Setup!$G$25),Setup!$C$39:$C$50))&gt;=Setup!$C$15,MONTH(WORKDAY(G500,-(Setup!$C$13+Setup!$G$25),Setup!$C$39:$C$50))&lt;=Setup!$C$16),OR(MONTH(WORKDAY(G500,-(Setup!$C$13+Setup!$G$25),Setup!$C$39:$C$50))&gt;=Setup!$C$15,MONTH(WORKDAY(G500,-(Setup!$C$13+Setup!$G$25),Setup!$C$39:$C$50))&lt;=Setup!$C$16))),WORKDAY(G500,-(Setup!$C$13+Setup!$G$25+Setup!$C$14),Setup!$C$39:$C$50),WORKDAY(G500,-(Setup!$C$13+Setup!$G$25),Setup!$C$39:$C$50))+(495*100+6)/10000000)))</f>
        <v/>
      </c>
      <c r="X500" t="str">
        <f>IF(H500="","",IF(H500&lt;Setup!$C$5-Setup!$C$6,"",IF(IF(ISNUMBER(Roster!$D500),Setup!$C$26&lt;=Roster!$D500,FALSE),"",IF(OR(IF(Setup!$C$15&lt;=Setup!$C$16,AND(MONTH(H500)&gt;=Setup!$C$15,MONTH(H500)&lt;=Setup!$C$16),OR(MONTH(H500)&gt;=Setup!$C$15,MONTH(H500)&lt;=Setup!$C$16)),IF(Setup!$C$15&lt;=Setup!$C$16,AND(MONTH(WORKDAY(H500,-(Setup!$C$13+Setup!$G$26),Setup!$C$39:$C$50))&gt;=Setup!$C$15,MONTH(WORKDAY(H500,-(Setup!$C$13+Setup!$G$26),Setup!$C$39:$C$50))&lt;=Setup!$C$16),OR(MONTH(WORKDAY(H500,-(Setup!$C$13+Setup!$G$26),Setup!$C$39:$C$50))&gt;=Setup!$C$15,MONTH(WORKDAY(H500,-(Setup!$C$13+Setup!$G$26),Setup!$C$39:$C$50))&lt;=Setup!$C$16))),WORKDAY(H500,-(Setup!$C$13+Setup!$G$26+Setup!$C$14),Setup!$C$39:$C$50),WORKDAY(H500,-(Setup!$C$13+Setup!$G$26),Setup!$C$39:$C$50))+(495*100+7)/10000000)))</f>
        <v/>
      </c>
      <c r="Y500" t="str">
        <f>IF(I500="","",IF(I500&lt;Setup!$C$5-Setup!$C$6,"",IF(IF(ISNUMBER(Roster!$D500),Setup!$C$27&lt;=Roster!$D500,FALSE),"",IF(OR(IF(Setup!$C$15&lt;=Setup!$C$16,AND(MONTH(I500)&gt;=Setup!$C$15,MONTH(I500)&lt;=Setup!$C$16),OR(MONTH(I500)&gt;=Setup!$C$15,MONTH(I500)&lt;=Setup!$C$16)),IF(Setup!$C$15&lt;=Setup!$C$16,AND(MONTH(WORKDAY(I500,-(Setup!$C$13+Setup!$G$27),Setup!$C$39:$C$50))&gt;=Setup!$C$15,MONTH(WORKDAY(I500,-(Setup!$C$13+Setup!$G$27),Setup!$C$39:$C$50))&lt;=Setup!$C$16),OR(MONTH(WORKDAY(I500,-(Setup!$C$13+Setup!$G$27),Setup!$C$39:$C$50))&gt;=Setup!$C$15,MONTH(WORKDAY(I500,-(Setup!$C$13+Setup!$G$27),Setup!$C$39:$C$50))&lt;=Setup!$C$16))),WORKDAY(I500,-(Setup!$C$13+Setup!$G$27+Setup!$C$14),Setup!$C$39:$C$50),WORKDAY(I500,-(Setup!$C$13+Setup!$G$27),Setup!$C$39:$C$50))+(495*100+8)/10000000)))</f>
        <v/>
      </c>
      <c r="Z500" t="str">
        <f>IF(J500="","",IF(J500&lt;Setup!$C$5-Setup!$C$6,"",IF(IF(ISNUMBER(Roster!$D500),Setup!$C$28&lt;=Roster!$D500,FALSE),"",IF(OR(IF(Setup!$C$15&lt;=Setup!$C$16,AND(MONTH(J500)&gt;=Setup!$C$15,MONTH(J500)&lt;=Setup!$C$16),OR(MONTH(J500)&gt;=Setup!$C$15,MONTH(J500)&lt;=Setup!$C$16)),IF(Setup!$C$15&lt;=Setup!$C$16,AND(MONTH(WORKDAY(J500,-(Setup!$C$13+Setup!$G$28),Setup!$C$39:$C$50))&gt;=Setup!$C$15,MONTH(WORKDAY(J500,-(Setup!$C$13+Setup!$G$28),Setup!$C$39:$C$50))&lt;=Setup!$C$16),OR(MONTH(WORKDAY(J500,-(Setup!$C$13+Setup!$G$28),Setup!$C$39:$C$50))&gt;=Setup!$C$15,MONTH(WORKDAY(J500,-(Setup!$C$13+Setup!$G$28),Setup!$C$39:$C$50))&lt;=Setup!$C$16))),WORKDAY(J500,-(Setup!$C$13+Setup!$G$28+Setup!$C$14),Setup!$C$39:$C$50),WORKDAY(J500,-(Setup!$C$13+Setup!$G$28),Setup!$C$39:$C$50))+(495*100+9)/10000000)))</f>
        <v/>
      </c>
      <c r="AA500" t="str">
        <f>IF(K500="","",IF(K500&lt;Setup!$C$5-Setup!$C$6,"",IF(IF(ISNUMBER(Roster!$D500),Setup!$C$29&lt;=Roster!$D500,FALSE),"",IF(OR(IF(Setup!$C$15&lt;=Setup!$C$16,AND(MONTH(K500)&gt;=Setup!$C$15,MONTH(K500)&lt;=Setup!$C$16),OR(MONTH(K500)&gt;=Setup!$C$15,MONTH(K500)&lt;=Setup!$C$16)),IF(Setup!$C$15&lt;=Setup!$C$16,AND(MONTH(WORKDAY(K500,-(Setup!$C$13+Setup!$G$29),Setup!$C$39:$C$50))&gt;=Setup!$C$15,MONTH(WORKDAY(K500,-(Setup!$C$13+Setup!$G$29),Setup!$C$39:$C$50))&lt;=Setup!$C$16),OR(MONTH(WORKDAY(K500,-(Setup!$C$13+Setup!$G$29),Setup!$C$39:$C$50))&gt;=Setup!$C$15,MONTH(WORKDAY(K500,-(Setup!$C$13+Setup!$G$29),Setup!$C$39:$C$50))&lt;=Setup!$C$16))),WORKDAY(K500,-(Setup!$C$13+Setup!$G$29+Setup!$C$14),Setup!$C$39:$C$50),WORKDAY(K500,-(Setup!$C$13+Setup!$G$29),Setup!$C$39:$C$50))+(495*100+10)/10000000)))</f>
        <v/>
      </c>
      <c r="AB500" t="str">
        <f>IF(L500="","",IF(L500&lt;Setup!$C$5-Setup!$C$6,"",IF(IF(ISNUMBER(Roster!$D500),Setup!$C$30&lt;=Roster!$D500,FALSE),"",IF(OR(IF(Setup!$C$15&lt;=Setup!$C$16,AND(MONTH(L500)&gt;=Setup!$C$15,MONTH(L500)&lt;=Setup!$C$16),OR(MONTH(L500)&gt;=Setup!$C$15,MONTH(L500)&lt;=Setup!$C$16)),IF(Setup!$C$15&lt;=Setup!$C$16,AND(MONTH(WORKDAY(L500,-(Setup!$C$13+Setup!$G$30),Setup!$C$39:$C$50))&gt;=Setup!$C$15,MONTH(WORKDAY(L500,-(Setup!$C$13+Setup!$G$30),Setup!$C$39:$C$50))&lt;=Setup!$C$16),OR(MONTH(WORKDAY(L500,-(Setup!$C$13+Setup!$G$30),Setup!$C$39:$C$50))&gt;=Setup!$C$15,MONTH(WORKDAY(L500,-(Setup!$C$13+Setup!$G$30),Setup!$C$39:$C$50))&lt;=Setup!$C$16))),WORKDAY(L500,-(Setup!$C$13+Setup!$G$30+Setup!$C$14),Setup!$C$39:$C$50),WORKDAY(L500,-(Setup!$C$13+Setup!$G$30),Setup!$C$39:$C$50))+(495*100+11)/10000000)))</f>
        <v/>
      </c>
      <c r="AC500" t="str">
        <f>IF(M500="","",IF(M500&lt;Setup!$C$5-Setup!$C$6,"",IF(IF(ISNUMBER(Roster!$D500),Setup!$C$31&lt;=Roster!$D500,FALSE),"",IF(OR(IF(Setup!$C$15&lt;=Setup!$C$16,AND(MONTH(M500)&gt;=Setup!$C$15,MONTH(M500)&lt;=Setup!$C$16),OR(MONTH(M500)&gt;=Setup!$C$15,MONTH(M500)&lt;=Setup!$C$16)),IF(Setup!$C$15&lt;=Setup!$C$16,AND(MONTH(WORKDAY(M500,-(Setup!$C$13+Setup!$G$31),Setup!$C$39:$C$50))&gt;=Setup!$C$15,MONTH(WORKDAY(M500,-(Setup!$C$13+Setup!$G$31),Setup!$C$39:$C$50))&lt;=Setup!$C$16),OR(MONTH(WORKDAY(M500,-(Setup!$C$13+Setup!$G$31),Setup!$C$39:$C$50))&gt;=Setup!$C$15,MONTH(WORKDAY(M500,-(Setup!$C$13+Setup!$G$31),Setup!$C$39:$C$50))&lt;=Setup!$C$16))),WORKDAY(M500,-(Setup!$C$13+Setup!$G$31+Setup!$C$14),Setup!$C$39:$C$50),WORKDAY(M500,-(Setup!$C$13+Setup!$G$31),Setup!$C$39:$C$50))+(495*100+12)/10000000)))</f>
        <v/>
      </c>
      <c r="AD500" t="str">
        <f>IF(N500="","",IF(N500&lt;Setup!$C$5-Setup!$C$6,"",IF(IF(ISNUMBER(Roster!$D500),Setup!$C$32&lt;=Roster!$D500,FALSE),"",IF(OR(IF(Setup!$C$15&lt;=Setup!$C$16,AND(MONTH(N500)&gt;=Setup!$C$15,MONTH(N500)&lt;=Setup!$C$16),OR(MONTH(N500)&gt;=Setup!$C$15,MONTH(N500)&lt;=Setup!$C$16)),IF(Setup!$C$15&lt;=Setup!$C$16,AND(MONTH(WORKDAY(N500,-(Setup!$C$13+Setup!$G$32),Setup!$C$39:$C$50))&gt;=Setup!$C$15,MONTH(WORKDAY(N500,-(Setup!$C$13+Setup!$G$32),Setup!$C$39:$C$50))&lt;=Setup!$C$16),OR(MONTH(WORKDAY(N500,-(Setup!$C$13+Setup!$G$32),Setup!$C$39:$C$50))&gt;=Setup!$C$15,MONTH(WORKDAY(N500,-(Setup!$C$13+Setup!$G$32),Setup!$C$39:$C$50))&lt;=Setup!$C$16))),WORKDAY(N500,-(Setup!$C$13+Setup!$G$32+Setup!$C$14),Setup!$C$39:$C$50),WORKDAY(N500,-(Setup!$C$13+Setup!$G$32),Setup!$C$39:$C$50))+(495*100+13)/10000000)))</f>
        <v/>
      </c>
      <c r="AE500" t="str">
        <f>IF(O500="","",IF(O500&lt;Setup!$C$5-Setup!$C$6,"",IF(IF(ISNUMBER(Roster!$D500),Setup!$C$33&lt;=Roster!$D500,FALSE),"",IF(OR(IF(Setup!$C$15&lt;=Setup!$C$16,AND(MONTH(O500)&gt;=Setup!$C$15,MONTH(O500)&lt;=Setup!$C$16),OR(MONTH(O500)&gt;=Setup!$C$15,MONTH(O500)&lt;=Setup!$C$16)),IF(Setup!$C$15&lt;=Setup!$C$16,AND(MONTH(WORKDAY(O500,-(Setup!$C$13+Setup!$G$33),Setup!$C$39:$C$50))&gt;=Setup!$C$15,MONTH(WORKDAY(O500,-(Setup!$C$13+Setup!$G$33),Setup!$C$39:$C$50))&lt;=Setup!$C$16),OR(MONTH(WORKDAY(O500,-(Setup!$C$13+Setup!$G$33),Setup!$C$39:$C$50))&gt;=Setup!$C$15,MONTH(WORKDAY(O500,-(Setup!$C$13+Setup!$G$33),Setup!$C$39:$C$50))&lt;=Setup!$C$16))),WORKDAY(O500,-(Setup!$C$13+Setup!$G$33+Setup!$C$14),Setup!$C$39:$C$50),WORKDAY(O500,-(Setup!$C$13+Setup!$G$33),Setup!$C$39:$C$50))+(495*100+14)/10000000)))</f>
        <v/>
      </c>
      <c r="AF500" t="str">
        <f>IF(P500="","",IF(P500&lt;Setup!$C$5-Setup!$C$6,"",IF(IF(ISNUMBER(Roster!$D500),Setup!$C$34&lt;=Roster!$D500,FALSE),"",IF(OR(IF(Setup!$C$15&lt;=Setup!$C$16,AND(MONTH(P500)&gt;=Setup!$C$15,MONTH(P500)&lt;=Setup!$C$16),OR(MONTH(P500)&gt;=Setup!$C$15,MONTH(P500)&lt;=Setup!$C$16)),IF(Setup!$C$15&lt;=Setup!$C$16,AND(MONTH(WORKDAY(P500,-(Setup!$C$13+Setup!$G$34),Setup!$C$39:$C$50))&gt;=Setup!$C$15,MONTH(WORKDAY(P500,-(Setup!$C$13+Setup!$G$34),Setup!$C$39:$C$50))&lt;=Setup!$C$16),OR(MONTH(WORKDAY(P500,-(Setup!$C$13+Setup!$G$34),Setup!$C$39:$C$50))&gt;=Setup!$C$15,MONTH(WORKDAY(P500,-(Setup!$C$13+Setup!$G$34),Setup!$C$39:$C$50))&lt;=Setup!$C$16))),WORKDAY(P500,-(Setup!$C$13+Setup!$G$34+Setup!$C$14),Setup!$C$39:$C$50),WORKDAY(P500,-(Setup!$C$13+Setup!$G$34),Setup!$C$39:$C$50))+(495*100+15)/10000000)))</f>
        <v/>
      </c>
      <c r="AH500" t="str">
        <f t="shared" si="51"/>
        <v/>
      </c>
      <c r="AI500" t="str">
        <f t="shared" si="52"/>
        <v/>
      </c>
      <c r="AP500" t="str">
        <f>IF(ISNUMBER(Roster!$B500),MAX(1,YEAR(Setup!$C$5)-YEAR(Roster!$B500)+IF(EDATE(Roster!$B500,12*(YEAR(Setup!$C$5)-YEAR(Roster!$B500)))&lt;Setup!$C$5,1,0)),"")</f>
        <v/>
      </c>
      <c r="AQ500" s="32" t="str">
        <f>IF(AP500="","",EDATE(Roster!$B500,12*AP500))</f>
        <v/>
      </c>
      <c r="AR500" t="str">
        <f>IF(AQ500="","",IF(AQ500&lt;DATE(YEAR(Setup!$C$5)+1,MONTH(Setup!$C$5),DAY(Setup!$C$5)),AQ500+495/1000,""))</f>
        <v/>
      </c>
      <c r="AS500" t="str">
        <f t="shared" si="53"/>
        <v/>
      </c>
      <c r="AT500" t="str">
        <f>IF(AS500="","",IF(ISNUMBER(Roster!$D500),Roster!$D500&gt;=AP500,FALSE))</f>
        <v/>
      </c>
      <c r="AU500" t="str">
        <f t="shared" si="54"/>
        <v/>
      </c>
      <c r="AV500" t="str">
        <f ca="1">IF(495&gt;$AV$2,"",SMALL($AR$6:$AR$505,495))</f>
        <v/>
      </c>
      <c r="AW500" t="str">
        <f t="shared" ca="1" si="55"/>
        <v/>
      </c>
    </row>
    <row r="501" spans="2:49" x14ac:dyDescent="0.2">
      <c r="B501" s="32" t="str">
        <f>IF(AND(ISNUMBER(Roster!$B501),Setup!$B$20="Yes",ISNUMBER(Setup!$C$20)),EDATE(Roster!$B501,12*Setup!$C$20),"")</f>
        <v/>
      </c>
      <c r="C501" s="32" t="str">
        <f>IF(AND(ISNUMBER(Roster!$B501),Setup!$B$21="Yes",ISNUMBER(Setup!$C$21)),EDATE(Roster!$B501,12*Setup!$C$21),"")</f>
        <v/>
      </c>
      <c r="D501" s="32" t="str">
        <f>IF(AND(ISNUMBER(Roster!$B501),Setup!$B$22="Yes",ISNUMBER(Setup!$C$22)),EDATE(Roster!$B501,12*Setup!$C$22),"")</f>
        <v/>
      </c>
      <c r="E501" s="32" t="str">
        <f>IF(AND(ISNUMBER(Roster!$B501),Setup!$B$23="Yes",ISNUMBER(Setup!$C$23)),EDATE(Roster!$B501,12*Setup!$C$23),"")</f>
        <v/>
      </c>
      <c r="F501" s="32" t="str">
        <f>IF(AND(ISNUMBER(Roster!$B501),Setup!$B$24="Yes",ISNUMBER(Setup!$C$24)),EDATE(Roster!$B501,12*Setup!$C$24),"")</f>
        <v/>
      </c>
      <c r="G501" s="32" t="str">
        <f>IF(AND(ISNUMBER(Roster!$B501),Setup!$B$25="Yes",ISNUMBER(Setup!$C$25)),EDATE(Roster!$B501,12*Setup!$C$25),"")</f>
        <v/>
      </c>
      <c r="H501" s="32" t="str">
        <f>IF(AND(ISNUMBER(Roster!$B501),Setup!$B$26="Yes",ISNUMBER(Setup!$C$26)),EDATE(Roster!$B501,12*Setup!$C$26),"")</f>
        <v/>
      </c>
      <c r="I501" s="32" t="str">
        <f>IF(AND(ISNUMBER(Roster!$B501),Setup!$B$27="Yes",ISNUMBER(Setup!$C$27)),EDATE(Roster!$B501,12*Setup!$C$27),"")</f>
        <v/>
      </c>
      <c r="J501" s="32" t="str">
        <f>IF(AND(ISNUMBER(Roster!$B501),Setup!$B$28="Yes",ISNUMBER(Setup!$C$28)),EDATE(Roster!$B501,12*Setup!$C$28),"")</f>
        <v/>
      </c>
      <c r="K501" s="32" t="str">
        <f>IF(AND(ISNUMBER(Roster!$B501),Setup!$B$29="Yes",ISNUMBER(Setup!$C$29)),EDATE(Roster!$B501,12*Setup!$C$29),"")</f>
        <v/>
      </c>
      <c r="L501" s="32" t="str">
        <f>IF(AND(ISNUMBER(Roster!$B501),Setup!$B$30="Yes",ISNUMBER(Setup!$C$30)),EDATE(Roster!$B501,12*Setup!$C$30),"")</f>
        <v/>
      </c>
      <c r="M501" s="32" t="str">
        <f>IF(AND(ISNUMBER(Roster!$B501),Setup!$B$31="Yes",ISNUMBER(Setup!$C$31)),EDATE(Roster!$B501,12*Setup!$C$31),"")</f>
        <v/>
      </c>
      <c r="N501" s="32" t="str">
        <f>IF(AND(ISNUMBER(Roster!$B501),Setup!$B$32="Yes",ISNUMBER(Setup!$C$32)),EDATE(Roster!$B501,12*Setup!$C$32),"")</f>
        <v/>
      </c>
      <c r="O501" s="32" t="str">
        <f>IF(AND(ISNUMBER(Roster!$B501),Setup!$B$33="Yes",ISNUMBER(Setup!$C$33)),EDATE(Roster!$B501,12*Setup!$C$33),"")</f>
        <v/>
      </c>
      <c r="P501" s="32" t="str">
        <f>IF(AND(ISNUMBER(Roster!$B501),Setup!$B$34="Yes",ISNUMBER(Setup!$C$34)),EDATE(Roster!$B501,12*Setup!$C$34),"")</f>
        <v/>
      </c>
      <c r="R501" t="str">
        <f>IF(B501="","",IF(B501&lt;Setup!$C$5-Setup!$C$6,"",IF(IF(ISNUMBER(Roster!$D501),Setup!$C$20&lt;=Roster!$D501,FALSE),"",IF(OR(IF(Setup!$C$15&lt;=Setup!$C$16,AND(MONTH(B501)&gt;=Setup!$C$15,MONTH(B501)&lt;=Setup!$C$16),OR(MONTH(B501)&gt;=Setup!$C$15,MONTH(B501)&lt;=Setup!$C$16)),IF(Setup!$C$15&lt;=Setup!$C$16,AND(MONTH(WORKDAY(B501,-(Setup!$C$13+Setup!$G$20),Setup!$C$39:$C$50))&gt;=Setup!$C$15,MONTH(WORKDAY(B501,-(Setup!$C$13+Setup!$G$20),Setup!$C$39:$C$50))&lt;=Setup!$C$16),OR(MONTH(WORKDAY(B501,-(Setup!$C$13+Setup!$G$20),Setup!$C$39:$C$50))&gt;=Setup!$C$15,MONTH(WORKDAY(B501,-(Setup!$C$13+Setup!$G$20),Setup!$C$39:$C$50))&lt;=Setup!$C$16))),WORKDAY(B501,-(Setup!$C$13+Setup!$G$20+Setup!$C$14),Setup!$C$39:$C$50),WORKDAY(B501,-(Setup!$C$13+Setup!$G$20),Setup!$C$39:$C$50))+(496*100+1)/10000000)))</f>
        <v/>
      </c>
      <c r="S501" t="str">
        <f>IF(C501="","",IF(C501&lt;Setup!$C$5-Setup!$C$6,"",IF(IF(ISNUMBER(Roster!$D501),Setup!$C$21&lt;=Roster!$D501,FALSE),"",IF(OR(IF(Setup!$C$15&lt;=Setup!$C$16,AND(MONTH(C501)&gt;=Setup!$C$15,MONTH(C501)&lt;=Setup!$C$16),OR(MONTH(C501)&gt;=Setup!$C$15,MONTH(C501)&lt;=Setup!$C$16)),IF(Setup!$C$15&lt;=Setup!$C$16,AND(MONTH(WORKDAY(C501,-(Setup!$C$13+Setup!$G$21),Setup!$C$39:$C$50))&gt;=Setup!$C$15,MONTH(WORKDAY(C501,-(Setup!$C$13+Setup!$G$21),Setup!$C$39:$C$50))&lt;=Setup!$C$16),OR(MONTH(WORKDAY(C501,-(Setup!$C$13+Setup!$G$21),Setup!$C$39:$C$50))&gt;=Setup!$C$15,MONTH(WORKDAY(C501,-(Setup!$C$13+Setup!$G$21),Setup!$C$39:$C$50))&lt;=Setup!$C$16))),WORKDAY(C501,-(Setup!$C$13+Setup!$G$21+Setup!$C$14),Setup!$C$39:$C$50),WORKDAY(C501,-(Setup!$C$13+Setup!$G$21),Setup!$C$39:$C$50))+(496*100+2)/10000000)))</f>
        <v/>
      </c>
      <c r="T501" t="str">
        <f>IF(D501="","",IF(D501&lt;Setup!$C$5-Setup!$C$6,"",IF(IF(ISNUMBER(Roster!$D501),Setup!$C$22&lt;=Roster!$D501,FALSE),"",IF(OR(IF(Setup!$C$15&lt;=Setup!$C$16,AND(MONTH(D501)&gt;=Setup!$C$15,MONTH(D501)&lt;=Setup!$C$16),OR(MONTH(D501)&gt;=Setup!$C$15,MONTH(D501)&lt;=Setup!$C$16)),IF(Setup!$C$15&lt;=Setup!$C$16,AND(MONTH(WORKDAY(D501,-(Setup!$C$13+Setup!$G$22),Setup!$C$39:$C$50))&gt;=Setup!$C$15,MONTH(WORKDAY(D501,-(Setup!$C$13+Setup!$G$22),Setup!$C$39:$C$50))&lt;=Setup!$C$16),OR(MONTH(WORKDAY(D501,-(Setup!$C$13+Setup!$G$22),Setup!$C$39:$C$50))&gt;=Setup!$C$15,MONTH(WORKDAY(D501,-(Setup!$C$13+Setup!$G$22),Setup!$C$39:$C$50))&lt;=Setup!$C$16))),WORKDAY(D501,-(Setup!$C$13+Setup!$G$22+Setup!$C$14),Setup!$C$39:$C$50),WORKDAY(D501,-(Setup!$C$13+Setup!$G$22),Setup!$C$39:$C$50))+(496*100+3)/10000000)))</f>
        <v/>
      </c>
      <c r="U501" t="str">
        <f>IF(E501="","",IF(E501&lt;Setup!$C$5-Setup!$C$6,"",IF(IF(ISNUMBER(Roster!$D501),Setup!$C$23&lt;=Roster!$D501,FALSE),"",IF(OR(IF(Setup!$C$15&lt;=Setup!$C$16,AND(MONTH(E501)&gt;=Setup!$C$15,MONTH(E501)&lt;=Setup!$C$16),OR(MONTH(E501)&gt;=Setup!$C$15,MONTH(E501)&lt;=Setup!$C$16)),IF(Setup!$C$15&lt;=Setup!$C$16,AND(MONTH(WORKDAY(E501,-(Setup!$C$13+Setup!$G$23),Setup!$C$39:$C$50))&gt;=Setup!$C$15,MONTH(WORKDAY(E501,-(Setup!$C$13+Setup!$G$23),Setup!$C$39:$C$50))&lt;=Setup!$C$16),OR(MONTH(WORKDAY(E501,-(Setup!$C$13+Setup!$G$23),Setup!$C$39:$C$50))&gt;=Setup!$C$15,MONTH(WORKDAY(E501,-(Setup!$C$13+Setup!$G$23),Setup!$C$39:$C$50))&lt;=Setup!$C$16))),WORKDAY(E501,-(Setup!$C$13+Setup!$G$23+Setup!$C$14),Setup!$C$39:$C$50),WORKDAY(E501,-(Setup!$C$13+Setup!$G$23),Setup!$C$39:$C$50))+(496*100+4)/10000000)))</f>
        <v/>
      </c>
      <c r="V501" t="str">
        <f>IF(F501="","",IF(F501&lt;Setup!$C$5-Setup!$C$6,"",IF(IF(ISNUMBER(Roster!$D501),Setup!$C$24&lt;=Roster!$D501,FALSE),"",IF(OR(IF(Setup!$C$15&lt;=Setup!$C$16,AND(MONTH(F501)&gt;=Setup!$C$15,MONTH(F501)&lt;=Setup!$C$16),OR(MONTH(F501)&gt;=Setup!$C$15,MONTH(F501)&lt;=Setup!$C$16)),IF(Setup!$C$15&lt;=Setup!$C$16,AND(MONTH(WORKDAY(F501,-(Setup!$C$13+Setup!$G$24),Setup!$C$39:$C$50))&gt;=Setup!$C$15,MONTH(WORKDAY(F501,-(Setup!$C$13+Setup!$G$24),Setup!$C$39:$C$50))&lt;=Setup!$C$16),OR(MONTH(WORKDAY(F501,-(Setup!$C$13+Setup!$G$24),Setup!$C$39:$C$50))&gt;=Setup!$C$15,MONTH(WORKDAY(F501,-(Setup!$C$13+Setup!$G$24),Setup!$C$39:$C$50))&lt;=Setup!$C$16))),WORKDAY(F501,-(Setup!$C$13+Setup!$G$24+Setup!$C$14),Setup!$C$39:$C$50),WORKDAY(F501,-(Setup!$C$13+Setup!$G$24),Setup!$C$39:$C$50))+(496*100+5)/10000000)))</f>
        <v/>
      </c>
      <c r="W501" t="str">
        <f>IF(G501="","",IF(G501&lt;Setup!$C$5-Setup!$C$6,"",IF(IF(ISNUMBER(Roster!$D501),Setup!$C$25&lt;=Roster!$D501,FALSE),"",IF(OR(IF(Setup!$C$15&lt;=Setup!$C$16,AND(MONTH(G501)&gt;=Setup!$C$15,MONTH(G501)&lt;=Setup!$C$16),OR(MONTH(G501)&gt;=Setup!$C$15,MONTH(G501)&lt;=Setup!$C$16)),IF(Setup!$C$15&lt;=Setup!$C$16,AND(MONTH(WORKDAY(G501,-(Setup!$C$13+Setup!$G$25),Setup!$C$39:$C$50))&gt;=Setup!$C$15,MONTH(WORKDAY(G501,-(Setup!$C$13+Setup!$G$25),Setup!$C$39:$C$50))&lt;=Setup!$C$16),OR(MONTH(WORKDAY(G501,-(Setup!$C$13+Setup!$G$25),Setup!$C$39:$C$50))&gt;=Setup!$C$15,MONTH(WORKDAY(G501,-(Setup!$C$13+Setup!$G$25),Setup!$C$39:$C$50))&lt;=Setup!$C$16))),WORKDAY(G501,-(Setup!$C$13+Setup!$G$25+Setup!$C$14),Setup!$C$39:$C$50),WORKDAY(G501,-(Setup!$C$13+Setup!$G$25),Setup!$C$39:$C$50))+(496*100+6)/10000000)))</f>
        <v/>
      </c>
      <c r="X501" t="str">
        <f>IF(H501="","",IF(H501&lt;Setup!$C$5-Setup!$C$6,"",IF(IF(ISNUMBER(Roster!$D501),Setup!$C$26&lt;=Roster!$D501,FALSE),"",IF(OR(IF(Setup!$C$15&lt;=Setup!$C$16,AND(MONTH(H501)&gt;=Setup!$C$15,MONTH(H501)&lt;=Setup!$C$16),OR(MONTH(H501)&gt;=Setup!$C$15,MONTH(H501)&lt;=Setup!$C$16)),IF(Setup!$C$15&lt;=Setup!$C$16,AND(MONTH(WORKDAY(H501,-(Setup!$C$13+Setup!$G$26),Setup!$C$39:$C$50))&gt;=Setup!$C$15,MONTH(WORKDAY(H501,-(Setup!$C$13+Setup!$G$26),Setup!$C$39:$C$50))&lt;=Setup!$C$16),OR(MONTH(WORKDAY(H501,-(Setup!$C$13+Setup!$G$26),Setup!$C$39:$C$50))&gt;=Setup!$C$15,MONTH(WORKDAY(H501,-(Setup!$C$13+Setup!$G$26),Setup!$C$39:$C$50))&lt;=Setup!$C$16))),WORKDAY(H501,-(Setup!$C$13+Setup!$G$26+Setup!$C$14),Setup!$C$39:$C$50),WORKDAY(H501,-(Setup!$C$13+Setup!$G$26),Setup!$C$39:$C$50))+(496*100+7)/10000000)))</f>
        <v/>
      </c>
      <c r="Y501" t="str">
        <f>IF(I501="","",IF(I501&lt;Setup!$C$5-Setup!$C$6,"",IF(IF(ISNUMBER(Roster!$D501),Setup!$C$27&lt;=Roster!$D501,FALSE),"",IF(OR(IF(Setup!$C$15&lt;=Setup!$C$16,AND(MONTH(I501)&gt;=Setup!$C$15,MONTH(I501)&lt;=Setup!$C$16),OR(MONTH(I501)&gt;=Setup!$C$15,MONTH(I501)&lt;=Setup!$C$16)),IF(Setup!$C$15&lt;=Setup!$C$16,AND(MONTH(WORKDAY(I501,-(Setup!$C$13+Setup!$G$27),Setup!$C$39:$C$50))&gt;=Setup!$C$15,MONTH(WORKDAY(I501,-(Setup!$C$13+Setup!$G$27),Setup!$C$39:$C$50))&lt;=Setup!$C$16),OR(MONTH(WORKDAY(I501,-(Setup!$C$13+Setup!$G$27),Setup!$C$39:$C$50))&gt;=Setup!$C$15,MONTH(WORKDAY(I501,-(Setup!$C$13+Setup!$G$27),Setup!$C$39:$C$50))&lt;=Setup!$C$16))),WORKDAY(I501,-(Setup!$C$13+Setup!$G$27+Setup!$C$14),Setup!$C$39:$C$50),WORKDAY(I501,-(Setup!$C$13+Setup!$G$27),Setup!$C$39:$C$50))+(496*100+8)/10000000)))</f>
        <v/>
      </c>
      <c r="Z501" t="str">
        <f>IF(J501="","",IF(J501&lt;Setup!$C$5-Setup!$C$6,"",IF(IF(ISNUMBER(Roster!$D501),Setup!$C$28&lt;=Roster!$D501,FALSE),"",IF(OR(IF(Setup!$C$15&lt;=Setup!$C$16,AND(MONTH(J501)&gt;=Setup!$C$15,MONTH(J501)&lt;=Setup!$C$16),OR(MONTH(J501)&gt;=Setup!$C$15,MONTH(J501)&lt;=Setup!$C$16)),IF(Setup!$C$15&lt;=Setup!$C$16,AND(MONTH(WORKDAY(J501,-(Setup!$C$13+Setup!$G$28),Setup!$C$39:$C$50))&gt;=Setup!$C$15,MONTH(WORKDAY(J501,-(Setup!$C$13+Setup!$G$28),Setup!$C$39:$C$50))&lt;=Setup!$C$16),OR(MONTH(WORKDAY(J501,-(Setup!$C$13+Setup!$G$28),Setup!$C$39:$C$50))&gt;=Setup!$C$15,MONTH(WORKDAY(J501,-(Setup!$C$13+Setup!$G$28),Setup!$C$39:$C$50))&lt;=Setup!$C$16))),WORKDAY(J501,-(Setup!$C$13+Setup!$G$28+Setup!$C$14),Setup!$C$39:$C$50),WORKDAY(J501,-(Setup!$C$13+Setup!$G$28),Setup!$C$39:$C$50))+(496*100+9)/10000000)))</f>
        <v/>
      </c>
      <c r="AA501" t="str">
        <f>IF(K501="","",IF(K501&lt;Setup!$C$5-Setup!$C$6,"",IF(IF(ISNUMBER(Roster!$D501),Setup!$C$29&lt;=Roster!$D501,FALSE),"",IF(OR(IF(Setup!$C$15&lt;=Setup!$C$16,AND(MONTH(K501)&gt;=Setup!$C$15,MONTH(K501)&lt;=Setup!$C$16),OR(MONTH(K501)&gt;=Setup!$C$15,MONTH(K501)&lt;=Setup!$C$16)),IF(Setup!$C$15&lt;=Setup!$C$16,AND(MONTH(WORKDAY(K501,-(Setup!$C$13+Setup!$G$29),Setup!$C$39:$C$50))&gt;=Setup!$C$15,MONTH(WORKDAY(K501,-(Setup!$C$13+Setup!$G$29),Setup!$C$39:$C$50))&lt;=Setup!$C$16),OR(MONTH(WORKDAY(K501,-(Setup!$C$13+Setup!$G$29),Setup!$C$39:$C$50))&gt;=Setup!$C$15,MONTH(WORKDAY(K501,-(Setup!$C$13+Setup!$G$29),Setup!$C$39:$C$50))&lt;=Setup!$C$16))),WORKDAY(K501,-(Setup!$C$13+Setup!$G$29+Setup!$C$14),Setup!$C$39:$C$50),WORKDAY(K501,-(Setup!$C$13+Setup!$G$29),Setup!$C$39:$C$50))+(496*100+10)/10000000)))</f>
        <v/>
      </c>
      <c r="AB501" t="str">
        <f>IF(L501="","",IF(L501&lt;Setup!$C$5-Setup!$C$6,"",IF(IF(ISNUMBER(Roster!$D501),Setup!$C$30&lt;=Roster!$D501,FALSE),"",IF(OR(IF(Setup!$C$15&lt;=Setup!$C$16,AND(MONTH(L501)&gt;=Setup!$C$15,MONTH(L501)&lt;=Setup!$C$16),OR(MONTH(L501)&gt;=Setup!$C$15,MONTH(L501)&lt;=Setup!$C$16)),IF(Setup!$C$15&lt;=Setup!$C$16,AND(MONTH(WORKDAY(L501,-(Setup!$C$13+Setup!$G$30),Setup!$C$39:$C$50))&gt;=Setup!$C$15,MONTH(WORKDAY(L501,-(Setup!$C$13+Setup!$G$30),Setup!$C$39:$C$50))&lt;=Setup!$C$16),OR(MONTH(WORKDAY(L501,-(Setup!$C$13+Setup!$G$30),Setup!$C$39:$C$50))&gt;=Setup!$C$15,MONTH(WORKDAY(L501,-(Setup!$C$13+Setup!$G$30),Setup!$C$39:$C$50))&lt;=Setup!$C$16))),WORKDAY(L501,-(Setup!$C$13+Setup!$G$30+Setup!$C$14),Setup!$C$39:$C$50),WORKDAY(L501,-(Setup!$C$13+Setup!$G$30),Setup!$C$39:$C$50))+(496*100+11)/10000000)))</f>
        <v/>
      </c>
      <c r="AC501" t="str">
        <f>IF(M501="","",IF(M501&lt;Setup!$C$5-Setup!$C$6,"",IF(IF(ISNUMBER(Roster!$D501),Setup!$C$31&lt;=Roster!$D501,FALSE),"",IF(OR(IF(Setup!$C$15&lt;=Setup!$C$16,AND(MONTH(M501)&gt;=Setup!$C$15,MONTH(M501)&lt;=Setup!$C$16),OR(MONTH(M501)&gt;=Setup!$C$15,MONTH(M501)&lt;=Setup!$C$16)),IF(Setup!$C$15&lt;=Setup!$C$16,AND(MONTH(WORKDAY(M501,-(Setup!$C$13+Setup!$G$31),Setup!$C$39:$C$50))&gt;=Setup!$C$15,MONTH(WORKDAY(M501,-(Setup!$C$13+Setup!$G$31),Setup!$C$39:$C$50))&lt;=Setup!$C$16),OR(MONTH(WORKDAY(M501,-(Setup!$C$13+Setup!$G$31),Setup!$C$39:$C$50))&gt;=Setup!$C$15,MONTH(WORKDAY(M501,-(Setup!$C$13+Setup!$G$31),Setup!$C$39:$C$50))&lt;=Setup!$C$16))),WORKDAY(M501,-(Setup!$C$13+Setup!$G$31+Setup!$C$14),Setup!$C$39:$C$50),WORKDAY(M501,-(Setup!$C$13+Setup!$G$31),Setup!$C$39:$C$50))+(496*100+12)/10000000)))</f>
        <v/>
      </c>
      <c r="AD501" t="str">
        <f>IF(N501="","",IF(N501&lt;Setup!$C$5-Setup!$C$6,"",IF(IF(ISNUMBER(Roster!$D501),Setup!$C$32&lt;=Roster!$D501,FALSE),"",IF(OR(IF(Setup!$C$15&lt;=Setup!$C$16,AND(MONTH(N501)&gt;=Setup!$C$15,MONTH(N501)&lt;=Setup!$C$16),OR(MONTH(N501)&gt;=Setup!$C$15,MONTH(N501)&lt;=Setup!$C$16)),IF(Setup!$C$15&lt;=Setup!$C$16,AND(MONTH(WORKDAY(N501,-(Setup!$C$13+Setup!$G$32),Setup!$C$39:$C$50))&gt;=Setup!$C$15,MONTH(WORKDAY(N501,-(Setup!$C$13+Setup!$G$32),Setup!$C$39:$C$50))&lt;=Setup!$C$16),OR(MONTH(WORKDAY(N501,-(Setup!$C$13+Setup!$G$32),Setup!$C$39:$C$50))&gt;=Setup!$C$15,MONTH(WORKDAY(N501,-(Setup!$C$13+Setup!$G$32),Setup!$C$39:$C$50))&lt;=Setup!$C$16))),WORKDAY(N501,-(Setup!$C$13+Setup!$G$32+Setup!$C$14),Setup!$C$39:$C$50),WORKDAY(N501,-(Setup!$C$13+Setup!$G$32),Setup!$C$39:$C$50))+(496*100+13)/10000000)))</f>
        <v/>
      </c>
      <c r="AE501" t="str">
        <f>IF(O501="","",IF(O501&lt;Setup!$C$5-Setup!$C$6,"",IF(IF(ISNUMBER(Roster!$D501),Setup!$C$33&lt;=Roster!$D501,FALSE),"",IF(OR(IF(Setup!$C$15&lt;=Setup!$C$16,AND(MONTH(O501)&gt;=Setup!$C$15,MONTH(O501)&lt;=Setup!$C$16),OR(MONTH(O501)&gt;=Setup!$C$15,MONTH(O501)&lt;=Setup!$C$16)),IF(Setup!$C$15&lt;=Setup!$C$16,AND(MONTH(WORKDAY(O501,-(Setup!$C$13+Setup!$G$33),Setup!$C$39:$C$50))&gt;=Setup!$C$15,MONTH(WORKDAY(O501,-(Setup!$C$13+Setup!$G$33),Setup!$C$39:$C$50))&lt;=Setup!$C$16),OR(MONTH(WORKDAY(O501,-(Setup!$C$13+Setup!$G$33),Setup!$C$39:$C$50))&gt;=Setup!$C$15,MONTH(WORKDAY(O501,-(Setup!$C$13+Setup!$G$33),Setup!$C$39:$C$50))&lt;=Setup!$C$16))),WORKDAY(O501,-(Setup!$C$13+Setup!$G$33+Setup!$C$14),Setup!$C$39:$C$50),WORKDAY(O501,-(Setup!$C$13+Setup!$G$33),Setup!$C$39:$C$50))+(496*100+14)/10000000)))</f>
        <v/>
      </c>
      <c r="AF501" t="str">
        <f>IF(P501="","",IF(P501&lt;Setup!$C$5-Setup!$C$6,"",IF(IF(ISNUMBER(Roster!$D501),Setup!$C$34&lt;=Roster!$D501,FALSE),"",IF(OR(IF(Setup!$C$15&lt;=Setup!$C$16,AND(MONTH(P501)&gt;=Setup!$C$15,MONTH(P501)&lt;=Setup!$C$16),OR(MONTH(P501)&gt;=Setup!$C$15,MONTH(P501)&lt;=Setup!$C$16)),IF(Setup!$C$15&lt;=Setup!$C$16,AND(MONTH(WORKDAY(P501,-(Setup!$C$13+Setup!$G$34),Setup!$C$39:$C$50))&gt;=Setup!$C$15,MONTH(WORKDAY(P501,-(Setup!$C$13+Setup!$G$34),Setup!$C$39:$C$50))&lt;=Setup!$C$16),OR(MONTH(WORKDAY(P501,-(Setup!$C$13+Setup!$G$34),Setup!$C$39:$C$50))&gt;=Setup!$C$15,MONTH(WORKDAY(P501,-(Setup!$C$13+Setup!$G$34),Setup!$C$39:$C$50))&lt;=Setup!$C$16))),WORKDAY(P501,-(Setup!$C$13+Setup!$G$34+Setup!$C$14),Setup!$C$39:$C$50),WORKDAY(P501,-(Setup!$C$13+Setup!$G$34),Setup!$C$39:$C$50))+(496*100+15)/10000000)))</f>
        <v/>
      </c>
      <c r="AH501" t="str">
        <f t="shared" si="51"/>
        <v/>
      </c>
      <c r="AI501" t="str">
        <f t="shared" si="52"/>
        <v/>
      </c>
      <c r="AP501" t="str">
        <f>IF(ISNUMBER(Roster!$B501),MAX(1,YEAR(Setup!$C$5)-YEAR(Roster!$B501)+IF(EDATE(Roster!$B501,12*(YEAR(Setup!$C$5)-YEAR(Roster!$B501)))&lt;Setup!$C$5,1,0)),"")</f>
        <v/>
      </c>
      <c r="AQ501" s="32" t="str">
        <f>IF(AP501="","",EDATE(Roster!$B501,12*AP501))</f>
        <v/>
      </c>
      <c r="AR501" t="str">
        <f>IF(AQ501="","",IF(AQ501&lt;DATE(YEAR(Setup!$C$5)+1,MONTH(Setup!$C$5),DAY(Setup!$C$5)),AQ501+496/1000,""))</f>
        <v/>
      </c>
      <c r="AS501" t="str">
        <f t="shared" si="53"/>
        <v/>
      </c>
      <c r="AT501" t="str">
        <f>IF(AS501="","",IF(ISNUMBER(Roster!$D501),Roster!$D501&gt;=AP501,FALSE))</f>
        <v/>
      </c>
      <c r="AU501" t="str">
        <f t="shared" si="54"/>
        <v/>
      </c>
      <c r="AV501" t="str">
        <f ca="1">IF(496&gt;$AV$2,"",SMALL($AR$6:$AR$505,496))</f>
        <v/>
      </c>
      <c r="AW501" t="str">
        <f t="shared" ca="1" si="55"/>
        <v/>
      </c>
    </row>
    <row r="502" spans="2:49" x14ac:dyDescent="0.2">
      <c r="B502" s="32" t="str">
        <f>IF(AND(ISNUMBER(Roster!$B502),Setup!$B$20="Yes",ISNUMBER(Setup!$C$20)),EDATE(Roster!$B502,12*Setup!$C$20),"")</f>
        <v/>
      </c>
      <c r="C502" s="32" t="str">
        <f>IF(AND(ISNUMBER(Roster!$B502),Setup!$B$21="Yes",ISNUMBER(Setup!$C$21)),EDATE(Roster!$B502,12*Setup!$C$21),"")</f>
        <v/>
      </c>
      <c r="D502" s="32" t="str">
        <f>IF(AND(ISNUMBER(Roster!$B502),Setup!$B$22="Yes",ISNUMBER(Setup!$C$22)),EDATE(Roster!$B502,12*Setup!$C$22),"")</f>
        <v/>
      </c>
      <c r="E502" s="32" t="str">
        <f>IF(AND(ISNUMBER(Roster!$B502),Setup!$B$23="Yes",ISNUMBER(Setup!$C$23)),EDATE(Roster!$B502,12*Setup!$C$23),"")</f>
        <v/>
      </c>
      <c r="F502" s="32" t="str">
        <f>IF(AND(ISNUMBER(Roster!$B502),Setup!$B$24="Yes",ISNUMBER(Setup!$C$24)),EDATE(Roster!$B502,12*Setup!$C$24),"")</f>
        <v/>
      </c>
      <c r="G502" s="32" t="str">
        <f>IF(AND(ISNUMBER(Roster!$B502),Setup!$B$25="Yes",ISNUMBER(Setup!$C$25)),EDATE(Roster!$B502,12*Setup!$C$25),"")</f>
        <v/>
      </c>
      <c r="H502" s="32" t="str">
        <f>IF(AND(ISNUMBER(Roster!$B502),Setup!$B$26="Yes",ISNUMBER(Setup!$C$26)),EDATE(Roster!$B502,12*Setup!$C$26),"")</f>
        <v/>
      </c>
      <c r="I502" s="32" t="str">
        <f>IF(AND(ISNUMBER(Roster!$B502),Setup!$B$27="Yes",ISNUMBER(Setup!$C$27)),EDATE(Roster!$B502,12*Setup!$C$27),"")</f>
        <v/>
      </c>
      <c r="J502" s="32" t="str">
        <f>IF(AND(ISNUMBER(Roster!$B502),Setup!$B$28="Yes",ISNUMBER(Setup!$C$28)),EDATE(Roster!$B502,12*Setup!$C$28),"")</f>
        <v/>
      </c>
      <c r="K502" s="32" t="str">
        <f>IF(AND(ISNUMBER(Roster!$B502),Setup!$B$29="Yes",ISNUMBER(Setup!$C$29)),EDATE(Roster!$B502,12*Setup!$C$29),"")</f>
        <v/>
      </c>
      <c r="L502" s="32" t="str">
        <f>IF(AND(ISNUMBER(Roster!$B502),Setup!$B$30="Yes",ISNUMBER(Setup!$C$30)),EDATE(Roster!$B502,12*Setup!$C$30),"")</f>
        <v/>
      </c>
      <c r="M502" s="32" t="str">
        <f>IF(AND(ISNUMBER(Roster!$B502),Setup!$B$31="Yes",ISNUMBER(Setup!$C$31)),EDATE(Roster!$B502,12*Setup!$C$31),"")</f>
        <v/>
      </c>
      <c r="N502" s="32" t="str">
        <f>IF(AND(ISNUMBER(Roster!$B502),Setup!$B$32="Yes",ISNUMBER(Setup!$C$32)),EDATE(Roster!$B502,12*Setup!$C$32),"")</f>
        <v/>
      </c>
      <c r="O502" s="32" t="str">
        <f>IF(AND(ISNUMBER(Roster!$B502),Setup!$B$33="Yes",ISNUMBER(Setup!$C$33)),EDATE(Roster!$B502,12*Setup!$C$33),"")</f>
        <v/>
      </c>
      <c r="P502" s="32" t="str">
        <f>IF(AND(ISNUMBER(Roster!$B502),Setup!$B$34="Yes",ISNUMBER(Setup!$C$34)),EDATE(Roster!$B502,12*Setup!$C$34),"")</f>
        <v/>
      </c>
      <c r="R502" t="str">
        <f>IF(B502="","",IF(B502&lt;Setup!$C$5-Setup!$C$6,"",IF(IF(ISNUMBER(Roster!$D502),Setup!$C$20&lt;=Roster!$D502,FALSE),"",IF(OR(IF(Setup!$C$15&lt;=Setup!$C$16,AND(MONTH(B502)&gt;=Setup!$C$15,MONTH(B502)&lt;=Setup!$C$16),OR(MONTH(B502)&gt;=Setup!$C$15,MONTH(B502)&lt;=Setup!$C$16)),IF(Setup!$C$15&lt;=Setup!$C$16,AND(MONTH(WORKDAY(B502,-(Setup!$C$13+Setup!$G$20),Setup!$C$39:$C$50))&gt;=Setup!$C$15,MONTH(WORKDAY(B502,-(Setup!$C$13+Setup!$G$20),Setup!$C$39:$C$50))&lt;=Setup!$C$16),OR(MONTH(WORKDAY(B502,-(Setup!$C$13+Setup!$G$20),Setup!$C$39:$C$50))&gt;=Setup!$C$15,MONTH(WORKDAY(B502,-(Setup!$C$13+Setup!$G$20),Setup!$C$39:$C$50))&lt;=Setup!$C$16))),WORKDAY(B502,-(Setup!$C$13+Setup!$G$20+Setup!$C$14),Setup!$C$39:$C$50),WORKDAY(B502,-(Setup!$C$13+Setup!$G$20),Setup!$C$39:$C$50))+(497*100+1)/10000000)))</f>
        <v/>
      </c>
      <c r="S502" t="str">
        <f>IF(C502="","",IF(C502&lt;Setup!$C$5-Setup!$C$6,"",IF(IF(ISNUMBER(Roster!$D502),Setup!$C$21&lt;=Roster!$D502,FALSE),"",IF(OR(IF(Setup!$C$15&lt;=Setup!$C$16,AND(MONTH(C502)&gt;=Setup!$C$15,MONTH(C502)&lt;=Setup!$C$16),OR(MONTH(C502)&gt;=Setup!$C$15,MONTH(C502)&lt;=Setup!$C$16)),IF(Setup!$C$15&lt;=Setup!$C$16,AND(MONTH(WORKDAY(C502,-(Setup!$C$13+Setup!$G$21),Setup!$C$39:$C$50))&gt;=Setup!$C$15,MONTH(WORKDAY(C502,-(Setup!$C$13+Setup!$G$21),Setup!$C$39:$C$50))&lt;=Setup!$C$16),OR(MONTH(WORKDAY(C502,-(Setup!$C$13+Setup!$G$21),Setup!$C$39:$C$50))&gt;=Setup!$C$15,MONTH(WORKDAY(C502,-(Setup!$C$13+Setup!$G$21),Setup!$C$39:$C$50))&lt;=Setup!$C$16))),WORKDAY(C502,-(Setup!$C$13+Setup!$G$21+Setup!$C$14),Setup!$C$39:$C$50),WORKDAY(C502,-(Setup!$C$13+Setup!$G$21),Setup!$C$39:$C$50))+(497*100+2)/10000000)))</f>
        <v/>
      </c>
      <c r="T502" t="str">
        <f>IF(D502="","",IF(D502&lt;Setup!$C$5-Setup!$C$6,"",IF(IF(ISNUMBER(Roster!$D502),Setup!$C$22&lt;=Roster!$D502,FALSE),"",IF(OR(IF(Setup!$C$15&lt;=Setup!$C$16,AND(MONTH(D502)&gt;=Setup!$C$15,MONTH(D502)&lt;=Setup!$C$16),OR(MONTH(D502)&gt;=Setup!$C$15,MONTH(D502)&lt;=Setup!$C$16)),IF(Setup!$C$15&lt;=Setup!$C$16,AND(MONTH(WORKDAY(D502,-(Setup!$C$13+Setup!$G$22),Setup!$C$39:$C$50))&gt;=Setup!$C$15,MONTH(WORKDAY(D502,-(Setup!$C$13+Setup!$G$22),Setup!$C$39:$C$50))&lt;=Setup!$C$16),OR(MONTH(WORKDAY(D502,-(Setup!$C$13+Setup!$G$22),Setup!$C$39:$C$50))&gt;=Setup!$C$15,MONTH(WORKDAY(D502,-(Setup!$C$13+Setup!$G$22),Setup!$C$39:$C$50))&lt;=Setup!$C$16))),WORKDAY(D502,-(Setup!$C$13+Setup!$G$22+Setup!$C$14),Setup!$C$39:$C$50),WORKDAY(D502,-(Setup!$C$13+Setup!$G$22),Setup!$C$39:$C$50))+(497*100+3)/10000000)))</f>
        <v/>
      </c>
      <c r="U502" t="str">
        <f>IF(E502="","",IF(E502&lt;Setup!$C$5-Setup!$C$6,"",IF(IF(ISNUMBER(Roster!$D502),Setup!$C$23&lt;=Roster!$D502,FALSE),"",IF(OR(IF(Setup!$C$15&lt;=Setup!$C$16,AND(MONTH(E502)&gt;=Setup!$C$15,MONTH(E502)&lt;=Setup!$C$16),OR(MONTH(E502)&gt;=Setup!$C$15,MONTH(E502)&lt;=Setup!$C$16)),IF(Setup!$C$15&lt;=Setup!$C$16,AND(MONTH(WORKDAY(E502,-(Setup!$C$13+Setup!$G$23),Setup!$C$39:$C$50))&gt;=Setup!$C$15,MONTH(WORKDAY(E502,-(Setup!$C$13+Setup!$G$23),Setup!$C$39:$C$50))&lt;=Setup!$C$16),OR(MONTH(WORKDAY(E502,-(Setup!$C$13+Setup!$G$23),Setup!$C$39:$C$50))&gt;=Setup!$C$15,MONTH(WORKDAY(E502,-(Setup!$C$13+Setup!$G$23),Setup!$C$39:$C$50))&lt;=Setup!$C$16))),WORKDAY(E502,-(Setup!$C$13+Setup!$G$23+Setup!$C$14),Setup!$C$39:$C$50),WORKDAY(E502,-(Setup!$C$13+Setup!$G$23),Setup!$C$39:$C$50))+(497*100+4)/10000000)))</f>
        <v/>
      </c>
      <c r="V502" t="str">
        <f>IF(F502="","",IF(F502&lt;Setup!$C$5-Setup!$C$6,"",IF(IF(ISNUMBER(Roster!$D502),Setup!$C$24&lt;=Roster!$D502,FALSE),"",IF(OR(IF(Setup!$C$15&lt;=Setup!$C$16,AND(MONTH(F502)&gt;=Setup!$C$15,MONTH(F502)&lt;=Setup!$C$16),OR(MONTH(F502)&gt;=Setup!$C$15,MONTH(F502)&lt;=Setup!$C$16)),IF(Setup!$C$15&lt;=Setup!$C$16,AND(MONTH(WORKDAY(F502,-(Setup!$C$13+Setup!$G$24),Setup!$C$39:$C$50))&gt;=Setup!$C$15,MONTH(WORKDAY(F502,-(Setup!$C$13+Setup!$G$24),Setup!$C$39:$C$50))&lt;=Setup!$C$16),OR(MONTH(WORKDAY(F502,-(Setup!$C$13+Setup!$G$24),Setup!$C$39:$C$50))&gt;=Setup!$C$15,MONTH(WORKDAY(F502,-(Setup!$C$13+Setup!$G$24),Setup!$C$39:$C$50))&lt;=Setup!$C$16))),WORKDAY(F502,-(Setup!$C$13+Setup!$G$24+Setup!$C$14),Setup!$C$39:$C$50),WORKDAY(F502,-(Setup!$C$13+Setup!$G$24),Setup!$C$39:$C$50))+(497*100+5)/10000000)))</f>
        <v/>
      </c>
      <c r="W502" t="str">
        <f>IF(G502="","",IF(G502&lt;Setup!$C$5-Setup!$C$6,"",IF(IF(ISNUMBER(Roster!$D502),Setup!$C$25&lt;=Roster!$D502,FALSE),"",IF(OR(IF(Setup!$C$15&lt;=Setup!$C$16,AND(MONTH(G502)&gt;=Setup!$C$15,MONTH(G502)&lt;=Setup!$C$16),OR(MONTH(G502)&gt;=Setup!$C$15,MONTH(G502)&lt;=Setup!$C$16)),IF(Setup!$C$15&lt;=Setup!$C$16,AND(MONTH(WORKDAY(G502,-(Setup!$C$13+Setup!$G$25),Setup!$C$39:$C$50))&gt;=Setup!$C$15,MONTH(WORKDAY(G502,-(Setup!$C$13+Setup!$G$25),Setup!$C$39:$C$50))&lt;=Setup!$C$16),OR(MONTH(WORKDAY(G502,-(Setup!$C$13+Setup!$G$25),Setup!$C$39:$C$50))&gt;=Setup!$C$15,MONTH(WORKDAY(G502,-(Setup!$C$13+Setup!$G$25),Setup!$C$39:$C$50))&lt;=Setup!$C$16))),WORKDAY(G502,-(Setup!$C$13+Setup!$G$25+Setup!$C$14),Setup!$C$39:$C$50),WORKDAY(G502,-(Setup!$C$13+Setup!$G$25),Setup!$C$39:$C$50))+(497*100+6)/10000000)))</f>
        <v/>
      </c>
      <c r="X502" t="str">
        <f>IF(H502="","",IF(H502&lt;Setup!$C$5-Setup!$C$6,"",IF(IF(ISNUMBER(Roster!$D502),Setup!$C$26&lt;=Roster!$D502,FALSE),"",IF(OR(IF(Setup!$C$15&lt;=Setup!$C$16,AND(MONTH(H502)&gt;=Setup!$C$15,MONTH(H502)&lt;=Setup!$C$16),OR(MONTH(H502)&gt;=Setup!$C$15,MONTH(H502)&lt;=Setup!$C$16)),IF(Setup!$C$15&lt;=Setup!$C$16,AND(MONTH(WORKDAY(H502,-(Setup!$C$13+Setup!$G$26),Setup!$C$39:$C$50))&gt;=Setup!$C$15,MONTH(WORKDAY(H502,-(Setup!$C$13+Setup!$G$26),Setup!$C$39:$C$50))&lt;=Setup!$C$16),OR(MONTH(WORKDAY(H502,-(Setup!$C$13+Setup!$G$26),Setup!$C$39:$C$50))&gt;=Setup!$C$15,MONTH(WORKDAY(H502,-(Setup!$C$13+Setup!$G$26),Setup!$C$39:$C$50))&lt;=Setup!$C$16))),WORKDAY(H502,-(Setup!$C$13+Setup!$G$26+Setup!$C$14),Setup!$C$39:$C$50),WORKDAY(H502,-(Setup!$C$13+Setup!$G$26),Setup!$C$39:$C$50))+(497*100+7)/10000000)))</f>
        <v/>
      </c>
      <c r="Y502" t="str">
        <f>IF(I502="","",IF(I502&lt;Setup!$C$5-Setup!$C$6,"",IF(IF(ISNUMBER(Roster!$D502),Setup!$C$27&lt;=Roster!$D502,FALSE),"",IF(OR(IF(Setup!$C$15&lt;=Setup!$C$16,AND(MONTH(I502)&gt;=Setup!$C$15,MONTH(I502)&lt;=Setup!$C$16),OR(MONTH(I502)&gt;=Setup!$C$15,MONTH(I502)&lt;=Setup!$C$16)),IF(Setup!$C$15&lt;=Setup!$C$16,AND(MONTH(WORKDAY(I502,-(Setup!$C$13+Setup!$G$27),Setup!$C$39:$C$50))&gt;=Setup!$C$15,MONTH(WORKDAY(I502,-(Setup!$C$13+Setup!$G$27),Setup!$C$39:$C$50))&lt;=Setup!$C$16),OR(MONTH(WORKDAY(I502,-(Setup!$C$13+Setup!$G$27),Setup!$C$39:$C$50))&gt;=Setup!$C$15,MONTH(WORKDAY(I502,-(Setup!$C$13+Setup!$G$27),Setup!$C$39:$C$50))&lt;=Setup!$C$16))),WORKDAY(I502,-(Setup!$C$13+Setup!$G$27+Setup!$C$14),Setup!$C$39:$C$50),WORKDAY(I502,-(Setup!$C$13+Setup!$G$27),Setup!$C$39:$C$50))+(497*100+8)/10000000)))</f>
        <v/>
      </c>
      <c r="Z502" t="str">
        <f>IF(J502="","",IF(J502&lt;Setup!$C$5-Setup!$C$6,"",IF(IF(ISNUMBER(Roster!$D502),Setup!$C$28&lt;=Roster!$D502,FALSE),"",IF(OR(IF(Setup!$C$15&lt;=Setup!$C$16,AND(MONTH(J502)&gt;=Setup!$C$15,MONTH(J502)&lt;=Setup!$C$16),OR(MONTH(J502)&gt;=Setup!$C$15,MONTH(J502)&lt;=Setup!$C$16)),IF(Setup!$C$15&lt;=Setup!$C$16,AND(MONTH(WORKDAY(J502,-(Setup!$C$13+Setup!$G$28),Setup!$C$39:$C$50))&gt;=Setup!$C$15,MONTH(WORKDAY(J502,-(Setup!$C$13+Setup!$G$28),Setup!$C$39:$C$50))&lt;=Setup!$C$16),OR(MONTH(WORKDAY(J502,-(Setup!$C$13+Setup!$G$28),Setup!$C$39:$C$50))&gt;=Setup!$C$15,MONTH(WORKDAY(J502,-(Setup!$C$13+Setup!$G$28),Setup!$C$39:$C$50))&lt;=Setup!$C$16))),WORKDAY(J502,-(Setup!$C$13+Setup!$G$28+Setup!$C$14),Setup!$C$39:$C$50),WORKDAY(J502,-(Setup!$C$13+Setup!$G$28),Setup!$C$39:$C$50))+(497*100+9)/10000000)))</f>
        <v/>
      </c>
      <c r="AA502" t="str">
        <f>IF(K502="","",IF(K502&lt;Setup!$C$5-Setup!$C$6,"",IF(IF(ISNUMBER(Roster!$D502),Setup!$C$29&lt;=Roster!$D502,FALSE),"",IF(OR(IF(Setup!$C$15&lt;=Setup!$C$16,AND(MONTH(K502)&gt;=Setup!$C$15,MONTH(K502)&lt;=Setup!$C$16),OR(MONTH(K502)&gt;=Setup!$C$15,MONTH(K502)&lt;=Setup!$C$16)),IF(Setup!$C$15&lt;=Setup!$C$16,AND(MONTH(WORKDAY(K502,-(Setup!$C$13+Setup!$G$29),Setup!$C$39:$C$50))&gt;=Setup!$C$15,MONTH(WORKDAY(K502,-(Setup!$C$13+Setup!$G$29),Setup!$C$39:$C$50))&lt;=Setup!$C$16),OR(MONTH(WORKDAY(K502,-(Setup!$C$13+Setup!$G$29),Setup!$C$39:$C$50))&gt;=Setup!$C$15,MONTH(WORKDAY(K502,-(Setup!$C$13+Setup!$G$29),Setup!$C$39:$C$50))&lt;=Setup!$C$16))),WORKDAY(K502,-(Setup!$C$13+Setup!$G$29+Setup!$C$14),Setup!$C$39:$C$50),WORKDAY(K502,-(Setup!$C$13+Setup!$G$29),Setup!$C$39:$C$50))+(497*100+10)/10000000)))</f>
        <v/>
      </c>
      <c r="AB502" t="str">
        <f>IF(L502="","",IF(L502&lt;Setup!$C$5-Setup!$C$6,"",IF(IF(ISNUMBER(Roster!$D502),Setup!$C$30&lt;=Roster!$D502,FALSE),"",IF(OR(IF(Setup!$C$15&lt;=Setup!$C$16,AND(MONTH(L502)&gt;=Setup!$C$15,MONTH(L502)&lt;=Setup!$C$16),OR(MONTH(L502)&gt;=Setup!$C$15,MONTH(L502)&lt;=Setup!$C$16)),IF(Setup!$C$15&lt;=Setup!$C$16,AND(MONTH(WORKDAY(L502,-(Setup!$C$13+Setup!$G$30),Setup!$C$39:$C$50))&gt;=Setup!$C$15,MONTH(WORKDAY(L502,-(Setup!$C$13+Setup!$G$30),Setup!$C$39:$C$50))&lt;=Setup!$C$16),OR(MONTH(WORKDAY(L502,-(Setup!$C$13+Setup!$G$30),Setup!$C$39:$C$50))&gt;=Setup!$C$15,MONTH(WORKDAY(L502,-(Setup!$C$13+Setup!$G$30),Setup!$C$39:$C$50))&lt;=Setup!$C$16))),WORKDAY(L502,-(Setup!$C$13+Setup!$G$30+Setup!$C$14),Setup!$C$39:$C$50),WORKDAY(L502,-(Setup!$C$13+Setup!$G$30),Setup!$C$39:$C$50))+(497*100+11)/10000000)))</f>
        <v/>
      </c>
      <c r="AC502" t="str">
        <f>IF(M502="","",IF(M502&lt;Setup!$C$5-Setup!$C$6,"",IF(IF(ISNUMBER(Roster!$D502),Setup!$C$31&lt;=Roster!$D502,FALSE),"",IF(OR(IF(Setup!$C$15&lt;=Setup!$C$16,AND(MONTH(M502)&gt;=Setup!$C$15,MONTH(M502)&lt;=Setup!$C$16),OR(MONTH(M502)&gt;=Setup!$C$15,MONTH(M502)&lt;=Setup!$C$16)),IF(Setup!$C$15&lt;=Setup!$C$16,AND(MONTH(WORKDAY(M502,-(Setup!$C$13+Setup!$G$31),Setup!$C$39:$C$50))&gt;=Setup!$C$15,MONTH(WORKDAY(M502,-(Setup!$C$13+Setup!$G$31),Setup!$C$39:$C$50))&lt;=Setup!$C$16),OR(MONTH(WORKDAY(M502,-(Setup!$C$13+Setup!$G$31),Setup!$C$39:$C$50))&gt;=Setup!$C$15,MONTH(WORKDAY(M502,-(Setup!$C$13+Setup!$G$31),Setup!$C$39:$C$50))&lt;=Setup!$C$16))),WORKDAY(M502,-(Setup!$C$13+Setup!$G$31+Setup!$C$14),Setup!$C$39:$C$50),WORKDAY(M502,-(Setup!$C$13+Setup!$G$31),Setup!$C$39:$C$50))+(497*100+12)/10000000)))</f>
        <v/>
      </c>
      <c r="AD502" t="str">
        <f>IF(N502="","",IF(N502&lt;Setup!$C$5-Setup!$C$6,"",IF(IF(ISNUMBER(Roster!$D502),Setup!$C$32&lt;=Roster!$D502,FALSE),"",IF(OR(IF(Setup!$C$15&lt;=Setup!$C$16,AND(MONTH(N502)&gt;=Setup!$C$15,MONTH(N502)&lt;=Setup!$C$16),OR(MONTH(N502)&gt;=Setup!$C$15,MONTH(N502)&lt;=Setup!$C$16)),IF(Setup!$C$15&lt;=Setup!$C$16,AND(MONTH(WORKDAY(N502,-(Setup!$C$13+Setup!$G$32),Setup!$C$39:$C$50))&gt;=Setup!$C$15,MONTH(WORKDAY(N502,-(Setup!$C$13+Setup!$G$32),Setup!$C$39:$C$50))&lt;=Setup!$C$16),OR(MONTH(WORKDAY(N502,-(Setup!$C$13+Setup!$G$32),Setup!$C$39:$C$50))&gt;=Setup!$C$15,MONTH(WORKDAY(N502,-(Setup!$C$13+Setup!$G$32),Setup!$C$39:$C$50))&lt;=Setup!$C$16))),WORKDAY(N502,-(Setup!$C$13+Setup!$G$32+Setup!$C$14),Setup!$C$39:$C$50),WORKDAY(N502,-(Setup!$C$13+Setup!$G$32),Setup!$C$39:$C$50))+(497*100+13)/10000000)))</f>
        <v/>
      </c>
      <c r="AE502" t="str">
        <f>IF(O502="","",IF(O502&lt;Setup!$C$5-Setup!$C$6,"",IF(IF(ISNUMBER(Roster!$D502),Setup!$C$33&lt;=Roster!$D502,FALSE),"",IF(OR(IF(Setup!$C$15&lt;=Setup!$C$16,AND(MONTH(O502)&gt;=Setup!$C$15,MONTH(O502)&lt;=Setup!$C$16),OR(MONTH(O502)&gt;=Setup!$C$15,MONTH(O502)&lt;=Setup!$C$16)),IF(Setup!$C$15&lt;=Setup!$C$16,AND(MONTH(WORKDAY(O502,-(Setup!$C$13+Setup!$G$33),Setup!$C$39:$C$50))&gt;=Setup!$C$15,MONTH(WORKDAY(O502,-(Setup!$C$13+Setup!$G$33),Setup!$C$39:$C$50))&lt;=Setup!$C$16),OR(MONTH(WORKDAY(O502,-(Setup!$C$13+Setup!$G$33),Setup!$C$39:$C$50))&gt;=Setup!$C$15,MONTH(WORKDAY(O502,-(Setup!$C$13+Setup!$G$33),Setup!$C$39:$C$50))&lt;=Setup!$C$16))),WORKDAY(O502,-(Setup!$C$13+Setup!$G$33+Setup!$C$14),Setup!$C$39:$C$50),WORKDAY(O502,-(Setup!$C$13+Setup!$G$33),Setup!$C$39:$C$50))+(497*100+14)/10000000)))</f>
        <v/>
      </c>
      <c r="AF502" t="str">
        <f>IF(P502="","",IF(P502&lt;Setup!$C$5-Setup!$C$6,"",IF(IF(ISNUMBER(Roster!$D502),Setup!$C$34&lt;=Roster!$D502,FALSE),"",IF(OR(IF(Setup!$C$15&lt;=Setup!$C$16,AND(MONTH(P502)&gt;=Setup!$C$15,MONTH(P502)&lt;=Setup!$C$16),OR(MONTH(P502)&gt;=Setup!$C$15,MONTH(P502)&lt;=Setup!$C$16)),IF(Setup!$C$15&lt;=Setup!$C$16,AND(MONTH(WORKDAY(P502,-(Setup!$C$13+Setup!$G$34),Setup!$C$39:$C$50))&gt;=Setup!$C$15,MONTH(WORKDAY(P502,-(Setup!$C$13+Setup!$G$34),Setup!$C$39:$C$50))&lt;=Setup!$C$16),OR(MONTH(WORKDAY(P502,-(Setup!$C$13+Setup!$G$34),Setup!$C$39:$C$50))&gt;=Setup!$C$15,MONTH(WORKDAY(P502,-(Setup!$C$13+Setup!$G$34),Setup!$C$39:$C$50))&lt;=Setup!$C$16))),WORKDAY(P502,-(Setup!$C$13+Setup!$G$34+Setup!$C$14),Setup!$C$39:$C$50),WORKDAY(P502,-(Setup!$C$13+Setup!$G$34),Setup!$C$39:$C$50))+(497*100+15)/10000000)))</f>
        <v/>
      </c>
      <c r="AH502" t="str">
        <f t="shared" si="51"/>
        <v/>
      </c>
      <c r="AI502" t="str">
        <f t="shared" si="52"/>
        <v/>
      </c>
      <c r="AP502" t="str">
        <f>IF(ISNUMBER(Roster!$B502),MAX(1,YEAR(Setup!$C$5)-YEAR(Roster!$B502)+IF(EDATE(Roster!$B502,12*(YEAR(Setup!$C$5)-YEAR(Roster!$B502)))&lt;Setup!$C$5,1,0)),"")</f>
        <v/>
      </c>
      <c r="AQ502" s="32" t="str">
        <f>IF(AP502="","",EDATE(Roster!$B502,12*AP502))</f>
        <v/>
      </c>
      <c r="AR502" t="str">
        <f>IF(AQ502="","",IF(AQ502&lt;DATE(YEAR(Setup!$C$5)+1,MONTH(Setup!$C$5),DAY(Setup!$C$5)),AQ502+497/1000,""))</f>
        <v/>
      </c>
      <c r="AS502" t="str">
        <f t="shared" si="53"/>
        <v/>
      </c>
      <c r="AT502" t="str">
        <f>IF(AS502="","",IF(ISNUMBER(Roster!$D502),Roster!$D502&gt;=AP502,FALSE))</f>
        <v/>
      </c>
      <c r="AU502" t="str">
        <f t="shared" si="54"/>
        <v/>
      </c>
      <c r="AV502" t="str">
        <f ca="1">IF(497&gt;$AV$2,"",SMALL($AR$6:$AR$505,497))</f>
        <v/>
      </c>
      <c r="AW502" t="str">
        <f t="shared" ca="1" si="55"/>
        <v/>
      </c>
    </row>
    <row r="503" spans="2:49" x14ac:dyDescent="0.2">
      <c r="B503" s="32" t="str">
        <f>IF(AND(ISNUMBER(Roster!$B503),Setup!$B$20="Yes",ISNUMBER(Setup!$C$20)),EDATE(Roster!$B503,12*Setup!$C$20),"")</f>
        <v/>
      </c>
      <c r="C503" s="32" t="str">
        <f>IF(AND(ISNUMBER(Roster!$B503),Setup!$B$21="Yes",ISNUMBER(Setup!$C$21)),EDATE(Roster!$B503,12*Setup!$C$21),"")</f>
        <v/>
      </c>
      <c r="D503" s="32" t="str">
        <f>IF(AND(ISNUMBER(Roster!$B503),Setup!$B$22="Yes",ISNUMBER(Setup!$C$22)),EDATE(Roster!$B503,12*Setup!$C$22),"")</f>
        <v/>
      </c>
      <c r="E503" s="32" t="str">
        <f>IF(AND(ISNUMBER(Roster!$B503),Setup!$B$23="Yes",ISNUMBER(Setup!$C$23)),EDATE(Roster!$B503,12*Setup!$C$23),"")</f>
        <v/>
      </c>
      <c r="F503" s="32" t="str">
        <f>IF(AND(ISNUMBER(Roster!$B503),Setup!$B$24="Yes",ISNUMBER(Setup!$C$24)),EDATE(Roster!$B503,12*Setup!$C$24),"")</f>
        <v/>
      </c>
      <c r="G503" s="32" t="str">
        <f>IF(AND(ISNUMBER(Roster!$B503),Setup!$B$25="Yes",ISNUMBER(Setup!$C$25)),EDATE(Roster!$B503,12*Setup!$C$25),"")</f>
        <v/>
      </c>
      <c r="H503" s="32" t="str">
        <f>IF(AND(ISNUMBER(Roster!$B503),Setup!$B$26="Yes",ISNUMBER(Setup!$C$26)),EDATE(Roster!$B503,12*Setup!$C$26),"")</f>
        <v/>
      </c>
      <c r="I503" s="32" t="str">
        <f>IF(AND(ISNUMBER(Roster!$B503),Setup!$B$27="Yes",ISNUMBER(Setup!$C$27)),EDATE(Roster!$B503,12*Setup!$C$27),"")</f>
        <v/>
      </c>
      <c r="J503" s="32" t="str">
        <f>IF(AND(ISNUMBER(Roster!$B503),Setup!$B$28="Yes",ISNUMBER(Setup!$C$28)),EDATE(Roster!$B503,12*Setup!$C$28),"")</f>
        <v/>
      </c>
      <c r="K503" s="32" t="str">
        <f>IF(AND(ISNUMBER(Roster!$B503),Setup!$B$29="Yes",ISNUMBER(Setup!$C$29)),EDATE(Roster!$B503,12*Setup!$C$29),"")</f>
        <v/>
      </c>
      <c r="L503" s="32" t="str">
        <f>IF(AND(ISNUMBER(Roster!$B503),Setup!$B$30="Yes",ISNUMBER(Setup!$C$30)),EDATE(Roster!$B503,12*Setup!$C$30),"")</f>
        <v/>
      </c>
      <c r="M503" s="32" t="str">
        <f>IF(AND(ISNUMBER(Roster!$B503),Setup!$B$31="Yes",ISNUMBER(Setup!$C$31)),EDATE(Roster!$B503,12*Setup!$C$31),"")</f>
        <v/>
      </c>
      <c r="N503" s="32" t="str">
        <f>IF(AND(ISNUMBER(Roster!$B503),Setup!$B$32="Yes",ISNUMBER(Setup!$C$32)),EDATE(Roster!$B503,12*Setup!$C$32),"")</f>
        <v/>
      </c>
      <c r="O503" s="32" t="str">
        <f>IF(AND(ISNUMBER(Roster!$B503),Setup!$B$33="Yes",ISNUMBER(Setup!$C$33)),EDATE(Roster!$B503,12*Setup!$C$33),"")</f>
        <v/>
      </c>
      <c r="P503" s="32" t="str">
        <f>IF(AND(ISNUMBER(Roster!$B503),Setup!$B$34="Yes",ISNUMBER(Setup!$C$34)),EDATE(Roster!$B503,12*Setup!$C$34),"")</f>
        <v/>
      </c>
      <c r="R503" t="str">
        <f>IF(B503="","",IF(B503&lt;Setup!$C$5-Setup!$C$6,"",IF(IF(ISNUMBER(Roster!$D503),Setup!$C$20&lt;=Roster!$D503,FALSE),"",IF(OR(IF(Setup!$C$15&lt;=Setup!$C$16,AND(MONTH(B503)&gt;=Setup!$C$15,MONTH(B503)&lt;=Setup!$C$16),OR(MONTH(B503)&gt;=Setup!$C$15,MONTH(B503)&lt;=Setup!$C$16)),IF(Setup!$C$15&lt;=Setup!$C$16,AND(MONTH(WORKDAY(B503,-(Setup!$C$13+Setup!$G$20),Setup!$C$39:$C$50))&gt;=Setup!$C$15,MONTH(WORKDAY(B503,-(Setup!$C$13+Setup!$G$20),Setup!$C$39:$C$50))&lt;=Setup!$C$16),OR(MONTH(WORKDAY(B503,-(Setup!$C$13+Setup!$G$20),Setup!$C$39:$C$50))&gt;=Setup!$C$15,MONTH(WORKDAY(B503,-(Setup!$C$13+Setup!$G$20),Setup!$C$39:$C$50))&lt;=Setup!$C$16))),WORKDAY(B503,-(Setup!$C$13+Setup!$G$20+Setup!$C$14),Setup!$C$39:$C$50),WORKDAY(B503,-(Setup!$C$13+Setup!$G$20),Setup!$C$39:$C$50))+(498*100+1)/10000000)))</f>
        <v/>
      </c>
      <c r="S503" t="str">
        <f>IF(C503="","",IF(C503&lt;Setup!$C$5-Setup!$C$6,"",IF(IF(ISNUMBER(Roster!$D503),Setup!$C$21&lt;=Roster!$D503,FALSE),"",IF(OR(IF(Setup!$C$15&lt;=Setup!$C$16,AND(MONTH(C503)&gt;=Setup!$C$15,MONTH(C503)&lt;=Setup!$C$16),OR(MONTH(C503)&gt;=Setup!$C$15,MONTH(C503)&lt;=Setup!$C$16)),IF(Setup!$C$15&lt;=Setup!$C$16,AND(MONTH(WORKDAY(C503,-(Setup!$C$13+Setup!$G$21),Setup!$C$39:$C$50))&gt;=Setup!$C$15,MONTH(WORKDAY(C503,-(Setup!$C$13+Setup!$G$21),Setup!$C$39:$C$50))&lt;=Setup!$C$16),OR(MONTH(WORKDAY(C503,-(Setup!$C$13+Setup!$G$21),Setup!$C$39:$C$50))&gt;=Setup!$C$15,MONTH(WORKDAY(C503,-(Setup!$C$13+Setup!$G$21),Setup!$C$39:$C$50))&lt;=Setup!$C$16))),WORKDAY(C503,-(Setup!$C$13+Setup!$G$21+Setup!$C$14),Setup!$C$39:$C$50),WORKDAY(C503,-(Setup!$C$13+Setup!$G$21),Setup!$C$39:$C$50))+(498*100+2)/10000000)))</f>
        <v/>
      </c>
      <c r="T503" t="str">
        <f>IF(D503="","",IF(D503&lt;Setup!$C$5-Setup!$C$6,"",IF(IF(ISNUMBER(Roster!$D503),Setup!$C$22&lt;=Roster!$D503,FALSE),"",IF(OR(IF(Setup!$C$15&lt;=Setup!$C$16,AND(MONTH(D503)&gt;=Setup!$C$15,MONTH(D503)&lt;=Setup!$C$16),OR(MONTH(D503)&gt;=Setup!$C$15,MONTH(D503)&lt;=Setup!$C$16)),IF(Setup!$C$15&lt;=Setup!$C$16,AND(MONTH(WORKDAY(D503,-(Setup!$C$13+Setup!$G$22),Setup!$C$39:$C$50))&gt;=Setup!$C$15,MONTH(WORKDAY(D503,-(Setup!$C$13+Setup!$G$22),Setup!$C$39:$C$50))&lt;=Setup!$C$16),OR(MONTH(WORKDAY(D503,-(Setup!$C$13+Setup!$G$22),Setup!$C$39:$C$50))&gt;=Setup!$C$15,MONTH(WORKDAY(D503,-(Setup!$C$13+Setup!$G$22),Setup!$C$39:$C$50))&lt;=Setup!$C$16))),WORKDAY(D503,-(Setup!$C$13+Setup!$G$22+Setup!$C$14),Setup!$C$39:$C$50),WORKDAY(D503,-(Setup!$C$13+Setup!$G$22),Setup!$C$39:$C$50))+(498*100+3)/10000000)))</f>
        <v/>
      </c>
      <c r="U503" t="str">
        <f>IF(E503="","",IF(E503&lt;Setup!$C$5-Setup!$C$6,"",IF(IF(ISNUMBER(Roster!$D503),Setup!$C$23&lt;=Roster!$D503,FALSE),"",IF(OR(IF(Setup!$C$15&lt;=Setup!$C$16,AND(MONTH(E503)&gt;=Setup!$C$15,MONTH(E503)&lt;=Setup!$C$16),OR(MONTH(E503)&gt;=Setup!$C$15,MONTH(E503)&lt;=Setup!$C$16)),IF(Setup!$C$15&lt;=Setup!$C$16,AND(MONTH(WORKDAY(E503,-(Setup!$C$13+Setup!$G$23),Setup!$C$39:$C$50))&gt;=Setup!$C$15,MONTH(WORKDAY(E503,-(Setup!$C$13+Setup!$G$23),Setup!$C$39:$C$50))&lt;=Setup!$C$16),OR(MONTH(WORKDAY(E503,-(Setup!$C$13+Setup!$G$23),Setup!$C$39:$C$50))&gt;=Setup!$C$15,MONTH(WORKDAY(E503,-(Setup!$C$13+Setup!$G$23),Setup!$C$39:$C$50))&lt;=Setup!$C$16))),WORKDAY(E503,-(Setup!$C$13+Setup!$G$23+Setup!$C$14),Setup!$C$39:$C$50),WORKDAY(E503,-(Setup!$C$13+Setup!$G$23),Setup!$C$39:$C$50))+(498*100+4)/10000000)))</f>
        <v/>
      </c>
      <c r="V503" t="str">
        <f>IF(F503="","",IF(F503&lt;Setup!$C$5-Setup!$C$6,"",IF(IF(ISNUMBER(Roster!$D503),Setup!$C$24&lt;=Roster!$D503,FALSE),"",IF(OR(IF(Setup!$C$15&lt;=Setup!$C$16,AND(MONTH(F503)&gt;=Setup!$C$15,MONTH(F503)&lt;=Setup!$C$16),OR(MONTH(F503)&gt;=Setup!$C$15,MONTH(F503)&lt;=Setup!$C$16)),IF(Setup!$C$15&lt;=Setup!$C$16,AND(MONTH(WORKDAY(F503,-(Setup!$C$13+Setup!$G$24),Setup!$C$39:$C$50))&gt;=Setup!$C$15,MONTH(WORKDAY(F503,-(Setup!$C$13+Setup!$G$24),Setup!$C$39:$C$50))&lt;=Setup!$C$16),OR(MONTH(WORKDAY(F503,-(Setup!$C$13+Setup!$G$24),Setup!$C$39:$C$50))&gt;=Setup!$C$15,MONTH(WORKDAY(F503,-(Setup!$C$13+Setup!$G$24),Setup!$C$39:$C$50))&lt;=Setup!$C$16))),WORKDAY(F503,-(Setup!$C$13+Setup!$G$24+Setup!$C$14),Setup!$C$39:$C$50),WORKDAY(F503,-(Setup!$C$13+Setup!$G$24),Setup!$C$39:$C$50))+(498*100+5)/10000000)))</f>
        <v/>
      </c>
      <c r="W503" t="str">
        <f>IF(G503="","",IF(G503&lt;Setup!$C$5-Setup!$C$6,"",IF(IF(ISNUMBER(Roster!$D503),Setup!$C$25&lt;=Roster!$D503,FALSE),"",IF(OR(IF(Setup!$C$15&lt;=Setup!$C$16,AND(MONTH(G503)&gt;=Setup!$C$15,MONTH(G503)&lt;=Setup!$C$16),OR(MONTH(G503)&gt;=Setup!$C$15,MONTH(G503)&lt;=Setup!$C$16)),IF(Setup!$C$15&lt;=Setup!$C$16,AND(MONTH(WORKDAY(G503,-(Setup!$C$13+Setup!$G$25),Setup!$C$39:$C$50))&gt;=Setup!$C$15,MONTH(WORKDAY(G503,-(Setup!$C$13+Setup!$G$25),Setup!$C$39:$C$50))&lt;=Setup!$C$16),OR(MONTH(WORKDAY(G503,-(Setup!$C$13+Setup!$G$25),Setup!$C$39:$C$50))&gt;=Setup!$C$15,MONTH(WORKDAY(G503,-(Setup!$C$13+Setup!$G$25),Setup!$C$39:$C$50))&lt;=Setup!$C$16))),WORKDAY(G503,-(Setup!$C$13+Setup!$G$25+Setup!$C$14),Setup!$C$39:$C$50),WORKDAY(G503,-(Setup!$C$13+Setup!$G$25),Setup!$C$39:$C$50))+(498*100+6)/10000000)))</f>
        <v/>
      </c>
      <c r="X503" t="str">
        <f>IF(H503="","",IF(H503&lt;Setup!$C$5-Setup!$C$6,"",IF(IF(ISNUMBER(Roster!$D503),Setup!$C$26&lt;=Roster!$D503,FALSE),"",IF(OR(IF(Setup!$C$15&lt;=Setup!$C$16,AND(MONTH(H503)&gt;=Setup!$C$15,MONTH(H503)&lt;=Setup!$C$16),OR(MONTH(H503)&gt;=Setup!$C$15,MONTH(H503)&lt;=Setup!$C$16)),IF(Setup!$C$15&lt;=Setup!$C$16,AND(MONTH(WORKDAY(H503,-(Setup!$C$13+Setup!$G$26),Setup!$C$39:$C$50))&gt;=Setup!$C$15,MONTH(WORKDAY(H503,-(Setup!$C$13+Setup!$G$26),Setup!$C$39:$C$50))&lt;=Setup!$C$16),OR(MONTH(WORKDAY(H503,-(Setup!$C$13+Setup!$G$26),Setup!$C$39:$C$50))&gt;=Setup!$C$15,MONTH(WORKDAY(H503,-(Setup!$C$13+Setup!$G$26),Setup!$C$39:$C$50))&lt;=Setup!$C$16))),WORKDAY(H503,-(Setup!$C$13+Setup!$G$26+Setup!$C$14),Setup!$C$39:$C$50),WORKDAY(H503,-(Setup!$C$13+Setup!$G$26),Setup!$C$39:$C$50))+(498*100+7)/10000000)))</f>
        <v/>
      </c>
      <c r="Y503" t="str">
        <f>IF(I503="","",IF(I503&lt;Setup!$C$5-Setup!$C$6,"",IF(IF(ISNUMBER(Roster!$D503),Setup!$C$27&lt;=Roster!$D503,FALSE),"",IF(OR(IF(Setup!$C$15&lt;=Setup!$C$16,AND(MONTH(I503)&gt;=Setup!$C$15,MONTH(I503)&lt;=Setup!$C$16),OR(MONTH(I503)&gt;=Setup!$C$15,MONTH(I503)&lt;=Setup!$C$16)),IF(Setup!$C$15&lt;=Setup!$C$16,AND(MONTH(WORKDAY(I503,-(Setup!$C$13+Setup!$G$27),Setup!$C$39:$C$50))&gt;=Setup!$C$15,MONTH(WORKDAY(I503,-(Setup!$C$13+Setup!$G$27),Setup!$C$39:$C$50))&lt;=Setup!$C$16),OR(MONTH(WORKDAY(I503,-(Setup!$C$13+Setup!$G$27),Setup!$C$39:$C$50))&gt;=Setup!$C$15,MONTH(WORKDAY(I503,-(Setup!$C$13+Setup!$G$27),Setup!$C$39:$C$50))&lt;=Setup!$C$16))),WORKDAY(I503,-(Setup!$C$13+Setup!$G$27+Setup!$C$14),Setup!$C$39:$C$50),WORKDAY(I503,-(Setup!$C$13+Setup!$G$27),Setup!$C$39:$C$50))+(498*100+8)/10000000)))</f>
        <v/>
      </c>
      <c r="Z503" t="str">
        <f>IF(J503="","",IF(J503&lt;Setup!$C$5-Setup!$C$6,"",IF(IF(ISNUMBER(Roster!$D503),Setup!$C$28&lt;=Roster!$D503,FALSE),"",IF(OR(IF(Setup!$C$15&lt;=Setup!$C$16,AND(MONTH(J503)&gt;=Setup!$C$15,MONTH(J503)&lt;=Setup!$C$16),OR(MONTH(J503)&gt;=Setup!$C$15,MONTH(J503)&lt;=Setup!$C$16)),IF(Setup!$C$15&lt;=Setup!$C$16,AND(MONTH(WORKDAY(J503,-(Setup!$C$13+Setup!$G$28),Setup!$C$39:$C$50))&gt;=Setup!$C$15,MONTH(WORKDAY(J503,-(Setup!$C$13+Setup!$G$28),Setup!$C$39:$C$50))&lt;=Setup!$C$16),OR(MONTH(WORKDAY(J503,-(Setup!$C$13+Setup!$G$28),Setup!$C$39:$C$50))&gt;=Setup!$C$15,MONTH(WORKDAY(J503,-(Setup!$C$13+Setup!$G$28),Setup!$C$39:$C$50))&lt;=Setup!$C$16))),WORKDAY(J503,-(Setup!$C$13+Setup!$G$28+Setup!$C$14),Setup!$C$39:$C$50),WORKDAY(J503,-(Setup!$C$13+Setup!$G$28),Setup!$C$39:$C$50))+(498*100+9)/10000000)))</f>
        <v/>
      </c>
      <c r="AA503" t="str">
        <f>IF(K503="","",IF(K503&lt;Setup!$C$5-Setup!$C$6,"",IF(IF(ISNUMBER(Roster!$D503),Setup!$C$29&lt;=Roster!$D503,FALSE),"",IF(OR(IF(Setup!$C$15&lt;=Setup!$C$16,AND(MONTH(K503)&gt;=Setup!$C$15,MONTH(K503)&lt;=Setup!$C$16),OR(MONTH(K503)&gt;=Setup!$C$15,MONTH(K503)&lt;=Setup!$C$16)),IF(Setup!$C$15&lt;=Setup!$C$16,AND(MONTH(WORKDAY(K503,-(Setup!$C$13+Setup!$G$29),Setup!$C$39:$C$50))&gt;=Setup!$C$15,MONTH(WORKDAY(K503,-(Setup!$C$13+Setup!$G$29),Setup!$C$39:$C$50))&lt;=Setup!$C$16),OR(MONTH(WORKDAY(K503,-(Setup!$C$13+Setup!$G$29),Setup!$C$39:$C$50))&gt;=Setup!$C$15,MONTH(WORKDAY(K503,-(Setup!$C$13+Setup!$G$29),Setup!$C$39:$C$50))&lt;=Setup!$C$16))),WORKDAY(K503,-(Setup!$C$13+Setup!$G$29+Setup!$C$14),Setup!$C$39:$C$50),WORKDAY(K503,-(Setup!$C$13+Setup!$G$29),Setup!$C$39:$C$50))+(498*100+10)/10000000)))</f>
        <v/>
      </c>
      <c r="AB503" t="str">
        <f>IF(L503="","",IF(L503&lt;Setup!$C$5-Setup!$C$6,"",IF(IF(ISNUMBER(Roster!$D503),Setup!$C$30&lt;=Roster!$D503,FALSE),"",IF(OR(IF(Setup!$C$15&lt;=Setup!$C$16,AND(MONTH(L503)&gt;=Setup!$C$15,MONTH(L503)&lt;=Setup!$C$16),OR(MONTH(L503)&gt;=Setup!$C$15,MONTH(L503)&lt;=Setup!$C$16)),IF(Setup!$C$15&lt;=Setup!$C$16,AND(MONTH(WORKDAY(L503,-(Setup!$C$13+Setup!$G$30),Setup!$C$39:$C$50))&gt;=Setup!$C$15,MONTH(WORKDAY(L503,-(Setup!$C$13+Setup!$G$30),Setup!$C$39:$C$50))&lt;=Setup!$C$16),OR(MONTH(WORKDAY(L503,-(Setup!$C$13+Setup!$G$30),Setup!$C$39:$C$50))&gt;=Setup!$C$15,MONTH(WORKDAY(L503,-(Setup!$C$13+Setup!$G$30),Setup!$C$39:$C$50))&lt;=Setup!$C$16))),WORKDAY(L503,-(Setup!$C$13+Setup!$G$30+Setup!$C$14),Setup!$C$39:$C$50),WORKDAY(L503,-(Setup!$C$13+Setup!$G$30),Setup!$C$39:$C$50))+(498*100+11)/10000000)))</f>
        <v/>
      </c>
      <c r="AC503" t="str">
        <f>IF(M503="","",IF(M503&lt;Setup!$C$5-Setup!$C$6,"",IF(IF(ISNUMBER(Roster!$D503),Setup!$C$31&lt;=Roster!$D503,FALSE),"",IF(OR(IF(Setup!$C$15&lt;=Setup!$C$16,AND(MONTH(M503)&gt;=Setup!$C$15,MONTH(M503)&lt;=Setup!$C$16),OR(MONTH(M503)&gt;=Setup!$C$15,MONTH(M503)&lt;=Setup!$C$16)),IF(Setup!$C$15&lt;=Setup!$C$16,AND(MONTH(WORKDAY(M503,-(Setup!$C$13+Setup!$G$31),Setup!$C$39:$C$50))&gt;=Setup!$C$15,MONTH(WORKDAY(M503,-(Setup!$C$13+Setup!$G$31),Setup!$C$39:$C$50))&lt;=Setup!$C$16),OR(MONTH(WORKDAY(M503,-(Setup!$C$13+Setup!$G$31),Setup!$C$39:$C$50))&gt;=Setup!$C$15,MONTH(WORKDAY(M503,-(Setup!$C$13+Setup!$G$31),Setup!$C$39:$C$50))&lt;=Setup!$C$16))),WORKDAY(M503,-(Setup!$C$13+Setup!$G$31+Setup!$C$14),Setup!$C$39:$C$50),WORKDAY(M503,-(Setup!$C$13+Setup!$G$31),Setup!$C$39:$C$50))+(498*100+12)/10000000)))</f>
        <v/>
      </c>
      <c r="AD503" t="str">
        <f>IF(N503="","",IF(N503&lt;Setup!$C$5-Setup!$C$6,"",IF(IF(ISNUMBER(Roster!$D503),Setup!$C$32&lt;=Roster!$D503,FALSE),"",IF(OR(IF(Setup!$C$15&lt;=Setup!$C$16,AND(MONTH(N503)&gt;=Setup!$C$15,MONTH(N503)&lt;=Setup!$C$16),OR(MONTH(N503)&gt;=Setup!$C$15,MONTH(N503)&lt;=Setup!$C$16)),IF(Setup!$C$15&lt;=Setup!$C$16,AND(MONTH(WORKDAY(N503,-(Setup!$C$13+Setup!$G$32),Setup!$C$39:$C$50))&gt;=Setup!$C$15,MONTH(WORKDAY(N503,-(Setup!$C$13+Setup!$G$32),Setup!$C$39:$C$50))&lt;=Setup!$C$16),OR(MONTH(WORKDAY(N503,-(Setup!$C$13+Setup!$G$32),Setup!$C$39:$C$50))&gt;=Setup!$C$15,MONTH(WORKDAY(N503,-(Setup!$C$13+Setup!$G$32),Setup!$C$39:$C$50))&lt;=Setup!$C$16))),WORKDAY(N503,-(Setup!$C$13+Setup!$G$32+Setup!$C$14),Setup!$C$39:$C$50),WORKDAY(N503,-(Setup!$C$13+Setup!$G$32),Setup!$C$39:$C$50))+(498*100+13)/10000000)))</f>
        <v/>
      </c>
      <c r="AE503" t="str">
        <f>IF(O503="","",IF(O503&lt;Setup!$C$5-Setup!$C$6,"",IF(IF(ISNUMBER(Roster!$D503),Setup!$C$33&lt;=Roster!$D503,FALSE),"",IF(OR(IF(Setup!$C$15&lt;=Setup!$C$16,AND(MONTH(O503)&gt;=Setup!$C$15,MONTH(O503)&lt;=Setup!$C$16),OR(MONTH(O503)&gt;=Setup!$C$15,MONTH(O503)&lt;=Setup!$C$16)),IF(Setup!$C$15&lt;=Setup!$C$16,AND(MONTH(WORKDAY(O503,-(Setup!$C$13+Setup!$G$33),Setup!$C$39:$C$50))&gt;=Setup!$C$15,MONTH(WORKDAY(O503,-(Setup!$C$13+Setup!$G$33),Setup!$C$39:$C$50))&lt;=Setup!$C$16),OR(MONTH(WORKDAY(O503,-(Setup!$C$13+Setup!$G$33),Setup!$C$39:$C$50))&gt;=Setup!$C$15,MONTH(WORKDAY(O503,-(Setup!$C$13+Setup!$G$33),Setup!$C$39:$C$50))&lt;=Setup!$C$16))),WORKDAY(O503,-(Setup!$C$13+Setup!$G$33+Setup!$C$14),Setup!$C$39:$C$50),WORKDAY(O503,-(Setup!$C$13+Setup!$G$33),Setup!$C$39:$C$50))+(498*100+14)/10000000)))</f>
        <v/>
      </c>
      <c r="AF503" t="str">
        <f>IF(P503="","",IF(P503&lt;Setup!$C$5-Setup!$C$6,"",IF(IF(ISNUMBER(Roster!$D503),Setup!$C$34&lt;=Roster!$D503,FALSE),"",IF(OR(IF(Setup!$C$15&lt;=Setup!$C$16,AND(MONTH(P503)&gt;=Setup!$C$15,MONTH(P503)&lt;=Setup!$C$16),OR(MONTH(P503)&gt;=Setup!$C$15,MONTH(P503)&lt;=Setup!$C$16)),IF(Setup!$C$15&lt;=Setup!$C$16,AND(MONTH(WORKDAY(P503,-(Setup!$C$13+Setup!$G$34),Setup!$C$39:$C$50))&gt;=Setup!$C$15,MONTH(WORKDAY(P503,-(Setup!$C$13+Setup!$G$34),Setup!$C$39:$C$50))&lt;=Setup!$C$16),OR(MONTH(WORKDAY(P503,-(Setup!$C$13+Setup!$G$34),Setup!$C$39:$C$50))&gt;=Setup!$C$15,MONTH(WORKDAY(P503,-(Setup!$C$13+Setup!$G$34),Setup!$C$39:$C$50))&lt;=Setup!$C$16))),WORKDAY(P503,-(Setup!$C$13+Setup!$G$34+Setup!$C$14),Setup!$C$39:$C$50),WORKDAY(P503,-(Setup!$C$13+Setup!$G$34),Setup!$C$39:$C$50))+(498*100+15)/10000000)))</f>
        <v/>
      </c>
      <c r="AH503" t="str">
        <f t="shared" si="51"/>
        <v/>
      </c>
      <c r="AI503" t="str">
        <f t="shared" si="52"/>
        <v/>
      </c>
      <c r="AP503" t="str">
        <f>IF(ISNUMBER(Roster!$B503),MAX(1,YEAR(Setup!$C$5)-YEAR(Roster!$B503)+IF(EDATE(Roster!$B503,12*(YEAR(Setup!$C$5)-YEAR(Roster!$B503)))&lt;Setup!$C$5,1,0)),"")</f>
        <v/>
      </c>
      <c r="AQ503" s="32" t="str">
        <f>IF(AP503="","",EDATE(Roster!$B503,12*AP503))</f>
        <v/>
      </c>
      <c r="AR503" t="str">
        <f>IF(AQ503="","",IF(AQ503&lt;DATE(YEAR(Setup!$C$5)+1,MONTH(Setup!$C$5),DAY(Setup!$C$5)),AQ503+498/1000,""))</f>
        <v/>
      </c>
      <c r="AS503" t="str">
        <f t="shared" si="53"/>
        <v/>
      </c>
      <c r="AT503" t="str">
        <f>IF(AS503="","",IF(ISNUMBER(Roster!$D503),Roster!$D503&gt;=AP503,FALSE))</f>
        <v/>
      </c>
      <c r="AU503" t="str">
        <f t="shared" si="54"/>
        <v/>
      </c>
      <c r="AV503" t="str">
        <f ca="1">IF(498&gt;$AV$2,"",SMALL($AR$6:$AR$505,498))</f>
        <v/>
      </c>
      <c r="AW503" t="str">
        <f t="shared" ca="1" si="55"/>
        <v/>
      </c>
    </row>
    <row r="504" spans="2:49" x14ac:dyDescent="0.2">
      <c r="B504" s="32" t="str">
        <f>IF(AND(ISNUMBER(Roster!$B504),Setup!$B$20="Yes",ISNUMBER(Setup!$C$20)),EDATE(Roster!$B504,12*Setup!$C$20),"")</f>
        <v/>
      </c>
      <c r="C504" s="32" t="str">
        <f>IF(AND(ISNUMBER(Roster!$B504),Setup!$B$21="Yes",ISNUMBER(Setup!$C$21)),EDATE(Roster!$B504,12*Setup!$C$21),"")</f>
        <v/>
      </c>
      <c r="D504" s="32" t="str">
        <f>IF(AND(ISNUMBER(Roster!$B504),Setup!$B$22="Yes",ISNUMBER(Setup!$C$22)),EDATE(Roster!$B504,12*Setup!$C$22),"")</f>
        <v/>
      </c>
      <c r="E504" s="32" t="str">
        <f>IF(AND(ISNUMBER(Roster!$B504),Setup!$B$23="Yes",ISNUMBER(Setup!$C$23)),EDATE(Roster!$B504,12*Setup!$C$23),"")</f>
        <v/>
      </c>
      <c r="F504" s="32" t="str">
        <f>IF(AND(ISNUMBER(Roster!$B504),Setup!$B$24="Yes",ISNUMBER(Setup!$C$24)),EDATE(Roster!$B504,12*Setup!$C$24),"")</f>
        <v/>
      </c>
      <c r="G504" s="32" t="str">
        <f>IF(AND(ISNUMBER(Roster!$B504),Setup!$B$25="Yes",ISNUMBER(Setup!$C$25)),EDATE(Roster!$B504,12*Setup!$C$25),"")</f>
        <v/>
      </c>
      <c r="H504" s="32" t="str">
        <f>IF(AND(ISNUMBER(Roster!$B504),Setup!$B$26="Yes",ISNUMBER(Setup!$C$26)),EDATE(Roster!$B504,12*Setup!$C$26),"")</f>
        <v/>
      </c>
      <c r="I504" s="32" t="str">
        <f>IF(AND(ISNUMBER(Roster!$B504),Setup!$B$27="Yes",ISNUMBER(Setup!$C$27)),EDATE(Roster!$B504,12*Setup!$C$27),"")</f>
        <v/>
      </c>
      <c r="J504" s="32" t="str">
        <f>IF(AND(ISNUMBER(Roster!$B504),Setup!$B$28="Yes",ISNUMBER(Setup!$C$28)),EDATE(Roster!$B504,12*Setup!$C$28),"")</f>
        <v/>
      </c>
      <c r="K504" s="32" t="str">
        <f>IF(AND(ISNUMBER(Roster!$B504),Setup!$B$29="Yes",ISNUMBER(Setup!$C$29)),EDATE(Roster!$B504,12*Setup!$C$29),"")</f>
        <v/>
      </c>
      <c r="L504" s="32" t="str">
        <f>IF(AND(ISNUMBER(Roster!$B504),Setup!$B$30="Yes",ISNUMBER(Setup!$C$30)),EDATE(Roster!$B504,12*Setup!$C$30),"")</f>
        <v/>
      </c>
      <c r="M504" s="32" t="str">
        <f>IF(AND(ISNUMBER(Roster!$B504),Setup!$B$31="Yes",ISNUMBER(Setup!$C$31)),EDATE(Roster!$B504,12*Setup!$C$31),"")</f>
        <v/>
      </c>
      <c r="N504" s="32" t="str">
        <f>IF(AND(ISNUMBER(Roster!$B504),Setup!$B$32="Yes",ISNUMBER(Setup!$C$32)),EDATE(Roster!$B504,12*Setup!$C$32),"")</f>
        <v/>
      </c>
      <c r="O504" s="32" t="str">
        <f>IF(AND(ISNUMBER(Roster!$B504),Setup!$B$33="Yes",ISNUMBER(Setup!$C$33)),EDATE(Roster!$B504,12*Setup!$C$33),"")</f>
        <v/>
      </c>
      <c r="P504" s="32" t="str">
        <f>IF(AND(ISNUMBER(Roster!$B504),Setup!$B$34="Yes",ISNUMBER(Setup!$C$34)),EDATE(Roster!$B504,12*Setup!$C$34),"")</f>
        <v/>
      </c>
      <c r="R504" t="str">
        <f>IF(B504="","",IF(B504&lt;Setup!$C$5-Setup!$C$6,"",IF(IF(ISNUMBER(Roster!$D504),Setup!$C$20&lt;=Roster!$D504,FALSE),"",IF(OR(IF(Setup!$C$15&lt;=Setup!$C$16,AND(MONTH(B504)&gt;=Setup!$C$15,MONTH(B504)&lt;=Setup!$C$16),OR(MONTH(B504)&gt;=Setup!$C$15,MONTH(B504)&lt;=Setup!$C$16)),IF(Setup!$C$15&lt;=Setup!$C$16,AND(MONTH(WORKDAY(B504,-(Setup!$C$13+Setup!$G$20),Setup!$C$39:$C$50))&gt;=Setup!$C$15,MONTH(WORKDAY(B504,-(Setup!$C$13+Setup!$G$20),Setup!$C$39:$C$50))&lt;=Setup!$C$16),OR(MONTH(WORKDAY(B504,-(Setup!$C$13+Setup!$G$20),Setup!$C$39:$C$50))&gt;=Setup!$C$15,MONTH(WORKDAY(B504,-(Setup!$C$13+Setup!$G$20),Setup!$C$39:$C$50))&lt;=Setup!$C$16))),WORKDAY(B504,-(Setup!$C$13+Setup!$G$20+Setup!$C$14),Setup!$C$39:$C$50),WORKDAY(B504,-(Setup!$C$13+Setup!$G$20),Setup!$C$39:$C$50))+(499*100+1)/10000000)))</f>
        <v/>
      </c>
      <c r="S504" t="str">
        <f>IF(C504="","",IF(C504&lt;Setup!$C$5-Setup!$C$6,"",IF(IF(ISNUMBER(Roster!$D504),Setup!$C$21&lt;=Roster!$D504,FALSE),"",IF(OR(IF(Setup!$C$15&lt;=Setup!$C$16,AND(MONTH(C504)&gt;=Setup!$C$15,MONTH(C504)&lt;=Setup!$C$16),OR(MONTH(C504)&gt;=Setup!$C$15,MONTH(C504)&lt;=Setup!$C$16)),IF(Setup!$C$15&lt;=Setup!$C$16,AND(MONTH(WORKDAY(C504,-(Setup!$C$13+Setup!$G$21),Setup!$C$39:$C$50))&gt;=Setup!$C$15,MONTH(WORKDAY(C504,-(Setup!$C$13+Setup!$G$21),Setup!$C$39:$C$50))&lt;=Setup!$C$16),OR(MONTH(WORKDAY(C504,-(Setup!$C$13+Setup!$G$21),Setup!$C$39:$C$50))&gt;=Setup!$C$15,MONTH(WORKDAY(C504,-(Setup!$C$13+Setup!$G$21),Setup!$C$39:$C$50))&lt;=Setup!$C$16))),WORKDAY(C504,-(Setup!$C$13+Setup!$G$21+Setup!$C$14),Setup!$C$39:$C$50),WORKDAY(C504,-(Setup!$C$13+Setup!$G$21),Setup!$C$39:$C$50))+(499*100+2)/10000000)))</f>
        <v/>
      </c>
      <c r="T504" t="str">
        <f>IF(D504="","",IF(D504&lt;Setup!$C$5-Setup!$C$6,"",IF(IF(ISNUMBER(Roster!$D504),Setup!$C$22&lt;=Roster!$D504,FALSE),"",IF(OR(IF(Setup!$C$15&lt;=Setup!$C$16,AND(MONTH(D504)&gt;=Setup!$C$15,MONTH(D504)&lt;=Setup!$C$16),OR(MONTH(D504)&gt;=Setup!$C$15,MONTH(D504)&lt;=Setup!$C$16)),IF(Setup!$C$15&lt;=Setup!$C$16,AND(MONTH(WORKDAY(D504,-(Setup!$C$13+Setup!$G$22),Setup!$C$39:$C$50))&gt;=Setup!$C$15,MONTH(WORKDAY(D504,-(Setup!$C$13+Setup!$G$22),Setup!$C$39:$C$50))&lt;=Setup!$C$16),OR(MONTH(WORKDAY(D504,-(Setup!$C$13+Setup!$G$22),Setup!$C$39:$C$50))&gt;=Setup!$C$15,MONTH(WORKDAY(D504,-(Setup!$C$13+Setup!$G$22),Setup!$C$39:$C$50))&lt;=Setup!$C$16))),WORKDAY(D504,-(Setup!$C$13+Setup!$G$22+Setup!$C$14),Setup!$C$39:$C$50),WORKDAY(D504,-(Setup!$C$13+Setup!$G$22),Setup!$C$39:$C$50))+(499*100+3)/10000000)))</f>
        <v/>
      </c>
      <c r="U504" t="str">
        <f>IF(E504="","",IF(E504&lt;Setup!$C$5-Setup!$C$6,"",IF(IF(ISNUMBER(Roster!$D504),Setup!$C$23&lt;=Roster!$D504,FALSE),"",IF(OR(IF(Setup!$C$15&lt;=Setup!$C$16,AND(MONTH(E504)&gt;=Setup!$C$15,MONTH(E504)&lt;=Setup!$C$16),OR(MONTH(E504)&gt;=Setup!$C$15,MONTH(E504)&lt;=Setup!$C$16)),IF(Setup!$C$15&lt;=Setup!$C$16,AND(MONTH(WORKDAY(E504,-(Setup!$C$13+Setup!$G$23),Setup!$C$39:$C$50))&gt;=Setup!$C$15,MONTH(WORKDAY(E504,-(Setup!$C$13+Setup!$G$23),Setup!$C$39:$C$50))&lt;=Setup!$C$16),OR(MONTH(WORKDAY(E504,-(Setup!$C$13+Setup!$G$23),Setup!$C$39:$C$50))&gt;=Setup!$C$15,MONTH(WORKDAY(E504,-(Setup!$C$13+Setup!$G$23),Setup!$C$39:$C$50))&lt;=Setup!$C$16))),WORKDAY(E504,-(Setup!$C$13+Setup!$G$23+Setup!$C$14),Setup!$C$39:$C$50),WORKDAY(E504,-(Setup!$C$13+Setup!$G$23),Setup!$C$39:$C$50))+(499*100+4)/10000000)))</f>
        <v/>
      </c>
      <c r="V504" t="str">
        <f>IF(F504="","",IF(F504&lt;Setup!$C$5-Setup!$C$6,"",IF(IF(ISNUMBER(Roster!$D504),Setup!$C$24&lt;=Roster!$D504,FALSE),"",IF(OR(IF(Setup!$C$15&lt;=Setup!$C$16,AND(MONTH(F504)&gt;=Setup!$C$15,MONTH(F504)&lt;=Setup!$C$16),OR(MONTH(F504)&gt;=Setup!$C$15,MONTH(F504)&lt;=Setup!$C$16)),IF(Setup!$C$15&lt;=Setup!$C$16,AND(MONTH(WORKDAY(F504,-(Setup!$C$13+Setup!$G$24),Setup!$C$39:$C$50))&gt;=Setup!$C$15,MONTH(WORKDAY(F504,-(Setup!$C$13+Setup!$G$24),Setup!$C$39:$C$50))&lt;=Setup!$C$16),OR(MONTH(WORKDAY(F504,-(Setup!$C$13+Setup!$G$24),Setup!$C$39:$C$50))&gt;=Setup!$C$15,MONTH(WORKDAY(F504,-(Setup!$C$13+Setup!$G$24),Setup!$C$39:$C$50))&lt;=Setup!$C$16))),WORKDAY(F504,-(Setup!$C$13+Setup!$G$24+Setup!$C$14),Setup!$C$39:$C$50),WORKDAY(F504,-(Setup!$C$13+Setup!$G$24),Setup!$C$39:$C$50))+(499*100+5)/10000000)))</f>
        <v/>
      </c>
      <c r="W504" t="str">
        <f>IF(G504="","",IF(G504&lt;Setup!$C$5-Setup!$C$6,"",IF(IF(ISNUMBER(Roster!$D504),Setup!$C$25&lt;=Roster!$D504,FALSE),"",IF(OR(IF(Setup!$C$15&lt;=Setup!$C$16,AND(MONTH(G504)&gt;=Setup!$C$15,MONTH(G504)&lt;=Setup!$C$16),OR(MONTH(G504)&gt;=Setup!$C$15,MONTH(G504)&lt;=Setup!$C$16)),IF(Setup!$C$15&lt;=Setup!$C$16,AND(MONTH(WORKDAY(G504,-(Setup!$C$13+Setup!$G$25),Setup!$C$39:$C$50))&gt;=Setup!$C$15,MONTH(WORKDAY(G504,-(Setup!$C$13+Setup!$G$25),Setup!$C$39:$C$50))&lt;=Setup!$C$16),OR(MONTH(WORKDAY(G504,-(Setup!$C$13+Setup!$G$25),Setup!$C$39:$C$50))&gt;=Setup!$C$15,MONTH(WORKDAY(G504,-(Setup!$C$13+Setup!$G$25),Setup!$C$39:$C$50))&lt;=Setup!$C$16))),WORKDAY(G504,-(Setup!$C$13+Setup!$G$25+Setup!$C$14),Setup!$C$39:$C$50),WORKDAY(G504,-(Setup!$C$13+Setup!$G$25),Setup!$C$39:$C$50))+(499*100+6)/10000000)))</f>
        <v/>
      </c>
      <c r="X504" t="str">
        <f>IF(H504="","",IF(H504&lt;Setup!$C$5-Setup!$C$6,"",IF(IF(ISNUMBER(Roster!$D504),Setup!$C$26&lt;=Roster!$D504,FALSE),"",IF(OR(IF(Setup!$C$15&lt;=Setup!$C$16,AND(MONTH(H504)&gt;=Setup!$C$15,MONTH(H504)&lt;=Setup!$C$16),OR(MONTH(H504)&gt;=Setup!$C$15,MONTH(H504)&lt;=Setup!$C$16)),IF(Setup!$C$15&lt;=Setup!$C$16,AND(MONTH(WORKDAY(H504,-(Setup!$C$13+Setup!$G$26),Setup!$C$39:$C$50))&gt;=Setup!$C$15,MONTH(WORKDAY(H504,-(Setup!$C$13+Setup!$G$26),Setup!$C$39:$C$50))&lt;=Setup!$C$16),OR(MONTH(WORKDAY(H504,-(Setup!$C$13+Setup!$G$26),Setup!$C$39:$C$50))&gt;=Setup!$C$15,MONTH(WORKDAY(H504,-(Setup!$C$13+Setup!$G$26),Setup!$C$39:$C$50))&lt;=Setup!$C$16))),WORKDAY(H504,-(Setup!$C$13+Setup!$G$26+Setup!$C$14),Setup!$C$39:$C$50),WORKDAY(H504,-(Setup!$C$13+Setup!$G$26),Setup!$C$39:$C$50))+(499*100+7)/10000000)))</f>
        <v/>
      </c>
      <c r="Y504" t="str">
        <f>IF(I504="","",IF(I504&lt;Setup!$C$5-Setup!$C$6,"",IF(IF(ISNUMBER(Roster!$D504),Setup!$C$27&lt;=Roster!$D504,FALSE),"",IF(OR(IF(Setup!$C$15&lt;=Setup!$C$16,AND(MONTH(I504)&gt;=Setup!$C$15,MONTH(I504)&lt;=Setup!$C$16),OR(MONTH(I504)&gt;=Setup!$C$15,MONTH(I504)&lt;=Setup!$C$16)),IF(Setup!$C$15&lt;=Setup!$C$16,AND(MONTH(WORKDAY(I504,-(Setup!$C$13+Setup!$G$27),Setup!$C$39:$C$50))&gt;=Setup!$C$15,MONTH(WORKDAY(I504,-(Setup!$C$13+Setup!$G$27),Setup!$C$39:$C$50))&lt;=Setup!$C$16),OR(MONTH(WORKDAY(I504,-(Setup!$C$13+Setup!$G$27),Setup!$C$39:$C$50))&gt;=Setup!$C$15,MONTH(WORKDAY(I504,-(Setup!$C$13+Setup!$G$27),Setup!$C$39:$C$50))&lt;=Setup!$C$16))),WORKDAY(I504,-(Setup!$C$13+Setup!$G$27+Setup!$C$14),Setup!$C$39:$C$50),WORKDAY(I504,-(Setup!$C$13+Setup!$G$27),Setup!$C$39:$C$50))+(499*100+8)/10000000)))</f>
        <v/>
      </c>
      <c r="Z504" t="str">
        <f>IF(J504="","",IF(J504&lt;Setup!$C$5-Setup!$C$6,"",IF(IF(ISNUMBER(Roster!$D504),Setup!$C$28&lt;=Roster!$D504,FALSE),"",IF(OR(IF(Setup!$C$15&lt;=Setup!$C$16,AND(MONTH(J504)&gt;=Setup!$C$15,MONTH(J504)&lt;=Setup!$C$16),OR(MONTH(J504)&gt;=Setup!$C$15,MONTH(J504)&lt;=Setup!$C$16)),IF(Setup!$C$15&lt;=Setup!$C$16,AND(MONTH(WORKDAY(J504,-(Setup!$C$13+Setup!$G$28),Setup!$C$39:$C$50))&gt;=Setup!$C$15,MONTH(WORKDAY(J504,-(Setup!$C$13+Setup!$G$28),Setup!$C$39:$C$50))&lt;=Setup!$C$16),OR(MONTH(WORKDAY(J504,-(Setup!$C$13+Setup!$G$28),Setup!$C$39:$C$50))&gt;=Setup!$C$15,MONTH(WORKDAY(J504,-(Setup!$C$13+Setup!$G$28),Setup!$C$39:$C$50))&lt;=Setup!$C$16))),WORKDAY(J504,-(Setup!$C$13+Setup!$G$28+Setup!$C$14),Setup!$C$39:$C$50),WORKDAY(J504,-(Setup!$C$13+Setup!$G$28),Setup!$C$39:$C$50))+(499*100+9)/10000000)))</f>
        <v/>
      </c>
      <c r="AA504" t="str">
        <f>IF(K504="","",IF(K504&lt;Setup!$C$5-Setup!$C$6,"",IF(IF(ISNUMBER(Roster!$D504),Setup!$C$29&lt;=Roster!$D504,FALSE),"",IF(OR(IF(Setup!$C$15&lt;=Setup!$C$16,AND(MONTH(K504)&gt;=Setup!$C$15,MONTH(K504)&lt;=Setup!$C$16),OR(MONTH(K504)&gt;=Setup!$C$15,MONTH(K504)&lt;=Setup!$C$16)),IF(Setup!$C$15&lt;=Setup!$C$16,AND(MONTH(WORKDAY(K504,-(Setup!$C$13+Setup!$G$29),Setup!$C$39:$C$50))&gt;=Setup!$C$15,MONTH(WORKDAY(K504,-(Setup!$C$13+Setup!$G$29),Setup!$C$39:$C$50))&lt;=Setup!$C$16),OR(MONTH(WORKDAY(K504,-(Setup!$C$13+Setup!$G$29),Setup!$C$39:$C$50))&gt;=Setup!$C$15,MONTH(WORKDAY(K504,-(Setup!$C$13+Setup!$G$29),Setup!$C$39:$C$50))&lt;=Setup!$C$16))),WORKDAY(K504,-(Setup!$C$13+Setup!$G$29+Setup!$C$14),Setup!$C$39:$C$50),WORKDAY(K504,-(Setup!$C$13+Setup!$G$29),Setup!$C$39:$C$50))+(499*100+10)/10000000)))</f>
        <v/>
      </c>
      <c r="AB504" t="str">
        <f>IF(L504="","",IF(L504&lt;Setup!$C$5-Setup!$C$6,"",IF(IF(ISNUMBER(Roster!$D504),Setup!$C$30&lt;=Roster!$D504,FALSE),"",IF(OR(IF(Setup!$C$15&lt;=Setup!$C$16,AND(MONTH(L504)&gt;=Setup!$C$15,MONTH(L504)&lt;=Setup!$C$16),OR(MONTH(L504)&gt;=Setup!$C$15,MONTH(L504)&lt;=Setup!$C$16)),IF(Setup!$C$15&lt;=Setup!$C$16,AND(MONTH(WORKDAY(L504,-(Setup!$C$13+Setup!$G$30),Setup!$C$39:$C$50))&gt;=Setup!$C$15,MONTH(WORKDAY(L504,-(Setup!$C$13+Setup!$G$30),Setup!$C$39:$C$50))&lt;=Setup!$C$16),OR(MONTH(WORKDAY(L504,-(Setup!$C$13+Setup!$G$30),Setup!$C$39:$C$50))&gt;=Setup!$C$15,MONTH(WORKDAY(L504,-(Setup!$C$13+Setup!$G$30),Setup!$C$39:$C$50))&lt;=Setup!$C$16))),WORKDAY(L504,-(Setup!$C$13+Setup!$G$30+Setup!$C$14),Setup!$C$39:$C$50),WORKDAY(L504,-(Setup!$C$13+Setup!$G$30),Setup!$C$39:$C$50))+(499*100+11)/10000000)))</f>
        <v/>
      </c>
      <c r="AC504" t="str">
        <f>IF(M504="","",IF(M504&lt;Setup!$C$5-Setup!$C$6,"",IF(IF(ISNUMBER(Roster!$D504),Setup!$C$31&lt;=Roster!$D504,FALSE),"",IF(OR(IF(Setup!$C$15&lt;=Setup!$C$16,AND(MONTH(M504)&gt;=Setup!$C$15,MONTH(M504)&lt;=Setup!$C$16),OR(MONTH(M504)&gt;=Setup!$C$15,MONTH(M504)&lt;=Setup!$C$16)),IF(Setup!$C$15&lt;=Setup!$C$16,AND(MONTH(WORKDAY(M504,-(Setup!$C$13+Setup!$G$31),Setup!$C$39:$C$50))&gt;=Setup!$C$15,MONTH(WORKDAY(M504,-(Setup!$C$13+Setup!$G$31),Setup!$C$39:$C$50))&lt;=Setup!$C$16),OR(MONTH(WORKDAY(M504,-(Setup!$C$13+Setup!$G$31),Setup!$C$39:$C$50))&gt;=Setup!$C$15,MONTH(WORKDAY(M504,-(Setup!$C$13+Setup!$G$31),Setup!$C$39:$C$50))&lt;=Setup!$C$16))),WORKDAY(M504,-(Setup!$C$13+Setup!$G$31+Setup!$C$14),Setup!$C$39:$C$50),WORKDAY(M504,-(Setup!$C$13+Setup!$G$31),Setup!$C$39:$C$50))+(499*100+12)/10000000)))</f>
        <v/>
      </c>
      <c r="AD504" t="str">
        <f>IF(N504="","",IF(N504&lt;Setup!$C$5-Setup!$C$6,"",IF(IF(ISNUMBER(Roster!$D504),Setup!$C$32&lt;=Roster!$D504,FALSE),"",IF(OR(IF(Setup!$C$15&lt;=Setup!$C$16,AND(MONTH(N504)&gt;=Setup!$C$15,MONTH(N504)&lt;=Setup!$C$16),OR(MONTH(N504)&gt;=Setup!$C$15,MONTH(N504)&lt;=Setup!$C$16)),IF(Setup!$C$15&lt;=Setup!$C$16,AND(MONTH(WORKDAY(N504,-(Setup!$C$13+Setup!$G$32),Setup!$C$39:$C$50))&gt;=Setup!$C$15,MONTH(WORKDAY(N504,-(Setup!$C$13+Setup!$G$32),Setup!$C$39:$C$50))&lt;=Setup!$C$16),OR(MONTH(WORKDAY(N504,-(Setup!$C$13+Setup!$G$32),Setup!$C$39:$C$50))&gt;=Setup!$C$15,MONTH(WORKDAY(N504,-(Setup!$C$13+Setup!$G$32),Setup!$C$39:$C$50))&lt;=Setup!$C$16))),WORKDAY(N504,-(Setup!$C$13+Setup!$G$32+Setup!$C$14),Setup!$C$39:$C$50),WORKDAY(N504,-(Setup!$C$13+Setup!$G$32),Setup!$C$39:$C$50))+(499*100+13)/10000000)))</f>
        <v/>
      </c>
      <c r="AE504" t="str">
        <f>IF(O504="","",IF(O504&lt;Setup!$C$5-Setup!$C$6,"",IF(IF(ISNUMBER(Roster!$D504),Setup!$C$33&lt;=Roster!$D504,FALSE),"",IF(OR(IF(Setup!$C$15&lt;=Setup!$C$16,AND(MONTH(O504)&gt;=Setup!$C$15,MONTH(O504)&lt;=Setup!$C$16),OR(MONTH(O504)&gt;=Setup!$C$15,MONTH(O504)&lt;=Setup!$C$16)),IF(Setup!$C$15&lt;=Setup!$C$16,AND(MONTH(WORKDAY(O504,-(Setup!$C$13+Setup!$G$33),Setup!$C$39:$C$50))&gt;=Setup!$C$15,MONTH(WORKDAY(O504,-(Setup!$C$13+Setup!$G$33),Setup!$C$39:$C$50))&lt;=Setup!$C$16),OR(MONTH(WORKDAY(O504,-(Setup!$C$13+Setup!$G$33),Setup!$C$39:$C$50))&gt;=Setup!$C$15,MONTH(WORKDAY(O504,-(Setup!$C$13+Setup!$G$33),Setup!$C$39:$C$50))&lt;=Setup!$C$16))),WORKDAY(O504,-(Setup!$C$13+Setup!$G$33+Setup!$C$14),Setup!$C$39:$C$50),WORKDAY(O504,-(Setup!$C$13+Setup!$G$33),Setup!$C$39:$C$50))+(499*100+14)/10000000)))</f>
        <v/>
      </c>
      <c r="AF504" t="str">
        <f>IF(P504="","",IF(P504&lt;Setup!$C$5-Setup!$C$6,"",IF(IF(ISNUMBER(Roster!$D504),Setup!$C$34&lt;=Roster!$D504,FALSE),"",IF(OR(IF(Setup!$C$15&lt;=Setup!$C$16,AND(MONTH(P504)&gt;=Setup!$C$15,MONTH(P504)&lt;=Setup!$C$16),OR(MONTH(P504)&gt;=Setup!$C$15,MONTH(P504)&lt;=Setup!$C$16)),IF(Setup!$C$15&lt;=Setup!$C$16,AND(MONTH(WORKDAY(P504,-(Setup!$C$13+Setup!$G$34),Setup!$C$39:$C$50))&gt;=Setup!$C$15,MONTH(WORKDAY(P504,-(Setup!$C$13+Setup!$G$34),Setup!$C$39:$C$50))&lt;=Setup!$C$16),OR(MONTH(WORKDAY(P504,-(Setup!$C$13+Setup!$G$34),Setup!$C$39:$C$50))&gt;=Setup!$C$15,MONTH(WORKDAY(P504,-(Setup!$C$13+Setup!$G$34),Setup!$C$39:$C$50))&lt;=Setup!$C$16))),WORKDAY(P504,-(Setup!$C$13+Setup!$G$34+Setup!$C$14),Setup!$C$39:$C$50),WORKDAY(P504,-(Setup!$C$13+Setup!$G$34),Setup!$C$39:$C$50))+(499*100+15)/10000000)))</f>
        <v/>
      </c>
      <c r="AH504" t="str">
        <f t="shared" si="51"/>
        <v/>
      </c>
      <c r="AI504" t="str">
        <f t="shared" si="52"/>
        <v/>
      </c>
      <c r="AP504" t="str">
        <f>IF(ISNUMBER(Roster!$B504),MAX(1,YEAR(Setup!$C$5)-YEAR(Roster!$B504)+IF(EDATE(Roster!$B504,12*(YEAR(Setup!$C$5)-YEAR(Roster!$B504)))&lt;Setup!$C$5,1,0)),"")</f>
        <v/>
      </c>
      <c r="AQ504" s="32" t="str">
        <f>IF(AP504="","",EDATE(Roster!$B504,12*AP504))</f>
        <v/>
      </c>
      <c r="AR504" t="str">
        <f>IF(AQ504="","",IF(AQ504&lt;DATE(YEAR(Setup!$C$5)+1,MONTH(Setup!$C$5),DAY(Setup!$C$5)),AQ504+499/1000,""))</f>
        <v/>
      </c>
      <c r="AS504" t="str">
        <f t="shared" si="53"/>
        <v/>
      </c>
      <c r="AT504" t="str">
        <f>IF(AS504="","",IF(ISNUMBER(Roster!$D504),Roster!$D504&gt;=AP504,FALSE))</f>
        <v/>
      </c>
      <c r="AU504" t="str">
        <f t="shared" si="54"/>
        <v/>
      </c>
      <c r="AV504" t="str">
        <f ca="1">IF(499&gt;$AV$2,"",SMALL($AR$6:$AR$505,499))</f>
        <v/>
      </c>
      <c r="AW504" t="str">
        <f t="shared" ca="1" si="55"/>
        <v/>
      </c>
    </row>
    <row r="505" spans="2:49" x14ac:dyDescent="0.2">
      <c r="B505" s="32" t="str">
        <f>IF(AND(ISNUMBER(Roster!$B505),Setup!$B$20="Yes",ISNUMBER(Setup!$C$20)),EDATE(Roster!$B505,12*Setup!$C$20),"")</f>
        <v/>
      </c>
      <c r="C505" s="32" t="str">
        <f>IF(AND(ISNUMBER(Roster!$B505),Setup!$B$21="Yes",ISNUMBER(Setup!$C$21)),EDATE(Roster!$B505,12*Setup!$C$21),"")</f>
        <v/>
      </c>
      <c r="D505" s="32" t="str">
        <f>IF(AND(ISNUMBER(Roster!$B505),Setup!$B$22="Yes",ISNUMBER(Setup!$C$22)),EDATE(Roster!$B505,12*Setup!$C$22),"")</f>
        <v/>
      </c>
      <c r="E505" s="32" t="str">
        <f>IF(AND(ISNUMBER(Roster!$B505),Setup!$B$23="Yes",ISNUMBER(Setup!$C$23)),EDATE(Roster!$B505,12*Setup!$C$23),"")</f>
        <v/>
      </c>
      <c r="F505" s="32" t="str">
        <f>IF(AND(ISNUMBER(Roster!$B505),Setup!$B$24="Yes",ISNUMBER(Setup!$C$24)),EDATE(Roster!$B505,12*Setup!$C$24),"")</f>
        <v/>
      </c>
      <c r="G505" s="32" t="str">
        <f>IF(AND(ISNUMBER(Roster!$B505),Setup!$B$25="Yes",ISNUMBER(Setup!$C$25)),EDATE(Roster!$B505,12*Setup!$C$25),"")</f>
        <v/>
      </c>
      <c r="H505" s="32" t="str">
        <f>IF(AND(ISNUMBER(Roster!$B505),Setup!$B$26="Yes",ISNUMBER(Setup!$C$26)),EDATE(Roster!$B505,12*Setup!$C$26),"")</f>
        <v/>
      </c>
      <c r="I505" s="32" t="str">
        <f>IF(AND(ISNUMBER(Roster!$B505),Setup!$B$27="Yes",ISNUMBER(Setup!$C$27)),EDATE(Roster!$B505,12*Setup!$C$27),"")</f>
        <v/>
      </c>
      <c r="J505" s="32" t="str">
        <f>IF(AND(ISNUMBER(Roster!$B505),Setup!$B$28="Yes",ISNUMBER(Setup!$C$28)),EDATE(Roster!$B505,12*Setup!$C$28),"")</f>
        <v/>
      </c>
      <c r="K505" s="32" t="str">
        <f>IF(AND(ISNUMBER(Roster!$B505),Setup!$B$29="Yes",ISNUMBER(Setup!$C$29)),EDATE(Roster!$B505,12*Setup!$C$29),"")</f>
        <v/>
      </c>
      <c r="L505" s="32" t="str">
        <f>IF(AND(ISNUMBER(Roster!$B505),Setup!$B$30="Yes",ISNUMBER(Setup!$C$30)),EDATE(Roster!$B505,12*Setup!$C$30),"")</f>
        <v/>
      </c>
      <c r="M505" s="32" t="str">
        <f>IF(AND(ISNUMBER(Roster!$B505),Setup!$B$31="Yes",ISNUMBER(Setup!$C$31)),EDATE(Roster!$B505,12*Setup!$C$31),"")</f>
        <v/>
      </c>
      <c r="N505" s="32" t="str">
        <f>IF(AND(ISNUMBER(Roster!$B505),Setup!$B$32="Yes",ISNUMBER(Setup!$C$32)),EDATE(Roster!$B505,12*Setup!$C$32),"")</f>
        <v/>
      </c>
      <c r="O505" s="32" t="str">
        <f>IF(AND(ISNUMBER(Roster!$B505),Setup!$B$33="Yes",ISNUMBER(Setup!$C$33)),EDATE(Roster!$B505,12*Setup!$C$33),"")</f>
        <v/>
      </c>
      <c r="P505" s="32" t="str">
        <f>IF(AND(ISNUMBER(Roster!$B505),Setup!$B$34="Yes",ISNUMBER(Setup!$C$34)),EDATE(Roster!$B505,12*Setup!$C$34),"")</f>
        <v/>
      </c>
      <c r="R505" t="str">
        <f>IF(B505="","",IF(B505&lt;Setup!$C$5-Setup!$C$6,"",IF(IF(ISNUMBER(Roster!$D505),Setup!$C$20&lt;=Roster!$D505,FALSE),"",IF(OR(IF(Setup!$C$15&lt;=Setup!$C$16,AND(MONTH(B505)&gt;=Setup!$C$15,MONTH(B505)&lt;=Setup!$C$16),OR(MONTH(B505)&gt;=Setup!$C$15,MONTH(B505)&lt;=Setup!$C$16)),IF(Setup!$C$15&lt;=Setup!$C$16,AND(MONTH(WORKDAY(B505,-(Setup!$C$13+Setup!$G$20),Setup!$C$39:$C$50))&gt;=Setup!$C$15,MONTH(WORKDAY(B505,-(Setup!$C$13+Setup!$G$20),Setup!$C$39:$C$50))&lt;=Setup!$C$16),OR(MONTH(WORKDAY(B505,-(Setup!$C$13+Setup!$G$20),Setup!$C$39:$C$50))&gt;=Setup!$C$15,MONTH(WORKDAY(B505,-(Setup!$C$13+Setup!$G$20),Setup!$C$39:$C$50))&lt;=Setup!$C$16))),WORKDAY(B505,-(Setup!$C$13+Setup!$G$20+Setup!$C$14),Setup!$C$39:$C$50),WORKDAY(B505,-(Setup!$C$13+Setup!$G$20),Setup!$C$39:$C$50))+(500*100+1)/10000000)))</f>
        <v/>
      </c>
      <c r="S505" t="str">
        <f>IF(C505="","",IF(C505&lt;Setup!$C$5-Setup!$C$6,"",IF(IF(ISNUMBER(Roster!$D505),Setup!$C$21&lt;=Roster!$D505,FALSE),"",IF(OR(IF(Setup!$C$15&lt;=Setup!$C$16,AND(MONTH(C505)&gt;=Setup!$C$15,MONTH(C505)&lt;=Setup!$C$16),OR(MONTH(C505)&gt;=Setup!$C$15,MONTH(C505)&lt;=Setup!$C$16)),IF(Setup!$C$15&lt;=Setup!$C$16,AND(MONTH(WORKDAY(C505,-(Setup!$C$13+Setup!$G$21),Setup!$C$39:$C$50))&gt;=Setup!$C$15,MONTH(WORKDAY(C505,-(Setup!$C$13+Setup!$G$21),Setup!$C$39:$C$50))&lt;=Setup!$C$16),OR(MONTH(WORKDAY(C505,-(Setup!$C$13+Setup!$G$21),Setup!$C$39:$C$50))&gt;=Setup!$C$15,MONTH(WORKDAY(C505,-(Setup!$C$13+Setup!$G$21),Setup!$C$39:$C$50))&lt;=Setup!$C$16))),WORKDAY(C505,-(Setup!$C$13+Setup!$G$21+Setup!$C$14),Setup!$C$39:$C$50),WORKDAY(C505,-(Setup!$C$13+Setup!$G$21),Setup!$C$39:$C$50))+(500*100+2)/10000000)))</f>
        <v/>
      </c>
      <c r="T505" t="str">
        <f>IF(D505="","",IF(D505&lt;Setup!$C$5-Setup!$C$6,"",IF(IF(ISNUMBER(Roster!$D505),Setup!$C$22&lt;=Roster!$D505,FALSE),"",IF(OR(IF(Setup!$C$15&lt;=Setup!$C$16,AND(MONTH(D505)&gt;=Setup!$C$15,MONTH(D505)&lt;=Setup!$C$16),OR(MONTH(D505)&gt;=Setup!$C$15,MONTH(D505)&lt;=Setup!$C$16)),IF(Setup!$C$15&lt;=Setup!$C$16,AND(MONTH(WORKDAY(D505,-(Setup!$C$13+Setup!$G$22),Setup!$C$39:$C$50))&gt;=Setup!$C$15,MONTH(WORKDAY(D505,-(Setup!$C$13+Setup!$G$22),Setup!$C$39:$C$50))&lt;=Setup!$C$16),OR(MONTH(WORKDAY(D505,-(Setup!$C$13+Setup!$G$22),Setup!$C$39:$C$50))&gt;=Setup!$C$15,MONTH(WORKDAY(D505,-(Setup!$C$13+Setup!$G$22),Setup!$C$39:$C$50))&lt;=Setup!$C$16))),WORKDAY(D505,-(Setup!$C$13+Setup!$G$22+Setup!$C$14),Setup!$C$39:$C$50),WORKDAY(D505,-(Setup!$C$13+Setup!$G$22),Setup!$C$39:$C$50))+(500*100+3)/10000000)))</f>
        <v/>
      </c>
      <c r="U505" t="str">
        <f>IF(E505="","",IF(E505&lt;Setup!$C$5-Setup!$C$6,"",IF(IF(ISNUMBER(Roster!$D505),Setup!$C$23&lt;=Roster!$D505,FALSE),"",IF(OR(IF(Setup!$C$15&lt;=Setup!$C$16,AND(MONTH(E505)&gt;=Setup!$C$15,MONTH(E505)&lt;=Setup!$C$16),OR(MONTH(E505)&gt;=Setup!$C$15,MONTH(E505)&lt;=Setup!$C$16)),IF(Setup!$C$15&lt;=Setup!$C$16,AND(MONTH(WORKDAY(E505,-(Setup!$C$13+Setup!$G$23),Setup!$C$39:$C$50))&gt;=Setup!$C$15,MONTH(WORKDAY(E505,-(Setup!$C$13+Setup!$G$23),Setup!$C$39:$C$50))&lt;=Setup!$C$16),OR(MONTH(WORKDAY(E505,-(Setup!$C$13+Setup!$G$23),Setup!$C$39:$C$50))&gt;=Setup!$C$15,MONTH(WORKDAY(E505,-(Setup!$C$13+Setup!$G$23),Setup!$C$39:$C$50))&lt;=Setup!$C$16))),WORKDAY(E505,-(Setup!$C$13+Setup!$G$23+Setup!$C$14),Setup!$C$39:$C$50),WORKDAY(E505,-(Setup!$C$13+Setup!$G$23),Setup!$C$39:$C$50))+(500*100+4)/10000000)))</f>
        <v/>
      </c>
      <c r="V505" t="str">
        <f>IF(F505="","",IF(F505&lt;Setup!$C$5-Setup!$C$6,"",IF(IF(ISNUMBER(Roster!$D505),Setup!$C$24&lt;=Roster!$D505,FALSE),"",IF(OR(IF(Setup!$C$15&lt;=Setup!$C$16,AND(MONTH(F505)&gt;=Setup!$C$15,MONTH(F505)&lt;=Setup!$C$16),OR(MONTH(F505)&gt;=Setup!$C$15,MONTH(F505)&lt;=Setup!$C$16)),IF(Setup!$C$15&lt;=Setup!$C$16,AND(MONTH(WORKDAY(F505,-(Setup!$C$13+Setup!$G$24),Setup!$C$39:$C$50))&gt;=Setup!$C$15,MONTH(WORKDAY(F505,-(Setup!$C$13+Setup!$G$24),Setup!$C$39:$C$50))&lt;=Setup!$C$16),OR(MONTH(WORKDAY(F505,-(Setup!$C$13+Setup!$G$24),Setup!$C$39:$C$50))&gt;=Setup!$C$15,MONTH(WORKDAY(F505,-(Setup!$C$13+Setup!$G$24),Setup!$C$39:$C$50))&lt;=Setup!$C$16))),WORKDAY(F505,-(Setup!$C$13+Setup!$G$24+Setup!$C$14),Setup!$C$39:$C$50),WORKDAY(F505,-(Setup!$C$13+Setup!$G$24),Setup!$C$39:$C$50))+(500*100+5)/10000000)))</f>
        <v/>
      </c>
      <c r="W505" t="str">
        <f>IF(G505="","",IF(G505&lt;Setup!$C$5-Setup!$C$6,"",IF(IF(ISNUMBER(Roster!$D505),Setup!$C$25&lt;=Roster!$D505,FALSE),"",IF(OR(IF(Setup!$C$15&lt;=Setup!$C$16,AND(MONTH(G505)&gt;=Setup!$C$15,MONTH(G505)&lt;=Setup!$C$16),OR(MONTH(G505)&gt;=Setup!$C$15,MONTH(G505)&lt;=Setup!$C$16)),IF(Setup!$C$15&lt;=Setup!$C$16,AND(MONTH(WORKDAY(G505,-(Setup!$C$13+Setup!$G$25),Setup!$C$39:$C$50))&gt;=Setup!$C$15,MONTH(WORKDAY(G505,-(Setup!$C$13+Setup!$G$25),Setup!$C$39:$C$50))&lt;=Setup!$C$16),OR(MONTH(WORKDAY(G505,-(Setup!$C$13+Setup!$G$25),Setup!$C$39:$C$50))&gt;=Setup!$C$15,MONTH(WORKDAY(G505,-(Setup!$C$13+Setup!$G$25),Setup!$C$39:$C$50))&lt;=Setup!$C$16))),WORKDAY(G505,-(Setup!$C$13+Setup!$G$25+Setup!$C$14),Setup!$C$39:$C$50),WORKDAY(G505,-(Setup!$C$13+Setup!$G$25),Setup!$C$39:$C$50))+(500*100+6)/10000000)))</f>
        <v/>
      </c>
      <c r="X505" t="str">
        <f>IF(H505="","",IF(H505&lt;Setup!$C$5-Setup!$C$6,"",IF(IF(ISNUMBER(Roster!$D505),Setup!$C$26&lt;=Roster!$D505,FALSE),"",IF(OR(IF(Setup!$C$15&lt;=Setup!$C$16,AND(MONTH(H505)&gt;=Setup!$C$15,MONTH(H505)&lt;=Setup!$C$16),OR(MONTH(H505)&gt;=Setup!$C$15,MONTH(H505)&lt;=Setup!$C$16)),IF(Setup!$C$15&lt;=Setup!$C$16,AND(MONTH(WORKDAY(H505,-(Setup!$C$13+Setup!$G$26),Setup!$C$39:$C$50))&gt;=Setup!$C$15,MONTH(WORKDAY(H505,-(Setup!$C$13+Setup!$G$26),Setup!$C$39:$C$50))&lt;=Setup!$C$16),OR(MONTH(WORKDAY(H505,-(Setup!$C$13+Setup!$G$26),Setup!$C$39:$C$50))&gt;=Setup!$C$15,MONTH(WORKDAY(H505,-(Setup!$C$13+Setup!$G$26),Setup!$C$39:$C$50))&lt;=Setup!$C$16))),WORKDAY(H505,-(Setup!$C$13+Setup!$G$26+Setup!$C$14),Setup!$C$39:$C$50),WORKDAY(H505,-(Setup!$C$13+Setup!$G$26),Setup!$C$39:$C$50))+(500*100+7)/10000000)))</f>
        <v/>
      </c>
      <c r="Y505" t="str">
        <f>IF(I505="","",IF(I505&lt;Setup!$C$5-Setup!$C$6,"",IF(IF(ISNUMBER(Roster!$D505),Setup!$C$27&lt;=Roster!$D505,FALSE),"",IF(OR(IF(Setup!$C$15&lt;=Setup!$C$16,AND(MONTH(I505)&gt;=Setup!$C$15,MONTH(I505)&lt;=Setup!$C$16),OR(MONTH(I505)&gt;=Setup!$C$15,MONTH(I505)&lt;=Setup!$C$16)),IF(Setup!$C$15&lt;=Setup!$C$16,AND(MONTH(WORKDAY(I505,-(Setup!$C$13+Setup!$G$27),Setup!$C$39:$C$50))&gt;=Setup!$C$15,MONTH(WORKDAY(I505,-(Setup!$C$13+Setup!$G$27),Setup!$C$39:$C$50))&lt;=Setup!$C$16),OR(MONTH(WORKDAY(I505,-(Setup!$C$13+Setup!$G$27),Setup!$C$39:$C$50))&gt;=Setup!$C$15,MONTH(WORKDAY(I505,-(Setup!$C$13+Setup!$G$27),Setup!$C$39:$C$50))&lt;=Setup!$C$16))),WORKDAY(I505,-(Setup!$C$13+Setup!$G$27+Setup!$C$14),Setup!$C$39:$C$50),WORKDAY(I505,-(Setup!$C$13+Setup!$G$27),Setup!$C$39:$C$50))+(500*100+8)/10000000)))</f>
        <v/>
      </c>
      <c r="Z505" t="str">
        <f>IF(J505="","",IF(J505&lt;Setup!$C$5-Setup!$C$6,"",IF(IF(ISNUMBER(Roster!$D505),Setup!$C$28&lt;=Roster!$D505,FALSE),"",IF(OR(IF(Setup!$C$15&lt;=Setup!$C$16,AND(MONTH(J505)&gt;=Setup!$C$15,MONTH(J505)&lt;=Setup!$C$16),OR(MONTH(J505)&gt;=Setup!$C$15,MONTH(J505)&lt;=Setup!$C$16)),IF(Setup!$C$15&lt;=Setup!$C$16,AND(MONTH(WORKDAY(J505,-(Setup!$C$13+Setup!$G$28),Setup!$C$39:$C$50))&gt;=Setup!$C$15,MONTH(WORKDAY(J505,-(Setup!$C$13+Setup!$G$28),Setup!$C$39:$C$50))&lt;=Setup!$C$16),OR(MONTH(WORKDAY(J505,-(Setup!$C$13+Setup!$G$28),Setup!$C$39:$C$50))&gt;=Setup!$C$15,MONTH(WORKDAY(J505,-(Setup!$C$13+Setup!$G$28),Setup!$C$39:$C$50))&lt;=Setup!$C$16))),WORKDAY(J505,-(Setup!$C$13+Setup!$G$28+Setup!$C$14),Setup!$C$39:$C$50),WORKDAY(J505,-(Setup!$C$13+Setup!$G$28),Setup!$C$39:$C$50))+(500*100+9)/10000000)))</f>
        <v/>
      </c>
      <c r="AA505" t="str">
        <f>IF(K505="","",IF(K505&lt;Setup!$C$5-Setup!$C$6,"",IF(IF(ISNUMBER(Roster!$D505),Setup!$C$29&lt;=Roster!$D505,FALSE),"",IF(OR(IF(Setup!$C$15&lt;=Setup!$C$16,AND(MONTH(K505)&gt;=Setup!$C$15,MONTH(K505)&lt;=Setup!$C$16),OR(MONTH(K505)&gt;=Setup!$C$15,MONTH(K505)&lt;=Setup!$C$16)),IF(Setup!$C$15&lt;=Setup!$C$16,AND(MONTH(WORKDAY(K505,-(Setup!$C$13+Setup!$G$29),Setup!$C$39:$C$50))&gt;=Setup!$C$15,MONTH(WORKDAY(K505,-(Setup!$C$13+Setup!$G$29),Setup!$C$39:$C$50))&lt;=Setup!$C$16),OR(MONTH(WORKDAY(K505,-(Setup!$C$13+Setup!$G$29),Setup!$C$39:$C$50))&gt;=Setup!$C$15,MONTH(WORKDAY(K505,-(Setup!$C$13+Setup!$G$29),Setup!$C$39:$C$50))&lt;=Setup!$C$16))),WORKDAY(K505,-(Setup!$C$13+Setup!$G$29+Setup!$C$14),Setup!$C$39:$C$50),WORKDAY(K505,-(Setup!$C$13+Setup!$G$29),Setup!$C$39:$C$50))+(500*100+10)/10000000)))</f>
        <v/>
      </c>
      <c r="AB505" t="str">
        <f>IF(L505="","",IF(L505&lt;Setup!$C$5-Setup!$C$6,"",IF(IF(ISNUMBER(Roster!$D505),Setup!$C$30&lt;=Roster!$D505,FALSE),"",IF(OR(IF(Setup!$C$15&lt;=Setup!$C$16,AND(MONTH(L505)&gt;=Setup!$C$15,MONTH(L505)&lt;=Setup!$C$16),OR(MONTH(L505)&gt;=Setup!$C$15,MONTH(L505)&lt;=Setup!$C$16)),IF(Setup!$C$15&lt;=Setup!$C$16,AND(MONTH(WORKDAY(L505,-(Setup!$C$13+Setup!$G$30),Setup!$C$39:$C$50))&gt;=Setup!$C$15,MONTH(WORKDAY(L505,-(Setup!$C$13+Setup!$G$30),Setup!$C$39:$C$50))&lt;=Setup!$C$16),OR(MONTH(WORKDAY(L505,-(Setup!$C$13+Setup!$G$30),Setup!$C$39:$C$50))&gt;=Setup!$C$15,MONTH(WORKDAY(L505,-(Setup!$C$13+Setup!$G$30),Setup!$C$39:$C$50))&lt;=Setup!$C$16))),WORKDAY(L505,-(Setup!$C$13+Setup!$G$30+Setup!$C$14),Setup!$C$39:$C$50),WORKDAY(L505,-(Setup!$C$13+Setup!$G$30),Setup!$C$39:$C$50))+(500*100+11)/10000000)))</f>
        <v/>
      </c>
      <c r="AC505" t="str">
        <f>IF(M505="","",IF(M505&lt;Setup!$C$5-Setup!$C$6,"",IF(IF(ISNUMBER(Roster!$D505),Setup!$C$31&lt;=Roster!$D505,FALSE),"",IF(OR(IF(Setup!$C$15&lt;=Setup!$C$16,AND(MONTH(M505)&gt;=Setup!$C$15,MONTH(M505)&lt;=Setup!$C$16),OR(MONTH(M505)&gt;=Setup!$C$15,MONTH(M505)&lt;=Setup!$C$16)),IF(Setup!$C$15&lt;=Setup!$C$16,AND(MONTH(WORKDAY(M505,-(Setup!$C$13+Setup!$G$31),Setup!$C$39:$C$50))&gt;=Setup!$C$15,MONTH(WORKDAY(M505,-(Setup!$C$13+Setup!$G$31),Setup!$C$39:$C$50))&lt;=Setup!$C$16),OR(MONTH(WORKDAY(M505,-(Setup!$C$13+Setup!$G$31),Setup!$C$39:$C$50))&gt;=Setup!$C$15,MONTH(WORKDAY(M505,-(Setup!$C$13+Setup!$G$31),Setup!$C$39:$C$50))&lt;=Setup!$C$16))),WORKDAY(M505,-(Setup!$C$13+Setup!$G$31+Setup!$C$14),Setup!$C$39:$C$50),WORKDAY(M505,-(Setup!$C$13+Setup!$G$31),Setup!$C$39:$C$50))+(500*100+12)/10000000)))</f>
        <v/>
      </c>
      <c r="AD505" t="str">
        <f>IF(N505="","",IF(N505&lt;Setup!$C$5-Setup!$C$6,"",IF(IF(ISNUMBER(Roster!$D505),Setup!$C$32&lt;=Roster!$D505,FALSE),"",IF(OR(IF(Setup!$C$15&lt;=Setup!$C$16,AND(MONTH(N505)&gt;=Setup!$C$15,MONTH(N505)&lt;=Setup!$C$16),OR(MONTH(N505)&gt;=Setup!$C$15,MONTH(N505)&lt;=Setup!$C$16)),IF(Setup!$C$15&lt;=Setup!$C$16,AND(MONTH(WORKDAY(N505,-(Setup!$C$13+Setup!$G$32),Setup!$C$39:$C$50))&gt;=Setup!$C$15,MONTH(WORKDAY(N505,-(Setup!$C$13+Setup!$G$32),Setup!$C$39:$C$50))&lt;=Setup!$C$16),OR(MONTH(WORKDAY(N505,-(Setup!$C$13+Setup!$G$32),Setup!$C$39:$C$50))&gt;=Setup!$C$15,MONTH(WORKDAY(N505,-(Setup!$C$13+Setup!$G$32),Setup!$C$39:$C$50))&lt;=Setup!$C$16))),WORKDAY(N505,-(Setup!$C$13+Setup!$G$32+Setup!$C$14),Setup!$C$39:$C$50),WORKDAY(N505,-(Setup!$C$13+Setup!$G$32),Setup!$C$39:$C$50))+(500*100+13)/10000000)))</f>
        <v/>
      </c>
      <c r="AE505" t="str">
        <f>IF(O505="","",IF(O505&lt;Setup!$C$5-Setup!$C$6,"",IF(IF(ISNUMBER(Roster!$D505),Setup!$C$33&lt;=Roster!$D505,FALSE),"",IF(OR(IF(Setup!$C$15&lt;=Setup!$C$16,AND(MONTH(O505)&gt;=Setup!$C$15,MONTH(O505)&lt;=Setup!$C$16),OR(MONTH(O505)&gt;=Setup!$C$15,MONTH(O505)&lt;=Setup!$C$16)),IF(Setup!$C$15&lt;=Setup!$C$16,AND(MONTH(WORKDAY(O505,-(Setup!$C$13+Setup!$G$33),Setup!$C$39:$C$50))&gt;=Setup!$C$15,MONTH(WORKDAY(O505,-(Setup!$C$13+Setup!$G$33),Setup!$C$39:$C$50))&lt;=Setup!$C$16),OR(MONTH(WORKDAY(O505,-(Setup!$C$13+Setup!$G$33),Setup!$C$39:$C$50))&gt;=Setup!$C$15,MONTH(WORKDAY(O505,-(Setup!$C$13+Setup!$G$33),Setup!$C$39:$C$50))&lt;=Setup!$C$16))),WORKDAY(O505,-(Setup!$C$13+Setup!$G$33+Setup!$C$14),Setup!$C$39:$C$50),WORKDAY(O505,-(Setup!$C$13+Setup!$G$33),Setup!$C$39:$C$50))+(500*100+14)/10000000)))</f>
        <v/>
      </c>
      <c r="AF505" t="str">
        <f>IF(P505="","",IF(P505&lt;Setup!$C$5-Setup!$C$6,"",IF(IF(ISNUMBER(Roster!$D505),Setup!$C$34&lt;=Roster!$D505,FALSE),"",IF(OR(IF(Setup!$C$15&lt;=Setup!$C$16,AND(MONTH(P505)&gt;=Setup!$C$15,MONTH(P505)&lt;=Setup!$C$16),OR(MONTH(P505)&gt;=Setup!$C$15,MONTH(P505)&lt;=Setup!$C$16)),IF(Setup!$C$15&lt;=Setup!$C$16,AND(MONTH(WORKDAY(P505,-(Setup!$C$13+Setup!$G$34),Setup!$C$39:$C$50))&gt;=Setup!$C$15,MONTH(WORKDAY(P505,-(Setup!$C$13+Setup!$G$34),Setup!$C$39:$C$50))&lt;=Setup!$C$16),OR(MONTH(WORKDAY(P505,-(Setup!$C$13+Setup!$G$34),Setup!$C$39:$C$50))&gt;=Setup!$C$15,MONTH(WORKDAY(P505,-(Setup!$C$13+Setup!$G$34),Setup!$C$39:$C$50))&lt;=Setup!$C$16))),WORKDAY(P505,-(Setup!$C$13+Setup!$G$34+Setup!$C$14),Setup!$C$39:$C$50),WORKDAY(P505,-(Setup!$C$13+Setup!$G$34),Setup!$C$39:$C$50))+(500*100+15)/10000000)))</f>
        <v/>
      </c>
      <c r="AH505" t="str">
        <f t="shared" si="51"/>
        <v/>
      </c>
      <c r="AI505" t="str">
        <f t="shared" si="52"/>
        <v/>
      </c>
      <c r="AP505" t="str">
        <f>IF(ISNUMBER(Roster!$B505),MAX(1,YEAR(Setup!$C$5)-YEAR(Roster!$B505)+IF(EDATE(Roster!$B505,12*(YEAR(Setup!$C$5)-YEAR(Roster!$B505)))&lt;Setup!$C$5,1,0)),"")</f>
        <v/>
      </c>
      <c r="AQ505" s="32" t="str">
        <f>IF(AP505="","",EDATE(Roster!$B505,12*AP505))</f>
        <v/>
      </c>
      <c r="AR505" t="str">
        <f>IF(AQ505="","",IF(AQ505&lt;DATE(YEAR(Setup!$C$5)+1,MONTH(Setup!$C$5),DAY(Setup!$C$5)),AQ505+500/1000,""))</f>
        <v/>
      </c>
      <c r="AS505" t="str">
        <f t="shared" si="53"/>
        <v/>
      </c>
      <c r="AT505" t="str">
        <f>IF(AS505="","",IF(ISNUMBER(Roster!$D505),Roster!$D505&gt;=AP505,FALSE))</f>
        <v/>
      </c>
      <c r="AU505" t="str">
        <f t="shared" si="54"/>
        <v/>
      </c>
      <c r="AV505" t="str">
        <f ca="1">IF(500&gt;$AV$2,"",SMALL($AR$6:$AR$505,500))</f>
        <v/>
      </c>
      <c r="AW505" t="str">
        <f t="shared" ca="1" si="55"/>
        <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Setup</vt:lpstr>
      <vt:lpstr>Roster</vt:lpstr>
      <vt:lpstr>Anniversary Calendar</vt:lpstr>
      <vt:lpstr>Order Calendar</vt:lpstr>
      <vt:lpstr>Budget</vt:lpstr>
      <vt:lpstr>Calc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 Award Program Calendar</dc:title>
  <dc:creator>Awards.com</dc:creator>
  <cp:lastModifiedBy>Awards.com</cp:lastModifiedBy>
  <dcterms:created xsi:type="dcterms:W3CDTF">2026-11-03T15:57:46Z</dcterms:created>
  <dcterms:modified xsi:type="dcterms:W3CDTF">2026-11-03T15:57:49Z</dcterms:modified>
</cp:coreProperties>
</file>